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860" yWindow="3564" windowWidth="18156" windowHeight="12756" tabRatio="600" firstSheet="0" activeTab="0" autoFilterDateGrouping="1"/>
  </bookViews>
  <sheets>
    <sheet xmlns:r="http://schemas.openxmlformats.org/officeDocument/2006/relationships" name="Front Page" sheetId="1" state="visible" r:id="rId1"/>
    <sheet xmlns:r="http://schemas.openxmlformats.org/officeDocument/2006/relationships" name="DCF" sheetId="2" state="visible" r:id="rId2"/>
    <sheet xmlns:r="http://schemas.openxmlformats.org/officeDocument/2006/relationships" name="Model" sheetId="3" state="visible" r:id="rId3"/>
    <sheet xmlns:r="http://schemas.openxmlformats.org/officeDocument/2006/relationships" name="Exec Comp" sheetId="4" state="visible" r:id="rId4"/>
    <sheet xmlns:r="http://schemas.openxmlformats.org/officeDocument/2006/relationships" name="Guidance" sheetId="5" state="visible" r:id="rId5"/>
    <sheet xmlns:r="http://schemas.openxmlformats.org/officeDocument/2006/relationships" name="Summary Page" sheetId="6" state="visible" r:id="rId6"/>
    <sheet xmlns:r="http://schemas.openxmlformats.org/officeDocument/2006/relationships" name="Update Log" sheetId="7" state="visible" r:id="rId7"/>
  </sheets>
  <definedNames>
    <definedName name="AA.AlternatePriceSourceStartPeriod">"Q1-2018"</definedName>
    <definedName name="AA.CIK">"813672"</definedName>
    <definedName name="AA.CompareQuarters.LatestMRQ">"Q3-2019"</definedName>
    <definedName name="AA.CSIN">"9SC16I0108"</definedName>
    <definedName name="AA.CurationVersion">"2023.11.1.0"</definedName>
    <definedName name="AA.DBMacroVersion">"1.0.13.0"</definedName>
    <definedName name="AA.FreeCashFlow">"TRUE"</definedName>
    <definedName name="AA.GuidanceAnalysisNonGaapEbitVersion">"1.0.0.0"</definedName>
    <definedName name="AA.GuidanceAnalysisRevenueVersion">"1.0.0.0"</definedName>
    <definedName name="AA.GuidanceAnalysisWadAdjustedEps">"1.0.0.0"</definedName>
    <definedName name="AA.HardcodeChecker.LatestMRQ">"Q3-2019"</definedName>
    <definedName name="AA.ModelChecks.LatestMRQ">"Q3-2021"</definedName>
    <definedName name="AA.ModelChecks.LatestVersionNumber">"2.38.4.0"</definedName>
    <definedName name="AA.ModelVersion">"Q3-2025.24"</definedName>
    <definedName name="AA.NonLibraryWideCurationVersion">"4"</definedName>
    <definedName name="AA.PartialUpdate.BsAvailable">"TRUE"</definedName>
    <definedName name="AA.PartialUpdate.CfsAvailable">"TRUE"</definedName>
    <definedName name="AA.PartialUpdate.IsAvailable">"TRUE"</definedName>
    <definedName name="AA.PeriodLayout">"QFY"</definedName>
    <definedName name="AA.PersonalMacro.VersionNumber">""</definedName>
    <definedName name="AA.RowNameEnforcerVersion">"2023.11.1.0"</definedName>
    <definedName name="AA.SessionToUploadId">""</definedName>
    <definedName name="AA.StartWorkModelVersion">"Q3-2025.23"</definedName>
    <definedName name="AA.StartWorkType">""</definedName>
    <definedName name="AA.SubyearType">"Q"</definedName>
    <definedName name="AA.TemplateUpgradeAttempted">"TRUE"</definedName>
    <definedName name="AA.TemplateVersion">"7.5.4.0"</definedName>
    <definedName name="AA.UpdateType">"Regular"</definedName>
    <definedName name="AA.VerifyUnitsAtModelVersion">"Q1-2018.22"</definedName>
    <definedName name="EC_CEO_BasePay">'Exec Comp'!$20:$20</definedName>
    <definedName name="EC_CEO_EquityComp_Percent">'Exec Comp'!$26:$26</definedName>
    <definedName name="EC_CEO_SharesOwned">'Exec Comp'!$67:$67</definedName>
    <definedName name="EC_CEO_TotalComp">'Exec Comp'!$25:$25</definedName>
    <definedName name="EC_CFO_BasePay">'Exec Comp'!$69:$69</definedName>
    <definedName name="EC_CFO_EquityComp_Percent">'Exec Comp'!$75:$75</definedName>
    <definedName name="EC_CFO_SharesOwned">'Exec Comp'!$105:$105</definedName>
    <definedName name="EC_CFO_TotalComp">'Exec Comp'!$74:$74</definedName>
    <definedName name="EC_CLO_BasePay">'Exec Comp'!$145:$145</definedName>
    <definedName name="EC_CLO_EquityComp_Percent">'Exec Comp'!$151:$151</definedName>
    <definedName name="EC_CLO_SharesOwned">'Exec Comp'!$156:$156</definedName>
    <definedName name="EC_CLO_TotalComp">'Exec Comp'!$150:$150</definedName>
    <definedName name="EC_CRO_BasePay">'Exec Comp'!$107:$107</definedName>
    <definedName name="EC_CRO_EquityComp_Percent">'Exec Comp'!$113:$113</definedName>
    <definedName name="EC_CRO_SharesOwned">'Exec Comp'!$143:$143</definedName>
    <definedName name="EC_CRO_TotalComp">'Exec Comp'!$112:$112</definedName>
    <definedName name="EC_Director_Compensation_Cash">'Exec Comp'!$178:$178</definedName>
    <definedName name="EC_Director_Compensation_Total">'Exec Comp'!$201:$201</definedName>
    <definedName name="EC_Directors_Current">'Exec Comp'!$159:$159</definedName>
    <definedName name="EC_Directors_Current_Diverse">'Exec Comp'!$162:$162</definedName>
    <definedName name="EC_Directors_Current_Female">'Exec Comp'!$161:$161</definedName>
    <definedName name="EC_Directors_Current_Independent">'Exec Comp'!$160:$160</definedName>
    <definedName name="EC_Directors_Nominees">'Exec Comp'!$164:$164</definedName>
    <definedName name="EC_Directors_Nominees_Independent">'Exec Comp'!$165:$165</definedName>
    <definedName name="FP.DataSource">'Front Page'!$H$16</definedName>
    <definedName name="FP.DataSourceName">'Front Page'!$H$15</definedName>
    <definedName name="FP.Disclaimer">'Front Page'!$C$22</definedName>
    <definedName name="FP.LastPrice">'Front Page'!$H$20</definedName>
    <definedName name="FP.LastPriceDate">'Front Page'!$F$20</definedName>
    <definedName name="FP.RealTimeToggle">'Front Page'!$H$18</definedName>
    <definedName name="FP.UpdateDate">'Front Page'!$H$11</definedName>
    <definedName name="FP.UpdateEvent">'Front Page'!$H$13</definedName>
    <definedName name="FP_Comment">'Front Page'!$M$13:$P$20</definedName>
    <definedName name="FP_StockPriceOverride">'Front Page'!$C$20:$H$20</definedName>
    <definedName name="GD.CompanyName">Guidance!$B$1</definedName>
    <definedName name="GD.MRQ">Guidance!$F$2</definedName>
    <definedName name="GD_Difference_Mid_Absolute">Guidance!$P:$P</definedName>
    <definedName name="GD_Difference_Mid_Relative">Guidance!$Q:$Q</definedName>
    <definedName name="GD_Guidance_High">Guidance!$J:$J</definedName>
    <definedName name="GD_Guidance_Low">Guidance!$I:$I</definedName>
    <definedName name="GD_Guidance_Mid">Guidance!$K:$K</definedName>
    <definedName name="GD_Header_Column">Guidance!$5:$5</definedName>
    <definedName name="GD_Header_Section">Guidance!$4:$4</definedName>
    <definedName name="GD_Index">Guidance!$A:$A</definedName>
    <definedName name="GD_Item">Guidance!$D:$D</definedName>
    <definedName name="GD_Item_BasePeriod">Guidance!$G:$G</definedName>
    <definedName name="GD_Item_FiscalPeriod">Guidance!$F:$F</definedName>
    <definedName name="GD_Item_Name">Guidance!$E:$E</definedName>
    <definedName name="GD_Model_Output">Guidance!$N:$N</definedName>
    <definedName name="GD_Model_Type">Guidance!$M:$M</definedName>
    <definedName name="GD_Type">Guidance!$B:$B</definedName>
    <definedName name="GD_Update_Date">Guidance!$S:$S</definedName>
    <definedName name="GD_Update_Link">Guidance!$T:$T</definedName>
    <definedName name="HP.MRFX">Model!$B$1429</definedName>
    <definedName name="HP.ReportCurrency">Model!$B$1428</definedName>
    <definedName name="HP.Ticker">Model!$A$2</definedName>
    <definedName name="HP.TradeCurrency">Model!$B$1426</definedName>
    <definedName name="HP.TradeCurrency.HardCoded">Model!$B$1427</definedName>
    <definedName name="MO.ApplyTradeCurrencyScaling">Model!$B$1425</definedName>
    <definedName name="MO.CFY">Model!$B$1433</definedName>
    <definedName name="MO.CompanyName">Model!$A$1</definedName>
    <definedName name="MO.DataSourceIndex">Model!$B$1436</definedName>
    <definedName name="MO.DataSourceName">Model!$A$4</definedName>
    <definedName name="MO.FirstForecastedFiscalYear">Model!$B$1434</definedName>
    <definedName name="MO.KPI.1">Model!$A$1308</definedName>
    <definedName name="MO.KPI.10">Model!$A$1317</definedName>
    <definedName name="MO.KPI.11">Model!$A$1318</definedName>
    <definedName name="MO.KPI.12">Model!$A$1319</definedName>
    <definedName name="MO.KPI.13">Model!$A$1320</definedName>
    <definedName name="MO.KPI.14">Model!$A$1321</definedName>
    <definedName name="MO.KPI.15">Model!$A$1322</definedName>
    <definedName name="MO.KPI.16">Model!$A$1323</definedName>
    <definedName name="MO.KPI.17">Model!$A$1324</definedName>
    <definedName name="MO.KPI.18">Model!$A$1325</definedName>
    <definedName name="MO.KPI.19">Model!$A$1326</definedName>
    <definedName name="MO.KPI.2">Model!$A$1309</definedName>
    <definedName name="MO.KPI.20">Model!$A$1327</definedName>
    <definedName name="MO.KPI.21">Model!$A$1328</definedName>
    <definedName name="MO.KPI.3">Model!$A$1310</definedName>
    <definedName name="MO.KPI.4">Model!$A$1311</definedName>
    <definedName name="MO.KPI.5">Model!$A$1312</definedName>
    <definedName name="MO.KPI.6">Model!$A$1313</definedName>
    <definedName name="MO.KPI.7">Model!$A$1314</definedName>
    <definedName name="MO.KPI.8">Model!$A$1315</definedName>
    <definedName name="MO.KPI.9">Model!$A$1316</definedName>
    <definedName name="MO.KPI.Count">Model!$B$1435</definedName>
    <definedName name="MO.LastPrice">Model!$B$3</definedName>
    <definedName name="MO.LastPriceDate">Model!$B$1422</definedName>
    <definedName name="MO.LastPriceFormula">Model!$B$1424</definedName>
    <definedName name="MO.LastPriceHardcoded">Model!$B$1421</definedName>
    <definedName name="MO.MRFP">Model!$B$1432</definedName>
    <definedName name="MO.MRFPColumnNumber">Model!$B$1431</definedName>
    <definedName name="MO.MRFX.Hardcoded">Model!$B$1430</definedName>
    <definedName name="MO.RealTime">Model!$B$4</definedName>
    <definedName name="MO.RealTimeStockPriceToggle">Model!$B$1423</definedName>
    <definedName name="MO.ReportCurrency">Model!$B$1428</definedName>
    <definedName name="MO.ReportFX">Model!$A$5</definedName>
    <definedName name="MO.Ticker">Model!$A$2</definedName>
    <definedName name="MO.Ticker.Bloomberg">Model!$A$1287</definedName>
    <definedName name="MO.Ticker.Canalyst">Model!$A$1286</definedName>
    <definedName name="MO.Ticker.CapIQ">Model!$A$1288</definedName>
    <definedName name="MO.Ticker.FactSet">Model!$A$1289</definedName>
    <definedName name="MO.Ticker.Thomson">Model!$A$1290</definedName>
    <definedName name="MO.TradingCurrency">Model!$A$3</definedName>
    <definedName name="MO.ValuationToggle">Model!$B$981</definedName>
    <definedName name="MO_AN_EBIT_Adj">Model!$443:$443</definedName>
    <definedName name="MO_AN_GA_Adj">Model!$431:$431</definedName>
    <definedName name="MO_AN_NI_NONGAAP_Diluted">Model!$390:$390</definedName>
    <definedName name="MO_AN_RD_Adj">Model!$422:$422</definedName>
    <definedName name="MO_AN_SBC">Model!$178:$178</definedName>
    <definedName name="MO_AN_SM_Adj">Model!$415:$415</definedName>
    <definedName name="MO_AN_Tax_Adj">Model!$451:$451</definedName>
    <definedName name="MO_BS_APandAE">Model!$1230:$1230</definedName>
    <definedName name="MO_BS_AR">Model!$1207:$1207</definedName>
    <definedName name="MO_BS_CA">Model!$1211:$1211</definedName>
    <definedName name="MO_BS_Cash">Model!$1205:$1205</definedName>
    <definedName name="MO_BS_CL">Model!$1232:$1232</definedName>
    <definedName name="MO_BS_ContributedSurplus">Model!$1246:$1246</definedName>
    <definedName name="MO_BS_DefRev">Model!$1231:$1231</definedName>
    <definedName name="MO_BS_DefRev_NonCurrent">Model!$1235:$1235</definedName>
    <definedName name="MO_BS_Goodwill">Model!$1215:$1215</definedName>
    <definedName name="MO_BS_Intangibles">Model!$1216:$1216</definedName>
    <definedName name="MO_BS_INV">Model!$1208:$1208</definedName>
    <definedName name="MO_BS_NCA">Model!$1221:$1221</definedName>
    <definedName name="MO_BS_NCI">Model!$1251:$1251</definedName>
    <definedName name="MO_BS_NCL">Model!$1241:$1241</definedName>
    <definedName name="MO_BS_OCI">Model!$1249:$1249</definedName>
    <definedName name="MO_BS_PPE">Model!$1214:$1214</definedName>
    <definedName name="MO_BS_PreferredStock">Model!$1245:$1245</definedName>
    <definedName name="MO_BS_PrepaidExpensesAndOther">Model!$1210:$1210</definedName>
    <definedName name="MO_BS_RetainedEarnings">Model!$1248:$1248</definedName>
    <definedName name="MO_BS_SE">Model!$1250:$1250</definedName>
    <definedName name="MO_BS_STInvestments">Model!$1206:$1206</definedName>
    <definedName name="MO_BS_TA">Model!$1222:$1222</definedName>
    <definedName name="MO_BS_TaxAssets_Deferred_NonCurrent">Model!$1219:$1219</definedName>
    <definedName name="MO_BS_TaxLiabilities_Deferred_Current">Model!$1227:$1227</definedName>
    <definedName name="MO_BS_TL">Model!$1242:$1242</definedName>
    <definedName name="MO_BS_TLSE">Model!$1252:$1252</definedName>
    <definedName name="MO_BS_TreasuryStock">Model!$1247:$1247</definedName>
    <definedName name="MO_BSS_Cash">Model!$962:$962</definedName>
    <definedName name="MO_BSS_Debt">Model!$965:$965</definedName>
    <definedName name="MO_BSS_Debt_LT">Model!$964:$964</definedName>
    <definedName name="MO_BSS_Debt_Net">Model!$967:$967</definedName>
    <definedName name="MO_BSS_Debt_ST">Model!$963:$963</definedName>
    <definedName name="MO_BSS_Debt_ToCF">Model!$978:$978</definedName>
    <definedName name="MO_BSS_Debt_ToEBITDA">Model!$977:$977</definedName>
    <definedName name="MO_BSS_IE">Model!$969:$969</definedName>
    <definedName name="MO_BSS_IE_Net">Model!$973:$973</definedName>
    <definedName name="MO_BSS_II">Model!$971:$971</definedName>
    <definedName name="MO_BSS_InterestRate_Cash">Model!$972:$972</definedName>
    <definedName name="MO_BSS_InterestRate_Debt">Model!$970:$970</definedName>
    <definedName name="MO_BSS_NetInterestCoverage">Model!$976:$976</definedName>
    <definedName name="MO_BSS_NetInterestRate_Debt">Model!$974:$974</definedName>
    <definedName name="MO_BSS_OL">Model!$966:$966</definedName>
    <definedName name="MO_CCFS_Balance_Begin">Model!$1076:$1076</definedName>
    <definedName name="MO_CCFS_Balance_End">Model!$1077:$1077</definedName>
    <definedName name="MO_CCFS_CFF">Model!$1071:$1071</definedName>
    <definedName name="MO_CCFS_CFI">Model!$1049:$1049</definedName>
    <definedName name="MO_CCFS_CFO">Model!$1032:$1032</definedName>
    <definedName name="MO_CCFS_CFO_BeforeWC">Model!$1023:$1023</definedName>
    <definedName name="MO_CCFS_FX">Model!$1073:$1073</definedName>
    <definedName name="MO_CCFS_NetChange">Model!$1074:$1074</definedName>
    <definedName name="MO_CCFS_Sup_CashInterest">Model!$1079:$1079</definedName>
    <definedName name="MO_CCFS_Sup_CashTax">Model!$1080:$1080</definedName>
    <definedName name="MO_CFS_Balance_Begin">Model!$1154:$1154</definedName>
    <definedName name="MO_CFS_Balance_End">Model!$1155:$1155</definedName>
    <definedName name="MO_CFS_Buyback">Model!$1146:$1146</definedName>
    <definedName name="MO_CFS_Capex_Software">Model!$1124:$1124</definedName>
    <definedName name="MO_CFS_CFF">Model!$1149:$1149</definedName>
    <definedName name="MO_CFS_CFI">Model!$1127:$1127</definedName>
    <definedName name="MO_CFS_CFO">Model!$1110:$1110</definedName>
    <definedName name="MO_CFS_CFO_BeforeWC">Model!$1101:$1101</definedName>
    <definedName name="MO_CFS_DA">Model!$1085:$1085</definedName>
    <definedName name="MO_CFS_DeferredTax">Model!$1096:$1096</definedName>
    <definedName name="MO_CFS_Dividend">Model!$1148:$1148</definedName>
    <definedName name="MO_CFS_Dividend_Common">Model!$1148:$1148</definedName>
    <definedName name="MO_CFS_FX">Model!$1151:$1151</definedName>
    <definedName name="MO_CFS_Impairment_Tangibles">Model!$1095:$1095</definedName>
    <definedName name="MO_CFS_NetChange">Model!$1152:$1152</definedName>
    <definedName name="MO_CFS_NewEquityIssued">Model!$1144:$1144</definedName>
    <definedName name="MO_CFS_NI">Model!$1084:$1084</definedName>
    <definedName name="MO_CFS_SBC">Model!$1088:$1088</definedName>
    <definedName name="MO_CFS_Sup_CashInterest">Model!$1157:$1157</definedName>
    <definedName name="MO_CFS_Sup_CashTax">Model!$1158:$1158</definedName>
    <definedName name="MO_CFS_WC_APandAE">Model!$1107:$1107</definedName>
    <definedName name="MO_CFS_WC_AR">Model!$1102:$1102</definedName>
    <definedName name="MO_CFS_WC_DefRev">Model!$1108:$1108</definedName>
    <definedName name="MO_CFS_WC_INV">Model!$1104:$1104</definedName>
    <definedName name="MO_CFS_WC_PrepaidExpensesAndOther">Model!$1105:$1105</definedName>
    <definedName name="MO_CFSum_Acquisition">Model!$941:$941</definedName>
    <definedName name="MO_CFSum_Capex">Model!$938:$938</definedName>
    <definedName name="MO_CFSum_CFO">Model!$934:$934</definedName>
    <definedName name="MO_CFSum_CFO_BeforeWC">Model!$932:$932</definedName>
    <definedName name="MO_CFSum_CFOPS">Model!$936:$936</definedName>
    <definedName name="MO_CFSum_CFOPS_BeforeWC">Model!$935:$935</definedName>
    <definedName name="MO_CFSum_CFPS">Model!$936:$936</definedName>
    <definedName name="MO_CFSum_ChangeInWC">Model!$933:$933</definedName>
    <definedName name="MO_CFSum_Divestiture">Model!$942:$942</definedName>
    <definedName name="MO_CFSum_Dividend">Model!$943:$943</definedName>
    <definedName name="MO_CFSum_DPS">Model!$944:$944</definedName>
    <definedName name="MO_CFSum_FCF_PostDivPostAD">Model!$954:$954</definedName>
    <definedName name="MO_CFSum_FCF_PostDivPostADPostDebtPostBuyback">Model!$955:$955</definedName>
    <definedName name="MO_CFSum_FCF_PostDivPreAD">Model!$953:$953</definedName>
    <definedName name="MO_CFSum_FCF_PostWCPostDivPostAD">Model!$958:$958</definedName>
    <definedName name="MO_CFSum_FCF_PostWCPostDivPostADPostDebtPostBuyback">Model!$959:$959</definedName>
    <definedName name="MO_CFSum_FCF_PostWCPostDivPreAD">Model!$957:$957</definedName>
    <definedName name="MO_CFSum_FCF_PostWCPreDiv">Model!$956:$956</definedName>
    <definedName name="MO_CFSum_FCF_PreDiv">Model!$952:$952</definedName>
    <definedName name="MO_CFSum_NetDebtIssuance">Model!$948:$948</definedName>
    <definedName name="MO_CFSum_NetDebtIssuance_Convertible">Model!$946:$946</definedName>
    <definedName name="MO_CFSum_NetDebtIssuance_NonConvertible">Model!$947:$947</definedName>
    <definedName name="MO_CFSum_NetShares">Model!$949:$949</definedName>
    <definedName name="MO_CFSum_NetShares_Price">Model!$950:$950</definedName>
    <definedName name="MO_Checks_Bottom">Model!$C$1257:$XFD$1281</definedName>
    <definedName name="MO_Checks_BS">Model!$1254:$1254</definedName>
    <definedName name="MO_Checks_CF">Model!$1160:$1160</definedName>
    <definedName name="MO_Checks_IS">Model!$362:$362</definedName>
    <definedName name="MO_Common_Column_A">Model!$A:$A</definedName>
    <definedName name="MO_Common_Column_B">Model!$B:$B</definedName>
    <definedName name="MO_Common_ColumnHeader">Model!$5:$5</definedName>
    <definedName name="MO_Common_CompanySubtitle">Model!$2:$2</definedName>
    <definedName name="MO_Common_CompanyTitle">Model!$1:$1</definedName>
    <definedName name="MO_Common_FPDays">Model!$3:$3</definedName>
    <definedName name="MO_Common_QEndDate">Model!$4:$4</definedName>
    <definedName name="MO_Common_QEndDate_LWD">Model!$1415:$1415</definedName>
    <definedName name="MO_DAF_A">Model!$1170:$1170</definedName>
    <definedName name="MO_DAF_A_Percentage">Model!$1179:$1179</definedName>
    <definedName name="MO_DAF_Acquisition">Model!$1188:$1188</definedName>
    <definedName name="MO_DAF_Capex">Model!$1184:$1184</definedName>
    <definedName name="MO_DAF_D">Model!$1164:$1164</definedName>
    <definedName name="MO_DAF_D_Percentage">Model!$1178:$1178</definedName>
    <definedName name="MO_DAF_DA">Model!$1183:$1183</definedName>
    <definedName name="MO_DAF_Intangibles_Acquisition_Percent">Model!$1190:$1190</definedName>
    <definedName name="MO_DAF_Intangibles_BoP">Model!$1169:$1169</definedName>
    <definedName name="MO_DAF_Intangibles_Capex">Model!$1171:$1171</definedName>
    <definedName name="MO_DAF_Intangibles_Capex_Percent">Model!$1186:$1186</definedName>
    <definedName name="MO_DAF_Intangibles_EoP">Model!$1173:$1173</definedName>
    <definedName name="MO_DAF_Intangibles_Life">Model!$1181:$1181</definedName>
    <definedName name="MO_DAF_Intangibles_Other">Model!$1172:$1172</definedName>
    <definedName name="MO_DAF_PPE_BoP">Model!$1163:$1163</definedName>
    <definedName name="MO_DAF_PPE_Capex">Model!$1165:$1165</definedName>
    <definedName name="MO_DAF_PPE_EoP">Model!$1167:$1167</definedName>
    <definedName name="MO_DAF_PPE_Life">Model!$1180:$1180</definedName>
    <definedName name="MO_DAF_PPE_Other">Model!$1166:$1166</definedName>
    <definedName name="MO_GA_ARR_Implied">Model!$307:$307</definedName>
    <definedName name="MO_GuidanceAnalysis_EPS_WAD_Adj_FY">Model!$887:$887</definedName>
    <definedName name="MO_GuidanceAnalysis_EPS_WAD_Adj_MostRecentMidpoint">Model!$848:$848</definedName>
    <definedName name="MO_GuidanceAnalysis_EPS_WAD_Adj_Q">Model!$864:$864</definedName>
    <definedName name="MO_GuidanceAnalysis_NonGaapEbit_FY">Model!$828:$828</definedName>
    <definedName name="MO_GuidanceAnalysis_NonGaapEbit_MostRecentMidpoint">Model!$776:$776</definedName>
    <definedName name="MO_GuidanceAnalysis_NonGaapEbit_Q">Model!$800:$800</definedName>
    <definedName name="MO_GuidanceAnalysis_NonGaapEbitMargin_FY">Model!$837:$837</definedName>
    <definedName name="MO_GuidanceAnalysis_NonGaapEbitMargin_MostRecentMidpoint">Model!$792:$792</definedName>
    <definedName name="MO_GuidanceAnalysis_NonGaapEbitMargin_Q">Model!$812:$812</definedName>
    <definedName name="MO_GuidanceAnalysis_Revenue_FY">Model!$755:$755</definedName>
    <definedName name="MO_GuidanceAnalysis_Revenue_MostRecentMidpoint">Model!$722:$722</definedName>
    <definedName name="MO_GuidanceAnalysis_Revenue_Q">Model!$738:$738</definedName>
    <definedName name="MO_IS_Amortization">Model!$351:$351</definedName>
    <definedName name="MO_IS_COGS">Model!$346:$346</definedName>
    <definedName name="MO_IS_EBIT">Model!$355:$355</definedName>
    <definedName name="MO_IS_EBT">Model!$358:$358</definedName>
    <definedName name="MO_IS_FirstRow">Model!$339:$339</definedName>
    <definedName name="MO_IS_GA">Model!$350:$350</definedName>
    <definedName name="MO_IS_GP">Model!$347:$347</definedName>
    <definedName name="MO_IS_IE">Model!$356:$356</definedName>
    <definedName name="MO_IS_NI_ContinOp">Model!$360:$360</definedName>
    <definedName name="MO_IS_RD">Model!$349:$349</definedName>
    <definedName name="MO_IS_Restructuring">Model!$352:$352</definedName>
    <definedName name="MO_IS_REV">Model!$342:$342</definedName>
    <definedName name="MO_IS_SM">Model!$348:$348</definedName>
    <definedName name="MO_IS_Tax">Model!$359:$359</definedName>
    <definedName name="MO_KPI_ARR_Implied">Model!$306:$306</definedName>
    <definedName name="MO_KPI_ARR_Implied_Growth">Model!$307:$307</definedName>
    <definedName name="MO_KPI_Billings_Calc">Model!$294:$294</definedName>
    <definedName name="MO_KPI_Billings_Growth_Calc">Model!$295:$295</definedName>
    <definedName name="MO_KPI_CAC_Payback_Implied">Model!$311:$311</definedName>
    <definedName name="MO_KPI_ContributionMargin">Model!$304:$304</definedName>
    <definedName name="MO_KPI_CRPO_Bookings">Model!$287:$287</definedName>
    <definedName name="MO_KPI_CRPO_Bookings_Growth">Model!$288:$288</definedName>
    <definedName name="MO_KPI_CRPO_Growth">Model!$286:$286</definedName>
    <definedName name="MO_KPI_EmployeeCount">Model!$315:$315</definedName>
    <definedName name="MO_KPI_FCF">Model!$297:$297</definedName>
    <definedName name="MO_KPI_FCF_LTM">Model!$298:$298</definedName>
    <definedName name="MO_KPI_FCF_Margin">Model!$301:$301</definedName>
    <definedName name="MO_KPI_MagicNumber_Implied">Model!$309:$309</definedName>
    <definedName name="MO_KPI_NetNewARR_Implied">Model!$308:$308</definedName>
    <definedName name="MO_KPI_REV_LTM">Model!$299:$299</definedName>
    <definedName name="MO_KPI_REV_LTM_Growth">Model!$300:$300</definedName>
    <definedName name="MO_KPI_RPO">Model!$259:$259</definedName>
    <definedName name="MO_KPI_RPO_Bookings">Model!$291:$291</definedName>
    <definedName name="MO_KPI_RPO_Bookings_Growth">Model!$292:$292</definedName>
    <definedName name="MO_KPI_RPO_Current">Model!$257:$257</definedName>
    <definedName name="MO_KPI_RPO_Growth">Model!$290:$290</definedName>
    <definedName name="MO_KPI_RPO_NonCurrent">Model!$258:$258</definedName>
    <definedName name="MO_KPI_RuleOf40">Model!$302:$302</definedName>
    <definedName name="MO_MA_COGS">Model!$318:$318</definedName>
    <definedName name="MO_MA_COGS_NONGAAP">Model!$326:$326</definedName>
    <definedName name="MO_MA_EBIT">Model!$324:$324</definedName>
    <definedName name="MO_MA_GA">Model!$322:$322</definedName>
    <definedName name="MO_MA_GA_NONGAAP">Model!$331:$331</definedName>
    <definedName name="MO_MA_GM">Model!$319:$319</definedName>
    <definedName name="MO_MA_GM_NONGAAP">Model!$327:$327</definedName>
    <definedName name="MO_MA_OperatingIncome">Model!$334:$334</definedName>
    <definedName name="MO_MA_OperatingIncome_NONGAAP">Model!$333:$333</definedName>
    <definedName name="MO_MA_RD">Model!$321:$321</definedName>
    <definedName name="MO_MA_RD_NONGAAP">Model!$330:$330</definedName>
    <definedName name="MO_MA_Reported_OperatingIncome_NONGAAP">Model!$334:$334</definedName>
    <definedName name="MO_MA_SM">Model!$323:$323</definedName>
    <definedName name="MO_MA_SM_NONGAAP">Model!$332:$332</definedName>
    <definedName name="MO_OS_ARR_Implied">Model!$306:$306</definedName>
    <definedName name="MO_OS_Backlog_EOP">Model!$262:$262</definedName>
    <definedName name="MO_OS_Billings_Calc">Model!$294:$294</definedName>
    <definedName name="MO_OS_Billings_Growth_Calc">Model!$295:$295</definedName>
    <definedName name="MO_OS_CAC_Payback_Implied">Model!$311:$311</definedName>
    <definedName name="MO_OS_ContributionMargin">Model!$304:$304</definedName>
    <definedName name="MO_OS_CRPO_Bookings">Model!$287:$287</definedName>
    <definedName name="MO_OS_CRPO_Bookings_Growth">Model!$288:$288</definedName>
    <definedName name="MO_OS_CRPO_Growth">Model!$286:$286</definedName>
    <definedName name="MO_OS_EmployeeCount">Model!$315:$315</definedName>
    <definedName name="MO_OS_FCF">Model!$297:$297</definedName>
    <definedName name="MO_OS_FCF_LTM">Model!$298:$298</definedName>
    <definedName name="MO_OS_FCF_Margin">Model!$301:$301</definedName>
    <definedName name="MO_OS_MagicNumber_Implied">Model!$309:$309</definedName>
    <definedName name="MO_OS_NetNewARR_Implied">Model!$308:$308</definedName>
    <definedName name="MO_OS_REV_LTM">Model!$299:$299</definedName>
    <definedName name="MO_OS_REV_LTM_Growth">Model!$300:$300</definedName>
    <definedName name="MO_OS_RPO">Model!$259:$259</definedName>
    <definedName name="MO_OS_RPO_Bookings">Model!$291:$291</definedName>
    <definedName name="MO_OS_RPO_Bookings_Growth">Model!$292:$292</definedName>
    <definedName name="MO_OS_RPO_Current">Model!$257:$257</definedName>
    <definedName name="MO_OS_RPO_Growth">Model!$290:$290</definedName>
    <definedName name="MO_OS_RPO_NonCurrent">Model!$258:$258</definedName>
    <definedName name="MO_OS_RuleOf40">Model!$302:$302</definedName>
    <definedName name="MO_PDS_Amort_DebtIssuanceCostandDebtDiscount">Model!$689:$689</definedName>
    <definedName name="MO_PDS_Cash">Model!$700:$700</definedName>
    <definedName name="MO_PDS_Cash_Adj">Model!$702:$702</definedName>
    <definedName name="MO_PDS_Cash_CappedCallImpact">Model!$701:$701</definedName>
    <definedName name="MO_PDS_Date_LWD">Model!$525:$525</definedName>
    <definedName name="MO_PDS_Debt">Model!$703:$703</definedName>
    <definedName name="MO_PDS_Debt_Net">Model!$705:$705</definedName>
    <definedName name="MO_PDS_Debt_Net_Adj">Model!$707:$707</definedName>
    <definedName name="MO_PDS_Debt_Net_ConvertibleDebtImpact">Model!$706:$706</definedName>
    <definedName name="MO_PDS_EV_FullyDiluted">Model!$711:$711</definedName>
    <definedName name="MO_PDS_EV_ToNTMEBITDA_FullyDiluted">Model!$714:$714</definedName>
    <definedName name="MO_PDS_EV_ToNTMSales_FullyDiluted">Model!$713:$713</definedName>
    <definedName name="MO_PDS_EVCalc_NCI">Model!$708:$708</definedName>
    <definedName name="MO_PDS_EVCalc_Other">Model!$710:$710</definedName>
    <definedName name="MO_PDS_EVCalc_Prefs">Model!$709:$709</definedName>
    <definedName name="MO_PDS_MarketCap_FullyDiluted">Model!$698:$698</definedName>
    <definedName name="MO_PDS_OL">Model!$704:$704</definedName>
    <definedName name="MO_PDS_Ratio_Diluted_SBC_Treasury_OverBasic">Model!$597:$597</definedName>
    <definedName name="MO_PDS_ShareCount_CP">Model!$539:$539</definedName>
    <definedName name="MO_PDS_ShareCount_Diluted_Converts">Model!$691:$691</definedName>
    <definedName name="MO_PDS_ShareCount_Diluted_ConvertsHedge">Model!$692:$692</definedName>
    <definedName name="MO_PDS_ShareCount_Diluted_Options_Treasury">Model!$568:$568</definedName>
    <definedName name="MO_PDS_ShareCount_Diluted_SBC_Treasury">Model!$596:$596</definedName>
    <definedName name="MO_PDS_ShareCount_Diluted_Warrants_Treasury">Model!$575:$575</definedName>
    <definedName name="MO_PDS_ShareCount_EoP">Model!$530:$530</definedName>
    <definedName name="MO_PDS_ShareCount_EoP_Economic">Model!$532:$532</definedName>
    <definedName name="MO_PDS_ShareCount_EoP_Growth_Dilutive_QoQ">Model!$533:$533</definedName>
    <definedName name="MO_PDS_ShareCount_EoP_Growth_Dilutive_YoY">Model!$534:$534</definedName>
    <definedName name="MO_PDS_ShareCount_EoP_Growth_NetIssuance_QoQ">Model!$535:$535</definedName>
    <definedName name="MO_PDS_ShareCount_EoP_Growth_NetIssuance_YoY">Model!$536:$536</definedName>
    <definedName name="MO_PDS_ShareCount_EoP_Growth_QoQ">Model!$537:$537</definedName>
    <definedName name="MO_PDS_ShareCount_EoP_Growth_YoY">Model!$538:$538</definedName>
    <definedName name="MO_PDS_ShareCount_ESPPOEoP">Model!$594:$594</definedName>
    <definedName name="MO_PDS_ShareCount_FullyDiluted">Model!$694:$694</definedName>
    <definedName name="MO_PDS_ShareCount_Options_EoP">Model!$566:$566</definedName>
    <definedName name="MO_PDS_ShareCount_Others_EoP">Model!$592:$592</definedName>
    <definedName name="MO_PDS_ShareCount_UnvestedPSOsEoP">Model!$590:$590</definedName>
    <definedName name="MO_PDS_ShareCount_UnvestedPSUsEoP">Model!$589:$589</definedName>
    <definedName name="MO_PDS_ShareCount_UnvestedRSUsEoP">Model!$581:$581</definedName>
    <definedName name="MO_PDS_ShareCountDate_CP">Model!$540:$540</definedName>
    <definedName name="MO_PDS_SP_EOP">Model!$526:$526</definedName>
    <definedName name="MO_PDS_SP_WA_Options_Exercise">Model!$567:$567</definedName>
    <definedName name="MO_PDS_Warrants_EoP">Model!$573:$573</definedName>
    <definedName name="MO_PDS_Warrants_Price_EoP">Model!$574:$574</definedName>
    <definedName name="MO_RIS_Adjustments_Dilution_GAAP">Model!$506:$506</definedName>
    <definedName name="MO_RIS_Adjustments_NONGAAP_Other">Model!$503:$503</definedName>
    <definedName name="MO_RIS_COGS">Model!$458:$458</definedName>
    <definedName name="MO_RIS_COGS_Adjustments_Other">Model!$461:$461</definedName>
    <definedName name="MO_RIS_DA">Model!$482:$482</definedName>
    <definedName name="MO_RIS_DAintangibles">Model!$500:$500</definedName>
    <definedName name="MO_RIS_DAintangibles_COGS">Model!$460:$460</definedName>
    <definedName name="MO_RIS_DeferredTax_To_TotalNonGAAPTax">Model!$512:$512</definedName>
    <definedName name="MO_RIS_EBIT_NONGAAP">Model!$476:$476</definedName>
    <definedName name="MO_RIS_EBITDA_Adj">Model!$483:$483</definedName>
    <definedName name="MO_RIS_EBITDA_NONGAAP">Model!$483:$483</definedName>
    <definedName name="MO_RIS_EBT_NONGAAP">Model!$494:$494</definedName>
    <definedName name="MO_RIS_EPS_WAB">Model!$514:$514</definedName>
    <definedName name="MO_RIS_EPS_WAD">Model!$515:$515</definedName>
    <definedName name="MO_RIS_EPS_WAD_Adj">Model!$516:$516</definedName>
    <definedName name="MO_RIS_GA">Model!$468:$468</definedName>
    <definedName name="MO_RIS_GA_Adjustments_Other">Model!$470:$470</definedName>
    <definedName name="MO_RIS_GA_NONGAAP">Model!$471:$471</definedName>
    <definedName name="MO_RIS_GAAP_Adjustments">Model!$503:$503</definedName>
    <definedName name="MO_RIS_GP_NONGAAP">Model!$462:$462</definedName>
    <definedName name="MO_RIS_IE">Model!$486:$486</definedName>
    <definedName name="MO_RIS_IE_Adjustments">Model!$502:$502</definedName>
    <definedName name="MO_RIS_IE_Net">Model!$488:$488</definedName>
    <definedName name="MO_RIS_IE_Net_NONGAAP">Model!$490:$490</definedName>
    <definedName name="MO_RIS_IE_NONGAAP_Adjustments">Model!$489:$489</definedName>
    <definedName name="MO_RIS_II">Model!$487:$487</definedName>
    <definedName name="MO_RIS_NI_GAAP_Basic">Model!$505:$505</definedName>
    <definedName name="MO_RIS_NI_GAAP_Diluted">Model!$507:$507</definedName>
    <definedName name="MO_RIS_NI_NONGAAP_Diluted">Model!$498:$498</definedName>
    <definedName name="MO_RIS_OI">Model!$491:$491</definedName>
    <definedName name="MO_RIS_OI_NONGAAP">Model!$493:$493</definedName>
    <definedName name="MO_RIS_OI_NONGAAP_Adjustments">Model!$492:$492</definedName>
    <definedName name="MO_RIS_OO_Adjustments">Model!$501:$501</definedName>
    <definedName name="MO_RIS_OtherOperating_NONGAAP">Model!$477:$477</definedName>
    <definedName name="MO_RIS_RD">Model!$464:$464</definedName>
    <definedName name="MO_RIS_RD_Adjustments_Other">Model!$466:$466</definedName>
    <definedName name="MO_RIS_RD_NONGAAP">Model!$467:$467</definedName>
    <definedName name="MO_RIS_Reported_OperatingIncome_NONGAAP">Model!$478:$478</definedName>
    <definedName name="MO_RIS_REV">Model!$454:$454</definedName>
    <definedName name="MO_RIS_SBC">Model!$499:$499</definedName>
    <definedName name="MO_RIS_SBC_COGS">Model!$459:$459</definedName>
    <definedName name="MO_RIS_SBC_GA">Model!$469:$469</definedName>
    <definedName name="MO_RIS_SBC_RD">Model!$465:$465</definedName>
    <definedName name="MO_RIS_SBC_SM">Model!$473:$473</definedName>
    <definedName name="MO_RIS_ShareCount_WAB">Model!$520:$520</definedName>
    <definedName name="MO_RIS_ShareCount_WAD">Model!$521:$521</definedName>
    <definedName name="MO_RIS_ShareCount_WAD_Adj">Model!$522:$522</definedName>
    <definedName name="MO_RIS_SM">Model!$472:$472</definedName>
    <definedName name="MO_RIS_SM_Adjustments_Other">Model!$474:$474</definedName>
    <definedName name="MO_RIS_SM_NONGAAP">Model!$475:$475</definedName>
    <definedName name="MO_RIS_Tax">Model!$495:$495</definedName>
    <definedName name="MO_RIS_Tax_NONGAAP">Model!$497:$497</definedName>
    <definedName name="MO_RIS_Tax_NONGAAP_Adjustments">Model!$496:$496</definedName>
    <definedName name="MO_RIS_TaxImpact_Adjustments">Model!$504:$504</definedName>
    <definedName name="MO_RIS_TaxRate">Model!$511:$511</definedName>
    <definedName name="MO_RIS_TaxRate_NONGAAP">Model!$509:$509</definedName>
    <definedName name="MO_RIS_TaxRate_OnAdjustments">Model!$510:$510</definedName>
    <definedName name="MO_SCA_Date_CoverPage">Model!$540:$540</definedName>
    <definedName name="MO_SCA_Date_LastWorkingDay">Model!$525:$525</definedName>
    <definedName name="MO_SCA_ESPPObligations_EoP">Model!$594:$594</definedName>
    <definedName name="MO_SCA_Other_EoP">Model!$592:$592</definedName>
    <definedName name="MO_SCA_Ratio_DilutedOverBasic">Model!$597:$597</definedName>
    <definedName name="MO_SCA_ShareCount_CoverPage">Model!$539:$539</definedName>
    <definedName name="MO_SCA_ShareCount_CoverPage_Class1">Model!$539:$539</definedName>
    <definedName name="MO_SCA_ShareCount_CoverPage_Dilutive">Model!$696:$696</definedName>
    <definedName name="MO_SCA_ShareCount_CoverPage_Ticker1">Model!$539:$539</definedName>
    <definedName name="MO_SCA_ShareCount_EoP">Model!$530:$530</definedName>
    <definedName name="MO_SCA_ShareCount_EoP_Class1">Model!$528:$528</definedName>
    <definedName name="MO_SCA_ShareCount_EoP_Class2">Model!$529:$529</definedName>
    <definedName name="MO_SCA_ShareCount_EoP_Economic">Model!$532:$532</definedName>
    <definedName name="MO_SCA_ShareCount_EoP_Growth_Dilutive_QoQ">Model!$533:$533</definedName>
    <definedName name="MO_SCA_ShareCount_EoP_Growth_Dilutive_YoY">Model!$534:$534</definedName>
    <definedName name="MO_SCA_ShareCount_EoP_Growth_NetIssuance_QoQ">Model!$535:$535</definedName>
    <definedName name="MO_SCA_ShareCount_EoP_Growth_NetIssuance_YoY">Model!$536:$536</definedName>
    <definedName name="MO_SCA_ShareCount_EoP_Growth_QoQ">Model!$537:$537</definedName>
    <definedName name="MO_SCA_ShareCount_EoP_Growth_YoY">Model!$538:$538</definedName>
    <definedName name="MO_SCA_ShareCount_EoP_Ticker1">Model!$528:$528</definedName>
    <definedName name="MO_SCA_ShareCount_EoP_Ticker1_Equivalent">Model!$530:$530</definedName>
    <definedName name="MO_SCA_ShareCount_FullyDiluted">Model!$694:$694</definedName>
    <definedName name="MO_SCA_ShareCount_PotentialDilution">Model!$596:$596</definedName>
    <definedName name="MO_SCA_StockOptions_BoP">Model!$542:$542</definedName>
    <definedName name="MO_SCA_StockOptions_Canceled">Model!$546:$546</definedName>
    <definedName name="MO_SCA_StockOptions_Dilution">Model!$568:$568</definedName>
    <definedName name="MO_SCA_StockOptions_EoP">Model!$547:$547</definedName>
    <definedName name="MO_SCA_StockOptions_Exercisable_EoP">Model!$570:$570</definedName>
    <definedName name="MO_SCA_StockOptions_Exercised">Model!$545:$545</definedName>
    <definedName name="MO_SCA_StockOptions_Granted">Model!$544:$544</definedName>
    <definedName name="MO_SCA_StockOptions_Price_BoP">Model!$549:$549</definedName>
    <definedName name="MO_SCA_StockOptions_Price_Canceled">Model!$553:$553</definedName>
    <definedName name="MO_SCA_StockOptions_Price_EoP">Model!$554:$554</definedName>
    <definedName name="MO_SCA_StockOptions_Price_Exercisable_EoP">Model!$571:$571</definedName>
    <definedName name="MO_SCA_StockOptions_Price_Exercised">Model!$552:$552</definedName>
    <definedName name="MO_SCA_StockOptions_Price_Granted">Model!$551:$551</definedName>
    <definedName name="MO_SCA_StockPrice_EoP">Model!$526:$526</definedName>
    <definedName name="MO_SCA_UnvestedRSU_EoP">Model!$581:$581</definedName>
    <definedName name="MO_SCA_UnvestedRSU_Price_EoP">Model!$587:$587</definedName>
    <definedName name="MO_SCA_Warrants_EoP">Model!$573:$573</definedName>
    <definedName name="MO_SCA_Warrants_Price_EoP">Model!$574:$574</definedName>
    <definedName name="MO_Section_AdjustedNumbers">Model!$364:$364</definedName>
    <definedName name="MO_Section_BalanceSheet">Model!$1203:$1203</definedName>
    <definedName name="MO_Section_BalanceSheetSummary">Model!$961:$961</definedName>
    <definedName name="MO_Section_BoardDiversity">'Exec Comp'!$158:$158</definedName>
    <definedName name="MO_Section_Canalyst">'Exec Comp'!$222:$222</definedName>
    <definedName name="MO_Section_CapexGuidanceAnalysis">Model!$894:$894</definedName>
    <definedName name="MO_Section_CashFlowStatement">Model!$1082:$1082</definedName>
    <definedName name="MO_Section_CashFlowSummary">Model!$931:$931</definedName>
    <definedName name="MO_Section_CompanyFinancialGoals">'Exec Comp'!$209:$209</definedName>
    <definedName name="MO_Section_CumulativeCashFlowStatement">Model!$1004:$1004</definedName>
    <definedName name="MO_Section_DAForecasting">Model!$1162:$1162</definedName>
    <definedName name="MO_Section_DepreciationandAmortization">Model!$164:$164</definedName>
    <definedName name="MO_Section_DirectorCompensation">'Exec Comp'!$167:$167</definedName>
    <definedName name="MO_Section_ExecutiveCompensation">'Exec Comp'!$6:$6</definedName>
    <definedName name="MO_Section_GuidanceAnalysis">Model!$716:$716</definedName>
    <definedName name="MO_Section_IncomeStatement">Model!$338:$338</definedName>
    <definedName name="MO_Section_KeyMetricsDeferredRevenueFS">Model!$266:$266</definedName>
    <definedName name="MO_Section_KeyMetricsFS">Model!$313:$313</definedName>
    <definedName name="MO_Section_KeyMetricsReceivablesFS">Model!$277:$277</definedName>
    <definedName name="MO_Section_KeyMetricsRemainingPerformanceObligationsFS">Model!$256:$256</definedName>
    <definedName name="MO_Section_KeyMetricsSaaSMetrics">Model!$285:$285</definedName>
    <definedName name="MO_Section_KeyMetricsYYCostGranularityFS">Model!$106:$106</definedName>
    <definedName name="MO_Section_LastRow">Model!$1438:$1438</definedName>
    <definedName name="MO_Section_MarginAnalysis">Model!$317:$317</definedName>
    <definedName name="MO_Section_ModelChecks">Model!$1256:$1256</definedName>
    <definedName name="MO_Section_NonGaapEbitGuidanceAnalysis">Model!$771:$771</definedName>
    <definedName name="MO_Section_OperatingExpenseForecasting">Model!$33:$33</definedName>
    <definedName name="MO_Section_OtherAlignmentDataPoints">'Exec Comp'!$204:$204</definedName>
    <definedName name="MO_Section_PotentiallyDilutiveSecurities">Model!$524:$524</definedName>
    <definedName name="MO_Section_RevenueBuild">Model!$6:$6</definedName>
    <definedName name="MO_Section_RevenueGuidanceAnalysis">Model!$717:$717</definedName>
    <definedName name="MO_Section_RevisedIncomeStatement">Model!$453:$453</definedName>
    <definedName name="MO_Section_SegmentedResultsGeographicBreakdownFS">Model!$235:$235</definedName>
    <definedName name="MO_Section_SegmentedResultsProductandMaintenanceFS">Model!$181:$181</definedName>
    <definedName name="MO_Section_SegmentedResultsRecurringRevenueBreakdownFS">Model!$218:$218</definedName>
    <definedName name="MO_Section_SegmentedResultsServicesFS">Model!$200:$200</definedName>
    <definedName name="MO_Section_ShareCountAnalysis">Model!$524:$524</definedName>
    <definedName name="MO_Section_SupplementalInformation">Model!$180:$180</definedName>
    <definedName name="MO_Section_Tables">Model!$1283:$1283</definedName>
    <definedName name="MO_Section_Valuation">Model!$980:$980</definedName>
    <definedName name="MO_Section_WADAdjustedEPSGuidanceAnalysis">Model!$843:$843</definedName>
    <definedName name="MO_Section_WorkingCapitalForecasting">Model!$1192:$1192</definedName>
    <definedName name="MO_SNA_ConsensusEstimatePeriodNumber">Model!$1374:$1374</definedName>
    <definedName name="MO_SNA_ConsensusEstimatePeriodType">Model!$1373:$1373</definedName>
    <definedName name="MO_SNA_FPStartDate">Model!$1385:$1385</definedName>
    <definedName name="MO_SNA_Guidance_ApplicablePeriod_FY">Model!$1354:$1354</definedName>
    <definedName name="MO_SNA_Guidance_ApplicablePeriod_Q">Model!$1333:$1333</definedName>
    <definedName name="MO_SNA_Guidance_IsLatest_FY">Model!$1353:$1353</definedName>
    <definedName name="MO_SNA_Guidance_ReportDate_FY">Model!$1352:$1352</definedName>
    <definedName name="MO_SNA_Guidance_ReportDate_Q">Model!$1332:$1332</definedName>
    <definedName name="MO_SNA_IsHistoricalPeriod">Model!$1386:$1386</definedName>
    <definedName name="MO_SNA_LastDataRow">Model!$1252:$1252</definedName>
    <definedName name="MO_SPT_FXAverage">Model!$1408:$1408</definedName>
    <definedName name="MO_SPT_FXAverage_Sources">Model!$1409:$1413</definedName>
    <definedName name="MO_SPT_FXAverage_Sources_Bloomberg">Model!$1410:$1410</definedName>
    <definedName name="MO_SPT_FXAverage_Sources_CapIQ">Model!$1411:$1411</definedName>
    <definedName name="MO_SPT_FXAverage_Sources_FactSet">Model!$1412:$1412</definedName>
    <definedName name="MO_SPT_FXAverage_Sources_RealTimeOff">Model!$1409:$1409</definedName>
    <definedName name="MO_SPT_FXAverage_Sources_Thomson">Model!$1413:$1413</definedName>
    <definedName name="MO_SPT_FXEoP">Model!$1417:$1417</definedName>
    <definedName name="MO_SPT_StockAverage">Model!$1401:$1401</definedName>
    <definedName name="MO_SPT_StockAverage_Sources">Model!$1402:$1406</definedName>
    <definedName name="MO_SPT_StockAverage_Sources_Bloomberg">Model!$1403:$1403</definedName>
    <definedName name="MO_SPT_StockAverage_Sources_CapIQ">Model!$1404:$1404</definedName>
    <definedName name="MO_SPT_StockAverage_Sources_FactSet">Model!$1405:$1405</definedName>
    <definedName name="MO_SPT_StockAverage_Sources_RealTimeOff">Model!$1402:$1402</definedName>
    <definedName name="MO_SPT_StockAverage_Sources_Thomson">Model!$1406:$1406</definedName>
    <definedName name="MO_SPT_StockEoP">Model!$1416:$1416</definedName>
    <definedName name="MO_SPT_StockHigh">Model!$1387:$1387</definedName>
    <definedName name="MO_SPT_StockHigh_Sources">Model!$1388:$1392</definedName>
    <definedName name="MO_SPT_StockHigh_Sources_Bloomberg">Model!$1389:$1389</definedName>
    <definedName name="MO_SPT_StockHigh_Sources_CapIQ">Model!$1390:$1390</definedName>
    <definedName name="MO_SPT_StockHigh_Sources_FactSet">Model!$1391:$1391</definedName>
    <definedName name="MO_SPT_StockHigh_Sources_RealTimeOff">Model!$1388:$1388</definedName>
    <definedName name="MO_SPT_StockHigh_Sources_Thomson">Model!$1392:$1392</definedName>
    <definedName name="MO_SPT_StockLow">Model!$1394:$1394</definedName>
    <definedName name="MO_SPT_StockLow_Sources">Model!$1395:$1399</definedName>
    <definedName name="MO_SPT_StockLow_Sources_Bloomberg">Model!$1396:$1396</definedName>
    <definedName name="MO_SPT_StockLow_Sources_CapIQ">Model!$1397:$1397</definedName>
    <definedName name="MO_SPT_StockLow_Sources_FactSet">Model!$1398:$1398</definedName>
    <definedName name="MO_SPT_StockLow_Sources_RealTimeOff">Model!$1395:$1395</definedName>
    <definedName name="MO_SPT_StockLow_Sources_Thomson">Model!$1399:$1399</definedName>
    <definedName name="MO_SubSection_BS_CA">Model!$1204:$1204</definedName>
    <definedName name="MO_SubSection_BS_CL">Model!$1224:$1224</definedName>
    <definedName name="MO_SubSection_BS_NCA">Model!$1213:$1213</definedName>
    <definedName name="MO_SubSection_BS_NCL">Model!$1234:$1234</definedName>
    <definedName name="MO_SubSection_BS_SE">Model!$1244:$1244</definedName>
    <definedName name="MO_SubSection_CCFS_CFF">Model!$1051:$1051</definedName>
    <definedName name="MO_SubSection_CCFS_CFI">Model!$1034:$1034</definedName>
    <definedName name="MO_SubSection_CCFS_CFO">Model!$1005:$1005</definedName>
    <definedName name="MO_SubSection_CFS_CFF">Model!$1129:$1129</definedName>
    <definedName name="MO_SubSection_CFS_CFI">Model!$1112:$1112</definedName>
    <definedName name="MO_SubSection_CFS_CFO">Model!$1083:$1083</definedName>
    <definedName name="MO_VA_EV">Model!$983:$983</definedName>
    <definedName name="MO_VA_EV_ToEBITDA">Model!$986:$986</definedName>
    <definedName name="MO_VA_EVCalc_NCI">Model!$1000:$1000</definedName>
    <definedName name="MO_VA_EVCalc_Other">Model!$1002:$1002</definedName>
    <definedName name="MO_VA_EVCalc_Prefs">Model!$1001:$1001</definedName>
    <definedName name="MO_VA_FCFYield_ToEV">Model!$989:$989</definedName>
    <definedName name="MO_VA_FCFYield_ToMktCap">Model!$988:$988</definedName>
    <definedName name="MO_VA_FX_Average">Model!$995:$995</definedName>
    <definedName name="MO_VA_FX_EoP">Model!$996:$996</definedName>
    <definedName name="MO_VA_MarketCap">Model!$982:$982</definedName>
    <definedName name="MO_VA_P_ToCF">Model!$987:$987</definedName>
    <definedName name="MO_VA_P_ToE">Model!$985:$985</definedName>
    <definedName name="MO_VA_StockPrice">Model!$981:$981</definedName>
    <definedName name="MO_VA_StockPrice_Avg">Model!$993:$993</definedName>
    <definedName name="MO_VA_StockPrice_EoP">Model!$994:$994</definedName>
    <definedName name="MO_VA_StockPrice_High">Model!$991:$991</definedName>
    <definedName name="MO_VA_StockPrice_Low">Model!$992:$992</definedName>
    <definedName name="MO_VA_StockPrice_TradingCurrency">Model!$997:$997</definedName>
    <definedName name="MO_WCF_AP_Margin">Model!$1194:$1194</definedName>
    <definedName name="MO_WCF_AP_Margin_Change">Model!$1199:$1199</definedName>
    <definedName name="MO_WCF_AR_Margin">Model!$1193:$1193</definedName>
    <definedName name="MO_WCF_AR_Margin_Change">Model!$1198:$1198</definedName>
    <definedName name="MO_WCF_PrepaidExpensesAndOther_Margin">Model!$1196:$1196</definedName>
    <definedName name="MO_WCF_PrepaidExpensesAndOther_Margin_Change">Model!$1201:$1201</definedName>
    <definedName name="SP.CompanyName">'Summary Page'!$A$1</definedName>
    <definedName name="SP.ReportFX">'Summary Page'!$B$2</definedName>
    <definedName name="SP.ValuationToggle">'Summary Page'!$B$4</definedName>
    <definedName name="SP_BSR_Capital">'Summary Page'!$81:$81</definedName>
    <definedName name="SP_BSR_CashFlow">'Summary Page'!$80:$80</definedName>
    <definedName name="SP_BSR_CashFlow_LTM">'Summary Page'!$83:$83</definedName>
    <definedName name="SP_BSR_CL">'Summary Page'!$102:$102</definedName>
    <definedName name="SP_BSR_CL_Avg">'Summary Page'!$103:$103</definedName>
    <definedName name="SP_BSR_Debt">'Summary Page'!$96:$96</definedName>
    <definedName name="SP_BSR_Debt_Avg">'Summary Page'!$97:$97</definedName>
    <definedName name="SP_BSR_EBITDA">'Summary Page'!$79:$79</definedName>
    <definedName name="SP_BSR_EBITDA_LTM">'Summary Page'!$82:$82</definedName>
    <definedName name="SP_BSR_SE">'Summary Page'!$88:$88</definedName>
    <definedName name="SP_BSR_SE_Avg">'Summary Page'!$89:$89</definedName>
    <definedName name="SP_BSR_TA">'Summary Page'!$93:$93</definedName>
    <definedName name="SP_BSR_TA_Avg">'Summary Page'!$94:$94</definedName>
    <definedName name="SP_CFA_Acquisition">'Summary Page'!$65:$65</definedName>
    <definedName name="SP_CFA_Capex">'Summary Page'!$61:$61</definedName>
    <definedName name="SP_CFA_CFO">'Summary Page'!$60:$60</definedName>
    <definedName name="SP_CFA_CFO_BeforeWC">'Summary Page'!$58:$58</definedName>
    <definedName name="SP_CFA_CFO_PerShare">'Summary Page'!$72:$72</definedName>
    <definedName name="SP_CFA_Debt">'Summary Page'!$68:$68</definedName>
    <definedName name="SP_CFA_Div">'Summary Page'!$63:$63</definedName>
    <definedName name="SP_CFA_Div_PerShare">'Summary Page'!$74:$74</definedName>
    <definedName name="SP_CFA_Divestiture">'Summary Page'!$66:$66</definedName>
    <definedName name="SP_CFA_Equity">'Summary Page'!$67:$67</definedName>
    <definedName name="SP_CFA_FCF_PerShare">'Summary Page'!$73:$73</definedName>
    <definedName name="SP_CFA_FCF_PostDiv">'Summary Page'!$64:$64</definedName>
    <definedName name="SP_CFA_FCF_PreDiv">'Summary Page'!$62:$62</definedName>
    <definedName name="SP_CFA_NetChange">'Summary Page'!$70:$70</definedName>
    <definedName name="SP_CFA_Other">'Summary Page'!$69:$69</definedName>
    <definedName name="SP_CFA_Payout_vsEPS">'Summary Page'!$76:$76</definedName>
    <definedName name="SP_CFA_Payout_vsFCF">'Summary Page'!$75:$75</definedName>
    <definedName name="SP_CFA_WC">'Summary Page'!$59:$59</definedName>
    <definedName name="SP_Checks_SummaryPage">'Summary Page'!$C$123:$XFD$127</definedName>
    <definedName name="SP_Common_Column_A">'Summary Page'!$A:$A</definedName>
    <definedName name="SP_Common_Column_B">'Summary Page'!$B:$B</definedName>
    <definedName name="SP_Common_ColumnHeader">'Summary Page'!$2:$2</definedName>
    <definedName name="SP_Common_QEndDate">'Summary Page'!$1:$1</definedName>
    <definedName name="SP_CS_Cash">'Summary Page'!$7:$7</definedName>
    <definedName name="SP_CS_Debt">'Summary Page'!$8:$8</definedName>
    <definedName name="SP_CS_EV">'Summary Page'!$11:$11</definedName>
    <definedName name="SP_CS_EVCalc_Other">'Summary Page'!$10:$10</definedName>
    <definedName name="SP_CS_MarketCap">'Summary Page'!$6:$6</definedName>
    <definedName name="SP_CS_OL">'Summary Page'!$9:$9</definedName>
    <definedName name="SP_CS_ShareCount_EoP_Diluted">'Summary Page'!$5:$5</definedName>
    <definedName name="SP_CS_StockPrice">'Summary Page'!$4:$4</definedName>
    <definedName name="SP_GF_COGS">'Summary Page'!$24:$24</definedName>
    <definedName name="SP_GF_EBT">'Summary Page'!$35:$35</definedName>
    <definedName name="SP_GF_EPS_WAD">'Summary Page'!$41:$41</definedName>
    <definedName name="SP_GF_NI">'Summary Page'!$39:$39</definedName>
    <definedName name="SP_GF_Reported_OperatingIncome_NONGAAP">'Summary Page'!$32:$32</definedName>
    <definedName name="SP_GF_Rev">'Summary Page'!$23:$23</definedName>
    <definedName name="SP_GF_ShareCount">'Summary Page'!$42:$42</definedName>
    <definedName name="SP_GF_Tax">'Summary Page'!$36:$36</definedName>
    <definedName name="SP_MA_COGS_NONGAAP">'Summary Page'!$50:$50</definedName>
    <definedName name="SP_MA_GA_NONGAAP">'Summary Page'!$52:$52</definedName>
    <definedName name="SP_MA_OperatingIncome">'Summary Page'!$55:$55</definedName>
    <definedName name="SP_MA_OperatingIncome_NONGAAP">'Summary Page'!$54:$54</definedName>
    <definedName name="SP_MA_RD_NONGAAP">'Summary Page'!$51:$51</definedName>
    <definedName name="SP_MA_SM_NONGAAP">'Summary Page'!$53:$53</definedName>
    <definedName name="SP_NGF_EBITDA">'Summary Page'!$45:$45</definedName>
    <definedName name="SP_NGF_EPS">'Summary Page'!$47:$47</definedName>
    <definedName name="SP_NGF_NI">'Summary Page'!$46:$46</definedName>
    <definedName name="SP_PR_ROA">'Summary Page'!$95:$95</definedName>
    <definedName name="SP_PR_ROCE">'Summary Page'!$105:$105</definedName>
    <definedName name="SP_PR_ROE">'Summary Page'!$90:$90</definedName>
    <definedName name="SP_PR_ROIC">'Summary Page'!$99:$99</definedName>
    <definedName name="SP_PSGM_CFO">'Summary Page'!$111:$111</definedName>
    <definedName name="SP_PSGM_EBITDA_Adj">'Summary Page'!$109:$109</definedName>
    <definedName name="SP_PSGM_FCF">'Summary Page'!$112:$112</definedName>
    <definedName name="SP_PSGM_NI_Adj">'Summary Page'!$110:$110</definedName>
    <definedName name="SP_PSGM_Revenue">'Summary Page'!$108:$108</definedName>
    <definedName name="SP_Section_BalanceSheetRatios">'Summary Page'!$78:$78</definedName>
    <definedName name="SP_Section_CapitalizationSummary">'Summary Page'!$3:$3</definedName>
    <definedName name="SP_Section_CashFlowAnalysis">'Summary Page'!$57:$57</definedName>
    <definedName name="SP_Section_Checks">'Summary Page'!$122:$122</definedName>
    <definedName name="SP_Section_CompanySpecificOperationalData">'Summary Page'!$13:$13</definedName>
    <definedName name="SP_Section_GAAPFinancials">'Summary Page'!$22:$22</definedName>
    <definedName name="SP_Section_LastRow">'Summary Page'!$129:$129</definedName>
    <definedName name="SP_Section_MarginAnalysis">'Summary Page'!$49:$49</definedName>
    <definedName name="SP_Section_NonGAAPFinancials">'Summary Page'!$44:$44</definedName>
    <definedName name="SP_Section_PerShareGrowthMetrics">'Summary Page'!$107:$107</definedName>
    <definedName name="SP_Section_ProfitabilityRatios">'Summary Page'!$85:$85</definedName>
    <definedName name="SP_Section_ValuationMetrics">'Summary Page'!$114:$114</definedName>
    <definedName name="SP_VM_EV_ToEBITDA">'Summary Page'!$117:$117</definedName>
    <definedName name="SP_VM_EV_toSales">'Summary Page'!$116:$116</definedName>
    <definedName name="SP_VM_FCFYield_ToEV">'Summary Page'!$120:$120</definedName>
    <definedName name="SP_VM_FCFYield_ToMktCap">'Summary Page'!$119:$119</definedName>
    <definedName name="SP_VM_P_ToCF">'Summary Page'!$118:$118</definedName>
    <definedName name="SP_VM_P_ToE">'Summary Page'!$115:$115</definedName>
    <definedName name="tb_ConsensusEstimate">Model!$A$1372:$CA$1382</definedName>
    <definedName name="tb_EntireModel">Model!$A$1:$CA$1254</definedName>
    <definedName name="tb_Guidance_FY">Model!$A$1351:$CA$1370</definedName>
    <definedName name="tb_Guidance_Q">Model!$A$1331:$CA$1349</definedName>
    <definedName name="tb_KeyOutputs">Model!$A$1298:$A$1305</definedName>
    <definedName name="tb_KPIs">Model!$A$1307:$A$1329</definedName>
    <definedName name="tb_StockPrice">Model!$A$1384:$CA$1414</definedName>
    <definedName name="tb_Tickers">Model!$A$1285:$A$1290</definedName>
    <definedName name="tb_UpdateLog">'Update Log'!$C$10:$H$64</definedName>
    <definedName name="tb_ValuationToggle">Model!$A$1292:$B$1296</definedName>
    <definedName name="UL.CSIN">'Update Log'!$H$7</definedName>
    <definedName name="UL.ModelVersion">'Update Log'!$H$8</definedName>
    <definedName name="UL.MRQ">'Update Log'!$F$7</definedName>
    <definedName name="UL.MRQColNum">'Update Log'!$E$7</definedName>
    <definedName name="z_9SC16I0108_MO_AN_Acquisitionandintegrationrelatedcosts">Model!$396:$396</definedName>
    <definedName name="z_9SC16I0108_MO_AN_Acquisitionandintegrationrelatedcosts_1">Model!$404:$404</definedName>
    <definedName name="z_9SC16I0108_MO_AN_Acquisitionandintegrationrelatedcosts_2">Model!$412:$412</definedName>
    <definedName name="z_9SC16I0108_MO_AN_Acquisitionandintegrationrelatedcosts_3">Model!$420:$420</definedName>
    <definedName name="z_9SC16I0108_MO_AN_Acquisitionandintegrationrelatedcosts_4">Model!$427:$427</definedName>
    <definedName name="z_9SC16I0108_MO_AN_Acquisitionandotherintegrationrelatedcharges">Model!$372:$372</definedName>
    <definedName name="z_9SC16I0108_MO_AN_Acquisitionrelatedincometaxbenefit">Model!$381:$381</definedName>
    <definedName name="z_9SC16I0108_MO_AN_adjustments">Model!$438:$438</definedName>
    <definedName name="z_9SC16I0108_MO_AN_adjustments_1">Model!$442:$442</definedName>
    <definedName name="z_9SC16I0108_MO_AN_adjustments_2">Model!$446:$446</definedName>
    <definedName name="z_9SC16I0108_MO_AN_amortizationofacquiredintangibles">Model!$366:$366</definedName>
    <definedName name="z_9SC16I0108_MO_AN_amortizationofacquiredintangibles_1">Model!$393:$393</definedName>
    <definedName name="z_9SC16I0108_MO_AN_amortizationofacquiredintangibles_2">"Deleted"</definedName>
    <definedName name="z_9SC16I0108_MO_AN_amortizationofacquiredintangibles_3">"Deleted"</definedName>
    <definedName name="z_9SC16I0108_MO_AN_amortizationofacquiredintangibles_4">"Deleted"</definedName>
    <definedName name="z_9SC16I0108_MO_AN_amortizationofacquiredintangibles_5">"Deleted"</definedName>
    <definedName name="z_9SC16I0108_MO_AN_amortizationofacquiredintangibles_6">Model!$434:$434</definedName>
    <definedName name="z_9SC16I0108_MO_AN_Amortizationofdebtdiscountonconvertiblenotes">Model!$374:$374</definedName>
    <definedName name="z_9SC16I0108_MO_AN_costofproductandmaintenance">Model!$172:$172</definedName>
    <definedName name="z_9SC16I0108_MO_AN_costofservices">Model!$173:$173</definedName>
    <definedName name="z_9SC16I0108_MO_AN_Executiveandotheremployeeseverancecosts">Model!$397:$397</definedName>
    <definedName name="z_9SC16I0108_MO_AN_Executiveandotheremployeeseverancecosts_1">Model!$405:$405</definedName>
    <definedName name="z_9SC16I0108_MO_AN_executiveseverancecosts">Model!$373:$373</definedName>
    <definedName name="z_9SC16I0108_MO_AN_executiveseverancecosts_1">Model!$414:$414</definedName>
    <definedName name="z_9SC16I0108_MO_AN_executiveseverancecosts_2">Model!$430:$430</definedName>
    <definedName name="z_9SC16I0108_MO_AN_gaapamortizationofacquiredintangibles">Model!$433:$433</definedName>
    <definedName name="z_9SC16I0108_MO_AN_gaapcostofproductandmaintenance">Model!$392:$392</definedName>
    <definedName name="z_9SC16I0108_MO_AN_gaapcostofservices">Model!$401:$401</definedName>
    <definedName name="z_9SC16I0108_MO_AN_gaapgeneralandadministrative">Model!$424:$424</definedName>
    <definedName name="z_9SC16I0108_MO_AN_gaapincomefromoperations">Model!$441:$441</definedName>
    <definedName name="z_9SC16I0108_MO_AN_gaapmarketingandsales">Model!$409:$409</definedName>
    <definedName name="z_9SC16I0108_MO_AN_gaapnetincome">Model!$365:$365</definedName>
    <definedName name="z_9SC16I0108_MO_AN_GAAPotherincome">Model!$445:$445</definedName>
    <definedName name="z_9SC16I0108_MO_AN_gaapprovisionforincometaxes">Model!$449:$449</definedName>
    <definedName name="z_9SC16I0108_MO_AN_gaapresearchanddevelopment">Model!$417:$417</definedName>
    <definedName name="z_9SC16I0108_MO_AN_GAAPrestructuringandotherchargescredits">Model!$437:$437</definedName>
    <definedName name="z_9SC16I0108_MO_AN_generalandadministrative">Model!$177:$177</definedName>
    <definedName name="z_9SC16I0108_MO_AN_incometaxbenefitduetoareleaseofanuncertaintaxposition">Model!$383:$383</definedName>
    <definedName name="z_9SC16I0108_MO_AN_incometaxbenefitofirssettlement">Model!$382:$382</definedName>
    <definedName name="z_9SC16I0108_MO_AN_incometaxbenefitofstateofcaliforniasettlement">Model!$380:$380</definedName>
    <definedName name="z_9SC16I0108_MO_AN_incometaxbenefitofvaluationallowancerelease">Model!$379:$379</definedName>
    <definedName name="z_9SC16I0108_MO_AN_IncometaxbenefitrelatedtointercompanytransfersofcertainIPrights">Model!$387:$387</definedName>
    <definedName name="z_9SC16I0108_MO_AN_incometaxeffectofnongaapadjustments">Model!$450:$450</definedName>
    <definedName name="z_9SC16I0108_MO_AN_incometaxeffectoftheincreaseinunitedstatesnetoperatinglosscarrybackperiod">Model!$384:$384</definedName>
    <definedName name="z_9SC16I0108_MO_AN_incometaxeffectonnongaapadjustments">Model!$388:$388</definedName>
    <definedName name="z_9SC16I0108_MO_AN_Incometaxrelatedtotaxratechange">Model!$386:$386</definedName>
    <definedName name="z_9SC16I0108_MO_AN_Incometaxrelatedtotransitiontax">Model!$385:$385</definedName>
    <definedName name="z_9SC16I0108_MO_AN_litigationcharges">Model!$371:$371</definedName>
    <definedName name="z_9SC16I0108_MO_AN_Lossonextinguishmentofdebt">Model!$377:$377</definedName>
    <definedName name="z_9SC16I0108_MO_AN_Lossrelatedtocontingentliability">Model!$378:$378</definedName>
    <definedName name="z_9SC16I0108_MO_AN_marketingandsales">Model!$175:$175</definedName>
    <definedName name="z_9SC16I0108_MO_AN_nongaapamortizationofacquiredintangibles">Model!$435:$435</definedName>
    <definedName name="z_9SC16I0108_MO_AN_nongaapcostofproductandmaintenance">Model!$399:$399</definedName>
    <definedName name="z_9SC16I0108_MO_AN_nongaapcostofservices">Model!$407:$407</definedName>
    <definedName name="z_9SC16I0108_MO_AN_nongaapgeneralandadministrative">Model!$431:$431</definedName>
    <definedName name="z_9SC16I0108_MO_AN_nongaapincomefromoperations">Model!$443:$443</definedName>
    <definedName name="z_9SC16I0108_MO_AN_nongaapmarketingandsales">Model!$415:$415</definedName>
    <definedName name="z_9SC16I0108_MO_AN_nongaapnetincome">Model!$390:$390</definedName>
    <definedName name="z_9SC16I0108_MO_AN_NonGAAPotherincome">Model!$447:$447</definedName>
    <definedName name="z_9SC16I0108_MO_AN_nongaapprovisionforincometaxes">Model!$451:$451</definedName>
    <definedName name="z_9SC16I0108_MO_AN_nongaapresearchanddevelopment">Model!$422:$422</definedName>
    <definedName name="z_9SC16I0108_MO_AN_NonGAAPrestructuringandotherchargescredits">Model!$439:$439</definedName>
    <definedName name="z_9SC16I0108_MO_AN_nonqualifieddeferredcompensationexpenses">Model!$368:$368</definedName>
    <definedName name="z_9SC16I0108_MO_AN_nonqualifieddeferredcompensationexpenses_1">Model!$395:$395</definedName>
    <definedName name="z_9SC16I0108_MO_AN_nonqualifieddeferredcompensationexpenses_2">Model!$403:$403</definedName>
    <definedName name="z_9SC16I0108_MO_AN_nonqualifieddeferredcompensationexpenses_3">Model!$411:$411</definedName>
    <definedName name="z_9SC16I0108_MO_AN_nonqualifieddeferredcompensationexpenses_4">Model!$419:$419</definedName>
    <definedName name="z_9SC16I0108_MO_AN_nonqualifieddeferredcompensationexpenses_5">Model!$426:$426</definedName>
    <definedName name="z_9SC16I0108_MO_AN_Otherincomeorexpenserelatedforeigncurrencyforwardexchangecontractassociatedwithapendingacquisition">Model!$376:$376</definedName>
    <definedName name="z_9SC16I0108_MO_AN_Otherincomeorexpenserelatedtoinvestments">Model!$375:$375</definedName>
    <definedName name="z_9SC16I0108_MO_AN_researchanddevelopment">Model!$176:$176</definedName>
    <definedName name="z_9SC16I0108_MO_AN_Restructuringandothercharges">Model!$369:$369</definedName>
    <definedName name="z_9SC16I0108_MO_AN_sbc">Model!$367:$367</definedName>
    <definedName name="z_9SC16I0108_MO_AN_shareholderlitigation">Model!$428:$428</definedName>
    <definedName name="z_9SC16I0108_MO_AN_shareholderlitigationcosts">Model!$370:$370</definedName>
    <definedName name="z_9SC16I0108_MO_AN_Specialcharges">Model!$389:$389</definedName>
    <definedName name="z_9SC16I0108_MO_AN_Specialcharges_1">Model!$398:$398</definedName>
    <definedName name="z_9SC16I0108_MO_AN_specialcharges_2">Model!$406:$406</definedName>
    <definedName name="z_9SC16I0108_MO_AN_specialcharges_3">Model!$421:$421</definedName>
    <definedName name="z_9SC16I0108_MO_AN_Specialcharges_4">Model!$413:$413</definedName>
    <definedName name="z_9SC16I0108_MO_AN_Specialcharges_5">Model!$429:$429</definedName>
    <definedName name="z_9SC16I0108_MO_AN_stockbasedcompensationexpense">Model!$394:$394</definedName>
    <definedName name="z_9SC16I0108_MO_AN_stockbasedcompensationexpense_1">Model!$402:$402</definedName>
    <definedName name="z_9SC16I0108_MO_AN_stockbasedcompensationexpense_2">Model!$410:$410</definedName>
    <definedName name="z_9SC16I0108_MO_AN_stockbasedcompensationexpense_3">Model!$418:$418</definedName>
    <definedName name="z_9SC16I0108_MO_AN_stockbasedcompensationexpense_4">Model!$425:$425</definedName>
    <definedName name="z_9SC16I0108_MO_AN_totalstockbasedcompensationexpense">Model!$178:$178</definedName>
    <definedName name="z_9SC16I0108_MO_BlankRow_AN">Model!$391:$391</definedName>
    <definedName name="z_9SC16I0108_MO_BlankRow_AN_1">Model!$400:$400</definedName>
    <definedName name="z_9SC16I0108_MO_BlankRow_AN_10">Model!$452:$452</definedName>
    <definedName name="z_9SC16I0108_MO_BlankRow_AN_12">Model!$179:$179</definedName>
    <definedName name="z_9SC16I0108_MO_BlankRow_AN_2">Model!$408:$408</definedName>
    <definedName name="z_9SC16I0108_MO_BlankRow_AN_3">Model!$416:$416</definedName>
    <definedName name="z_9SC16I0108_MO_BlankRow_AN_4">Model!$423:$423</definedName>
    <definedName name="z_9SC16I0108_MO_BlankRow_AN_5">Model!$432:$432</definedName>
    <definedName name="z_9SC16I0108_MO_BlankRow_AN_6">Model!$436:$436</definedName>
    <definedName name="z_9SC16I0108_MO_BlankRow_AN_7">Model!$440:$440</definedName>
    <definedName name="z_9SC16I0108_MO_BlankRow_AN_8">Model!$444:$444</definedName>
    <definedName name="z_9SC16I0108_MO_BlankRow_AN_9">Model!$448:$448</definedName>
    <definedName name="z_9SC16I0108_MO_BlankRow_BS_1">Model!$1212:$1212</definedName>
    <definedName name="z_9SC16I0108_MO_BlankRow_BS_2">Model!$1223:$1223</definedName>
    <definedName name="z_9SC16I0108_MO_BlankRow_BS_3">Model!$1233:$1233</definedName>
    <definedName name="z_9SC16I0108_MO_BlankRow_BS_4">Model!$1243:$1243</definedName>
    <definedName name="z_9SC16I0108_MO_BlankRow_BS_5">Model!$1253:$1253</definedName>
    <definedName name="z_9SC16I0108_MO_BlankRow_BS_6">Model!$1255:$1255</definedName>
    <definedName name="z_9SC16I0108_MO_BlankRow_BSS">Model!$979:$979</definedName>
    <definedName name="z_9SC16I0108_MO_BlankRow_BSS_1">Model!$968:$968</definedName>
    <definedName name="z_9SC16I0108_MO_BlankRow_BSS_2">Model!$975:$975</definedName>
    <definedName name="z_9SC16I0108_MO_BlankRow_CCFS">Model!$1033:$1033</definedName>
    <definedName name="z_9SC16I0108_MO_BlankRow_CCFS_1">Model!$1050:$1050</definedName>
    <definedName name="z_9SC16I0108_MO_BlankRow_CCFS_2">Model!$1072:$1072</definedName>
    <definedName name="z_9SC16I0108_MO_BlankRow_CCFS_3">Model!$1075:$1075</definedName>
    <definedName name="z_9SC16I0108_MO_BlankRow_CCFS_4">Model!$1081:$1081</definedName>
    <definedName name="z_9SC16I0108_MO_BlankRow_CCFS_5">Model!$1078:$1078</definedName>
    <definedName name="z_9SC16I0108_MO_BlankRow_CFS_2">Model!$1111:$1111</definedName>
    <definedName name="z_9SC16I0108_MO_BlankRow_CFS_3">Model!$1128:$1128</definedName>
    <definedName name="z_9SC16I0108_MO_BlankRow_CFS_4">Model!$1150:$1150</definedName>
    <definedName name="z_9SC16I0108_MO_BlankRow_CFS_5">Model!$1153:$1153</definedName>
    <definedName name="z_9SC16I0108_MO_BlankRow_CFS_6">Model!$1156:$1156</definedName>
    <definedName name="z_9SC16I0108_MO_BlankRow_CFS_7">Model!$1161:$1161</definedName>
    <definedName name="z_9SC16I0108_MO_BlankRow_CFS_9">Model!$1159:$1159</definedName>
    <definedName name="z_9SC16I0108_MO_BlankRow_CFSum">Model!$951:$951</definedName>
    <definedName name="z_9SC16I0108_MO_BlankRow_CFSum_1">Model!$960:$960</definedName>
    <definedName name="z_9SC16I0108_MO_BlankRow_CFSum_2">Model!$945:$945</definedName>
    <definedName name="z_9SC16I0108_MO_BlankRow_DAF">Model!$1168:$1168</definedName>
    <definedName name="z_9SC16I0108_MO_BlankRow_DAF_1">Model!$1174:$1174</definedName>
    <definedName name="z_9SC16I0108_MO_BlankRow_DAF_2">Model!$1177:$1177</definedName>
    <definedName name="z_9SC16I0108_MO_BlankRow_DAF_3">Model!$1182:$1182</definedName>
    <definedName name="z_9SC16I0108_MO_BlankRow_DAF_4">Model!$1187:$1187</definedName>
    <definedName name="z_9SC16I0108_MO_BlankRow_DAF_5">Model!$1191:$1191</definedName>
    <definedName name="z_9SC16I0108_MO_BlankRow_GA">Model!$32:$32</definedName>
    <definedName name="z_9SC16I0108_MO_BlankRow_IS">Model!$361:$361</definedName>
    <definedName name="z_9SC16I0108_MO_BlankRow_IS_1">Model!$363:$363</definedName>
    <definedName name="z_9SC16I0108_MO_BlankRow_MA">"Deleted"</definedName>
    <definedName name="z_9SC16I0108_MO_BlankRow_MA_1">"Deleted"</definedName>
    <definedName name="z_9SC16I0108_MO_BlankRow_MA_2">Model!$984:$984</definedName>
    <definedName name="z_9SC16I0108_MO_BlankRow_MA_3">Model!$998:$998</definedName>
    <definedName name="z_9SC16I0108_MO_BlankRow_MA_4">Model!$1003:$1003</definedName>
    <definedName name="z_9SC16I0108_MO_BlankRow_MA_5">Model!$990:$990</definedName>
    <definedName name="z_9SC16I0108_MO_BlankRow_MA_6">Model!$320:$320</definedName>
    <definedName name="z_9SC16I0108_MO_BlankRow_MA_7">Model!$325:$325</definedName>
    <definedName name="z_9SC16I0108_MO_BlankRow_MA_8">Model!$329:$329</definedName>
    <definedName name="z_9SC16I0108_MO_BlankRow_MA_9">Model!$337:$337</definedName>
    <definedName name="z_9SC16I0108_MO_BlankRow_OS_10">Model!$127:$127</definedName>
    <definedName name="z_9SC16I0108_MO_BlankRow_OS_100">Model!$726:$726</definedName>
    <definedName name="z_9SC16I0108_MO_BlankRow_OS_101">Model!$733:$733</definedName>
    <definedName name="z_9SC16I0108_MO_BlankRow_OS_107">Model!$747:$747</definedName>
    <definedName name="z_9SC16I0108_MO_BlankRow_OS_108">Model!$270:$270</definedName>
    <definedName name="z_9SC16I0108_MO_BlankRow_OS_109">Model!$273:$273</definedName>
    <definedName name="z_9SC16I0108_MO_BlankRow_OS_11">Model!$143:$143</definedName>
    <definedName name="z_9SC16I0108_MO_BlankRow_OS_110">Model!$751:$751</definedName>
    <definedName name="z_9SC16I0108_MO_BlankRow_OS_111">Model!$276:$276</definedName>
    <definedName name="z_9SC16I0108_MO_BlankRow_OS_112">Model!$184:$184</definedName>
    <definedName name="z_9SC16I0108_MO_BlankRow_OS_113">Model!$203:$203</definedName>
    <definedName name="z_9SC16I0108_MO_BlankRow_OS_116">"Deleted"</definedName>
    <definedName name="z_9SC16I0108_MO_BlankRow_OS_117">"Deleted"</definedName>
    <definedName name="z_9SC16I0108_MO_BlankRow_OS_118">Model!$761:$761</definedName>
    <definedName name="z_9SC16I0108_MO_BlankRow_OS_119">Model!$766:$766</definedName>
    <definedName name="z_9SC16I0108_MO_BlankRow_OS_12">Model!$163:$163</definedName>
    <definedName name="z_9SC16I0108_MO_BlankRow_OS_120">Model!$770:$770</definedName>
    <definedName name="z_9SC16I0108_MO_BlankRow_OS_121">Model!$780:$780</definedName>
    <definedName name="z_9SC16I0108_MO_BlankRow_OS_122">Model!$787:$787</definedName>
    <definedName name="z_9SC16I0108_MO_BlankRow_OS_123">Model!$795:$795</definedName>
    <definedName name="z_9SC16I0108_MO_BlankRow_OS_124">Model!$809:$809</definedName>
    <definedName name="z_9SC16I0108_MO_BlankRow_OS_125">Model!$820:$820</definedName>
    <definedName name="z_9SC16I0108_MO_BlankRow_OS_126">Model!$824:$824</definedName>
    <definedName name="z_9SC16I0108_MO_BlankRow_OS_127">Model!$834:$834</definedName>
    <definedName name="z_9SC16I0108_MO_BlankRow_OS_128">Model!$842:$842</definedName>
    <definedName name="z_9SC16I0108_MO_BlankRow_OS_129">Model!$852:$852</definedName>
    <definedName name="z_9SC16I0108_MO_BlankRow_OS_130">Model!$859:$859</definedName>
    <definedName name="z_9SC16I0108_MO_BlankRow_OS_131">Model!$873:$873</definedName>
    <definedName name="z_9SC16I0108_MO_BlankRow_OS_132">Model!$877:$877</definedName>
    <definedName name="z_9SC16I0108_MO_BlankRow_OS_133">Model!$893:$893</definedName>
    <definedName name="z_9SC16I0108_MO_BlankRow_OS_134">Model!$903:$903</definedName>
    <definedName name="z_9SC16I0108_MO_BlankRow_OS_135">Model!$907:$907</definedName>
    <definedName name="z_9SC16I0108_MO_BlankRow_OS_136">Model!$918:$918</definedName>
    <definedName name="z_9SC16I0108_MO_BlankRow_OS_137">Model!$922:$922</definedName>
    <definedName name="z_9SC16I0108_MO_BlankRow_OS_138">Model!$929:$929</definedName>
    <definedName name="z_9SC16I0108_MO_BlankRow_OS_139">Model!$930:$930</definedName>
    <definedName name="z_9SC16I0108_MO_BlankRow_OS_14">Model!$316:$316</definedName>
    <definedName name="z_9SC16I0108_MO_BlankRow_OS_140">Model!$582:$582</definedName>
    <definedName name="z_9SC16I0108_MO_BlankRow_OS_141">Model!$588:$588</definedName>
    <definedName name="z_9SC16I0108_MO_BlankRow_OS_142">'Exec Comp'!$19:$19</definedName>
    <definedName name="z_9SC16I0108_MO_BlankRow_OS_143">'Exec Comp'!$28:$28</definedName>
    <definedName name="z_9SC16I0108_MO_BlankRow_OS_144">'Exec Comp'!$31:$31</definedName>
    <definedName name="z_9SC16I0108_MO_BlankRow_OS_145">'Exec Comp'!$34:$34</definedName>
    <definedName name="z_9SC16I0108_MO_BlankRow_OS_146">'Exec Comp'!$38:$38</definedName>
    <definedName name="z_9SC16I0108_MO_BlankRow_OS_147">'Exec Comp'!$42:$42</definedName>
    <definedName name="z_9SC16I0108_MO_BlankRow_OS_148">'Exec Comp'!$46:$46</definedName>
    <definedName name="z_9SC16I0108_MO_BlankRow_OS_149">'Exec Comp'!$50:$50</definedName>
    <definedName name="z_9SC16I0108_MO_BlankRow_OS_15">Model!$265:$265</definedName>
    <definedName name="z_9SC16I0108_MO_BlankRow_OS_150">'Exec Comp'!$54:$54</definedName>
    <definedName name="z_9SC16I0108_MO_BlankRow_OS_151">'Exec Comp'!$58:$58</definedName>
    <definedName name="z_9SC16I0108_MO_BlankRow_OS_152">'Exec Comp'!$62:$62</definedName>
    <definedName name="z_9SC16I0108_MO_BlankRow_OS_153">'Exec Comp'!$68:$68</definedName>
    <definedName name="z_9SC16I0108_MO_BlankRow_OS_154">'Exec Comp'!$76:$76</definedName>
    <definedName name="z_9SC16I0108_MO_BlankRow_OS_155">'Exec Comp'!$80:$80</definedName>
    <definedName name="z_9SC16I0108_MO_BlankRow_OS_156">'Exec Comp'!$84:$84</definedName>
    <definedName name="z_9SC16I0108_MO_BlankRow_OS_157">'Exec Comp'!$88:$88</definedName>
    <definedName name="z_9SC16I0108_MO_BlankRow_OS_158">'Exec Comp'!$92:$92</definedName>
    <definedName name="z_9SC16I0108_MO_BlankRow_OS_159">'Exec Comp'!$96:$96</definedName>
    <definedName name="z_9SC16I0108_MO_BlankRow_OS_16">Model!$261:$261</definedName>
    <definedName name="z_9SC16I0108_MO_BlankRow_OS_160">'Exec Comp'!$100:$100</definedName>
    <definedName name="z_9SC16I0108_MO_BlankRow_OS_161">'Exec Comp'!$106:$106</definedName>
    <definedName name="z_9SC16I0108_MO_BlankRow_OS_162">'Exec Comp'!$114:$114</definedName>
    <definedName name="z_9SC16I0108_MO_BlankRow_OS_163">'Exec Comp'!$118:$118</definedName>
    <definedName name="z_9SC16I0108_MO_BlankRow_OS_164">'Exec Comp'!$122:$122</definedName>
    <definedName name="z_9SC16I0108_MO_BlankRow_OS_165">'Exec Comp'!$126:$126</definedName>
    <definedName name="z_9SC16I0108_MO_BlankRow_OS_166">'Exec Comp'!$130:$130</definedName>
    <definedName name="z_9SC16I0108_MO_BlankRow_OS_167">'Exec Comp'!$134:$134</definedName>
    <definedName name="z_9SC16I0108_MO_BlankRow_OS_168">'Exec Comp'!$138:$138</definedName>
    <definedName name="z_9SC16I0108_MO_BlankRow_OS_169">'Exec Comp'!$144:$144</definedName>
    <definedName name="z_9SC16I0108_MO_BlankRow_OS_17">Model!$263:$263</definedName>
    <definedName name="z_9SC16I0108_MO_BlankRow_OS_170">'Exec Comp'!$152:$152</definedName>
    <definedName name="z_9SC16I0108_MO_BlankRow_OS_171">'Exec Comp'!$155:$155</definedName>
    <definedName name="z_9SC16I0108_MO_BlankRow_OS_172">'Exec Comp'!$157:$157</definedName>
    <definedName name="z_9SC16I0108_MO_BlankRow_OS_173">'Exec Comp'!$163:$163</definedName>
    <definedName name="z_9SC16I0108_MO_BlankRow_OS_174">'Exec Comp'!$166:$166</definedName>
    <definedName name="z_9SC16I0108_MO_BlankRow_OS_175">'Exec Comp'!$203:$203</definedName>
    <definedName name="z_9SC16I0108_MO_BlankRow_OS_176">'Exec Comp'!$208:$208</definedName>
    <definedName name="z_9SC16I0108_MO_BlankRow_OS_177">'Exec Comp'!$212:$212</definedName>
    <definedName name="z_9SC16I0108_MO_BlankRow_OS_178">'Exec Comp'!$215:$215</definedName>
    <definedName name="z_9SC16I0108_MO_BlankRow_OS_179">'Exec Comp'!$218:$218</definedName>
    <definedName name="z_9SC16I0108_MO_BlankRow_OS_18">Model!$289:$289</definedName>
    <definedName name="z_9SC16I0108_MO_BlankRow_OS_180">"Deleted"</definedName>
    <definedName name="z_9SC16I0108_MO_BlankRow_OS_181">'Exec Comp'!$221:$221</definedName>
    <definedName name="z_9SC16I0108_MO_BlankRow_OS_182">'Exec Comp'!$66:$66</definedName>
    <definedName name="z_9SC16I0108_MO_BlankRow_OS_183">'Exec Comp'!$104:$104</definedName>
    <definedName name="z_9SC16I0108_MO_BlankRow_OS_184">'Exec Comp'!$142:$142</definedName>
    <definedName name="z_9SC16I0108_MO_BlankRow_OS_185">Model!$23:$23</definedName>
    <definedName name="z_9SC16I0108_MO_BlankRow_OS_186">"Deleted"</definedName>
    <definedName name="z_9SC16I0108_MO_BlankRow_OS_187">Model!$284:$284</definedName>
    <definedName name="z_9SC16I0108_MO_BlankRow_OS_19">Model!$293:$293</definedName>
    <definedName name="z_9SC16I0108_MO_BlankRow_OS_20">Model!$296:$296</definedName>
    <definedName name="z_9SC16I0108_MO_BlankRow_OS_21">Model!$303:$303</definedName>
    <definedName name="z_9SC16I0108_MO_BlankRow_OS_22">Model!$305:$305</definedName>
    <definedName name="z_9SC16I0108_MO_BlankRow_OS_23">Model!$310:$310</definedName>
    <definedName name="z_9SC16I0108_MO_BlankRow_OS_24">Model!$312:$312</definedName>
    <definedName name="z_9SC16I0108_MO_BlankRow_OS_26">Model!$715:$715</definedName>
    <definedName name="z_9SC16I0108_MO_BlankRow_OS_27">Model!$527:$527</definedName>
    <definedName name="z_9SC16I0108_MO_BlankRow_OS_28">Model!$541:$541</definedName>
    <definedName name="z_9SC16I0108_MO_BlankRow_OS_3">Model!$217:$217</definedName>
    <definedName name="z_9SC16I0108_MO_BlankRow_OS_30">Model!$548:$548</definedName>
    <definedName name="z_9SC16I0108_MO_BlankRow_OS_31">Model!$569:$569</definedName>
    <definedName name="z_9SC16I0108_MO_BlankRow_OS_32">Model!$591:$591</definedName>
    <definedName name="z_9SC16I0108_MO_BlankRow_OS_36">Model!$595:$595</definedName>
    <definedName name="z_9SC16I0108_MO_BlankRow_OS_38">Model!$697:$697</definedName>
    <definedName name="z_9SC16I0108_MO_BlankRow_OS_40">Model!$224:$224</definedName>
    <definedName name="z_9SC16I0108_MO_BlankRow_OS_41">Model!$230:$230</definedName>
    <definedName name="z_9SC16I0108_MO_BlankRow_OS_42">Model!$234:$234</definedName>
    <definedName name="z_9SC16I0108_MO_BlankRow_OS_43">Model!$555:$555</definedName>
    <definedName name="z_9SC16I0108_MO_BlankRow_OS_44">Model!$560:$560</definedName>
    <definedName name="z_9SC16I0108_MO_BlankRow_OS_45">Model!$565:$565</definedName>
    <definedName name="z_9SC16I0108_MO_BlankRow_OS_46">Model!$572:$572</definedName>
    <definedName name="z_9SC16I0108_MO_BlankRow_OS_47">Model!$576:$576</definedName>
    <definedName name="z_9SC16I0108_MO_BlankRow_OS_48">Model!$593:$593</definedName>
    <definedName name="z_9SC16I0108_MO_BlankRow_OS_49">Model!$598:$598</definedName>
    <definedName name="z_9SC16I0108_MO_BlankRow_OS_50">Model!$606:$606</definedName>
    <definedName name="z_9SC16I0108_MO_BlankRow_OS_51">Model!$611:$611</definedName>
    <definedName name="z_9SC16I0108_MO_BlankRow_OS_52">Model!$615:$615</definedName>
    <definedName name="z_9SC16I0108_MO_BlankRow_OS_53">Model!$623:$623</definedName>
    <definedName name="z_9SC16I0108_MO_BlankRow_OS_54">Model!$628:$628</definedName>
    <definedName name="z_9SC16I0108_MO_BlankRow_OS_55">Model!$632:$632</definedName>
    <definedName name="z_9SC16I0108_MO_BlankRow_OS_56">Model!$640:$640</definedName>
    <definedName name="z_9SC16I0108_MO_BlankRow_OS_57">Model!$645:$645</definedName>
    <definedName name="z_9SC16I0108_MO_BlankRow_OS_58">Model!$649:$649</definedName>
    <definedName name="z_9SC16I0108_MO_BlankRow_OS_59">Model!$657:$657</definedName>
    <definedName name="z_9SC16I0108_MO_BlankRow_OS_6">Model!$255:$255</definedName>
    <definedName name="z_9SC16I0108_MO_BlankRow_OS_60">Model!$662:$662</definedName>
    <definedName name="z_9SC16I0108_MO_BlankRow_OS_61">Model!$666:$666</definedName>
    <definedName name="z_9SC16I0108_MO_BlankRow_OS_62">Model!$674:$674</definedName>
    <definedName name="z_9SC16I0108_MO_BlankRow_OS_63">Model!$679:$679</definedName>
    <definedName name="z_9SC16I0108_MO_BlankRow_OS_64">Model!$683:$683</definedName>
    <definedName name="z_9SC16I0108_MO_BlankRow_OS_65">Model!$690:$690</definedName>
    <definedName name="z_9SC16I0108_MO_BlankRow_OS_66">Model!$693:$693</definedName>
    <definedName name="z_9SC16I0108_MO_BlankRow_OS_67">Model!$695:$695</definedName>
    <definedName name="z_9SC16I0108_MO_BlankRow_OS_68">Model!$699:$699</definedName>
    <definedName name="z_9SC16I0108_MO_BlankRow_OS_69">Model!$712:$712</definedName>
    <definedName name="z_9SC16I0108_MO_BlankRow_OS_7">"Deleted"</definedName>
    <definedName name="z_9SC16I0108_MO_BlankRow_OS_70">"Deleted"</definedName>
    <definedName name="z_9SC16I0108_MO_BlankRow_OS_71">"Deleted"</definedName>
    <definedName name="z_9SC16I0108_MO_BlankRow_OS_74">"Deleted"</definedName>
    <definedName name="z_9SC16I0108_MO_BlankRow_OS_75">Model!$50:$50</definedName>
    <definedName name="z_9SC16I0108_MO_BlankRow_OS_76">Model!$55:$55</definedName>
    <definedName name="z_9SC16I0108_MO_BlankRow_OS_77">Model!$63:$63</definedName>
    <definedName name="z_9SC16I0108_MO_BlankRow_OS_78">Model!$68:$68</definedName>
    <definedName name="z_9SC16I0108_MO_BlankRow_OS_79">Model!$76:$76</definedName>
    <definedName name="z_9SC16I0108_MO_BlankRow_OS_8">Model!$1202:$1202</definedName>
    <definedName name="z_9SC16I0108_MO_BlankRow_OS_80">Model!$81:$81</definedName>
    <definedName name="z_9SC16I0108_MO_BlankRow_OS_81">Model!$89:$89</definedName>
    <definedName name="z_9SC16I0108_MO_BlankRow_OS_82">Model!$92:$92</definedName>
    <definedName name="z_9SC16I0108_MO_BlankRow_OS_83">Model!$97:$97</definedName>
    <definedName name="z_9SC16I0108_MO_BlankRow_OS_84">Model!$105:$105</definedName>
    <definedName name="z_9SC16I0108_MO_BlankRow_OS_87">"Deleted"</definedName>
    <definedName name="z_9SC16I0108_MO_BlankRow_OS_88">"Deleted"</definedName>
    <definedName name="z_9SC16I0108_MO_BlankRow_OS_89">Model!$190:$190</definedName>
    <definedName name="z_9SC16I0108_MO_BlankRow_OS_9">Model!$115:$115</definedName>
    <definedName name="z_9SC16I0108_MO_BlankRow_OS_90">Model!$199:$199</definedName>
    <definedName name="z_9SC16I0108_MO_BlankRow_OS_91">Model!$209:$209</definedName>
    <definedName name="z_9SC16I0108_MO_BlankRow_OS_93">"Deleted"</definedName>
    <definedName name="z_9SC16I0108_MO_BlankRow_OS_94">Model!$40:$40</definedName>
    <definedName name="z_9SC16I0108_MO_BlankRow_OS_97">Model!$245:$245</definedName>
    <definedName name="z_9SC16I0108_MO_BlankRow_OS_98">Model!$171:$171</definedName>
    <definedName name="z_9SC16I0108_MO_BlankRow_OS_99">Model!$1197:$1197</definedName>
    <definedName name="z_9SC16I0108_MO_BlankRow_RIS">Model!$457:$457</definedName>
    <definedName name="z_9SC16I0108_MO_BlankRow_RIS_1">Model!$463:$463</definedName>
    <definedName name="z_9SC16I0108_MO_BlankRow_RIS_2">Model!$481:$481</definedName>
    <definedName name="z_9SC16I0108_MO_BlankRow_RIS_3">Model!$485:$485</definedName>
    <definedName name="z_9SC16I0108_MO_BlankRow_RIS_4">"Deleted"</definedName>
    <definedName name="z_9SC16I0108_MO_BlankRow_RIS_5">Model!$508:$508</definedName>
    <definedName name="z_9SC16I0108_MO_BlankRow_RIS_6">Model!$513:$513</definedName>
    <definedName name="z_9SC16I0108_MO_BlankRow_RIS_7">Model!$519:$519</definedName>
    <definedName name="z_9SC16I0108_MO_BlankRow_RIS_8">Model!$523:$523</definedName>
    <definedName name="z_9SC16I0108_MO_BlankRow_SNA">Model!$1282:$1282</definedName>
    <definedName name="z_9SC16I0108_MO_BlankRow_SNA_1">Model!$1284:$1284</definedName>
    <definedName name="z_9SC16I0108_MO_BlankRow_SNA_10">Model!$1407:$1407</definedName>
    <definedName name="z_9SC16I0108_MO_BlankRow_SNA_11">Model!$1414:$1414</definedName>
    <definedName name="z_9SC16I0108_MO_BlankRow_SNA_12">Model!$1419:$1419</definedName>
    <definedName name="z_9SC16I0108_MO_BlankRow_SNA_13">Model!$1437:$1437</definedName>
    <definedName name="z_9SC16I0108_MO_BlankRow_SNA_14">Model!$1418:$1418</definedName>
    <definedName name="z_9SC16I0108_MO_BlankRow_SNA_15">Model!$1329:$1329</definedName>
    <definedName name="z_9SC16I0108_MO_BlankRow_SNA_16">Model!$1330:$1330</definedName>
    <definedName name="z_9SC16I0108_MO_BlankRow_SNA_17">Model!$1349:$1349</definedName>
    <definedName name="z_9SC16I0108_MO_BlankRow_SNA_18">Model!$1350:$1350</definedName>
    <definedName name="z_9SC16I0108_MO_BlankRow_SNA_19">Model!$1370:$1370</definedName>
    <definedName name="z_9SC16I0108_MO_BlankRow_SNA_2">Model!$1291:$1291</definedName>
    <definedName name="z_9SC16I0108_MO_BlankRow_SNA_20">Model!$1371:$1371</definedName>
    <definedName name="z_9SC16I0108_MO_BlankRow_SNA_3">Model!$1297:$1297</definedName>
    <definedName name="z_9SC16I0108_MO_BlankRow_SNA_4">Model!$1305:$1305</definedName>
    <definedName name="z_9SC16I0108_MO_BlankRow_SNA_5">Model!$1306:$1306</definedName>
    <definedName name="z_9SC16I0108_MO_BlankRow_SNA_6">Model!$1382:$1382</definedName>
    <definedName name="z_9SC16I0108_MO_BlankRow_SNA_7">Model!$1383:$1383</definedName>
    <definedName name="z_9SC16I0108_MO_BlankRow_SNA_8">Model!$1393:$1393</definedName>
    <definedName name="z_9SC16I0108_MO_BlankRow_SNA_9">Model!$1400:$1400</definedName>
    <definedName name="z_9SC16I0108_MO_BS_2015notesembeddedconversionderivative">Model!$1226:$1226</definedName>
    <definedName name="z_9SC16I0108_MO_BS_2015notesembeddedconversionderivative_1">Model!$1238:$1238</definedName>
    <definedName name="z_9SC16I0108_MO_BS_2015noteshedges">Model!$1209:$1209</definedName>
    <definedName name="z_9SC16I0108_MO_BS_2015noteshedges_1">Model!$1218:$1218</definedName>
    <definedName name="z_9SC16I0108_MO_BS_Accountspayableandaccruedliabilities">Model!$1230:$1230</definedName>
    <definedName name="z_9SC16I0108_MO_BS_accumulateddeficit">Model!$1248:$1248</definedName>
    <definedName name="z_9SC16I0108_MO_BS_Accumulatedothercomprehensiveloss">Model!$1249:$1249</definedName>
    <definedName name="z_9SC16I0108_MO_BS_Acquiredintangibles">Model!$1216:$1216</definedName>
    <definedName name="z_9SC16I0108_MO_BS_BSCheck">Model!$1254:$1254</definedName>
    <definedName name="z_9SC16I0108_MO_BS_cashandcashequivalents">Model!$1205:$1205</definedName>
    <definedName name="z_9SC16I0108_MO_BS_Commonstockandcapitalinexcessofparvalue">Model!$1246:$1246</definedName>
    <definedName name="z_9SC16I0108_MO_BS_convertiblenotes">Model!$1225:$1225</definedName>
    <definedName name="z_9SC16I0108_MO_BS_Convertiblenotes_1">Model!$1237:$1237</definedName>
    <definedName name="z_9SC16I0108_MO_BS_CurrentAssets">Model!$1204:$1204</definedName>
    <definedName name="z_9SC16I0108_MO_BS_CurrentLiabilities">Model!$1224:$1224</definedName>
    <definedName name="z_9SC16I0108_MO_BS_currentportionofdeferredrevenue">Model!$1231:$1231</definedName>
    <definedName name="z_9SC16I0108_MO_BS_Currentportionoflongtermdebt">Model!$1229:$1229</definedName>
    <definedName name="z_9SC16I0108_MO_BS_deferredtaxes">Model!$1227:$1227</definedName>
    <definedName name="z_9SC16I0108_MO_BS_Deferredtaxes_1">Model!$1219:$1219</definedName>
    <definedName name="z_9SC16I0108_MO_BS_Goodwill">Model!$1215:$1215</definedName>
    <definedName name="z_9SC16I0108_MO_BS_Inventories">Model!$1208:$1208</definedName>
    <definedName name="z_9SC16I0108_MO_BS_Longtermdebt">Model!$1236:$1236</definedName>
    <definedName name="z_9SC16I0108_MO_BS_longtermportionofdeferredrevenue">Model!$1235:$1235</definedName>
    <definedName name="z_9SC16I0108_MO_BS_longtermreceivables">Model!$1217:$1217</definedName>
    <definedName name="z_9SC16I0108_MO_BS_NCI">Model!$1251:$1251</definedName>
    <definedName name="z_9SC16I0108_MO_BS_NetIncomeonReportedISNIonRevised">Model!$1258:$1258</definedName>
    <definedName name="z_9SC16I0108_MO_BS_NetIncomeonRevisedISNIonCFstatement">Model!$1257:$1257</definedName>
    <definedName name="z_9SC16I0108_MO_BS_NonCurrentAssets">Model!$1213:$1213</definedName>
    <definedName name="z_9SC16I0108_MO_BS_NonCurrentLiabilities">Model!$1234:$1234</definedName>
    <definedName name="z_9SC16I0108_MO_BS_Operatingleaseliabilities">Model!$1239:$1239</definedName>
    <definedName name="z_9SC16I0108_MO_BS_Otherassets">Model!$1220:$1220</definedName>
    <definedName name="z_9SC16I0108_MO_BS_Otherlongtermliabilities">Model!$1240:$1240</definedName>
    <definedName name="z_9SC16I0108_MO_BS_preferredstock">Model!$1245:$1245</definedName>
    <definedName name="z_9SC16I0108_MO_BS_Prepaidexpensesandother">Model!$1210:$1210</definedName>
    <definedName name="z_9SC16I0108_MO_BS_Property">Model!$1214:$1214</definedName>
    <definedName name="z_9SC16I0108_MO_BS_Receivables">Model!$1207:$1207</definedName>
    <definedName name="z_9SC16I0108_MO_BS_revolvingcreditfacility">Model!$1228:$1228</definedName>
    <definedName name="z_9SC16I0108_MO_BS_ShareholdersEquity">Model!$1244:$1244</definedName>
    <definedName name="z_9SC16I0108_MO_BS_shortterminvestments">Model!$1206:$1206</definedName>
    <definedName name="z_9SC16I0108_MO_BS_TotalAssets">Model!$1222:$1222</definedName>
    <definedName name="z_9SC16I0108_MO_BS_TotalCurrentAssets">Model!$1211:$1211</definedName>
    <definedName name="z_9SC16I0108_MO_BS_TotalCurrentLiabilities">Model!$1232:$1232</definedName>
    <definedName name="z_9SC16I0108_MO_BS_TotalLiabilities">Model!$1242:$1242</definedName>
    <definedName name="z_9SC16I0108_MO_BS_TotalLiabilitiesSE">Model!$1252:$1252</definedName>
    <definedName name="z_9SC16I0108_MO_BS_TotalNonCurrentAssets">Model!$1221:$1221</definedName>
    <definedName name="z_9SC16I0108_MO_BS_TotalNonCurrentliabilities">Model!$1241:$1241</definedName>
    <definedName name="z_9SC16I0108_MO_BS_TotalSE">Model!$1250:$1250</definedName>
    <definedName name="z_9SC16I0108_MO_BS_treasurystock">Model!$1247:$1247</definedName>
    <definedName name="z_9SC16I0108_MO_BSS_Cash">Model!$962:$962</definedName>
    <definedName name="z_9SC16I0108_MO_BSS_Debt">Model!$965:$965</definedName>
    <definedName name="z_9SC16I0108_MO_BSS_DebtCashFlow">Model!$978:$978</definedName>
    <definedName name="z_9SC16I0108_MO_BSS_DebtEBITDA">Model!$977:$977</definedName>
    <definedName name="z_9SC16I0108_MO_BSS_EBITDANetInterestExpense">Model!$976:$976</definedName>
    <definedName name="z_9SC16I0108_MO_BSS_EffectiveInterestRateonCash">Model!$972:$972</definedName>
    <definedName name="z_9SC16I0108_MO_BSS_EffectiveInterestRateonDebt">Model!$970:$970</definedName>
    <definedName name="z_9SC16I0108_MO_BSS_EffectiveNetInterestRateonDebt">Model!$974:$974</definedName>
    <definedName name="z_9SC16I0108_MO_BSS_InterestExpense">Model!$969:$969</definedName>
    <definedName name="z_9SC16I0108_MO_BSS_InterestIncome">Model!$971:$971</definedName>
    <definedName name="z_9SC16I0108_MO_BSS_LTDebt">Model!$964:$964</definedName>
    <definedName name="z_9SC16I0108_MO_BSS_NetDebt">Model!$967:$967</definedName>
    <definedName name="z_9SC16I0108_MO_BSS_NetInterestExpenseIncome">Model!$973:$973</definedName>
    <definedName name="z_9SC16I0108_MO_BSS_OperatingLeaseLiabilities">Model!$966:$966</definedName>
    <definedName name="z_9SC16I0108_MO_BSS_STDebt">Model!$963:$963</definedName>
    <definedName name="z_9SC16I0108_MO_CCFS_accountspayableandaccruedliabilities">Model!$1029:$1029</definedName>
    <definedName name="z_9SC16I0108_MO_CCFS_Amortizationofdebtdiscountandfees">Model!$1008:$1008</definedName>
    <definedName name="z_9SC16I0108_MO_CCFS_BeginningCashBalance">Model!$1076:$1076</definedName>
    <definedName name="z_9SC16I0108_MO_CCFS_Cashpaidforinterest">Model!$1079:$1079</definedName>
    <definedName name="z_9SC16I0108_MO_CCFS_Cashpaidfortaxes">Model!$1080:$1080</definedName>
    <definedName name="z_9SC16I0108_MO_CCFS_Cashpaidinbusinesscombinationsandassetacquisitions">Model!$1048:$1048</definedName>
    <definedName name="z_9SC16I0108_MO_CCFS_CFF">Model!$1051:$1051</definedName>
    <definedName name="z_9SC16I0108_MO_CCFS_CFI">Model!$1034:$1034</definedName>
    <definedName name="z_9SC16I0108_MO_CCFS_CFO">Model!$1005:$1005</definedName>
    <definedName name="z_9SC16I0108_MO_CCFS_CFObeforeWC">Model!$1023:$1023</definedName>
    <definedName name="z_9SC16I0108_MO_CCFS_Changeinbookoverdraft">Model!$1069:$1069</definedName>
    <definedName name="z_9SC16I0108_MO_CCFS_deferredincometaxes">Model!$1018:$1018</definedName>
    <definedName name="z_9SC16I0108_MO_CCFS_deferredrevenue">Model!$1030:$1030</definedName>
    <definedName name="z_9SC16I0108_MO_CCFS_depreciationandamortization">Model!$1007:$1007</definedName>
    <definedName name="z_9SC16I0108_MO_CCFS_Dividendspaidtocommonshareholders">Model!$1070:$1070</definedName>
    <definedName name="z_9SC16I0108_MO_CCFS_EndingCashBalance">Model!$1077:$1077</definedName>
    <definedName name="z_9SC16I0108_MO_CCFS_excesstaxbenefitsfromstockbasedcompensation">Model!$1065:$1065</definedName>
    <definedName name="z_9SC16I0108_MO_CCFS_FX">Model!$1073:$1073</definedName>
    <definedName name="z_9SC16I0108_MO_CCFS_gainoninvestments">Model!$1012:$1012</definedName>
    <definedName name="z_9SC16I0108_MO_CCFS_gainonsaleofproperty">Model!$1013:$1013</definedName>
    <definedName name="z_9SC16I0108_MO_CCFS_impairmentofproperty">Model!$1017:$1017</definedName>
    <definedName name="z_9SC16I0108_MO_CCFS_installmentcontractreceivables">Model!$1025:$1025</definedName>
    <definedName name="z_9SC16I0108_MO_CCFS_inventories">Model!$1026:$1026</definedName>
    <definedName name="z_9SC16I0108_MO_CCFS_Investmentinventurecapitalpartnershipsandequityinvestments">Model!$1047:$1047</definedName>
    <definedName name="z_9SC16I0108_MO_CCFS_Lossfromequitymethodinvestments">Model!$1011:$1011</definedName>
    <definedName name="z_9SC16I0108_MO_CCFS_Lossonextinguishmentofdebt">Model!$1009:$1009</definedName>
    <definedName name="z_9SC16I0108_MO_CCFS_NetCFF">Model!$1071:$1071</definedName>
    <definedName name="z_9SC16I0108_MO_CCFS_NetCFI">Model!$1049:$1049</definedName>
    <definedName name="z_9SC16I0108_MO_CCFS_NetCFO">Model!$1032:$1032</definedName>
    <definedName name="z_9SC16I0108_MO_CCFS_NetChangeinCashBalance">Model!$1074:$1074</definedName>
    <definedName name="z_9SC16I0108_MO_CCFS_netincome">Model!$1006:$1006</definedName>
    <definedName name="z_9SC16I0108_MO_CCFS_Noncashrestructuringandothercharges">Model!$1015:$1015</definedName>
    <definedName name="z_9SC16I0108_MO_CCFS_Otherassets">Model!$1028:$1028</definedName>
    <definedName name="z_9SC16I0108_MO_CCFS_Otherlongtermliabilities">Model!$1031:$1031</definedName>
    <definedName name="z_9SC16I0108_MO_CCFS_Othernoncashitems">Model!$1022:$1022</definedName>
    <definedName name="z_9SC16I0108_MO_CCFS_Paymentofacquisitionrelatedcontingentconsideration">Model!$1064:$1064</definedName>
    <definedName name="z_9SC16I0108_MO_CCFS_paymentofconvertiblenotes">Model!$1056:$1056</definedName>
    <definedName name="z_9SC16I0108_MO_CCFS_paymentofconvertiblenotesembeddedconversionderivativeliability">Model!$1057:$1057</definedName>
    <definedName name="z_9SC16I0108_MO_CCFS_Paymentofdebtissuancecosts">Model!$1060:$1060</definedName>
    <definedName name="z_9SC16I0108_MO_CCFS_paymentonrevolvingcreditfacility">Model!$1055:$1055</definedName>
    <definedName name="z_9SC16I0108_MO_CCFS_paymentsforrepurchasesofcommonstock">Model!$1068:$1068</definedName>
    <definedName name="z_9SC16I0108_MO_CCFS_Prepaidexpensesandother">Model!$1027:$1027</definedName>
    <definedName name="z_9SC16I0108_MO_CCFS_principalpaymentsonreceivablefinancing">Model!$1059:$1059</definedName>
    <definedName name="z_9SC16I0108_MO_CCFS_Principalpaymentsontermloan">Model!$1053:$1053</definedName>
    <definedName name="z_9SC16I0108_MO_CCFS_proceedsfromconvertiblenoteshedges">Model!$1058:$1058</definedName>
    <definedName name="z_9SC16I0108_MO_CCFS_proceedsfromissuanceofcommonstock">Model!$1066:$1066</definedName>
    <definedName name="z_9SC16I0108_MO_CCFS_proceedsfromrevolvingcreditfacility">Model!$1054:$1054</definedName>
    <definedName name="z_9SC16I0108_MO_CCFS_proceedsfromsaleof2015warrants">Model!$1063:$1063</definedName>
    <definedName name="z_9SC16I0108_MO_CCFS_proceedsfromterminationof2011and2013noteshedges">Model!$1062:$1062</definedName>
    <definedName name="z_9SC16I0108_MO_CCFS_proceedsfromtermloans">Model!$1052:$1052</definedName>
    <definedName name="z_9SC16I0108_MO_CCFS_proceedsfromthematurityofavailableforsalesecurities">Model!$1037:$1037</definedName>
    <definedName name="z_9SC16I0108_MO_CCFS_proceedsfromthesaleofavailableforsalesecurities">Model!$1036:$1036</definedName>
    <definedName name="z_9SC16I0108_MO_CCFS_ProceedsfromthesaleofIPandotherassets">Model!$1043:$1043</definedName>
    <definedName name="z_9SC16I0108_MO_CCFS_proceedsfromthesaleoflongterminvestments">Model!$1039:$1039</definedName>
    <definedName name="z_9SC16I0108_MO_CCFS_Proceedsfromthesaleofnonmarketableinvestments">Model!$1042:$1042</definedName>
    <definedName name="z_9SC16I0108_MO_CCFS_proceedsfromthesaleofproperty">Model!$1040:$1040</definedName>
    <definedName name="z_9SC16I0108_MO_CCFS_proceedsfromthesaleofreceivables">Model!$1019:$1019</definedName>
    <definedName name="z_9SC16I0108_MO_CCFS_proceedsfromthesaleofshortterminvestments">Model!$1038:$1038</definedName>
    <definedName name="z_9SC16I0108_MO_CCFS_provisionsrecoveriesforlossesgainsonreceivables">Model!$1020:$1020</definedName>
    <definedName name="z_9SC16I0108_MO_CCFS_purchaseof2015noteshedges">Model!$1061:$1061</definedName>
    <definedName name="z_9SC16I0108_MO_CCFS_purchasesofavailableforsalesecurities">Model!$1035:$1035</definedName>
    <definedName name="z_9SC16I0108_MO_CCFS_Purchasesofintangibleassets">Model!$1045:$1045</definedName>
    <definedName name="z_9SC16I0108_MO_CCFS_Purchasesofnonmarketableinvestments">Model!$1041:$1041</definedName>
    <definedName name="z_9SC16I0108_MO_CCFS_purchasesofproperty">Model!$1044:$1044</definedName>
    <definedName name="z_9SC16I0108_MO_CCFS_purchasesofsoftwarelicenses">Model!$1046:$1046</definedName>
    <definedName name="z_9SC16I0108_MO_CCFS_receivables">Model!$1024:$1024</definedName>
    <definedName name="z_9SC16I0108_MO_CCFS_ROUassetamortizationandchangeinoperatingleaseliabilities">Model!$1021:$1021</definedName>
    <definedName name="z_9SC16I0108_MO_CCFS_stockbasedcompensation">Model!$1010:$1010</definedName>
    <definedName name="z_9SC16I0108_MO_CCFS_stockreceivedforpaymentofemployeetaxesonvestingofrestrictedstock">Model!$1067:$1067</definedName>
    <definedName name="z_9SC16I0108_MO_CCFS_taximpactofconvertiblenotesinterest">Model!$1016:$1016</definedName>
    <definedName name="z_9SC16I0108_MO_CCFS_writedownofinvestmentsecurities">Model!$1014:$1014</definedName>
    <definedName name="z_9SC16I0108_MO_CFS_accountspayableandaccruedliabilities">Model!$1107:$1107</definedName>
    <definedName name="z_9SC16I0108_MO_CFS_Amortizationofdebtdiscountandfees">Model!$1086:$1086</definedName>
    <definedName name="z_9SC16I0108_MO_CFS_BeginningCashBalance">Model!$1154:$1154</definedName>
    <definedName name="z_9SC16I0108_MO_CFS_Cashpaidforinterest">Model!$1157:$1157</definedName>
    <definedName name="z_9SC16I0108_MO_CFS_Cashpaidfortaxes">Model!$1158:$1158</definedName>
    <definedName name="z_9SC16I0108_MO_CFS_Cashpaidinbusinesscombinationsandassetacquisitions">Model!$1126:$1126</definedName>
    <definedName name="z_9SC16I0108_MO_CFS_CFCheck">Model!$1160:$1160</definedName>
    <definedName name="z_9SC16I0108_MO_CFS_CFF">Model!$1129:$1129</definedName>
    <definedName name="z_9SC16I0108_MO_CFS_CFI">Model!$1112:$1112</definedName>
    <definedName name="z_9SC16I0108_MO_CFS_CFO">Model!$1083:$1083</definedName>
    <definedName name="z_9SC16I0108_MO_CFS_CFObeforeWC">Model!$1101:$1101</definedName>
    <definedName name="z_9SC16I0108_MO_CFS_Changeinbookoverdraft">Model!$1147:$1147</definedName>
    <definedName name="z_9SC16I0108_MO_CFS_deferredincometaxes">Model!$1096:$1096</definedName>
    <definedName name="z_9SC16I0108_MO_CFS_deferredrevenue">Model!$1108:$1108</definedName>
    <definedName name="z_9SC16I0108_MO_CFS_depreciationandamortization">Model!$1085:$1085</definedName>
    <definedName name="z_9SC16I0108_MO_CFS_Dividendspaidtocommonshareholders">Model!$1148:$1148</definedName>
    <definedName name="z_9SC16I0108_MO_CFS_EndingCashBalance">Model!$1155:$1155</definedName>
    <definedName name="z_9SC16I0108_MO_CFS_excesstaxbenefitsfromstockbasedcompensation">Model!$1143:$1143</definedName>
    <definedName name="z_9SC16I0108_MO_CFS_FX">Model!$1151:$1151</definedName>
    <definedName name="z_9SC16I0108_MO_CFS_gainoninvestments">Model!$1090:$1090</definedName>
    <definedName name="z_9SC16I0108_MO_CFS_gainonsaleofproperty">Model!$1091:$1091</definedName>
    <definedName name="z_9SC16I0108_MO_CFS_impairmentofproperty">Model!$1095:$1095</definedName>
    <definedName name="z_9SC16I0108_MO_CFS_installmentcontractreceivables">Model!$1103:$1103</definedName>
    <definedName name="z_9SC16I0108_MO_CFS_inventories">Model!$1104:$1104</definedName>
    <definedName name="z_9SC16I0108_MO_CFS_Investmentinventurecapitalpartnershipsandequityinvestments">Model!$1125:$1125</definedName>
    <definedName name="z_9SC16I0108_MO_CFS_Lossfromequitymethodinvestments">Model!$1089:$1089</definedName>
    <definedName name="z_9SC16I0108_MO_CFS_Lossonextinguishmentofdebt">Model!$1087:$1087</definedName>
    <definedName name="z_9SC16I0108_MO_CFS_NetCFF">Model!$1149:$1149</definedName>
    <definedName name="z_9SC16I0108_MO_CFS_NetCFI">Model!$1127:$1127</definedName>
    <definedName name="z_9SC16I0108_MO_CFS_NetCFO">Model!$1110:$1110</definedName>
    <definedName name="z_9SC16I0108_MO_CFS_NetChangeinCashBalance">Model!$1152:$1152</definedName>
    <definedName name="z_9SC16I0108_MO_CFS_netincome">Model!$1084:$1084</definedName>
    <definedName name="z_9SC16I0108_MO_CFS_Noncashrestructuringandothercharges">Model!$1093:$1093</definedName>
    <definedName name="z_9SC16I0108_MO_CFS_Otherassets">Model!$1106:$1106</definedName>
    <definedName name="z_9SC16I0108_MO_CFS_Otherlongtermliabilities">Model!$1109:$1109</definedName>
    <definedName name="z_9SC16I0108_MO_CFS_Othernoncashitems">Model!$1100:$1100</definedName>
    <definedName name="z_9SC16I0108_MO_CFS_Paymentofacquisitionrelatedcontingentconsideration">Model!$1142:$1142</definedName>
    <definedName name="z_9SC16I0108_MO_CFS_paymentofconvertiblenotes">Model!$1134:$1134</definedName>
    <definedName name="z_9SC16I0108_MO_CFS_paymentofconvertiblenotesembeddedconversionderivativeliability">Model!$1135:$1135</definedName>
    <definedName name="z_9SC16I0108_MO_CFS_Paymentofdebtissuancecosts">Model!$1138:$1138</definedName>
    <definedName name="z_9SC16I0108_MO_CFS_paymentonrevolvingcreditfacility">Model!$1133:$1133</definedName>
    <definedName name="z_9SC16I0108_MO_CFS_Paymentsforrepurchasesofcommonstock">Model!$1146:$1146</definedName>
    <definedName name="z_9SC16I0108_MO_CFS_Prepaidexpensesandother">Model!$1105:$1105</definedName>
    <definedName name="z_9SC16I0108_MO_CFS_principalpaymentsonreceivablefinancing">Model!$1137:$1137</definedName>
    <definedName name="z_9SC16I0108_MO_CFS_Principalpaymentsontermloan">Model!$1131:$1131</definedName>
    <definedName name="z_9SC16I0108_MO_CFS_proceedsfromconvertiblenoteshedges">Model!$1136:$1136</definedName>
    <definedName name="z_9SC16I0108_MO_CFS_proceedsfromissuanceofcommonstock">Model!$1144:$1144</definedName>
    <definedName name="z_9SC16I0108_MO_CFS_proceedsfromrevolvingcreditfacility">Model!$1132:$1132</definedName>
    <definedName name="z_9SC16I0108_MO_CFS_proceedsfromsaleof2015warrants">Model!$1141:$1141</definedName>
    <definedName name="z_9SC16I0108_MO_CFS_proceedsfromterminationof2011and2013noteshedges">Model!$1140:$1140</definedName>
    <definedName name="z_9SC16I0108_MO_CFS_proceedsfromtermloans">Model!$1130:$1130</definedName>
    <definedName name="z_9SC16I0108_MO_CFS_proceedsfromthematurityofavailableforsalesecurities">Model!$1115:$1115</definedName>
    <definedName name="z_9SC16I0108_MO_CFS_proceedsfromthesaleofavailableforsalesecurities">Model!$1114:$1114</definedName>
    <definedName name="z_9SC16I0108_MO_CFS_ProceedsfromthesaleofIPandotherassets">Model!$1121:$1121</definedName>
    <definedName name="z_9SC16I0108_MO_CFS_proceedsfromthesaleoflongterminvestments">Model!$1117:$1117</definedName>
    <definedName name="z_9SC16I0108_MO_CFS_Proceedsfromthesaleofnonmarketableinvestments">Model!$1120:$1120</definedName>
    <definedName name="z_9SC16I0108_MO_CFS_proceedsfromthesaleofproperty">Model!$1118:$1118</definedName>
    <definedName name="z_9SC16I0108_MO_CFS_proceedsfromthesaleofreceivables">Model!$1097:$1097</definedName>
    <definedName name="z_9SC16I0108_MO_CFS_proceedsfromthesaleofshortterminvestments">Model!$1116:$1116</definedName>
    <definedName name="z_9SC16I0108_MO_CFS_provisionsrecoveriesforlossesgainsonreceivables">Model!$1098:$1098</definedName>
    <definedName name="z_9SC16I0108_MO_CFS_purchaseof2015noteshedges">Model!$1139:$1139</definedName>
    <definedName name="z_9SC16I0108_MO_CFS_purchasesofavailableforsalesecurities">Model!$1113:$1113</definedName>
    <definedName name="z_9SC16I0108_MO_CFS_Purchasesofintangibleassets">Model!$1123:$1123</definedName>
    <definedName name="z_9SC16I0108_MO_CFS_Purchasesofnonmarketableinvestments">Model!$1119:$1119</definedName>
    <definedName name="z_9SC16I0108_MO_CFS_purchasesofproperty">Model!$1122:$1122</definedName>
    <definedName name="z_9SC16I0108_MO_CFS_purchasesofsoftwarelicenses">Model!$1124:$1124</definedName>
    <definedName name="z_9SC16I0108_MO_CFS_receivables">Model!$1102:$1102</definedName>
    <definedName name="z_9SC16I0108_MO_CFS_ROUassetamortizationandchangeinoperatingleaseliabilities">Model!$1099:$1099</definedName>
    <definedName name="z_9SC16I0108_MO_CFS_stockbasedcompensation">Model!$1088:$1088</definedName>
    <definedName name="z_9SC16I0108_MO_CFS_stockreceivedforpaymentofemployeetaxesonvestingofrestrictedstock">Model!$1145:$1145</definedName>
    <definedName name="z_9SC16I0108_MO_CFS_taximpactofconvertiblenotesinterest">Model!$1094:$1094</definedName>
    <definedName name="z_9SC16I0108_MO_CFS_writedownofinvestmentsecurities">Model!$1092:$1092</definedName>
    <definedName name="z_9SC16I0108_MO_CFSum_Acquisitions">Model!$941:$941</definedName>
    <definedName name="z_9SC16I0108_MO_CFSum_Capex">Model!$938:$938</definedName>
    <definedName name="z_9SC16I0108_MO_CFSum_CashFlowPerDilutedShare">Model!$935:$935</definedName>
    <definedName name="z_9SC16I0108_MO_CFSum_CashFlowPerDilutedShare_1">Model!$936:$936</definedName>
    <definedName name="z_9SC16I0108_MO_CFSum_ChangeinWorkingCapital">Model!$933:$933</definedName>
    <definedName name="z_9SC16I0108_MO_CFSum_ConsensusEstimatesCapex">Model!$939:$939</definedName>
    <definedName name="z_9SC16I0108_MO_CFSum_consensusestimatescashflowperdilutedshare">Model!$937:$937</definedName>
    <definedName name="z_9SC16I0108_MO_CFSum_ConvertibleNotesIssuanceRepayment">Model!$946:$946</definedName>
    <definedName name="z_9SC16I0108_MO_CFSum_Divestiture">Model!$942:$942</definedName>
    <definedName name="z_9SC16I0108_MO_CFSum_DividendPaid">Model!$943:$943</definedName>
    <definedName name="z_9SC16I0108_MO_CFSum_DividendPerShare">Model!$944:$944</definedName>
    <definedName name="z_9SC16I0108_MO_CFSum_EstimatedSharePriceforIssuanceBuybacks">Model!$950:$950</definedName>
    <definedName name="z_9SC16I0108_MO_CFSum_FCF">Model!$952:$952</definedName>
    <definedName name="z_9SC16I0108_MO_CFSum_FCF_1">Model!$953:$953</definedName>
    <definedName name="z_9SC16I0108_MO_CFSum_FCF_2">Model!$954:$954</definedName>
    <definedName name="z_9SC16I0108_MO_CFSum_FCF_4">Model!$956:$956</definedName>
    <definedName name="z_9SC16I0108_MO_CFSum_FCFPostDiv_1">Model!$957:$957</definedName>
    <definedName name="z_9SC16I0108_MO_CFSum_FCFPostDiv_2">Model!$958:$958</definedName>
    <definedName name="z_9SC16I0108_MO_CFSum_FCFPostDivDebtBuyback">Model!$955:$955</definedName>
    <definedName name="z_9SC16I0108_MO_CFSum_FCFPostDivDebtBuyback_1">Model!$959:$959</definedName>
    <definedName name="z_9SC16I0108_MO_CFSum_GuidanceCapex">Model!$940:$940</definedName>
    <definedName name="z_9SC16I0108_MO_CFSum_NetDebtIssuanceRepayment">Model!$948:$948</definedName>
    <definedName name="z_9SC16I0108_MO_CFSum_NetShareIssuanceBuybacks">Model!$949:$949</definedName>
    <definedName name="z_9SC16I0108_MO_CFSum_NonConvertibleNotesIssuanceRepayment">Model!$947:$947</definedName>
    <definedName name="z_9SC16I0108_MO_CFSum_OperatingCashFlowafterWC">Model!$934:$934</definedName>
    <definedName name="z_9SC16I0108_MO_CFSum_OperatingCashFlowbeforeWC">Model!$932:$932</definedName>
    <definedName name="z_9SC16I0108_MO_Checks_SNA_AdjustedNumbersFYSumofQs">Model!$1270:$1270</definedName>
    <definedName name="z_9SC16I0108_MO_Checks_SNA_BalanceSheetisnotRepeated">Model!$1266:$1266</definedName>
    <definedName name="z_9SC16I0108_MO_Checks_SNA_CapexisUpdated">Model!$1268:$1268</definedName>
    <definedName name="z_9SC16I0108_MO_Checks_SNA_CashFlowisnotRepeated">Model!$1264:$1264</definedName>
    <definedName name="z_9SC16I0108_MO_Checks_SNA_CashFlowSummarySignsareCorrect">Model!$1272:$1272</definedName>
    <definedName name="z_9SC16I0108_MO_Checks_SNA_CashisPositive">Model!$1259:$1259</definedName>
    <definedName name="z_9SC16I0108_MO_Checks_SNA_CFFsubtotalFYSumofQs">Model!$1278:$1278</definedName>
    <definedName name="z_9SC16I0108_MO_Checks_SNA_CFIsubtotalFYSumofQs">Model!$1277:$1277</definedName>
    <definedName name="z_9SC16I0108_MO_Checks_SNA_CFOBeforeWCsubtotalFYSumofQs">Model!$1275:$1275</definedName>
    <definedName name="z_9SC16I0108_MO_Checks_SNA_CFOsubtotalFYSumofQs">Model!$1276:$1276</definedName>
    <definedName name="z_9SC16I0108_MO_Checks_SNA_CFSummaryFYSumofQs">Model!$1279:$1279</definedName>
    <definedName name="z_9SC16I0108_MO_Checks_SNA_DebtisPositive">Model!$1260:$1260</definedName>
    <definedName name="z_9SC16I0108_MO_Checks_SNA_EndingCFEndingCumulativeCF">Model!$1267:$1267</definedName>
    <definedName name="z_9SC16I0108_MO_Checks_SNA_GAAPEBITInOpexForecastGAAPEBITinISAR">Model!$1261:$1261</definedName>
    <definedName name="z_9SC16I0108_MO_Checks_SNA_IncomeStatementisnotRepeated">Model!$1265:$1265</definedName>
    <definedName name="z_9SC16I0108_MO_Checks_SNA_Marginaddsupto100">Model!$1271:$1271</definedName>
    <definedName name="z_9SC16I0108_MO_Checks_SNA_MarginisUpdated">Model!$1269:$1269</definedName>
    <definedName name="z_9SC16I0108_MO_Checks_SNA_RISAdjustedNIFYSumofQs">Model!$1274:$1274</definedName>
    <definedName name="z_9SC16I0108_MO_Checks_SNA_RISNIFYSumofQs">Model!$1273:$1273</definedName>
    <definedName name="z_9SC16I0108_MO_Checks_SNA_SegmentedEBITEBIT">Model!$1263:$1263</definedName>
    <definedName name="z_9SC16I0108_MO_Checks_SNA_SegmentedRevenueRevenue">Model!$1262:$1262</definedName>
    <definedName name="z_9SC16I0108_MO_DAF_Additionstoacquiredintangibles">Model!$1171:$1171</definedName>
    <definedName name="z_9SC16I0108_MO_DAF_AmortizationaspercentageofIntangiblesBoP">Model!$1179:$1179</definedName>
    <definedName name="z_9SC16I0108_MO_DAF_Amortizationofintangibles">Model!$1170:$1170</definedName>
    <definedName name="z_9SC16I0108_MO_DAF_CapexofPPE">Model!$1165:$1165</definedName>
    <definedName name="z_9SC16I0108_MO_DAF_CapexofPPEandIntangibles">Model!$1184:$1184</definedName>
    <definedName name="z_9SC16I0108_MO_DAF_DAofPPEandIntangibles">Model!$1183:$1183</definedName>
    <definedName name="z_9SC16I0108_MO_DAF_DepreciationaspercentageofPPEBoP">Model!$1178:$1178</definedName>
    <definedName name="z_9SC16I0108_MO_DAF_Depreciationoffixedassets">Model!$1164:$1164</definedName>
    <definedName name="z_9SC16I0108_MO_DAF_Impliedlifeoffixedassets">Model!$1180:$1180</definedName>
    <definedName name="z_9SC16I0108_MO_DAF_Impliedlifeofintangibles">Model!$1181:$1181</definedName>
    <definedName name="z_9SC16I0108_MO_DAF_IntangiblesBoP">Model!$1169:$1169</definedName>
    <definedName name="z_9SC16I0108_MO_DAF_IntangiblesEoP">Model!$1173:$1173</definedName>
    <definedName name="z_9SC16I0108_MO_DAF_Othernetadditionstointangibles">Model!$1172:$1172</definedName>
    <definedName name="z_9SC16I0108_MO_DAF_OthernetadditionstoPPE">Model!$1166:$1166</definedName>
    <definedName name="z_9SC16I0108_MO_DAF_Percentageofacquisitionexpenditureallocatedtointangibleassets">Model!$1190:$1190</definedName>
    <definedName name="z_9SC16I0108_MO_DAF_PercentageofacquisitionexpenditureallocatedtoPPE">Model!$1189:$1189</definedName>
    <definedName name="z_9SC16I0108_MO_DAF_PercentageofamortizationofintangibleassetsallocatedtoCOGS">Model!$1175:$1175</definedName>
    <definedName name="z_9SC16I0108_MO_DAF_PercentageofamortizationofintangibleassetsallocatedtoOpex">Model!$1176:$1176</definedName>
    <definedName name="z_9SC16I0108_MO_DAF_Percentageofcapexallocatedtointangibleassets">Model!$1186:$1186</definedName>
    <definedName name="z_9SC16I0108_MO_DAF_PercentageofcapexallocatedtoPPE">Model!$1185:$1185</definedName>
    <definedName name="z_9SC16I0108_MO_DAF_PPEBoP">Model!$1163:$1163</definedName>
    <definedName name="z_9SC16I0108_MO_DAF_PPEEoP">Model!$1167:$1167</definedName>
    <definedName name="z_9SC16I0108_MO_DAF_TotalAcquisitions">Model!$1188:$1188</definedName>
    <definedName name="z_9SC16I0108_MO_Header_ColumnHeader">Model!$5:$5</definedName>
    <definedName name="z_9SC16I0108_MO_Header_CompanySubTitle">Model!$2:$2</definedName>
    <definedName name="z_9SC16I0108_MO_Header_CompanyTitle">Model!$1:$1</definedName>
    <definedName name="z_9SC16I0108_MO_Header_FPDays">Model!$3:$3</definedName>
    <definedName name="z_9SC16I0108_MO_Header_HeaderRow">'Exec Comp'!$1:$1</definedName>
    <definedName name="z_9SC16I0108_MO_Header_HeaderRow_1">'Exec Comp'!$2:$2</definedName>
    <definedName name="z_9SC16I0108_MO_Header_HeaderRow_2">'Exec Comp'!$3:$3</definedName>
    <definedName name="z_9SC16I0108_MO_Header_HeaderRow_3">'Exec Comp'!$4:$4</definedName>
    <definedName name="z_9SC16I0108_MO_Header_HeaderRow_4">'Exec Comp'!$5:$5</definedName>
    <definedName name="z_9SC16I0108_MO_Header_QEndDate">Model!$4:$4</definedName>
    <definedName name="z_9SC16I0108_MO_IS_amortizationofacquiredintangibles">Model!$351:$351</definedName>
    <definedName name="z_9SC16I0108_MO_IS_costofmaintenance">Model!$345:$345</definedName>
    <definedName name="z_9SC16I0108_MO_IS_costofproductandmaintenance">Model!$343:$343</definedName>
    <definedName name="z_9SC16I0108_MO_IS_costofservices">Model!$344:$344</definedName>
    <definedName name="z_9SC16I0108_MO_IS_generalandadministrative">Model!$350:$350</definedName>
    <definedName name="z_9SC16I0108_MO_IS_grossprofit">Model!$347:$347</definedName>
    <definedName name="z_9SC16I0108_MO_IS_incomebeforeincometaxes">Model!$358:$358</definedName>
    <definedName name="z_9SC16I0108_MO_IS_incomefromoperations">Model!$355:$355</definedName>
    <definedName name="z_9SC16I0108_MO_IS_incometaxes">Model!$359:$359</definedName>
    <definedName name="z_9SC16I0108_MO_IS_interestexpense">Model!$356:$356</definedName>
    <definedName name="z_9SC16I0108_MO_IS_ISCheck">Model!$362:$362</definedName>
    <definedName name="z_9SC16I0108_MO_IS_litigationcharges">Model!$354:$354</definedName>
    <definedName name="z_9SC16I0108_MO_IS_Lossrelatedtocontingentliability">Model!$353:$353</definedName>
    <definedName name="z_9SC16I0108_MO_IS_maintenance">Model!$341:$341</definedName>
    <definedName name="z_9SC16I0108_MO_IS_marketingandsales">Model!$348:$348</definedName>
    <definedName name="z_9SC16I0108_MO_IS_netincome">Model!$360:$360</definedName>
    <definedName name="z_9SC16I0108_MO_IS_Otherincome">Model!$357:$357</definedName>
    <definedName name="z_9SC16I0108_MO_IS_productandmaintenance">Model!$339:$339</definedName>
    <definedName name="z_9SC16I0108_MO_IS_researchanddevelopment">Model!$349:$349</definedName>
    <definedName name="z_9SC16I0108_MO_IS_Restructuringandothercharges">Model!$352:$352</definedName>
    <definedName name="z_9SC16I0108_MO_IS_services">Model!$340:$340</definedName>
    <definedName name="z_9SC16I0108_MO_IS_totalcostofsales">Model!$346:$346</definedName>
    <definedName name="z_9SC16I0108_MO_IS_totalrevenue">Model!$342:$342</definedName>
    <definedName name="z_9SC16I0108_MO_MA_AverageFXRate">Model!$995:$995</definedName>
    <definedName name="z_9SC16I0108_MO_MA_CompanyReportedNonGAAPOperatingIncomeMargin">Model!$334:$334</definedName>
    <definedName name="z_9SC16I0108_MO_MA_consensusestimatesadjustedebitdamargin">"Deleted"</definedName>
    <definedName name="z_9SC16I0108_MO_MA_ConsensusEstimatesCompanyReportedNonGAAPOperatingIncomeMargin">Model!$335:$335</definedName>
    <definedName name="z_9SC16I0108_MO_MA_consensusestimatesgrossmargin">"Deleted"</definedName>
    <definedName name="z_9SC16I0108_MO_MA_ConsensusEstimatesGrossMargin_1">Model!$328:$328</definedName>
    <definedName name="z_9SC16I0108_MO_MA_EoPFXRate">Model!$996:$996</definedName>
    <definedName name="z_9SC16I0108_MO_MA_GAAPCOGSMargin">Model!$318:$318</definedName>
    <definedName name="z_9SC16I0108_MO_MA_GAAPGAMargin">Model!$322:$322</definedName>
    <definedName name="z_9SC16I0108_MO_MA_GAAPGrossMargin">Model!$319:$319</definedName>
    <definedName name="z_9SC16I0108_MO_MA_GAAPOperatingIncomeMargin">Model!$324:$324</definedName>
    <definedName name="z_9SC16I0108_MO_MA_GAAPRDMargin">Model!$321:$321</definedName>
    <definedName name="z_9SC16I0108_MO_MA_GAAPSMMargin">Model!$323:$323</definedName>
    <definedName name="z_9SC16I0108_MO_MA_GuidanceCompanyReportedNonGAAPOperatingIncomeMargin">Model!$336:$336</definedName>
    <definedName name="z_9SC16I0108_MO_MA_NonGAAPCOGSMargin">Model!$326:$326</definedName>
    <definedName name="z_9SC16I0108_MO_MA_NonGAAPGAMargin">Model!$331:$331</definedName>
    <definedName name="z_9SC16I0108_MO_MA_NonGAAPGrossMargin">Model!$327:$327</definedName>
    <definedName name="z_9SC16I0108_MO_MA_NonGAAPOperatingIncomeMargin">Model!$333:$333</definedName>
    <definedName name="z_9SC16I0108_MO_MA_NonGAAPRDMargin">Model!$330:$330</definedName>
    <definedName name="z_9SC16I0108_MO_MA_NonGAAPSMMargin">Model!$332:$332</definedName>
    <definedName name="z_9SC16I0108_MO_MA_productandmaintenancecogs">"Deleted"</definedName>
    <definedName name="z_9SC16I0108_MO_MA_servicescogs">"Deleted"</definedName>
    <definedName name="z_9SC16I0108_MO_MA_StockEoP">Model!$994:$994</definedName>
    <definedName name="z_9SC16I0108_MO_MA_StockPriceTradingCurAvg">Model!$997:$997</definedName>
    <definedName name="z_9SC16I0108_MO_OS_2011NotesCashPaymentonCappedCallExercise">Model!$630:$630</definedName>
    <definedName name="z_9SC16I0108_MO_OS_2011NotesCashPaymentonNotePrincipalRepayment">Model!$631:$631</definedName>
    <definedName name="z_9SC16I0108_MO_OS_2011NotesNetShareIncreasefromNoteConversionandCappedCallExercise">Model!$629:$629</definedName>
    <definedName name="z_9SC16I0108_MO_OS_2011NotesOutstandingBookValue">Model!$619:$619</definedName>
    <definedName name="z_9SC16I0108_MO_OS_2011NotesOutstandingPrincipalEoP">Model!$616:$616</definedName>
    <definedName name="z_9SC16I0108_MO_OS_2011NotesOutstandingUnamortizedDebtDiscount">Model!$617:$617</definedName>
    <definedName name="z_9SC16I0108_MO_OS_2011NotesOutstandingUnamortizedDebtIssuanceCosts">Model!$618:$618</definedName>
    <definedName name="z_9SC16I0108_MO_OS_2013NotesCashPaymentonCappedCallExercise">Model!$647:$647</definedName>
    <definedName name="z_9SC16I0108_MO_OS_2013NotesCashPaymentonNotePrincipalRepayment">Model!$648:$648</definedName>
    <definedName name="z_9SC16I0108_MO_OS_2013NotesNetShareIncreasefromNoteConversionandCappedCallExercise">Model!$646:$646</definedName>
    <definedName name="z_9SC16I0108_MO_OS_2013NotesOutstandingBookValue">Model!$636:$636</definedName>
    <definedName name="z_9SC16I0108_MO_OS_2013NotesOutstandingPrincipalEoP">Model!$633:$633</definedName>
    <definedName name="z_9SC16I0108_MO_OS_2013NotesOutstandingUnamortizedDebtDiscount">Model!$634:$634</definedName>
    <definedName name="z_9SC16I0108_MO_OS_2013NotesOutstandingUnamortizedDebtIssuanceCosts">Model!$635:$635</definedName>
    <definedName name="z_9SC16I0108_MO_OS_2015NotesCashPaymentonCappedCallExercise">Model!$664:$664</definedName>
    <definedName name="z_9SC16I0108_MO_OS_2015NotesCashPaymentonNotePrincipalRepayment">Model!$665:$665</definedName>
    <definedName name="z_9SC16I0108_MO_OS_2015NotesNetShareIncreasefromNoteConversionandCappedCallExercise">Model!$663:$663</definedName>
    <definedName name="z_9SC16I0108_MO_OS_2015NotesOutstandingBookValue">Model!$653:$653</definedName>
    <definedName name="z_9SC16I0108_MO_OS_2015NotesOutstandingPrincipalEoP">Model!$650:$650</definedName>
    <definedName name="z_9SC16I0108_MO_OS_2015NotesOutstandingUnamortizedDebtDiscount">Model!$651:$651</definedName>
    <definedName name="z_9SC16I0108_MO_OS_2015NotesOutstandingUnamortizedDebtIssuanceCosts">Model!$652:$652</definedName>
    <definedName name="z_9SC16I0108_MO_OS_2023NotesCashPaymentonCappedCallExercise">Model!$681:$681</definedName>
    <definedName name="z_9SC16I0108_MO_OS_2023NotesCashPaymentonNotePrincipalRepayment">Model!$682:$682</definedName>
    <definedName name="z_9SC16I0108_MO_OS_2023NotesNetShareIncreasefromNoteConversionandCappedCallExercise">Model!$680:$680</definedName>
    <definedName name="z_9SC16I0108_MO_OS_2023NotesOutstandingBookValue">Model!$670:$670</definedName>
    <definedName name="z_9SC16I0108_MO_OS_2023NotesOutstandingPrincipalEoP">Model!$667:$667</definedName>
    <definedName name="z_9SC16I0108_MO_OS_2023NotesOutstandingUnamortizedDebtDiscount">Model!$668:$668</definedName>
    <definedName name="z_9SC16I0108_MO_OS_2023NotesOutstandingUnamortizedDebtIssuanceCosts">Model!$669:$669</definedName>
    <definedName name="z_9SC16I0108_MO_OS_20X1NoteAmortizationofDebtIssuanceCost">Model!$684:$684</definedName>
    <definedName name="z_9SC16I0108_MO_OS_20X1NotesCashPaymentonCappedCallExercise">Model!$613:$613</definedName>
    <definedName name="z_9SC16I0108_MO_OS_20X1NotesCashPaymentonNotePrincipalRepayment">Model!$614:$614</definedName>
    <definedName name="z_9SC16I0108_MO_OS_20X1NotesNetShareIncreasefromNoteConversionandCappedCallExercise">Model!$612:$612</definedName>
    <definedName name="z_9SC16I0108_MO_OS_20X1NotesOutstandingBookValue">Model!$602:$602</definedName>
    <definedName name="z_9SC16I0108_MO_OS_20X1NotesOutstandingPrincipalEoP">Model!$599:$599</definedName>
    <definedName name="z_9SC16I0108_MO_OS_20X1NotesOutstandingUnamortizedDebtDiscount">Model!$600:$600</definedName>
    <definedName name="z_9SC16I0108_MO_OS_20X1NotesOutstandingUnamortizedDebtIssuanceCosts">Model!$601:$601</definedName>
    <definedName name="z_9SC16I0108_MO_OS_20X2NoteAmortizationofDebtIssuanceCost">Model!$685:$685</definedName>
    <definedName name="z_9SC16I0108_MO_OS_20X3NoteAmortizationofDebtIssuanceCost">Model!$686:$686</definedName>
    <definedName name="z_9SC16I0108_MO_OS_20X4NoteAmortizationofDebtIssuanceCost">Model!$687:$687</definedName>
    <definedName name="z_9SC16I0108_MO_OS_20X5NoteAmortizationofDebtIssuanceCost">Model!$688:$688</definedName>
    <definedName name="z_9SC16I0108_MO_OS_Accountspayableandaccruedliabilities">Model!$1194:$1194</definedName>
    <definedName name="z_9SC16I0108_MO_OS_AccountspayableandaccruedliabilitiesYYChange">Model!$1199:$1199</definedName>
    <definedName name="z_9SC16I0108_MO_OS_Accountsreceivable">Model!$278:$278</definedName>
    <definedName name="z_9SC16I0108_MO_OS_AcquiredOptionsAverageExercisePrice">Model!$550:$550</definedName>
    <definedName name="z_9SC16I0108_MO_OS_AcquiredStockOptions">Model!$543:$543</definedName>
    <definedName name="z_9SC16I0108_MO_OS_AdjustedCash">Model!$702:$702</definedName>
    <definedName name="z_9SC16I0108_MO_OS_AdjustedDebt">Model!$707:$707</definedName>
    <definedName name="z_9SC16I0108_MO_OS_Amortizationofacquiredintangibles">Model!$90:$90</definedName>
    <definedName name="z_9SC16I0108_MO_OS_asiarevenue">Model!$241:$241</definedName>
    <definedName name="z_9SC16I0108_MO_OS_Backlog">Model!$262:$262</definedName>
    <definedName name="z_9SC16I0108_MO_OS_BoPTotalStockOptionsOutstanding">Model!$542:$542</definedName>
    <definedName name="z_9SC16I0108_MO_OS_BoPTotalStockOptionsOutstandingexclgrantedacquisition">Model!$556:$556</definedName>
    <definedName name="z_9SC16I0108_MO_OS_BoPUnvestedRSUPrice">Model!$583:$583</definedName>
    <definedName name="z_9SC16I0108_MO_OS_BoPUnvestedRSUs">Model!$577:$577</definedName>
    <definedName name="z_9SC16I0108_MO_OS_BoPWeightedAverageExercisePrice">Model!$549:$549</definedName>
    <definedName name="z_9SC16I0108_MO_OS_BoPWeightedAverageExercisePricePerShareexclgrantedandacquisition">Model!$561:$561</definedName>
    <definedName name="z_9SC16I0108_MO_OS_Canalystcalculatedbillings">Model!$294:$294</definedName>
    <definedName name="z_9SC16I0108_MO_OS_Canalystcalculatedbillingsgrowthyy">Model!$295:$295</definedName>
    <definedName name="z_9SC16I0108_MO_OS_CanalystCoverPageFullyDilutedSharesOutstanding">Model!$696:$696</definedName>
    <definedName name="z_9SC16I0108_MO_OS_CanalystFullyDilutedMarketCap">Model!$698:$698</definedName>
    <definedName name="z_9SC16I0108_MO_OS_CanalystFullyDilutedSharesOutstandingEoP">"Deleted"</definedName>
    <definedName name="z_9SC16I0108_MO_OS_Capexbeatmissvsmostrecentguidancemidpoint">Model!$901:$901</definedName>
    <definedName name="z_9SC16I0108_MO_OS_Capexguidanceinitialmidpoint">Model!$895:$895</definedName>
    <definedName name="z_9SC16I0108_MO_OS_Capexguidancemostrecentmidpoint">Model!$899:$899</definedName>
    <definedName name="z_9SC16I0108_MO_OS_Capexguidanceupdate1midpoint">Model!$896:$896</definedName>
    <definedName name="z_9SC16I0108_MO_OS_Capexguidanceupdate2midpoint">Model!$897:$897</definedName>
    <definedName name="z_9SC16I0108_MO_OS_Capexguidanceupdate3midpoint">Model!$898:$898</definedName>
    <definedName name="z_9SC16I0108_MO_OS_Capexreportedmodelestimate">Model!$900:$900</definedName>
    <definedName name="z_9SC16I0108_MO_OS_CappedCallImpact">Model!$701:$701</definedName>
    <definedName name="z_9SC16I0108_MO_OS_Cash_5">Model!$700:$700</definedName>
    <definedName name="z_9SC16I0108_MO_OS_CashPaidforExercisingCallOptions">Model!$610:$610</definedName>
    <definedName name="z_9SC16I0108_MO_OS_CashPaidforExercisingCallOptions_1">Model!$627:$627</definedName>
    <definedName name="z_9SC16I0108_MO_OS_CashPaidforExercisingCallOptions_2">Model!$644:$644</definedName>
    <definedName name="z_9SC16I0108_MO_OS_CashPaidforExercisingCallOptions_3">Model!$661:$661</definedName>
    <definedName name="z_9SC16I0108_MO_OS_CashPaidforExercisingCallOptions_4">Model!$678:$678</definedName>
    <definedName name="z_9SC16I0108_MO_OS_CEOAllothercompensation">'Exec Comp'!$24:$24</definedName>
    <definedName name="z_9SC16I0108_MO_OS_CEOBasePay">'Exec Comp'!$20:$20</definedName>
    <definedName name="z_9SC16I0108_MO_OS_CEOcomptiedtoequity">'Exec Comp'!$26:$26</definedName>
    <definedName name="z_9SC16I0108_MO_OS_CEOEoPsharesbeneficiallyowned">'Exec Comp'!$67:$67</definedName>
    <definedName name="z_9SC16I0108_MO_OS_CEONonequityincentiveplans">'Exec Comp'!$23:$23</definedName>
    <definedName name="z_9SC16I0108_MO_OS_CEOOptionAwards">'Exec Comp'!$22:$22</definedName>
    <definedName name="z_9SC16I0108_MO_OS_CEOOptions020625exerciseprice">'Exec Comp'!$41:$41</definedName>
    <definedName name="z_9SC16I0108_MO_OS_CEOOptions020625ofunexercisedexcercisableoptions">'Exec Comp'!$39:$39</definedName>
    <definedName name="z_9SC16I0108_MO_OS_CEOOptions020625ofunexercisedunexcercisableoptions">'Exec Comp'!$40:$40</definedName>
    <definedName name="z_9SC16I0108_MO_OS_CEOOptions020823exerciseprice">'Exec Comp'!$33:$33</definedName>
    <definedName name="z_9SC16I0108_MO_OS_CEOOptions020823ofunexercisedexcercisableoptions">'Exec Comp'!$32:$32</definedName>
    <definedName name="z_9SC16I0108_MO_OS_CEOOptions020922exerciseprice">'Exec Comp'!$30:$30</definedName>
    <definedName name="z_9SC16I0108_MO_OS_CEOOptions020922ofunexercisedexcercisableoptions">'Exec Comp'!$29:$29</definedName>
    <definedName name="z_9SC16I0108_MO_OS_CEOOptions021427exerciseprice">'Exec Comp'!$49:$49</definedName>
    <definedName name="z_9SC16I0108_MO_OS_CEOOptions021427ofunexercisedexercisableoptions">'Exec Comp'!$47:$47</definedName>
    <definedName name="z_9SC16I0108_MO_OS_CEOOptions021427ofunexercisedunexercisableoptions">'Exec Comp'!$48:$48</definedName>
    <definedName name="z_9SC16I0108_MO_OS_CEOOptions022124exerciseprice">'Exec Comp'!$37:$37</definedName>
    <definedName name="z_9SC16I0108_MO_OS_CEOOptions022124ofunexercisedexcercisableoptions">'Exec Comp'!$35:$35</definedName>
    <definedName name="z_9SC16I0108_MO_OS_CEOOptions022124ofunexercisedunexcercisableoptions">'Exec Comp'!$36:$36</definedName>
    <definedName name="z_9SC16I0108_MO_OS_CEOOptions022226exerciseprice">'Exec Comp'!$45:$45</definedName>
    <definedName name="z_9SC16I0108_MO_OS_CEOOptions022226ofunexercisedexercisableoptions">'Exec Comp'!$43:$43</definedName>
    <definedName name="z_9SC16I0108_MO_OS_CEOOptions022226ofunexercisedunexercisableoptions">'Exec Comp'!$44:$44</definedName>
    <definedName name="z_9SC16I0108_MO_OS_CEOOptions022528exerciseprice">'Exec Comp'!$53:$53</definedName>
    <definedName name="z_9SC16I0108_MO_OS_CEOOptions022528ofunexercisedexercisableoptions">'Exec Comp'!$51:$51</definedName>
    <definedName name="z_9SC16I0108_MO_OS_CEOOptions022528ofunexercisedunexercisableoptions">'Exec Comp'!$52:$52</definedName>
    <definedName name="z_9SC16I0108_MO_OS_CEOOptions031529exerciseprice">'Exec Comp'!$61:$61</definedName>
    <definedName name="z_9SC16I0108_MO_OS_CEOOptions031529ofunexercisedexercisableoptions">'Exec Comp'!$59:$59</definedName>
    <definedName name="z_9SC16I0108_MO_OS_CEOOptions031529ofunexercisedunexercisableoptions">'Exec Comp'!$60:$60</definedName>
    <definedName name="z_9SC16I0108_MO_OS_CEOOptions031530exerciseprice">'Exec Comp'!$65:$65</definedName>
    <definedName name="z_9SC16I0108_MO_OS_CEOOptions031530ofunexercisedexercisableoptions">'Exec Comp'!$63:$63</definedName>
    <definedName name="z_9SC16I0108_MO_OS_CEOOptions031530ofunexercisedunexercisableoptions">'Exec Comp'!$64:$64</definedName>
    <definedName name="z_9SC16I0108_MO_OS_CEOOptions121528exerciseprice">'Exec Comp'!$57:$57</definedName>
    <definedName name="z_9SC16I0108_MO_OS_CEOOptions121528ofunexercisedexercisableoptions">'Exec Comp'!$55:$55</definedName>
    <definedName name="z_9SC16I0108_MO_OS_CEOOptions121528ofunexercisedunexercisableoptions">'Exec Comp'!$56:$56</definedName>
    <definedName name="z_9SC16I0108_MO_OS_CEOStockAwards">'Exec Comp'!$21:$21</definedName>
    <definedName name="z_9SC16I0108_MO_OS_CEOStockOwnershipGuidelinestimesbasesalary">'Exec Comp'!$205:$205</definedName>
    <definedName name="z_9SC16I0108_MO_OS_CEOTotalComp">'Exec Comp'!$25:$25</definedName>
    <definedName name="z_9SC16I0108_MO_OS_CFOAllothercompensation">'Exec Comp'!$73:$73</definedName>
    <definedName name="z_9SC16I0108_MO_OS_CFOBasePay">'Exec Comp'!$69:$69</definedName>
    <definedName name="z_9SC16I0108_MO_OS_CFOcomptiedtoequity">'Exec Comp'!$75:$75</definedName>
    <definedName name="z_9SC16I0108_MO_OS_CFOEoPsharesbeneficiallyowned">'Exec Comp'!$105:$105</definedName>
    <definedName name="z_9SC16I0108_MO_OS_CFONonequityincentiveplans">'Exec Comp'!$72:$72</definedName>
    <definedName name="z_9SC16I0108_MO_OS_CFOOptionAwards">'Exec Comp'!$71:$71</definedName>
    <definedName name="z_9SC16I0108_MO_OS_CFOOptions020625exerciseprice">'Exec Comp'!$79:$79</definedName>
    <definedName name="z_9SC16I0108_MO_OS_CFOOptions020625ofunexercisedexcercisableoptions">'Exec Comp'!$77:$77</definedName>
    <definedName name="z_9SC16I0108_MO_OS_CFOOptions020625ofunexercisedunexcercisableoptions">'Exec Comp'!$78:$78</definedName>
    <definedName name="z_9SC16I0108_MO_OS_CFOOptions021427exerciseprice">'Exec Comp'!$87:$87</definedName>
    <definedName name="z_9SC16I0108_MO_OS_CFOOptions021427ofunexercisedexcercisableoptions">'Exec Comp'!$85:$85</definedName>
    <definedName name="z_9SC16I0108_MO_OS_CFOOptions021427ofunexercisedunexcercisableoptions">'Exec Comp'!$86:$86</definedName>
    <definedName name="z_9SC16I0108_MO_OS_CFOOptions022226exerciseprice">'Exec Comp'!$83:$83</definedName>
    <definedName name="z_9SC16I0108_MO_OS_CFOOptions022226ofunexercisedexcercisableoptions">'Exec Comp'!$81:$81</definedName>
    <definedName name="z_9SC16I0108_MO_OS_CFOOptions022226ofunexercisedunexcercisableoptions">'Exec Comp'!$82:$82</definedName>
    <definedName name="z_9SC16I0108_MO_OS_CFOOptions022528exerciseprice">'Exec Comp'!$91:$91</definedName>
    <definedName name="z_9SC16I0108_MO_OS_CFOOptions022528exerciseprice_1">'Exec Comp'!$95:$95</definedName>
    <definedName name="z_9SC16I0108_MO_OS_CFOOptions022528ofunexercisedexcercisableoptions">'Exec Comp'!$89:$89</definedName>
    <definedName name="z_9SC16I0108_MO_OS_CFOOptions022528ofunexercisedexcercisableoptions_1">'Exec Comp'!$93:$93</definedName>
    <definedName name="z_9SC16I0108_MO_OS_CFOOptions022528ofunexercisedunexcercisableoptions">'Exec Comp'!$90:$90</definedName>
    <definedName name="z_9SC16I0108_MO_OS_CFOOptions022528ofunexercisedunexcercisableoptions_1">'Exec Comp'!$94:$94</definedName>
    <definedName name="z_9SC16I0108_MO_OS_CFOOptions031529exerciseprice">'Exec Comp'!$99:$99</definedName>
    <definedName name="z_9SC16I0108_MO_OS_CFOOptions031529ofunexercisedexcercisableoptions">'Exec Comp'!$97:$97</definedName>
    <definedName name="z_9SC16I0108_MO_OS_CFOOptions031529ofunexercisedunexcercisableoptions">'Exec Comp'!$98:$98</definedName>
    <definedName name="z_9SC16I0108_MO_OS_CFOOptions031530exerciseprice">'Exec Comp'!$103:$103</definedName>
    <definedName name="z_9SC16I0108_MO_OS_CFOOptions031530ofunexercisedexercisableoptions">'Exec Comp'!$101:$101</definedName>
    <definedName name="z_9SC16I0108_MO_OS_CFOOptions031530ofunexercisedunexercisableoptions">'Exec Comp'!$102:$102</definedName>
    <definedName name="z_9SC16I0108_MO_OS_CFOStockAwards">'Exec Comp'!$70:$70</definedName>
    <definedName name="z_9SC16I0108_MO_OS_CFOTotalComp">'Exec Comp'!$74:$74</definedName>
    <definedName name="z_9SC16I0108_MO_OS_ChangeinimpliedROYrevenue">Model!$769:$769</definedName>
    <definedName name="z_9SC16I0108_MO_OS_Chinarevenue">Model!$239:$239</definedName>
    <definedName name="z_9SC16I0108_MO_OS_Chinarevenuemix">Model!$249:$249</definedName>
    <definedName name="z_9SC16I0108_MO_OS_CLOAllothercompensation">'Exec Comp'!$149:$149</definedName>
    <definedName name="z_9SC16I0108_MO_OS_CLOBasePay">'Exec Comp'!$145:$145</definedName>
    <definedName name="z_9SC16I0108_MO_OS_CLOChiefLegalOfficerTotalComp">'Exec Comp'!$150:$150</definedName>
    <definedName name="z_9SC16I0108_MO_OS_CLOcomptiedtoequity">'Exec Comp'!$151:$151</definedName>
    <definedName name="z_9SC16I0108_MO_OS_CLOEoPsharesbeneficiallyowned">'Exec Comp'!$156:$156</definedName>
    <definedName name="z_9SC16I0108_MO_OS_CLONonequityincentiveplans">'Exec Comp'!$148:$148</definedName>
    <definedName name="z_9SC16I0108_MO_OS_CLOOptionAwards">'Exec Comp'!$147:$147</definedName>
    <definedName name="z_9SC16I0108_MO_OS_CLOOptions071527exerciseprice">'Exec Comp'!$154:$154</definedName>
    <definedName name="z_9SC16I0108_MO_OS_CLOOptions071527ofunexercisedunexcercisableoptions">'Exec Comp'!$153:$153</definedName>
    <definedName name="z_9SC16I0108_MO_OS_CLOStockAwards">'Exec Comp'!$146:$146</definedName>
    <definedName name="z_9SC16I0108_MO_OS_COGSAmortizationofacquiredintangibleassets">Model!$166:$166</definedName>
    <definedName name="z_9SC16I0108_MO_OS_CommonStockOutstandingEoP">"Deleted"</definedName>
    <definedName name="z_9SC16I0108_MO_OS_ConsensusEstimatesCompanyReportedNonGAAPOperatingIncome_1">Model!$100:$100</definedName>
    <definedName name="z_9SC16I0108_MO_OS_ConsensusEstimatesCompanyReportedNonGAAPOperatingIncomeMargin">Model!$103:$103</definedName>
    <definedName name="z_9SC16I0108_MO_OS_ConsensusEstimatesNetRevenue">Model!$21:$21</definedName>
    <definedName name="z_9SC16I0108_MO_OS_ConsensusEstimatesNonGAAPGrossprofitmargin">Model!$48:$48</definedName>
    <definedName name="z_9SC16I0108_MO_OS_Contractassets">Model!$264:$264</definedName>
    <definedName name="z_9SC16I0108_MO_OS_Contributionmargin">Model!$304:$304</definedName>
    <definedName name="z_9SC16I0108_MO_OS_ConvertibleDebtConversionImpact">Model!$706:$706</definedName>
    <definedName name="z_9SC16I0108_MO_OS_COPMChangeamortizationofacquiredintangibles">Model!$111:$111</definedName>
    <definedName name="z_9SC16I0108_MO_OS_COPMChangeinemulationandprototypinghardwarecosts">Model!$108:$108</definedName>
    <definedName name="z_9SC16I0108_MO_OS_COPMChangeinotheritems">Model!$113:$113</definedName>
    <definedName name="z_9SC16I0108_MO_OS_COPMChangeinproductandmaintenancerelatedcosts">Model!$112:$112</definedName>
    <definedName name="z_9SC16I0108_MO_OS_COPMChangeinsalarybenefitsandotheremployeerelatedcosts">Model!$110:$110</definedName>
    <definedName name="z_9SC16I0108_MO_OS_COPMProfessionalservices">Model!$109:$109</definedName>
    <definedName name="z_9SC16I0108_MO_OS_CoreEDArevenue">Model!$13:$13</definedName>
    <definedName name="z_9SC16I0108_MO_OS_CoreEDArevenuemix">Model!$27:$27</definedName>
    <definedName name="z_9SC16I0108_MO_OS_CostofrevenueSBC">Model!$174:$174</definedName>
    <definedName name="z_9SC16I0108_MO_OS_CoverPageCommonStockOutstandingEoP">Model!$539:$539</definedName>
    <definedName name="z_9SC16I0108_MO_OS_CROAllothercompensation">'Exec Comp'!$111:$111</definedName>
    <definedName name="z_9SC16I0108_MO_OS_CROBasePay">'Exec Comp'!$107:$107</definedName>
    <definedName name="z_9SC16I0108_MO_OS_CROChiefRevenueOfficerTotalComp">'Exec Comp'!$112:$112</definedName>
    <definedName name="z_9SC16I0108_MO_OS_CROcomptiedtoequity">'Exec Comp'!$113:$113</definedName>
    <definedName name="z_9SC16I0108_MO_OS_CROEoPsharesbeneficiallyowned">'Exec Comp'!$143:$143</definedName>
    <definedName name="z_9SC16I0108_MO_OS_CRONonequityincentiveplans">'Exec Comp'!$110:$110</definedName>
    <definedName name="z_9SC16I0108_MO_OS_CROOptionAwards">'Exec Comp'!$109:$109</definedName>
    <definedName name="z_9SC16I0108_MO_OS_CROOptions020625exerciseprice">'Exec Comp'!$117:$117</definedName>
    <definedName name="z_9SC16I0108_MO_OS_CROOptions020625ofunexercisedexcercisableoptions">'Exec Comp'!$115:$115</definedName>
    <definedName name="z_9SC16I0108_MO_OS_CROOptions020625ofunexercisedunexcercisableoptions">'Exec Comp'!$116:$116</definedName>
    <definedName name="z_9SC16I0108_MO_OS_CROOptions021427exerciseprice">'Exec Comp'!$125:$125</definedName>
    <definedName name="z_9SC16I0108_MO_OS_CROOptions021427ofunexercisedexcercisableoptions">'Exec Comp'!$123:$123</definedName>
    <definedName name="z_9SC16I0108_MO_OS_CROOptions021427ofunexercisedunexcercisableoptions">'Exec Comp'!$124:$124</definedName>
    <definedName name="z_9SC16I0108_MO_OS_CROOptions022226exerciseprice">'Exec Comp'!$121:$121</definedName>
    <definedName name="z_9SC16I0108_MO_OS_CROOptions022226ofunexercisedexcercisableoptions">'Exec Comp'!$119:$119</definedName>
    <definedName name="z_9SC16I0108_MO_OS_CROOptions022226ofunexercisedunexcercisableoptions">'Exec Comp'!$120:$120</definedName>
    <definedName name="z_9SC16I0108_MO_OS_CROOptions022528exerciseprice">'Exec Comp'!$129:$129</definedName>
    <definedName name="z_9SC16I0108_MO_OS_CROOptions022528exerciseprice_1">'Exec Comp'!$133:$133</definedName>
    <definedName name="z_9SC16I0108_MO_OS_CROOptions022528ofunexercisedexcercisableoptions">'Exec Comp'!$127:$127</definedName>
    <definedName name="z_9SC16I0108_MO_OS_CROOptions022528ofunexercisedexcercisableoptions_1">'Exec Comp'!$131:$131</definedName>
    <definedName name="z_9SC16I0108_MO_OS_CROOptions022528ofunexercisedunexcercisableoptions">'Exec Comp'!$128:$128</definedName>
    <definedName name="z_9SC16I0108_MO_OS_CROOptions022528ofunexercisedunexcercisableoptions_1">'Exec Comp'!$132:$132</definedName>
    <definedName name="z_9SC16I0108_MO_OS_CROOptions031529exerciseprice">'Exec Comp'!$137:$137</definedName>
    <definedName name="z_9SC16I0108_MO_OS_CROOptions031529ofunexercisedexcercisableoptions">'Exec Comp'!$135:$135</definedName>
    <definedName name="z_9SC16I0108_MO_OS_CROOptions031529ofunexercisedunexcercisableoptions">'Exec Comp'!$136:$136</definedName>
    <definedName name="z_9SC16I0108_MO_OS_CROOptions031530exerciseprice">'Exec Comp'!$141:$141</definedName>
    <definedName name="z_9SC16I0108_MO_OS_CROOptions031530ofunexercisedexercisableoptions">'Exec Comp'!$139:$139</definedName>
    <definedName name="z_9SC16I0108_MO_OS_CROOptions031530ofunexercisedunexercisableoptions">'Exec Comp'!$140:$140</definedName>
    <definedName name="z_9SC16I0108_MO_OS_CROStockAwards">'Exec Comp'!$108:$108</definedName>
    <definedName name="z_9SC16I0108_MO_OS_CRPObookings">Model!$287:$287</definedName>
    <definedName name="z_9SC16I0108_MO_OS_CRPObookingsgrowthyy">Model!$288:$288</definedName>
    <definedName name="z_9SC16I0108_MO_OS_CRPOgrowthyy">Model!$286:$286</definedName>
    <definedName name="z_9SC16I0108_MO_OS_CurrentCostofproductandmaintenance">Model!$114:$114</definedName>
    <definedName name="z_9SC16I0108_MO_OS_CurrentGA">Model!$162:$162</definedName>
    <definedName name="z_9SC16I0108_MO_OS_CurrentMarketingandsales">Model!$126:$126</definedName>
    <definedName name="z_9SC16I0108_MO_OS_Currentportionofdeferredrevenue">Model!$1195:$1195</definedName>
    <definedName name="z_9SC16I0108_MO_OS_Currentportionofdeferredrevenue_2">Model!$267:$267</definedName>
    <definedName name="z_9SC16I0108_MO_OS_CurrentportionofdeferredrevenueYYChange">Model!$1200:$1200</definedName>
    <definedName name="z_9SC16I0108_MO_OS_CurrentRD">Model!$142:$142</definedName>
    <definedName name="z_9SC16I0108_MO_OS_customicdesignrevenue">Model!$26:$26</definedName>
    <definedName name="z_9SC16I0108_MO_OS_customicdesignrevenue_1">Model!$11:$11</definedName>
    <definedName name="z_9SC16I0108_MO_OS_DAonPPE">Model!$165:$165</definedName>
    <definedName name="z_9SC16I0108_MO_OS_DateofCoverPageShareCount">Model!$540:$540</definedName>
    <definedName name="z_9SC16I0108_MO_OS_DaysSalesOutstanding">Model!$314:$314</definedName>
    <definedName name="z_9SC16I0108_MO_OS_Debt">Model!$703:$703</definedName>
    <definedName name="z_9SC16I0108_MO_OS_designformanufacturingrevenue">Model!$28:$28</definedName>
    <definedName name="z_9SC16I0108_MO_OS_designformanufacturingrevenue_1">Model!$15:$15</definedName>
    <definedName name="z_9SC16I0108_MO_OS_digitalicdesignandsignoffrevenue">Model!$25:$25</definedName>
    <definedName name="z_9SC16I0108_MO_OS_digitalicdesignandsignoffrevenue_1">Model!$9:$9</definedName>
    <definedName name="z_9SC16I0108_MO_OS_Dilutedsharecounttobasicsharecountratio">"Deleted"</definedName>
    <definedName name="z_9SC16I0108_MO_OS_DilutedSharesfromSBCplusBasicSharestoBasicShareCountRatio">Model!$597:$597</definedName>
    <definedName name="z_9SC16I0108_MO_OS_DilutiveOffsetfromCappedCall2011">Model!$626:$626</definedName>
    <definedName name="z_9SC16I0108_MO_OS_DilutiveOffsetfromCappedCall2013">Model!$643:$643</definedName>
    <definedName name="z_9SC16I0108_MO_OS_DilutiveOffsetfromCappedCall2015">Model!$660:$660</definedName>
    <definedName name="z_9SC16I0108_MO_OS_DilutiveOffsetfromCappedCall2023">Model!$677:$677</definedName>
    <definedName name="z_9SC16I0108_MO_OS_DilutiveOffsetfromCappedCall20X1">Model!$609:$609</definedName>
    <definedName name="z_9SC16I0108_MO_OS_DilutiveSharesfromConvertibleNotes2011">Model!$622:$622</definedName>
    <definedName name="z_9SC16I0108_MO_OS_DilutiveSharesfromConvertibleNotes2013">Model!$639:$639</definedName>
    <definedName name="z_9SC16I0108_MO_OS_DilutiveSharesfromConvertibleNotes2015">Model!$656:$656</definedName>
    <definedName name="z_9SC16I0108_MO_OS_DilutiveSharesfromConvertibleNotes2023">Model!$673:$673</definedName>
    <definedName name="z_9SC16I0108_MO_OS_DilutiveSharesfromConvertibleNotes20X1">Model!$605:$605</definedName>
    <definedName name="z_9SC16I0108_MO_OS_DilutiveSharesfromExercisedOptionsTreasuryMethod">Model!$568:$568</definedName>
    <definedName name="z_9SC16I0108_MO_OS_DilutiveSharesfromExercisedWarrantsTreasuryMethod">Model!$575:$575</definedName>
    <definedName name="z_9SC16I0108_MO_OS_Director10allothercomp">'Exec Comp'!$199:$199</definedName>
    <definedName name="z_9SC16I0108_MO_OS_Director10cashcomp">'Exec Comp'!$177:$177</definedName>
    <definedName name="z_9SC16I0108_MO_OS_Director10stockawardcomp">'Exec Comp'!$188:$188</definedName>
    <definedName name="z_9SC16I0108_MO_OS_Director1allothercomp">'Exec Comp'!$190:$190</definedName>
    <definedName name="z_9SC16I0108_MO_OS_Director1cashcomp">'Exec Comp'!$168:$168</definedName>
    <definedName name="z_9SC16I0108_MO_OS_Director1stockawardcomp">'Exec Comp'!$179:$179</definedName>
    <definedName name="z_9SC16I0108_MO_OS_Director2allothercomp">'Exec Comp'!$191:$191</definedName>
    <definedName name="z_9SC16I0108_MO_OS_Director2cashcomp">'Exec Comp'!$169:$169</definedName>
    <definedName name="z_9SC16I0108_MO_OS_Director2stockawardcomp">'Exec Comp'!$180:$180</definedName>
    <definedName name="z_9SC16I0108_MO_OS_Director3allothercomp">'Exec Comp'!$192:$192</definedName>
    <definedName name="z_9SC16I0108_MO_OS_Director3cashcomp">'Exec Comp'!$170:$170</definedName>
    <definedName name="z_9SC16I0108_MO_OS_Director3stockawardcomp">'Exec Comp'!$181:$181</definedName>
    <definedName name="z_9SC16I0108_MO_OS_Director4allothercomp">'Exec Comp'!$193:$193</definedName>
    <definedName name="z_9SC16I0108_MO_OS_Director4cashcomp">'Exec Comp'!$171:$171</definedName>
    <definedName name="z_9SC16I0108_MO_OS_Director4stockawardcomp">'Exec Comp'!$182:$182</definedName>
    <definedName name="z_9SC16I0108_MO_OS_Director5allothercomp">'Exec Comp'!$194:$194</definedName>
    <definedName name="z_9SC16I0108_MO_OS_Director5cashcomp">'Exec Comp'!$172:$172</definedName>
    <definedName name="z_9SC16I0108_MO_OS_Director5stockawardcomp">'Exec Comp'!$183:$183</definedName>
    <definedName name="z_9SC16I0108_MO_OS_Director6allothercomp">'Exec Comp'!$195:$195</definedName>
    <definedName name="z_9SC16I0108_MO_OS_Director6cashcomp">'Exec Comp'!$173:$173</definedName>
    <definedName name="z_9SC16I0108_MO_OS_Director6stockawardcomp">'Exec Comp'!$184:$184</definedName>
    <definedName name="z_9SC16I0108_MO_OS_Director7allothercomp">'Exec Comp'!$196:$196</definedName>
    <definedName name="z_9SC16I0108_MO_OS_Director7cashcomp">'Exec Comp'!$174:$174</definedName>
    <definedName name="z_9SC16I0108_MO_OS_Director7stockawardcomp">'Exec Comp'!$185:$185</definedName>
    <definedName name="z_9SC16I0108_MO_OS_Director8allothercomp">'Exec Comp'!$197:$197</definedName>
    <definedName name="z_9SC16I0108_MO_OS_Director8cashcomp">'Exec Comp'!$175:$175</definedName>
    <definedName name="z_9SC16I0108_MO_OS_Director8stockawardcomp">'Exec Comp'!$186:$186</definedName>
    <definedName name="z_9SC16I0108_MO_OS_Director9allothercomp">'Exec Comp'!$198:$198</definedName>
    <definedName name="z_9SC16I0108_MO_OS_Director9cashcomp">'Exec Comp'!$176:$176</definedName>
    <definedName name="z_9SC16I0108_MO_OS_Director9stockawardcomp">'Exec Comp'!$187:$187</definedName>
    <definedName name="z_9SC16I0108_MO_OS_DirectorsStockOwnershipGuidelinessharesequivalentvalue">'Exec Comp'!$207:$207</definedName>
    <definedName name="z_9SC16I0108_MO_OS_Employees">Model!$315:$315</definedName>
    <definedName name="z_9SC16I0108_MO_OS_EndofPeriodStockPrice">Model!$526:$526</definedName>
    <definedName name="z_9SC16I0108_MO_OS_EoPCanalystFullyDilutedSharesOutstanding">Model!$694:$694</definedName>
    <definedName name="z_9SC16I0108_MO_OS_EoPClassAcommonstockoutstanding">Model!$528:$528</definedName>
    <definedName name="z_9SC16I0108_MO_OS_EoPClassBcommonstockoutstanding">Model!$529:$529</definedName>
    <definedName name="z_9SC16I0108_MO_OS_EoPESPPObligations">Model!$594:$594</definedName>
    <definedName name="z_9SC16I0108_MO_OS_EoPOthers">Model!$592:$592</definedName>
    <definedName name="z_9SC16I0108_MO_OS_EoPPotentiallyDilutiveSecurities">Model!$596:$596</definedName>
    <definedName name="z_9SC16I0108_MO_OS_EoPTotalSharesOutstanding">Model!$530:$530</definedName>
    <definedName name="z_9SC16I0108_MO_OS_EoPTotalSharesOutstandingexclrestrictedstock">Model!$532:$532</definedName>
    <definedName name="z_9SC16I0108_MO_OS_EoPTotalStockOptionsExercisable">Model!$570:$570</definedName>
    <definedName name="z_9SC16I0108_MO_OS_EoPTotalStockOptionsOutstanding">Model!$547:$547</definedName>
    <definedName name="z_9SC16I0108_MO_OS_EoPTotalStockOptionsOutstanding_2">Model!$566:$566</definedName>
    <definedName name="z_9SC16I0108_MO_OS_EoPTotalStockOptionsOutstandingexclgrantedacquisition">Model!$559:$559</definedName>
    <definedName name="z_9SC16I0108_MO_OS_EoPUnvestedPSOs">Model!$590:$590</definedName>
    <definedName name="z_9SC16I0108_MO_OS_EoPUnvestedPSUs">Model!$589:$589</definedName>
    <definedName name="z_9SC16I0108_MO_OS_EoPUnvestedRSUPrice">Model!$587:$587</definedName>
    <definedName name="z_9SC16I0108_MO_OS_EoPUnvestedRSUs">Model!$531:$531</definedName>
    <definedName name="z_9SC16I0108_MO_OS_EoPUnvestedRSUs_1">Model!$581:$581</definedName>
    <definedName name="z_9SC16I0108_MO_OS_EoPWarrants">Model!$573:$573</definedName>
    <definedName name="z_9SC16I0108_MO_OS_EoPWarrantsAverageExercisePrice">Model!$574:$574</definedName>
    <definedName name="z_9SC16I0108_MO_OS_EoPWeightedAverageExercisableOptionExercisePrice">Model!$571:$571</definedName>
    <definedName name="z_9SC16I0108_MO_OS_EoPWeightedAverageExercisePrice">Model!$554:$554</definedName>
    <definedName name="z_9SC16I0108_MO_OS_EoPWeightedAverageExercisePricePerShareexclgrantedandacquisition">Model!$564:$564</definedName>
    <definedName name="z_9SC16I0108_MO_OS_europemiddleeastandafricarevenue">Model!$242:$242</definedName>
    <definedName name="z_9SC16I0108_MO_OS_EuropeMiddleEastandAfricarevenuemix">Model!$252:$252</definedName>
    <definedName name="z_9SC16I0108_MO_OS_EVNTMEBITDAFullyDiluted">Model!$714:$714</definedName>
    <definedName name="z_9SC16I0108_MO_OS_EVNTMSalesFullyDiluted">Model!$713:$713</definedName>
    <definedName name="z_9SC16I0108_MO_OS_ExercisedAverageExercisePrice">Model!$552:$552</definedName>
    <definedName name="z_9SC16I0108_MO_OS_ExercisedAverageExercisePrice_1">Model!$562:$562</definedName>
    <definedName name="z_9SC16I0108_MO_OS_ExercisedStockOptions">Model!$545:$545</definedName>
    <definedName name="z_9SC16I0108_MO_OS_ExercisedStockOptions_1">Model!$557:$557</definedName>
    <definedName name="z_9SC16I0108_MO_OS_FirstHalf">"Deleted"</definedName>
    <definedName name="z_9SC16I0108_MO_OS_ForfeitedandCanceledAverageExercisePrice">Model!$553:$553</definedName>
    <definedName name="z_9SC16I0108_MO_OS_ForfeitedandCanceledAverageExercisePrice_1">Model!$563:$563</definedName>
    <definedName name="z_9SC16I0108_MO_OS_ForfeitedandCanceledStockOptions">Model!$546:$546</definedName>
    <definedName name="z_9SC16I0108_MO_OS_ForfeitedandCanceledStockOptions_1">Model!$558:$558</definedName>
    <definedName name="z_9SC16I0108_MO_OS_ForfeitedAveragePrice">Model!$586:$586</definedName>
    <definedName name="z_9SC16I0108_MO_OS_ForfeitedStockunits">Model!$580:$580</definedName>
    <definedName name="z_9SC16I0108_MO_OS_Forwardannualcapexguidancehigh">Model!$925:$925</definedName>
    <definedName name="z_9SC16I0108_MO_OS_Forwardannualcapexguidancelow">Model!$924:$924</definedName>
    <definedName name="z_9SC16I0108_MO_OS_Forwardannualcapexguidancemidpoint">Model!$926:$926</definedName>
    <definedName name="z_9SC16I0108_MO_OS_Forwardannualcapexguidancevariance">Model!$927:$927</definedName>
    <definedName name="z_9SC16I0108_MO_OS_Forwardannualcapexguidancevariance_1">Model!$928:$928</definedName>
    <definedName name="z_9SC16I0108_MO_OS_Forwardannualguidanceapplicableperiod">Model!$752:$752</definedName>
    <definedName name="z_9SC16I0108_MO_OS_Forwardannualguidanceapplicableperiod_1">Model!$825:$825</definedName>
    <definedName name="z_9SC16I0108_MO_OS_Forwardannualguidanceapplicableperiod_2">Model!$878:$878</definedName>
    <definedName name="z_9SC16I0108_MO_OS_Forwardannualguidanceapplicableperiod_3">Model!$923:$923</definedName>
    <definedName name="z_9SC16I0108_MO_OS_ForwardannualguidedYYnonGAAPEBITgrowthhigh">Model!$832:$832</definedName>
    <definedName name="z_9SC16I0108_MO_OS_ForwardannualguidedYYnonGAAPEBITgrowthlow">Model!$831:$831</definedName>
    <definedName name="z_9SC16I0108_MO_OS_ForwardannualguidedYYnonGAAPEBITgrowthmidpoint">Model!$833:$833</definedName>
    <definedName name="z_9SC16I0108_MO_OS_ForwardannualguidedYYnonGAAPEBITmarginimprovementhigh">Model!$840:$840</definedName>
    <definedName name="z_9SC16I0108_MO_OS_ForwardannualguidedYYnonGAAPEBITmarginimprovementlow">Model!$839:$839</definedName>
    <definedName name="z_9SC16I0108_MO_OS_ForwardannualguidedYYnonGAAPEBITmarginimprovementmidpoint">Model!$841:$841</definedName>
    <definedName name="z_9SC16I0108_MO_OS_ForwardannualguidedYYrevenuegrowthhigh">Model!$759:$759</definedName>
    <definedName name="z_9SC16I0108_MO_OS_ForwardannualguidedYYrevenuegrowthlow">Model!$758:$758</definedName>
    <definedName name="z_9SC16I0108_MO_OS_ForwardannualguidedYYrevenuegrowthmidpoint">Model!$760:$760</definedName>
    <definedName name="z_9SC16I0108_MO_OS_ForwardannualguidedYYWADAdjustedEPSgrowthhigh">Model!$891:$891</definedName>
    <definedName name="z_9SC16I0108_MO_OS_ForwardannualguidedYYWADAdjustedEPSgrowthlow">Model!$890:$890</definedName>
    <definedName name="z_9SC16I0108_MO_OS_ForwardannualguidedYYWADAdjustedEPSgrowthmidpoint">Model!$892:$892</definedName>
    <definedName name="z_9SC16I0108_MO_OS_ForwardannualnonGAAPEBITguidancehigh">Model!$827:$827</definedName>
    <definedName name="z_9SC16I0108_MO_OS_ForwardannualnonGAAPEBITguidancelow">Model!$826:$826</definedName>
    <definedName name="z_9SC16I0108_MO_OS_ForwardannualnonGAAPEBITguidancemidpoint">Model!$828:$828</definedName>
    <definedName name="z_9SC16I0108_MO_OS_ForwardannualnonGAAPEBITguidancevariance">Model!$829:$829</definedName>
    <definedName name="z_9SC16I0108_MO_OS_ForwardannualnonGAAPEBITguidancevariance_1">Model!$830:$830</definedName>
    <definedName name="z_9SC16I0108_MO_OS_ForwardannualnonGAAPEBITmarginguidancehigh">Model!$836:$836</definedName>
    <definedName name="z_9SC16I0108_MO_OS_ForwardannualnonGAAPEBITmarginguidancelow">Model!$835:$835</definedName>
    <definedName name="z_9SC16I0108_MO_OS_ForwardannualnonGAAPEBITmarginguidancemidpoint">Model!$837:$837</definedName>
    <definedName name="z_9SC16I0108_MO_OS_ForwardannualnonGAAPEBITmarginguidancevariance">Model!$838:$838</definedName>
    <definedName name="z_9SC16I0108_MO_OS_Forwardannualrevenueguidancehigh">Model!$754:$754</definedName>
    <definedName name="z_9SC16I0108_MO_OS_Forwardannualrevenueguidancelow">Model!$753:$753</definedName>
    <definedName name="z_9SC16I0108_MO_OS_Forwardannualrevenueguidancemidpoint">Model!$755:$755</definedName>
    <definedName name="z_9SC16I0108_MO_OS_Forwardannualrevenueguidancevariance">Model!$756:$756</definedName>
    <definedName name="z_9SC16I0108_MO_OS_Forwardannualrevenueguidancevariance_1">Model!$757:$757</definedName>
    <definedName name="z_9SC16I0108_MO_OS_ForwardannualWADAdjustedEPSguidancehigh">Model!$884:$884</definedName>
    <definedName name="z_9SC16I0108_MO_OS_ForwardannualWADAdjustedEPSguidancelow">Model!$881:$881</definedName>
    <definedName name="z_9SC16I0108_MO_OS_ForwardannualWADAdjustedEPSguidancemidpoint">Model!$887:$887</definedName>
    <definedName name="z_9SC16I0108_MO_OS_ForwardannualWADAdjustedEPSguidancevariance">Model!$888:$888</definedName>
    <definedName name="z_9SC16I0108_MO_OS_ForwardannualWADAdjustedEPSguidancevariance_1">Model!$889:$889</definedName>
    <definedName name="z_9SC16I0108_MO_OS_ForwardannualWADadjustednetincomeguidancehigh">Model!$882:$882</definedName>
    <definedName name="z_9SC16I0108_MO_OS_ForwardannualWADadjustednetincomeguidancelow">Model!$879:$879</definedName>
    <definedName name="z_9SC16I0108_MO_OS_ForwardannualWADadjustednetincomeguidancemidpoint">Model!$885:$885</definedName>
    <definedName name="z_9SC16I0108_MO_OS_ForwardannualWADadjustedsharesguidancehigh">Model!$883:$883</definedName>
    <definedName name="z_9SC16I0108_MO_OS_ForwardannualWADadjustedsharesguidancelow">Model!$880:$880</definedName>
    <definedName name="z_9SC16I0108_MO_OS_ForwardannualWADadjustedsharesguidancemidpoint">Model!$886:$886</definedName>
    <definedName name="z_9SC16I0108_MO_OS_Forwardguidancereportdate">Model!$734:$734</definedName>
    <definedName name="z_9SC16I0108_MO_OS_Forwardguidancereportdate_1">Model!$796:$796</definedName>
    <definedName name="z_9SC16I0108_MO_OS_Forwardguidancereportdate_2">Model!$860:$860</definedName>
    <definedName name="z_9SC16I0108_MO_OS_Forwardguidancereportdate_3">Model!$908:$908</definedName>
    <definedName name="z_9SC16I0108_MO_OS_Forwardquarterlycapexguidancehigh">Model!$911:$911</definedName>
    <definedName name="z_9SC16I0108_MO_OS_Forwardquarterlycapexguidancelow">Model!$910:$910</definedName>
    <definedName name="z_9SC16I0108_MO_OS_Forwardquarterlycapexguidancemidpoint">Model!$912:$912</definedName>
    <definedName name="z_9SC16I0108_MO_OS_Forwardquarterlycapexguidancevariance">Model!$913:$913</definedName>
    <definedName name="z_9SC16I0108_MO_OS_Forwardquarterlycapexguidancevariance_1">Model!$914:$914</definedName>
    <definedName name="z_9SC16I0108_MO_OS_Forwardquarterlyguidanceapplicableperiod">Model!$735:$735</definedName>
    <definedName name="z_9SC16I0108_MO_OS_Forwardquarterlyguidanceapplicableperiod_1">Model!$797:$797</definedName>
    <definedName name="z_9SC16I0108_MO_OS_Forwardquarterlyguidanceapplicableperiod_2">Model!$861:$861</definedName>
    <definedName name="z_9SC16I0108_MO_OS_Forwardquarterlyguidanceapplicableperiod_3">Model!$909:$909</definedName>
    <definedName name="z_9SC16I0108_MO_OS_ForwardquarterlyguidedQQnonGAAPEBITgrowthhigh">Model!$804:$804</definedName>
    <definedName name="z_9SC16I0108_MO_OS_ForwardquarterlyguidedQQnonGAAPEBITgrowthlow">Model!$803:$803</definedName>
    <definedName name="z_9SC16I0108_MO_OS_ForwardquarterlyguidedQQnonGAAPEBITgrowthmidpoint">Model!$805:$805</definedName>
    <definedName name="z_9SC16I0108_MO_OS_ForwardquarterlyguidedQQnonGAAPEBITmarginimprovementhigh">Model!$815:$815</definedName>
    <definedName name="z_9SC16I0108_MO_OS_ForwardquarterlyguidedQQnonGAAPEBITmarginimprovementlow">Model!$814:$814</definedName>
    <definedName name="z_9SC16I0108_MO_OS_ForwardquarterlyguidedQQnonGAAPEBITmarginimprovementmidpoint">Model!$816:$816</definedName>
    <definedName name="z_9SC16I0108_MO_OS_ForwardquarterlyguidedQQrevenuegrowthhigh">Model!$742:$742</definedName>
    <definedName name="z_9SC16I0108_MO_OS_ForwardquarterlyguidedQQrevenuegrowthlow">Model!$741:$741</definedName>
    <definedName name="z_9SC16I0108_MO_OS_ForwardquarterlyguidedQQrevenuegrowthmidpoint">Model!$743:$743</definedName>
    <definedName name="z_9SC16I0108_MO_OS_ForwardquarterlyguidedQQWADAdjustedEPSgrowthhigh">Model!$868:$868</definedName>
    <definedName name="z_9SC16I0108_MO_OS_ForwardquarterlyguidedQQWADAdjustedEPSgrowthlow">Model!$867:$867</definedName>
    <definedName name="z_9SC16I0108_MO_OS_ForwardquarterlyguidedQQWADAdjustedEPSgrowthmidpoint">Model!$869:$869</definedName>
    <definedName name="z_9SC16I0108_MO_OS_ForwardquarterlyguidedYYnonGAAPEBITgrowthhigh">Model!$807:$807</definedName>
    <definedName name="z_9SC16I0108_MO_OS_ForwardquarterlyguidedYYnonGAAPEBITgrowthlow">Model!$806:$806</definedName>
    <definedName name="z_9SC16I0108_MO_OS_ForwardquarterlyguidedYYnonGAAPEBITgrowthmidpoint">Model!$808:$808</definedName>
    <definedName name="z_9SC16I0108_MO_OS_ForwardquarterlyguidedYYnonGAAPEBITmarginimprovementhigh">Model!$818:$818</definedName>
    <definedName name="z_9SC16I0108_MO_OS_ForwardquarterlyguidedYYnonGAAPEBITmarginimprovementlow">Model!$817:$817</definedName>
    <definedName name="z_9SC16I0108_MO_OS_ForwardquarterlyguidedYYnonGAAPEBITmarginimprovementmidpoint">Model!$819:$819</definedName>
    <definedName name="z_9SC16I0108_MO_OS_ForwardquarterlyguidedYYrevenuegrowthhigh">Model!$745:$745</definedName>
    <definedName name="z_9SC16I0108_MO_OS_ForwardquarterlyguidedYYrevenuegrowthhigh_1">Model!$916:$916</definedName>
    <definedName name="z_9SC16I0108_MO_OS_ForwardquarterlyguidedYYrevenuegrowthlow">Model!$744:$744</definedName>
    <definedName name="z_9SC16I0108_MO_OS_ForwardquarterlyguidedYYrevenuegrowthlow_1">Model!$915:$915</definedName>
    <definedName name="z_9SC16I0108_MO_OS_ForwardquarterlyguidedYYrevenuegrowthmidpoint">Model!$746:$746</definedName>
    <definedName name="z_9SC16I0108_MO_OS_ForwardquarterlyguidedYYrevenuegrowthmidpoint_1">Model!$917:$917</definedName>
    <definedName name="z_9SC16I0108_MO_OS_ForwardquarterlyguidedYYWADAdjustedEPSgrowthhigh">Model!$871:$871</definedName>
    <definedName name="z_9SC16I0108_MO_OS_ForwardquarterlyguidedYYWADAdjustedEPSgrowthlow">Model!$870:$870</definedName>
    <definedName name="z_9SC16I0108_MO_OS_ForwardquarterlyguidedYYWADAdjustedEPSgrowthmidpoint">Model!$872:$872</definedName>
    <definedName name="z_9SC16I0108_MO_OS_ForwardquarterlynonGAAPEBITguidancehigh">Model!$799:$799</definedName>
    <definedName name="z_9SC16I0108_MO_OS_ForwardquarterlynonGAAPEBITguidancelow">Model!$798:$798</definedName>
    <definedName name="z_9SC16I0108_MO_OS_ForwardquarterlynonGAAPEBITguidancemidpoint">Model!$800:$800</definedName>
    <definedName name="z_9SC16I0108_MO_OS_ForwardquarterlynonGAAPEBITguidancevariance">Model!$801:$801</definedName>
    <definedName name="z_9SC16I0108_MO_OS_ForwardquarterlynonGAAPEBITguidancevariance_1">Model!$802:$802</definedName>
    <definedName name="z_9SC16I0108_MO_OS_ForwardquarterlynonGAAPEBITmarginguidancehigh">Model!$811:$811</definedName>
    <definedName name="z_9SC16I0108_MO_OS_ForwardquarterlynonGAAPEBITmarginguidancelow">Model!$810:$810</definedName>
    <definedName name="z_9SC16I0108_MO_OS_ForwardquarterlynonGAAPEBITmarginguidancemidpoint">Model!$812:$812</definedName>
    <definedName name="z_9SC16I0108_MO_OS_ForwardquarterlynonGAAPEBITmarginguidancevariance">Model!$813:$813</definedName>
    <definedName name="z_9SC16I0108_MO_OS_Forwardquarterlyrevenueguidancehigh">Model!$737:$737</definedName>
    <definedName name="z_9SC16I0108_MO_OS_Forwardquarterlyrevenueguidancelow">Model!$736:$736</definedName>
    <definedName name="z_9SC16I0108_MO_OS_Forwardquarterlyrevenueguidancemidpoint">Model!$738:$738</definedName>
    <definedName name="z_9SC16I0108_MO_OS_Forwardquarterlyrevenueguidancevariance">Model!$739:$739</definedName>
    <definedName name="z_9SC16I0108_MO_OS_Forwardquarterlyrevenueguidancevariance_1">Model!$740:$740</definedName>
    <definedName name="z_9SC16I0108_MO_OS_ForwardquarterlyWADAdjustedEPSguidancehigh">Model!$863:$863</definedName>
    <definedName name="z_9SC16I0108_MO_OS_ForwardquarterlyWADAdjustedEPSguidancelow">Model!$862:$862</definedName>
    <definedName name="z_9SC16I0108_MO_OS_ForwardquarterlyWADAdjustedEPSguidancemidpoint">Model!$864:$864</definedName>
    <definedName name="z_9SC16I0108_MO_OS_ForwardquarterlyWADAdjustedEPSguidancevariance">Model!$865:$865</definedName>
    <definedName name="z_9SC16I0108_MO_OS_ForwardquarterlyWADAdjustedEPSguidancevariance_1">Model!$866:$866</definedName>
    <definedName name="z_9SC16I0108_MO_OS_FreeCashFlow">Model!$297:$297</definedName>
    <definedName name="z_9SC16I0108_MO_OS_FreeCashFlowLTM">Model!$298:$298</definedName>
    <definedName name="z_9SC16I0108_MO_OS_FreeCashFlowmarginLTM">Model!$301:$301</definedName>
    <definedName name="z_9SC16I0108_MO_OS_FullyDilutedEV">Model!$711:$711</definedName>
    <definedName name="z_9SC16I0108_MO_OS_functionalverificationincludingemulationhardwarerevenue">Model!$24:$24</definedName>
    <definedName name="z_9SC16I0108_MO_OS_functionalverificationincludingemulationhardwarerevenue_1">Model!$7:$7</definedName>
    <definedName name="z_9SC16I0108_MO_OS_GAAPGA">Model!$64:$64</definedName>
    <definedName name="z_9SC16I0108_MO_OS_GAAPGAMargin">Model!$66:$66</definedName>
    <definedName name="z_9SC16I0108_MO_OS_GAAPGrossprofit">"Deleted"</definedName>
    <definedName name="z_9SC16I0108_MO_OS_GAAPGrossProfit_2">Model!$36:$36</definedName>
    <definedName name="z_9SC16I0108_MO_OS_GAAPGrossProfitmargin">"Deleted"</definedName>
    <definedName name="z_9SC16I0108_MO_OS_GAAPGrossProfitmargin_1">Model!$38:$38</definedName>
    <definedName name="z_9SC16I0108_MO_OS_GAAPOperatingIncome">Model!$93:$93</definedName>
    <definedName name="z_9SC16I0108_MO_OS_GAAPOperatingIncomemargin">Model!$95:$95</definedName>
    <definedName name="z_9SC16I0108_MO_OS_GAAPRD">Model!$51:$51</definedName>
    <definedName name="z_9SC16I0108_MO_OS_GAAPRDMargin">Model!$53:$53</definedName>
    <definedName name="z_9SC16I0108_MO_OS_GAAPSM">Model!$77:$77</definedName>
    <definedName name="z_9SC16I0108_MO_OS_GAAPSMMargin">Model!$79:$79</definedName>
    <definedName name="z_9SC16I0108_MO_OS_GAChangeContributionstononprofitorganizations">Model!$146:$146</definedName>
    <definedName name="z_9SC16I0108_MO_OS_GAChangeinacquisitionrelatedcosts">Model!$155:$155</definedName>
    <definedName name="z_9SC16I0108_MO_OS_GAChangeinbaddebt">Model!$150:$150</definedName>
    <definedName name="z_9SC16I0108_MO_OS_GAChangeinchangesoffairvalueofcontingentconsideration">Model!$158:$158</definedName>
    <definedName name="z_9SC16I0108_MO_OS_GAChangeincustomsandotherimportrelatedcosts">Model!$149:$149</definedName>
    <definedName name="z_9SC16I0108_MO_OS_GAChangeindepreciation">Model!$159:$159</definedName>
    <definedName name="z_9SC16I0108_MO_OS_GAChangeinfacilitiesandotherinfrastructurecosts">Model!$151:$151</definedName>
    <definedName name="z_9SC16I0108_MO_OS_GAChangeinforeignbusinesstaxbenefits">Model!$156:$156</definedName>
    <definedName name="z_9SC16I0108_MO_OS_GAChangeinlegalfeesandrelatedcosts">Model!$153:$153</definedName>
    <definedName name="z_9SC16I0108_MO_OS_GAChangeinotheritems">Model!$161:$161</definedName>
    <definedName name="z_9SC16I0108_MO_OS_GAChangeinprofessionalservices">Model!$152:$152</definedName>
    <definedName name="z_9SC16I0108_MO_OS_GAChangeinsalarybenefitsandotheremployeerelatedcosts">Model!$145:$145</definedName>
    <definedName name="z_9SC16I0108_MO_OS_GAChangeinsoftwarelicensesandmaintenancecosts">Model!$160:$160</definedName>
    <definedName name="z_9SC16I0108_MO_OS_GAChangeinstockbasedcompensation">Model!$147:$147</definedName>
    <definedName name="z_9SC16I0108_MO_OS_GAChangeintravel">Model!$157:$157</definedName>
    <definedName name="z_9SC16I0108_MO_OS_GAChangeinuniversityendowment">Model!$154:$154</definedName>
    <definedName name="z_9SC16I0108_MO_OS_GAChangeinvoluntaryretirementprogram">Model!$148:$148</definedName>
    <definedName name="z_9SC16I0108_MO_OS_GrantedAverageExercisePrice">Model!$551:$551</definedName>
    <definedName name="z_9SC16I0108_MO_OS_GrantedAveragePrice">Model!$584:$584</definedName>
    <definedName name="z_9SC16I0108_MO_OS_GrantedStockOptions">Model!$544:$544</definedName>
    <definedName name="z_9SC16I0108_MO_OS_GrantedStockunits">Model!$578:$578</definedName>
    <definedName name="z_9SC16I0108_MO_OS_ImpliedARR">Model!$306:$306</definedName>
    <definedName name="z_9SC16I0108_MO_OS_ImpliedARRgrowthyy">Model!$307:$307</definedName>
    <definedName name="z_9SC16I0108_MO_OS_ImpliedCACpayback">Model!$311:$311</definedName>
    <definedName name="z_9SC16I0108_MO_OS_ImpliedMagicNumber">Model!$309:$309</definedName>
    <definedName name="z_9SC16I0108_MO_OS_ImpliedNetNewARR">Model!$308:$308</definedName>
    <definedName name="z_9SC16I0108_MO_OS_ImpliedrestofyearrevenueatBoP">Model!$767:$767</definedName>
    <definedName name="z_9SC16I0108_MO_OS_ImpliedrestofyearrevenueatEoP">Model!$768:$768</definedName>
    <definedName name="z_9SC16I0108_MO_OS_IncomingCEOAllothercompensation">'Exec Comp'!$17:$17</definedName>
    <definedName name="z_9SC16I0108_MO_OS_IncomingCEOBasePay">'Exec Comp'!$13:$13</definedName>
    <definedName name="z_9SC16I0108_MO_OS_IncomingCEONonequityincentiveplans">'Exec Comp'!$16:$16</definedName>
    <definedName name="z_9SC16I0108_MO_OS_IncomingCEOOptionAwards">'Exec Comp'!$15:$15</definedName>
    <definedName name="z_9SC16I0108_MO_OS_IncomingCEOStockAwards">'Exec Comp'!$14:$14</definedName>
    <definedName name="z_9SC16I0108_MO_OS_IncomingCEOTotalComp">'Exec Comp'!$18:$18</definedName>
    <definedName name="z_9SC16I0108_MO_OS_IncreasedecreaseinrevenueoutlookforROY">Model!$763:$763</definedName>
    <definedName name="z_9SC16I0108_MO_OS_InitialCapPrice2011">Model!$625:$625</definedName>
    <definedName name="z_9SC16I0108_MO_OS_InitialCapPrice2013">Model!$642:$642</definedName>
    <definedName name="z_9SC16I0108_MO_OS_InitialCapPrice2015">Model!$659:$659</definedName>
    <definedName name="z_9SC16I0108_MO_OS_InitialCapPrice2023">Model!$676:$676</definedName>
    <definedName name="z_9SC16I0108_MO_OS_InitialCapPrice20X1">Model!$608:$608</definedName>
    <definedName name="z_9SC16I0108_MO_OS_InitialConversionPrice2011">Model!$620:$620</definedName>
    <definedName name="z_9SC16I0108_MO_OS_InitialConversionPrice2013">Model!$637:$637</definedName>
    <definedName name="z_9SC16I0108_MO_OS_InitialConversionPrice2015">Model!$654:$654</definedName>
    <definedName name="z_9SC16I0108_MO_OS_InitialConversionPrice2023">Model!$671:$671</definedName>
    <definedName name="z_9SC16I0108_MO_OS_InitialConversionPrice20X1">Model!$603:$603</definedName>
    <definedName name="z_9SC16I0108_MO_OS_IntangibleamortizationCOGS">"Deleted"</definedName>
    <definedName name="z_9SC16I0108_MO_OS_IntangibleamortizationCOGS_1">Model!$43:$43</definedName>
    <definedName name="z_9SC16I0108_MO_OS_iprevenue">Model!$30:$30</definedName>
    <definedName name="z_9SC16I0108_MO_OS_iprevenue_1">Model!$18:$18</definedName>
    <definedName name="z_9SC16I0108_MO_OS_japanrevenue">Model!$243:$243</definedName>
    <definedName name="z_9SC16I0108_MO_OS_Japanrevenuemix">Model!$253:$253</definedName>
    <definedName name="z_9SC16I0108_MO_OS_LastWorkingDay">Model!$525:$525</definedName>
    <definedName name="z_9SC16I0108_MO_OS_Lessallowancefordoubtfulaccounts">Model!$282:$282</definedName>
    <definedName name="z_9SC16I0108_MO_OS_Longtermdeferredrevenue">Model!$268:$268</definedName>
    <definedName name="z_9SC16I0108_MO_OS_Longtermdeferredrevenueasoftotaldeferredrevenue">Model!$272:$272</definedName>
    <definedName name="z_9SC16I0108_MO_OS_Longtermreceivables">Model!$280:$280</definedName>
    <definedName name="z_9SC16I0108_MO_OS_Maintenancerevenue_1">"Deleted"</definedName>
    <definedName name="z_9SC16I0108_MO_OS_MarketCapEoP">'Exec Comp'!$27:$27</definedName>
    <definedName name="z_9SC16I0108_MO_OS_MarketCapEoP_1">'Exec Comp'!$202:$202</definedName>
    <definedName name="z_9SC16I0108_MO_OS_MSChangeinfacilitiesandotherinfrastructurecosts">Model!$124:$124</definedName>
    <definedName name="z_9SC16I0108_MO_OS_MSChangeinhomeofficerelatedexpenses">Model!$119:$119</definedName>
    <definedName name="z_9SC16I0108_MO_OS_MSChangeinmarketingprograms">Model!$121:$121</definedName>
    <definedName name="z_9SC16I0108_MO_OS_MSChangeinotheritems">Model!$125:$125</definedName>
    <definedName name="z_9SC16I0108_MO_OS_MSChangeinprofessionalservices">Model!$123:$123</definedName>
    <definedName name="z_9SC16I0108_MO_OS_MSChangeinsalarybenefitsandotheremployeerelatedcosts">Model!$117:$117</definedName>
    <definedName name="z_9SC16I0108_MO_OS_MSChangeinstockbasedcompensation">Model!$120:$120</definedName>
    <definedName name="z_9SC16I0108_MO_OS_MSChangeintravelandsalessupport">Model!$122:$122</definedName>
    <definedName name="z_9SC16I0108_MO_OS_MSChangeinvoluntaryretirementprogram">Model!$118:$118</definedName>
    <definedName name="z_9SC16I0108_MO_OS_NetDebt">Model!$705:$705</definedName>
    <definedName name="z_9SC16I0108_MO_OS_Netrevenue">Model!$34:$34</definedName>
    <definedName name="z_9SC16I0108_MO_OS_NoncontrollingInterest">Model!$708:$708</definedName>
    <definedName name="z_9SC16I0108_MO_OS_NonGAAPEBITbeatmissvsmostrecentguidancemidpoint">Model!$778:$778</definedName>
    <definedName name="z_9SC16I0108_MO_OS_NonGAAPEBITguidanceinitialmidpoint">Model!$772:$772</definedName>
    <definedName name="z_9SC16I0108_MO_OS_NonGAAPEBITguidancemostrecentmidpoint">Model!$776:$776</definedName>
    <definedName name="z_9SC16I0108_MO_OS_NonGAAPEBITguidanceupdate1midpoint">Model!$773:$773</definedName>
    <definedName name="z_9SC16I0108_MO_OS_NonGAAPEBITguidanceupdate2midpoint">Model!$774:$774</definedName>
    <definedName name="z_9SC16I0108_MO_OS_NonGAAPEBITguidanceupdate3midpoint">Model!$775:$775</definedName>
    <definedName name="z_9SC16I0108_MO_OS_NonGAAPEBITMarginguidanceinitialmidpoint">Model!$788:$788</definedName>
    <definedName name="z_9SC16I0108_MO_OS_NonGAAPEBITMarginguidancemostrecentmidpoint">Model!$792:$792</definedName>
    <definedName name="z_9SC16I0108_MO_OS_NonGAAPEBITMarginguidanceupdate1midpoint">Model!$789:$789</definedName>
    <definedName name="z_9SC16I0108_MO_OS_NonGAAPEBITMarginguidanceupdate2midpoint">Model!$790:$790</definedName>
    <definedName name="z_9SC16I0108_MO_OS_NonGAAPEBITMarginguidanceupdate3midpoint">Model!$791:$791</definedName>
    <definedName name="z_9SC16I0108_MO_OS_NonGAAPEBITMarginreportedmodelestimate">Model!$793:$793</definedName>
    <definedName name="z_9SC16I0108_MO_OS_NonGAAPEBITreportedmodelestimate">Model!$777:$777</definedName>
    <definedName name="z_9SC16I0108_MO_OS_NonGAAPGA">Model!$72:$72</definedName>
    <definedName name="z_9SC16I0108_MO_OS_NonGAAPGAMargin">Model!$74:$74</definedName>
    <definedName name="z_9SC16I0108_MO_OS_NonGAAPGrossprofit">"Deleted"</definedName>
    <definedName name="z_9SC16I0108_MO_OS_NonGAAPGrossProfit_2">Model!$45:$45</definedName>
    <definedName name="z_9SC16I0108_MO_OS_NonGAAPGrossProfitmargin">"Deleted"</definedName>
    <definedName name="z_9SC16I0108_MO_OS_NonGAAPGrossProfitmargin_1">Model!$47:$47</definedName>
    <definedName name="z_9SC16I0108_MO_OS_NonGAAPOperatingIncome">Model!$99:$99</definedName>
    <definedName name="z_9SC16I0108_MO_OS_NonGAAPOperatingIncomemargin">Model!$102:$102</definedName>
    <definedName name="z_9SC16I0108_MO_OS_NonGAAPOperatingMarginactual">'Exec Comp'!$214:$214</definedName>
    <definedName name="z_9SC16I0108_MO_OS_NonGAAPOperatingMarginactual_1">'Exec Comp'!$220:$220</definedName>
    <definedName name="z_9SC16I0108_MO_OS_NonGAAPOperatingMargingoal">'Exec Comp'!$213:$213</definedName>
    <definedName name="z_9SC16I0108_MO_OS_NonGAAPOperatingMargingoal_1">'Exec Comp'!$219:$219</definedName>
    <definedName name="z_9SC16I0108_MO_OS_NonGAAPRD">Model!$59:$59</definedName>
    <definedName name="z_9SC16I0108_MO_OS_NonGAAPRDMargin">Model!$61:$61</definedName>
    <definedName name="z_9SC16I0108_MO_OS_NonGAAPSM">Model!$85:$85</definedName>
    <definedName name="z_9SC16I0108_MO_OS_NonGAAPSMMargin">Model!$87:$87</definedName>
    <definedName name="z_9SC16I0108_MO_OS_OperatingLeaseLiabilities">Model!$704:$704</definedName>
    <definedName name="z_9SC16I0108_MO_OS_OtheradjustmentsGA">Model!$71:$71</definedName>
    <definedName name="z_9SC16I0108_MO_OS_OtheradjustmentsRD">Model!$58:$58</definedName>
    <definedName name="z_9SC16I0108_MO_OS_OtheradjustmentsSM">Model!$84:$84</definedName>
    <definedName name="z_9SC16I0108_MO_OS_OtherAmericasrevenue">Model!$237:$237</definedName>
    <definedName name="z_9SC16I0108_MO_OS_OtherAmericasrevenuemix">Model!$247:$247</definedName>
    <definedName name="z_9SC16I0108_MO_OS_OtherAmortizationofacquiredintangibleassets">Model!$167:$167</definedName>
    <definedName name="z_9SC16I0108_MO_OS_OtherAsiarevenue">Model!$240:$240</definedName>
    <definedName name="z_9SC16I0108_MO_OS_OtherAsiarevenuemix">Model!$250:$250</definedName>
    <definedName name="z_9SC16I0108_MO_OS_OtherCOGSAdjustments">"Deleted"</definedName>
    <definedName name="z_9SC16I0108_MO_OS_OtherCOGSAdjustments_1">Model!$44:$44</definedName>
    <definedName name="z_9SC16I0108_MO_OS_OtherDA">Model!$169:$169</definedName>
    <definedName name="z_9SC16I0108_MO_OS_OtherEVComponents">Model!$710:$710</definedName>
    <definedName name="z_9SC16I0108_MO_OS_OtherExecutiveOfficersreportingtoCEOStockOwnershipGuidelines">'Exec Comp'!$206:$206</definedName>
    <definedName name="z_9SC16I0108_MO_OS_OtherGAAPexpenses">Model!$91:$91</definedName>
    <definedName name="z_9SC16I0108_MO_OS_OtherNonGAAPOperatingItems">Model!$98:$98</definedName>
    <definedName name="z_9SC16I0108_MO_OS_OutgoingCEOAllothercompensation">'Exec Comp'!$11:$11</definedName>
    <definedName name="z_9SC16I0108_MO_OS_OutgoingCEOBasePay">'Exec Comp'!$7:$7</definedName>
    <definedName name="z_9SC16I0108_MO_OS_OutgoingCEONonequityincentiveplans">'Exec Comp'!$10:$10</definedName>
    <definedName name="z_9SC16I0108_MO_OS_OutgoingCEOOptionAwards">'Exec Comp'!$9:$9</definedName>
    <definedName name="z_9SC16I0108_MO_OS_OutgoingCEOStockAwards">'Exec Comp'!$8:$8</definedName>
    <definedName name="z_9SC16I0108_MO_OS_OutgoingCEOTotalComp">'Exec Comp'!$12:$12</definedName>
    <definedName name="z_9SC16I0108_MO_OS_PreferredShares">Model!$709:$709</definedName>
    <definedName name="z_9SC16I0108_MO_OS_Prepaidexpensesandother_1">Model!$1196:$1196</definedName>
    <definedName name="z_9SC16I0108_MO_OS_PrepaidexpensesandotherYYChange">Model!$1201:$1201</definedName>
    <definedName name="z_9SC16I0108_MO_OS_PreviousCostofproductandmaintenance">Model!$107:$107</definedName>
    <definedName name="z_9SC16I0108_MO_OS_PreviousGA">Model!$144:$144</definedName>
    <definedName name="z_9SC16I0108_MO_OS_PreviousMarketingandsales">Model!$116:$116</definedName>
    <definedName name="z_9SC16I0108_MO_OS_PreviousRD">Model!$128:$128</definedName>
    <definedName name="z_9SC16I0108_MO_OS_ProductandMaintenancecostofrevenue">Model!$185:$185</definedName>
    <definedName name="z_9SC16I0108_MO_OS_ProductandMaintenanceGAAPGrossProfit">"Deleted"</definedName>
    <definedName name="z_9SC16I0108_MO_OS_ProductandMaintenanceGAAPGrossProfitmargin">"Deleted"</definedName>
    <definedName name="z_9SC16I0108_MO_OS_productandmaintenancegrossmargin">Model!$188:$188</definedName>
    <definedName name="z_9SC16I0108_MO_OS_productandmaintenancegrossprofit">Model!$186:$186</definedName>
    <definedName name="z_9SC16I0108_MO_OS_ProductandMaintenanceIntangibleamortizationCOGS">Model!$193:$193</definedName>
    <definedName name="z_9SC16I0108_MO_OS_ProductandMaintenanceNonGAAPGrossProfit">Model!$195:$195</definedName>
    <definedName name="z_9SC16I0108_MO_OS_ProductandMaintenanceNonGAAPGrossProfitmargin">Model!$197:$197</definedName>
    <definedName name="z_9SC16I0108_MO_OS_ProductandMaintenanceOtherCOGSAdjustments">Model!$194:$194</definedName>
    <definedName name="z_9SC16I0108_MO_OS_ProductandMaintenanceRevenue_2">Model!$182:$182</definedName>
    <definedName name="z_9SC16I0108_MO_OS_ProductandMaintenanceSBCandrelatedchargesCOGS">Model!$191:$191</definedName>
    <definedName name="z_9SC16I0108_MO_OS_ProductandMaintenanceSBCCOGSasaofrevenue">Model!$192:$192</definedName>
    <definedName name="z_9SC16I0108_MO_OS_Productrevenue_1">"Deleted"</definedName>
    <definedName name="z_9SC16I0108_MO_OS_QQbasicshareexpansionEoP">Model!$537:$537</definedName>
    <definedName name="z_9SC16I0108_MO_OS_QQbasicshareexpansionfromdilutivesecurities">Model!$533:$533</definedName>
    <definedName name="z_9SC16I0108_MO_OS_QQbasicshareexpansionfromshareissuancebuyback">Model!$535:$535</definedName>
    <definedName name="z_9SC16I0108_MO_OS_QQbeatmissnonGAAPEBITgrowth">Model!$782:$782</definedName>
    <definedName name="z_9SC16I0108_MO_OS_QQbeatmissrevenuegrowth">Model!$728:$728</definedName>
    <definedName name="z_9SC16I0108_MO_OS_QQbeatmissWADAdjustedEPSgrowth">Model!$854:$854</definedName>
    <definedName name="z_9SC16I0108_MO_OS_QQguidednonGAAPEBITgrowth">Model!$781:$781</definedName>
    <definedName name="z_9SC16I0108_MO_OS_QQguidedrevenuegrowth">Model!$727:$727</definedName>
    <definedName name="z_9SC16I0108_MO_OS_QQguidedWADAdjustedEPSgrowth">Model!$853:$853</definedName>
    <definedName name="z_9SC16I0108_MO_OS_QQnonGAAPEBITgrowth">Model!$783:$783</definedName>
    <definedName name="z_9SC16I0108_MO_OS_QQrevenuegrowth">Model!$729:$729</definedName>
    <definedName name="z_9SC16I0108_MO_OS_QQWADAdjustedEPSgrowth">Model!$855:$855</definedName>
    <definedName name="z_9SC16I0108_MO_OS_Quarterlyrevenueguidancebeatmiss">Model!$762:$762</definedName>
    <definedName name="z_9SC16I0108_MO_OS_RDChangehomeofficerelatedexpenses">Model!$131:$131</definedName>
    <definedName name="z_9SC16I0108_MO_OS_RDChangeindepreciation">Model!$134:$134</definedName>
    <definedName name="z_9SC16I0108_MO_OS_RDChangeinfacilitiesandotherinfrastructurecosts">Model!$135:$135</definedName>
    <definedName name="z_9SC16I0108_MO_OS_RDChangeinmaterialsandotherpreproductioncosts">Model!$136:$136</definedName>
    <definedName name="z_9SC16I0108_MO_OS_RDChangeinotheritems">Model!$141:$141</definedName>
    <definedName name="z_9SC16I0108_MO_OS_RDChangeinproductdevelopmentcosts">Model!$133:$133</definedName>
    <definedName name="z_9SC16I0108_MO_OS_RDChangeinprofessionalservices">Model!$138:$138</definedName>
    <definedName name="z_9SC16I0108_MO_OS_RDChangeinsalarybenefitsandotheremployeerelatedcosts">Model!$129:$129</definedName>
    <definedName name="z_9SC16I0108_MO_OS_RDChangeinseveranceandotherterminationcosts">Model!$140:$140</definedName>
    <definedName name="z_9SC16I0108_MO_OS_RDChangeinsoftwarelicenseandmaintenancecosts">Model!$137:$137</definedName>
    <definedName name="z_9SC16I0108_MO_OS_RDChangeinstockbasedcompensation">Model!$132:$132</definedName>
    <definedName name="z_9SC16I0108_MO_OS_RDChangeintravelandprofessionaldevelopment">Model!$139:$139</definedName>
    <definedName name="z_9SC16I0108_MO_OS_RDChangeinvoluntaryretirementprogram">Model!$130:$130</definedName>
    <definedName name="z_9SC16I0108_MO_OS_Receivablesnet">Model!$1193:$1193</definedName>
    <definedName name="z_9SC16I0108_MO_OS_ReceivablesnetYYChange">Model!$1198:$1198</definedName>
    <definedName name="z_9SC16I0108_MO_OS_RecurringrevenueCalculated">Model!$221:$221</definedName>
    <definedName name="z_9SC16I0108_MO_OS_Recurringrevenuemix">Model!$227:$227</definedName>
    <definedName name="z_9SC16I0108_MO_OS_RecurringrevenuemixTTM">Model!$231:$231</definedName>
    <definedName name="z_9SC16I0108_MO_OS_RelativeCapexbeatmissvsmostrecentguidancemidpoint">Model!$902:$902</definedName>
    <definedName name="z_9SC16I0108_MO_OS_RelativenonGAAPEBITbeatmissvsmostrecentguidancemidpoint">Model!$779:$779</definedName>
    <definedName name="z_9SC16I0108_MO_OS_RelativenonGAAPEBITmarginbeatmissvsmostrecentguidancemidpoint">Model!$794:$794</definedName>
    <definedName name="z_9SC16I0108_MO_OS_Relativerevenuebeatmissvsmostrecentguidancemidpoint">Model!$725:$725</definedName>
    <definedName name="z_9SC16I0108_MO_OS_RelativeWADAdjustedEPSbeatmissvsmostrecentguidancemidpoint">Model!$851:$851</definedName>
    <definedName name="z_9SC16I0108_MO_OS_Revenueactual">'Exec Comp'!$211:$211</definedName>
    <definedName name="z_9SC16I0108_MO_OS_Revenueactual_1">'Exec Comp'!$217:$217</definedName>
    <definedName name="z_9SC16I0108_MO_OS_Revenuebeatmissvsmostrecentguidancemidpoint">Model!$724:$724</definedName>
    <definedName name="z_9SC16I0108_MO_OS_RevenuefromarrangementswithnoncancelablecommitmentsCalculated">Model!$220:$220</definedName>
    <definedName name="z_9SC16I0108_MO_OS_Revenuefromarrangementswithnoncancelablecommitmentsrevenuemix">Model!$226:$226</definedName>
    <definedName name="z_9SC16I0108_MO_OS_Revenuegoal">'Exec Comp'!$210:$210</definedName>
    <definedName name="z_9SC16I0108_MO_OS_Revenuegoal_1">'Exec Comp'!$216:$216</definedName>
    <definedName name="z_9SC16I0108_MO_OS_RevenuegrowthLTM">Model!$300:$300</definedName>
    <definedName name="z_9SC16I0108_MO_OS_Revenueguidanceinitialmidpoint">Model!$718:$718</definedName>
    <definedName name="z_9SC16I0108_MO_OS_Revenueguidancemostrecentmidpoint">Model!$722:$722</definedName>
    <definedName name="z_9SC16I0108_MO_OS_Revenueguidanceupdate1midpoint">Model!$719:$719</definedName>
    <definedName name="z_9SC16I0108_MO_OS_Revenueguidanceupdate2midpoint">Model!$720:$720</definedName>
    <definedName name="z_9SC16I0108_MO_OS_Revenueguidanceupdate3midpoint">Model!$721:$721</definedName>
    <definedName name="z_9SC16I0108_MO_OS_RevenueLTM">Model!$299:$299</definedName>
    <definedName name="z_9SC16I0108_MO_OS_Revenuerecognizedfromdeferredrevenuethatexistatbeginningoftheyear">Model!$274:$274</definedName>
    <definedName name="z_9SC16I0108_MO_OS_RevenuerecognizedovertimeCalculated">Model!$219:$219</definedName>
    <definedName name="z_9SC16I0108_MO_OS_Revenuerecognizedovertimerevenuemix">Model!$225:$225</definedName>
    <definedName name="z_9SC16I0108_MO_OS_Revenuereportedmodelestimate">Model!$723:$723</definedName>
    <definedName name="z_9SC16I0108_MO_OS_RPObookings">Model!$291:$291</definedName>
    <definedName name="z_9SC16I0108_MO_OS_RPObookingsgrowthyy">Model!$292:$292</definedName>
    <definedName name="z_9SC16I0108_MO_OS_RPOgrowthyy">Model!$290:$290</definedName>
    <definedName name="z_9SC16I0108_MO_OS_RPOstoberecognizedoverthenext12months">Model!$257:$257</definedName>
    <definedName name="z_9SC16I0108_MO_OS_RPOstoberecognizedoverthenext12months_1">Model!$260:$260</definedName>
    <definedName name="z_9SC16I0108_MO_OS_RPOstoberecognizedthereafter">Model!$258:$258</definedName>
    <definedName name="z_9SC16I0108_MO_OS_SBCandrelatedchargesCOGS">"Deleted"</definedName>
    <definedName name="z_9SC16I0108_MO_OS_SBCandrelatedchargesCOGS_1">Model!$41:$41</definedName>
    <definedName name="z_9SC16I0108_MO_OS_SBCandrelatedchargesGA">Model!$69:$69</definedName>
    <definedName name="z_9SC16I0108_MO_OS_SBCandrelatedchargesRD">Model!$56:$56</definedName>
    <definedName name="z_9SC16I0108_MO_OS_SBCandrelatedchargesSM">Model!$82:$82</definedName>
    <definedName name="z_9SC16I0108_MO_OS_SBCCOGSasaofrevenue">"Deleted"</definedName>
    <definedName name="z_9SC16I0108_MO_OS_SBCCOGSasaofrevenue_1">Model!$42:$42</definedName>
    <definedName name="z_9SC16I0108_MO_OS_SBCGAasofrevenue">Model!$70:$70</definedName>
    <definedName name="z_9SC16I0108_MO_OS_SBCRDasofrevenue">Model!$57:$57</definedName>
    <definedName name="z_9SC16I0108_MO_OS_SBCSMasofrevenue">Model!$83:$83</definedName>
    <definedName name="z_9SC16I0108_MO_OS_SecondHalf">"Deleted"</definedName>
    <definedName name="z_9SC16I0108_MO_OS_SequentialincreasedecreaseinforwardFYrevenueguidance">Model!$765:$765</definedName>
    <definedName name="z_9SC16I0108_MO_OS_Servicescostofrevenue">Model!$204:$204</definedName>
    <definedName name="z_9SC16I0108_MO_OS_ServicesGAAPGrossProfit">"Deleted"</definedName>
    <definedName name="z_9SC16I0108_MO_OS_ServicesGAAPGrossProfitmargin">"Deleted"</definedName>
    <definedName name="z_9SC16I0108_MO_OS_servicesgrossgrossmargin">Model!$207:$207</definedName>
    <definedName name="z_9SC16I0108_MO_OS_servicesgrossprofit">Model!$205:$205</definedName>
    <definedName name="z_9SC16I0108_MO_OS_ServicesNonGAAPGrossProfit">Model!$213:$213</definedName>
    <definedName name="z_9SC16I0108_MO_OS_ServicesNonGAAPGrossProfitmargin">Model!$215:$215</definedName>
    <definedName name="z_9SC16I0108_MO_OS_ServicesOtherCOGSAdjustments">Model!$212:$212</definedName>
    <definedName name="z_9SC16I0108_MO_OS_ServicesRevenue_2">Model!$201:$201</definedName>
    <definedName name="z_9SC16I0108_MO_OS_ServicesSBCandrelatedchargesCOGS">Model!$210:$210</definedName>
    <definedName name="z_9SC16I0108_MO_OS_ServicesSBCCOGSasaofrevenue">Model!$211:$211</definedName>
    <definedName name="z_9SC16I0108_MO_OS_SharesCovered2011">Model!$624:$624</definedName>
    <definedName name="z_9SC16I0108_MO_OS_SharesCovered2013">Model!$641:$641</definedName>
    <definedName name="z_9SC16I0108_MO_OS_SharesCovered2015">Model!$658:$658</definedName>
    <definedName name="z_9SC16I0108_MO_OS_SharesCovered2023">Model!$675:$675</definedName>
    <definedName name="z_9SC16I0108_MO_OS_SharesCovered20X1">Model!$607:$607</definedName>
    <definedName name="z_9SC16I0108_MO_OS_SharesIssuableUponConversion">Model!$604:$604</definedName>
    <definedName name="z_9SC16I0108_MO_OS_SharesIssuableUponConversion_1">Model!$621:$621</definedName>
    <definedName name="z_9SC16I0108_MO_OS_SharesIssuableUponConversion_2">Model!$638:$638</definedName>
    <definedName name="z_9SC16I0108_MO_OS_SharesIssuableUponConversion_3">Model!$655:$655</definedName>
    <definedName name="z_9SC16I0108_MO_OS_SharesIssuableUponConversion_4">Model!$672:$672</definedName>
    <definedName name="z_9SC16I0108_MO_OS_Shorttermdeferredrevenueasoftotaldeferredrevenue">Model!$271:$271</definedName>
    <definedName name="z_9SC16I0108_MO_OS_systeminterconnectandanalysisrevenue">Model!$29:$29</definedName>
    <definedName name="z_9SC16I0108_MO_OS_systeminterconnectandanalysisrevenue_1">Model!$16:$16</definedName>
    <definedName name="z_9SC16I0108_MO_OS_TheRuleof40">Model!$302:$302</definedName>
    <definedName name="z_9SC16I0108_MO_OS_TotalAmericasrevenue">Model!$238:$238</definedName>
    <definedName name="z_9SC16I0108_MO_OS_TotalAmericasrevenuemix">Model!$248:$248</definedName>
    <definedName name="z_9SC16I0108_MO_OS_Totalamortizationofacquiredintangibles">Model!$168:$168</definedName>
    <definedName name="z_9SC16I0108_MO_OS_TotalAmortizationofDebtIssuanceCost">Model!$689:$689</definedName>
    <definedName name="z_9SC16I0108_MO_OS_TotalAsiarevenuemix">Model!$251:$251</definedName>
    <definedName name="z_9SC16I0108_MO_OS_Totalcostofrevenue">Model!$35:$35</definedName>
    <definedName name="z_9SC16I0108_MO_OS_Totaldeferredrevenue">Model!$269:$269</definedName>
    <definedName name="z_9SC16I0108_MO_OS_TotalDepreciationandAmortization">Model!$170:$170</definedName>
    <definedName name="z_9SC16I0108_MO_OS_TotalDilutiveOffsetfromCappedCalls">Model!$692:$692</definedName>
    <definedName name="z_9SC16I0108_MO_OS_TotalDilutiveSharesfromConvertibleNotes">Model!$691:$691</definedName>
    <definedName name="z_9SC16I0108_MO_OS_Totaldirectorallothercomp">'Exec Comp'!$200:$200</definedName>
    <definedName name="z_9SC16I0108_MO_OS_Totaldirectorcashcomp">'Exec Comp'!$178:$178</definedName>
    <definedName name="z_9SC16I0108_MO_OS_Totaldirectorcompensation">'Exec Comp'!$201:$201</definedName>
    <definedName name="z_9SC16I0108_MO_OS_Totaldirectorstockawardcomp">'Exec Comp'!$189:$189</definedName>
    <definedName name="z_9SC16I0108_MO_OS_TotalFYrevenueguidanceraiselower">Model!$764:$764</definedName>
    <definedName name="z_9SC16I0108_MO_OS_Totalofcurrentdirectors">'Exec Comp'!$159:$159</definedName>
    <definedName name="z_9SC16I0108_MO_OS_Totalofdirectornominees">'Exec Comp'!$164:$164</definedName>
    <definedName name="z_9SC16I0108_MO_OS_Totaloffemalecurrentdirectors">'Exec Comp'!$161:$161</definedName>
    <definedName name="z_9SC16I0108_MO_OS_Totalofindependentcurrentdirectors">'Exec Comp'!$160:$160</definedName>
    <definedName name="z_9SC16I0108_MO_OS_Totalofindependentdirectornominees">'Exec Comp'!$165:$165</definedName>
    <definedName name="z_9SC16I0108_MO_OS_Totalofraciallyethnicallydiversecurrentdirectors">'Exec Comp'!$162:$162</definedName>
    <definedName name="z_9SC16I0108_MO_OS_Totalreceivables">Model!$281:$281</definedName>
    <definedName name="z_9SC16I0108_MO_OS_Totalreceivables_1">Model!$283:$283</definedName>
    <definedName name="z_9SC16I0108_MO_OS_totalrevenue_2">Model!$244:$244</definedName>
    <definedName name="z_9SC16I0108_MO_OS_Totalrevenue_4">Model!$223:$223</definedName>
    <definedName name="z_9SC16I0108_MO_OS_Totalrevenue_6">Model!$20:$20</definedName>
    <definedName name="z_9SC16I0108_MO_OS_TotalRevenueactual">"Deleted"</definedName>
    <definedName name="z_9SC16I0108_MO_OS_TotalRevenuegoal">"Deleted"</definedName>
    <definedName name="z_9SC16I0108_MO_OS_TotalRevenueGrowth">Model!$22:$22</definedName>
    <definedName name="z_9SC16I0108_MO_OS_Totalrevenuemix">Model!$229:$229</definedName>
    <definedName name="z_9SC16I0108_MO_OS_Totalrevenuemix_1">Model!$233:$233</definedName>
    <definedName name="z_9SC16I0108_MO_OS_Totalrevenuemix_2">Model!$31:$31</definedName>
    <definedName name="z_9SC16I0108_MO_OS_Totalrevenuemix_3">Model!$254:$254</definedName>
    <definedName name="z_9SC16I0108_MO_OS_TotalRPOs">Model!$259:$259</definedName>
    <definedName name="z_9SC16I0108_MO_OS_Unbilledaccountsreceivable">Model!$279:$279</definedName>
    <definedName name="z_9SC16I0108_MO_OS_unitedstatesrevenue">Model!$236:$236</definedName>
    <definedName name="z_9SC16I0108_MO_OS_UnitedStatesrevenuemix">Model!$246:$246</definedName>
    <definedName name="z_9SC16I0108_MO_OS_UpfrontrevenueCalculated">Model!$222:$222</definedName>
    <definedName name="z_9SC16I0108_MO_OS_Upfrontrevenuemix">Model!$228:$228</definedName>
    <definedName name="z_9SC16I0108_MO_OS_UpfrontrevenuemixTTM">Model!$232:$232</definedName>
    <definedName name="z_9SC16I0108_MO_OS_VestedAveragePrice">Model!$585:$585</definedName>
    <definedName name="z_9SC16I0108_MO_OS_VestedStockunits">Model!$579:$579</definedName>
    <definedName name="z_9SC16I0108_MO_OS_WADAdjustedEPSbeatmissvsmostrecentguidancemidpoint">Model!$850:$850</definedName>
    <definedName name="z_9SC16I0108_MO_OS_WADAdjustedEPSguidanceinitialmidpoint">Model!$844:$844</definedName>
    <definedName name="z_9SC16I0108_MO_OS_WADAdjustedEPSguidancemostrecentmidpoint">Model!$848:$848</definedName>
    <definedName name="z_9SC16I0108_MO_OS_WADAdjustedEPSguidanceupdate1midpoint">Model!$845:$845</definedName>
    <definedName name="z_9SC16I0108_MO_OS_WADAdjustedEPSguidanceupdate2midpoint">Model!$846:$846</definedName>
    <definedName name="z_9SC16I0108_MO_OS_WADAdjustedEPSguidanceupdate3midpoint">Model!$847:$847</definedName>
    <definedName name="z_9SC16I0108_MO_OS_WADAdjustedEPSreportedmodelestimate">Model!$849:$849</definedName>
    <definedName name="z_9SC16I0108_MO_OS_WeightedAverageExercisePrice">Model!$567:$567</definedName>
    <definedName name="z_9SC16I0108_MO_OS_YTDRevenuerecognizedfrombeginningoftheyeardeferredrevenuebalance">Model!$275:$275</definedName>
    <definedName name="z_9SC16I0108_MO_OS_YYannualguidancebeatmissnonGAAPEBITgrowth">Model!$822:$822</definedName>
    <definedName name="z_9SC16I0108_MO_OS_YYannualguidancebeatmissrevenuegrowth">Model!$749:$749</definedName>
    <definedName name="z_9SC16I0108_MO_OS_YYannualguidancebeatmissrevenuegrowth_1">Model!$920:$920</definedName>
    <definedName name="z_9SC16I0108_MO_OS_YYannualguidancebeatmissWADAdjustedEPSgrowth">Model!$875:$875</definedName>
    <definedName name="z_9SC16I0108_MO_OS_YYannualnonGAAPEBITgrowth">Model!$823:$823</definedName>
    <definedName name="z_9SC16I0108_MO_OS_YYannualrevenuegrowth">Model!$750:$750</definedName>
    <definedName name="z_9SC16I0108_MO_OS_YYannualrevenuegrowth_1">Model!$921:$921</definedName>
    <definedName name="z_9SC16I0108_MO_OS_YYannualWADAdjustedEPSgrowth">Model!$876:$876</definedName>
    <definedName name="z_9SC16I0108_MO_OS_YYbasicshareexpansionEoP">Model!$538:$538</definedName>
    <definedName name="z_9SC16I0108_MO_OS_YYbasicshareexpansionfromdilutivesecurities">Model!$534:$534</definedName>
    <definedName name="z_9SC16I0108_MO_OS_YYbasicshareexpansionfromshareissuancebuyback">Model!$536:$536</definedName>
    <definedName name="z_9SC16I0108_MO_OS_YYbeatmissnonGAAPEBITgrowth">Model!$785:$785</definedName>
    <definedName name="z_9SC16I0108_MO_OS_YYbeatmissrevenuegrowth">Model!$731:$731</definedName>
    <definedName name="z_9SC16I0108_MO_OS_YYbeatmissrevenuegrowth_1">Model!$905:$905</definedName>
    <definedName name="z_9SC16I0108_MO_OS_YYbeatmissWADAdjustedEPSgrowth">Model!$857:$857</definedName>
    <definedName name="z_9SC16I0108_MO_OS_YYCoreEDArevenuegrowth">Model!$14:$14</definedName>
    <definedName name="z_9SC16I0108_MO_OS_YYCustomICDesignrevenuegrowth">Model!$12:$12</definedName>
    <definedName name="z_9SC16I0108_MO_OS_YYDigitalICDesignandSignoffrevenuegrowth">Model!$10:$10</definedName>
    <definedName name="z_9SC16I0108_MO_OS_YYFunctionalVerificationincludingEmulationHardwarerevenuegrowth">Model!$8:$8</definedName>
    <definedName name="z_9SC16I0108_MO_OS_YYGAAPGAgrowth">Model!$65:$65</definedName>
    <definedName name="z_9SC16I0108_MO_OS_YYGAAPGAMarginimprovement">Model!$67:$67</definedName>
    <definedName name="z_9SC16I0108_MO_OS_YYGAAPGrossprofitgrowth">"Deleted"</definedName>
    <definedName name="z_9SC16I0108_MO_OS_YYGAAPGrossProfitgrowth_1">Model!$37:$37</definedName>
    <definedName name="z_9SC16I0108_MO_OS_YYGAAPGrossProfitmarginimprovement">"Deleted"</definedName>
    <definedName name="z_9SC16I0108_MO_OS_YYGAAPGrossProfitmarginimprovement_1">Model!$39:$39</definedName>
    <definedName name="z_9SC16I0108_MO_OS_YYGAAPOperatingIncomegrowth">Model!$94:$94</definedName>
    <definedName name="z_9SC16I0108_MO_OS_YYGAAPOperatingIncomemarginimprovement">Model!$96:$96</definedName>
    <definedName name="z_9SC16I0108_MO_OS_YYGAAPRDgrowth">Model!$52:$52</definedName>
    <definedName name="z_9SC16I0108_MO_OS_YYGAAPRDMarginimprovement">Model!$54:$54</definedName>
    <definedName name="z_9SC16I0108_MO_OS_YYGAAPSMgrowth">Model!$78:$78</definedName>
    <definedName name="z_9SC16I0108_MO_OS_YYGAAPSMMarginimprovement">Model!$80:$80</definedName>
    <definedName name="z_9SC16I0108_MO_OS_YYguidednonGAAPEBITgrowth">Model!$784:$784</definedName>
    <definedName name="z_9SC16I0108_MO_OS_YYguidedrevenuegrowth">Model!$730:$730</definedName>
    <definedName name="z_9SC16I0108_MO_OS_YYguidedrevenuegrowth_1">Model!$904:$904</definedName>
    <definedName name="z_9SC16I0108_MO_OS_YYguidedWADAdjustedEPSgrowth">Model!$856:$856</definedName>
    <definedName name="z_9SC16I0108_MO_OS_YYImpliedannualguidancenonGAAPEBITgrowth">Model!$821:$821</definedName>
    <definedName name="z_9SC16I0108_MO_OS_YYImpliedannualguidancerevenuegrowth">Model!$748:$748</definedName>
    <definedName name="z_9SC16I0108_MO_OS_YYImpliedannualguidancerevenuegrowth_1">Model!$919:$919</definedName>
    <definedName name="z_9SC16I0108_MO_OS_YYImpliedannualguidanceWADAdjustedEPSgrowth">Model!$874:$874</definedName>
    <definedName name="z_9SC16I0108_MO_OS_YYIPrevenuegrowth">Model!$19:$19</definedName>
    <definedName name="z_9SC16I0108_MO_OS_YYnonGAAPEBITgrowth">Model!$786:$786</definedName>
    <definedName name="z_9SC16I0108_MO_OS_YYNonGAAPGAgrowth">Model!$73:$73</definedName>
    <definedName name="z_9SC16I0108_MO_OS_YYNonGAAPGAMarginimprovement">Model!$75:$75</definedName>
    <definedName name="z_9SC16I0108_MO_OS_YYNonGAAPGrossprofitgrowth">"Deleted"</definedName>
    <definedName name="z_9SC16I0108_MO_OS_YYNonGAAPGrossProfitgrowth_1">Model!$46:$46</definedName>
    <definedName name="z_9SC16I0108_MO_OS_YYNonGAAPGrossProfitmarginimprovement_1">Model!$49:$49</definedName>
    <definedName name="z_9SC16I0108_MO_OS_YYNonGAAPGrossProfitmarginimprovement_2">"Deleted"</definedName>
    <definedName name="z_9SC16I0108_MO_OS_YYNonGAAPOperatingIncomegrowth">Model!$101:$101</definedName>
    <definedName name="z_9SC16I0108_MO_OS_YYNonGAAPOperatingIncomemarginimprovement">Model!$104:$104</definedName>
    <definedName name="z_9SC16I0108_MO_OS_YYNonGAAPRDgrowth">Model!$60:$60</definedName>
    <definedName name="z_9SC16I0108_MO_OS_YYNonGAAPRDMarginimprovement">Model!$62:$62</definedName>
    <definedName name="z_9SC16I0108_MO_OS_YYNonGAAPSMgrowth">Model!$86:$86</definedName>
    <definedName name="z_9SC16I0108_MO_OS_YYNonGAAPSMMarginimprovement">Model!$88:$88</definedName>
    <definedName name="z_9SC16I0108_MO_OS_YYNonGAAPSMMarginimprovement_1">"Deleted"</definedName>
    <definedName name="z_9SC16I0108_MO_OS_YYProductandMaintenanceGAAPGrossProfitgrowth">Model!$187:$187</definedName>
    <definedName name="z_9SC16I0108_MO_OS_YYProductandMaintenanceGAAPGrossProfitmarginimprovement">Model!$189:$189</definedName>
    <definedName name="z_9SC16I0108_MO_OS_YYProductandMaintenanceNonGAAPGrossProfitgrowth">Model!$196:$196</definedName>
    <definedName name="z_9SC16I0108_MO_OS_YYProductandMaintenanceNonGAAPGrossProfitmarginimprovement">Model!$198:$198</definedName>
    <definedName name="z_9SC16I0108_MO_OS_YYProductandmaintenancerevenuegrowth">"Deleted"</definedName>
    <definedName name="z_9SC16I0108_MO_OS_YYProductandMaintenancerevenuegrowth_1">Model!$183:$183</definedName>
    <definedName name="z_9SC16I0108_MO_OS_YYrevenuegrowth">Model!$732:$732</definedName>
    <definedName name="z_9SC16I0108_MO_OS_YYrevenuegrowth_1">Model!$906:$906</definedName>
    <definedName name="z_9SC16I0108_MO_OS_YYServicesGAAPGrossProfitgrowth">Model!$206:$206</definedName>
    <definedName name="z_9SC16I0108_MO_OS_YYServicesGAAPGrossProfitmarginimprovement">Model!$208:$208</definedName>
    <definedName name="z_9SC16I0108_MO_OS_YYServicesNonGAAPGrossProfitgrowth">Model!$214:$214</definedName>
    <definedName name="z_9SC16I0108_MO_OS_YYServicesNonGAAPGrossProfitmarginimprovement">Model!$216:$216</definedName>
    <definedName name="z_9SC16I0108_MO_OS_YYServicesrevenuegrowth">"Deleted"</definedName>
    <definedName name="z_9SC16I0108_MO_OS_YYServicesrevenuegrowth_1">Model!$202:$202</definedName>
    <definedName name="z_9SC16I0108_MO_OS_YYSystemInterconnectandAnalysisrevenuegrowth">Model!$17:$17</definedName>
    <definedName name="z_9SC16I0108_MO_OS_YYTotalrevenuegrowth">"Deleted"</definedName>
    <definedName name="z_9SC16I0108_MO_OS_YYTotalrevenuegrowth_1">"Deleted"</definedName>
    <definedName name="z_9SC16I0108_MO_OS_YYWADAdjustedEPSgrowth">Model!$858:$858</definedName>
    <definedName name="z_9SC16I0108_MO_RIS_AdjustedSharesOutstandingWAD">Model!$522:$522</definedName>
    <definedName name="z_9SC16I0108_MO_RIS_adjustmentsforconvertiblesecurities">Model!$506:$506</definedName>
    <definedName name="z_9SC16I0108_MO_RIS_Amortizationofintangibles">"Deleted"</definedName>
    <definedName name="z_9SC16I0108_MO_RIS_CompanyReportedNonGAAPOperatingIncome">Model!$478:$478</definedName>
    <definedName name="z_9SC16I0108_MO_RIS_consensusestimatesadjustedearningspersharewad">Model!$507:$507</definedName>
    <definedName name="z_9SC16I0108_MO_RIS_consensusestimatesadjustedebitda">Model!$465:$465</definedName>
    <definedName name="z_9SC16I0108_MO_RIS_consensusestimatescompanyreportednongaapoperatingincome">Model!$479:$479</definedName>
    <definedName name="z_9SC16I0108_MO_RIS_consensusestimatesnetrevenue">Model!$455:$455</definedName>
    <definedName name="z_9SC16I0108_MO_RIS_consensusestimatesnongaapadjustedearningspersharewad">Model!$517:$517</definedName>
    <definedName name="z_9SC16I0108_MO_RIS_consensusestimatesnongaapebitda">Model!$484:$484</definedName>
    <definedName name="z_9SC16I0108_MO_RIS_deferredincometaxasofnongaaptaxes">Model!$512:$512</definedName>
    <definedName name="z_9SC16I0108_MO_RIS_GAAPCOGS">Model!$458:$458</definedName>
    <definedName name="z_9SC16I0108_MO_RIS_GAAPEarningsPerShareWAB">Model!$514:$514</definedName>
    <definedName name="z_9SC16I0108_MO_RIS_GAAPEarningsPerShareWAD">Model!$515:$515</definedName>
    <definedName name="z_9SC16I0108_MO_RIS_GAAPGA">Model!$468:$468</definedName>
    <definedName name="z_9SC16I0108_MO_RIS_GAAPInterestExpense">Model!$486:$486</definedName>
    <definedName name="z_9SC16I0108_MO_RIS_GAAPInterestIncome">Model!$487:$487</definedName>
    <definedName name="z_9SC16I0108_MO_RIS_GAAPNetIncometocommonshareholdersBasic">Model!$505:$505</definedName>
    <definedName name="z_9SC16I0108_MO_RIS_GAAPNetInterestExpense">Model!$488:$488</definedName>
    <definedName name="z_9SC16I0108_MO_RIS_GAAPOtherItems">Model!$491:$491</definedName>
    <definedName name="z_9SC16I0108_MO_RIS_GAAPProvisionforTaxes">Model!$495:$495</definedName>
    <definedName name="z_9SC16I0108_MO_RIS_GAAPRD">Model!$464:$464</definedName>
    <definedName name="z_9SC16I0108_MO_RIS_GAAPSM">Model!$472:$472</definedName>
    <definedName name="z_9SC16I0108_MO_RIS_GAAPTaxRate">Model!$511:$511</definedName>
    <definedName name="z_9SC16I0108_MO_RIS_GuidanceCompanyReportedNonGAAPOperatingIncome">Model!$480:$480</definedName>
    <definedName name="z_9SC16I0108_MO_RIS_GuidanceNetRevenue">Model!$456:$456</definedName>
    <definedName name="z_9SC16I0108_MO_RIS_GuidanceNonGAAPAdjustedEarningsPerShareWAD">Model!$518:$518</definedName>
    <definedName name="z_9SC16I0108_MO_RIS_IntangibleAmortization">Model!$500:$500</definedName>
    <definedName name="z_9SC16I0108_MO_RIS_IntangibleamortizationCOGS">Model!$460:$460</definedName>
    <definedName name="z_9SC16I0108_MO_RIS_InterestExpenseAdjustments">Model!$502:$502</definedName>
    <definedName name="z_9SC16I0108_MO_RIS_MarginalTaxRateonAdjustments">Model!$510:$510</definedName>
    <definedName name="z_9SC16I0108_MO_RIS_NetRevenue">Model!$454:$454</definedName>
    <definedName name="z_9SC16I0108_MO_RIS_NonGAAPAdjustedEarningsPerShareWAD">Model!$516:$516</definedName>
    <definedName name="z_9SC16I0108_MO_RIS_NonGAAPAdjustmentstoIncomeTaxes">Model!$496:$496</definedName>
    <definedName name="z_9SC16I0108_MO_RIS_NonGAAPAdjustmentstoOtherItems">Model!$492:$492</definedName>
    <definedName name="z_9SC16I0108_MO_RIS_NonGAAPAdjustmenttoNetInterestExpense">Model!$489:$489</definedName>
    <definedName name="z_9SC16I0108_MO_RIS_NonGAAPEarningsBeforeTaxes">Model!$494:$494</definedName>
    <definedName name="z_9SC16I0108_MO_RIS_NonGAAPEBITDA">Model!$483:$483</definedName>
    <definedName name="z_9SC16I0108_MO_RIS_NonGAAPGA">Model!$471:$471</definedName>
    <definedName name="z_9SC16I0108_MO_RIS_NonGAAPGrossProfit">Model!$462:$462</definedName>
    <definedName name="z_9SC16I0108_MO_RIS_NonGAAPInterestExpense">Model!$490:$490</definedName>
    <definedName name="z_9SC16I0108_MO_RIS_NonGAAPNetIncometocommonshareholders">Model!$498:$498</definedName>
    <definedName name="z_9SC16I0108_MO_RIS_NonGAAPOperatingIncomeBeforeOther">Model!$476:$476</definedName>
    <definedName name="z_9SC16I0108_MO_RIS_NonGAAPOtherItems">Model!$493:$493</definedName>
    <definedName name="z_9SC16I0108_MO_RIS_NonGAAPProvisionfortaxes">Model!$497:$497</definedName>
    <definedName name="z_9SC16I0108_MO_RIS_NonGAAPRD">Model!$467:$467</definedName>
    <definedName name="z_9SC16I0108_MO_RIS_NonGAAPSM">Model!$475:$475</definedName>
    <definedName name="z_9SC16I0108_MO_RIS_nongaaptaxrate">Model!$509:$509</definedName>
    <definedName name="z_9SC16I0108_MO_RIS_OtherAdjustments">Model!$503:$503</definedName>
    <definedName name="z_9SC16I0108_MO_RIS_OtherCOGSAdjustments">Model!$461:$461</definedName>
    <definedName name="z_9SC16I0108_MO_RIS_OtherNonGAAPOperatingItems">Model!$477:$477</definedName>
    <definedName name="z_9SC16I0108_MO_RIS_OtherOperatingAdjustments">Model!$501:$501</definedName>
    <definedName name="z_9SC16I0108_MO_RIS_Others">Model!$466:$466</definedName>
    <definedName name="z_9SC16I0108_MO_RIS_Others_1">Model!$470:$470</definedName>
    <definedName name="z_9SC16I0108_MO_RIS_Others_2">Model!$474:$474</definedName>
    <definedName name="z_9SC16I0108_MO_RIS_ReportedDepreciation">Model!$482:$482</definedName>
    <definedName name="z_9SC16I0108_MO_RIS_SBC">Model!$469:$469</definedName>
    <definedName name="z_9SC16I0108_MO_RIS_sbc_1">Model!$473:$473</definedName>
    <definedName name="z_9SC16I0108_MO_RIS_SBC_2">Model!$499:$499</definedName>
    <definedName name="z_9SC16I0108_MO_RIS_SBCCOGS">Model!$459:$459</definedName>
    <definedName name="z_9SC16I0108_MO_RIS_SharesOutstandingWAB">Model!$520:$520</definedName>
    <definedName name="z_9SC16I0108_MO_RIS_SharesOutstandingWAD">Model!$521:$521</definedName>
    <definedName name="z_9SC16I0108_MO_RIS_TaxImpactonnonGAAPAdjustments">Model!$504:$504</definedName>
    <definedName name="z_9SC16I0108_MO_Section_AN_AdjustedNumbers">Model!$364:$364</definedName>
    <definedName name="z_9SC16I0108_MO_Section_BS_BalanceSheet">Model!$1203:$1203</definedName>
    <definedName name="z_9SC16I0108_MO_Section_BS_ModelChecks">Model!$1256:$1256</definedName>
    <definedName name="z_9SC16I0108_MO_Section_BSS_BalanceSheetSummary">Model!$961:$961</definedName>
    <definedName name="z_9SC16I0108_MO_Section_CCFS_CumulativeCashFlowStatement">Model!$1004:$1004</definedName>
    <definedName name="z_9SC16I0108_MO_Section_CFS_CashFlowStatement">Model!$1082:$1082</definedName>
    <definedName name="z_9SC16I0108_MO_Section_CFSum_CashFlowSummary">Model!$931:$931</definedName>
    <definedName name="z_9SC16I0108_MO_Section_DAF_DAForecasting">Model!$1162:$1162</definedName>
    <definedName name="z_9SC16I0108_MO_Section_IS_IncomeStatement">Model!$338:$338</definedName>
    <definedName name="z_9SC16I0108_MO_Section_MA_MarginAnalysis">Model!$317:$317</definedName>
    <definedName name="z_9SC16I0108_MO_Section_OS_BoardDiversity">'Exec Comp'!$158:$158</definedName>
    <definedName name="z_9SC16I0108_MO_Section_OS_Canalyst">'Exec Comp'!$222:$222</definedName>
    <definedName name="z_9SC16I0108_MO_Section_OS_CapexGuidanceAnalysis">Model!$894:$894</definedName>
    <definedName name="z_9SC16I0108_MO_Section_OS_CompanyFinancialGoals">'Exec Comp'!$209:$209</definedName>
    <definedName name="z_9SC16I0108_MO_Section_OS_DepreciationandAmortization">Model!$164:$164</definedName>
    <definedName name="z_9SC16I0108_MO_Section_OS_DirectorCompensation">'Exec Comp'!$167:$167</definedName>
    <definedName name="z_9SC16I0108_MO_Section_OS_Executivecompensation">'Exec Comp'!$6:$6</definedName>
    <definedName name="z_9SC16I0108_MO_Section_OS_GuidanceAnalysisSection">Model!$716:$716</definedName>
    <definedName name="z_9SC16I0108_MO_Section_OS_KeyMetricsDeferredRevenueFS">Model!$266:$266</definedName>
    <definedName name="z_9SC16I0108_MO_Section_OS_KeyMetricsFS">Model!$313:$313</definedName>
    <definedName name="z_9SC16I0108_MO_Section_OS_KeyMetricsReceivablesFS">Model!$277:$277</definedName>
    <definedName name="z_9SC16I0108_MO_Section_OS_KeyMetricsRemainingPerformanceObligationsFS">Model!$256:$256</definedName>
    <definedName name="z_9SC16I0108_MO_Section_OS_KeyMetricsSaaSMetrics">Model!$285:$285</definedName>
    <definedName name="z_9SC16I0108_MO_Section_OS_KeyMetricsYYCostGranularityFS">Model!$106:$106</definedName>
    <definedName name="z_9SC16I0108_MO_Section_OS_NonGAAPEBITGuidanceAnalysis">Model!$771:$771</definedName>
    <definedName name="z_9SC16I0108_MO_Section_OS_OperatingExpenseForecasting">Model!$33:$33</definedName>
    <definedName name="z_9SC16I0108_MO_Section_OS_OtherAlignmentDataPoints">'Exec Comp'!$204:$204</definedName>
    <definedName name="z_9SC16I0108_MO_Section_OS_RevenueBuild">Model!$6:$6</definedName>
    <definedName name="z_9SC16I0108_MO_Section_OS_RevenueGuidanceAnalysis">Model!$717:$717</definedName>
    <definedName name="z_9SC16I0108_MO_Section_OS_SegmentedResultsGeographicBreakdownFS">Model!$235:$235</definedName>
    <definedName name="z_9SC16I0108_MO_Section_OS_SegmentedResultsProductandMaintenanceFS">Model!$181:$181</definedName>
    <definedName name="z_9SC16I0108_MO_Section_OS_SegmentedResultsRecurringRevenueBreakdownFS">Model!$218:$218</definedName>
    <definedName name="z_9SC16I0108_MO_Section_OS_SegmentedResultsServicesFS">Model!$200:$200</definedName>
    <definedName name="z_9SC16I0108_MO_Section_OS_ShareCountAnalysis">Model!$524:$524</definedName>
    <definedName name="z_9SC16I0108_MO_Section_OS_SupplementalInformation">Model!$180:$180</definedName>
    <definedName name="z_9SC16I0108_MO_Section_OS_WeightedAverageDilutedWADAdjustedEPSGuidanceAnalysis">Model!$843:$843</definedName>
    <definedName name="z_9SC16I0108_MO_Section_OS_WorkingCapitalForecasting">Model!$1192:$1192</definedName>
    <definedName name="z_9SC16I0108_MO_Section_RIS_RevisedIncomeStatement">Model!$453:$453</definedName>
    <definedName name="z_9SC16I0108_MO_Section_SNA_Canalyst">Model!$1438:$1438</definedName>
    <definedName name="z_9SC16I0108_MO_Section_TB_Tables">Model!$1283:$1283</definedName>
    <definedName name="z_9SC16I0108_MO_Section_VA_Valuation">Model!$980:$980</definedName>
    <definedName name="z_9SC16I0108_MO_Unstructured_SNA_AnnualGuidanceTable">Model!$1351:$1351</definedName>
    <definedName name="z_9SC16I0108_MO_Unstructured_SNA_ApplicablePeriod">Model!$1333:$1333</definedName>
    <definedName name="z_9SC16I0108_MO_Unstructured_SNA_ApplicablePeriod_1">Model!$1354:$1354</definedName>
    <definedName name="z_9SC16I0108_MO_Unstructured_SNA_ApplyTradeCurrencyScaling">Model!$1425:$1425</definedName>
    <definedName name="z_9SC16I0108_MO_Unstructured_SNA_Avg">Model!$1295:$1295</definedName>
    <definedName name="z_9SC16I0108_MO_Unstructured_SNA_Bloomberg">Model!$1389:$1389</definedName>
    <definedName name="z_9SC16I0108_MO_Unstructured_SNA_Bloomberg_1">Model!$1396:$1396</definedName>
    <definedName name="z_9SC16I0108_MO_Unstructured_SNA_Bloomberg_2">Model!$1403:$1403</definedName>
    <definedName name="z_9SC16I0108_MO_Unstructured_SNA_Bloomberg_3">Model!$1410:$1410</definedName>
    <definedName name="z_9SC16I0108_MO_Unstructured_SNA_CapitalIQ">Model!$1390:$1390</definedName>
    <definedName name="z_9SC16I0108_MO_Unstructured_SNA_CapitalIQ_1">Model!$1397:$1397</definedName>
    <definedName name="z_9SC16I0108_MO_Unstructured_SNA_CapitalIQ_2">Model!$1404:$1404</definedName>
    <definedName name="z_9SC16I0108_MO_Unstructured_SNA_CapitalIQ_3">Model!$1411:$1411</definedName>
    <definedName name="z_9SC16I0108_MO_Unstructured_SNA_CDNSOQ">Model!$1290:$1290</definedName>
    <definedName name="z_9SC16I0108_MO_Unstructured_SNA_CDNSUS">Model!$1287:$1287</definedName>
    <definedName name="z_9SC16I0108_MO_Unstructured_SNA_CDNSUS_1">Model!$1289:$1289</definedName>
    <definedName name="z_9SC16I0108_MO_Unstructured_SNA_CDNSUS_2">Model!$1286:$1286</definedName>
    <definedName name="z_9SC16I0108_MO_Unstructured_SNA_CompanyReportedNonGAAPOperatingIncome">Model!$1301:$1301</definedName>
    <definedName name="z_9SC16I0108_MO_Unstructured_SNA_ConsensusEstimatesCapex">Model!$1381:$1381</definedName>
    <definedName name="z_9SC16I0108_MO_Unstructured_SNA_ConsensusEstimatesCashFlowPerDilutedShare">Model!$1380:$1380</definedName>
    <definedName name="z_9SC16I0108_MO_Unstructured_SNA_ConsensusEstimatesCompanyReportedNonGAAPOperatingIncome">Model!$1377:$1377</definedName>
    <definedName name="z_9SC16I0108_MO_Unstructured_SNA_ConsensusEstimatesGrossMargin">"Deleted"</definedName>
    <definedName name="z_9SC16I0108_MO_Unstructured_SNA_ConsensusEstimatesNetRevenue">Model!$1376:$1376</definedName>
    <definedName name="z_9SC16I0108_MO_Unstructured_SNA_ConsensusEstimatesNonGAAPAdjustedEarningsPerShareWAD">Model!$1379:$1379</definedName>
    <definedName name="z_9SC16I0108_MO_Unstructured_SNA_ConsensusEstimatesNonGAAPEBITDA">Model!$1378:$1378</definedName>
    <definedName name="z_9SC16I0108_MO_Unstructured_SNA_ConsensusEstimatesNonGAAPGrossMargin">Model!$1375:$1375</definedName>
    <definedName name="z_9SC16I0108_MO_Unstructured_SNA_ConsensusEstimateTable">Model!$1372:$1372</definedName>
    <definedName name="z_9SC16I0108_MO_Unstructured_SNA_ConvertiblenotesonBSConvertiblenotesBVinPDS">Model!$1281:$1281</definedName>
    <definedName name="z_9SC16I0108_MO_Unstructured_SNA_CurrentFiscalYear">Model!$1433:$1433</definedName>
    <definedName name="z_9SC16I0108_MO_Unstructured_SNA_DataSourceIndex">Model!$1436:$1436</definedName>
    <definedName name="z_9SC16I0108_MO_Unstructured_SNA_EoP">Model!$1296:$1296</definedName>
    <definedName name="z_9SC16I0108_MO_Unstructured_SNA_EVEBITDAAvg">Model!$1303:$1303</definedName>
    <definedName name="z_9SC16I0108_MO_Unstructured_SNA_FactSet">Model!$1391:$1391</definedName>
    <definedName name="z_9SC16I0108_MO_Unstructured_SNA_FactSet_1">Model!$1398:$1398</definedName>
    <definedName name="z_9SC16I0108_MO_Unstructured_SNA_FactSet_2">Model!$1405:$1405</definedName>
    <definedName name="z_9SC16I0108_MO_Unstructured_SNA_FactSet_3">Model!$1412:$1412</definedName>
    <definedName name="z_9SC16I0108_MO_Unstructured_SNA_FirstForecastFiscalYear">Model!$1434:$1434</definedName>
    <definedName name="z_9SC16I0108_MO_Unstructured_SNA_FiscalPeriodStartDate">Model!$1385:$1385</definedName>
    <definedName name="z_9SC16I0108_MO_Unstructured_SNA_FXAverageRealTimeOffSource">Model!$1408:$1408</definedName>
    <definedName name="z_9SC16I0108_MO_Unstructured_SNA_FXEoP">Model!$1417:$1417</definedName>
    <definedName name="z_9SC16I0108_MO_Unstructured_SNA_FYorFQ">Model!$1373:$1373</definedName>
    <definedName name="z_9SC16I0108_MO_Unstructured_SNA_GeneralTable">Model!$1420:$1420</definedName>
    <definedName name="z_9SC16I0108_MO_Unstructured_SNA_High">Model!$1293:$1293</definedName>
    <definedName name="z_9SC16I0108_MO_Unstructured_SNA_HighCapex">Model!$1347:$1347</definedName>
    <definedName name="z_9SC16I0108_MO_Unstructured_SNA_HighCapex_1">Model!$1368:$1368</definedName>
    <definedName name="z_9SC16I0108_MO_Unstructured_SNA_HighNetRevenue">Model!$1335:$1335</definedName>
    <definedName name="z_9SC16I0108_MO_Unstructured_SNA_HighNetRevenue_1">Model!$1356:$1356</definedName>
    <definedName name="z_9SC16I0108_MO_Unstructured_SNA_HighNonGAAPAdjustedEarningsPerShareWAD">Model!$1341:$1341</definedName>
    <definedName name="z_9SC16I0108_MO_Unstructured_SNA_HighNonGAAPAdjustedEarningsPerShareWAD_1">Model!$1362:$1362</definedName>
    <definedName name="z_9SC16I0108_MO_Unstructured_SNA_HighNonGAAPOperatingIncomeMargin">Model!$1338:$1338</definedName>
    <definedName name="z_9SC16I0108_MO_Unstructured_SNA_HighNonGAAPOperatingIncomeMargin_1">Model!$1359:$1359</definedName>
    <definedName name="z_9SC16I0108_MO_Unstructured_SNA_HighSharesOutstandingWAD">Model!$1344:$1344</definedName>
    <definedName name="z_9SC16I0108_MO_Unstructured_SNA_HighSharesOutstandingWAD_1">Model!$1365:$1365</definedName>
    <definedName name="z_9SC16I0108_MO_Unstructured_SNA_IsHistoricalPeriod">Model!$1386:$1386</definedName>
    <definedName name="z_9SC16I0108_MO_Unstructured_SNA_IsLatest">Model!$1353:$1353</definedName>
    <definedName name="z_9SC16I0108_MO_Unstructured_SNA_KeyOutputs">Model!$1298:$1298</definedName>
    <definedName name="z_9SC16I0108_MO_Unstructured_SNA_KPICount">Model!$1435:$1435</definedName>
    <definedName name="z_9SC16I0108_MO_Unstructured_SNA_KPIData">Model!$1307:$1307</definedName>
    <definedName name="z_9SC16I0108_MO_Unstructured_SNA_LastPrice">Model!$1421:$1421</definedName>
    <definedName name="z_9SC16I0108_MO_Unstructured_SNA_LastPriceDate">Model!$1422:$1422</definedName>
    <definedName name="z_9SC16I0108_MO_Unstructured_SNA_LastPriceFormula">Model!$1424:$1424</definedName>
    <definedName name="z_9SC16I0108_MO_Unstructured_SNA_LastWorkingDayInPeriod">Model!$1415:$1415</definedName>
    <definedName name="z_9SC16I0108_MO_Unstructured_SNA_Low">Model!$1294:$1294</definedName>
    <definedName name="z_9SC16I0108_MO_Unstructured_SNA_LowCapex">Model!$1346:$1346</definedName>
    <definedName name="z_9SC16I0108_MO_Unstructured_SNA_LowCapex_1">Model!$1367:$1367</definedName>
    <definedName name="z_9SC16I0108_MO_Unstructured_SNA_LowNetRevenue">Model!$1334:$1334</definedName>
    <definedName name="z_9SC16I0108_MO_Unstructured_SNA_LowNetRevenue_1">Model!$1355:$1355</definedName>
    <definedName name="z_9SC16I0108_MO_Unstructured_SNA_LowNonGAAPAdjustedEarningsPerShareWAD">Model!$1340:$1340</definedName>
    <definedName name="z_9SC16I0108_MO_Unstructured_SNA_LowNonGAAPAdjustedEarningsPerShareWAD_1">Model!$1361:$1361</definedName>
    <definedName name="z_9SC16I0108_MO_Unstructured_SNA_LowNonGAAPOperatingIncomeMargin">Model!$1337:$1337</definedName>
    <definedName name="z_9SC16I0108_MO_Unstructured_SNA_LowNonGAAPOperatingIncomeMargin_1">Model!$1358:$1358</definedName>
    <definedName name="z_9SC16I0108_MO_Unstructured_SNA_LowSharesOutstandingWAD">Model!$1343:$1343</definedName>
    <definedName name="z_9SC16I0108_MO_Unstructured_SNA_LowSharesOutstandingWAD_1">Model!$1364:$1364</definedName>
    <definedName name="z_9SC16I0108_MO_Unstructured_SNA_MidCapex">Model!$1348:$1348</definedName>
    <definedName name="z_9SC16I0108_MO_Unstructured_SNA_MidCapex_1">Model!$1369:$1369</definedName>
    <definedName name="z_9SC16I0108_MO_Unstructured_SNA_MidNetRevenue">Model!$1336:$1336</definedName>
    <definedName name="z_9SC16I0108_MO_Unstructured_SNA_MidNetRevenue_1">Model!$1357:$1357</definedName>
    <definedName name="z_9SC16I0108_MO_Unstructured_SNA_MidNonGAAPAdjustedEarningsPerShareWAD">Model!$1342:$1342</definedName>
    <definedName name="z_9SC16I0108_MO_Unstructured_SNA_MidNonGAAPAdjustedEarningsPerShareWAD_1">Model!$1363:$1363</definedName>
    <definedName name="z_9SC16I0108_MO_Unstructured_SNA_MidNonGAAPOperatingIncomeMargin">Model!$1339:$1339</definedName>
    <definedName name="z_9SC16I0108_MO_Unstructured_SNA_MidNonGAAPOperatingIncomeMargin_1">Model!$1360:$1360</definedName>
    <definedName name="z_9SC16I0108_MO_Unstructured_SNA_MidSharesOutstandingWAD">Model!$1345:$1345</definedName>
    <definedName name="z_9SC16I0108_MO_Unstructured_SNA_MidSharesOutstandingWAD_1">Model!$1366:$1366</definedName>
    <definedName name="z_9SC16I0108_MO_Unstructured_SNA_ModelSheetCurrencyHardcoded">Model!$1428:$1428</definedName>
    <definedName name="z_9SC16I0108_MO_Unstructured_SNA_MOKPIARRImplied">Model!$1320:$1320</definedName>
    <definedName name="z_9SC16I0108_MO_Unstructured_SNA_MOKPIARRImpliedGrowth">Model!$1321:$1321</definedName>
    <definedName name="z_9SC16I0108_MO_Unstructured_SNA_MOKPIBillingsCalc">Model!$1317:$1317</definedName>
    <definedName name="z_9SC16I0108_MO_Unstructured_SNA_MOKPIBillingsGrowthCalc">Model!$1318:$1318</definedName>
    <definedName name="z_9SC16I0108_MO_Unstructured_SNA_MOKPICACPaybackImplied">Model!$1324:$1324</definedName>
    <definedName name="z_9SC16I0108_MO_Unstructured_SNA_MOKPICRPOGrowth">Model!$1314:$1314</definedName>
    <definedName name="z_9SC16I0108_MO_Unstructured_SNA_MOKPIMagicNumberImplied">Model!$1323:$1323</definedName>
    <definedName name="z_9SC16I0108_MO_Unstructured_SNA_MOKPINetNewARRImplied">Model!$1322:$1322</definedName>
    <definedName name="z_9SC16I0108_MO_Unstructured_SNA_MOKPIRPO_1">Model!$1315:$1315</definedName>
    <definedName name="z_9SC16I0108_MO_Unstructured_SNA_MOKPIRPOCurrent">Model!$1313:$1313</definedName>
    <definedName name="z_9SC16I0108_MO_Unstructured_SNA_MOKPIRPOGrowth">Model!$1316:$1316</definedName>
    <definedName name="z_9SC16I0108_MO_Unstructured_SNA_MOKPIRuleOf40">Model!$1319:$1319</definedName>
    <definedName name="z_9SC16I0108_MO_Unstructured_SNA_MOMAGANONGAAP">Model!$1328:$1328</definedName>
    <definedName name="z_9SC16I0108_MO_Unstructured_SNA_MOMAGMNONGAAP">Model!$1325:$1325</definedName>
    <definedName name="z_9SC16I0108_MO_Unstructured_SNA_MOMARDNONGAAP">Model!$1327:$1327</definedName>
    <definedName name="z_9SC16I0108_MO_Unstructured_SNA_MOMASMNONGAAP">Model!$1326:$1326</definedName>
    <definedName name="z_9SC16I0108_MO_Unstructured_SNA_MOOSEmployeeCount">Model!$1312:$1312</definedName>
    <definedName name="z_9SC16I0108_MO_Unstructured_SNA_MORISEBITDAAdj">Model!$1311:$1311</definedName>
    <definedName name="z_9SC16I0108_MO_Unstructured_SNA_MORISEPSWADAdj">Model!$1310:$1310</definedName>
    <definedName name="z_9SC16I0108_MO_Unstructured_SNA_MORISNINONGAAPDiluted">Model!$1309:$1309</definedName>
    <definedName name="z_9SC16I0108_MO_Unstructured_SNA_MORISREV">Model!$1308:$1308</definedName>
    <definedName name="z_9SC16I0108_MO_Unstructured_SNA_MostRecentFiscalPeriodMRFP">Model!$1432:$1432</definedName>
    <definedName name="z_9SC16I0108_MO_Unstructured_SNA_MostRecentFX">Model!$1429:$1429</definedName>
    <definedName name="z_9SC16I0108_MO_Unstructured_SNA_MostRecentFXHardcoded">Model!$1430:$1430</definedName>
    <definedName name="z_9SC16I0108_MO_Unstructured_SNA_MRFPColumnNumber">Model!$1431:$1431</definedName>
    <definedName name="z_9SC16I0108_MO_Unstructured_SNA_NASDAQCDNS">Model!$1288:$1288</definedName>
    <definedName name="z_9SC16I0108_MO_Unstructured_SNA_NetRevenue">Model!$1299:$1299</definedName>
    <definedName name="z_9SC16I0108_MO_Unstructured_SNA_NonGAAPAdjustedEarningsPerShareWAD">Model!$1302:$1302</definedName>
    <definedName name="z_9SC16I0108_MO_Unstructured_SNA_NonGAAPEBITDA">Model!$1300:$1300</definedName>
    <definedName name="z_9SC16I0108_MO_Unstructured_SNA_PEAvg">Model!$1304:$1304</definedName>
    <definedName name="z_9SC16I0108_MO_Unstructured_SNA_Period">Model!$1374:$1374</definedName>
    <definedName name="z_9SC16I0108_MO_Unstructured_SNA_QuarterlyGuidanceTable">Model!$1331:$1331</definedName>
    <definedName name="z_9SC16I0108_MO_Unstructured_SNA_RealTimeOffSource">Model!$1388:$1388</definedName>
    <definedName name="z_9SC16I0108_MO_Unstructured_SNA_RealTimeOffSource_1">Model!$1395:$1395</definedName>
    <definedName name="z_9SC16I0108_MO_Unstructured_SNA_RealTimeOffSource_2">Model!$1402:$1402</definedName>
    <definedName name="z_9SC16I0108_MO_Unstructured_SNA_RealTimeOffSource_3">Model!$1409:$1409</definedName>
    <definedName name="z_9SC16I0108_MO_Unstructured_SNA_RealTimeStockPrice">Model!$1423:$1423</definedName>
    <definedName name="z_9SC16I0108_MO_Unstructured_SNA_Refinitiv">Model!$1392:$1392</definedName>
    <definedName name="z_9SC16I0108_MO_Unstructured_SNA_Refinitiv_1">Model!$1399:$1399</definedName>
    <definedName name="z_9SC16I0108_MO_Unstructured_SNA_Refinitiv_2">Model!$1406:$1406</definedName>
    <definedName name="z_9SC16I0108_MO_Unstructured_SNA_Refinitiv_3">Model!$1413:$1413</definedName>
    <definedName name="z_9SC16I0108_MO_Unstructured_SNA_ReportingDate">Model!$1332:$1332</definedName>
    <definedName name="z_9SC16I0108_MO_Unstructured_SNA_ReportingDate_1">Model!$1352:$1352</definedName>
    <definedName name="z_9SC16I0108_MO_Unstructured_SNA_StockAverageRealTimeOffSource">Model!$1401:$1401</definedName>
    <definedName name="z_9SC16I0108_MO_Unstructured_SNA_StockHighRealTimeOffSource">Model!$1387:$1387</definedName>
    <definedName name="z_9SC16I0108_MO_Unstructured_SNA_StockLowRealTimeOffSource">Model!$1394:$1394</definedName>
    <definedName name="z_9SC16I0108_MO_Unstructured_SNA_StockPriceEoP">Model!$1416:$1416</definedName>
    <definedName name="z_9SC16I0108_MO_Unstructured_SNA_StockPriceTable">Model!$1384:$1384</definedName>
    <definedName name="z_9SC16I0108_MO_Unstructured_SNA_TickerSymbol">Model!$1285:$1285</definedName>
    <definedName name="z_9SC16I0108_MO_Unstructured_SNA_TradeCurrency">Model!$1426:$1426</definedName>
    <definedName name="z_9SC16I0108_MO_Unstructured_SNA_TradeCurrencyHardcoded">Model!$1427:$1427</definedName>
    <definedName name="z_9SC16I0108_MO_Unstructured_SNA_Unamortizeddebtdiscountandissuancecostisnegative">Model!$1280:$1280</definedName>
    <definedName name="z_9SC16I0108_MO_Unstructured_SNA_ValuationToggleTable">Model!$1292:$1292</definedName>
    <definedName name="z_9SC16I0108_MO_VA_EnterpriseValueAverage">Model!$983:$983</definedName>
    <definedName name="z_9SC16I0108_MO_VA_EnterpriseValueAvg">"Deleted"</definedName>
    <definedName name="z_9SC16I0108_MO_VA_enterprisevaluecomponents">Model!$999:$999</definedName>
    <definedName name="z_9SC16I0108_MO_VA_EnterpriseValueHigh">"Deleted"</definedName>
    <definedName name="z_9SC16I0108_MO_VA_EnterpriseValueLow">"Deleted"</definedName>
    <definedName name="z_9SC16I0108_MO_VA_EVEBITDAAverage">Model!$986:$986</definedName>
    <definedName name="z_9SC16I0108_MO_VA_FCFYieldtoAverageEnterpriseValue">Model!$989:$989</definedName>
    <definedName name="z_9SC16I0108_MO_VA_FCFYieldtoAverageMarketCap">Model!$988:$988</definedName>
    <definedName name="z_9SC16I0108_MO_VA_MarketCapAverage">Model!$982:$982</definedName>
    <definedName name="z_9SC16I0108_MO_VA_MarketCapAvg">"Deleted"</definedName>
    <definedName name="z_9SC16I0108_MO_VA_MarketCapHigh">"Deleted"</definedName>
    <definedName name="z_9SC16I0108_MO_VA_MarketCapLow">"Deleted"</definedName>
    <definedName name="z_9SC16I0108_MO_VA_NoncontrollingInterest">Model!$1000:$1000</definedName>
    <definedName name="z_9SC16I0108_MO_VA_OtherEVComponents">Model!$1002:$1002</definedName>
    <definedName name="z_9SC16I0108_MO_VA_PCFAverage">Model!$987:$987</definedName>
    <definedName name="z_9SC16I0108_MO_VA_PEAverage">Model!$985:$985</definedName>
    <definedName name="z_9SC16I0108_MO_VA_PreferredShares">Model!$1001:$1001</definedName>
    <definedName name="z_9SC16I0108_MO_VA_StockAvg">Model!$993:$993</definedName>
    <definedName name="z_9SC16I0108_MO_VA_StockHigh">Model!$991:$991</definedName>
    <definedName name="z_9SC16I0108_MO_VA_StockLow">Model!$992:$992</definedName>
    <definedName name="z_9SC16I0108_MO_VA_StockPriceAverage">Model!$981:$981</definedName>
    <definedName name="AA.ModelColorScheme">"Classic"</definedName>
    <definedName name="AA.ColorizerVersion">"2.0.4.0"</definedName>
    <definedName name="WS.CanalystName" localSheetId="0">"Front Page"</definedName>
    <definedName name="WS.CanalystName" localSheetId="2">"Model"</definedName>
    <definedName name="_xlnm.Print_Titles" localSheetId="2">'Model'!$5:$5</definedName>
    <definedName name="_xlnm.Print_Area" localSheetId="2">'Model'!$A$1:$CA$1252</definedName>
    <definedName name="WS.CanalystName" localSheetId="3">"Exec Comp"</definedName>
    <definedName name="WS.HasWorkingRange" localSheetId="3">"TRUE"</definedName>
    <definedName name="WS.WorkingRangeType" localSheetId="3">"Standard"</definedName>
    <definedName name="WS.WorksheetType" localSheetId="3">"Supplemental"</definedName>
    <definedName name="WS_ColumnHeader" localSheetId="3">'Exec Comp'!$5:$5</definedName>
    <definedName name="WS_LastRow" localSheetId="3">'Exec Comp'!$222:$222</definedName>
    <definedName name="WS_PeriodMetadata_FPDays" localSheetId="3">'Exec Comp'!$3:$3</definedName>
    <definedName name="WS_PeriodMetadata_PAnnotation" localSheetId="3">'Exec Comp'!$2:$2</definedName>
    <definedName name="WS_PeriodMetadata_PEndDate" localSheetId="3">'Exec Comp'!$4:$4</definedName>
    <definedName name="WS_RowTitle" localSheetId="3">'Exec Comp'!$A:$A</definedName>
    <definedName name="WS_WorkingRange_FirstColumn" localSheetId="3">'Exec Comp'!$C:$C</definedName>
    <definedName name="WS_WorkingRange_FirstRow" localSheetId="3">'Exec Comp'!$6:$6</definedName>
    <definedName name="WS_WorkingRange_LastColumn" localSheetId="3">'Exec Comp'!$CA:$CA</definedName>
    <definedName name="WS_WorkingRange_LastRow" localSheetId="3">'Exec Comp'!$222:$222</definedName>
    <definedName name="_xlnm._FilterDatabase" localSheetId="4" hidden="1">'Guidance'!$A$5:$U$5</definedName>
    <definedName name="WS.CanalystName" localSheetId="5">"Summary Page"</definedName>
    <definedName name="_xlnm.Print_Area" localSheetId="5">'Summary Page'!$A$1:$CA$120</definedName>
    <definedName name="WS.CanalystName" localSheetId="6">"Update Log"</definedName>
  </definedNames>
  <calcPr calcId="124519" fullCalcOnLoad="1"/>
</workbook>
</file>

<file path=xl/styles.xml><?xml version="1.0" encoding="utf-8"?>
<styleSheet xmlns="http://schemas.openxmlformats.org/spreadsheetml/2006/main">
  <numFmts count="44">
    <numFmt numFmtId="164" formatCode="_(* 0.0%_);_(* \-0.0%_);_(* &quot;-&quot;??_);_(@_)"/>
    <numFmt numFmtId="165" formatCode="_(&quot;$&quot;* 0.000_);_(&quot;$&quot;* \(0.000\);_(&quot;$&quot;* &quot;-&quot;??_);_(@_)"/>
    <numFmt numFmtId="166" formatCode="_(* #,##0.0_);_(* \(#,##0.0\);_(* &quot;-&quot;??_);_(@_)"/>
    <numFmt numFmtId="167" formatCode="_(* 0.0\ \x_);\ _(* &quot;n/a&quot;_);_(* &quot;-&quot;??_);_(@_)"/>
    <numFmt numFmtId="168" formatCode="_(&quot;$&quot;* 0.00_);_(&quot;$&quot;* \(0.00\);_(&quot;$&quot;* &quot;-&quot;??_);_(@_)"/>
    <numFmt numFmtId="169" formatCode="_(* #,##0.0_);_(* \(#,##0.0\);_(* &quot;-&quot;??_);_(&quot;Model Sheet Currency :   &quot;@_)"/>
    <numFmt numFmtId="170" formatCode="_(* #,##0.0_);_(* \(#,##0.0\);_(* &quot;-&quot;??_);@"/>
    <numFmt numFmtId="171" formatCode="_(* 0.0%_);_(* &quot;NMF&quot;_);_(* &quot;-&quot;??_);_(@_)"/>
    <numFmt numFmtId="172" formatCode="_(* 0.0%_);_(* &quot;n/a&quot;_);_(* &quot;-&quot;??_);_(@_)"/>
    <numFmt numFmtId="173" formatCode="_(* #,##0_);_(* \(#,##0\);_(* &quot;-&quot;??_);_(@_)"/>
    <numFmt numFmtId="174" formatCode="_(* #,##0.000_);_(* \(#,##0.000\);_(* &quot;-&quot;??_);_(@_)"/>
    <numFmt numFmtId="175" formatCode="_(&quot;$&quot;* #,##0_);_(&quot;$&quot;* \(#,##0\);_(&quot;$&quot;* &quot;-&quot;??_);_(@_)"/>
    <numFmt numFmtId="176" formatCode="_(&quot;$&quot;* 0.00_);_(&quot;$&quot;* \(0.00\);_(&quot;$&quot;* &quot; - &quot;??_);_(@_)"/>
    <numFmt numFmtId="177" formatCode="_(* #,##0.0_);_(* \(#,##0.0\);_(* &quot;-&quot;??_);_(&quot;Bloomberg &gt;&gt; &quot;@_)"/>
    <numFmt numFmtId="178" formatCode="_(* #,##0.0_);_(* \(#,##0.0\);_(* &quot;-&quot;??_);_(&quot;Capital IQ &gt;&gt; &quot;@_)"/>
    <numFmt numFmtId="179" formatCode="_(* #,##0.0_);_(* \(#,##0.0\);_(* &quot;-&quot;??_);_(&quot;FactSet &gt;&gt; &quot;@_)"/>
    <numFmt numFmtId="180" formatCode="_(* 0%_);_(* \-0%_);_(* &quot;-&quot;??_);_(@_)"/>
    <numFmt numFmtId="181" formatCode="_(&quot;$&quot;* 0.00_);_(&quot;$&quot;* \(0.00\);_(&quot;$&quot;* &quot;-&quot;??_);_(@\ * \ &quot;Toggle  &gt;&gt;&gt;&quot;_)"/>
    <numFmt numFmtId="182" formatCode="_(* #,##0.0_);_(* \(#,##0.0\);_(* &quot; -&quot;??_);_(&quot;Refinitiv &gt;&gt; &quot;@_)"/>
    <numFmt numFmtId="183" formatCode="_(* #,##0.0_);_(* \(#,##0.0\);_(* &quot;-&quot;??_);_(&quot;Ticker :   &quot;@_)"/>
    <numFmt numFmtId="184" formatCode="_(* #,##0.0_);_(* \(#,##0.0\);_(* &quot; - &quot;??_);_(&quot;Last Price (&quot;@&quot;) &quot;_)"/>
    <numFmt numFmtId="185" formatCode="_(* #,##0.0_);_(* \(#,##0.0\);_(* &quot;-&quot;??_);_(&quot;Real-Time Stock Price :   &quot;@_)"/>
    <numFmt numFmtId="186" formatCode="yyyy\-mm\-dd"/>
    <numFmt numFmtId="187" formatCode="m/dd/yy;@"/>
    <numFmt numFmtId="188" formatCode="_(\$* 0.00_);_(\$* \(0.00\);_(\$* &quot; - &quot;??_);_(@_)"/>
    <numFmt numFmtId="189" formatCode="_(\$* 0.00_);_(\$* \(0.00\);_(\$* &quot;-&quot;??_);_(@\ * \ &quot;Toggle  &gt;&gt;&gt;&quot;_)"/>
    <numFmt numFmtId="190" formatCode="_(&quot;$&quot;* #,##0.00_);_(&quot;$&quot;* \(#,##0.00\);_(&quot;$&quot;* &quot; - &quot;??_);_(@_)"/>
    <numFmt numFmtId="191" formatCode="_(&quot;$&quot;* 0.00_);_(&quot;$&quot;* \(0.00\);_(&quot;$&quot;* \&quot;\ \-\ \&quot;??_);_(@_)"/>
    <numFmt numFmtId="192" formatCode="m\-d\-yy"/>
    <numFmt numFmtId="193" formatCode="_(* 0.00\ \x_);\ _(* &quot;n/a&quot;_);_(* &quot;-&quot;??_);_(@_)"/>
    <numFmt numFmtId="194" formatCode="m/d/yy"/>
    <numFmt numFmtId="195" formatCode="&quot;Most Recent Period:&quot;"/>
    <numFmt numFmtId="196" formatCode="_(* #,##0.0_);_(* \(#,##0.0\);_(* &quot;-&quot;??_);_(&quot;Canalyst Security Identification #: &quot;@_)"/>
    <numFmt numFmtId="197" formatCode="_(* #,##0.0_);_(* \(#,##0.0\);_(* &quot;-&quot;??_);_(&quot;Model Version #: &quot;@_)"/>
    <numFmt numFmtId="198" formatCode="_(* 0.00%_);_(* \-0.00%_);_(* &quot;-&quot;??_);_(@_)"/>
    <numFmt numFmtId="199" formatCode="m/d/yy;@"/>
    <numFmt numFmtId="200" formatCode=";;"/>
    <numFmt numFmtId="201" formatCode="_(* #,##0.0_);_(* \(#,##0.0\);_(* &quot;-&quot;??_);_(&quot;Tegus Ticker &gt;&gt; &quot;@_)"/>
    <numFmt numFmtId="202" formatCode="_(&quot;$&quot;* #,##0.000_);_(&quot;$&quot;* \(#,##0.000\);_(&quot;$&quot;* &quot;-&quot;??_);_(@_)"/>
    <numFmt numFmtId="203" formatCode=";;;"/>
    <numFmt numFmtId="204" formatCode="_(* #,##0.0_);_(* \(#,##0.0\);_(* &quot;-&quot;?_);_(@_)"/>
    <numFmt numFmtId="205" formatCode="0.0%"/>
    <numFmt numFmtId="206" formatCode="#,##0.0&quot;x&quot;"/>
    <numFmt numFmtId="207" formatCode="_(&quot;$&quot;* #,##0.00_);_(&quot;$&quot;* \(#,##0.00\);_(&quot;$&quot;* &quot;-&quot;??_);_(@_)"/>
  </numFmts>
  <fonts count="73">
    <font>
      <name val="Calibri"/>
      <family val="2"/>
      <sz val="11"/>
    </font>
    <font>
      <name val="Arial"/>
      <family val="2"/>
      <color theme="1"/>
      <sz val="10"/>
    </font>
    <font>
      <name val="Calibri"/>
      <family val="2"/>
      <color theme="1"/>
      <sz val="11"/>
      <scheme val="minor"/>
    </font>
    <font>
      <name val="Calibri"/>
      <family val="2"/>
      <b val="1"/>
      <color theme="1"/>
      <sz val="11"/>
      <scheme val="minor"/>
    </font>
    <font>
      <name val="Calibri"/>
      <family val="2"/>
      <color theme="10"/>
      <sz val="11"/>
      <u val="single"/>
      <scheme val="minor"/>
    </font>
    <font>
      <name val="Calibri"/>
      <family val="2"/>
      <b val="1"/>
      <sz val="11"/>
      <scheme val="minor"/>
    </font>
    <font>
      <name val="Calibri"/>
      <family val="2"/>
      <b val="1"/>
      <sz val="11"/>
    </font>
    <font>
      <name val="Calibri"/>
      <family val="2"/>
      <sz val="11"/>
      <scheme val="minor"/>
    </font>
    <font>
      <name val="Calibri"/>
      <family val="2"/>
      <color rgb="FFFF0000"/>
      <sz val="11"/>
    </font>
    <font>
      <name val="Calibri"/>
      <family val="2"/>
      <b val="1"/>
      <i val="1"/>
      <sz val="11"/>
    </font>
    <font>
      <name val="Calibri"/>
      <family val="2"/>
      <color theme="1"/>
      <sz val="22"/>
      <scheme val="minor"/>
    </font>
    <font>
      <name val="Calibri"/>
      <family val="2"/>
      <color theme="10"/>
      <sz val="11"/>
      <u val="single"/>
    </font>
    <font>
      <name val="Calibri"/>
      <family val="2"/>
      <color theme="1"/>
      <sz val="14"/>
      <scheme val="minor"/>
    </font>
    <font>
      <name val="Calibri"/>
      <family val="2"/>
      <b val="1"/>
      <color rgb="FFFF0000"/>
      <sz val="11"/>
    </font>
    <font>
      <name val="Calibri"/>
      <family val="2"/>
      <color rgb="FF006100"/>
      <sz val="11"/>
      <scheme val="minor"/>
    </font>
    <font>
      <name val="Calibri"/>
      <family val="2"/>
      <color theme="1"/>
      <sz val="10"/>
      <scheme val="minor"/>
    </font>
    <font>
      <name val="Calibri"/>
      <family val="2"/>
      <b val="1"/>
      <color theme="1"/>
      <sz val="10"/>
      <scheme val="minor"/>
    </font>
    <font>
      <name val="Calibri"/>
      <family val="2"/>
      <b val="1"/>
      <color theme="1"/>
      <sz val="14"/>
      <scheme val="minor"/>
    </font>
    <font>
      <name val="Calibri"/>
      <family val="2"/>
      <sz val="14"/>
      <scheme val="minor"/>
    </font>
    <font>
      <name val="Calibri"/>
      <family val="2"/>
      <i val="1"/>
      <sz val="11"/>
    </font>
    <font>
      <name val="Calibri"/>
      <family val="2"/>
      <color theme="10"/>
      <sz val="22"/>
      <u val="single"/>
      <scheme val="minor"/>
    </font>
    <font>
      <name val="Calibri"/>
      <family val="2"/>
      <color rgb="FF000000"/>
      <sz val="11"/>
      <scheme val="minor"/>
    </font>
    <font>
      <name val="Calibri"/>
      <family val="2"/>
      <b val="1"/>
      <color rgb="FFFFFFFF"/>
      <sz val="11"/>
    </font>
    <font>
      <name val="Calibri"/>
      <family val="2"/>
      <b val="1"/>
      <color rgb="FF000000"/>
      <sz val="11"/>
    </font>
    <font>
      <name val="Calibri"/>
      <family val="2"/>
      <b val="1"/>
      <color rgb="FF000000"/>
      <sz val="11"/>
      <scheme val="minor"/>
    </font>
    <font>
      <name val="Calibri"/>
      <family val="2"/>
      <color rgb="FF000000"/>
      <sz val="11"/>
    </font>
    <font>
      <name val="Calibri"/>
      <family val="2"/>
      <i val="1"/>
      <color rgb="FF000000"/>
      <sz val="11"/>
    </font>
    <font>
      <name val="Calibri"/>
      <family val="2"/>
      <i val="1"/>
      <color rgb="FF000000"/>
      <sz val="11"/>
      <scheme val="minor"/>
    </font>
    <font>
      <name val="Calibri"/>
      <family val="2"/>
      <color theme="0"/>
      <sz val="10"/>
      <scheme val="minor"/>
    </font>
    <font>
      <name val="Calibri"/>
      <family val="2"/>
      <b val="1"/>
      <color rgb="FFFFFFFF"/>
      <sz val="11"/>
      <scheme val="minor"/>
    </font>
    <font>
      <name val="Calibri"/>
      <family val="2"/>
      <color rgb="FFFFFFFF"/>
      <sz val="11"/>
    </font>
    <font>
      <name val="Calibri"/>
      <family val="2"/>
      <b val="1"/>
      <i val="1"/>
      <color rgb="FF000000"/>
      <sz val="11"/>
    </font>
    <font>
      <name val="Calibri"/>
      <family val="2"/>
      <b val="1"/>
      <i val="1"/>
      <color rgb="FF000000"/>
      <sz val="11"/>
      <scheme val="minor"/>
    </font>
    <font>
      <name val="Calibri"/>
      <family val="2"/>
      <color theme="0" tint="-0.0399900004267693"/>
      <sz val="11"/>
    </font>
    <font>
      <name val="Calibri"/>
      <family val="2"/>
      <b val="1"/>
      <color theme="0"/>
      <sz val="11"/>
    </font>
    <font>
      <name val="Calibri"/>
      <family val="2"/>
      <color rgb="FFF2F2F2"/>
      <sz val="11"/>
    </font>
    <font>
      <name val="Calibri"/>
      <family val="2"/>
      <color rgb="FF000000"/>
      <sz val="22"/>
      <u val="single"/>
      <scheme val="minor"/>
    </font>
    <font>
      <name val="Calibri"/>
      <family val="2"/>
      <color rgb="FF0000FF"/>
      <sz val="11"/>
      <u val="single"/>
      <scheme val="minor"/>
    </font>
    <font>
      <name val="Calibri"/>
      <family val="2"/>
      <color rgb="FF000000"/>
      <sz val="11"/>
      <u val="single"/>
      <scheme val="minor"/>
    </font>
    <font>
      <name val="Calibri"/>
      <family val="2"/>
      <color rgb="FF0000FF"/>
      <sz val="14"/>
      <u val="single"/>
      <scheme val="minor"/>
    </font>
    <font>
      <name val="Calibri"/>
      <family val="2"/>
      <b val="1"/>
      <i val="1"/>
      <color rgb="FFFF0000"/>
      <sz val="11"/>
    </font>
    <font>
      <name val="Tahoma"/>
      <family val="2"/>
      <b val="1"/>
      <sz val="9"/>
    </font>
    <font>
      <name val="Tahoma"/>
      <family val="2"/>
      <sz val="9"/>
    </font>
    <font>
      <name val="Calibri"/>
      <family val="2"/>
      <color rgb="FF000000"/>
      <sz val="26"/>
      <u val="single"/>
      <scheme val="minor"/>
    </font>
    <font>
      <name val="Calibri"/>
      <family val="2"/>
      <color rgb="FF000000"/>
      <sz val="7"/>
      <scheme val="minor"/>
    </font>
    <font>
      <name val="Calibri"/>
      <family val="2"/>
      <b val="1"/>
      <color rgb="FF000000"/>
      <sz val="7"/>
      <scheme val="minor"/>
    </font>
    <font>
      <name val="Calibri"/>
      <family val="2"/>
      <color rgb="FF0000FF"/>
      <sz val="11"/>
    </font>
    <font>
      <name val="Calibri"/>
      <family val="2"/>
      <i val="1"/>
      <color rgb="FFFF0000"/>
      <sz val="11"/>
    </font>
    <font>
      <name val="Calibri"/>
      <family val="2"/>
      <b val="1"/>
      <color rgb="FFD04B35"/>
      <sz val="14"/>
      <scheme val="minor"/>
    </font>
    <font>
      <name val="Calibri"/>
      <family val="2"/>
      <color rgb="FF000000"/>
      <sz val="11"/>
      <u val="single"/>
    </font>
    <font>
      <name val="Calibri"/>
      <family val="2"/>
      <color theme="1"/>
      <sz val="22"/>
      <u val="single"/>
      <scheme val="minor"/>
    </font>
    <font>
      <name val="Calibri"/>
      <family val="2"/>
      <color theme="10"/>
      <sz val="14"/>
      <u val="single"/>
      <scheme val="minor"/>
    </font>
    <font>
      <name val="Calibri"/>
      <family val="2"/>
      <color rgb="FF0000FC"/>
      <sz val="11"/>
    </font>
    <font>
      <name val="Calibri"/>
      <family val="2"/>
      <b val="1"/>
      <color rgb="FF0000FC"/>
      <sz val="11"/>
    </font>
    <font>
      <name val="Calibri"/>
      <family val="2"/>
      <color rgb="FF009900"/>
      <sz val="11"/>
    </font>
    <font>
      <name val="Calibri"/>
      <family val="2"/>
      <b val="1"/>
      <color rgb="FF009900"/>
      <sz val="11"/>
    </font>
    <font>
      <name val="Calibri"/>
      <family val="2"/>
      <b val="1"/>
      <i val="1"/>
      <color rgb="FF0000FC"/>
      <sz val="11"/>
    </font>
    <font>
      <name val="Calibri"/>
      <family val="2"/>
      <i val="1"/>
      <color rgb="FF0000FC"/>
      <sz val="11"/>
    </font>
    <font>
      <name val="Calibri"/>
      <family val="2"/>
      <color rgb="FF0000FC"/>
      <sz val="11"/>
      <scheme val="minor"/>
    </font>
    <font>
      <b val="1"/>
      <color rgb="00000000"/>
      <sz val="14"/>
    </font>
    <font>
      <b val="1"/>
      <color rgb="00000000"/>
      <sz val="11"/>
    </font>
    <font>
      <b val="1"/>
      <color rgb="00000000"/>
      <sz val="10"/>
    </font>
    <font>
      <b val="1"/>
      <color rgb="00000000"/>
      <sz val="12"/>
      <u val="single"/>
    </font>
    <font>
      <i val="1"/>
      <color rgb="00000000"/>
      <sz val="9"/>
    </font>
    <font>
      <b val="1"/>
      <color rgb="00000000"/>
    </font>
    <font>
      <color rgb="000000FF"/>
    </font>
    <font>
      <i val="1"/>
      <color rgb="00666666"/>
      <sz val="9"/>
    </font>
    <font>
      <color rgb="00000000"/>
    </font>
    <font>
      <b val="1"/>
      <color rgb="00000000"/>
      <sz val="11"/>
      <u val="single"/>
    </font>
    <font>
      <color rgb="00007F00"/>
    </font>
    <font>
      <b val="1"/>
      <color rgb="00007F00"/>
    </font>
    <font>
      <b val="1"/>
      <color rgb="00000000"/>
      <sz val="12"/>
    </font>
    <font>
      <b val="1"/>
      <color rgb="000000CC"/>
      <sz val="11"/>
    </font>
  </fonts>
  <fills count="9">
    <fill>
      <patternFill/>
    </fill>
    <fill>
      <patternFill patternType="gray125"/>
    </fill>
    <fill>
      <patternFill patternType="solid">
        <fgColor rgb="FFC6EFCE"/>
        <bgColor indexed="64"/>
      </patternFill>
    </fill>
    <fill>
      <patternFill patternType="solid">
        <fgColor rgb="FFFFFFFF"/>
        <bgColor indexed="64"/>
      </patternFill>
    </fill>
    <fill>
      <patternFill patternType="solid">
        <fgColor rgb="FF89E0FF"/>
        <bgColor indexed="64"/>
      </patternFill>
    </fill>
    <fill>
      <patternFill patternType="solid">
        <fgColor rgb="FF000000"/>
        <bgColor indexed="64"/>
      </patternFill>
    </fill>
    <fill>
      <patternFill patternType="solid">
        <fgColor rgb="FFF2F2F2"/>
        <bgColor indexed="64"/>
      </patternFill>
    </fill>
    <fill>
      <patternFill patternType="solid">
        <fgColor rgb="FFD0F9F2"/>
        <bgColor indexed="64"/>
      </patternFill>
    </fill>
    <fill>
      <patternFill patternType="solid">
        <fgColor rgb="FFECEDF0"/>
        <bgColor indexed="64"/>
      </patternFill>
    </fill>
  </fills>
  <borders count="45">
    <border>
      <left/>
      <right/>
      <top/>
      <bottom/>
      <diagonal/>
    </border>
    <border>
      <left/>
      <right style="thin">
        <color auto="1"/>
      </right>
      <top/>
      <bottom style="thin">
        <color auto="1"/>
      </bottom>
    </border>
    <border>
      <left/>
      <right/>
      <top/>
      <bottom style="thin">
        <color auto="1"/>
      </bottom>
    </border>
    <border>
      <left style="thin">
        <color auto="1"/>
      </left>
      <right/>
      <top/>
      <bottom style="thin">
        <color auto="1"/>
      </bottom>
    </border>
    <border>
      <left/>
      <right style="thin">
        <color auto="1"/>
      </right>
      <top/>
      <bottom/>
    </border>
    <border>
      <left style="thin">
        <color auto="1"/>
      </left>
      <right/>
      <top/>
      <bottom/>
    </border>
    <border>
      <left/>
      <right style="thin">
        <color auto="1"/>
      </right>
      <top style="thin">
        <color auto="1"/>
      </top>
      <bottom/>
    </border>
    <border>
      <left/>
      <right/>
      <top style="thin">
        <color auto="1"/>
      </top>
      <bottom/>
    </border>
    <border>
      <left style="thin">
        <color auto="1"/>
      </left>
      <right/>
      <top style="thin">
        <color auto="1"/>
      </top>
      <bottom/>
    </border>
    <border>
      <left/>
      <right/>
      <top style="thin">
        <color auto="1"/>
      </top>
      <bottom style="thin">
        <color auto="1"/>
      </bottom>
    </border>
    <border>
      <left/>
      <right style="thin">
        <color rgb="FF000000"/>
      </right>
      <top/>
      <bottom/>
    </border>
    <border>
      <left style="thin">
        <color rgb="FF000000"/>
      </left>
      <right/>
      <top/>
      <bottom/>
    </border>
    <border>
      <left/>
      <right/>
      <top style="thin">
        <color rgb="FF000000"/>
      </top>
      <bottom/>
    </border>
    <border>
      <left/>
      <right/>
      <top/>
      <bottom style="thin">
        <color rgb="FF000000"/>
      </bottom>
    </border>
    <border>
      <left/>
      <right style="thin">
        <color rgb="FF000000"/>
      </right>
      <top style="thin">
        <color rgb="FF000000"/>
      </top>
      <bottom/>
    </border>
    <border>
      <left style="thin">
        <color rgb="FF000000"/>
      </left>
      <right/>
      <top style="thin">
        <color rgb="FF000000"/>
      </top>
      <bottom/>
    </border>
    <border>
      <left/>
      <right/>
      <top style="thin">
        <color rgb="FF000000"/>
      </top>
      <bottom style="thin">
        <color rgb="FF000000"/>
      </bottom>
    </border>
    <border>
      <left style="thin">
        <color auto="1"/>
      </left>
      <right style="thin">
        <color auto="1"/>
      </right>
      <top style="thin">
        <color auto="1"/>
      </top>
      <bottom/>
    </border>
    <border>
      <left style="thin">
        <color auto="1"/>
      </left>
      <right style="thin">
        <color auto="1"/>
      </right>
      <top/>
      <bottom/>
    </border>
    <border>
      <left style="thin">
        <color auto="1"/>
      </left>
      <right style="thin">
        <color auto="1"/>
      </right>
      <top/>
      <bottom style="thin">
        <color auto="1"/>
      </bottom>
    </border>
    <border>
      <left style="thin">
        <color rgb="FF000000"/>
      </left>
      <right style="thin">
        <color rgb="FF000000"/>
      </right>
      <top/>
      <bottom style="thin">
        <color rgb="FF000000"/>
      </bottom>
    </border>
    <border>
      <left/>
      <right style="thick">
        <color auto="1"/>
      </right>
      <top/>
      <bottom/>
    </border>
    <border>
      <left/>
      <right style="thick">
        <color auto="1"/>
      </right>
      <top/>
      <bottom style="thin">
        <color rgb="FF000000"/>
      </bottom>
    </border>
    <border>
      <left/>
      <right style="thick">
        <color auto="1"/>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bottom style="thin">
        <color auto="1"/>
      </bottom>
    </border>
    <border>
      <left/>
      <right style="thick">
        <color auto="1"/>
      </right>
      <top/>
      <bottom style="thin">
        <color auto="1"/>
      </bottom>
    </border>
    <border>
      <left/>
      <right style="thin">
        <color rgb="FF000000"/>
      </right>
      <top/>
      <bottom style="thin">
        <color auto="1"/>
      </bottom>
    </border>
    <border>
      <left/>
      <right style="thick">
        <color auto="1"/>
      </right>
      <top style="thin">
        <color auto="1"/>
      </top>
      <bottom/>
    </border>
    <border>
      <left style="thin">
        <color auto="1"/>
      </left>
      <right style="thin">
        <color auto="1"/>
      </right>
      <top style="thin">
        <color auto="1"/>
      </top>
      <bottom style="thin">
        <color auto="1"/>
      </bottom>
    </border>
    <border>
      <left style="thin">
        <color rgb="FF000000"/>
      </left>
      <right style="thin">
        <color auto="1"/>
      </right>
      <top/>
      <bottom style="thin">
        <color rgb="FF000000"/>
      </bottom>
    </border>
    <border>
      <left style="thin">
        <color auto="1"/>
      </left>
      <right style="thin">
        <color auto="1"/>
      </right>
      <top/>
      <bottom style="thin">
        <color rgb="FF000000"/>
      </bottom>
    </border>
    <border>
      <left/>
      <right style="thin">
        <color rgb="FF000000"/>
      </right>
      <top/>
      <bottom style="thin">
        <color rgb="FF000000"/>
      </bottom>
    </border>
    <border>
      <left style="thin">
        <color auto="1"/>
      </left>
      <right style="thin">
        <color rgb="FF000000"/>
      </right>
      <top/>
      <bottom style="thin">
        <color rgb="FF000000"/>
      </bottom>
    </border>
    <border>
      <left/>
      <right style="thick">
        <color auto="1"/>
      </right>
      <top style="thin">
        <color rgb="FF000000"/>
      </top>
      <bottom/>
    </border>
    <border>
      <left/>
      <right style="thick">
        <color auto="1"/>
      </right>
      <top style="thin">
        <color auto="1"/>
      </top>
      <bottom style="thin">
        <color auto="1"/>
      </bottom>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bottom style="thin"/>
    </border>
    <border>
      <top style="thin"/>
      <bottom style="double"/>
    </border>
  </borders>
  <cellStyleXfs count="29">
    <xf numFmtId="0" fontId="0" fillId="0" borderId="0"/>
    <xf numFmtId="9" fontId="0" fillId="0" borderId="0"/>
    <xf numFmtId="44" fontId="0" fillId="0" borderId="0"/>
    <xf numFmtId="42" fontId="1" fillId="0" borderId="0"/>
    <xf numFmtId="43" fontId="1" fillId="0" borderId="0"/>
    <xf numFmtId="41" fontId="1" fillId="0" borderId="0"/>
    <xf numFmtId="44" fontId="2" fillId="0" borderId="0"/>
    <xf numFmtId="44" fontId="0" fillId="0" borderId="0"/>
    <xf numFmtId="44" fontId="2" fillId="0" borderId="0"/>
    <xf numFmtId="44" fontId="2" fillId="0" borderId="0"/>
    <xf numFmtId="44" fontId="2" fillId="0" borderId="0"/>
    <xf numFmtId="0" fontId="14" fillId="2" borderId="0"/>
    <xf numFmtId="0" fontId="4" fillId="0" borderId="0"/>
    <xf numFmtId="0" fontId="11" fillId="0" borderId="0" applyAlignment="1" applyProtection="1">
      <alignment vertical="top"/>
      <protection locked="0" hidden="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0" fillId="0" borderId="0"/>
    <xf numFmtId="9" fontId="2" fillId="0" borderId="0"/>
    <xf numFmtId="9" fontId="2" fillId="0" borderId="0"/>
    <xf numFmtId="9" fontId="2" fillId="0" borderId="0"/>
    <xf numFmtId="9" fontId="2" fillId="0" borderId="0"/>
    <xf numFmtId="9" fontId="0" fillId="0" borderId="0"/>
    <xf numFmtId="44" fontId="0" fillId="0" borderId="0"/>
  </cellStyleXfs>
  <cellXfs count="2259">
    <xf numFmtId="0" fontId="0" fillId="0" borderId="0" pivotButton="0" quotePrefix="0" xfId="0"/>
    <xf numFmtId="0" fontId="15" fillId="3" borderId="0" pivotButton="0" quotePrefix="0" xfId="32"/>
    <xf numFmtId="0" fontId="2" fillId="0" borderId="0" pivotButton="0" quotePrefix="0" xfId="32"/>
    <xf numFmtId="0" fontId="2" fillId="3" borderId="0" pivotButton="0" quotePrefix="0" xfId="32"/>
    <xf numFmtId="0" fontId="2" fillId="3" borderId="0" applyAlignment="1" pivotButton="0" quotePrefix="1" xfId="32">
      <alignment horizontal="left" vertical="top" wrapText="1"/>
    </xf>
    <xf numFmtId="0" fontId="2" fillId="3" borderId="1" applyAlignment="1" pivotButton="0" quotePrefix="0" xfId="32">
      <alignment vertical="top" wrapText="1"/>
    </xf>
    <xf numFmtId="0" fontId="2" fillId="3" borderId="2" applyAlignment="1" pivotButton="0" quotePrefix="0" xfId="32">
      <alignment vertical="top" wrapText="1"/>
    </xf>
    <xf numFmtId="0" fontId="2" fillId="3" borderId="3" applyAlignment="1" pivotButton="0" quotePrefix="0" xfId="32">
      <alignment vertical="top" wrapText="1"/>
    </xf>
    <xf numFmtId="0" fontId="2" fillId="3" borderId="4" applyAlignment="1" pivotButton="0" quotePrefix="0" xfId="32">
      <alignment vertical="top" wrapText="1"/>
    </xf>
    <xf numFmtId="0" fontId="2" fillId="3" borderId="0" applyAlignment="1" pivotButton="0" quotePrefix="0" xfId="32">
      <alignment vertical="top" wrapText="1"/>
    </xf>
    <xf numFmtId="0" fontId="2" fillId="3" borderId="5" applyAlignment="1" pivotButton="0" quotePrefix="0" xfId="32">
      <alignment vertical="top" wrapText="1"/>
    </xf>
    <xf numFmtId="0" fontId="2" fillId="3" borderId="6" applyAlignment="1" pivotButton="0" quotePrefix="0" xfId="32">
      <alignment vertical="top" wrapText="1"/>
    </xf>
    <xf numFmtId="0" fontId="2" fillId="3" borderId="7" applyAlignment="1" pivotButton="0" quotePrefix="0" xfId="32">
      <alignment vertical="top" wrapText="1"/>
    </xf>
    <xf numFmtId="0" fontId="44" fillId="3" borderId="8" applyAlignment="1" pivotButton="0" quotePrefix="0" xfId="32">
      <alignment vertical="top" wrapText="1"/>
    </xf>
    <xf numFmtId="0" fontId="10" fillId="3" borderId="0" applyAlignment="1" pivotButton="0" quotePrefix="0" xfId="32">
      <alignment horizontal="center"/>
    </xf>
    <xf numFmtId="0" fontId="15" fillId="3" borderId="0" pivotButton="0" quotePrefix="0" xfId="32"/>
    <xf numFmtId="0" fontId="2" fillId="0" borderId="0" pivotButton="0" quotePrefix="0" xfId="32"/>
    <xf numFmtId="0" fontId="2" fillId="3" borderId="0" pivotButton="0" quotePrefix="0" xfId="32"/>
    <xf numFmtId="164" fontId="13" fillId="4" borderId="0" applyAlignment="1" pivotButton="0" quotePrefix="0" xfId="0">
      <alignment horizontal="right"/>
    </xf>
    <xf numFmtId="165" fontId="8" fillId="4" borderId="0" pivotButton="0" quotePrefix="0" xfId="0"/>
    <xf numFmtId="164" fontId="13" fillId="3" borderId="0" applyAlignment="1" pivotButton="0" quotePrefix="0" xfId="0">
      <alignment horizontal="right"/>
    </xf>
    <xf numFmtId="166" fontId="6" fillId="3" borderId="7" applyAlignment="1" pivotButton="0" quotePrefix="0" xfId="0">
      <alignment horizontal="left"/>
    </xf>
    <xf numFmtId="166" fontId="6" fillId="3" borderId="0" applyAlignment="1" pivotButton="0" quotePrefix="0" xfId="0">
      <alignment horizontal="left"/>
    </xf>
    <xf numFmtId="166" fontId="0" fillId="3" borderId="0" applyAlignment="1" pivotButton="0" quotePrefix="0" xfId="0">
      <alignment horizontal="left"/>
    </xf>
    <xf numFmtId="164" fontId="0" fillId="3" borderId="0" pivotButton="0" quotePrefix="0" xfId="0"/>
    <xf numFmtId="166" fontId="3" fillId="3" borderId="0" pivotButton="0" quotePrefix="0" xfId="0"/>
    <xf numFmtId="167" fontId="3" fillId="3" borderId="0" pivotButton="0" quotePrefix="0" xfId="0"/>
    <xf numFmtId="164" fontId="0" fillId="3" borderId="0" applyAlignment="1" pivotButton="0" quotePrefix="0" xfId="0">
      <alignment horizontal="left"/>
    </xf>
    <xf numFmtId="166" fontId="6" fillId="3" borderId="0" applyAlignment="1" pivotButton="0" quotePrefix="0" xfId="0">
      <alignment horizontal="left" indent="1"/>
    </xf>
    <xf numFmtId="166" fontId="0" fillId="3" borderId="0" applyAlignment="1" pivotButton="0" quotePrefix="0" xfId="0">
      <alignment horizontal="left" indent="2"/>
    </xf>
    <xf numFmtId="165" fontId="25" fillId="4" borderId="0" pivotButton="0" quotePrefix="0" xfId="0"/>
    <xf numFmtId="0" fontId="15" fillId="0" borderId="0" pivotButton="0" quotePrefix="0" xfId="32"/>
    <xf numFmtId="168" fontId="27" fillId="3" borderId="0" applyAlignment="1" pivotButton="0" quotePrefix="0" xfId="0">
      <alignment horizontal="left" indent="1"/>
    </xf>
    <xf numFmtId="169" fontId="3" fillId="3" borderId="0" pivotButton="0" quotePrefix="0" xfId="0"/>
    <xf numFmtId="165" fontId="2" fillId="3" borderId="0" pivotButton="0" quotePrefix="0" xfId="16"/>
    <xf numFmtId="167" fontId="2" fillId="3" borderId="0" pivotButton="0" quotePrefix="0" xfId="0"/>
    <xf numFmtId="168" fontId="26" fillId="3" borderId="0" applyAlignment="1" pivotButton="0" quotePrefix="0" xfId="0">
      <alignment horizontal="left" indent="3"/>
    </xf>
    <xf numFmtId="164" fontId="26" fillId="3" borderId="0" applyAlignment="1" pivotButton="0" quotePrefix="0" xfId="0">
      <alignment horizontal="left" indent="1"/>
    </xf>
    <xf numFmtId="168" fontId="26" fillId="3" borderId="0" applyAlignment="1" pivotButton="0" quotePrefix="0" xfId="0">
      <alignment horizontal="right"/>
    </xf>
    <xf numFmtId="165" fontId="8" fillId="3" borderId="0" pivotButton="0" quotePrefix="0" xfId="0"/>
    <xf numFmtId="166" fontId="6" fillId="3" borderId="9" applyAlignment="1" pivotButton="0" quotePrefix="0" xfId="36">
      <alignment horizontal="left"/>
    </xf>
    <xf numFmtId="168" fontId="3" fillId="3" borderId="0" pivotButton="0" quotePrefix="0" xfId="16"/>
    <xf numFmtId="164" fontId="25" fillId="4" borderId="2" applyAlignment="1" pivotButton="0" quotePrefix="0" xfId="36">
      <alignment horizontal="right"/>
    </xf>
    <xf numFmtId="166" fontId="6" fillId="3" borderId="7" applyAlignment="1" pivotButton="0" quotePrefix="0" xfId="36">
      <alignment horizontal="left"/>
    </xf>
    <xf numFmtId="164" fontId="25" fillId="3" borderId="2" applyAlignment="1" pivotButton="0" quotePrefix="0" xfId="36">
      <alignment horizontal="right"/>
    </xf>
    <xf numFmtId="166" fontId="23" fillId="3" borderId="7" applyAlignment="1" pivotButton="0" quotePrefix="0" xfId="36">
      <alignment horizontal="left"/>
    </xf>
    <xf numFmtId="166" fontId="0" fillId="3" borderId="7" applyAlignment="1" pivotButton="0" quotePrefix="0" xfId="36">
      <alignment horizontal="left" indent="1"/>
    </xf>
    <xf numFmtId="166" fontId="0" fillId="3" borderId="9" applyAlignment="1" pivotButton="0" quotePrefix="0" xfId="36">
      <alignment horizontal="left" indent="1"/>
    </xf>
    <xf numFmtId="166" fontId="25" fillId="3" borderId="0" applyAlignment="1" pivotButton="0" quotePrefix="0" xfId="36">
      <alignment horizontal="left"/>
    </xf>
    <xf numFmtId="168" fontId="23" fillId="4" borderId="0" pivotButton="0" quotePrefix="0" xfId="16"/>
    <xf numFmtId="168" fontId="27" fillId="4" borderId="0" applyAlignment="1" pivotButton="0" quotePrefix="0" xfId="16">
      <alignment horizontal="right"/>
    </xf>
    <xf numFmtId="164" fontId="24" fillId="3" borderId="0" pivotButton="0" quotePrefix="0" xfId="16"/>
    <xf numFmtId="166" fontId="23" fillId="3" borderId="0" applyAlignment="1" pivotButton="0" quotePrefix="0" xfId="36">
      <alignment horizontal="left"/>
    </xf>
    <xf numFmtId="168" fontId="23" fillId="3" borderId="0" pivotButton="0" quotePrefix="0" xfId="16"/>
    <xf numFmtId="166" fontId="25" fillId="3" borderId="0" applyAlignment="1" pivotButton="0" quotePrefix="0" xfId="36">
      <alignment horizontal="left" indent="1"/>
    </xf>
    <xf numFmtId="166" fontId="25" fillId="3" borderId="0" applyAlignment="1" pivotButton="0" quotePrefix="0" xfId="36">
      <alignment horizontal="left" indent="2"/>
    </xf>
    <xf numFmtId="170" fontId="20" fillId="3" borderId="0" applyAlignment="1" pivotButton="0" quotePrefix="0" xfId="26">
      <alignment horizontal="left"/>
    </xf>
    <xf numFmtId="164" fontId="22" fillId="5" borderId="0" pivotButton="0" quotePrefix="0" xfId="36"/>
    <xf numFmtId="166" fontId="0" fillId="3" borderId="0" applyAlignment="1" pivotButton="0" quotePrefix="0" xfId="36">
      <alignment horizontal="left" indent="1"/>
    </xf>
    <xf numFmtId="164" fontId="23" fillId="3" borderId="0" applyAlignment="1" pivotButton="0" quotePrefix="0" xfId="36">
      <alignment horizontal="left"/>
    </xf>
    <xf numFmtId="164" fontId="13" fillId="3" borderId="0" applyAlignment="1" pivotButton="0" quotePrefix="0" xfId="15">
      <alignment horizontal="right"/>
    </xf>
    <xf numFmtId="164" fontId="13" fillId="4" borderId="0" applyAlignment="1" pivotButton="0" quotePrefix="0" xfId="15">
      <alignment horizontal="right"/>
    </xf>
    <xf numFmtId="166" fontId="25" fillId="3" borderId="0" applyAlignment="1" pivotButton="0" quotePrefix="0" xfId="0">
      <alignment horizontal="left" indent="3"/>
    </xf>
    <xf numFmtId="164" fontId="23" fillId="3" borderId="0" pivotButton="0" quotePrefix="0" xfId="15"/>
    <xf numFmtId="0" fontId="35" fillId="3" borderId="0" pivotButton="0" quotePrefix="0" xfId="36"/>
    <xf numFmtId="164" fontId="23" fillId="3" borderId="0" applyAlignment="1" pivotButton="0" quotePrefix="0" xfId="15">
      <alignment horizontal="left"/>
    </xf>
    <xf numFmtId="170" fontId="36" fillId="3" borderId="0" applyAlignment="1" pivotButton="0" quotePrefix="0" xfId="26">
      <alignment horizontal="left"/>
    </xf>
    <xf numFmtId="0" fontId="25" fillId="3" borderId="0" pivotButton="0" quotePrefix="0" xfId="36"/>
    <xf numFmtId="0" fontId="23" fillId="3" borderId="0" pivotButton="0" quotePrefix="0" xfId="36"/>
    <xf numFmtId="0" fontId="26" fillId="3" borderId="0" pivotButton="0" quotePrefix="0" xfId="36"/>
    <xf numFmtId="0" fontId="25" fillId="3" borderId="0" applyAlignment="1" pivotButton="0" quotePrefix="0" xfId="36">
      <alignment horizontal="left"/>
    </xf>
    <xf numFmtId="166" fontId="23" fillId="3" borderId="0" applyAlignment="1" pivotButton="0" quotePrefix="0" xfId="36">
      <alignment horizontal="center"/>
    </xf>
    <xf numFmtId="14" fontId="25" fillId="3" borderId="0" applyAlignment="1" pivotButton="0" quotePrefix="0" xfId="36">
      <alignment horizontal="left"/>
    </xf>
    <xf numFmtId="168" fontId="25" fillId="3" borderId="0" pivotButton="0" quotePrefix="0" xfId="36"/>
    <xf numFmtId="168" fontId="23" fillId="3" borderId="0" applyAlignment="1" pivotButton="0" quotePrefix="0" xfId="36">
      <alignment horizontal="center"/>
    </xf>
    <xf numFmtId="0" fontId="22" fillId="5" borderId="0" applyAlignment="1" pivotButton="0" quotePrefix="0" xfId="36">
      <alignment horizontal="left"/>
    </xf>
    <xf numFmtId="0" fontId="22" fillId="5" borderId="0" applyAlignment="1" pivotButton="0" quotePrefix="0" xfId="36">
      <alignment horizontal="centerContinuous"/>
    </xf>
    <xf numFmtId="0" fontId="25" fillId="6" borderId="0" pivotButton="0" quotePrefix="0" xfId="36"/>
    <xf numFmtId="0" fontId="26" fillId="6" borderId="0" pivotButton="0" quotePrefix="0" xfId="36"/>
    <xf numFmtId="168" fontId="25" fillId="6" borderId="0" pivotButton="0" quotePrefix="0" xfId="36"/>
    <xf numFmtId="14" fontId="25" fillId="6" borderId="0" applyAlignment="1" pivotButton="0" quotePrefix="0" xfId="36">
      <alignment horizontal="left"/>
    </xf>
    <xf numFmtId="166" fontId="25" fillId="6" borderId="0" pivotButton="0" quotePrefix="0" xfId="36"/>
    <xf numFmtId="164" fontId="25" fillId="6" borderId="0" pivotButton="0" quotePrefix="0" xfId="36"/>
    <xf numFmtId="0" fontId="22" fillId="3" borderId="0" applyAlignment="1" pivotButton="0" quotePrefix="0" xfId="36">
      <alignment horizontal="left"/>
    </xf>
    <xf numFmtId="0" fontId="23" fillId="6" borderId="0" pivotButton="0" quotePrefix="0" xfId="36"/>
    <xf numFmtId="168" fontId="23" fillId="6" borderId="0" applyAlignment="1" pivotButton="0" quotePrefix="0" xfId="36">
      <alignment horizontal="center"/>
    </xf>
    <xf numFmtId="164" fontId="23" fillId="6" borderId="0" applyAlignment="1" pivotButton="0" quotePrefix="0" xfId="36">
      <alignment horizontal="center"/>
    </xf>
    <xf numFmtId="166" fontId="23" fillId="6" borderId="0" applyAlignment="1" pivotButton="0" quotePrefix="0" xfId="36">
      <alignment horizontal="center"/>
    </xf>
    <xf numFmtId="0" fontId="37" fillId="6" borderId="0" pivotButton="0" quotePrefix="0" xfId="26"/>
    <xf numFmtId="0" fontId="37" fillId="3" borderId="0" pivotButton="0" quotePrefix="0" xfId="26"/>
    <xf numFmtId="166" fontId="24" fillId="3" borderId="0" applyAlignment="1" pivotButton="0" quotePrefix="0" xfId="36">
      <alignment horizontal="left"/>
    </xf>
    <xf numFmtId="166" fontId="32" fillId="3" borderId="0" applyAlignment="1" pivotButton="0" quotePrefix="0" xfId="36">
      <alignment horizontal="center"/>
    </xf>
    <xf numFmtId="166" fontId="25" fillId="3" borderId="0" applyAlignment="1" pivotButton="0" quotePrefix="0" xfId="36">
      <alignment horizontal="left" indent="3"/>
    </xf>
    <xf numFmtId="166" fontId="23" fillId="3" borderId="7" applyAlignment="1" pivotButton="0" quotePrefix="0" xfId="36">
      <alignment horizontal="left" indent="3"/>
    </xf>
    <xf numFmtId="166" fontId="23" fillId="3" borderId="0" applyAlignment="1" pivotButton="0" quotePrefix="0" xfId="36">
      <alignment horizontal="left" indent="3"/>
    </xf>
    <xf numFmtId="164" fontId="25" fillId="3" borderId="0" applyAlignment="1" pivotButton="0" quotePrefix="0" xfId="36">
      <alignment horizontal="left" indent="1"/>
    </xf>
    <xf numFmtId="164" fontId="21" fillId="3" borderId="0" pivotButton="0" quotePrefix="0" xfId="21"/>
    <xf numFmtId="164" fontId="25" fillId="3" borderId="2" applyAlignment="1" pivotButton="0" quotePrefix="0" xfId="36">
      <alignment horizontal="left" indent="1"/>
    </xf>
    <xf numFmtId="164" fontId="21" fillId="3" borderId="2" pivotButton="0" quotePrefix="0" xfId="21"/>
    <xf numFmtId="168" fontId="24" fillId="3" borderId="0" pivotButton="0" quotePrefix="0" xfId="21"/>
    <xf numFmtId="168" fontId="23" fillId="3" borderId="0" applyAlignment="1" pivotButton="0" quotePrefix="0" xfId="36">
      <alignment horizontal="left" indent="3"/>
    </xf>
    <xf numFmtId="164" fontId="24" fillId="3" borderId="0" pivotButton="0" quotePrefix="0" xfId="21"/>
    <xf numFmtId="171" fontId="23" fillId="3" borderId="0" applyAlignment="1" pivotButton="0" quotePrefix="0" xfId="36">
      <alignment horizontal="left"/>
    </xf>
    <xf numFmtId="171" fontId="24" fillId="3" borderId="0" pivotButton="0" quotePrefix="0" xfId="21"/>
    <xf numFmtId="167" fontId="24" fillId="3" borderId="0" pivotButton="0" quotePrefix="0" xfId="36"/>
    <xf numFmtId="167" fontId="23" fillId="3" borderId="0" applyAlignment="1" pivotButton="0" quotePrefix="0" xfId="36">
      <alignment horizontal="left" indent="3"/>
    </xf>
    <xf numFmtId="172" fontId="23" fillId="3" borderId="0" applyAlignment="1" pivotButton="0" quotePrefix="0" xfId="36">
      <alignment horizontal="left"/>
    </xf>
    <xf numFmtId="172" fontId="24" fillId="3" borderId="0" pivotButton="0" quotePrefix="0" xfId="21"/>
    <xf numFmtId="164" fontId="25" fillId="3" borderId="0" applyAlignment="1" pivotButton="0" quotePrefix="0" xfId="36">
      <alignment horizontal="left"/>
    </xf>
    <xf numFmtId="167" fontId="21" fillId="3" borderId="0" pivotButton="0" quotePrefix="0" xfId="36"/>
    <xf numFmtId="167" fontId="25" fillId="3" borderId="0" applyAlignment="1" pivotButton="0" quotePrefix="0" xfId="36">
      <alignment horizontal="left" indent="3"/>
    </xf>
    <xf numFmtId="0" fontId="38" fillId="3" borderId="0" pivotButton="0" quotePrefix="0" xfId="26"/>
    <xf numFmtId="0" fontId="25" fillId="3" borderId="0" applyAlignment="1" pivotButton="0" quotePrefix="0" xfId="0">
      <alignment horizontal="center"/>
    </xf>
    <xf numFmtId="166" fontId="25" fillId="3" borderId="0" applyAlignment="1" pivotButton="0" quotePrefix="0" xfId="36">
      <alignment horizontal="center"/>
    </xf>
    <xf numFmtId="0" fontId="35" fillId="3" borderId="0" applyAlignment="1" pivotButton="0" quotePrefix="0" xfId="0">
      <alignment horizontal="center"/>
    </xf>
    <xf numFmtId="0" fontId="22" fillId="5" borderId="0" applyAlignment="1" pivotButton="0" quotePrefix="0" xfId="0">
      <alignment horizontal="left"/>
    </xf>
    <xf numFmtId="0" fontId="22" fillId="5" borderId="0" applyAlignment="1" pivotButton="0" quotePrefix="0" xfId="0">
      <alignment horizontal="center"/>
    </xf>
    <xf numFmtId="164" fontId="22" fillId="5" borderId="0" applyAlignment="1" pivotButton="0" quotePrefix="0" xfId="0">
      <alignment horizontal="center"/>
    </xf>
    <xf numFmtId="0" fontId="22" fillId="3" borderId="0" applyAlignment="1" pivotButton="0" quotePrefix="0" xfId="0">
      <alignment horizontal="center"/>
    </xf>
    <xf numFmtId="166" fontId="23" fillId="3" borderId="0" applyAlignment="1" pivotButton="0" quotePrefix="0" xfId="0">
      <alignment horizontal="left"/>
    </xf>
    <xf numFmtId="166" fontId="23" fillId="3" borderId="0" applyAlignment="1" pivotButton="0" quotePrefix="0" xfId="0">
      <alignment horizontal="left" indent="3"/>
    </xf>
    <xf numFmtId="166" fontId="25" fillId="3" borderId="10" pivotButton="0" quotePrefix="0" xfId="0"/>
    <xf numFmtId="166" fontId="21" fillId="3" borderId="11" applyAlignment="1" pivotButton="0" quotePrefix="0" xfId="28">
      <alignment horizontal="left" indent="1"/>
    </xf>
    <xf numFmtId="166" fontId="6" fillId="3" borderId="12" pivotButton="0" quotePrefix="0" xfId="0"/>
    <xf numFmtId="173" fontId="0" fillId="3" borderId="0" applyAlignment="1" pivotButton="0" quotePrefix="0" xfId="0">
      <alignment horizontal="left" indent="1"/>
    </xf>
    <xf numFmtId="173" fontId="0" fillId="3" borderId="13" applyAlignment="1" pivotButton="0" quotePrefix="0" xfId="0">
      <alignment horizontal="left" indent="1"/>
    </xf>
    <xf numFmtId="173" fontId="0" fillId="3" borderId="13" pivotButton="0" quotePrefix="0" xfId="0"/>
    <xf numFmtId="166" fontId="9" fillId="3" borderId="0" pivotButton="0" quotePrefix="0" xfId="0"/>
    <xf numFmtId="168" fontId="25" fillId="3" borderId="0" pivotButton="0" quotePrefix="0" xfId="0"/>
    <xf numFmtId="168" fontId="23" fillId="3" borderId="0" pivotButton="0" quotePrefix="0" xfId="0"/>
    <xf numFmtId="171" fontId="23" fillId="3" borderId="0" pivotButton="0" quotePrefix="0" xfId="36"/>
    <xf numFmtId="172" fontId="23" fillId="3" borderId="0" pivotButton="0" quotePrefix="0" xfId="36"/>
    <xf numFmtId="166" fontId="22" fillId="5" borderId="0" applyAlignment="1" pivotButton="0" quotePrefix="0" xfId="0">
      <alignment horizontal="left"/>
    </xf>
    <xf numFmtId="166" fontId="22" fillId="5" borderId="0" applyAlignment="1" pivotButton="0" quotePrefix="0" xfId="0">
      <alignment horizontal="left" indent="3"/>
    </xf>
    <xf numFmtId="164" fontId="40" fillId="3" borderId="0" pivotButton="0" quotePrefix="0" xfId="0"/>
    <xf numFmtId="164" fontId="40" fillId="4" borderId="0" pivotButton="0" quotePrefix="0" xfId="0"/>
    <xf numFmtId="166" fontId="25" fillId="3" borderId="0" applyAlignment="1" pivotButton="0" quotePrefix="0" xfId="0">
      <alignment horizontal="left" indent="1"/>
    </xf>
    <xf numFmtId="174" fontId="8" fillId="3" borderId="0" pivotButton="0" quotePrefix="0" xfId="0"/>
    <xf numFmtId="166" fontId="21" fillId="3" borderId="12" pivotButton="0" quotePrefix="0" xfId="28"/>
    <xf numFmtId="166" fontId="25" fillId="3" borderId="14" pivotButton="0" quotePrefix="0" xfId="0"/>
    <xf numFmtId="175" fontId="24" fillId="3" borderId="15" applyAlignment="1" pivotButton="0" quotePrefix="0" xfId="28">
      <alignment horizontal="left"/>
    </xf>
    <xf numFmtId="175" fontId="21" fillId="3" borderId="11" applyAlignment="1" pivotButton="0" quotePrefix="0" xfId="28">
      <alignment horizontal="left"/>
    </xf>
    <xf numFmtId="176" fontId="21" fillId="3" borderId="11" applyAlignment="1" pivotButton="0" quotePrefix="0" xfId="28">
      <alignment horizontal="left" indent="1"/>
    </xf>
    <xf numFmtId="176" fontId="25" fillId="3" borderId="10" pivotButton="0" quotePrefix="0" xfId="0"/>
    <xf numFmtId="176" fontId="21" fillId="3" borderId="11" applyAlignment="1" pivotButton="0" quotePrefix="0" xfId="28">
      <alignment horizontal="left" indent="2"/>
    </xf>
    <xf numFmtId="174" fontId="21" fillId="3" borderId="11" applyAlignment="1" pivotButton="0" quotePrefix="0" xfId="28">
      <alignment horizontal="left" indent="1"/>
    </xf>
    <xf numFmtId="174" fontId="0" fillId="3" borderId="0" pivotButton="0" quotePrefix="0" xfId="0"/>
    <xf numFmtId="174" fontId="21" fillId="3" borderId="11" applyAlignment="1" pivotButton="0" quotePrefix="0" xfId="28">
      <alignment horizontal="left" indent="2"/>
    </xf>
    <xf numFmtId="176" fontId="0" fillId="3" borderId="0" applyAlignment="1" pivotButton="0" quotePrefix="0" xfId="0">
      <alignment horizontal="left" indent="1"/>
    </xf>
    <xf numFmtId="174" fontId="0" fillId="3" borderId="0" applyAlignment="1" pivotButton="0" quotePrefix="0" xfId="0">
      <alignment horizontal="left" indent="1"/>
    </xf>
    <xf numFmtId="176" fontId="13" fillId="3" borderId="0" applyAlignment="1" pivotButton="0" quotePrefix="0" xfId="0">
      <alignment horizontal="left"/>
    </xf>
    <xf numFmtId="176" fontId="6" fillId="3" borderId="0" pivotButton="0" quotePrefix="0" xfId="0"/>
    <xf numFmtId="1" fontId="23" fillId="3" borderId="0" applyAlignment="1" pivotButton="0" quotePrefix="0" xfId="0">
      <alignment horizontal="center"/>
    </xf>
    <xf numFmtId="17" fontId="21" fillId="3" borderId="0" applyAlignment="1" pivotButton="0" quotePrefix="0" xfId="0">
      <alignment horizontal="center"/>
    </xf>
    <xf numFmtId="0" fontId="24" fillId="3" borderId="0" applyAlignment="1" pivotButton="0" quotePrefix="0" xfId="0">
      <alignment horizontal="center"/>
    </xf>
    <xf numFmtId="164" fontId="22" fillId="5" borderId="0" pivotButton="0" quotePrefix="0" xfId="0"/>
    <xf numFmtId="164" fontId="25" fillId="4" borderId="0" applyAlignment="1" pivotButton="0" quotePrefix="0" xfId="0">
      <alignment horizontal="right"/>
    </xf>
    <xf numFmtId="164" fontId="23" fillId="4" borderId="0" applyAlignment="1" pivotButton="0" quotePrefix="0" xfId="0">
      <alignment horizontal="right"/>
    </xf>
    <xf numFmtId="164" fontId="19" fillId="3" borderId="0" pivotButton="0" quotePrefix="0" xfId="0"/>
    <xf numFmtId="164" fontId="26" fillId="3" borderId="0" pivotButton="0" quotePrefix="0" xfId="0"/>
    <xf numFmtId="168" fontId="0" fillId="3" borderId="0" pivotButton="0" quotePrefix="0" xfId="0"/>
    <xf numFmtId="164" fontId="23" fillId="3" borderId="0" applyAlignment="1" pivotButton="0" quotePrefix="0" xfId="0">
      <alignment horizontal="right"/>
    </xf>
    <xf numFmtId="168" fontId="6" fillId="3" borderId="0" pivotButton="0" quotePrefix="0" xfId="0"/>
    <xf numFmtId="168" fontId="26" fillId="3" borderId="0" pivotButton="0" quotePrefix="0" xfId="0"/>
    <xf numFmtId="168" fontId="26" fillId="4" borderId="0" applyAlignment="1" pivotButton="0" quotePrefix="0" xfId="0">
      <alignment horizontal="right"/>
    </xf>
    <xf numFmtId="165" fontId="0" fillId="3" borderId="0" pivotButton="0" quotePrefix="0" xfId="0"/>
    <xf numFmtId="167" fontId="6" fillId="3" borderId="0" pivotButton="0" quotePrefix="0" xfId="0"/>
    <xf numFmtId="167" fontId="23" fillId="4" borderId="0" applyAlignment="1" pivotButton="0" quotePrefix="0" xfId="0">
      <alignment horizontal="right"/>
    </xf>
    <xf numFmtId="176" fontId="23" fillId="4" borderId="0" pivotButton="0" quotePrefix="0" xfId="0"/>
    <xf numFmtId="167" fontId="0" fillId="3" borderId="0" pivotButton="0" quotePrefix="0" xfId="0"/>
    <xf numFmtId="167" fontId="25" fillId="4" borderId="0" applyAlignment="1" pivotButton="0" quotePrefix="0" xfId="0">
      <alignment horizontal="right"/>
    </xf>
    <xf numFmtId="176" fontId="25" fillId="4" borderId="0" pivotButton="0" quotePrefix="0" xfId="0"/>
    <xf numFmtId="164" fontId="6" fillId="3" borderId="0" pivotButton="0" quotePrefix="0" xfId="0"/>
    <xf numFmtId="173" fontId="6" fillId="3" borderId="0" pivotButton="0" quotePrefix="0" xfId="0"/>
    <xf numFmtId="0" fontId="6" fillId="3" borderId="0" pivotButton="0" quotePrefix="0" xfId="0"/>
    <xf numFmtId="176" fontId="25" fillId="3" borderId="0" pivotButton="0" quotePrefix="0" xfId="0"/>
    <xf numFmtId="176" fontId="0" fillId="3" borderId="0" pivotButton="0" quotePrefix="0" xfId="0"/>
    <xf numFmtId="0" fontId="0" fillId="3" borderId="0" pivotButton="0" quotePrefix="0" xfId="0"/>
    <xf numFmtId="173" fontId="0" fillId="3" borderId="0" pivotButton="0" quotePrefix="0" xfId="0"/>
    <xf numFmtId="0" fontId="30" fillId="5" borderId="0" pivotButton="0" quotePrefix="0" xfId="0"/>
    <xf numFmtId="164" fontId="25" fillId="3" borderId="0" pivotButton="0" quotePrefix="0" xfId="0"/>
    <xf numFmtId="17" fontId="32" fillId="3" borderId="0" applyAlignment="1" pivotButton="0" quotePrefix="0" xfId="36">
      <alignment horizontal="center"/>
    </xf>
    <xf numFmtId="166" fontId="24" fillId="3" borderId="0" applyAlignment="1" pivotButton="0" quotePrefix="0" xfId="36">
      <alignment horizontal="center"/>
    </xf>
    <xf numFmtId="166" fontId="29" fillId="5" borderId="0" pivotButton="0" quotePrefix="0" xfId="36"/>
    <xf numFmtId="168" fontId="23" fillId="4" borderId="0" pivotButton="0" quotePrefix="0" xfId="36"/>
    <xf numFmtId="164" fontId="25" fillId="4" borderId="0" applyAlignment="1" pivotButton="0" quotePrefix="0" xfId="36">
      <alignment horizontal="right"/>
    </xf>
    <xf numFmtId="164" fontId="25" fillId="3" borderId="0" applyAlignment="1" pivotButton="0" quotePrefix="0" xfId="36">
      <alignment horizontal="right"/>
    </xf>
    <xf numFmtId="164" fontId="23" fillId="3" borderId="0" pivotButton="0" quotePrefix="0" xfId="36"/>
    <xf numFmtId="164" fontId="25" fillId="4" borderId="0" pivotButton="0" quotePrefix="0" xfId="36"/>
    <xf numFmtId="164" fontId="25" fillId="3" borderId="0" pivotButton="0" quotePrefix="0" xfId="36"/>
    <xf numFmtId="168" fontId="23" fillId="3" borderId="0" pivotButton="0" quotePrefix="0" xfId="36"/>
    <xf numFmtId="164" fontId="30" fillId="5" borderId="0" pivotButton="0" quotePrefix="0" xfId="36"/>
    <xf numFmtId="164" fontId="23" fillId="3" borderId="0" applyAlignment="1" pivotButton="0" quotePrefix="0" xfId="36">
      <alignment horizontal="center"/>
    </xf>
    <xf numFmtId="164" fontId="25" fillId="3" borderId="0" applyAlignment="1" pivotButton="0" quotePrefix="0" xfId="36">
      <alignment horizontal="center"/>
    </xf>
    <xf numFmtId="164" fontId="23" fillId="4" borderId="0" applyAlignment="1" pivotButton="0" quotePrefix="0" xfId="36">
      <alignment horizontal="right"/>
    </xf>
    <xf numFmtId="164" fontId="23" fillId="3" borderId="0" applyAlignment="1" pivotButton="0" quotePrefix="0" xfId="36">
      <alignment horizontal="right"/>
    </xf>
    <xf numFmtId="171" fontId="23" fillId="4" borderId="0" applyAlignment="1" pivotButton="0" quotePrefix="0" xfId="36">
      <alignment horizontal="right"/>
    </xf>
    <xf numFmtId="171" fontId="23" fillId="3" borderId="0" applyAlignment="1" pivotButton="0" quotePrefix="0" xfId="36">
      <alignment horizontal="right"/>
    </xf>
    <xf numFmtId="167" fontId="23" fillId="3" borderId="0" pivotButton="0" quotePrefix="0" xfId="36"/>
    <xf numFmtId="172" fontId="23" fillId="3" borderId="0" applyAlignment="1" pivotButton="0" quotePrefix="0" xfId="36">
      <alignment horizontal="right"/>
    </xf>
    <xf numFmtId="167" fontId="25" fillId="4" borderId="0" applyAlignment="1" pivotButton="0" quotePrefix="0" xfId="36">
      <alignment horizontal="right"/>
    </xf>
    <xf numFmtId="167" fontId="25" fillId="3" borderId="0" pivotButton="0" quotePrefix="0" xfId="36"/>
    <xf numFmtId="166" fontId="0" fillId="3" borderId="2" applyAlignment="1" pivotButton="0" quotePrefix="0" xfId="0">
      <alignment horizontal="left" indent="1"/>
    </xf>
    <xf numFmtId="164" fontId="24" fillId="3" borderId="2" pivotButton="0" quotePrefix="0" xfId="16"/>
    <xf numFmtId="166" fontId="0" fillId="3" borderId="2" applyAlignment="1" pivotButton="0" quotePrefix="0" xfId="36">
      <alignment horizontal="left" indent="1"/>
    </xf>
    <xf numFmtId="166" fontId="6" fillId="3" borderId="11" pivotButton="0" quotePrefix="0" xfId="0"/>
    <xf numFmtId="166" fontId="0" fillId="3" borderId="11" pivotButton="0" quotePrefix="0" xfId="0"/>
    <xf numFmtId="166" fontId="21" fillId="3" borderId="16" applyAlignment="1" pivotButton="0" quotePrefix="0" xfId="28">
      <alignment horizontal="left" indent="1"/>
    </xf>
    <xf numFmtId="166" fontId="25" fillId="3" borderId="16" pivotButton="0" quotePrefix="0" xfId="0"/>
    <xf numFmtId="166" fontId="21" fillId="3" borderId="16" pivotButton="0" quotePrefix="0" xfId="28"/>
    <xf numFmtId="176" fontId="0" fillId="3" borderId="11" pivotButton="0" quotePrefix="0" xfId="0"/>
    <xf numFmtId="174" fontId="0" fillId="3" borderId="11" pivotButton="0" quotePrefix="0" xfId="0"/>
    <xf numFmtId="166" fontId="21" fillId="3" borderId="2" pivotButton="0" quotePrefix="0" xfId="28"/>
    <xf numFmtId="164" fontId="25" fillId="3" borderId="4" pivotButton="0" quotePrefix="0" xfId="0"/>
    <xf numFmtId="166" fontId="25" fillId="3" borderId="4" pivotButton="0" quotePrefix="0" xfId="0"/>
    <xf numFmtId="166" fontId="25" fillId="3" borderId="1" pivotButton="0" quotePrefix="0" xfId="0"/>
    <xf numFmtId="166" fontId="21" fillId="3" borderId="5" applyAlignment="1" pivotButton="0" quotePrefix="0" xfId="28">
      <alignment horizontal="left" indent="1"/>
    </xf>
    <xf numFmtId="166" fontId="21" fillId="3" borderId="3" applyAlignment="1" pivotButton="0" quotePrefix="0" xfId="28">
      <alignment horizontal="left" indent="1"/>
    </xf>
    <xf numFmtId="166" fontId="24" fillId="3" borderId="17" pivotButton="0" quotePrefix="0" xfId="28"/>
    <xf numFmtId="177" fontId="21" fillId="3" borderId="18" applyAlignment="1" pivotButton="0" quotePrefix="0" xfId="28">
      <alignment horizontal="left" indent="1"/>
    </xf>
    <xf numFmtId="178" fontId="21" fillId="3" borderId="18" applyAlignment="1" pivotButton="0" quotePrefix="0" xfId="28">
      <alignment horizontal="left" indent="1"/>
    </xf>
    <xf numFmtId="179" fontId="21" fillId="3" borderId="18" applyAlignment="1" pivotButton="0" quotePrefix="0" xfId="28">
      <alignment horizontal="left" indent="1"/>
    </xf>
    <xf numFmtId="166" fontId="24" fillId="3" borderId="8" pivotButton="0" quotePrefix="0" xfId="28"/>
    <xf numFmtId="166" fontId="25" fillId="3" borderId="2" applyAlignment="1" pivotButton="0" quotePrefix="0" xfId="36">
      <alignment horizontal="left" indent="3"/>
    </xf>
    <xf numFmtId="173" fontId="25" fillId="3" borderId="2" applyAlignment="1" pivotButton="0" quotePrefix="0" xfId="36">
      <alignment horizontal="left" indent="1"/>
    </xf>
    <xf numFmtId="164" fontId="25" fillId="4" borderId="2" pivotButton="0" quotePrefix="0" xfId="36"/>
    <xf numFmtId="180" fontId="0" fillId="3" borderId="0" applyAlignment="1" pivotButton="0" quotePrefix="0" xfId="0">
      <alignment horizontal="left" indent="1"/>
    </xf>
    <xf numFmtId="180" fontId="0" fillId="3" borderId="0" pivotButton="0" quotePrefix="0" xfId="0"/>
    <xf numFmtId="166" fontId="23" fillId="3" borderId="0" applyAlignment="1" pivotButton="0" quotePrefix="0" xfId="0">
      <alignment horizontal="left" indent="4"/>
    </xf>
    <xf numFmtId="166" fontId="25" fillId="3" borderId="0" applyAlignment="1" pivotButton="0" quotePrefix="0" xfId="0">
      <alignment horizontal="left" indent="4"/>
    </xf>
    <xf numFmtId="166" fontId="25" fillId="3" borderId="2" applyAlignment="1" pivotButton="0" quotePrefix="0" xfId="0">
      <alignment horizontal="left" indent="4"/>
    </xf>
    <xf numFmtId="166" fontId="25" fillId="3" borderId="0" applyAlignment="1" pivotButton="0" quotePrefix="0" xfId="0">
      <alignment horizontal="left"/>
    </xf>
    <xf numFmtId="166" fontId="3" fillId="3" borderId="6" applyAlignment="1" pivotButton="0" quotePrefix="0" xfId="28">
      <alignment horizontal="left"/>
    </xf>
    <xf numFmtId="166" fontId="2" fillId="3" borderId="4" applyAlignment="1" pivotButton="0" quotePrefix="0" xfId="28">
      <alignment horizontal="left" indent="1"/>
    </xf>
    <xf numFmtId="167" fontId="23" fillId="4" borderId="0" applyAlignment="1" pivotButton="0" quotePrefix="0" xfId="36">
      <alignment horizontal="right"/>
    </xf>
    <xf numFmtId="172" fontId="23" fillId="4" borderId="0" applyAlignment="1" pivotButton="0" quotePrefix="0" xfId="36">
      <alignment horizontal="right"/>
    </xf>
    <xf numFmtId="166" fontId="25" fillId="3" borderId="2" applyAlignment="1" pivotButton="0" quotePrefix="0" xfId="0">
      <alignment horizontal="left" indent="3"/>
    </xf>
    <xf numFmtId="167" fontId="23" fillId="3" borderId="0" applyAlignment="1" pivotButton="0" quotePrefix="0" xfId="0">
      <alignment horizontal="right"/>
    </xf>
    <xf numFmtId="165" fontId="3" fillId="3" borderId="0" pivotButton="0" quotePrefix="0" xfId="16"/>
    <xf numFmtId="176" fontId="13" fillId="3" borderId="0" pivotButton="0" quotePrefix="0" xfId="0"/>
    <xf numFmtId="176" fontId="13" fillId="4" borderId="0" pivotButton="0" quotePrefix="0" xfId="0"/>
    <xf numFmtId="181" fontId="23" fillId="3" borderId="0" applyAlignment="1" pivotButton="0" quotePrefix="0" xfId="36">
      <alignment horizontal="left" indent="1"/>
    </xf>
    <xf numFmtId="176" fontId="13" fillId="3" borderId="0" applyAlignment="1" pivotButton="0" quotePrefix="0" xfId="36">
      <alignment horizontal="left"/>
    </xf>
    <xf numFmtId="176" fontId="23" fillId="3" borderId="0" applyAlignment="1" pivotButton="0" quotePrefix="0" xfId="36">
      <alignment horizontal="right"/>
    </xf>
    <xf numFmtId="176" fontId="23" fillId="4" borderId="0" pivotButton="0" quotePrefix="0" xfId="36"/>
    <xf numFmtId="173" fontId="22" fillId="5" borderId="0" pivotButton="0" quotePrefix="0" xfId="36"/>
    <xf numFmtId="173" fontId="22" fillId="5" borderId="0" pivotButton="0" quotePrefix="0" xfId="0"/>
    <xf numFmtId="173" fontId="23" fillId="3" borderId="0" pivotButton="0" quotePrefix="0" xfId="36"/>
    <xf numFmtId="166" fontId="23" fillId="3" borderId="7" applyAlignment="1" pivotButton="0" quotePrefix="0" xfId="0">
      <alignment horizontal="left"/>
    </xf>
    <xf numFmtId="166" fontId="23" fillId="3" borderId="7" applyAlignment="1" pivotButton="0" quotePrefix="0" xfId="0">
      <alignment horizontal="left" indent="4"/>
    </xf>
    <xf numFmtId="164" fontId="26" fillId="3" borderId="0" applyAlignment="1" pivotButton="0" quotePrefix="0" xfId="0">
      <alignment horizontal="left" indent="4"/>
    </xf>
    <xf numFmtId="164" fontId="23" fillId="3" borderId="2" applyAlignment="1" pivotButton="0" quotePrefix="0" xfId="0">
      <alignment horizontal="left" indent="2"/>
    </xf>
    <xf numFmtId="164" fontId="23" fillId="4" borderId="2" applyAlignment="1" pivotButton="0" quotePrefix="0" xfId="0">
      <alignment horizontal="center"/>
    </xf>
    <xf numFmtId="164" fontId="23" fillId="3" borderId="2" applyAlignment="1" pivotButton="0" quotePrefix="0" xfId="0">
      <alignment horizontal="center"/>
    </xf>
    <xf numFmtId="164" fontId="23" fillId="4" borderId="2" pivotButton="0" quotePrefix="0" xfId="0"/>
    <xf numFmtId="164" fontId="23" fillId="3" borderId="2" applyAlignment="1" pivotButton="0" quotePrefix="0" xfId="0">
      <alignment horizontal="left" indent="1"/>
    </xf>
    <xf numFmtId="164" fontId="23" fillId="3" borderId="0" applyAlignment="1" pivotButton="0" quotePrefix="0" xfId="0">
      <alignment horizontal="left" indent="1"/>
    </xf>
    <xf numFmtId="164" fontId="23" fillId="3" borderId="0" applyAlignment="1" pivotButton="0" quotePrefix="0" xfId="0">
      <alignment horizontal="center"/>
    </xf>
    <xf numFmtId="164" fontId="23" fillId="4" borderId="0" pivotButton="0" quotePrefix="0" xfId="0"/>
    <xf numFmtId="164" fontId="23" fillId="3" borderId="0" applyAlignment="1" pivotButton="0" quotePrefix="0" xfId="0">
      <alignment horizontal="left"/>
    </xf>
    <xf numFmtId="164" fontId="27" fillId="3" borderId="0" pivotButton="0" quotePrefix="0" xfId="16"/>
    <xf numFmtId="164" fontId="26" fillId="3" borderId="0" applyAlignment="1" pivotButton="0" quotePrefix="0" xfId="0">
      <alignment horizontal="center"/>
    </xf>
    <xf numFmtId="182" fontId="21" fillId="3" borderId="19" applyAlignment="1" pivotButton="0" quotePrefix="0" xfId="28">
      <alignment horizontal="left" indent="1"/>
    </xf>
    <xf numFmtId="166" fontId="19" fillId="3" borderId="0" pivotButton="0" quotePrefix="0" xfId="0"/>
    <xf numFmtId="0" fontId="4" fillId="3" borderId="20" pivotButton="0" quotePrefix="0" xfId="26"/>
    <xf numFmtId="183" fontId="2" fillId="3" borderId="0" applyAlignment="1" pivotButton="0" quotePrefix="0" xfId="0">
      <alignment horizontal="left"/>
    </xf>
    <xf numFmtId="184" fontId="3" fillId="3" borderId="0" applyAlignment="1" pivotButton="0" quotePrefix="0" xfId="0">
      <alignment horizontal="left"/>
    </xf>
    <xf numFmtId="168" fontId="5" fillId="3" borderId="0" applyAlignment="1" pivotButton="0" quotePrefix="0" xfId="16">
      <alignment horizontal="center"/>
    </xf>
    <xf numFmtId="166" fontId="6" fillId="3" borderId="0" applyAlignment="1" pivotButton="0" quotePrefix="0" xfId="0">
      <alignment horizontal="center"/>
    </xf>
    <xf numFmtId="185" fontId="3" fillId="3" borderId="0" pivotButton="0" quotePrefix="0" xfId="0"/>
    <xf numFmtId="164" fontId="25" fillId="3" borderId="0" applyAlignment="1" pivotButton="0" quotePrefix="0" xfId="0">
      <alignment horizontal="right"/>
    </xf>
    <xf numFmtId="164" fontId="23" fillId="3" borderId="0" pivotButton="0" quotePrefix="0" xfId="0"/>
    <xf numFmtId="165" fontId="25" fillId="3" borderId="0" pivotButton="0" quotePrefix="0" xfId="0"/>
    <xf numFmtId="167" fontId="25" fillId="3" borderId="0" applyAlignment="1" pivotButton="0" quotePrefix="0" xfId="0">
      <alignment horizontal="right"/>
    </xf>
    <xf numFmtId="170" fontId="21" fillId="3" borderId="0" applyAlignment="1" pivotButton="0" quotePrefix="0" xfId="0">
      <alignment horizontal="center"/>
    </xf>
    <xf numFmtId="0" fontId="25" fillId="3" borderId="0" pivotButton="0" quotePrefix="0" xfId="0"/>
    <xf numFmtId="0" fontId="24" fillId="3" borderId="0" applyAlignment="1" pivotButton="0" quotePrefix="0" xfId="16">
      <alignment horizontal="center"/>
    </xf>
    <xf numFmtId="164" fontId="21" fillId="3" borderId="0" pivotButton="0" quotePrefix="0" xfId="16"/>
    <xf numFmtId="180" fontId="21" fillId="3" borderId="0" pivotButton="0" quotePrefix="0" xfId="16"/>
    <xf numFmtId="180" fontId="25" fillId="3" borderId="0" applyAlignment="1" pivotButton="0" quotePrefix="0" xfId="0">
      <alignment horizontal="right"/>
    </xf>
    <xf numFmtId="164" fontId="25" fillId="3" borderId="0" applyAlignment="1" pivotButton="0" quotePrefix="0" xfId="0">
      <alignment horizontal="left" indent="1"/>
    </xf>
    <xf numFmtId="168" fontId="25" fillId="3" borderId="0" applyAlignment="1" pivotButton="0" quotePrefix="0" xfId="0">
      <alignment horizontal="left"/>
    </xf>
    <xf numFmtId="168" fontId="25" fillId="3" borderId="0" applyAlignment="1" pivotButton="0" quotePrefix="0" xfId="0">
      <alignment horizontal="left" indent="4"/>
    </xf>
    <xf numFmtId="166" fontId="23" fillId="3" borderId="7" applyAlignment="1" pivotButton="0" quotePrefix="0" xfId="0">
      <alignment horizontal="left" indent="3"/>
    </xf>
    <xf numFmtId="166" fontId="23" fillId="3" borderId="9" applyAlignment="1" pivotButton="0" quotePrefix="0" xfId="0">
      <alignment horizontal="left" indent="3"/>
    </xf>
    <xf numFmtId="166" fontId="25" fillId="3" borderId="7" applyAlignment="1" pivotButton="0" quotePrefix="0" xfId="0">
      <alignment horizontal="left" indent="1"/>
    </xf>
    <xf numFmtId="166" fontId="25" fillId="3" borderId="7" applyAlignment="1" pivotButton="0" quotePrefix="0" xfId="0">
      <alignment horizontal="left" indent="3"/>
    </xf>
    <xf numFmtId="166" fontId="25" fillId="3" borderId="9" applyAlignment="1" pivotButton="0" quotePrefix="0" xfId="0">
      <alignment horizontal="left" indent="3"/>
    </xf>
    <xf numFmtId="168" fontId="25" fillId="3" borderId="0" applyAlignment="1" pivotButton="0" quotePrefix="0" xfId="0">
      <alignment horizontal="left" indent="3"/>
    </xf>
    <xf numFmtId="168" fontId="25" fillId="3" borderId="0" applyAlignment="1" pivotButton="0" quotePrefix="0" xfId="0">
      <alignment horizontal="right"/>
    </xf>
    <xf numFmtId="164" fontId="23" fillId="3" borderId="0" applyAlignment="1" pivotButton="0" quotePrefix="0" xfId="15">
      <alignment horizontal="left" indent="3"/>
    </xf>
    <xf numFmtId="168" fontId="23" fillId="3" borderId="0" applyAlignment="1" pivotButton="0" quotePrefix="0" xfId="0">
      <alignment horizontal="left" indent="3"/>
    </xf>
    <xf numFmtId="165" fontId="25" fillId="3" borderId="0" applyAlignment="1" pivotButton="0" quotePrefix="0" xfId="0">
      <alignment horizontal="left" indent="3"/>
    </xf>
    <xf numFmtId="165" fontId="21" fillId="3" borderId="0" pivotButton="0" quotePrefix="0" xfId="16"/>
    <xf numFmtId="165" fontId="23" fillId="3" borderId="0" applyAlignment="1" pivotButton="0" quotePrefix="0" xfId="0">
      <alignment horizontal="left" indent="3"/>
    </xf>
    <xf numFmtId="166" fontId="25" fillId="3" borderId="13" applyAlignment="1" pivotButton="0" quotePrefix="0" xfId="0">
      <alignment horizontal="left" indent="3"/>
    </xf>
    <xf numFmtId="167" fontId="23" fillId="3" borderId="0" applyAlignment="1" pivotButton="0" quotePrefix="0" xfId="0">
      <alignment horizontal="left" indent="3"/>
    </xf>
    <xf numFmtId="167" fontId="23" fillId="3" borderId="0" pivotButton="0" quotePrefix="0" xfId="0"/>
    <xf numFmtId="0" fontId="25" fillId="3" borderId="0" applyAlignment="1" pivotButton="0" quotePrefix="0" xfId="0">
      <alignment horizontal="left" indent="3"/>
    </xf>
    <xf numFmtId="167" fontId="21" fillId="3" borderId="0" pivotButton="0" quotePrefix="0" xfId="0"/>
    <xf numFmtId="167" fontId="25" fillId="3" borderId="0" applyAlignment="1" pivotButton="0" quotePrefix="0" xfId="0">
      <alignment horizontal="left" indent="3"/>
    </xf>
    <xf numFmtId="167" fontId="25" fillId="3" borderId="0" pivotButton="0" quotePrefix="0" xfId="0"/>
    <xf numFmtId="164" fontId="25" fillId="3" borderId="0" applyAlignment="1" pivotButton="0" quotePrefix="0" xfId="0">
      <alignment horizontal="left"/>
    </xf>
    <xf numFmtId="176" fontId="21" fillId="3" borderId="0" pivotButton="0" quotePrefix="0" xfId="16"/>
    <xf numFmtId="174" fontId="21" fillId="3" borderId="0" pivotButton="0" quotePrefix="0" xfId="16"/>
    <xf numFmtId="166" fontId="25" fillId="3" borderId="0" applyAlignment="1" pivotButton="0" quotePrefix="0" xfId="0">
      <alignment horizontal="left" indent="2"/>
    </xf>
    <xf numFmtId="164" fontId="23" fillId="3" borderId="0" applyAlignment="1" pivotButton="0" quotePrefix="0" xfId="0">
      <alignment horizontal="left" indent="3"/>
    </xf>
    <xf numFmtId="164" fontId="31" fillId="3" borderId="0" applyAlignment="1" pivotButton="0" quotePrefix="0" xfId="0">
      <alignment horizontal="left" indent="3"/>
    </xf>
    <xf numFmtId="166" fontId="21" fillId="3" borderId="13" applyAlignment="1" pivotButton="0" quotePrefix="0" xfId="28">
      <alignment horizontal="left" indent="1"/>
    </xf>
    <xf numFmtId="173" fontId="23" fillId="3" borderId="11" pivotButton="0" quotePrefix="0" xfId="0"/>
    <xf numFmtId="173" fontId="23" fillId="3" borderId="0" pivotButton="0" quotePrefix="0" xfId="0"/>
    <xf numFmtId="173" fontId="25" fillId="3" borderId="11" pivotButton="0" quotePrefix="0" xfId="0"/>
    <xf numFmtId="173" fontId="25" fillId="3" borderId="0" pivotButton="0" quotePrefix="0" xfId="0"/>
    <xf numFmtId="173" fontId="25" fillId="3" borderId="13" pivotButton="0" quotePrefix="0" xfId="0"/>
    <xf numFmtId="0" fontId="23" fillId="3" borderId="0" pivotButton="0" quotePrefix="0" xfId="0"/>
    <xf numFmtId="166" fontId="21" fillId="3" borderId="1" applyAlignment="1" pivotButton="0" quotePrefix="0" xfId="28">
      <alignment horizontal="left" indent="1"/>
    </xf>
    <xf numFmtId="173" fontId="21" fillId="3" borderId="13" pivotButton="0" quotePrefix="0" xfId="28"/>
    <xf numFmtId="0" fontId="25" fillId="3" borderId="12" pivotButton="0" quotePrefix="0" xfId="0"/>
    <xf numFmtId="168" fontId="25" fillId="4" borderId="0" pivotButton="0" quotePrefix="0" xfId="0"/>
    <xf numFmtId="164" fontId="31" fillId="4" borderId="0" pivotButton="0" quotePrefix="0" xfId="0"/>
    <xf numFmtId="1" fontId="23" fillId="4" borderId="0" applyAlignment="1" pivotButton="0" quotePrefix="0" xfId="0">
      <alignment horizontal="center"/>
    </xf>
    <xf numFmtId="17" fontId="21" fillId="4" borderId="0" applyAlignment="1" pivotButton="0" quotePrefix="0" xfId="0">
      <alignment horizontal="center"/>
    </xf>
    <xf numFmtId="0" fontId="24" fillId="4" borderId="0" applyAlignment="1" pivotButton="0" quotePrefix="0" xfId="0">
      <alignment horizontal="center"/>
    </xf>
    <xf numFmtId="168" fontId="25" fillId="4" borderId="0" applyAlignment="1" pivotButton="0" quotePrefix="0" xfId="0">
      <alignment horizontal="right"/>
    </xf>
    <xf numFmtId="180" fontId="25" fillId="4" borderId="0" applyAlignment="1" pivotButton="0" quotePrefix="0" xfId="0">
      <alignment horizontal="right"/>
    </xf>
    <xf numFmtId="0" fontId="23" fillId="3" borderId="6" pivotButton="0" quotePrefix="0" xfId="0"/>
    <xf numFmtId="173" fontId="21" fillId="3" borderId="4" pivotButton="0" quotePrefix="0" xfId="28"/>
    <xf numFmtId="164" fontId="22" fillId="5" borderId="21" pivotButton="0" quotePrefix="0" xfId="0"/>
    <xf numFmtId="0" fontId="25" fillId="3" borderId="21" pivotButton="0" quotePrefix="0" xfId="0"/>
    <xf numFmtId="173" fontId="23" fillId="3" borderId="21" pivotButton="0" quotePrefix="0" xfId="0"/>
    <xf numFmtId="173" fontId="25" fillId="3" borderId="21" pivotButton="0" quotePrefix="0" xfId="0"/>
    <xf numFmtId="0" fontId="23" fillId="3" borderId="21" pivotButton="0" quotePrefix="0" xfId="0"/>
    <xf numFmtId="173" fontId="25" fillId="3" borderId="22" pivotButton="0" quotePrefix="0" xfId="0"/>
    <xf numFmtId="166" fontId="25" fillId="3" borderId="23" pivotButton="0" quotePrefix="0" xfId="0"/>
    <xf numFmtId="176" fontId="25" fillId="3" borderId="21" pivotButton="0" quotePrefix="0" xfId="0"/>
    <xf numFmtId="17" fontId="32" fillId="4" borderId="0" applyAlignment="1" pivotButton="0" quotePrefix="0" xfId="36">
      <alignment horizontal="center"/>
    </xf>
    <xf numFmtId="166" fontId="24" fillId="4" borderId="0" applyAlignment="1" pivotButton="0" quotePrefix="0" xfId="36">
      <alignment horizontal="center"/>
    </xf>
    <xf numFmtId="166" fontId="29" fillId="5" borderId="21" pivotButton="0" quotePrefix="0" xfId="36"/>
    <xf numFmtId="164" fontId="30" fillId="5" borderId="21" pivotButton="0" quotePrefix="0" xfId="36"/>
    <xf numFmtId="173" fontId="25" fillId="3" borderId="0" applyAlignment="1" pivotButton="0" quotePrefix="0" xfId="0">
      <alignment horizontal="left"/>
    </xf>
    <xf numFmtId="173" fontId="25" fillId="3" borderId="0" applyAlignment="1" pivotButton="0" quotePrefix="0" xfId="0">
      <alignment horizontal="left" indent="4"/>
    </xf>
    <xf numFmtId="173" fontId="25" fillId="4" borderId="0" pivotButton="0" quotePrefix="0" xfId="0"/>
    <xf numFmtId="186" fontId="25" fillId="3" borderId="0" pivotButton="0" quotePrefix="0" xfId="0"/>
    <xf numFmtId="0" fontId="4" fillId="3" borderId="24" pivotButton="0" quotePrefix="0" xfId="26"/>
    <xf numFmtId="0" fontId="46" fillId="3" borderId="0" applyAlignment="1" pivotButton="0" quotePrefix="0" xfId="0">
      <alignment horizontal="center"/>
    </xf>
    <xf numFmtId="164" fontId="25" fillId="3" borderId="0" applyAlignment="1" pivotButton="0" quotePrefix="0" xfId="0">
      <alignment horizontal="left" indent="4"/>
    </xf>
    <xf numFmtId="164" fontId="25" fillId="4" borderId="0" pivotButton="0" quotePrefix="0" xfId="0"/>
    <xf numFmtId="43" fontId="25" fillId="3" borderId="0" applyAlignment="1" pivotButton="0" quotePrefix="0" xfId="0">
      <alignment horizontal="left"/>
    </xf>
    <xf numFmtId="43" fontId="25" fillId="3" borderId="0" applyAlignment="1" pivotButton="0" quotePrefix="0" xfId="0">
      <alignment horizontal="left" indent="4"/>
    </xf>
    <xf numFmtId="43" fontId="25" fillId="4" borderId="0" pivotButton="0" quotePrefix="0" xfId="0"/>
    <xf numFmtId="43" fontId="25" fillId="3" borderId="0" pivotButton="0" quotePrefix="0" xfId="0"/>
    <xf numFmtId="43" fontId="0" fillId="3" borderId="0" pivotButton="0" quotePrefix="0" xfId="0"/>
    <xf numFmtId="187" fontId="25" fillId="3" borderId="0" pivotButton="0" quotePrefix="0" xfId="0"/>
    <xf numFmtId="187" fontId="25" fillId="3" borderId="0" applyAlignment="1" pivotButton="0" quotePrefix="0" xfId="0">
      <alignment horizontal="left" indent="3"/>
    </xf>
    <xf numFmtId="187" fontId="25" fillId="4" borderId="0" pivotButton="0" quotePrefix="0" xfId="0"/>
    <xf numFmtId="187" fontId="0" fillId="3" borderId="0" pivotButton="0" quotePrefix="0" xfId="0"/>
    <xf numFmtId="166" fontId="25" fillId="3" borderId="2" applyAlignment="1" pivotButton="0" quotePrefix="0" xfId="0">
      <alignment horizontal="left" indent="2"/>
    </xf>
    <xf numFmtId="43" fontId="25" fillId="3" borderId="0" pivotButton="0" quotePrefix="0" xfId="36"/>
    <xf numFmtId="17" fontId="25" fillId="3" borderId="0" pivotButton="0" quotePrefix="0" xfId="0"/>
    <xf numFmtId="17" fontId="25" fillId="3" borderId="10" pivotButton="0" quotePrefix="0" xfId="0"/>
    <xf numFmtId="188" fontId="25" fillId="3" borderId="0" pivotButton="0" quotePrefix="0" xfId="0"/>
    <xf numFmtId="188" fontId="25" fillId="3" borderId="10" pivotButton="0" quotePrefix="0" xfId="0"/>
    <xf numFmtId="174" fontId="25" fillId="3" borderId="0" pivotButton="0" quotePrefix="0" xfId="0"/>
    <xf numFmtId="174" fontId="25" fillId="3" borderId="10" pivotButton="0" quotePrefix="0" xfId="0"/>
    <xf numFmtId="166" fontId="21" fillId="3" borderId="25" applyAlignment="1" pivotButton="0" quotePrefix="0" xfId="28">
      <alignment horizontal="left" indent="1"/>
    </xf>
    <xf numFmtId="174" fontId="21" fillId="3" borderId="2" pivotButton="0" quotePrefix="0" xfId="28"/>
    <xf numFmtId="174" fontId="25" fillId="3" borderId="2" pivotButton="0" quotePrefix="0" xfId="0"/>
    <xf numFmtId="174" fontId="25" fillId="3" borderId="26" pivotButton="0" quotePrefix="0" xfId="0"/>
    <xf numFmtId="174" fontId="25" fillId="3" borderId="27" pivotButton="0" quotePrefix="0" xfId="0"/>
    <xf numFmtId="188" fontId="25" fillId="4" borderId="0" pivotButton="0" quotePrefix="0" xfId="0"/>
    <xf numFmtId="174" fontId="25" fillId="4" borderId="0" pivotButton="0" quotePrefix="0" xfId="0"/>
    <xf numFmtId="166" fontId="0" fillId="3" borderId="0" applyAlignment="1" pivotButton="0" quotePrefix="0" xfId="0">
      <alignment horizontal="left" indent="1"/>
    </xf>
    <xf numFmtId="189" fontId="6" fillId="3" borderId="0" applyAlignment="1" pivotButton="0" quotePrefix="0" xfId="0">
      <alignment horizontal="left"/>
    </xf>
    <xf numFmtId="168" fontId="24" fillId="3" borderId="0" applyAlignment="1" pivotButton="0" quotePrefix="0" xfId="0">
      <alignment horizontal="left"/>
    </xf>
    <xf numFmtId="168" fontId="23" fillId="4" borderId="0" applyAlignment="1" pivotButton="0" quotePrefix="0" xfId="0">
      <alignment horizontal="right"/>
    </xf>
    <xf numFmtId="164" fontId="23" fillId="4" borderId="0" applyAlignment="1" pivotButton="0" quotePrefix="0" xfId="15">
      <alignment horizontal="right"/>
    </xf>
    <xf numFmtId="168" fontId="23" fillId="3" borderId="0" applyAlignment="1" pivotButton="0" quotePrefix="0" xfId="0">
      <alignment horizontal="right"/>
    </xf>
    <xf numFmtId="176" fontId="23" fillId="3" borderId="0" applyAlignment="1" pivotButton="0" quotePrefix="0" xfId="0">
      <alignment horizontal="right"/>
    </xf>
    <xf numFmtId="176" fontId="25" fillId="3" borderId="0" applyAlignment="1" pivotButton="0" quotePrefix="0" xfId="0">
      <alignment horizontal="right"/>
    </xf>
    <xf numFmtId="188" fontId="25" fillId="3" borderId="0" applyAlignment="1" pivotButton="0" quotePrefix="0" xfId="0">
      <alignment horizontal="right"/>
    </xf>
    <xf numFmtId="174" fontId="25" fillId="3" borderId="0" applyAlignment="1" pivotButton="0" quotePrefix="0" xfId="0">
      <alignment horizontal="right"/>
    </xf>
    <xf numFmtId="166" fontId="21" fillId="3" borderId="0" applyAlignment="1" pivotButton="0" quotePrefix="0" xfId="28">
      <alignment horizontal="left" indent="1"/>
    </xf>
    <xf numFmtId="166" fontId="24" fillId="3" borderId="6" applyAlignment="1" pivotButton="0" quotePrefix="0" xfId="28">
      <alignment horizontal="left"/>
    </xf>
    <xf numFmtId="166" fontId="21" fillId="3" borderId="4" applyAlignment="1" pivotButton="0" quotePrefix="0" xfId="28">
      <alignment horizontal="left" indent="1"/>
    </xf>
    <xf numFmtId="164" fontId="25" fillId="3" borderId="21" applyAlignment="1" pivotButton="0" quotePrefix="0" xfId="0">
      <alignment horizontal="right"/>
    </xf>
    <xf numFmtId="176" fontId="25" fillId="3" borderId="0" applyAlignment="1" pivotButton="0" quotePrefix="0" xfId="0">
      <alignment horizontal="left" indent="3"/>
    </xf>
    <xf numFmtId="187" fontId="26" fillId="3" borderId="0" applyAlignment="1" pivotButton="0" quotePrefix="0" xfId="0">
      <alignment horizontal="left" indent="3"/>
    </xf>
    <xf numFmtId="166" fontId="25" fillId="3" borderId="13" applyAlignment="1" pivotButton="0" quotePrefix="0" xfId="36">
      <alignment horizontal="left" indent="1"/>
    </xf>
    <xf numFmtId="190" fontId="23" fillId="4" borderId="0" pivotButton="0" quotePrefix="0" xfId="0"/>
    <xf numFmtId="190" fontId="23" fillId="3" borderId="0" pivotButton="0" quotePrefix="0" xfId="0"/>
    <xf numFmtId="164" fontId="47" fillId="3" borderId="0" pivotButton="0" quotePrefix="0" xfId="0"/>
    <xf numFmtId="164" fontId="47" fillId="4" borderId="0" pivotButton="0" quotePrefix="0" xfId="0"/>
    <xf numFmtId="173" fontId="26" fillId="3" borderId="0" applyAlignment="1" pivotButton="0" quotePrefix="0" xfId="0">
      <alignment horizontal="left" indent="1"/>
    </xf>
    <xf numFmtId="173" fontId="26" fillId="3" borderId="0" pivotButton="0" quotePrefix="0" xfId="0"/>
    <xf numFmtId="176" fontId="25" fillId="3" borderId="2" applyAlignment="1" pivotButton="0" quotePrefix="0" xfId="0">
      <alignment horizontal="left" indent="3"/>
    </xf>
    <xf numFmtId="190" fontId="25" fillId="4" borderId="0" pivotButton="0" quotePrefix="0" xfId="0"/>
    <xf numFmtId="190" fontId="25" fillId="3" borderId="0" pivotButton="0" quotePrefix="0" xfId="0"/>
    <xf numFmtId="190" fontId="25" fillId="3" borderId="0" applyAlignment="1" pivotButton="0" quotePrefix="0" xfId="0">
      <alignment horizontal="left" indent="1"/>
    </xf>
    <xf numFmtId="190" fontId="25" fillId="3" borderId="0" applyAlignment="1" pivotButton="0" quotePrefix="0" xfId="0">
      <alignment horizontal="left" indent="2"/>
    </xf>
    <xf numFmtId="191" fontId="23" fillId="3" borderId="0" pivotButton="0" quotePrefix="0" xfId="0"/>
    <xf numFmtId="191" fontId="23" fillId="4" borderId="0" pivotButton="0" quotePrefix="0" xfId="0"/>
    <xf numFmtId="166" fontId="23" fillId="3" borderId="12" applyAlignment="1" pivotButton="0" quotePrefix="0" xfId="0">
      <alignment horizontal="left" indent="3"/>
    </xf>
    <xf numFmtId="192" fontId="25" fillId="4" borderId="0" pivotButton="0" quotePrefix="0" xfId="0"/>
    <xf numFmtId="192" fontId="25" fillId="3" borderId="0" pivotButton="0" quotePrefix="0" xfId="0"/>
    <xf numFmtId="187" fontId="23" fillId="3" borderId="0" applyAlignment="1" pivotButton="0" quotePrefix="0" xfId="0">
      <alignment horizontal="left" indent="3"/>
    </xf>
    <xf numFmtId="190" fontId="25" fillId="3" borderId="2" applyAlignment="1" pivotButton="0" quotePrefix="0" xfId="0">
      <alignment horizontal="left" indent="2"/>
    </xf>
    <xf numFmtId="190" fontId="25" fillId="4" borderId="2" pivotButton="0" quotePrefix="0" xfId="0"/>
    <xf numFmtId="190" fontId="25" fillId="3" borderId="2" pivotButton="0" quotePrefix="0" xfId="0"/>
    <xf numFmtId="190" fontId="25" fillId="3" borderId="2" applyAlignment="1" pivotButton="0" quotePrefix="0" xfId="0">
      <alignment horizontal="left" indent="1"/>
    </xf>
    <xf numFmtId="190" fontId="8" fillId="3" borderId="2" pivotButton="0" quotePrefix="0" xfId="0"/>
    <xf numFmtId="173" fontId="21" fillId="3" borderId="1" pivotButton="0" quotePrefix="0" xfId="28"/>
    <xf numFmtId="176" fontId="25" fillId="3" borderId="13" applyAlignment="1" pivotButton="0" quotePrefix="0" xfId="36">
      <alignment horizontal="left"/>
    </xf>
    <xf numFmtId="164" fontId="23" fillId="3" borderId="0" applyAlignment="1" pivotButton="0" quotePrefix="0" xfId="0">
      <alignment horizontal="left" indent="4"/>
    </xf>
    <xf numFmtId="164" fontId="25" fillId="3" borderId="2" applyAlignment="1" pivotButton="0" quotePrefix="0" xfId="0">
      <alignment horizontal="left" indent="4"/>
    </xf>
    <xf numFmtId="164" fontId="25" fillId="4" borderId="2" pivotButton="0" quotePrefix="0" xfId="0"/>
    <xf numFmtId="164" fontId="25" fillId="3" borderId="2" pivotButton="0" quotePrefix="0" xfId="0"/>
    <xf numFmtId="164" fontId="25" fillId="3" borderId="2" applyAlignment="1" pivotButton="0" quotePrefix="0" xfId="0">
      <alignment horizontal="left" indent="1"/>
    </xf>
    <xf numFmtId="164" fontId="25" fillId="3" borderId="0" applyAlignment="1" pivotButton="0" quotePrefix="0" xfId="0">
      <alignment horizontal="left" indent="2"/>
    </xf>
    <xf numFmtId="164" fontId="25" fillId="3" borderId="2" applyAlignment="1" pivotButton="0" quotePrefix="0" xfId="0">
      <alignment horizontal="left" indent="2"/>
    </xf>
    <xf numFmtId="166" fontId="25" fillId="3" borderId="13" applyAlignment="1" pivotButton="0" quotePrefix="0" xfId="36">
      <alignment horizontal="left" indent="2"/>
    </xf>
    <xf numFmtId="176" fontId="23" fillId="4" borderId="0" applyAlignment="1" pivotButton="0" quotePrefix="0" xfId="0">
      <alignment horizontal="right"/>
    </xf>
    <xf numFmtId="166" fontId="25" fillId="3" borderId="12" applyAlignment="1" pivotButton="0" quotePrefix="0" xfId="0">
      <alignment horizontal="left" indent="3"/>
    </xf>
    <xf numFmtId="166" fontId="26" fillId="3" borderId="12" applyAlignment="1" pivotButton="0" quotePrefix="0" xfId="0">
      <alignment horizontal="left" indent="3"/>
    </xf>
    <xf numFmtId="164" fontId="26" fillId="4" borderId="12" pivotButton="0" quotePrefix="0" xfId="0"/>
    <xf numFmtId="164" fontId="26" fillId="3" borderId="12" pivotButton="0" quotePrefix="0" xfId="0"/>
    <xf numFmtId="166" fontId="25" fillId="3" borderId="13" applyAlignment="1" pivotButton="0" quotePrefix="0" xfId="0">
      <alignment horizontal="left" indent="2"/>
    </xf>
    <xf numFmtId="166" fontId="25" fillId="3" borderId="12" applyAlignment="1" pivotButton="0" quotePrefix="0" xfId="0">
      <alignment horizontal="left" indent="1"/>
    </xf>
    <xf numFmtId="176" fontId="25" fillId="4" borderId="12" pivotButton="0" quotePrefix="0" xfId="0"/>
    <xf numFmtId="176" fontId="25" fillId="3" borderId="12" pivotButton="0" quotePrefix="0" xfId="0"/>
    <xf numFmtId="193" fontId="26" fillId="4" borderId="0" pivotButton="0" quotePrefix="0" xfId="0"/>
    <xf numFmtId="193" fontId="47" fillId="4" borderId="0" pivotButton="0" quotePrefix="0" xfId="0"/>
    <xf numFmtId="193" fontId="47" fillId="3" borderId="0" pivotButton="0" quotePrefix="0" xfId="0"/>
    <xf numFmtId="17" fontId="25" fillId="3" borderId="0" applyAlignment="1" pivotButton="0" quotePrefix="0" xfId="0">
      <alignment horizontal="left" indent="2"/>
    </xf>
    <xf numFmtId="166" fontId="25" fillId="3" borderId="12" applyAlignment="1" pivotButton="0" quotePrefix="0" xfId="0">
      <alignment horizontal="left" indent="2"/>
    </xf>
    <xf numFmtId="165" fontId="21" fillId="3" borderId="0" applyAlignment="1" pivotButton="0" quotePrefix="0" xfId="16">
      <alignment horizontal="left" indent="1"/>
    </xf>
    <xf numFmtId="165" fontId="25" fillId="3" borderId="12" applyAlignment="1" pivotButton="0" quotePrefix="0" xfId="0">
      <alignment horizontal="left" indent="3"/>
    </xf>
    <xf numFmtId="165" fontId="21" fillId="3" borderId="12" pivotButton="0" quotePrefix="0" xfId="16"/>
    <xf numFmtId="173" fontId="25" fillId="3" borderId="0" applyAlignment="1" pivotButton="0" quotePrefix="0" xfId="0">
      <alignment horizontal="left" indent="1"/>
    </xf>
    <xf numFmtId="166" fontId="25" fillId="3" borderId="12" applyAlignment="1" pivotButton="0" quotePrefix="0" xfId="0">
      <alignment horizontal="left"/>
    </xf>
    <xf numFmtId="176" fontId="25" fillId="3" borderId="0" applyAlignment="1" pivotButton="0" quotePrefix="0" xfId="0">
      <alignment horizontal="left" indent="1"/>
    </xf>
    <xf numFmtId="190" fontId="23" fillId="3" borderId="0" applyAlignment="1" pivotButton="0" quotePrefix="0" xfId="0">
      <alignment horizontal="left" indent="1"/>
    </xf>
    <xf numFmtId="173" fontId="26" fillId="3" borderId="12" pivotButton="0" quotePrefix="0" xfId="0"/>
    <xf numFmtId="166" fontId="0" fillId="3" borderId="0" pivotButton="0" quotePrefix="0" xfId="0"/>
    <xf numFmtId="166" fontId="6" fillId="3" borderId="0" pivotButton="0" quotePrefix="0" xfId="0"/>
    <xf numFmtId="166" fontId="23" fillId="3" borderId="12" applyAlignment="1" pivotButton="0" quotePrefix="0" xfId="0">
      <alignment horizontal="left"/>
    </xf>
    <xf numFmtId="166" fontId="26" fillId="3" borderId="0" applyAlignment="1" pivotButton="0" quotePrefix="0" xfId="0">
      <alignment horizontal="left"/>
    </xf>
    <xf numFmtId="164" fontId="26" fillId="4" borderId="0" applyAlignment="1" pivotButton="0" quotePrefix="0" xfId="0">
      <alignment horizontal="right"/>
    </xf>
    <xf numFmtId="164" fontId="26" fillId="3" borderId="0" applyAlignment="1" pivotButton="0" quotePrefix="0" xfId="0">
      <alignment horizontal="right"/>
    </xf>
    <xf numFmtId="164" fontId="47" fillId="3" borderId="0" applyAlignment="1" pivotButton="0" quotePrefix="0" xfId="0">
      <alignment horizontal="right"/>
    </xf>
    <xf numFmtId="164" fontId="47" fillId="4" borderId="0" applyAlignment="1" pivotButton="0" quotePrefix="0" xfId="0">
      <alignment horizontal="right"/>
    </xf>
    <xf numFmtId="173" fontId="23" fillId="4" borderId="0" applyAlignment="1" pivotButton="0" quotePrefix="0" xfId="0">
      <alignment horizontal="right"/>
    </xf>
    <xf numFmtId="173" fontId="23" fillId="3" borderId="0" applyAlignment="1" pivotButton="0" quotePrefix="0" xfId="0">
      <alignment horizontal="right"/>
    </xf>
    <xf numFmtId="166" fontId="19" fillId="3" borderId="0" applyAlignment="1" pivotButton="0" quotePrefix="0" xfId="0">
      <alignment horizontal="left" indent="1"/>
    </xf>
    <xf numFmtId="166" fontId="19" fillId="3" borderId="0" applyAlignment="1" pivotButton="0" quotePrefix="0" xfId="0">
      <alignment horizontal="left" indent="2"/>
    </xf>
    <xf numFmtId="164" fontId="26" fillId="4" borderId="0" pivotButton="0" quotePrefix="0" xfId="0"/>
    <xf numFmtId="164" fontId="0" fillId="3" borderId="0" applyAlignment="1" pivotButton="0" quotePrefix="0" xfId="0">
      <alignment horizontal="left" indent="1"/>
    </xf>
    <xf numFmtId="173" fontId="8" fillId="3" borderId="0" pivotButton="0" quotePrefix="0" xfId="0"/>
    <xf numFmtId="173" fontId="8" fillId="4" borderId="0" pivotButton="0" quotePrefix="0" xfId="0"/>
    <xf numFmtId="164" fontId="26" fillId="3" borderId="0" applyAlignment="1" pivotButton="0" quotePrefix="0" xfId="0">
      <alignment horizontal="left" indent="2"/>
    </xf>
    <xf numFmtId="164" fontId="31" fillId="3" borderId="0" pivotButton="0" quotePrefix="0" xfId="0"/>
    <xf numFmtId="180" fontId="0" fillId="3" borderId="2" applyAlignment="1" pivotButton="0" quotePrefix="0" xfId="0">
      <alignment horizontal="left" indent="1"/>
    </xf>
    <xf numFmtId="180" fontId="21" fillId="3" borderId="2" pivotButton="0" quotePrefix="0" xfId="16"/>
    <xf numFmtId="180" fontId="0" fillId="4" borderId="2" applyAlignment="1" pivotButton="0" quotePrefix="0" xfId="0">
      <alignment horizontal="right"/>
    </xf>
    <xf numFmtId="180" fontId="0" fillId="3" borderId="2" applyAlignment="1" pivotButton="0" quotePrefix="0" xfId="0">
      <alignment horizontal="right"/>
    </xf>
    <xf numFmtId="180" fontId="25" fillId="3" borderId="2" applyAlignment="1" pivotButton="0" quotePrefix="0" xfId="0">
      <alignment horizontal="right"/>
    </xf>
    <xf numFmtId="180" fontId="25" fillId="4" borderId="2" applyAlignment="1" pivotButton="0" quotePrefix="0" xfId="0">
      <alignment horizontal="right"/>
    </xf>
    <xf numFmtId="180" fontId="24" fillId="3" borderId="0" pivotButton="0" quotePrefix="0" xfId="16"/>
    <xf numFmtId="180" fontId="23" fillId="3" borderId="0" applyAlignment="1" pivotButton="0" quotePrefix="0" xfId="0">
      <alignment horizontal="right"/>
    </xf>
    <xf numFmtId="180" fontId="23" fillId="4" borderId="0" applyAlignment="1" pivotButton="0" quotePrefix="0" xfId="0">
      <alignment horizontal="right"/>
    </xf>
    <xf numFmtId="180" fontId="6" fillId="3" borderId="0" pivotButton="0" quotePrefix="0" xfId="0"/>
    <xf numFmtId="180" fontId="6" fillId="3" borderId="0" applyAlignment="1" pivotButton="0" quotePrefix="0" xfId="0">
      <alignment horizontal="left"/>
    </xf>
    <xf numFmtId="166" fontId="25" fillId="3" borderId="2" applyAlignment="1" pivotButton="0" quotePrefix="0" xfId="36">
      <alignment horizontal="left" indent="2"/>
    </xf>
    <xf numFmtId="166" fontId="25" fillId="3" borderId="7" applyAlignment="1" pivotButton="0" quotePrefix="0" xfId="36">
      <alignment horizontal="left" indent="1"/>
    </xf>
    <xf numFmtId="164" fontId="23" fillId="3" borderId="0" applyAlignment="1" pivotButton="0" quotePrefix="0" xfId="15">
      <alignment horizontal="right"/>
    </xf>
    <xf numFmtId="166" fontId="23" fillId="3" borderId="0" applyAlignment="1" pivotButton="0" quotePrefix="0" xfId="15">
      <alignment horizontal="left"/>
    </xf>
    <xf numFmtId="166" fontId="25" fillId="3" borderId="2" applyAlignment="1" pivotButton="0" quotePrefix="0" xfId="36">
      <alignment horizontal="left" indent="1"/>
    </xf>
    <xf numFmtId="164" fontId="19" fillId="3" borderId="0" applyAlignment="1" pivotButton="0" quotePrefix="0" xfId="0">
      <alignment horizontal="left" indent="1"/>
    </xf>
    <xf numFmtId="173" fontId="25" fillId="3" borderId="7" pivotButton="0" quotePrefix="0" xfId="0"/>
    <xf numFmtId="173" fontId="21" fillId="3" borderId="7" pivotButton="0" quotePrefix="0" xfId="28"/>
    <xf numFmtId="173" fontId="25" fillId="3" borderId="28" pivotButton="0" quotePrefix="0" xfId="0"/>
    <xf numFmtId="173" fontId="25" fillId="3" borderId="6" pivotButton="0" quotePrefix="0" xfId="0"/>
    <xf numFmtId="173" fontId="25" fillId="3" borderId="2" pivotButton="0" quotePrefix="0" xfId="0"/>
    <xf numFmtId="173" fontId="21" fillId="3" borderId="2" pivotButton="0" quotePrefix="0" xfId="28"/>
    <xf numFmtId="173" fontId="25" fillId="3" borderId="26" pivotButton="0" quotePrefix="0" xfId="0"/>
    <xf numFmtId="173" fontId="25" fillId="3" borderId="1" pivotButton="0" quotePrefix="0" xfId="0"/>
    <xf numFmtId="166" fontId="24" fillId="3" borderId="7" applyAlignment="1" pivotButton="0" quotePrefix="0" xfId="28">
      <alignment horizontal="left"/>
    </xf>
    <xf numFmtId="166" fontId="24" fillId="3" borderId="0" applyAlignment="1" pivotButton="0" quotePrefix="0" xfId="28">
      <alignment horizontal="left"/>
    </xf>
    <xf numFmtId="166" fontId="24" fillId="3" borderId="2" applyAlignment="1" pivotButton="0" quotePrefix="0" xfId="28">
      <alignment horizontal="left"/>
    </xf>
    <xf numFmtId="194" fontId="23" fillId="3" borderId="0" applyAlignment="1" pivotButton="0" quotePrefix="0" xfId="0">
      <alignment horizontal="right"/>
    </xf>
    <xf numFmtId="194" fontId="23" fillId="3" borderId="4" applyAlignment="1" pivotButton="0" quotePrefix="0" xfId="0">
      <alignment horizontal="right"/>
    </xf>
    <xf numFmtId="0" fontId="23" fillId="3" borderId="0" applyAlignment="1" pivotButton="0" quotePrefix="0" xfId="0">
      <alignment horizontal="right"/>
    </xf>
    <xf numFmtId="0" fontId="23" fillId="3" borderId="4" applyAlignment="1" pivotButton="0" quotePrefix="0" xfId="0">
      <alignment horizontal="right"/>
    </xf>
    <xf numFmtId="0" fontId="12" fillId="3" borderId="0" applyAlignment="1" pivotButton="0" quotePrefix="0" xfId="32">
      <alignment vertical="center"/>
    </xf>
    <xf numFmtId="0" fontId="17" fillId="3" borderId="0" applyAlignment="1" pivotButton="0" quotePrefix="0" xfId="32">
      <alignment vertical="center"/>
    </xf>
    <xf numFmtId="0" fontId="2" fillId="3" borderId="0" applyAlignment="1" pivotButton="0" quotePrefix="0" xfId="32">
      <alignment vertical="center"/>
    </xf>
    <xf numFmtId="0" fontId="17" fillId="3" borderId="0" applyAlignment="1" pivotButton="0" quotePrefix="0" xfId="32">
      <alignment horizontal="center" vertical="center"/>
    </xf>
    <xf numFmtId="0" fontId="12" fillId="3" borderId="0" pivotButton="0" quotePrefix="0" xfId="32"/>
    <xf numFmtId="14" fontId="12" fillId="3" borderId="0" applyAlignment="1" pivotButton="0" quotePrefix="0" xfId="32">
      <alignment horizontal="center" vertical="center"/>
    </xf>
    <xf numFmtId="0" fontId="12" fillId="3" borderId="0" applyAlignment="1" pivotButton="0" quotePrefix="0" xfId="32">
      <alignment horizontal="center"/>
    </xf>
    <xf numFmtId="0" fontId="16" fillId="3" borderId="0" pivotButton="0" quotePrefix="0" xfId="32"/>
    <xf numFmtId="0" fontId="28" fillId="3" borderId="0" applyAlignment="1" pivotButton="0" quotePrefix="0" xfId="32">
      <alignment horizontal="center"/>
    </xf>
    <xf numFmtId="1" fontId="15" fillId="3" borderId="0" applyAlignment="1" pivotButton="0" quotePrefix="0" xfId="32">
      <alignment horizontal="center"/>
    </xf>
    <xf numFmtId="0" fontId="16" fillId="3" borderId="0" pivotButton="0" quotePrefix="1" xfId="32"/>
    <xf numFmtId="0" fontId="17" fillId="3" borderId="0" pivotButton="0" quotePrefix="0" xfId="32"/>
    <xf numFmtId="186" fontId="15" fillId="3" borderId="0" pivotButton="0" quotePrefix="0" xfId="32"/>
    <xf numFmtId="195" fontId="17" fillId="3" borderId="0" applyAlignment="1" pivotButton="0" quotePrefix="0" xfId="32">
      <alignment horizontal="center" vertical="center"/>
    </xf>
    <xf numFmtId="196" fontId="3" fillId="3" borderId="0" applyAlignment="1" pivotButton="0" quotePrefix="0" xfId="32">
      <alignment horizontal="right"/>
    </xf>
    <xf numFmtId="197" fontId="3" fillId="3" borderId="0" applyAlignment="1" pivotButton="0" quotePrefix="0" xfId="32">
      <alignment horizontal="right"/>
    </xf>
    <xf numFmtId="14" fontId="7" fillId="3" borderId="29" applyAlignment="1" pivotButton="0" quotePrefix="0" xfId="32">
      <alignment horizontal="center"/>
    </xf>
    <xf numFmtId="0" fontId="7" fillId="3" borderId="29" applyAlignment="1" pivotButton="0" quotePrefix="0" xfId="32">
      <alignment horizontal="center"/>
    </xf>
    <xf numFmtId="0" fontId="2" fillId="3" borderId="29" applyAlignment="1" pivotButton="0" quotePrefix="0" xfId="32">
      <alignment horizontal="center"/>
    </xf>
    <xf numFmtId="0" fontId="7" fillId="3" borderId="29" applyAlignment="1" pivotButton="0" quotePrefix="0" xfId="32">
      <alignment horizontal="left"/>
    </xf>
    <xf numFmtId="0" fontId="4" fillId="3" borderId="19" pivotButton="0" quotePrefix="0" xfId="26"/>
    <xf numFmtId="0" fontId="4" fillId="3" borderId="29" pivotButton="0" quotePrefix="0" xfId="26"/>
    <xf numFmtId="14" fontId="7" fillId="3" borderId="30" applyAlignment="1" pivotButton="0" quotePrefix="0" xfId="32">
      <alignment horizontal="center"/>
    </xf>
    <xf numFmtId="0" fontId="7" fillId="3" borderId="31" applyAlignment="1" pivotButton="0" quotePrefix="0" xfId="32">
      <alignment horizontal="center"/>
    </xf>
    <xf numFmtId="0" fontId="2" fillId="3" borderId="31" applyAlignment="1" pivotButton="0" quotePrefix="0" xfId="32">
      <alignment horizontal="center"/>
    </xf>
    <xf numFmtId="0" fontId="7" fillId="3" borderId="31" applyAlignment="1" pivotButton="0" quotePrefix="0" xfId="32">
      <alignment horizontal="left"/>
    </xf>
    <xf numFmtId="0" fontId="4" fillId="3" borderId="32" pivotButton="0" quotePrefix="0" xfId="26"/>
    <xf numFmtId="0" fontId="4" fillId="3" borderId="33" pivotButton="0" quotePrefix="0" xfId="26"/>
    <xf numFmtId="14" fontId="7" fillId="3" borderId="19" applyAlignment="1" pivotButton="0" quotePrefix="0" xfId="32">
      <alignment horizontal="center"/>
    </xf>
    <xf numFmtId="0" fontId="7" fillId="3" borderId="19" applyAlignment="1" pivotButton="0" quotePrefix="0" xfId="32">
      <alignment horizontal="center"/>
    </xf>
    <xf numFmtId="0" fontId="2" fillId="3" borderId="19" applyAlignment="1" pivotButton="0" quotePrefix="0" xfId="32">
      <alignment horizontal="center"/>
    </xf>
    <xf numFmtId="0" fontId="7" fillId="3" borderId="19" applyAlignment="1" pivotButton="0" quotePrefix="0" xfId="32">
      <alignment horizontal="left"/>
    </xf>
    <xf numFmtId="14" fontId="12" fillId="7" borderId="0" applyAlignment="1" pivotButton="0" quotePrefix="0" xfId="32">
      <alignment horizontal="center" vertical="center"/>
    </xf>
    <xf numFmtId="0" fontId="18" fillId="7" borderId="0" applyAlignment="1" pivotButton="0" quotePrefix="0" xfId="32">
      <alignment horizontal="center" vertical="center"/>
    </xf>
    <xf numFmtId="1" fontId="48" fillId="8" borderId="0" applyAlignment="1" pivotButton="0" quotePrefix="0" xfId="32">
      <alignment horizontal="center" vertical="center"/>
    </xf>
    <xf numFmtId="168" fontId="48" fillId="8" borderId="0" applyAlignment="1" pivotButton="0" quotePrefix="0" xfId="16">
      <alignment horizontal="center" vertical="center"/>
    </xf>
    <xf numFmtId="0" fontId="24" fillId="3" borderId="29" applyAlignment="1" pivotButton="0" quotePrefix="0" xfId="32">
      <alignment horizontal="center"/>
    </xf>
    <xf numFmtId="0" fontId="24" fillId="3" borderId="17" applyAlignment="1" pivotButton="0" quotePrefix="0" xfId="32">
      <alignment horizontal="center"/>
    </xf>
    <xf numFmtId="198" fontId="19" fillId="3" borderId="0" pivotButton="0" quotePrefix="0" xfId="0"/>
    <xf numFmtId="166" fontId="23" fillId="3" borderId="2" applyAlignment="1" pivotButton="0" quotePrefix="0" xfId="0">
      <alignment horizontal="left" indent="4"/>
    </xf>
    <xf numFmtId="166" fontId="21" fillId="3" borderId="0" applyAlignment="1" pivotButton="0" quotePrefix="0" xfId="28">
      <alignment horizontal="left"/>
    </xf>
    <xf numFmtId="166" fontId="25" fillId="3" borderId="4" applyAlignment="1" pivotButton="0" quotePrefix="0" xfId="0">
      <alignment horizontal="right"/>
    </xf>
    <xf numFmtId="164" fontId="21" fillId="3" borderId="0" applyAlignment="1" pivotButton="0" quotePrefix="0" xfId="28">
      <alignment horizontal="left"/>
    </xf>
    <xf numFmtId="164" fontId="25" fillId="3" borderId="4" applyAlignment="1" pivotButton="0" quotePrefix="0" xfId="0">
      <alignment horizontal="right"/>
    </xf>
    <xf numFmtId="168" fontId="21" fillId="3" borderId="0" applyAlignment="1" pivotButton="0" quotePrefix="0" xfId="28">
      <alignment horizontal="left"/>
    </xf>
    <xf numFmtId="168" fontId="25" fillId="3" borderId="4" applyAlignment="1" pivotButton="0" quotePrefix="0" xfId="0">
      <alignment horizontal="right"/>
    </xf>
    <xf numFmtId="166" fontId="22" fillId="5" borderId="0" pivotButton="0" quotePrefix="0" xfId="0"/>
    <xf numFmtId="190" fontId="22" fillId="5" borderId="0" pivotButton="0" quotePrefix="0" xfId="0"/>
    <xf numFmtId="190" fontId="22" fillId="5" borderId="21" pivotButton="0" quotePrefix="0" xfId="0"/>
    <xf numFmtId="190" fontId="22" fillId="5" borderId="0" applyAlignment="1" pivotButton="0" quotePrefix="0" xfId="0">
      <alignment horizontal="left"/>
    </xf>
    <xf numFmtId="190" fontId="25" fillId="3" borderId="0" applyAlignment="1" pivotButton="0" quotePrefix="0" xfId="0">
      <alignment horizontal="left"/>
    </xf>
    <xf numFmtId="166" fontId="31" fillId="3" borderId="0" applyAlignment="1" pivotButton="0" quotePrefix="0" xfId="0">
      <alignment horizontal="left" indent="3"/>
    </xf>
    <xf numFmtId="164" fontId="31" fillId="3" borderId="0" applyAlignment="1" pivotButton="0" quotePrefix="0" xfId="0">
      <alignment horizontal="left" indent="1"/>
    </xf>
    <xf numFmtId="0" fontId="25" fillId="3" borderId="0" applyAlignment="1" pivotButton="0" quotePrefix="0" xfId="0">
      <alignment horizontal="left"/>
    </xf>
    <xf numFmtId="199" fontId="25" fillId="4" borderId="0" applyAlignment="1" pivotButton="0" quotePrefix="0" xfId="0">
      <alignment horizontal="center"/>
    </xf>
    <xf numFmtId="199" fontId="25" fillId="3" borderId="0" applyAlignment="1" pivotButton="0" quotePrefix="0" xfId="0">
      <alignment horizontal="center"/>
    </xf>
    <xf numFmtId="166" fontId="49" fillId="3" borderId="0" applyAlignment="1" pivotButton="0" quotePrefix="0" xfId="0">
      <alignment horizontal="left" indent="3"/>
    </xf>
    <xf numFmtId="173" fontId="49" fillId="4" borderId="0" applyAlignment="1" pivotButton="0" quotePrefix="0" xfId="0">
      <alignment horizontal="right"/>
    </xf>
    <xf numFmtId="173" fontId="49" fillId="3" borderId="0" applyAlignment="1" pivotButton="0" quotePrefix="0" xfId="0">
      <alignment horizontal="right"/>
    </xf>
    <xf numFmtId="173" fontId="49" fillId="3" borderId="0" applyAlignment="1" pivotButton="0" quotePrefix="0" xfId="0">
      <alignment horizontal="left"/>
    </xf>
    <xf numFmtId="190" fontId="23" fillId="3" borderId="0" applyAlignment="1" pivotButton="0" quotePrefix="0" xfId="0">
      <alignment horizontal="left"/>
    </xf>
    <xf numFmtId="166" fontId="26" fillId="3" borderId="0" applyAlignment="1" pivotButton="0" quotePrefix="0" xfId="0">
      <alignment horizontal="left" indent="3"/>
    </xf>
    <xf numFmtId="164" fontId="26" fillId="3" borderId="2" applyAlignment="1" pivotButton="0" quotePrefix="0" xfId="0">
      <alignment horizontal="left" indent="1"/>
    </xf>
    <xf numFmtId="166" fontId="26" fillId="3" borderId="2" applyAlignment="1" pivotButton="0" quotePrefix="0" xfId="0">
      <alignment horizontal="left" indent="3"/>
    </xf>
    <xf numFmtId="164" fontId="26" fillId="4" borderId="2" pivotButton="0" quotePrefix="0" xfId="0"/>
    <xf numFmtId="164" fontId="26" fillId="3" borderId="2" pivotButton="0" quotePrefix="0" xfId="0"/>
    <xf numFmtId="166" fontId="31" fillId="3" borderId="7" applyAlignment="1" pivotButton="0" quotePrefix="0" xfId="0">
      <alignment horizontal="left" indent="3"/>
    </xf>
    <xf numFmtId="164" fontId="31" fillId="4" borderId="7" pivotButton="0" quotePrefix="0" xfId="0"/>
    <xf numFmtId="164" fontId="31" fillId="3" borderId="7" pivotButton="0" quotePrefix="0" xfId="0"/>
    <xf numFmtId="164" fontId="31" fillId="3" borderId="7" applyAlignment="1" pivotButton="0" quotePrefix="0" xfId="0">
      <alignment horizontal="left"/>
    </xf>
    <xf numFmtId="164" fontId="26" fillId="3" borderId="2" applyAlignment="1" pivotButton="0" quotePrefix="0" xfId="0">
      <alignment horizontal="left" indent="2"/>
    </xf>
    <xf numFmtId="166" fontId="25" fillId="3" borderId="2" applyAlignment="1" pivotButton="0" quotePrefix="0" xfId="0">
      <alignment horizontal="left"/>
    </xf>
    <xf numFmtId="166" fontId="25" fillId="3" borderId="2" applyAlignment="1" pivotButton="0" quotePrefix="0" xfId="0">
      <alignment horizontal="left" indent="1"/>
    </xf>
    <xf numFmtId="166" fontId="25" fillId="3" borderId="7" applyAlignment="1" pivotButton="0" quotePrefix="0" xfId="0">
      <alignment horizontal="left"/>
    </xf>
    <xf numFmtId="173" fontId="26" fillId="3" borderId="0" applyAlignment="1" pivotButton="0" quotePrefix="0" xfId="0">
      <alignment horizontal="left" indent="2"/>
    </xf>
    <xf numFmtId="173" fontId="26" fillId="4" borderId="0" pivotButton="0" quotePrefix="0" xfId="0"/>
    <xf numFmtId="190" fontId="25" fillId="3" borderId="0" applyAlignment="1" pivotButton="0" quotePrefix="0" xfId="0">
      <alignment horizontal="left" indent="3"/>
    </xf>
    <xf numFmtId="190" fontId="25" fillId="3" borderId="2" applyAlignment="1" pivotButton="0" quotePrefix="0" xfId="0">
      <alignment horizontal="left" indent="3"/>
    </xf>
    <xf numFmtId="0" fontId="21" fillId="0" borderId="0" pivotButton="0" quotePrefix="0" xfId="32"/>
    <xf numFmtId="166" fontId="25" fillId="3" borderId="13" applyAlignment="1" pivotButton="0" quotePrefix="0" xfId="0">
      <alignment horizontal="left"/>
    </xf>
    <xf numFmtId="190" fontId="6" fillId="3" borderId="0" pivotButton="0" quotePrefix="0" xfId="0"/>
    <xf numFmtId="190" fontId="25" fillId="3" borderId="13" applyAlignment="1" pivotButton="0" quotePrefix="0" xfId="0">
      <alignment horizontal="left" indent="1"/>
    </xf>
    <xf numFmtId="190" fontId="25" fillId="4" borderId="13" pivotButton="0" quotePrefix="0" xfId="0"/>
    <xf numFmtId="190" fontId="25" fillId="3" borderId="13" pivotButton="0" quotePrefix="0" xfId="0"/>
    <xf numFmtId="190" fontId="25" fillId="3" borderId="13" applyAlignment="1" pivotButton="0" quotePrefix="0" xfId="0">
      <alignment horizontal="left"/>
    </xf>
    <xf numFmtId="164" fontId="31" fillId="3" borderId="0" applyAlignment="1" pivotButton="0" quotePrefix="0" xfId="0">
      <alignment horizontal="left"/>
    </xf>
    <xf numFmtId="164" fontId="26" fillId="3" borderId="13" applyAlignment="1" pivotButton="0" quotePrefix="0" xfId="0">
      <alignment horizontal="left" indent="1"/>
    </xf>
    <xf numFmtId="166" fontId="26" fillId="3" borderId="13" applyAlignment="1" pivotButton="0" quotePrefix="0" xfId="0">
      <alignment horizontal="left" indent="3"/>
    </xf>
    <xf numFmtId="164" fontId="26" fillId="4" borderId="13" pivotButton="0" quotePrefix="0" xfId="0"/>
    <xf numFmtId="164" fontId="26" fillId="3" borderId="13" pivotButton="0" quotePrefix="0" xfId="0"/>
    <xf numFmtId="199" fontId="25" fillId="3" borderId="0" pivotButton="0" quotePrefix="0" xfId="0"/>
    <xf numFmtId="173" fontId="49" fillId="3" borderId="0" pivotButton="0" quotePrefix="0" xfId="0"/>
    <xf numFmtId="164" fontId="26" fillId="3" borderId="13" applyAlignment="1" pivotButton="0" quotePrefix="0" xfId="0">
      <alignment horizontal="left" indent="2"/>
    </xf>
    <xf numFmtId="166" fontId="25" fillId="3" borderId="13" applyAlignment="1" pivotButton="0" quotePrefix="0" xfId="0">
      <alignment horizontal="left" indent="1"/>
    </xf>
    <xf numFmtId="164" fontId="25" fillId="3" borderId="13" applyAlignment="1" pivotButton="0" quotePrefix="0" xfId="0">
      <alignment horizontal="left" indent="1"/>
    </xf>
    <xf numFmtId="164" fontId="25" fillId="4" borderId="13" pivotButton="0" quotePrefix="0" xfId="0"/>
    <xf numFmtId="164" fontId="25" fillId="3" borderId="13" pivotButton="0" quotePrefix="0" xfId="0"/>
    <xf numFmtId="173" fontId="31" fillId="3" borderId="0" applyAlignment="1" pivotButton="0" quotePrefix="0" xfId="0">
      <alignment horizontal="left" indent="1"/>
    </xf>
    <xf numFmtId="173" fontId="31" fillId="4" borderId="0" pivotButton="0" quotePrefix="0" xfId="0"/>
    <xf numFmtId="173" fontId="31" fillId="3" borderId="0" pivotButton="0" quotePrefix="0" xfId="0"/>
    <xf numFmtId="164" fontId="25" fillId="3" borderId="13" applyAlignment="1" pivotButton="0" quotePrefix="0" xfId="0">
      <alignment horizontal="left"/>
    </xf>
    <xf numFmtId="173" fontId="26" fillId="3" borderId="13" applyAlignment="1" pivotButton="0" quotePrefix="0" xfId="0">
      <alignment horizontal="left" indent="2"/>
    </xf>
    <xf numFmtId="173" fontId="26" fillId="4" borderId="13" pivotButton="0" quotePrefix="0" xfId="0"/>
    <xf numFmtId="173" fontId="26" fillId="3" borderId="13" pivotButton="0" quotePrefix="0" xfId="0"/>
    <xf numFmtId="0" fontId="50" fillId="3" borderId="0" pivotButton="0" quotePrefix="0" xfId="26"/>
    <xf numFmtId="173" fontId="0" fillId="3" borderId="0" pivotButton="0" quotePrefix="0" xfId="36"/>
    <xf numFmtId="183" fontId="2" fillId="3" borderId="0" applyAlignment="1" pivotButton="0" quotePrefix="0" xfId="36">
      <alignment horizontal="left"/>
    </xf>
    <xf numFmtId="170" fontId="21" fillId="3" borderId="0" applyAlignment="1" pivotButton="0" quotePrefix="0" xfId="36">
      <alignment horizontal="center"/>
    </xf>
    <xf numFmtId="200" fontId="0" fillId="3" borderId="0" pivotButton="0" quotePrefix="0" xfId="36"/>
    <xf numFmtId="184" fontId="3" fillId="3" borderId="0" applyAlignment="1" pivotButton="0" quotePrefix="0" xfId="36">
      <alignment horizontal="left"/>
    </xf>
    <xf numFmtId="168" fontId="5" fillId="3" borderId="0" applyAlignment="1" pivotButton="0" quotePrefix="0" xfId="42">
      <alignment horizontal="center"/>
    </xf>
    <xf numFmtId="0" fontId="6" fillId="4" borderId="0" applyAlignment="1" pivotButton="0" quotePrefix="0" xfId="36">
      <alignment horizontal="center"/>
    </xf>
    <xf numFmtId="185" fontId="3" fillId="3" borderId="0" pivotButton="0" quotePrefix="0" xfId="36"/>
    <xf numFmtId="0" fontId="6" fillId="3" borderId="0" applyAlignment="1" pivotButton="0" quotePrefix="0" xfId="36">
      <alignment horizontal="center"/>
    </xf>
    <xf numFmtId="17" fontId="0" fillId="4" borderId="0" applyAlignment="1" pivotButton="0" quotePrefix="0" xfId="36">
      <alignment horizontal="center"/>
    </xf>
    <xf numFmtId="169" fontId="3" fillId="3" borderId="0" pivotButton="0" quotePrefix="0" xfId="36"/>
    <xf numFmtId="0" fontId="24" fillId="3" borderId="0" applyAlignment="1" pivotButton="0" quotePrefix="0" xfId="42">
      <alignment horizontal="center"/>
    </xf>
    <xf numFmtId="166" fontId="6" fillId="3" borderId="0" pivotButton="0" quotePrefix="0" xfId="36"/>
    <xf numFmtId="173" fontId="6" fillId="3" borderId="0" pivotButton="0" quotePrefix="0" xfId="36"/>
    <xf numFmtId="0" fontId="0" fillId="3" borderId="0" pivotButton="0" quotePrefix="0" xfId="36"/>
    <xf numFmtId="173" fontId="23" fillId="3" borderId="0" applyAlignment="1" pivotButton="0" quotePrefix="0" xfId="36">
      <alignment horizontal="left"/>
    </xf>
    <xf numFmtId="173" fontId="23" fillId="3" borderId="0" applyAlignment="1" pivotButton="0" quotePrefix="0" xfId="36">
      <alignment horizontal="left" indent="4"/>
    </xf>
    <xf numFmtId="173" fontId="23" fillId="4" borderId="0" pivotButton="0" quotePrefix="0" xfId="36"/>
    <xf numFmtId="0" fontId="30" fillId="5" borderId="0" pivotButton="0" quotePrefix="0" xfId="36"/>
    <xf numFmtId="200" fontId="0" fillId="3" borderId="21" pivotButton="0" quotePrefix="0" xfId="36"/>
    <xf numFmtId="166" fontId="25" fillId="3" borderId="0" applyAlignment="1" pivotButton="0" quotePrefix="0" xfId="36">
      <alignment horizontal="left" indent="4"/>
    </xf>
    <xf numFmtId="166" fontId="25" fillId="3" borderId="2" applyAlignment="1" pivotButton="0" quotePrefix="0" xfId="36">
      <alignment horizontal="left" indent="4"/>
    </xf>
    <xf numFmtId="166" fontId="23" fillId="3" borderId="0" applyAlignment="1" pivotButton="0" quotePrefix="0" xfId="36">
      <alignment horizontal="left" indent="4"/>
    </xf>
    <xf numFmtId="173" fontId="25" fillId="3" borderId="0" applyAlignment="1" pivotButton="0" quotePrefix="0" xfId="36">
      <alignment horizontal="left"/>
    </xf>
    <xf numFmtId="190" fontId="25" fillId="3" borderId="0" applyAlignment="1" pivotButton="0" quotePrefix="0" xfId="36">
      <alignment horizontal="left"/>
    </xf>
    <xf numFmtId="190" fontId="25" fillId="3" borderId="0" applyAlignment="1" pivotButton="0" quotePrefix="0" xfId="36">
      <alignment horizontal="left" indent="4"/>
    </xf>
    <xf numFmtId="167" fontId="25" fillId="3" borderId="0" applyAlignment="1" pivotButton="0" quotePrefix="0" xfId="36">
      <alignment horizontal="left"/>
    </xf>
    <xf numFmtId="167" fontId="25" fillId="3" borderId="0" applyAlignment="1" pivotButton="0" quotePrefix="0" xfId="36">
      <alignment horizontal="left" indent="4"/>
    </xf>
    <xf numFmtId="164" fontId="25" fillId="3" borderId="0" applyAlignment="1" pivotButton="0" quotePrefix="0" xfId="36">
      <alignment horizontal="left" indent="4"/>
    </xf>
    <xf numFmtId="190" fontId="6" fillId="3" borderId="0" pivotButton="0" quotePrefix="0" xfId="36"/>
    <xf numFmtId="190" fontId="23" fillId="3" borderId="0" pivotButton="0" quotePrefix="0" xfId="36"/>
    <xf numFmtId="190" fontId="23" fillId="4" borderId="0" pivotButton="0" quotePrefix="0" xfId="36"/>
    <xf numFmtId="190" fontId="23" fillId="3" borderId="0" applyAlignment="1" pivotButton="0" quotePrefix="0" xfId="36">
      <alignment horizontal="left" indent="4"/>
    </xf>
    <xf numFmtId="173" fontId="25" fillId="3" borderId="0" applyAlignment="1" pivotButton="0" quotePrefix="0" xfId="36">
      <alignment horizontal="left" indent="4"/>
    </xf>
    <xf numFmtId="167" fontId="23" fillId="4" borderId="0" pivotButton="0" quotePrefix="0" xfId="36"/>
    <xf numFmtId="167" fontId="6" fillId="3" borderId="0" pivotButton="0" quotePrefix="0" xfId="36"/>
    <xf numFmtId="164" fontId="23" fillId="4" borderId="0" pivotButton="0" quotePrefix="0" xfId="36"/>
    <xf numFmtId="164" fontId="6" fillId="3" borderId="0" pivotButton="0" quotePrefix="0" xfId="36"/>
    <xf numFmtId="198" fontId="6" fillId="3" borderId="0" applyAlignment="1" pivotButton="0" quotePrefix="0" xfId="0">
      <alignment horizontal="left"/>
    </xf>
    <xf numFmtId="198" fontId="23" fillId="3" borderId="0" applyAlignment="1" pivotButton="0" quotePrefix="0" xfId="0">
      <alignment horizontal="left"/>
    </xf>
    <xf numFmtId="198" fontId="9" fillId="3" borderId="0" applyAlignment="1" pivotButton="0" quotePrefix="0" xfId="0">
      <alignment horizontal="left"/>
    </xf>
    <xf numFmtId="0" fontId="26" fillId="3" borderId="21" pivotButton="0" quotePrefix="0" xfId="0"/>
    <xf numFmtId="166" fontId="0" fillId="3" borderId="0" pivotButton="0" quotePrefix="0" xfId="36"/>
    <xf numFmtId="0" fontId="12" fillId="0" borderId="0" pivotButton="0" quotePrefix="0" xfId="32"/>
    <xf numFmtId="0" fontId="51" fillId="3" borderId="0" pivotButton="0" quotePrefix="0" xfId="26"/>
    <xf numFmtId="201" fontId="21" fillId="3" borderId="18" applyAlignment="1" pivotButton="0" quotePrefix="0" xfId="28">
      <alignment horizontal="left" indent="1"/>
    </xf>
    <xf numFmtId="166" fontId="0" fillId="3" borderId="2" applyAlignment="1" pivotButton="0" quotePrefix="0" xfId="0">
      <alignment horizontal="left" indent="2"/>
    </xf>
    <xf numFmtId="166" fontId="26" fillId="3" borderId="0" applyAlignment="1" pivotButton="0" quotePrefix="0" xfId="0">
      <alignment horizontal="left" indent="1"/>
    </xf>
    <xf numFmtId="166" fontId="6" fillId="3" borderId="9" applyAlignment="1" pivotButton="0" quotePrefix="0" xfId="0">
      <alignment horizontal="left"/>
    </xf>
    <xf numFmtId="0" fontId="6" fillId="3" borderId="0" applyAlignment="1" pivotButton="0" quotePrefix="0" xfId="0">
      <alignment horizontal="center"/>
    </xf>
    <xf numFmtId="194" fontId="23" fillId="3" borderId="21" applyAlignment="1" pivotButton="0" quotePrefix="0" xfId="0">
      <alignment horizontal="right"/>
    </xf>
    <xf numFmtId="0" fontId="23" fillId="3" borderId="21" applyAlignment="1" pivotButton="0" quotePrefix="0" xfId="0">
      <alignment horizontal="right"/>
    </xf>
    <xf numFmtId="168" fontId="25" fillId="3" borderId="21" applyAlignment="1" pivotButton="0" quotePrefix="0" xfId="0">
      <alignment horizontal="right"/>
    </xf>
    <xf numFmtId="17" fontId="25" fillId="3" borderId="21" pivotButton="0" quotePrefix="0" xfId="0"/>
    <xf numFmtId="174" fontId="25" fillId="3" borderId="21" pivotButton="0" quotePrefix="0" xfId="0"/>
    <xf numFmtId="200" fontId="25" fillId="3" borderId="0" pivotButton="0" quotePrefix="0" xfId="36"/>
    <xf numFmtId="0" fontId="23" fillId="4" borderId="0" applyAlignment="1" pivotButton="0" quotePrefix="0" xfId="36">
      <alignment horizontal="center"/>
    </xf>
    <xf numFmtId="17" fontId="25" fillId="4" borderId="0" applyAlignment="1" pivotButton="0" quotePrefix="0" xfId="36">
      <alignment horizontal="center"/>
    </xf>
    <xf numFmtId="0" fontId="23" fillId="3" borderId="0" applyAlignment="1" pivotButton="0" quotePrefix="0" xfId="36">
      <alignment horizontal="center"/>
    </xf>
    <xf numFmtId="17" fontId="25" fillId="3" borderId="0" applyAlignment="1" pivotButton="0" quotePrefix="0" xfId="36">
      <alignment horizontal="center"/>
    </xf>
    <xf numFmtId="180" fontId="0" fillId="3" borderId="0" applyAlignment="1" pivotButton="0" quotePrefix="0" xfId="0">
      <alignment horizontal="left" indent="2"/>
    </xf>
    <xf numFmtId="180" fontId="0" fillId="3" borderId="2" applyAlignment="1" pivotButton="0" quotePrefix="0" xfId="0">
      <alignment horizontal="left" indent="2"/>
    </xf>
    <xf numFmtId="166" fontId="19" fillId="3" borderId="0" applyAlignment="1" pivotButton="0" quotePrefix="0" xfId="0">
      <alignment horizontal="left" indent="3"/>
    </xf>
    <xf numFmtId="166" fontId="19" fillId="3" borderId="2" applyAlignment="1" pivotButton="0" quotePrefix="0" xfId="0">
      <alignment horizontal="left" indent="3"/>
    </xf>
    <xf numFmtId="166" fontId="26" fillId="3" borderId="2" applyAlignment="1" pivotButton="0" quotePrefix="0" xfId="0">
      <alignment horizontal="left" indent="4"/>
    </xf>
    <xf numFmtId="164" fontId="19" fillId="4" borderId="2" pivotButton="0" quotePrefix="0" xfId="0"/>
    <xf numFmtId="164" fontId="19" fillId="3" borderId="2" pivotButton="0" quotePrefix="0" xfId="0"/>
    <xf numFmtId="1" fontId="6" fillId="3" borderId="21" applyAlignment="1" pivotButton="0" quotePrefix="0" xfId="0">
      <alignment horizontal="center"/>
    </xf>
    <xf numFmtId="0" fontId="5" fillId="3" borderId="21" applyAlignment="1" pivotButton="0" quotePrefix="0" xfId="0">
      <alignment horizontal="center"/>
    </xf>
    <xf numFmtId="164" fontId="19" fillId="3" borderId="21" pivotButton="0" quotePrefix="0" xfId="0"/>
    <xf numFmtId="164" fontId="26" fillId="3" borderId="21" pivotButton="0" quotePrefix="0" xfId="0"/>
    <xf numFmtId="180" fontId="25" fillId="3" borderId="21" applyAlignment="1" pivotButton="0" quotePrefix="0" xfId="0">
      <alignment horizontal="right"/>
    </xf>
    <xf numFmtId="180" fontId="6" fillId="3" borderId="21" applyAlignment="1" pivotButton="0" quotePrefix="0" xfId="0">
      <alignment horizontal="right"/>
    </xf>
    <xf numFmtId="164" fontId="0" fillId="3" borderId="21" pivotButton="0" quotePrefix="0" xfId="0"/>
    <xf numFmtId="173" fontId="0" fillId="3" borderId="21" pivotButton="0" quotePrefix="0" xfId="0"/>
    <xf numFmtId="164" fontId="25" fillId="3" borderId="21" pivotButton="0" quotePrefix="0" xfId="0"/>
    <xf numFmtId="164" fontId="23" fillId="3" borderId="21" pivotButton="0" quotePrefix="0" xfId="0"/>
    <xf numFmtId="164" fontId="25" fillId="3" borderId="26" pivotButton="0" quotePrefix="0" xfId="0"/>
    <xf numFmtId="168" fontId="25" fillId="3" borderId="21" pivotButton="0" quotePrefix="0" xfId="0"/>
    <xf numFmtId="43" fontId="25" fillId="3" borderId="21" pivotButton="0" quotePrefix="0" xfId="0"/>
    <xf numFmtId="164" fontId="23" fillId="3" borderId="26" applyAlignment="1" pivotButton="0" quotePrefix="0" xfId="0">
      <alignment horizontal="center"/>
    </xf>
    <xf numFmtId="164" fontId="23" fillId="3" borderId="21" applyAlignment="1" pivotButton="0" quotePrefix="0" xfId="0">
      <alignment horizontal="center"/>
    </xf>
    <xf numFmtId="164" fontId="26" fillId="3" borderId="21" applyAlignment="1" pivotButton="0" quotePrefix="0" xfId="0">
      <alignment horizontal="center"/>
    </xf>
    <xf numFmtId="187" fontId="25" fillId="3" borderId="21" pivotButton="0" quotePrefix="0" xfId="0"/>
    <xf numFmtId="190" fontId="23" fillId="3" borderId="21" pivotButton="0" quotePrefix="0" xfId="0"/>
    <xf numFmtId="164" fontId="26" fillId="3" borderId="34" pivotButton="0" quotePrefix="0" xfId="0"/>
    <xf numFmtId="190" fontId="25" fillId="3" borderId="21" pivotButton="0" quotePrefix="0" xfId="0"/>
    <xf numFmtId="190" fontId="25" fillId="3" borderId="26" pivotButton="0" quotePrefix="0" xfId="0"/>
    <xf numFmtId="190" fontId="8" fillId="3" borderId="26" pivotButton="0" quotePrefix="0" xfId="0"/>
    <xf numFmtId="176" fontId="25" fillId="3" borderId="34" pivotButton="0" quotePrefix="0" xfId="0"/>
    <xf numFmtId="191" fontId="23" fillId="3" borderId="21" pivotButton="0" quotePrefix="0" xfId="0"/>
    <xf numFmtId="193" fontId="26" fillId="3" borderId="21" pivotButton="0" quotePrefix="0" xfId="0"/>
    <xf numFmtId="167" fontId="25" fillId="3" borderId="21" applyAlignment="1" pivotButton="0" quotePrefix="0" xfId="0">
      <alignment horizontal="right"/>
    </xf>
    <xf numFmtId="164" fontId="31" fillId="3" borderId="21" pivotButton="0" quotePrefix="0" xfId="0"/>
    <xf numFmtId="164" fontId="26" fillId="3" borderId="22" pivotButton="0" quotePrefix="0" xfId="0"/>
    <xf numFmtId="199" fontId="25" fillId="3" borderId="21" applyAlignment="1" pivotButton="0" quotePrefix="0" xfId="0">
      <alignment horizontal="center"/>
    </xf>
    <xf numFmtId="173" fontId="49" fillId="3" borderId="21" applyAlignment="1" pivotButton="0" quotePrefix="0" xfId="0">
      <alignment horizontal="right"/>
    </xf>
    <xf numFmtId="164" fontId="25" fillId="3" borderId="22" pivotButton="0" quotePrefix="0" xfId="0"/>
    <xf numFmtId="173" fontId="31" fillId="3" borderId="21" pivotButton="0" quotePrefix="0" xfId="0"/>
    <xf numFmtId="173" fontId="26" fillId="3" borderId="21" pivotButton="0" quotePrefix="0" xfId="0"/>
    <xf numFmtId="173" fontId="26" fillId="3" borderId="22" pivotButton="0" quotePrefix="0" xfId="0"/>
    <xf numFmtId="190" fontId="25" fillId="3" borderId="22" pivotButton="0" quotePrefix="0" xfId="0"/>
    <xf numFmtId="164" fontId="26" fillId="3" borderId="26" pivotButton="0" quotePrefix="0" xfId="0"/>
    <xf numFmtId="164" fontId="31" fillId="3" borderId="28" pivotButton="0" quotePrefix="0" xfId="0"/>
    <xf numFmtId="168" fontId="23" fillId="3" borderId="21" pivotButton="0" quotePrefix="0" xfId="16"/>
    <xf numFmtId="165" fontId="25" fillId="3" borderId="21" pivotButton="0" quotePrefix="0" xfId="0"/>
    <xf numFmtId="176" fontId="23" fillId="3" borderId="21" pivotButton="0" quotePrefix="0" xfId="0"/>
    <xf numFmtId="164" fontId="6" fillId="3" borderId="21" applyAlignment="1" pivotButton="0" quotePrefix="0" xfId="0">
      <alignment horizontal="right"/>
    </xf>
    <xf numFmtId="164" fontId="23" fillId="3" borderId="21" applyAlignment="1" pivotButton="0" quotePrefix="0" xfId="0">
      <alignment horizontal="right"/>
    </xf>
    <xf numFmtId="167" fontId="23" fillId="3" borderId="21" applyAlignment="1" pivotButton="0" quotePrefix="0" xfId="0">
      <alignment horizontal="right"/>
    </xf>
    <xf numFmtId="167" fontId="23" fillId="3" borderId="21" pivotButton="0" quotePrefix="0" xfId="0"/>
    <xf numFmtId="176" fontId="6" fillId="3" borderId="21" applyAlignment="1" pivotButton="0" quotePrefix="0" xfId="0">
      <alignment horizontal="right"/>
    </xf>
    <xf numFmtId="167" fontId="25" fillId="3" borderId="21" pivotButton="0" quotePrefix="0" xfId="0"/>
    <xf numFmtId="176" fontId="0" fillId="3" borderId="21" applyAlignment="1" pivotButton="0" quotePrefix="0" xfId="0">
      <alignment horizontal="right"/>
    </xf>
    <xf numFmtId="188" fontId="0" fillId="3" borderId="21" applyAlignment="1" pivotButton="0" quotePrefix="0" xfId="0">
      <alignment horizontal="right"/>
    </xf>
    <xf numFmtId="174" fontId="0" fillId="3" borderId="21" applyAlignment="1" pivotButton="0" quotePrefix="0" xfId="0">
      <alignment horizontal="right"/>
    </xf>
    <xf numFmtId="164" fontId="26" fillId="3" borderId="21" applyAlignment="1" pivotButton="0" quotePrefix="0" xfId="0">
      <alignment horizontal="right"/>
    </xf>
    <xf numFmtId="173" fontId="23" fillId="3" borderId="21" applyAlignment="1" pivotButton="0" quotePrefix="0" xfId="0">
      <alignment horizontal="right"/>
    </xf>
    <xf numFmtId="164" fontId="6" fillId="3" borderId="21" pivotButton="0" quotePrefix="0" xfId="0"/>
    <xf numFmtId="164" fontId="9" fillId="3" borderId="21" pivotButton="0" quotePrefix="0" xfId="0"/>
    <xf numFmtId="0" fontId="6" fillId="3" borderId="21" applyAlignment="1" pivotButton="0" quotePrefix="0" xfId="36">
      <alignment horizontal="center"/>
    </xf>
    <xf numFmtId="17" fontId="0" fillId="3" borderId="21" applyAlignment="1" pivotButton="0" quotePrefix="0" xfId="36">
      <alignment horizontal="center"/>
    </xf>
    <xf numFmtId="164" fontId="25" fillId="3" borderId="21" pivotButton="0" quotePrefix="0" xfId="36"/>
    <xf numFmtId="190" fontId="25" fillId="3" borderId="21" pivotButton="0" quotePrefix="0" xfId="36"/>
    <xf numFmtId="190" fontId="23" fillId="3" borderId="21" pivotButton="0" quotePrefix="0" xfId="36"/>
    <xf numFmtId="164" fontId="23" fillId="3" borderId="21" pivotButton="0" quotePrefix="0" xfId="36"/>
    <xf numFmtId="173" fontId="25" fillId="3" borderId="21" pivotButton="0" quotePrefix="0" xfId="36"/>
    <xf numFmtId="167" fontId="25" fillId="3" borderId="21" pivotButton="0" quotePrefix="0" xfId="36"/>
    <xf numFmtId="173" fontId="23" fillId="3" borderId="21" pivotButton="0" quotePrefix="0" xfId="36"/>
    <xf numFmtId="17" fontId="32" fillId="3" borderId="21" applyAlignment="1" pivotButton="0" quotePrefix="0" xfId="36">
      <alignment horizontal="center"/>
    </xf>
    <xf numFmtId="166" fontId="24" fillId="3" borderId="21" applyAlignment="1" pivotButton="0" quotePrefix="0" xfId="36">
      <alignment horizontal="center"/>
    </xf>
    <xf numFmtId="176" fontId="23" fillId="3" borderId="21" applyAlignment="1" pivotButton="0" quotePrefix="0" xfId="36">
      <alignment horizontal="right"/>
    </xf>
    <xf numFmtId="168" fontId="23" fillId="3" borderId="21" pivotButton="0" quotePrefix="0" xfId="36"/>
    <xf numFmtId="164" fontId="23" fillId="3" borderId="21" applyAlignment="1" pivotButton="0" quotePrefix="0" xfId="36">
      <alignment horizontal="center"/>
    </xf>
    <xf numFmtId="164" fontId="25" fillId="3" borderId="21" applyAlignment="1" pivotButton="0" quotePrefix="0" xfId="36">
      <alignment horizontal="right"/>
    </xf>
    <xf numFmtId="164" fontId="25" fillId="3" borderId="26" applyAlignment="1" pivotButton="0" quotePrefix="0" xfId="36">
      <alignment horizontal="right"/>
    </xf>
    <xf numFmtId="164" fontId="23" fillId="3" borderId="21" applyAlignment="1" pivotButton="0" quotePrefix="0" xfId="36">
      <alignment horizontal="right"/>
    </xf>
    <xf numFmtId="171" fontId="23" fillId="3" borderId="21" applyAlignment="1" pivotButton="0" quotePrefix="0" xfId="36">
      <alignment horizontal="right"/>
    </xf>
    <xf numFmtId="167" fontId="23" fillId="3" borderId="21" pivotButton="0" quotePrefix="0" xfId="36"/>
    <xf numFmtId="172" fontId="23" fillId="3" borderId="21" applyAlignment="1" pivotButton="0" quotePrefix="0" xfId="36">
      <alignment horizontal="right"/>
    </xf>
    <xf numFmtId="168" fontId="21" fillId="3" borderId="21" pivotButton="0" quotePrefix="0" xfId="0"/>
    <xf numFmtId="164" fontId="5" fillId="3" borderId="21" pivotButton="0" quotePrefix="0" xfId="15"/>
    <xf numFmtId="164" fontId="24" fillId="3" borderId="21" applyAlignment="1" pivotButton="0" quotePrefix="0" xfId="15">
      <alignment horizontal="right"/>
    </xf>
    <xf numFmtId="168" fontId="27" fillId="3" borderId="21" pivotButton="0" quotePrefix="0" xfId="0"/>
    <xf numFmtId="168" fontId="27" fillId="3" borderId="21" pivotButton="0" quotePrefix="0" xfId="16"/>
    <xf numFmtId="166" fontId="25" fillId="3" borderId="0" pivotButton="0" quotePrefix="0" xfId="0"/>
    <xf numFmtId="166" fontId="25" fillId="3" borderId="21" pivotButton="0" quotePrefix="0" xfId="0"/>
    <xf numFmtId="166" fontId="22" fillId="5" borderId="21" pivotButton="0" quotePrefix="0" xfId="0"/>
    <xf numFmtId="166" fontId="23" fillId="3" borderId="0" pivotButton="0" quotePrefix="0" xfId="0"/>
    <xf numFmtId="166" fontId="25" fillId="3" borderId="2" pivotButton="0" quotePrefix="0" xfId="0"/>
    <xf numFmtId="166" fontId="25" fillId="3" borderId="26" pivotButton="0" quotePrefix="0" xfId="0"/>
    <xf numFmtId="166" fontId="25" fillId="3" borderId="0" applyAlignment="1" pivotButton="0" quotePrefix="0" xfId="0">
      <alignment horizontal="right"/>
    </xf>
    <xf numFmtId="166" fontId="25" fillId="3" borderId="21" applyAlignment="1" pivotButton="0" quotePrefix="0" xfId="0">
      <alignment horizontal="right"/>
    </xf>
    <xf numFmtId="166" fontId="25" fillId="3" borderId="12" pivotButton="0" quotePrefix="0" xfId="0"/>
    <xf numFmtId="166" fontId="25" fillId="3" borderId="34" pivotButton="0" quotePrefix="0" xfId="0"/>
    <xf numFmtId="166" fontId="23" fillId="3" borderId="12" pivotButton="0" quotePrefix="0" xfId="0"/>
    <xf numFmtId="166" fontId="26" fillId="3" borderId="0" pivotButton="0" quotePrefix="0" xfId="0"/>
    <xf numFmtId="166" fontId="29" fillId="5" borderId="0" pivotButton="0" quotePrefix="0" xfId="0"/>
    <xf numFmtId="166" fontId="29" fillId="5" borderId="21" pivotButton="0" quotePrefix="0" xfId="0"/>
    <xf numFmtId="166" fontId="26" fillId="3" borderId="0" applyAlignment="1" pivotButton="0" quotePrefix="0" xfId="0">
      <alignment horizontal="left" indent="4"/>
    </xf>
    <xf numFmtId="166" fontId="27" fillId="3" borderId="0" applyAlignment="1" pivotButton="0" quotePrefix="0" xfId="0">
      <alignment horizontal="left" indent="1"/>
    </xf>
    <xf numFmtId="166" fontId="23" fillId="3" borderId="0" pivotButton="0" quotePrefix="0" xfId="36"/>
    <xf numFmtId="166" fontId="25" fillId="3" borderId="0" pivotButton="0" quotePrefix="0" xfId="36"/>
    <xf numFmtId="166" fontId="25" fillId="3" borderId="21" pivotButton="0" quotePrefix="0" xfId="36"/>
    <xf numFmtId="166" fontId="30" fillId="5" borderId="0" pivotButton="0" quotePrefix="0" xfId="36"/>
    <xf numFmtId="166" fontId="22" fillId="5" borderId="0" pivotButton="0" quotePrefix="0" xfId="36"/>
    <xf numFmtId="166" fontId="22" fillId="5" borderId="21" pivotButton="0" quotePrefix="0" xfId="36"/>
    <xf numFmtId="0" fontId="39" fillId="3" borderId="0" pivotButton="0" quotePrefix="0" xfId="26"/>
    <xf numFmtId="176" fontId="23" fillId="3" borderId="21" applyAlignment="1" pivotButton="0" quotePrefix="0" xfId="0">
      <alignment horizontal="right"/>
    </xf>
    <xf numFmtId="17" fontId="7" fillId="3" borderId="21" applyAlignment="1" pivotButton="0" quotePrefix="0" xfId="0">
      <alignment horizontal="center"/>
    </xf>
    <xf numFmtId="180" fontId="25" fillId="3" borderId="26" applyAlignment="1" pivotButton="0" quotePrefix="0" xfId="0">
      <alignment horizontal="right"/>
    </xf>
    <xf numFmtId="180" fontId="0" fillId="3" borderId="21" applyAlignment="1" pivotButton="0" quotePrefix="0" xfId="0">
      <alignment horizontal="right"/>
    </xf>
    <xf numFmtId="180" fontId="0" fillId="3" borderId="26" applyAlignment="1" pivotButton="0" quotePrefix="0" xfId="0">
      <alignment horizontal="right"/>
    </xf>
    <xf numFmtId="168" fontId="5" fillId="3" borderId="21" pivotButton="0" quotePrefix="0" xfId="0"/>
    <xf numFmtId="192" fontId="25" fillId="3" borderId="21" pivotButton="0" quotePrefix="0" xfId="0"/>
    <xf numFmtId="165" fontId="0" fillId="3" borderId="21" pivotButton="0" quotePrefix="0" xfId="0"/>
    <xf numFmtId="188" fontId="25" fillId="3" borderId="21" pivotButton="0" quotePrefix="0" xfId="0"/>
    <xf numFmtId="166" fontId="25" fillId="4" borderId="0" pivotButton="0" quotePrefix="0" xfId="0"/>
    <xf numFmtId="166" fontId="0" fillId="3" borderId="21" pivotButton="0" quotePrefix="0" xfId="0"/>
    <xf numFmtId="166" fontId="6" fillId="4" borderId="7" pivotButton="0" quotePrefix="0" xfId="0"/>
    <xf numFmtId="166" fontId="6" fillId="3" borderId="7" pivotButton="0" quotePrefix="0" xfId="0"/>
    <xf numFmtId="166" fontId="23" fillId="3" borderId="7" pivotButton="0" quotePrefix="0" xfId="0"/>
    <xf numFmtId="166" fontId="23" fillId="4" borderId="7" pivotButton="0" quotePrefix="0" xfId="0"/>
    <xf numFmtId="166" fontId="6" fillId="3" borderId="28" pivotButton="0" quotePrefix="0" xfId="0"/>
    <xf numFmtId="166" fontId="26" fillId="4" borderId="0" pivotButton="0" quotePrefix="0" xfId="0"/>
    <xf numFmtId="166" fontId="26" fillId="3" borderId="21" pivotButton="0" quotePrefix="0" xfId="0"/>
    <xf numFmtId="166" fontId="26" fillId="3" borderId="0" applyAlignment="1" pivotButton="0" quotePrefix="0" xfId="0">
      <alignment horizontal="right"/>
    </xf>
    <xf numFmtId="166" fontId="26" fillId="4" borderId="0" applyAlignment="1" pivotButton="0" quotePrefix="0" xfId="0">
      <alignment horizontal="right"/>
    </xf>
    <xf numFmtId="166" fontId="23" fillId="4" borderId="0" pivotButton="0" quotePrefix="0" xfId="0"/>
    <xf numFmtId="166" fontId="23" fillId="3" borderId="21" pivotButton="0" quotePrefix="0" xfId="0"/>
    <xf numFmtId="166" fontId="25" fillId="4" borderId="2" pivotButton="0" quotePrefix="0" xfId="0"/>
    <xf numFmtId="166" fontId="6" fillId="3" borderId="21" pivotButton="0" quotePrefix="0" xfId="0"/>
    <xf numFmtId="166" fontId="8" fillId="3" borderId="2" pivotButton="0" quotePrefix="0" xfId="0"/>
    <xf numFmtId="166" fontId="8" fillId="4" borderId="2" pivotButton="0" quotePrefix="0" xfId="0"/>
    <xf numFmtId="166" fontId="8" fillId="3" borderId="0" pivotButton="0" quotePrefix="0" xfId="0"/>
    <xf numFmtId="166" fontId="8" fillId="4" borderId="0" pivotButton="0" quotePrefix="0" xfId="0"/>
    <xf numFmtId="166" fontId="23" fillId="4" borderId="2" pivotButton="0" quotePrefix="0" xfId="0"/>
    <xf numFmtId="166" fontId="23" fillId="3" borderId="2" pivotButton="0" quotePrefix="0" xfId="0"/>
    <xf numFmtId="166" fontId="23" fillId="3" borderId="26" pivotButton="0" quotePrefix="0" xfId="0"/>
    <xf numFmtId="166" fontId="8" fillId="3" borderId="21" pivotButton="0" quotePrefix="0" xfId="0"/>
    <xf numFmtId="166" fontId="0" fillId="3" borderId="2" pivotButton="0" quotePrefix="0" xfId="0"/>
    <xf numFmtId="166" fontId="0" fillId="3" borderId="26" pivotButton="0" quotePrefix="0" xfId="0"/>
    <xf numFmtId="166" fontId="0" fillId="4" borderId="2" pivotButton="0" quotePrefix="0" xfId="0"/>
    <xf numFmtId="166" fontId="23" fillId="3" borderId="28" pivotButton="0" quotePrefix="0" xfId="0"/>
    <xf numFmtId="166" fontId="25" fillId="4" borderId="0" applyAlignment="1" pivotButton="0" quotePrefix="0" xfId="0">
      <alignment horizontal="right"/>
    </xf>
    <xf numFmtId="166" fontId="6" fillId="4" borderId="9" pivotButton="0" quotePrefix="0" xfId="0"/>
    <xf numFmtId="166" fontId="6" fillId="3" borderId="9" pivotButton="0" quotePrefix="0" xfId="0"/>
    <xf numFmtId="166" fontId="23" fillId="3" borderId="9" pivotButton="0" quotePrefix="0" xfId="0"/>
    <xf numFmtId="166" fontId="23" fillId="4" borderId="9" pivotButton="0" quotePrefix="0" xfId="0"/>
    <xf numFmtId="166" fontId="6" fillId="3" borderId="35" pivotButton="0" quotePrefix="0" xfId="0"/>
    <xf numFmtId="166" fontId="25" fillId="4" borderId="7" pivotButton="0" quotePrefix="0" xfId="0"/>
    <xf numFmtId="166" fontId="25" fillId="3" borderId="7" pivotButton="0" quotePrefix="0" xfId="0"/>
    <xf numFmtId="166" fontId="25" fillId="3" borderId="28" pivotButton="0" quotePrefix="0" xfId="0"/>
    <xf numFmtId="166" fontId="27" fillId="3" borderId="21" pivotButton="0" quotePrefix="0" xfId="0"/>
    <xf numFmtId="166" fontId="21" fillId="3" borderId="21" pivotButton="0" quotePrefix="0" xfId="0"/>
    <xf numFmtId="166" fontId="21" fillId="3" borderId="2" pivotButton="0" quotePrefix="0" xfId="0"/>
    <xf numFmtId="166" fontId="25" fillId="4" borderId="2" applyAlignment="1" pivotButton="0" quotePrefix="0" xfId="0">
      <alignment horizontal="right"/>
    </xf>
    <xf numFmtId="166" fontId="21" fillId="3" borderId="26" pivotButton="0" quotePrefix="0" xfId="0"/>
    <xf numFmtId="166" fontId="25" fillId="3" borderId="2" applyAlignment="1" pivotButton="0" quotePrefix="0" xfId="0">
      <alignment horizontal="right"/>
    </xf>
    <xf numFmtId="166" fontId="25" fillId="4" borderId="13" pivotButton="0" quotePrefix="0" xfId="0"/>
    <xf numFmtId="166" fontId="25" fillId="3" borderId="13" pivotButton="0" quotePrefix="0" xfId="0"/>
    <xf numFmtId="166" fontId="25" fillId="3" borderId="22" pivotButton="0" quotePrefix="0" xfId="0"/>
    <xf numFmtId="166" fontId="25" fillId="3" borderId="26" applyAlignment="1" pivotButton="0" quotePrefix="0" xfId="0">
      <alignment horizontal="right"/>
    </xf>
    <xf numFmtId="166" fontId="8" fillId="3" borderId="2" applyAlignment="1" pivotButton="0" quotePrefix="0" xfId="0">
      <alignment horizontal="right"/>
    </xf>
    <xf numFmtId="166" fontId="8" fillId="4" borderId="2" applyAlignment="1" pivotButton="0" quotePrefix="0" xfId="0">
      <alignment horizontal="right"/>
    </xf>
    <xf numFmtId="166" fontId="25" fillId="4" borderId="7" applyAlignment="1" pivotButton="0" quotePrefix="0" xfId="0">
      <alignment horizontal="right"/>
    </xf>
    <xf numFmtId="166" fontId="25" fillId="3" borderId="7" applyAlignment="1" pivotButton="0" quotePrefix="0" xfId="0">
      <alignment horizontal="right"/>
    </xf>
    <xf numFmtId="166" fontId="25" fillId="3" borderId="28" applyAlignment="1" pivotButton="0" quotePrefix="0" xfId="0">
      <alignment horizontal="right"/>
    </xf>
    <xf numFmtId="166" fontId="0" fillId="4" borderId="7" pivotButton="0" quotePrefix="0" xfId="0"/>
    <xf numFmtId="166" fontId="0" fillId="3" borderId="7" pivotButton="0" quotePrefix="0" xfId="0"/>
    <xf numFmtId="166" fontId="0" fillId="3" borderId="28" pivotButton="0" quotePrefix="0" xfId="0"/>
    <xf numFmtId="166" fontId="25" fillId="4" borderId="9" pivotButton="0" quotePrefix="0" xfId="0"/>
    <xf numFmtId="166" fontId="25" fillId="3" borderId="9" pivotButton="0" quotePrefix="0" xfId="0"/>
    <xf numFmtId="166" fontId="25" fillId="3" borderId="35" pivotButton="0" quotePrefix="0" xfId="0"/>
    <xf numFmtId="166" fontId="5" fillId="3" borderId="9" pivotButton="0" quotePrefix="0" xfId="0"/>
    <xf numFmtId="166" fontId="6" fillId="4" borderId="9" applyAlignment="1" pivotButton="0" quotePrefix="0" xfId="0">
      <alignment horizontal="right"/>
    </xf>
    <xf numFmtId="166" fontId="5" fillId="3" borderId="35" pivotButton="0" quotePrefix="0" xfId="0"/>
    <xf numFmtId="166" fontId="23" fillId="3" borderId="9" applyAlignment="1" pivotButton="0" quotePrefix="0" xfId="0">
      <alignment horizontal="right"/>
    </xf>
    <xf numFmtId="166" fontId="23" fillId="4" borderId="9" applyAlignment="1" pivotButton="0" quotePrefix="0" xfId="0">
      <alignment horizontal="right"/>
    </xf>
    <xf numFmtId="166" fontId="25" fillId="4" borderId="12" pivotButton="0" quotePrefix="0" xfId="0"/>
    <xf numFmtId="166" fontId="23" fillId="4" borderId="12" pivotButton="0" quotePrefix="0" xfId="0"/>
    <xf numFmtId="166" fontId="23" fillId="3" borderId="34" pivotButton="0" quotePrefix="0" xfId="0"/>
    <xf numFmtId="166" fontId="13" fillId="3" borderId="0" pivotButton="0" quotePrefix="0" xfId="0"/>
    <xf numFmtId="166" fontId="13" fillId="4" borderId="0" pivotButton="0" quotePrefix="0" xfId="0"/>
    <xf numFmtId="166" fontId="27" fillId="4" borderId="0" applyAlignment="1" pivotButton="0" quotePrefix="0" xfId="0">
      <alignment horizontal="right"/>
    </xf>
    <xf numFmtId="166" fontId="8" fillId="3" borderId="0" applyAlignment="1" pivotButton="0" quotePrefix="0" xfId="0">
      <alignment horizontal="right"/>
    </xf>
    <xf numFmtId="166" fontId="8" fillId="4" borderId="0" applyAlignment="1" pivotButton="0" quotePrefix="0" xfId="0">
      <alignment horizontal="right"/>
    </xf>
    <xf numFmtId="166" fontId="0" fillId="3" borderId="21" applyAlignment="1" pivotButton="0" quotePrefix="0" xfId="0">
      <alignment horizontal="right"/>
    </xf>
    <xf numFmtId="0" fontId="25" fillId="4" borderId="0" pivotButton="0" quotePrefix="0" xfId="0"/>
    <xf numFmtId="166" fontId="22" fillId="5" borderId="0" applyAlignment="1" pivotButton="0" quotePrefix="0" xfId="0">
      <alignment horizontal="right"/>
    </xf>
    <xf numFmtId="166" fontId="22" fillId="5" borderId="21" applyAlignment="1" pivotButton="0" quotePrefix="0" xfId="0">
      <alignment horizontal="right"/>
    </xf>
    <xf numFmtId="166" fontId="23" fillId="4" borderId="0" applyAlignment="1" pivotButton="0" quotePrefix="0" xfId="0">
      <alignment horizontal="right"/>
    </xf>
    <xf numFmtId="166" fontId="23" fillId="3" borderId="0" applyAlignment="1" pivotButton="0" quotePrefix="0" xfId="0">
      <alignment horizontal="right"/>
    </xf>
    <xf numFmtId="166" fontId="23" fillId="3" borderId="21" applyAlignment="1" pivotButton="0" quotePrefix="0" xfId="0">
      <alignment horizontal="right"/>
    </xf>
    <xf numFmtId="166" fontId="23" fillId="4" borderId="12" applyAlignment="1" pivotButton="0" quotePrefix="0" xfId="0">
      <alignment horizontal="right"/>
    </xf>
    <xf numFmtId="166" fontId="23" fillId="3" borderId="12" applyAlignment="1" pivotButton="0" quotePrefix="0" xfId="0">
      <alignment horizontal="right"/>
    </xf>
    <xf numFmtId="166" fontId="23" fillId="3" borderId="34" applyAlignment="1" pivotButton="0" quotePrefix="0" xfId="0">
      <alignment horizontal="right"/>
    </xf>
    <xf numFmtId="166" fontId="21" fillId="2" borderId="0" pivotButton="0" quotePrefix="0" xfId="25"/>
    <xf numFmtId="166" fontId="21" fillId="2" borderId="0" applyAlignment="1" pivotButton="0" quotePrefix="0" xfId="25">
      <alignment horizontal="right"/>
    </xf>
    <xf numFmtId="166" fontId="21" fillId="2" borderId="21" applyAlignment="1" pivotButton="0" quotePrefix="0" xfId="25">
      <alignment horizontal="right"/>
    </xf>
    <xf numFmtId="166" fontId="23" fillId="3" borderId="8" pivotButton="0" quotePrefix="0" xfId="0"/>
    <xf numFmtId="166" fontId="23" fillId="3" borderId="6" pivotButton="0" quotePrefix="0" xfId="0"/>
    <xf numFmtId="166" fontId="23" fillId="3" borderId="5" pivotButton="0" quotePrefix="0" xfId="0"/>
    <xf numFmtId="166" fontId="23" fillId="3" borderId="4" pivotButton="0" quotePrefix="0" xfId="0"/>
    <xf numFmtId="164" fontId="21" fillId="3" borderId="0" pivotButton="0" quotePrefix="0" xfId="28"/>
    <xf numFmtId="166" fontId="21" fillId="3" borderId="0" pivotButton="0" quotePrefix="0" xfId="28"/>
    <xf numFmtId="202" fontId="21" fillId="3" borderId="0" pivotButton="0" quotePrefix="0" xfId="16"/>
    <xf numFmtId="170" fontId="43" fillId="3" borderId="0" applyAlignment="1" pivotButton="0" quotePrefix="0" xfId="26">
      <alignment horizontal="left"/>
    </xf>
    <xf numFmtId="203" fontId="0" fillId="3" borderId="0" pivotButton="0" quotePrefix="0" xfId="0"/>
    <xf numFmtId="0" fontId="26" fillId="3" borderId="0" pivotButton="0" quotePrefix="0" xfId="0"/>
    <xf numFmtId="1" fontId="6" fillId="4" borderId="0" applyAlignment="1" pivotButton="0" quotePrefix="0" xfId="0">
      <alignment horizontal="center"/>
    </xf>
    <xf numFmtId="1" fontId="6" fillId="3" borderId="0" applyAlignment="1" pivotButton="0" quotePrefix="0" xfId="0">
      <alignment horizontal="center"/>
    </xf>
    <xf numFmtId="17" fontId="0" fillId="4" borderId="0" applyAlignment="1" pivotButton="0" quotePrefix="0" xfId="0">
      <alignment horizontal="center"/>
    </xf>
    <xf numFmtId="17" fontId="2" fillId="4" borderId="0" applyAlignment="1" pivotButton="0" quotePrefix="0" xfId="0">
      <alignment horizontal="center"/>
    </xf>
    <xf numFmtId="17" fontId="2" fillId="3" borderId="0" applyAlignment="1" pivotButton="0" quotePrefix="0" xfId="0">
      <alignment horizontal="center"/>
    </xf>
    <xf numFmtId="17" fontId="7" fillId="3" borderId="0" applyAlignment="1" pivotButton="0" quotePrefix="0" xfId="0">
      <alignment horizontal="center"/>
    </xf>
    <xf numFmtId="0" fontId="6" fillId="4" borderId="0" applyAlignment="1" pivotButton="0" quotePrefix="0" xfId="0">
      <alignment horizontal="center"/>
    </xf>
    <xf numFmtId="0" fontId="3" fillId="4" borderId="0" applyAlignment="1" pivotButton="0" quotePrefix="0" xfId="0">
      <alignment horizontal="center"/>
    </xf>
    <xf numFmtId="0" fontId="3" fillId="3" borderId="0" applyAlignment="1" pivotButton="0" quotePrefix="0" xfId="0">
      <alignment horizontal="center"/>
    </xf>
    <xf numFmtId="0" fontId="5" fillId="3" borderId="0" applyAlignment="1" pivotButton="0" quotePrefix="0" xfId="0">
      <alignment horizontal="center"/>
    </xf>
    <xf numFmtId="166" fontId="0" fillId="4" borderId="0" pivotButton="0" quotePrefix="0" xfId="0"/>
    <xf numFmtId="164" fontId="19" fillId="4" borderId="0" pivotButton="0" quotePrefix="0" xfId="0"/>
    <xf numFmtId="180" fontId="0" fillId="4" borderId="0" applyAlignment="1" pivotButton="0" quotePrefix="0" xfId="0">
      <alignment horizontal="right"/>
    </xf>
    <xf numFmtId="180" fontId="0" fillId="3" borderId="0" applyAlignment="1" pivotButton="0" quotePrefix="0" xfId="0">
      <alignment horizontal="right"/>
    </xf>
    <xf numFmtId="180" fontId="6" fillId="4" borderId="0" applyAlignment="1" pivotButton="0" quotePrefix="0" xfId="0">
      <alignment horizontal="right"/>
    </xf>
    <xf numFmtId="180" fontId="6" fillId="3" borderId="0" applyAlignment="1" pivotButton="0" quotePrefix="0" xfId="0">
      <alignment horizontal="right"/>
    </xf>
    <xf numFmtId="166" fontId="6" fillId="4" borderId="0" pivotButton="0" quotePrefix="0" xfId="0"/>
    <xf numFmtId="164" fontId="0" fillId="4" borderId="0" pivotButton="0" quotePrefix="0" xfId="0"/>
    <xf numFmtId="173" fontId="0" fillId="4" borderId="0" pivotButton="0" quotePrefix="0" xfId="0"/>
    <xf numFmtId="164" fontId="23" fillId="4" borderId="0" applyAlignment="1" pivotButton="0" quotePrefix="0" xfId="0">
      <alignment horizontal="center"/>
    </xf>
    <xf numFmtId="164" fontId="26" fillId="4" borderId="0" applyAlignment="1" pivotButton="0" quotePrefix="0" xfId="0">
      <alignment horizontal="center"/>
    </xf>
    <xf numFmtId="166" fontId="27" fillId="3" borderId="0" pivotButton="0" quotePrefix="0" xfId="0"/>
    <xf numFmtId="166" fontId="21" fillId="3" borderId="0" pivotButton="0" quotePrefix="0" xfId="0"/>
    <xf numFmtId="168" fontId="21" fillId="3" borderId="0" pivotButton="0" quotePrefix="0" xfId="0"/>
    <xf numFmtId="164" fontId="6" fillId="4" borderId="0" pivotButton="0" quotePrefix="0" xfId="15"/>
    <xf numFmtId="164" fontId="6" fillId="3" borderId="0" pivotButton="0" quotePrefix="0" xfId="15"/>
    <xf numFmtId="164" fontId="5" fillId="3" borderId="0" pivotButton="0" quotePrefix="0" xfId="15"/>
    <xf numFmtId="164" fontId="6" fillId="4" borderId="0" applyAlignment="1" pivotButton="0" quotePrefix="0" xfId="15">
      <alignment horizontal="right"/>
    </xf>
    <xf numFmtId="164" fontId="24" fillId="3" borderId="0" applyAlignment="1" pivotButton="0" quotePrefix="0" xfId="15">
      <alignment horizontal="right"/>
    </xf>
    <xf numFmtId="168" fontId="6" fillId="4" borderId="0" applyAlignment="1" pivotButton="0" quotePrefix="0" xfId="0">
      <alignment horizontal="right"/>
    </xf>
    <xf numFmtId="168" fontId="6" fillId="3" borderId="0" applyAlignment="1" pivotButton="0" quotePrefix="0" xfId="0">
      <alignment horizontal="right"/>
    </xf>
    <xf numFmtId="168" fontId="5" fillId="3" borderId="0" pivotButton="0" quotePrefix="0" xfId="0"/>
    <xf numFmtId="168" fontId="26" fillId="4" borderId="0" pivotButton="0" quotePrefix="0" xfId="0"/>
    <xf numFmtId="168" fontId="27" fillId="3" borderId="0" pivotButton="0" quotePrefix="0" xfId="0"/>
    <xf numFmtId="193" fontId="26" fillId="3" borderId="0" pivotButton="0" quotePrefix="0" xfId="0"/>
    <xf numFmtId="193" fontId="19" fillId="3" borderId="0" pivotButton="0" quotePrefix="0" xfId="0"/>
    <xf numFmtId="193" fontId="19" fillId="4" borderId="0" pivotButton="0" quotePrefix="0" xfId="0"/>
    <xf numFmtId="168" fontId="23" fillId="4" borderId="0" applyAlignment="1" pivotButton="0" quotePrefix="0" xfId="16">
      <alignment horizontal="right" indent="1"/>
    </xf>
    <xf numFmtId="168" fontId="27" fillId="3" borderId="0" pivotButton="0" quotePrefix="0" xfId="16"/>
    <xf numFmtId="165" fontId="0" fillId="4" borderId="0" pivotButton="0" quotePrefix="0" xfId="0"/>
    <xf numFmtId="176" fontId="23" fillId="3" borderId="0" pivotButton="0" quotePrefix="0" xfId="0"/>
    <xf numFmtId="166" fontId="0" fillId="4" borderId="0" applyAlignment="1" pivotButton="0" quotePrefix="0" xfId="0">
      <alignment horizontal="right"/>
    </xf>
    <xf numFmtId="166" fontId="0" fillId="3" borderId="0" applyAlignment="1" pivotButton="0" quotePrefix="0" xfId="0">
      <alignment horizontal="right"/>
    </xf>
    <xf numFmtId="164" fontId="6" fillId="4" borderId="0" applyAlignment="1" pivotButton="0" quotePrefix="0" xfId="0">
      <alignment horizontal="right"/>
    </xf>
    <xf numFmtId="164" fontId="6" fillId="3" borderId="0" applyAlignment="1" pivotButton="0" quotePrefix="0" xfId="0">
      <alignment horizontal="right"/>
    </xf>
    <xf numFmtId="167" fontId="6" fillId="4" borderId="0" applyAlignment="1" pivotButton="0" quotePrefix="0" xfId="0">
      <alignment horizontal="right"/>
    </xf>
    <xf numFmtId="176" fontId="6" fillId="4" borderId="0" applyAlignment="1" pivotButton="0" quotePrefix="0" xfId="0">
      <alignment horizontal="right"/>
    </xf>
    <xf numFmtId="176" fontId="6" fillId="3" borderId="0" applyAlignment="1" pivotButton="0" quotePrefix="0" xfId="0">
      <alignment horizontal="right"/>
    </xf>
    <xf numFmtId="167" fontId="0" fillId="4" borderId="0" applyAlignment="1" pivotButton="0" quotePrefix="0" xfId="0">
      <alignment horizontal="right"/>
    </xf>
    <xf numFmtId="164" fontId="0" fillId="4" borderId="0" applyAlignment="1" pivotButton="0" quotePrefix="0" xfId="0">
      <alignment horizontal="right"/>
    </xf>
    <xf numFmtId="176" fontId="0" fillId="4" borderId="0" applyAlignment="1" pivotButton="0" quotePrefix="0" xfId="0">
      <alignment horizontal="right"/>
    </xf>
    <xf numFmtId="176" fontId="0" fillId="3" borderId="0" applyAlignment="1" pivotButton="0" quotePrefix="0" xfId="0">
      <alignment horizontal="right"/>
    </xf>
    <xf numFmtId="188" fontId="0" fillId="4" borderId="0" applyAlignment="1" pivotButton="0" quotePrefix="0" xfId="0">
      <alignment horizontal="right"/>
    </xf>
    <xf numFmtId="188" fontId="0" fillId="3" borderId="0" applyAlignment="1" pivotButton="0" quotePrefix="0" xfId="0">
      <alignment horizontal="right"/>
    </xf>
    <xf numFmtId="174" fontId="0" fillId="4" borderId="0" applyAlignment="1" pivotButton="0" quotePrefix="0" xfId="0">
      <alignment horizontal="right"/>
    </xf>
    <xf numFmtId="174" fontId="0" fillId="3" borderId="0" applyAlignment="1" pivotButton="0" quotePrefix="0" xfId="0">
      <alignment horizontal="right"/>
    </xf>
    <xf numFmtId="164" fontId="6" fillId="4" borderId="0" pivotButton="0" quotePrefix="0" xfId="0"/>
    <xf numFmtId="164" fontId="9" fillId="4" borderId="0" pivotButton="0" quotePrefix="0" xfId="0"/>
    <xf numFmtId="164" fontId="9" fillId="3" borderId="0" pivotButton="0" quotePrefix="0" xfId="0"/>
    <xf numFmtId="173" fontId="24" fillId="3" borderId="0" pivotButton="0" quotePrefix="0" xfId="28"/>
    <xf numFmtId="173" fontId="21" fillId="3" borderId="0" pivotButton="0" quotePrefix="0" xfId="28"/>
    <xf numFmtId="194" fontId="24" fillId="3" borderId="0" applyAlignment="1" pivotButton="0" quotePrefix="0" xfId="28">
      <alignment horizontal="right"/>
    </xf>
    <xf numFmtId="0" fontId="24" fillId="3" borderId="0" applyAlignment="1" pivotButton="0" quotePrefix="0" xfId="28">
      <alignment horizontal="right"/>
    </xf>
    <xf numFmtId="166" fontId="21" fillId="3" borderId="0" applyAlignment="1" pivotButton="0" quotePrefix="0" xfId="28">
      <alignment horizontal="right"/>
    </xf>
    <xf numFmtId="164" fontId="21" fillId="3" borderId="0" applyAlignment="1" pivotButton="0" quotePrefix="0" xfId="28">
      <alignment horizontal="right"/>
    </xf>
    <xf numFmtId="168" fontId="21" fillId="3" borderId="0" applyAlignment="1" pivotButton="0" quotePrefix="0" xfId="28">
      <alignment horizontal="right"/>
    </xf>
    <xf numFmtId="17" fontId="21" fillId="3" borderId="0" pivotButton="0" quotePrefix="0" xfId="28"/>
    <xf numFmtId="176" fontId="21" fillId="3" borderId="0" pivotButton="0" quotePrefix="0" xfId="28"/>
    <xf numFmtId="174" fontId="21" fillId="3" borderId="0" pivotButton="0" quotePrefix="0" xfId="28"/>
    <xf numFmtId="188" fontId="21" fillId="3" borderId="0" pivotButton="0" quotePrefix="0" xfId="28"/>
    <xf numFmtId="166" fontId="25" fillId="4" borderId="13" applyAlignment="1" pivotButton="0" quotePrefix="0" xfId="36">
      <alignment horizontal="right"/>
    </xf>
    <xf numFmtId="166" fontId="25" fillId="3" borderId="13" applyAlignment="1" pivotButton="0" quotePrefix="0" xfId="36">
      <alignment horizontal="right"/>
    </xf>
    <xf numFmtId="166" fontId="25" fillId="4" borderId="13" pivotButton="0" quotePrefix="0" xfId="36"/>
    <xf numFmtId="166" fontId="25" fillId="3" borderId="22" applyAlignment="1" pivotButton="0" quotePrefix="0" xfId="36">
      <alignment horizontal="right"/>
    </xf>
    <xf numFmtId="166" fontId="23" fillId="4" borderId="0" pivotButton="0" quotePrefix="0" xfId="36"/>
    <xf numFmtId="166" fontId="23" fillId="3" borderId="21" pivotButton="0" quotePrefix="0" xfId="36"/>
    <xf numFmtId="166" fontId="25" fillId="4" borderId="0" pivotButton="0" quotePrefix="0" xfId="36"/>
    <xf numFmtId="166" fontId="25" fillId="4" borderId="2" pivotButton="0" quotePrefix="0" xfId="36"/>
    <xf numFmtId="166" fontId="25" fillId="3" borderId="2" pivotButton="0" quotePrefix="0" xfId="36"/>
    <xf numFmtId="166" fontId="25" fillId="3" borderId="26" pivotButton="0" quotePrefix="0" xfId="36"/>
    <xf numFmtId="166" fontId="23" fillId="4" borderId="7" pivotButton="0" quotePrefix="0" xfId="36"/>
    <xf numFmtId="166" fontId="23" fillId="3" borderId="7" pivotButton="0" quotePrefix="0" xfId="36"/>
    <xf numFmtId="166" fontId="23" fillId="3" borderId="28" pivotButton="0" quotePrefix="0" xfId="36"/>
    <xf numFmtId="166" fontId="30" fillId="5" borderId="21" pivotButton="0" quotePrefix="0" xfId="36"/>
    <xf numFmtId="17" fontId="31" fillId="4" borderId="0" applyAlignment="1" pivotButton="0" quotePrefix="0" xfId="36">
      <alignment horizontal="center"/>
    </xf>
    <xf numFmtId="166" fontId="23" fillId="4" borderId="0" applyAlignment="1" pivotButton="0" quotePrefix="0" xfId="36">
      <alignment horizontal="center"/>
    </xf>
    <xf numFmtId="176" fontId="23" fillId="4" borderId="0" applyAlignment="1" pivotButton="0" quotePrefix="0" xfId="36">
      <alignment horizontal="right"/>
    </xf>
    <xf numFmtId="164" fontId="23" fillId="4" borderId="0" applyAlignment="1" pivotButton="0" quotePrefix="0" xfId="36">
      <alignment horizontal="center"/>
    </xf>
    <xf numFmtId="167" fontId="23" fillId="3" borderId="0" applyAlignment="1" pivotButton="0" quotePrefix="0" xfId="36">
      <alignment horizontal="right"/>
    </xf>
    <xf numFmtId="167" fontId="25" fillId="3" borderId="0" applyAlignment="1" pivotButton="0" quotePrefix="0" xfId="36">
      <alignment horizontal="right"/>
    </xf>
    <xf numFmtId="166" fontId="25" fillId="4" borderId="2" applyAlignment="1" pivotButton="0" quotePrefix="0" xfId="36">
      <alignment horizontal="right"/>
    </xf>
    <xf numFmtId="166" fontId="23" fillId="3" borderId="2" pivotButton="0" quotePrefix="0" xfId="36"/>
    <xf numFmtId="166" fontId="23" fillId="4" borderId="2" pivotButton="0" quotePrefix="0" xfId="36"/>
    <xf numFmtId="17" fontId="0" fillId="3" borderId="0" applyAlignment="1" pivotButton="0" quotePrefix="0" xfId="36">
      <alignment horizontal="center"/>
    </xf>
    <xf numFmtId="166" fontId="25" fillId="4" borderId="0" applyAlignment="1" pivotButton="0" quotePrefix="0" xfId="36">
      <alignment horizontal="right"/>
    </xf>
    <xf numFmtId="166" fontId="23" fillId="4" borderId="0" applyAlignment="1" pivotButton="0" quotePrefix="0" xfId="36">
      <alignment horizontal="right"/>
    </xf>
    <xf numFmtId="190" fontId="25" fillId="4" borderId="0" pivotButton="0" quotePrefix="0" xfId="36"/>
    <xf numFmtId="190" fontId="25" fillId="3" borderId="0" pivotButton="0" quotePrefix="0" xfId="36"/>
    <xf numFmtId="190" fontId="25" fillId="4" borderId="0" applyAlignment="1" pivotButton="0" quotePrefix="0" xfId="36">
      <alignment horizontal="right"/>
    </xf>
    <xf numFmtId="166" fontId="25" fillId="4" borderId="0" applyAlignment="1" pivotButton="0" quotePrefix="0" xfId="36">
      <alignment horizontal="center"/>
    </xf>
    <xf numFmtId="190" fontId="25" fillId="4" borderId="0" applyAlignment="1" pivotButton="0" quotePrefix="0" xfId="36">
      <alignment horizontal="center"/>
    </xf>
    <xf numFmtId="173" fontId="25" fillId="4" borderId="0" pivotButton="0" quotePrefix="0" xfId="36"/>
    <xf numFmtId="173" fontId="25" fillId="3" borderId="0" pivotButton="0" quotePrefix="0" xfId="36"/>
    <xf numFmtId="167" fontId="25" fillId="4" borderId="0" pivotButton="0" quotePrefix="0" xfId="36"/>
    <xf numFmtId="0" fontId="15" fillId="3" borderId="0" applyAlignment="1" pivotButton="0" quotePrefix="0" xfId="32">
      <alignment horizontal="left" wrapText="1" indent="1"/>
    </xf>
    <xf numFmtId="0" fontId="0" fillId="0" borderId="0" pivotButton="0" quotePrefix="0" xfId="0"/>
    <xf numFmtId="166" fontId="0" fillId="0" borderId="0" pivotButton="0" quotePrefix="0" xfId="0"/>
    <xf numFmtId="0" fontId="6" fillId="0" borderId="0" pivotButton="0" quotePrefix="0" xfId="0"/>
    <xf numFmtId="166" fontId="6" fillId="0" borderId="0" applyAlignment="1" pivotButton="0" quotePrefix="0" xfId="0">
      <alignment horizontal="center"/>
    </xf>
    <xf numFmtId="166" fontId="6" fillId="0" borderId="0" pivotButton="0" quotePrefix="0" xfId="0"/>
    <xf numFmtId="166" fontId="19" fillId="0" borderId="0" pivotButton="0" quotePrefix="0" xfId="0"/>
    <xf numFmtId="180" fontId="0" fillId="0" borderId="0" pivotButton="0" quotePrefix="0" xfId="0"/>
    <xf numFmtId="180" fontId="6" fillId="0" borderId="0" pivotButton="0" quotePrefix="0" xfId="0"/>
    <xf numFmtId="164" fontId="0" fillId="0" borderId="0" pivotButton="0" quotePrefix="0" xfId="0"/>
    <xf numFmtId="164" fontId="19" fillId="0" borderId="0" pivotButton="0" quotePrefix="0" xfId="0"/>
    <xf numFmtId="198" fontId="19" fillId="0" borderId="0" pivotButton="0" quotePrefix="0" xfId="0"/>
    <xf numFmtId="164" fontId="6" fillId="0" borderId="0" pivotButton="0" quotePrefix="0" xfId="0"/>
    <xf numFmtId="168" fontId="0" fillId="0" borderId="0" pivotButton="0" quotePrefix="0" xfId="0"/>
    <xf numFmtId="173" fontId="0" fillId="0" borderId="0" pivotButton="0" quotePrefix="0" xfId="0"/>
    <xf numFmtId="43" fontId="0" fillId="0" borderId="0" pivotButton="0" quotePrefix="0" xfId="0"/>
    <xf numFmtId="166" fontId="26" fillId="0" borderId="0" pivotButton="0" quotePrefix="0" xfId="0"/>
    <xf numFmtId="166" fontId="25" fillId="0" borderId="0" pivotButton="0" quotePrefix="0" xfId="0"/>
    <xf numFmtId="166" fontId="9" fillId="0" borderId="0" pivotButton="0" quotePrefix="0" xfId="0"/>
    <xf numFmtId="166" fontId="23" fillId="0" borderId="0" pivotButton="0" quotePrefix="0" xfId="0"/>
    <xf numFmtId="168" fontId="25" fillId="0" borderId="0" pivotButton="0" quotePrefix="0" xfId="0"/>
    <xf numFmtId="164" fontId="23" fillId="0" borderId="0" pivotButton="0" quotePrefix="0" xfId="15"/>
    <xf numFmtId="168" fontId="23" fillId="0" borderId="0" pivotButton="0" quotePrefix="0" xfId="0"/>
    <xf numFmtId="168" fontId="26" fillId="0" borderId="0" pivotButton="0" quotePrefix="0" xfId="0"/>
    <xf numFmtId="187" fontId="0" fillId="0" borderId="0" pivotButton="0" quotePrefix="0" xfId="0"/>
    <xf numFmtId="190" fontId="0" fillId="0" borderId="0" pivotButton="0" quotePrefix="0" xfId="0"/>
    <xf numFmtId="168" fontId="6" fillId="0" borderId="0" pivotButton="0" quotePrefix="0" xfId="0"/>
    <xf numFmtId="165" fontId="0" fillId="0" borderId="0" pivotButton="0" quotePrefix="0" xfId="0"/>
    <xf numFmtId="167" fontId="6" fillId="0" borderId="0" pivotButton="0" quotePrefix="0" xfId="0"/>
    <xf numFmtId="176" fontId="6" fillId="0" borderId="0" pivotButton="0" quotePrefix="0" xfId="0"/>
    <xf numFmtId="167" fontId="0" fillId="0" borderId="0" pivotButton="0" quotePrefix="0" xfId="0"/>
    <xf numFmtId="176" fontId="0" fillId="0" borderId="0" pivotButton="0" quotePrefix="0" xfId="0"/>
    <xf numFmtId="174" fontId="0" fillId="0" borderId="0" pivotButton="0" quotePrefix="0" xfId="0"/>
    <xf numFmtId="173" fontId="6" fillId="0" borderId="0" pivotButton="0" quotePrefix="0" xfId="0"/>
    <xf numFmtId="0" fontId="33" fillId="0" borderId="0" pivotButton="0" quotePrefix="0" xfId="36"/>
    <xf numFmtId="0" fontId="0" fillId="0" borderId="0" pivotButton="0" quotePrefix="0" xfId="36"/>
    <xf numFmtId="0" fontId="6" fillId="0" borderId="0" pivotButton="0" quotePrefix="0" xfId="36"/>
    <xf numFmtId="0" fontId="19" fillId="0" borderId="0" pivotButton="0" quotePrefix="0" xfId="36"/>
    <xf numFmtId="164" fontId="0" fillId="0" borderId="0" pivotButton="0" quotePrefix="0" xfId="36"/>
    <xf numFmtId="0" fontId="0" fillId="0" borderId="0" applyAlignment="1" pivotButton="0" quotePrefix="0" xfId="36">
      <alignment horizontal="left"/>
    </xf>
    <xf numFmtId="0" fontId="8" fillId="0" borderId="0" pivotButton="0" quotePrefix="0" xfId="36"/>
    <xf numFmtId="0" fontId="34" fillId="0" borderId="0" applyAlignment="1" pivotButton="0" quotePrefix="0" xfId="36">
      <alignment horizontal="left"/>
    </xf>
    <xf numFmtId="0" fontId="34" fillId="0" borderId="0" applyAlignment="1" pivotButton="0" quotePrefix="0" xfId="0">
      <alignment horizontal="center"/>
    </xf>
    <xf numFmtId="204" fontId="6" fillId="0" borderId="0" applyAlignment="1" pivotButton="0" quotePrefix="0" xfId="0">
      <alignment horizontal="center"/>
    </xf>
    <xf numFmtId="0" fontId="6" fillId="0" borderId="0" applyAlignment="1" pivotButton="0" quotePrefix="0" xfId="0">
      <alignment horizontal="center"/>
    </xf>
    <xf numFmtId="0" fontId="34" fillId="0" borderId="0" applyAlignment="1" pivotButton="0" quotePrefix="0" xfId="36">
      <alignment horizontal="center"/>
    </xf>
    <xf numFmtId="166" fontId="0" fillId="0" borderId="0" pivotButton="0" quotePrefix="0" xfId="36"/>
    <xf numFmtId="168" fontId="6" fillId="0" borderId="0" pivotButton="0" quotePrefix="0" xfId="36"/>
    <xf numFmtId="166" fontId="6" fillId="0" borderId="0" pivotButton="0" quotePrefix="0" xfId="36"/>
    <xf numFmtId="164" fontId="6" fillId="0" borderId="0" pivotButton="0" quotePrefix="0" xfId="36"/>
    <xf numFmtId="171" fontId="6" fillId="0" borderId="0" pivotButton="0" quotePrefix="0" xfId="36"/>
    <xf numFmtId="167" fontId="6" fillId="0" borderId="0" pivotButton="0" quotePrefix="0" xfId="36"/>
    <xf numFmtId="172" fontId="6" fillId="0" borderId="0" pivotButton="0" quotePrefix="0" xfId="36"/>
    <xf numFmtId="167" fontId="0" fillId="0" borderId="0" pivotButton="0" quotePrefix="0" xfId="36"/>
    <xf numFmtId="173" fontId="0" fillId="0" borderId="0" pivotButton="0" quotePrefix="0" xfId="36"/>
    <xf numFmtId="190" fontId="6" fillId="0" borderId="0" pivotButton="0" quotePrefix="0" xfId="36"/>
    <xf numFmtId="173" fontId="6" fillId="0" borderId="0" pivotButton="0" quotePrefix="0" xfId="36"/>
    <xf numFmtId="176" fontId="23" fillId="3" borderId="0" applyAlignment="1" pivotButton="0" quotePrefix="0" xfId="36">
      <alignment horizontal="left"/>
    </xf>
    <xf numFmtId="17" fontId="52" fillId="4" borderId="0" applyAlignment="1" pivotButton="0" quotePrefix="0" xfId="0">
      <alignment horizontal="center"/>
    </xf>
    <xf numFmtId="17" fontId="58" fillId="4" borderId="0" applyAlignment="1" pivotButton="0" quotePrefix="0" xfId="0">
      <alignment horizontal="center"/>
    </xf>
    <xf numFmtId="17" fontId="58" fillId="3" borderId="0" applyAlignment="1" pivotButton="0" quotePrefix="0" xfId="0">
      <alignment horizontal="center"/>
    </xf>
    <xf numFmtId="17" fontId="58" fillId="3" borderId="21" applyAlignment="1" pivotButton="0" quotePrefix="0" xfId="0">
      <alignment horizontal="center"/>
    </xf>
    <xf numFmtId="0" fontId="53" fillId="4" borderId="0" applyAlignment="1" pivotButton="0" quotePrefix="0" xfId="0">
      <alignment horizontal="center"/>
    </xf>
    <xf numFmtId="164" fontId="57" fillId="3" borderId="0" pivotButton="0" quotePrefix="0" xfId="0"/>
    <xf numFmtId="164" fontId="57" fillId="4" borderId="0" pivotButton="0" quotePrefix="0" xfId="0"/>
    <xf numFmtId="180" fontId="52" fillId="4" borderId="0" applyAlignment="1" pivotButton="0" quotePrefix="0" xfId="0">
      <alignment horizontal="right"/>
    </xf>
    <xf numFmtId="180" fontId="52" fillId="3" borderId="0" applyAlignment="1" pivotButton="0" quotePrefix="0" xfId="0">
      <alignment horizontal="right"/>
    </xf>
    <xf numFmtId="180" fontId="52" fillId="4" borderId="2" applyAlignment="1" pivotButton="0" quotePrefix="0" xfId="0">
      <alignment horizontal="right"/>
    </xf>
    <xf numFmtId="180" fontId="52" fillId="3" borderId="2" applyAlignment="1" pivotButton="0" quotePrefix="0" xfId="0">
      <alignment horizontal="right"/>
    </xf>
    <xf numFmtId="180" fontId="52" fillId="3" borderId="21" applyAlignment="1" pivotButton="0" quotePrefix="0" xfId="0">
      <alignment horizontal="right"/>
    </xf>
    <xf numFmtId="180" fontId="52" fillId="3" borderId="26" applyAlignment="1" pivotButton="0" quotePrefix="0" xfId="0">
      <alignment horizontal="right"/>
    </xf>
    <xf numFmtId="166" fontId="52" fillId="3" borderId="2" pivotButton="0" quotePrefix="0" xfId="0"/>
    <xf numFmtId="166" fontId="52" fillId="4" borderId="2" pivotButton="0" quotePrefix="0" xfId="0"/>
    <xf numFmtId="173" fontId="52" fillId="3" borderId="0" pivotButton="0" quotePrefix="0" xfId="0"/>
    <xf numFmtId="173" fontId="52" fillId="4" borderId="0" pivotButton="0" quotePrefix="0" xfId="0"/>
    <xf numFmtId="166" fontId="52" fillId="3" borderId="0" pivotButton="0" quotePrefix="0" xfId="0"/>
    <xf numFmtId="166" fontId="52" fillId="4" borderId="0" pivotButton="0" quotePrefix="0" xfId="0"/>
    <xf numFmtId="166" fontId="52" fillId="3" borderId="21" pivotButton="0" quotePrefix="0" xfId="0"/>
    <xf numFmtId="166" fontId="52" fillId="3" borderId="26" pivotButton="0" quotePrefix="0" xfId="0"/>
    <xf numFmtId="164" fontId="52" fillId="3" borderId="0" pivotButton="0" quotePrefix="0" xfId="0"/>
    <xf numFmtId="164" fontId="52" fillId="4" borderId="0" pivotButton="0" quotePrefix="0" xfId="0"/>
    <xf numFmtId="164" fontId="52" fillId="3" borderId="21" pivotButton="0" quotePrefix="0" xfId="0"/>
    <xf numFmtId="164" fontId="52" fillId="3" borderId="2" pivotButton="0" quotePrefix="0" xfId="0"/>
    <xf numFmtId="164" fontId="52" fillId="4" borderId="2" pivotButton="0" quotePrefix="0" xfId="0"/>
    <xf numFmtId="164" fontId="52" fillId="3" borderId="26" pivotButton="0" quotePrefix="0" xfId="0"/>
    <xf numFmtId="166" fontId="53" fillId="3" borderId="7" pivotButton="0" quotePrefix="0" xfId="0"/>
    <xf numFmtId="166" fontId="53" fillId="4" borderId="7" pivotButton="0" quotePrefix="0" xfId="0"/>
    <xf numFmtId="166" fontId="53" fillId="3" borderId="28" pivotButton="0" quotePrefix="0" xfId="0"/>
    <xf numFmtId="164" fontId="57" fillId="3" borderId="21" pivotButton="0" quotePrefix="0" xfId="0"/>
    <xf numFmtId="173" fontId="52" fillId="3" borderId="21" pivotButton="0" quotePrefix="0" xfId="0"/>
    <xf numFmtId="166" fontId="52" fillId="3" borderId="0" applyAlignment="1" pivotButton="0" quotePrefix="0" xfId="0">
      <alignment horizontal="right"/>
    </xf>
    <xf numFmtId="166" fontId="52" fillId="3" borderId="2" applyAlignment="1" pivotButton="0" quotePrefix="0" xfId="0">
      <alignment horizontal="right"/>
    </xf>
    <xf numFmtId="166" fontId="52" fillId="4" borderId="2" applyAlignment="1" pivotButton="0" quotePrefix="0" xfId="0">
      <alignment horizontal="right"/>
    </xf>
    <xf numFmtId="164" fontId="53" fillId="3" borderId="0" applyAlignment="1" pivotButton="0" quotePrefix="0" xfId="15">
      <alignment horizontal="right"/>
    </xf>
    <xf numFmtId="164" fontId="53" fillId="4" borderId="0" applyAlignment="1" pivotButton="0" quotePrefix="0" xfId="15">
      <alignment horizontal="right"/>
    </xf>
    <xf numFmtId="166" fontId="52" fillId="4" borderId="12" pivotButton="0" quotePrefix="0" xfId="0"/>
    <xf numFmtId="166" fontId="52" fillId="3" borderId="12" pivotButton="0" quotePrefix="0" xfId="0"/>
    <xf numFmtId="166" fontId="52" fillId="3" borderId="34" pivotButton="0" quotePrefix="0" xfId="0"/>
    <xf numFmtId="192" fontId="52" fillId="4" borderId="0" pivotButton="0" quotePrefix="0" xfId="0"/>
    <xf numFmtId="192" fontId="52" fillId="3" borderId="0" pivotButton="0" quotePrefix="0" xfId="0"/>
    <xf numFmtId="192" fontId="52" fillId="3" borderId="21" pivotButton="0" quotePrefix="0" xfId="0"/>
    <xf numFmtId="190" fontId="52" fillId="4" borderId="0" pivotButton="0" quotePrefix="0" xfId="0"/>
    <xf numFmtId="190" fontId="52" fillId="4" borderId="2" pivotButton="0" quotePrefix="0" xfId="0"/>
    <xf numFmtId="176" fontId="52" fillId="4" borderId="0" pivotButton="0" quotePrefix="0" xfId="0"/>
    <xf numFmtId="193" fontId="57" fillId="3" borderId="0" pivotButton="0" quotePrefix="0" xfId="0"/>
    <xf numFmtId="193" fontId="57" fillId="4" borderId="0" pivotButton="0" quotePrefix="0" xfId="0"/>
    <xf numFmtId="17" fontId="52" fillId="3" borderId="0" applyAlignment="1" pivotButton="0" quotePrefix="0" xfId="0">
      <alignment horizontal="left" indent="2"/>
    </xf>
    <xf numFmtId="176" fontId="52" fillId="3" borderId="0" pivotButton="0" quotePrefix="0" xfId="0"/>
    <xf numFmtId="166" fontId="53" fillId="3" borderId="0" pivotButton="0" quotePrefix="0" xfId="0"/>
    <xf numFmtId="166" fontId="53" fillId="4" borderId="0" pivotButton="0" quotePrefix="0" xfId="0"/>
    <xf numFmtId="165" fontId="52" fillId="4" borderId="0" pivotButton="0" quotePrefix="0" xfId="0"/>
    <xf numFmtId="165" fontId="52" fillId="3" borderId="0" pivotButton="0" quotePrefix="0" xfId="0"/>
    <xf numFmtId="165" fontId="52" fillId="3" borderId="21" pivotButton="0" quotePrefix="0" xfId="0"/>
    <xf numFmtId="166" fontId="52" fillId="4" borderId="0" applyAlignment="1" pivotButton="0" quotePrefix="0" xfId="0">
      <alignment horizontal="right"/>
    </xf>
    <xf numFmtId="176" fontId="53" fillId="3" borderId="0" pivotButton="0" quotePrefix="0" xfId="0"/>
    <xf numFmtId="176" fontId="53" fillId="4" borderId="0" pivotButton="0" quotePrefix="0" xfId="0"/>
    <xf numFmtId="164" fontId="53" fillId="3" borderId="0" applyAlignment="1" pivotButton="0" quotePrefix="0" xfId="0">
      <alignment horizontal="right"/>
    </xf>
    <xf numFmtId="164" fontId="53" fillId="4" borderId="0" applyAlignment="1" pivotButton="0" quotePrefix="0" xfId="0">
      <alignment horizontal="right"/>
    </xf>
    <xf numFmtId="176" fontId="53" fillId="3" borderId="0" applyAlignment="1" pivotButton="0" quotePrefix="0" xfId="0">
      <alignment horizontal="left"/>
    </xf>
    <xf numFmtId="166" fontId="53" fillId="3" borderId="21" pivotButton="0" quotePrefix="0" xfId="0"/>
    <xf numFmtId="164" fontId="57" fillId="3" borderId="0" applyAlignment="1" pivotButton="0" quotePrefix="0" xfId="0">
      <alignment horizontal="right"/>
    </xf>
    <xf numFmtId="164" fontId="57" fillId="4" borderId="0" applyAlignment="1" pivotButton="0" quotePrefix="0" xfId="0">
      <alignment horizontal="right"/>
    </xf>
    <xf numFmtId="164" fontId="56" fillId="3" borderId="0" pivotButton="0" quotePrefix="0" xfId="0"/>
    <xf numFmtId="164" fontId="56" fillId="4" borderId="0" pivotButton="0" quotePrefix="0" xfId="0"/>
    <xf numFmtId="173" fontId="58" fillId="3" borderId="4" pivotButton="0" quotePrefix="0" xfId="28"/>
    <xf numFmtId="173" fontId="58" fillId="3" borderId="1" pivotButton="0" quotePrefix="0" xfId="28"/>
    <xf numFmtId="194" fontId="53" fillId="3" borderId="0" applyAlignment="1" pivotButton="0" quotePrefix="0" xfId="0">
      <alignment horizontal="right"/>
    </xf>
    <xf numFmtId="194" fontId="53" fillId="3" borderId="21" applyAlignment="1" pivotButton="0" quotePrefix="0" xfId="0">
      <alignment horizontal="right"/>
    </xf>
    <xf numFmtId="168" fontId="52" fillId="3" borderId="0" pivotButton="0" quotePrefix="0" xfId="0"/>
    <xf numFmtId="176" fontId="58" fillId="3" borderId="0" pivotButton="0" quotePrefix="0" xfId="28"/>
    <xf numFmtId="176" fontId="52" fillId="3" borderId="21" pivotButton="0" quotePrefix="0" xfId="0"/>
    <xf numFmtId="174" fontId="58" fillId="3" borderId="0" pivotButton="0" quotePrefix="0" xfId="28"/>
    <xf numFmtId="174" fontId="52" fillId="3" borderId="0" pivotButton="0" quotePrefix="0" xfId="0"/>
    <xf numFmtId="174" fontId="52" fillId="3" borderId="21" pivotButton="0" quotePrefix="0" xfId="0"/>
    <xf numFmtId="188" fontId="58" fillId="3" borderId="0" pivotButton="0" quotePrefix="0" xfId="28"/>
    <xf numFmtId="188" fontId="52" fillId="3" borderId="0" pivotButton="0" quotePrefix="0" xfId="0"/>
    <xf numFmtId="188" fontId="52" fillId="3" borderId="21" pivotButton="0" quotePrefix="0" xfId="0"/>
    <xf numFmtId="1" fontId="6" fillId="6" borderId="0" applyAlignment="1" pivotButton="0" quotePrefix="0" xfId="0">
      <alignment horizontal="center"/>
    </xf>
    <xf numFmtId="1" fontId="23" fillId="6" borderId="0" applyAlignment="1" pivotButton="0" quotePrefix="0" xfId="0">
      <alignment horizontal="center"/>
    </xf>
    <xf numFmtId="17" fontId="52" fillId="6" borderId="0" applyAlignment="1" pivotButton="0" quotePrefix="0" xfId="0">
      <alignment horizontal="center"/>
    </xf>
    <xf numFmtId="17" fontId="58" fillId="6" borderId="0" applyAlignment="1" pivotButton="0" quotePrefix="0" xfId="0">
      <alignment horizontal="center"/>
    </xf>
    <xf numFmtId="17" fontId="21" fillId="6" borderId="0" applyAlignment="1" pivotButton="0" quotePrefix="0" xfId="0">
      <alignment horizontal="center"/>
    </xf>
    <xf numFmtId="0" fontId="53" fillId="6" borderId="0" applyAlignment="1" pivotButton="0" quotePrefix="0" xfId="0">
      <alignment horizontal="center"/>
    </xf>
    <xf numFmtId="0" fontId="24" fillId="6" borderId="0" applyAlignment="1" pivotButton="0" quotePrefix="0" xfId="0">
      <alignment horizontal="center"/>
    </xf>
    <xf numFmtId="166" fontId="0" fillId="6" borderId="0" pivotButton="0" quotePrefix="0" xfId="0"/>
    <xf numFmtId="166" fontId="25" fillId="6" borderId="0" pivotButton="0" quotePrefix="0" xfId="0"/>
    <xf numFmtId="164" fontId="26" fillId="6" borderId="0" pivotButton="0" quotePrefix="0" xfId="0"/>
    <xf numFmtId="164" fontId="19" fillId="6" borderId="0" pivotButton="0" quotePrefix="0" xfId="0"/>
    <xf numFmtId="164" fontId="26" fillId="6" borderId="2" pivotButton="0" quotePrefix="0" xfId="0"/>
    <xf numFmtId="164" fontId="19" fillId="6" borderId="2" pivotButton="0" quotePrefix="0" xfId="0"/>
    <xf numFmtId="164" fontId="57" fillId="6" borderId="0" pivotButton="0" quotePrefix="0" xfId="0"/>
    <xf numFmtId="166" fontId="6" fillId="6" borderId="7" pivotButton="0" quotePrefix="0" xfId="0"/>
    <xf numFmtId="166" fontId="23" fillId="6" borderId="7" pivotButton="0" quotePrefix="0" xfId="0"/>
    <xf numFmtId="166" fontId="26" fillId="6" borderId="0" pivotButton="0" quotePrefix="0" xfId="0"/>
    <xf numFmtId="166" fontId="26" fillId="6" borderId="0" applyAlignment="1" pivotButton="0" quotePrefix="0" xfId="0">
      <alignment horizontal="right"/>
    </xf>
    <xf numFmtId="180" fontId="52" fillId="6" borderId="0" applyAlignment="1" pivotButton="0" quotePrefix="0" xfId="0">
      <alignment horizontal="right"/>
    </xf>
    <xf numFmtId="180" fontId="25" fillId="6" borderId="0" applyAlignment="1" pivotButton="0" quotePrefix="0" xfId="0">
      <alignment horizontal="right"/>
    </xf>
    <xf numFmtId="180" fontId="52" fillId="6" borderId="2" applyAlignment="1" pivotButton="0" quotePrefix="0" xfId="0">
      <alignment horizontal="right"/>
    </xf>
    <xf numFmtId="180" fontId="25" fillId="6" borderId="2" applyAlignment="1" pivotButton="0" quotePrefix="0" xfId="0">
      <alignment horizontal="right"/>
    </xf>
    <xf numFmtId="180" fontId="0" fillId="6" borderId="0" applyAlignment="1" pivotButton="0" quotePrefix="0" xfId="0">
      <alignment horizontal="right"/>
    </xf>
    <xf numFmtId="180" fontId="6" fillId="6" borderId="0" applyAlignment="1" pivotButton="0" quotePrefix="0" xfId="0">
      <alignment horizontal="right"/>
    </xf>
    <xf numFmtId="180" fontId="23" fillId="6" borderId="0" applyAlignment="1" pivotButton="0" quotePrefix="0" xfId="0">
      <alignment horizontal="right"/>
    </xf>
    <xf numFmtId="166" fontId="23" fillId="6" borderId="0" pivotButton="0" quotePrefix="0" xfId="0"/>
    <xf numFmtId="166" fontId="25" fillId="6" borderId="2" pivotButton="0" quotePrefix="0" xfId="0"/>
    <xf numFmtId="166" fontId="6" fillId="6" borderId="0" pivotButton="0" quotePrefix="0" xfId="0"/>
    <xf numFmtId="164" fontId="25" fillId="6" borderId="0" pivotButton="0" quotePrefix="0" xfId="0"/>
    <xf numFmtId="164" fontId="0" fillId="6" borderId="0" pivotButton="0" quotePrefix="0" xfId="0"/>
    <xf numFmtId="173" fontId="25" fillId="6" borderId="0" pivotButton="0" quotePrefix="0" xfId="0"/>
    <xf numFmtId="173" fontId="0" fillId="6" borderId="0" pivotButton="0" quotePrefix="0" xfId="0"/>
    <xf numFmtId="166" fontId="52" fillId="6" borderId="2" pivotButton="0" quotePrefix="0" xfId="0"/>
    <xf numFmtId="164" fontId="26" fillId="6" borderId="0" applyAlignment="1" pivotButton="0" quotePrefix="0" xfId="0">
      <alignment horizontal="right"/>
    </xf>
    <xf numFmtId="173" fontId="52" fillId="6" borderId="0" pivotButton="0" quotePrefix="0" xfId="0"/>
    <xf numFmtId="166" fontId="52" fillId="6" borderId="0" pivotButton="0" quotePrefix="0" xfId="0"/>
    <xf numFmtId="166" fontId="23" fillId="6" borderId="2" pivotButton="0" quotePrefix="0" xfId="0"/>
    <xf numFmtId="166" fontId="0" fillId="6" borderId="2" pivotButton="0" quotePrefix="0" xfId="0"/>
    <xf numFmtId="164" fontId="52" fillId="6" borderId="0" pivotButton="0" quotePrefix="0" xfId="0"/>
    <xf numFmtId="164" fontId="25" fillId="6" borderId="2" pivotButton="0" quotePrefix="0" xfId="0"/>
    <xf numFmtId="164" fontId="52" fillId="6" borderId="2" pivotButton="0" quotePrefix="0" xfId="0"/>
    <xf numFmtId="164" fontId="23" fillId="6" borderId="0" pivotButton="0" quotePrefix="0" xfId="0"/>
    <xf numFmtId="168" fontId="25" fillId="6" borderId="0" pivotButton="0" quotePrefix="0" xfId="0"/>
    <xf numFmtId="166" fontId="53" fillId="6" borderId="7" pivotButton="0" quotePrefix="0" xfId="0"/>
    <xf numFmtId="43" fontId="25" fillId="6" borderId="0" pivotButton="0" quotePrefix="0" xfId="0"/>
    <xf numFmtId="166" fontId="25" fillId="6" borderId="0" applyAlignment="1" pivotButton="0" quotePrefix="0" xfId="0">
      <alignment horizontal="right"/>
    </xf>
    <xf numFmtId="164" fontId="23" fillId="6" borderId="2" applyAlignment="1" pivotButton="0" quotePrefix="0" xfId="0">
      <alignment horizontal="center"/>
    </xf>
    <xf numFmtId="164" fontId="23" fillId="6" borderId="2" pivotButton="0" quotePrefix="0" xfId="0"/>
    <xf numFmtId="164" fontId="23" fillId="6" borderId="0" applyAlignment="1" pivotButton="0" quotePrefix="0" xfId="0">
      <alignment horizontal="center"/>
    </xf>
    <xf numFmtId="164" fontId="26" fillId="6" borderId="0" applyAlignment="1" pivotButton="0" quotePrefix="0" xfId="0">
      <alignment horizontal="center"/>
    </xf>
    <xf numFmtId="166" fontId="6" fillId="6" borderId="9" pivotButton="0" quotePrefix="0" xfId="0"/>
    <xf numFmtId="166" fontId="23" fillId="6" borderId="9" pivotButton="0" quotePrefix="0" xfId="0"/>
    <xf numFmtId="166" fontId="25" fillId="6" borderId="7" pivotButton="0" quotePrefix="0" xfId="0"/>
    <xf numFmtId="166" fontId="25" fillId="6" borderId="2" applyAlignment="1" pivotButton="0" quotePrefix="0" xfId="0">
      <alignment horizontal="right"/>
    </xf>
    <xf numFmtId="166" fontId="25" fillId="6" borderId="13" pivotButton="0" quotePrefix="0" xfId="0"/>
    <xf numFmtId="166" fontId="52" fillId="6" borderId="2" applyAlignment="1" pivotButton="0" quotePrefix="0" xfId="0">
      <alignment horizontal="right"/>
    </xf>
    <xf numFmtId="166" fontId="25" fillId="6" borderId="7" applyAlignment="1" pivotButton="0" quotePrefix="0" xfId="0">
      <alignment horizontal="right"/>
    </xf>
    <xf numFmtId="166" fontId="0" fillId="6" borderId="7" pivotButton="0" quotePrefix="0" xfId="0"/>
    <xf numFmtId="166" fontId="25" fillId="6" borderId="9" pivotButton="0" quotePrefix="0" xfId="0"/>
    <xf numFmtId="166" fontId="6" fillId="6" borderId="9" applyAlignment="1" pivotButton="0" quotePrefix="0" xfId="0">
      <alignment horizontal="right"/>
    </xf>
    <xf numFmtId="166" fontId="23" fillId="6" borderId="9" applyAlignment="1" pivotButton="0" quotePrefix="0" xfId="0">
      <alignment horizontal="right"/>
    </xf>
    <xf numFmtId="168" fontId="25" fillId="6" borderId="0" applyAlignment="1" pivotButton="0" quotePrefix="0" xfId="0">
      <alignment horizontal="right"/>
    </xf>
    <xf numFmtId="164" fontId="6" fillId="6" borderId="0" pivotButton="0" quotePrefix="0" xfId="15"/>
    <xf numFmtId="164" fontId="6" fillId="6" borderId="0" applyAlignment="1" pivotButton="0" quotePrefix="0" xfId="15">
      <alignment horizontal="right"/>
    </xf>
    <xf numFmtId="164" fontId="23" fillId="6" borderId="0" applyAlignment="1" pivotButton="0" quotePrefix="0" xfId="15">
      <alignment horizontal="right"/>
    </xf>
    <xf numFmtId="164" fontId="53" fillId="6" borderId="0" applyAlignment="1" pivotButton="0" quotePrefix="0" xfId="15">
      <alignment horizontal="right"/>
    </xf>
    <xf numFmtId="168" fontId="6" fillId="6" borderId="0" applyAlignment="1" pivotButton="0" quotePrefix="0" xfId="0">
      <alignment horizontal="right"/>
    </xf>
    <xf numFmtId="168" fontId="23" fillId="6" borderId="0" applyAlignment="1" pivotButton="0" quotePrefix="0" xfId="0">
      <alignment horizontal="right"/>
    </xf>
    <xf numFmtId="168" fontId="26" fillId="6" borderId="0" pivotButton="0" quotePrefix="0" xfId="0"/>
    <xf numFmtId="168" fontId="26" fillId="6" borderId="0" applyAlignment="1" pivotButton="0" quotePrefix="0" xfId="0">
      <alignment horizontal="right"/>
    </xf>
    <xf numFmtId="187" fontId="25" fillId="6" borderId="0" pivotButton="0" quotePrefix="0" xfId="0"/>
    <xf numFmtId="176" fontId="23" fillId="6" borderId="0" applyAlignment="1" pivotButton="0" quotePrefix="0" xfId="0">
      <alignment horizontal="right"/>
    </xf>
    <xf numFmtId="190" fontId="23" fillId="6" borderId="0" pivotButton="0" quotePrefix="0" xfId="0"/>
    <xf numFmtId="166" fontId="52" fillId="6" borderId="12" pivotButton="0" quotePrefix="0" xfId="0"/>
    <xf numFmtId="166" fontId="25" fillId="6" borderId="12" pivotButton="0" quotePrefix="0" xfId="0"/>
    <xf numFmtId="164" fontId="26" fillId="6" borderId="12" pivotButton="0" quotePrefix="0" xfId="0"/>
    <xf numFmtId="192" fontId="52" fillId="6" borderId="0" pivotButton="0" quotePrefix="0" xfId="0"/>
    <xf numFmtId="192" fontId="25" fillId="6" borderId="0" pivotButton="0" quotePrefix="0" xfId="0"/>
    <xf numFmtId="176" fontId="25" fillId="6" borderId="0" pivotButton="0" quotePrefix="0" xfId="0"/>
    <xf numFmtId="190" fontId="52" fillId="6" borderId="0" pivotButton="0" quotePrefix="0" xfId="0"/>
    <xf numFmtId="190" fontId="25" fillId="6" borderId="0" pivotButton="0" quotePrefix="0" xfId="0"/>
    <xf numFmtId="190" fontId="52" fillId="6" borderId="2" pivotButton="0" quotePrefix="0" xfId="0"/>
    <xf numFmtId="190" fontId="25" fillId="6" borderId="2" pivotButton="0" quotePrefix="0" xfId="0"/>
    <xf numFmtId="176" fontId="25" fillId="6" borderId="12" pivotButton="0" quotePrefix="0" xfId="0"/>
    <xf numFmtId="191" fontId="23" fillId="6" borderId="0" pivotButton="0" quotePrefix="0" xfId="0"/>
    <xf numFmtId="176" fontId="52" fillId="6" borderId="0" pivotButton="0" quotePrefix="0" xfId="0"/>
    <xf numFmtId="193" fontId="26" fillId="6" borderId="0" pivotButton="0" quotePrefix="0" xfId="0"/>
    <xf numFmtId="193" fontId="19" fillId="6" borderId="0" pivotButton="0" quotePrefix="0" xfId="0"/>
    <xf numFmtId="193" fontId="57" fillId="6" borderId="0" pivotButton="0" quotePrefix="0" xfId="0"/>
    <xf numFmtId="166" fontId="23" fillId="6" borderId="12" pivotButton="0" quotePrefix="0" xfId="0"/>
    <xf numFmtId="167" fontId="25" fillId="6" borderId="0" applyAlignment="1" pivotButton="0" quotePrefix="0" xfId="0">
      <alignment horizontal="right"/>
    </xf>
    <xf numFmtId="164" fontId="31" fillId="6" borderId="0" pivotButton="0" quotePrefix="0" xfId="0"/>
    <xf numFmtId="164" fontId="26" fillId="6" borderId="13" pivotButton="0" quotePrefix="0" xfId="0"/>
    <xf numFmtId="199" fontId="25" fillId="6" borderId="0" applyAlignment="1" pivotButton="0" quotePrefix="0" xfId="0">
      <alignment horizontal="center"/>
    </xf>
    <xf numFmtId="173" fontId="49" fillId="6" borderId="0" applyAlignment="1" pivotButton="0" quotePrefix="0" xfId="0">
      <alignment horizontal="right"/>
    </xf>
    <xf numFmtId="164" fontId="25" fillId="6" borderId="13" pivotButton="0" quotePrefix="0" xfId="0"/>
    <xf numFmtId="173" fontId="31" fillId="6" borderId="0" pivotButton="0" quotePrefix="0" xfId="0"/>
    <xf numFmtId="173" fontId="26" fillId="6" borderId="0" pivotButton="0" quotePrefix="0" xfId="0"/>
    <xf numFmtId="173" fontId="26" fillId="6" borderId="13" pivotButton="0" quotePrefix="0" xfId="0"/>
    <xf numFmtId="190" fontId="25" fillId="6" borderId="13" pivotButton="0" quotePrefix="0" xfId="0"/>
    <xf numFmtId="164" fontId="31" fillId="6" borderId="7" pivotButton="0" quotePrefix="0" xfId="0"/>
    <xf numFmtId="168" fontId="23" fillId="6" borderId="0" applyAlignment="1" pivotButton="0" quotePrefix="0" xfId="16">
      <alignment horizontal="right" indent="1"/>
    </xf>
    <xf numFmtId="168" fontId="23" fillId="6" borderId="0" pivotButton="0" quotePrefix="0" xfId="16"/>
    <xf numFmtId="168" fontId="27" fillId="6" borderId="0" applyAlignment="1" pivotButton="0" quotePrefix="0" xfId="16">
      <alignment horizontal="right"/>
    </xf>
    <xf numFmtId="166" fontId="53" fillId="6" borderId="0" pivotButton="0" quotePrefix="0" xfId="0"/>
    <xf numFmtId="166" fontId="27" fillId="6" borderId="0" applyAlignment="1" pivotButton="0" quotePrefix="0" xfId="0">
      <alignment horizontal="right"/>
    </xf>
    <xf numFmtId="165" fontId="52" fillId="6" borderId="0" pivotButton="0" quotePrefix="0" xfId="0"/>
    <xf numFmtId="165" fontId="0" fillId="6" borderId="0" pivotButton="0" quotePrefix="0" xfId="0"/>
    <xf numFmtId="165" fontId="25" fillId="6" borderId="0" pivotButton="0" quotePrefix="0" xfId="0"/>
    <xf numFmtId="166" fontId="52" fillId="6" borderId="0" applyAlignment="1" pivotButton="0" quotePrefix="0" xfId="0">
      <alignment horizontal="right"/>
    </xf>
    <xf numFmtId="176" fontId="23" fillId="6" borderId="0" pivotButton="0" quotePrefix="0" xfId="0"/>
    <xf numFmtId="176" fontId="53" fillId="6" borderId="0" pivotButton="0" quotePrefix="0" xfId="0"/>
    <xf numFmtId="166" fontId="0" fillId="6" borderId="0" applyAlignment="1" pivotButton="0" quotePrefix="0" xfId="0">
      <alignment horizontal="right"/>
    </xf>
    <xf numFmtId="164" fontId="23" fillId="6" borderId="0" applyAlignment="1" pivotButton="0" quotePrefix="0" xfId="0">
      <alignment horizontal="right"/>
    </xf>
    <xf numFmtId="164" fontId="6" fillId="6" borderId="0" applyAlignment="1" pivotButton="0" quotePrefix="0" xfId="0">
      <alignment horizontal="right"/>
    </xf>
    <xf numFmtId="164" fontId="53" fillId="6" borderId="0" applyAlignment="1" pivotButton="0" quotePrefix="0" xfId="0">
      <alignment horizontal="right"/>
    </xf>
    <xf numFmtId="167" fontId="23" fillId="6" borderId="0" applyAlignment="1" pivotButton="0" quotePrefix="0" xfId="0">
      <alignment horizontal="right"/>
    </xf>
    <xf numFmtId="167" fontId="6" fillId="6" borderId="0" applyAlignment="1" pivotButton="0" quotePrefix="0" xfId="0">
      <alignment horizontal="right"/>
    </xf>
    <xf numFmtId="0" fontId="25" fillId="6" borderId="0" pivotButton="0" quotePrefix="0" xfId="0"/>
    <xf numFmtId="176" fontId="6" fillId="6" borderId="0" applyAlignment="1" pivotButton="0" quotePrefix="0" xfId="0">
      <alignment horizontal="right"/>
    </xf>
    <xf numFmtId="167" fontId="0" fillId="6" borderId="0" applyAlignment="1" pivotButton="0" quotePrefix="0" xfId="0">
      <alignment horizontal="right"/>
    </xf>
    <xf numFmtId="164" fontId="0" fillId="6" borderId="0" applyAlignment="1" pivotButton="0" quotePrefix="0" xfId="0">
      <alignment horizontal="right"/>
    </xf>
    <xf numFmtId="164" fontId="25" fillId="6" borderId="0" applyAlignment="1" pivotButton="0" quotePrefix="0" xfId="0">
      <alignment horizontal="right"/>
    </xf>
    <xf numFmtId="176" fontId="0" fillId="6" borderId="0" applyAlignment="1" pivotButton="0" quotePrefix="0" xfId="0">
      <alignment horizontal="right"/>
    </xf>
    <xf numFmtId="188" fontId="0" fillId="6" borderId="0" applyAlignment="1" pivotButton="0" quotePrefix="0" xfId="0">
      <alignment horizontal="right"/>
    </xf>
    <xf numFmtId="188" fontId="25" fillId="6" borderId="0" pivotButton="0" quotePrefix="0" xfId="0"/>
    <xf numFmtId="174" fontId="0" fillId="6" borderId="0" applyAlignment="1" pivotButton="0" quotePrefix="0" xfId="0">
      <alignment horizontal="right"/>
    </xf>
    <xf numFmtId="174" fontId="25" fillId="6" borderId="0" pivotButton="0" quotePrefix="0" xfId="0"/>
    <xf numFmtId="166" fontId="23" fillId="6" borderId="0" applyAlignment="1" pivotButton="0" quotePrefix="0" xfId="0">
      <alignment horizontal="right"/>
    </xf>
    <xf numFmtId="166" fontId="23" fillId="6" borderId="12" applyAlignment="1" pivotButton="0" quotePrefix="0" xfId="0">
      <alignment horizontal="right"/>
    </xf>
    <xf numFmtId="164" fontId="57" fillId="6" borderId="0" applyAlignment="1" pivotButton="0" quotePrefix="0" xfId="0">
      <alignment horizontal="right"/>
    </xf>
    <xf numFmtId="173" fontId="23" fillId="6" borderId="0" applyAlignment="1" pivotButton="0" quotePrefix="0" xfId="0">
      <alignment horizontal="right"/>
    </xf>
    <xf numFmtId="164" fontId="6" fillId="6" borderId="0" pivotButton="0" quotePrefix="0" xfId="0"/>
    <xf numFmtId="164" fontId="9" fillId="6" borderId="0" pivotButton="0" quotePrefix="0" xfId="0"/>
    <xf numFmtId="164" fontId="56" fillId="6" borderId="0" pivotButton="0" quotePrefix="0" xfId="0"/>
    <xf numFmtId="17" fontId="31" fillId="6" borderId="0" applyAlignment="1" pivotButton="0" quotePrefix="0" xfId="36">
      <alignment horizontal="center"/>
    </xf>
    <xf numFmtId="17" fontId="32" fillId="6" borderId="0" applyAlignment="1" pivotButton="0" quotePrefix="0" xfId="36">
      <alignment horizontal="center"/>
    </xf>
    <xf numFmtId="166" fontId="24" fillId="6" borderId="0" applyAlignment="1" pivotButton="0" quotePrefix="0" xfId="36">
      <alignment horizontal="center"/>
    </xf>
    <xf numFmtId="176" fontId="23" fillId="6" borderId="0" applyAlignment="1" pivotButton="0" quotePrefix="0" xfId="36">
      <alignment horizontal="right"/>
    </xf>
    <xf numFmtId="176" fontId="23" fillId="6" borderId="0" pivotButton="0" quotePrefix="0" xfId="36"/>
    <xf numFmtId="166" fontId="25" fillId="6" borderId="13" applyAlignment="1" pivotButton="0" quotePrefix="0" xfId="36">
      <alignment horizontal="right"/>
    </xf>
    <xf numFmtId="166" fontId="25" fillId="6" borderId="13" pivotButton="0" quotePrefix="0" xfId="36"/>
    <xf numFmtId="166" fontId="23" fillId="6" borderId="0" pivotButton="0" quotePrefix="0" xfId="36"/>
    <xf numFmtId="166" fontId="25" fillId="6" borderId="2" pivotButton="0" quotePrefix="0" xfId="36"/>
    <xf numFmtId="166" fontId="23" fillId="6" borderId="7" pivotButton="0" quotePrefix="0" xfId="36"/>
    <xf numFmtId="168" fontId="23" fillId="6" borderId="0" pivotButton="0" quotePrefix="0" xfId="36"/>
    <xf numFmtId="164" fontId="25" fillId="6" borderId="0" applyAlignment="1" pivotButton="0" quotePrefix="0" xfId="36">
      <alignment horizontal="right"/>
    </xf>
    <xf numFmtId="164" fontId="25" fillId="6" borderId="2" applyAlignment="1" pivotButton="0" quotePrefix="0" xfId="36">
      <alignment horizontal="right"/>
    </xf>
    <xf numFmtId="164" fontId="25" fillId="6" borderId="2" pivotButton="0" quotePrefix="0" xfId="36"/>
    <xf numFmtId="164" fontId="23" fillId="6" borderId="0" applyAlignment="1" pivotButton="0" quotePrefix="0" xfId="36">
      <alignment horizontal="right"/>
    </xf>
    <xf numFmtId="171" fontId="23" fillId="6" borderId="0" applyAlignment="1" pivotButton="0" quotePrefix="0" xfId="36">
      <alignment horizontal="right"/>
    </xf>
    <xf numFmtId="167" fontId="23" fillId="6" borderId="0" applyAlignment="1" pivotButton="0" quotePrefix="0" xfId="36">
      <alignment horizontal="right"/>
    </xf>
    <xf numFmtId="172" fontId="23" fillId="6" borderId="0" applyAlignment="1" pivotButton="0" quotePrefix="0" xfId="36">
      <alignment horizontal="right"/>
    </xf>
    <xf numFmtId="167" fontId="25" fillId="6" borderId="0" applyAlignment="1" pivotButton="0" quotePrefix="0" xfId="36">
      <alignment horizontal="right"/>
    </xf>
    <xf numFmtId="0" fontId="55" fillId="4" borderId="0" applyAlignment="1" pivotButton="0" quotePrefix="0" xfId="36">
      <alignment horizontal="center"/>
    </xf>
    <xf numFmtId="0" fontId="55" fillId="3" borderId="0" applyAlignment="1" pivotButton="0" quotePrefix="0" xfId="36">
      <alignment horizontal="center"/>
    </xf>
    <xf numFmtId="0" fontId="55" fillId="3" borderId="21" applyAlignment="1" pivotButton="0" quotePrefix="0" xfId="36">
      <alignment horizontal="center"/>
    </xf>
    <xf numFmtId="166" fontId="52" fillId="4" borderId="0" applyAlignment="1" pivotButton="0" quotePrefix="0" xfId="36">
      <alignment horizontal="right"/>
    </xf>
    <xf numFmtId="166" fontId="52" fillId="4" borderId="2" applyAlignment="1" pivotButton="0" quotePrefix="0" xfId="36">
      <alignment horizontal="right"/>
    </xf>
    <xf numFmtId="166" fontId="54" fillId="4" borderId="0" pivotButton="0" quotePrefix="0" xfId="36"/>
    <xf numFmtId="166" fontId="54" fillId="3" borderId="0" pivotButton="0" quotePrefix="0" xfId="36"/>
    <xf numFmtId="166" fontId="54" fillId="3" borderId="21" pivotButton="0" quotePrefix="0" xfId="36"/>
    <xf numFmtId="166" fontId="52" fillId="4" borderId="0" pivotButton="0" quotePrefix="0" xfId="36"/>
    <xf numFmtId="190" fontId="52" fillId="4" borderId="0" pivotButton="0" quotePrefix="0" xfId="36"/>
    <xf numFmtId="190" fontId="52" fillId="4" borderId="0" applyAlignment="1" pivotButton="0" quotePrefix="0" xfId="36">
      <alignment horizontal="right"/>
    </xf>
    <xf numFmtId="166" fontId="53" fillId="4" borderId="0" applyAlignment="1" pivotButton="0" quotePrefix="0" xfId="36">
      <alignment horizontal="right"/>
    </xf>
    <xf numFmtId="166" fontId="53" fillId="4" borderId="0" pivotButton="0" quotePrefix="0" xfId="36"/>
    <xf numFmtId="166" fontId="52" fillId="4" borderId="0" applyAlignment="1" pivotButton="0" quotePrefix="0" xfId="36">
      <alignment horizontal="center"/>
    </xf>
    <xf numFmtId="190" fontId="52" fillId="4" borderId="0" applyAlignment="1" pivotButton="0" quotePrefix="0" xfId="36">
      <alignment horizontal="center"/>
    </xf>
    <xf numFmtId="173" fontId="52" fillId="4" borderId="0" pivotButton="0" quotePrefix="0" xfId="36"/>
    <xf numFmtId="166" fontId="52" fillId="4" borderId="2" pivotButton="0" quotePrefix="0" xfId="36"/>
    <xf numFmtId="167" fontId="52" fillId="4" borderId="0" pivotButton="0" quotePrefix="0" xfId="36"/>
    <xf numFmtId="164" fontId="52" fillId="4" borderId="0" pivotButton="0" quotePrefix="0" xfId="36"/>
    <xf numFmtId="0" fontId="6" fillId="6" borderId="0" applyAlignment="1" pivotButton="0" quotePrefix="0" xfId="36">
      <alignment horizontal="center"/>
    </xf>
    <xf numFmtId="0" fontId="23" fillId="6" borderId="0" applyAlignment="1" pivotButton="0" quotePrefix="0" xfId="36">
      <alignment horizontal="center"/>
    </xf>
    <xf numFmtId="17" fontId="0" fillId="6" borderId="0" applyAlignment="1" pivotButton="0" quotePrefix="0" xfId="36">
      <alignment horizontal="center"/>
    </xf>
    <xf numFmtId="17" fontId="25" fillId="6" borderId="0" applyAlignment="1" pivotButton="0" quotePrefix="0" xfId="36">
      <alignment horizontal="center"/>
    </xf>
    <xf numFmtId="0" fontId="55" fillId="6" borderId="0" applyAlignment="1" pivotButton="0" quotePrefix="0" xfId="36">
      <alignment horizontal="center"/>
    </xf>
    <xf numFmtId="166" fontId="52" fillId="6" borderId="0" applyAlignment="1" pivotButton="0" quotePrefix="0" xfId="36">
      <alignment horizontal="right"/>
    </xf>
    <xf numFmtId="166" fontId="52" fillId="6" borderId="2" applyAlignment="1" pivotButton="0" quotePrefix="0" xfId="36">
      <alignment horizontal="right"/>
    </xf>
    <xf numFmtId="166" fontId="23" fillId="6" borderId="2" pivotButton="0" quotePrefix="0" xfId="36"/>
    <xf numFmtId="166" fontId="23" fillId="6" borderId="0" applyAlignment="1" pivotButton="0" quotePrefix="0" xfId="36">
      <alignment horizontal="right"/>
    </xf>
    <xf numFmtId="166" fontId="25" fillId="6" borderId="0" applyAlignment="1" pivotButton="0" quotePrefix="0" xfId="36">
      <alignment horizontal="right"/>
    </xf>
    <xf numFmtId="166" fontId="25" fillId="6" borderId="2" applyAlignment="1" pivotButton="0" quotePrefix="0" xfId="36">
      <alignment horizontal="right"/>
    </xf>
    <xf numFmtId="164" fontId="23" fillId="6" borderId="0" pivotButton="0" quotePrefix="0" xfId="36"/>
    <xf numFmtId="166" fontId="54" fillId="6" borderId="0" pivotButton="0" quotePrefix="0" xfId="36"/>
    <xf numFmtId="166" fontId="52" fillId="6" borderId="0" pivotButton="0" quotePrefix="0" xfId="36"/>
    <xf numFmtId="190" fontId="25" fillId="6" borderId="0" pivotButton="0" quotePrefix="0" xfId="36"/>
    <xf numFmtId="190" fontId="52" fillId="6" borderId="0" pivotButton="0" quotePrefix="0" xfId="36"/>
    <xf numFmtId="190" fontId="23" fillId="6" borderId="0" pivotButton="0" quotePrefix="0" xfId="36"/>
    <xf numFmtId="190" fontId="52" fillId="6" borderId="0" applyAlignment="1" pivotButton="0" quotePrefix="0" xfId="36">
      <alignment horizontal="right"/>
    </xf>
    <xf numFmtId="166" fontId="53" fillId="6" borderId="0" applyAlignment="1" pivotButton="0" quotePrefix="0" xfId="36">
      <alignment horizontal="right"/>
    </xf>
    <xf numFmtId="166" fontId="53" fillId="6" borderId="0" pivotButton="0" quotePrefix="0" xfId="36"/>
    <xf numFmtId="166" fontId="52" fillId="6" borderId="0" applyAlignment="1" pivotButton="0" quotePrefix="0" xfId="36">
      <alignment horizontal="center"/>
    </xf>
    <xf numFmtId="190" fontId="52" fillId="6" borderId="0" applyAlignment="1" pivotButton="0" quotePrefix="0" xfId="36">
      <alignment horizontal="center"/>
    </xf>
    <xf numFmtId="166" fontId="25" fillId="6" borderId="0" applyAlignment="1" pivotButton="0" quotePrefix="0" xfId="36">
      <alignment horizontal="center"/>
    </xf>
    <xf numFmtId="190" fontId="25" fillId="6" borderId="0" applyAlignment="1" pivotButton="0" quotePrefix="0" xfId="36">
      <alignment horizontal="right"/>
    </xf>
    <xf numFmtId="173" fontId="25" fillId="6" borderId="0" pivotButton="0" quotePrefix="0" xfId="36"/>
    <xf numFmtId="173" fontId="52" fillId="6" borderId="0" pivotButton="0" quotePrefix="0" xfId="36"/>
    <xf numFmtId="173" fontId="23" fillId="6" borderId="0" pivotButton="0" quotePrefix="0" xfId="36"/>
    <xf numFmtId="166" fontId="52" fillId="6" borderId="2" pivotButton="0" quotePrefix="0" xfId="36"/>
    <xf numFmtId="167" fontId="25" fillId="6" borderId="0" pivotButton="0" quotePrefix="0" xfId="36"/>
    <xf numFmtId="167" fontId="52" fillId="6" borderId="0" pivotButton="0" quotePrefix="0" xfId="36"/>
    <xf numFmtId="167" fontId="23" fillId="6" borderId="0" pivotButton="0" quotePrefix="0" xfId="36"/>
    <xf numFmtId="164" fontId="52" fillId="6" borderId="0" pivotButton="0" quotePrefix="0" xfId="36"/>
    <xf numFmtId="186" fontId="15" fillId="3" borderId="0" pivotButton="0" quotePrefix="0" xfId="32"/>
    <xf numFmtId="168" fontId="48" fillId="8" borderId="0" applyAlignment="1" pivotButton="0" quotePrefix="0" xfId="16">
      <alignment horizontal="center" vertical="center"/>
    </xf>
    <xf numFmtId="0" fontId="44" fillId="3" borderId="29" applyAlignment="1" pivotButton="0" quotePrefix="0" xfId="32">
      <alignment vertical="top" wrapText="1"/>
    </xf>
    <xf numFmtId="0" fontId="0" fillId="0" borderId="36" pivotButton="0" quotePrefix="0" xfId="0"/>
    <xf numFmtId="0" fontId="0" fillId="0" borderId="38" pivotButton="0" quotePrefix="0" xfId="0"/>
    <xf numFmtId="0" fontId="0" fillId="0" borderId="37" pivotButton="0" quotePrefix="0" xfId="0"/>
    <xf numFmtId="0" fontId="0" fillId="0" borderId="39" pivotButton="0" quotePrefix="0" xfId="0"/>
    <xf numFmtId="0" fontId="0" fillId="0" borderId="40" pivotButton="0" quotePrefix="0" xfId="0"/>
    <xf numFmtId="0" fontId="0" fillId="0" borderId="41" pivotButton="0" quotePrefix="0" xfId="0"/>
    <xf numFmtId="0" fontId="0" fillId="0" borderId="42" pivotButton="0" quotePrefix="0" xfId="0"/>
    <xf numFmtId="0" fontId="59" fillId="0" borderId="0" pivotButton="0" quotePrefix="0" xfId="0"/>
    <xf numFmtId="0" fontId="60" fillId="0" borderId="0" pivotButton="0" quotePrefix="0" xfId="0"/>
    <xf numFmtId="0" fontId="61" fillId="0" borderId="0" applyAlignment="1" pivotButton="0" quotePrefix="0" xfId="0">
      <alignment horizontal="center"/>
    </xf>
    <xf numFmtId="0" fontId="62" fillId="0" borderId="0" pivotButton="0" quotePrefix="0" xfId="0"/>
    <xf numFmtId="0" fontId="64" fillId="0" borderId="0" pivotButton="0" quotePrefix="0" xfId="0"/>
    <xf numFmtId="10" fontId="65" fillId="0" borderId="0" pivotButton="0" quotePrefix="0" xfId="0"/>
    <xf numFmtId="0" fontId="66" fillId="0" borderId="0" pivotButton="0" quotePrefix="0" xfId="0"/>
    <xf numFmtId="0" fontId="63" fillId="0" borderId="0" pivotButton="0" quotePrefix="0" xfId="0"/>
    <xf numFmtId="0" fontId="64" fillId="0" borderId="43" applyAlignment="1" pivotButton="0" quotePrefix="0" xfId="0">
      <alignment horizontal="center"/>
    </xf>
    <xf numFmtId="2" fontId="65" fillId="0" borderId="0" pivotButton="0" quotePrefix="0" xfId="0"/>
    <xf numFmtId="0" fontId="68" fillId="0" borderId="0" pivotButton="0" quotePrefix="0" xfId="0"/>
    <xf numFmtId="205" fontId="65" fillId="0" borderId="0" pivotButton="0" quotePrefix="0" xfId="0"/>
    <xf numFmtId="0" fontId="67" fillId="0" borderId="0" pivotButton="0" quotePrefix="0" xfId="0"/>
    <xf numFmtId="173" fontId="69" fillId="0" borderId="0" pivotButton="0" quotePrefix="0" xfId="0"/>
    <xf numFmtId="2" fontId="67" fillId="0" borderId="0" pivotButton="0" quotePrefix="0" xfId="0"/>
    <xf numFmtId="205" fontId="69" fillId="0" borderId="0" pivotButton="0" quotePrefix="0" xfId="0"/>
    <xf numFmtId="10" fontId="67" fillId="0" borderId="0" pivotButton="0" quotePrefix="0" xfId="0"/>
    <xf numFmtId="9" fontId="65" fillId="0" borderId="0" pivotButton="0" quotePrefix="0" xfId="0"/>
    <xf numFmtId="205" fontId="67" fillId="0" borderId="0" pivotButton="0" quotePrefix="0" xfId="0"/>
    <xf numFmtId="0" fontId="70" fillId="0" borderId="0" pivotButton="0" quotePrefix="0" xfId="0"/>
    <xf numFmtId="173" fontId="70" fillId="0" borderId="43" pivotButton="0" quotePrefix="0" xfId="0"/>
    <xf numFmtId="206" fontId="69" fillId="0" borderId="0" pivotButton="0" quotePrefix="0" xfId="0"/>
    <xf numFmtId="3" fontId="69" fillId="0" borderId="0" pivotButton="0" quotePrefix="0" xfId="0"/>
    <xf numFmtId="205" fontId="70" fillId="0" borderId="0" pivotButton="0" quotePrefix="0" xfId="0"/>
    <xf numFmtId="173" fontId="67" fillId="0" borderId="0" pivotButton="0" quotePrefix="0" xfId="0"/>
    <xf numFmtId="0" fontId="64" fillId="0" borderId="44" pivotButton="0" quotePrefix="0" xfId="0"/>
    <xf numFmtId="173" fontId="64" fillId="0" borderId="44" pivotButton="0" quotePrefix="0" xfId="0"/>
    <xf numFmtId="174" fontId="67" fillId="0" borderId="0" pivotButton="0" quotePrefix="0" xfId="0"/>
    <xf numFmtId="175" fontId="67" fillId="0" borderId="0" pivotButton="0" quotePrefix="0" xfId="0"/>
    <xf numFmtId="0" fontId="71" fillId="0" borderId="0" pivotButton="0" quotePrefix="0" xfId="0"/>
    <xf numFmtId="175" fontId="67" fillId="0" borderId="44" pivotButton="0" quotePrefix="0" xfId="0"/>
    <xf numFmtId="175" fontId="69" fillId="0" borderId="0" pivotButton="0" quotePrefix="0" xfId="0"/>
    <xf numFmtId="207" fontId="67" fillId="0" borderId="44" pivotButton="0" quotePrefix="0" xfId="0"/>
    <xf numFmtId="207" fontId="69" fillId="0" borderId="0" pivotButton="0" quotePrefix="0" xfId="0"/>
    <xf numFmtId="0" fontId="72" fillId="0" borderId="0" pivotButton="0" quotePrefix="0" xfId="0"/>
    <xf numFmtId="205" fontId="72" fillId="0" borderId="0" pivotButton="0" quotePrefix="0" xfId="0"/>
    <xf numFmtId="166" fontId="0" fillId="0" borderId="0" pivotButton="0" quotePrefix="0" xfId="0"/>
    <xf numFmtId="170" fontId="20" fillId="3" borderId="0" applyAlignment="1" pivotButton="0" quotePrefix="0" xfId="26">
      <alignment horizontal="left"/>
    </xf>
    <xf numFmtId="166" fontId="25" fillId="3" borderId="0" pivotButton="0" quotePrefix="0" xfId="0"/>
    <xf numFmtId="170" fontId="43" fillId="3" borderId="0" applyAlignment="1" pivotButton="0" quotePrefix="0" xfId="26">
      <alignment horizontal="left"/>
    </xf>
    <xf numFmtId="166" fontId="25" fillId="3" borderId="21" pivotButton="0" quotePrefix="0" xfId="0"/>
    <xf numFmtId="166" fontId="0" fillId="3" borderId="0" pivotButton="0" quotePrefix="0" xfId="0"/>
    <xf numFmtId="183" fontId="2" fillId="3" borderId="0" applyAlignment="1" pivotButton="0" quotePrefix="0" xfId="0">
      <alignment horizontal="left"/>
    </xf>
    <xf numFmtId="170" fontId="21" fillId="3" borderId="0" applyAlignment="1" pivotButton="0" quotePrefix="0" xfId="0">
      <alignment horizontal="center"/>
    </xf>
    <xf numFmtId="203" fontId="0" fillId="3" borderId="0" pivotButton="0" quotePrefix="0" xfId="0"/>
    <xf numFmtId="166" fontId="6" fillId="0" borderId="0" applyAlignment="1" pivotButton="0" quotePrefix="0" xfId="0">
      <alignment horizontal="center"/>
    </xf>
    <xf numFmtId="168" fontId="5" fillId="3" borderId="0" applyAlignment="1" pivotButton="0" quotePrefix="0" xfId="16">
      <alignment horizontal="center"/>
    </xf>
    <xf numFmtId="166" fontId="6" fillId="3" borderId="0" applyAlignment="1" pivotButton="0" quotePrefix="0" xfId="0">
      <alignment horizontal="center"/>
    </xf>
    <xf numFmtId="169" fontId="3" fillId="3" borderId="0" pivotButton="0" quotePrefix="0" xfId="0"/>
    <xf numFmtId="166" fontId="6" fillId="0" borderId="0" pivotButton="0" quotePrefix="0" xfId="0"/>
    <xf numFmtId="166" fontId="22" fillId="5" borderId="0" pivotButton="0" quotePrefix="0" xfId="0"/>
    <xf numFmtId="166" fontId="22" fillId="5" borderId="21" pivotButton="0" quotePrefix="0" xfId="0"/>
    <xf numFmtId="166" fontId="6" fillId="3" borderId="0" pivotButton="0" quotePrefix="0" xfId="0"/>
    <xf numFmtId="166" fontId="0" fillId="3" borderId="0" applyAlignment="1" pivotButton="0" quotePrefix="0" xfId="0">
      <alignment horizontal="left" indent="2"/>
    </xf>
    <xf numFmtId="166" fontId="25" fillId="3" borderId="0" applyAlignment="1" pivotButton="0" quotePrefix="0" xfId="0">
      <alignment horizontal="left" indent="4"/>
    </xf>
    <xf numFmtId="166" fontId="0" fillId="6" borderId="0" pivotButton="0" quotePrefix="0" xfId="0"/>
    <xf numFmtId="166" fontId="25" fillId="6" borderId="0" pivotButton="0" quotePrefix="0" xfId="0"/>
    <xf numFmtId="166" fontId="19" fillId="3" borderId="0" applyAlignment="1" pivotButton="0" quotePrefix="0" xfId="0">
      <alignment horizontal="left" indent="3"/>
    </xf>
    <xf numFmtId="166" fontId="26" fillId="3" borderId="0" applyAlignment="1" pivotButton="0" quotePrefix="0" xfId="0">
      <alignment horizontal="left" indent="4"/>
    </xf>
    <xf numFmtId="164" fontId="26" fillId="6" borderId="0" pivotButton="0" quotePrefix="0" xfId="0"/>
    <xf numFmtId="164" fontId="19" fillId="6" borderId="0" pivotButton="0" quotePrefix="0" xfId="0"/>
    <xf numFmtId="164" fontId="26" fillId="3" borderId="0" pivotButton="0" quotePrefix="0" xfId="0"/>
    <xf numFmtId="164" fontId="19" fillId="3" borderId="0" pivotButton="0" quotePrefix="0" xfId="0"/>
    <xf numFmtId="164" fontId="26" fillId="3" borderId="21" pivotButton="0" quotePrefix="0" xfId="0"/>
    <xf numFmtId="166" fontId="19" fillId="3" borderId="2" applyAlignment="1" pivotButton="0" quotePrefix="0" xfId="0">
      <alignment horizontal="left" indent="3"/>
    </xf>
    <xf numFmtId="166" fontId="26" fillId="3" borderId="2" applyAlignment="1" pivotButton="0" quotePrefix="0" xfId="0">
      <alignment horizontal="left" indent="4"/>
    </xf>
    <xf numFmtId="164" fontId="26" fillId="6" borderId="2" pivotButton="0" quotePrefix="0" xfId="0"/>
    <xf numFmtId="164" fontId="19" fillId="6" borderId="2" pivotButton="0" quotePrefix="0" xfId="0"/>
    <xf numFmtId="164" fontId="26" fillId="3" borderId="2" pivotButton="0" quotePrefix="0" xfId="0"/>
    <xf numFmtId="164" fontId="19" fillId="3" borderId="2" pivotButton="0" quotePrefix="0" xfId="0"/>
    <xf numFmtId="164" fontId="26" fillId="3" borderId="26" pivotButton="0" quotePrefix="0" xfId="0"/>
    <xf numFmtId="166" fontId="0" fillId="3" borderId="0" applyAlignment="1" pivotButton="0" quotePrefix="0" xfId="0">
      <alignment horizontal="left" indent="1"/>
    </xf>
    <xf numFmtId="166" fontId="0" fillId="3" borderId="21" pivotButton="0" quotePrefix="0" xfId="0"/>
    <xf numFmtId="166" fontId="19" fillId="3" borderId="0" applyAlignment="1" pivotButton="0" quotePrefix="0" xfId="0">
      <alignment horizontal="left" indent="2"/>
    </xf>
    <xf numFmtId="164" fontId="19" fillId="3" borderId="21" pivotButton="0" quotePrefix="0" xfId="0"/>
    <xf numFmtId="164" fontId="57" fillId="3" borderId="0" pivotButton="0" quotePrefix="0" xfId="0"/>
    <xf numFmtId="164" fontId="57" fillId="6" borderId="0" pivotButton="0" quotePrefix="0" xfId="0"/>
    <xf numFmtId="166" fontId="6" fillId="3" borderId="7" applyAlignment="1" pivotButton="0" quotePrefix="0" xfId="0">
      <alignment horizontal="left"/>
    </xf>
    <xf numFmtId="166" fontId="23" fillId="3" borderId="7" applyAlignment="1" pivotButton="0" quotePrefix="0" xfId="0">
      <alignment horizontal="left" indent="4"/>
    </xf>
    <xf numFmtId="166" fontId="6" fillId="6" borderId="7" pivotButton="0" quotePrefix="0" xfId="0"/>
    <xf numFmtId="166" fontId="6" fillId="3" borderId="7" pivotButton="0" quotePrefix="0" xfId="0"/>
    <xf numFmtId="166" fontId="23" fillId="3" borderId="7" pivotButton="0" quotePrefix="0" xfId="0"/>
    <xf numFmtId="166" fontId="23" fillId="6" borderId="7" pivotButton="0" quotePrefix="0" xfId="0"/>
    <xf numFmtId="166" fontId="6" fillId="3" borderId="28" pivotButton="0" quotePrefix="0" xfId="0"/>
    <xf numFmtId="166" fontId="19" fillId="0" borderId="0" pivotButton="0" quotePrefix="0" xfId="0"/>
    <xf numFmtId="166" fontId="19" fillId="3" borderId="0" applyAlignment="1" pivotButton="0" quotePrefix="0" xfId="0">
      <alignment horizontal="left" indent="1"/>
    </xf>
    <xf numFmtId="166" fontId="26" fillId="6" borderId="0" pivotButton="0" quotePrefix="0" xfId="0"/>
    <xf numFmtId="166" fontId="26" fillId="3" borderId="0" pivotButton="0" quotePrefix="0" xfId="0"/>
    <xf numFmtId="166" fontId="26" fillId="3" borderId="21" pivotButton="0" quotePrefix="0" xfId="0"/>
    <xf numFmtId="166" fontId="26" fillId="3" borderId="0" applyAlignment="1" pivotButton="0" quotePrefix="0" xfId="0">
      <alignment horizontal="right"/>
    </xf>
    <xf numFmtId="166" fontId="26" fillId="6" borderId="0" applyAlignment="1" pivotButton="0" quotePrefix="0" xfId="0">
      <alignment horizontal="right"/>
    </xf>
    <xf numFmtId="166" fontId="19" fillId="3" borderId="0" pivotButton="0" quotePrefix="0" xfId="0"/>
    <xf numFmtId="166" fontId="26" fillId="3" borderId="0" applyAlignment="1" pivotButton="0" quotePrefix="0" xfId="0">
      <alignment horizontal="left" indent="1"/>
    </xf>
    <xf numFmtId="180" fontId="0" fillId="0" borderId="0" pivotButton="0" quotePrefix="0" xfId="0"/>
    <xf numFmtId="180" fontId="0" fillId="3" borderId="0" applyAlignment="1" pivotButton="0" quotePrefix="0" xfId="0">
      <alignment horizontal="left" indent="2"/>
    </xf>
    <xf numFmtId="180" fontId="21" fillId="3" borderId="0" pivotButton="0" quotePrefix="0" xfId="16"/>
    <xf numFmtId="180" fontId="52" fillId="6" borderId="0" applyAlignment="1" pivotButton="0" quotePrefix="0" xfId="0">
      <alignment horizontal="right"/>
    </xf>
    <xf numFmtId="180" fontId="52" fillId="3" borderId="0" applyAlignment="1" pivotButton="0" quotePrefix="0" xfId="0">
      <alignment horizontal="right"/>
    </xf>
    <xf numFmtId="180" fontId="25" fillId="3" borderId="0" applyAlignment="1" pivotButton="0" quotePrefix="0" xfId="0">
      <alignment horizontal="right"/>
    </xf>
    <xf numFmtId="180" fontId="25" fillId="6" borderId="0" applyAlignment="1" pivotButton="0" quotePrefix="0" xfId="0">
      <alignment horizontal="right"/>
    </xf>
    <xf numFmtId="180" fontId="25" fillId="3" borderId="21" applyAlignment="1" pivotButton="0" quotePrefix="0" xfId="0">
      <alignment horizontal="right"/>
    </xf>
    <xf numFmtId="180" fontId="0" fillId="3" borderId="0" pivotButton="0" quotePrefix="0" xfId="0"/>
    <xf numFmtId="180" fontId="0" fillId="3" borderId="2" applyAlignment="1" pivotButton="0" quotePrefix="0" xfId="0">
      <alignment horizontal="left" indent="2"/>
    </xf>
    <xf numFmtId="180" fontId="21" fillId="3" borderId="2" pivotButton="0" quotePrefix="0" xfId="16"/>
    <xf numFmtId="180" fontId="52" fillId="6" borderId="2" applyAlignment="1" pivotButton="0" quotePrefix="0" xfId="0">
      <alignment horizontal="right"/>
    </xf>
    <xf numFmtId="180" fontId="52" fillId="3" borderId="2" applyAlignment="1" pivotButton="0" quotePrefix="0" xfId="0">
      <alignment horizontal="right"/>
    </xf>
    <xf numFmtId="180" fontId="25" fillId="3" borderId="2" applyAlignment="1" pivotButton="0" quotePrefix="0" xfId="0">
      <alignment horizontal="right"/>
    </xf>
    <xf numFmtId="180" fontId="25" fillId="6" borderId="2" applyAlignment="1" pivotButton="0" quotePrefix="0" xfId="0">
      <alignment horizontal="right"/>
    </xf>
    <xf numFmtId="180" fontId="25" fillId="3" borderId="26" applyAlignment="1" pivotButton="0" quotePrefix="0" xfId="0">
      <alignment horizontal="right"/>
    </xf>
    <xf numFmtId="180" fontId="0" fillId="3" borderId="0" applyAlignment="1" pivotButton="0" quotePrefix="0" xfId="0">
      <alignment horizontal="left" indent="1"/>
    </xf>
    <xf numFmtId="180" fontId="0" fillId="6" borderId="0" applyAlignment="1" pivotButton="0" quotePrefix="0" xfId="0">
      <alignment horizontal="right"/>
    </xf>
    <xf numFmtId="180" fontId="0" fillId="3" borderId="0" applyAlignment="1" pivotButton="0" quotePrefix="0" xfId="0">
      <alignment horizontal="right"/>
    </xf>
    <xf numFmtId="180" fontId="52" fillId="3" borderId="21" applyAlignment="1" pivotButton="0" quotePrefix="0" xfId="0">
      <alignment horizontal="right"/>
    </xf>
    <xf numFmtId="180" fontId="0" fillId="3" borderId="2" applyAlignment="1" pivotButton="0" quotePrefix="0" xfId="0">
      <alignment horizontal="left" indent="1"/>
    </xf>
    <xf numFmtId="180" fontId="52" fillId="3" borderId="26" applyAlignment="1" pivotButton="0" quotePrefix="0" xfId="0">
      <alignment horizontal="right"/>
    </xf>
    <xf numFmtId="180" fontId="6" fillId="0" borderId="0" pivotButton="0" quotePrefix="0" xfId="0"/>
    <xf numFmtId="180" fontId="6" fillId="3" borderId="0" applyAlignment="1" pivotButton="0" quotePrefix="0" xfId="0">
      <alignment horizontal="left"/>
    </xf>
    <xf numFmtId="180" fontId="24" fillId="3" borderId="0" pivotButton="0" quotePrefix="0" xfId="16"/>
    <xf numFmtId="180" fontId="6" fillId="6" borderId="0" applyAlignment="1" pivotButton="0" quotePrefix="0" xfId="0">
      <alignment horizontal="right"/>
    </xf>
    <xf numFmtId="180" fontId="6" fillId="3" borderId="0" applyAlignment="1" pivotButton="0" quotePrefix="0" xfId="0">
      <alignment horizontal="right"/>
    </xf>
    <xf numFmtId="180" fontId="6" fillId="3" borderId="21" applyAlignment="1" pivotButton="0" quotePrefix="0" xfId="0">
      <alignment horizontal="right"/>
    </xf>
    <xf numFmtId="180" fontId="23" fillId="3" borderId="0" applyAlignment="1" pivotButton="0" quotePrefix="0" xfId="0">
      <alignment horizontal="right"/>
    </xf>
    <xf numFmtId="180" fontId="23" fillId="6" borderId="0" applyAlignment="1" pivotButton="0" quotePrefix="0" xfId="0">
      <alignment horizontal="right"/>
    </xf>
    <xf numFmtId="180" fontId="6" fillId="3" borderId="0" pivotButton="0" quotePrefix="0" xfId="0"/>
    <xf numFmtId="166" fontId="23" fillId="3" borderId="0" applyAlignment="1" pivotButton="0" quotePrefix="0" xfId="0">
      <alignment horizontal="left"/>
    </xf>
    <xf numFmtId="166" fontId="23" fillId="3" borderId="0" applyAlignment="1" pivotButton="0" quotePrefix="0" xfId="0">
      <alignment horizontal="left" indent="4"/>
    </xf>
    <xf numFmtId="166" fontId="23" fillId="6" borderId="0" pivotButton="0" quotePrefix="0" xfId="0"/>
    <xf numFmtId="166" fontId="23" fillId="3" borderId="0" pivotButton="0" quotePrefix="0" xfId="0"/>
    <xf numFmtId="166" fontId="23" fillId="3" borderId="21" pivotButton="0" quotePrefix="0" xfId="0"/>
    <xf numFmtId="166" fontId="6" fillId="3" borderId="0" applyAlignment="1" pivotButton="0" quotePrefix="0" xfId="0">
      <alignment horizontal="left"/>
    </xf>
    <xf numFmtId="166" fontId="0" fillId="3" borderId="2" applyAlignment="1" pivotButton="0" quotePrefix="0" xfId="0">
      <alignment horizontal="left" indent="1"/>
    </xf>
    <xf numFmtId="166" fontId="25" fillId="3" borderId="2" applyAlignment="1" pivotButton="0" quotePrefix="0" xfId="0">
      <alignment horizontal="left" indent="4"/>
    </xf>
    <xf numFmtId="166" fontId="25" fillId="6" borderId="2" pivotButton="0" quotePrefix="0" xfId="0"/>
    <xf numFmtId="166" fontId="25" fillId="3" borderId="2" pivotButton="0" quotePrefix="0" xfId="0"/>
    <xf numFmtId="166" fontId="25" fillId="3" borderId="26" pivotButton="0" quotePrefix="0" xfId="0"/>
    <xf numFmtId="166" fontId="6" fillId="6" borderId="0" pivotButton="0" quotePrefix="0" xfId="0"/>
    <xf numFmtId="166" fontId="6" fillId="3" borderId="21" pivotButton="0" quotePrefix="0" xfId="0"/>
    <xf numFmtId="164" fontId="0" fillId="0" borderId="0" pivotButton="0" quotePrefix="0" xfId="0"/>
    <xf numFmtId="164" fontId="0" fillId="3" borderId="0" applyAlignment="1" pivotButton="0" quotePrefix="0" xfId="0">
      <alignment horizontal="left"/>
    </xf>
    <xf numFmtId="164" fontId="25" fillId="3" borderId="0" applyAlignment="1" pivotButton="0" quotePrefix="0" xfId="0">
      <alignment horizontal="left" indent="4"/>
    </xf>
    <xf numFmtId="164" fontId="25" fillId="6" borderId="0" pivotButton="0" quotePrefix="0" xfId="0"/>
    <xf numFmtId="164" fontId="0" fillId="6" borderId="0" pivotButton="0" quotePrefix="0" xfId="0"/>
    <xf numFmtId="164" fontId="0" fillId="3" borderId="0" pivotButton="0" quotePrefix="0" xfId="0"/>
    <xf numFmtId="164" fontId="25" fillId="3" borderId="0" pivotButton="0" quotePrefix="0" xfId="0"/>
    <xf numFmtId="164" fontId="0" fillId="3" borderId="21" pivotButton="0" quotePrefix="0" xfId="0"/>
    <xf numFmtId="164" fontId="0" fillId="3" borderId="0" applyAlignment="1" pivotButton="0" quotePrefix="0" xfId="0">
      <alignment horizontal="left" indent="1"/>
    </xf>
    <xf numFmtId="173" fontId="25" fillId="6" borderId="0" pivotButton="0" quotePrefix="0" xfId="0"/>
    <xf numFmtId="173" fontId="0" fillId="6" borderId="0" pivotButton="0" quotePrefix="0" xfId="0"/>
    <xf numFmtId="173" fontId="25" fillId="3" borderId="0" pivotButton="0" quotePrefix="0" xfId="0"/>
    <xf numFmtId="173" fontId="0" fillId="3" borderId="0" pivotButton="0" quotePrefix="0" xfId="0"/>
    <xf numFmtId="173" fontId="0" fillId="3" borderId="21" pivotButton="0" quotePrefix="0" xfId="0"/>
    <xf numFmtId="166" fontId="25" fillId="3" borderId="0" applyAlignment="1" pivotButton="0" quotePrefix="0" xfId="0">
      <alignment horizontal="left" indent="1"/>
    </xf>
    <xf numFmtId="164" fontId="19" fillId="0" borderId="0" pivotButton="0" quotePrefix="0" xfId="0"/>
    <xf numFmtId="164" fontId="26" fillId="3" borderId="0" applyAlignment="1" pivotButton="0" quotePrefix="0" xfId="0">
      <alignment horizontal="left" indent="2"/>
    </xf>
    <xf numFmtId="164" fontId="26" fillId="3" borderId="0" applyAlignment="1" pivotButton="0" quotePrefix="0" xfId="0">
      <alignment horizontal="left" indent="4"/>
    </xf>
    <xf numFmtId="166" fontId="25" fillId="3" borderId="2" applyAlignment="1" pivotButton="0" quotePrefix="0" xfId="0">
      <alignment horizontal="left" indent="1"/>
    </xf>
    <xf numFmtId="166" fontId="52" fillId="3" borderId="2" pivotButton="0" quotePrefix="0" xfId="0"/>
    <xf numFmtId="166" fontId="52" fillId="6" borderId="2" pivotButton="0" quotePrefix="0" xfId="0"/>
    <xf numFmtId="198" fontId="19" fillId="0" borderId="0" pivotButton="0" quotePrefix="0" xfId="0"/>
    <xf numFmtId="164" fontId="19" fillId="3" borderId="0" applyAlignment="1" pivotButton="0" quotePrefix="0" xfId="0">
      <alignment horizontal="left" indent="1"/>
    </xf>
    <xf numFmtId="164" fontId="26" fillId="3" borderId="0" applyAlignment="1" pivotButton="0" quotePrefix="0" xfId="0">
      <alignment horizontal="right"/>
    </xf>
    <xf numFmtId="164" fontId="26" fillId="6" borderId="0" applyAlignment="1" pivotButton="0" quotePrefix="0" xfId="0">
      <alignment horizontal="right"/>
    </xf>
    <xf numFmtId="198" fontId="19" fillId="3" borderId="0" pivotButton="0" quotePrefix="0" xfId="0"/>
    <xf numFmtId="164" fontId="25" fillId="3" borderId="0" applyAlignment="1" pivotButton="0" quotePrefix="0" xfId="0">
      <alignment horizontal="left" indent="1"/>
    </xf>
    <xf numFmtId="173" fontId="25" fillId="3" borderId="21" pivotButton="0" quotePrefix="0" xfId="0"/>
    <xf numFmtId="173" fontId="52" fillId="3" borderId="0" pivotButton="0" quotePrefix="0" xfId="0"/>
    <xf numFmtId="173" fontId="52" fillId="6" borderId="0" pivotButton="0" quotePrefix="0" xfId="0"/>
    <xf numFmtId="166" fontId="0" fillId="3" borderId="0" applyAlignment="1" pivotButton="0" quotePrefix="0" xfId="0">
      <alignment horizontal="left"/>
    </xf>
    <xf numFmtId="164" fontId="25" fillId="3" borderId="21" pivotButton="0" quotePrefix="0" xfId="0"/>
    <xf numFmtId="164" fontId="25" fillId="3" borderId="0" applyAlignment="1" pivotButton="0" quotePrefix="0" xfId="0">
      <alignment horizontal="left"/>
    </xf>
    <xf numFmtId="166" fontId="52" fillId="3" borderId="0" pivotButton="0" quotePrefix="0" xfId="0"/>
    <xf numFmtId="166" fontId="52" fillId="6" borderId="0" pivotButton="0" quotePrefix="0" xfId="0"/>
    <xf numFmtId="164" fontId="25" fillId="3" borderId="2" applyAlignment="1" pivotButton="0" quotePrefix="0" xfId="0">
      <alignment horizontal="left" indent="1"/>
    </xf>
    <xf numFmtId="166" fontId="23" fillId="3" borderId="2" applyAlignment="1" pivotButton="0" quotePrefix="0" xfId="0">
      <alignment horizontal="left" indent="4"/>
    </xf>
    <xf numFmtId="166" fontId="23" fillId="6" borderId="2" pivotButton="0" quotePrefix="0" xfId="0"/>
    <xf numFmtId="166" fontId="23" fillId="3" borderId="2" pivotButton="0" quotePrefix="0" xfId="0"/>
    <xf numFmtId="166" fontId="23" fillId="3" borderId="26" pivotButton="0" quotePrefix="0" xfId="0"/>
    <xf numFmtId="173" fontId="25" fillId="3" borderId="0" applyAlignment="1" pivotButton="0" quotePrefix="0" xfId="0">
      <alignment horizontal="left" indent="1"/>
    </xf>
    <xf numFmtId="164" fontId="26" fillId="3" borderId="0" applyAlignment="1" pivotButton="0" quotePrefix="0" xfId="0">
      <alignment horizontal="left" indent="1"/>
    </xf>
    <xf numFmtId="166" fontId="52" fillId="3" borderId="21" pivotButton="0" quotePrefix="0" xfId="0"/>
    <xf numFmtId="166" fontId="25" fillId="3" borderId="0" applyAlignment="1" pivotButton="0" quotePrefix="0" xfId="0">
      <alignment horizontal="left"/>
    </xf>
    <xf numFmtId="164" fontId="6" fillId="0" borderId="0" pivotButton="0" quotePrefix="0" xfId="0"/>
    <xf numFmtId="164" fontId="22" fillId="5" borderId="0" pivotButton="0" quotePrefix="0" xfId="0"/>
    <xf numFmtId="164" fontId="22" fillId="5" borderId="21" pivotButton="0" quotePrefix="0" xfId="0"/>
    <xf numFmtId="164" fontId="6" fillId="3" borderId="0" pivotButton="0" quotePrefix="0" xfId="0"/>
    <xf numFmtId="166" fontId="25" fillId="3" borderId="0" applyAlignment="1" pivotButton="0" quotePrefix="0" xfId="0">
      <alignment horizontal="left" indent="2"/>
    </xf>
    <xf numFmtId="166" fontId="25" fillId="3" borderId="2" applyAlignment="1" pivotButton="0" quotePrefix="0" xfId="0">
      <alignment horizontal="left" indent="2"/>
    </xf>
    <xf numFmtId="166" fontId="0" fillId="3" borderId="2" pivotButton="0" quotePrefix="0" xfId="0"/>
    <xf numFmtId="166" fontId="0" fillId="3" borderId="26" pivotButton="0" quotePrefix="0" xfId="0"/>
    <xf numFmtId="166" fontId="25" fillId="3" borderId="0" applyAlignment="1" pivotButton="0" quotePrefix="0" xfId="0">
      <alignment horizontal="left" indent="3"/>
    </xf>
    <xf numFmtId="166" fontId="0" fillId="3" borderId="2" applyAlignment="1" pivotButton="0" quotePrefix="0" xfId="0">
      <alignment horizontal="left" indent="2"/>
    </xf>
    <xf numFmtId="166" fontId="25" fillId="3" borderId="2" applyAlignment="1" pivotButton="0" quotePrefix="0" xfId="0">
      <alignment horizontal="left" indent="3"/>
    </xf>
    <xf numFmtId="166" fontId="52" fillId="3" borderId="26" pivotButton="0" quotePrefix="0" xfId="0"/>
    <xf numFmtId="166" fontId="23" fillId="3" borderId="7" applyAlignment="1" pivotButton="0" quotePrefix="0" xfId="0">
      <alignment horizontal="left" indent="3"/>
    </xf>
    <xf numFmtId="166" fontId="23" fillId="3" borderId="0" applyAlignment="1" pivotButton="0" quotePrefix="0" xfId="0">
      <alignment horizontal="left" indent="3"/>
    </xf>
    <xf numFmtId="166" fontId="0" fillId="6" borderId="2" pivotButton="0" quotePrefix="0" xfId="0"/>
    <xf numFmtId="164" fontId="25" fillId="3" borderId="0" applyAlignment="1" pivotButton="0" quotePrefix="0" xfId="0">
      <alignment horizontal="left" indent="2"/>
    </xf>
    <xf numFmtId="164" fontId="52" fillId="3" borderId="0" pivotButton="0" quotePrefix="0" xfId="0"/>
    <xf numFmtId="164" fontId="52" fillId="6" borderId="0" pivotButton="0" quotePrefix="0" xfId="0"/>
    <xf numFmtId="164" fontId="52" fillId="3" borderId="21" pivotButton="0" quotePrefix="0" xfId="0"/>
    <xf numFmtId="164" fontId="25" fillId="3" borderId="2" applyAlignment="1" pivotButton="0" quotePrefix="0" xfId="0">
      <alignment horizontal="left" indent="2"/>
    </xf>
    <xf numFmtId="164" fontId="25" fillId="3" borderId="2" applyAlignment="1" pivotButton="0" quotePrefix="0" xfId="0">
      <alignment horizontal="left" indent="4"/>
    </xf>
    <xf numFmtId="164" fontId="25" fillId="6" borderId="2" pivotButton="0" quotePrefix="0" xfId="0"/>
    <xf numFmtId="164" fontId="25" fillId="3" borderId="2" pivotButton="0" quotePrefix="0" xfId="0"/>
    <xf numFmtId="164" fontId="52" fillId="3" borderId="2" pivotButton="0" quotePrefix="0" xfId="0"/>
    <xf numFmtId="164" fontId="52" fillId="6" borderId="2" pivotButton="0" quotePrefix="0" xfId="0"/>
    <xf numFmtId="164" fontId="52" fillId="3" borderId="26" pivotButton="0" quotePrefix="0" xfId="0"/>
    <xf numFmtId="164" fontId="23" fillId="3" borderId="0" applyAlignment="1" pivotButton="0" quotePrefix="0" xfId="0">
      <alignment horizontal="left"/>
    </xf>
    <xf numFmtId="164" fontId="23" fillId="3" borderId="0" applyAlignment="1" pivotButton="0" quotePrefix="0" xfId="0">
      <alignment horizontal="left" indent="4"/>
    </xf>
    <xf numFmtId="164" fontId="23" fillId="6" borderId="0" pivotButton="0" quotePrefix="0" xfId="0"/>
    <xf numFmtId="164" fontId="23" fillId="3" borderId="0" pivotButton="0" quotePrefix="0" xfId="0"/>
    <xf numFmtId="164" fontId="23" fillId="3" borderId="21" pivotButton="0" quotePrefix="0" xfId="0"/>
    <xf numFmtId="166" fontId="23" fillId="3" borderId="7" applyAlignment="1" pivotButton="0" quotePrefix="0" xfId="0">
      <alignment horizontal="left"/>
    </xf>
    <xf numFmtId="166" fontId="23" fillId="3" borderId="28" pivotButton="0" quotePrefix="0" xfId="0"/>
    <xf numFmtId="164" fontId="25" fillId="3" borderId="26" pivotButton="0" quotePrefix="0" xfId="0"/>
    <xf numFmtId="168" fontId="0" fillId="0" borderId="0" pivotButton="0" quotePrefix="0" xfId="0"/>
    <xf numFmtId="168" fontId="25" fillId="3" borderId="0" applyAlignment="1" pivotButton="0" quotePrefix="0" xfId="0">
      <alignment horizontal="left"/>
    </xf>
    <xf numFmtId="168" fontId="25" fillId="3" borderId="0" applyAlignment="1" pivotButton="0" quotePrefix="0" xfId="0">
      <alignment horizontal="left" indent="4"/>
    </xf>
    <xf numFmtId="168" fontId="25" fillId="6" borderId="0" pivotButton="0" quotePrefix="0" xfId="0"/>
    <xf numFmtId="168" fontId="25" fillId="3" borderId="0" pivotButton="0" quotePrefix="0" xfId="0"/>
    <xf numFmtId="168" fontId="25" fillId="3" borderId="21" pivotButton="0" quotePrefix="0" xfId="0"/>
    <xf numFmtId="168" fontId="0" fillId="3" borderId="0" pivotButton="0" quotePrefix="0" xfId="0"/>
    <xf numFmtId="166" fontId="53" fillId="3" borderId="7" pivotButton="0" quotePrefix="0" xfId="0"/>
    <xf numFmtId="166" fontId="53" fillId="6" borderId="7" pivotButton="0" quotePrefix="0" xfId="0"/>
    <xf numFmtId="166" fontId="53" fillId="3" borderId="28" pivotButton="0" quotePrefix="0" xfId="0"/>
    <xf numFmtId="164" fontId="57" fillId="3" borderId="21" pivotButton="0" quotePrefix="0" xfId="0"/>
    <xf numFmtId="173" fontId="0" fillId="0" borderId="0" pivotButton="0" quotePrefix="0" xfId="0"/>
    <xf numFmtId="173" fontId="25" fillId="3" borderId="0" applyAlignment="1" pivotButton="0" quotePrefix="0" xfId="0">
      <alignment horizontal="left"/>
    </xf>
    <xf numFmtId="173" fontId="25" fillId="3" borderId="0" applyAlignment="1" pivotButton="0" quotePrefix="0" xfId="0">
      <alignment horizontal="left" indent="4"/>
    </xf>
    <xf numFmtId="173" fontId="52" fillId="3" borderId="21" pivotButton="0" quotePrefix="0" xfId="0"/>
    <xf numFmtId="166" fontId="25" fillId="3" borderId="0" applyAlignment="1" pivotButton="0" quotePrefix="0" xfId="0">
      <alignment horizontal="right"/>
    </xf>
    <xf numFmtId="166" fontId="25" fillId="6" borderId="0" applyAlignment="1" pivotButton="0" quotePrefix="0" xfId="0">
      <alignment horizontal="right"/>
    </xf>
    <xf numFmtId="166" fontId="52" fillId="3" borderId="0" applyAlignment="1" pivotButton="0" quotePrefix="0" xfId="0">
      <alignment horizontal="right"/>
    </xf>
    <xf numFmtId="166" fontId="25" fillId="3" borderId="21" applyAlignment="1" pivotButton="0" quotePrefix="0" xfId="0">
      <alignment horizontal="right"/>
    </xf>
    <xf numFmtId="164" fontId="23" fillId="3" borderId="2" applyAlignment="1" pivotButton="0" quotePrefix="0" xfId="0">
      <alignment horizontal="left" indent="2"/>
    </xf>
    <xf numFmtId="164" fontId="24" fillId="3" borderId="2" pivotButton="0" quotePrefix="0" xfId="16"/>
    <xf numFmtId="164" fontId="23" fillId="6" borderId="2" applyAlignment="1" pivotButton="0" quotePrefix="0" xfId="0">
      <alignment horizontal="center"/>
    </xf>
    <xf numFmtId="164" fontId="23" fillId="3" borderId="2" applyAlignment="1" pivotButton="0" quotePrefix="0" xfId="0">
      <alignment horizontal="center"/>
    </xf>
    <xf numFmtId="164" fontId="23" fillId="6" borderId="2" pivotButton="0" quotePrefix="0" xfId="0"/>
    <xf numFmtId="164" fontId="23" fillId="3" borderId="26" applyAlignment="1" pivotButton="0" quotePrefix="0" xfId="0">
      <alignment horizontal="center"/>
    </xf>
    <xf numFmtId="164" fontId="23" fillId="3" borderId="0" applyAlignment="1" pivotButton="0" quotePrefix="0" xfId="0">
      <alignment horizontal="left" indent="1"/>
    </xf>
    <xf numFmtId="164" fontId="24" fillId="3" borderId="0" pivotButton="0" quotePrefix="0" xfId="16"/>
    <xf numFmtId="164" fontId="23" fillId="6" borderId="0" applyAlignment="1" pivotButton="0" quotePrefix="0" xfId="0">
      <alignment horizontal="center"/>
    </xf>
    <xf numFmtId="164" fontId="23" fillId="3" borderId="0" applyAlignment="1" pivotButton="0" quotePrefix="0" xfId="0">
      <alignment horizontal="center"/>
    </xf>
    <xf numFmtId="164" fontId="23" fillId="3" borderId="21" applyAlignment="1" pivotButton="0" quotePrefix="0" xfId="0">
      <alignment horizontal="center"/>
    </xf>
    <xf numFmtId="164" fontId="23" fillId="3" borderId="2" applyAlignment="1" pivotButton="0" quotePrefix="0" xfId="0">
      <alignment horizontal="left" indent="1"/>
    </xf>
    <xf numFmtId="164" fontId="27" fillId="3" borderId="0" pivotButton="0" quotePrefix="0" xfId="16"/>
    <xf numFmtId="164" fontId="26" fillId="6" borderId="0" applyAlignment="1" pivotButton="0" quotePrefix="0" xfId="0">
      <alignment horizontal="center"/>
    </xf>
    <xf numFmtId="164" fontId="26" fillId="3" borderId="0" applyAlignment="1" pivotButton="0" quotePrefix="0" xfId="0">
      <alignment horizontal="center"/>
    </xf>
    <xf numFmtId="164" fontId="26" fillId="3" borderId="21" applyAlignment="1" pivotButton="0" quotePrefix="0" xfId="0">
      <alignment horizontal="center"/>
    </xf>
    <xf numFmtId="166" fontId="6" fillId="3" borderId="9" applyAlignment="1" pivotButton="0" quotePrefix="0" xfId="0">
      <alignment horizontal="left"/>
    </xf>
    <xf numFmtId="166" fontId="23" fillId="3" borderId="9" applyAlignment="1" pivotButton="0" quotePrefix="0" xfId="0">
      <alignment horizontal="left" indent="3"/>
    </xf>
    <xf numFmtId="166" fontId="6" fillId="6" borderId="9" pivotButton="0" quotePrefix="0" xfId="0"/>
    <xf numFmtId="166" fontId="6" fillId="3" borderId="9" pivotButton="0" quotePrefix="0" xfId="0"/>
    <xf numFmtId="166" fontId="23" fillId="3" borderId="9" pivotButton="0" quotePrefix="0" xfId="0"/>
    <xf numFmtId="166" fontId="23" fillId="6" borderId="9" pivotButton="0" quotePrefix="0" xfId="0"/>
    <xf numFmtId="166" fontId="6" fillId="3" borderId="35" pivotButton="0" quotePrefix="0" xfId="0"/>
    <xf numFmtId="166" fontId="25" fillId="3" borderId="7" applyAlignment="1" pivotButton="0" quotePrefix="0" xfId="0">
      <alignment horizontal="left" indent="1"/>
    </xf>
    <xf numFmtId="166" fontId="25" fillId="3" borderId="7" applyAlignment="1" pivotButton="0" quotePrefix="0" xfId="0">
      <alignment horizontal="left" indent="3"/>
    </xf>
    <xf numFmtId="166" fontId="25" fillId="6" borderId="7" pivotButton="0" quotePrefix="0" xfId="0"/>
    <xf numFmtId="166" fontId="25" fillId="3" borderId="7" pivotButton="0" quotePrefix="0" xfId="0"/>
    <xf numFmtId="166" fontId="25" fillId="3" borderId="28" pivotButton="0" quotePrefix="0" xfId="0"/>
    <xf numFmtId="166" fontId="21" fillId="2" borderId="0" pivotButton="0" quotePrefix="0" xfId="25"/>
    <xf numFmtId="166" fontId="21" fillId="2" borderId="0" applyAlignment="1" pivotButton="0" quotePrefix="0" xfId="25">
      <alignment horizontal="right"/>
    </xf>
    <xf numFmtId="166" fontId="21" fillId="2" borderId="21" applyAlignment="1" pivotButton="0" quotePrefix="0" xfId="25">
      <alignment horizontal="right"/>
    </xf>
    <xf numFmtId="166" fontId="26" fillId="0" borderId="0" pivotButton="0" quotePrefix="0" xfId="0"/>
    <xf numFmtId="166" fontId="27" fillId="3" borderId="0" applyAlignment="1" pivotButton="0" quotePrefix="0" xfId="0">
      <alignment horizontal="left" indent="1"/>
    </xf>
    <xf numFmtId="166" fontId="26" fillId="3" borderId="0" applyAlignment="1" pivotButton="0" quotePrefix="0" xfId="0">
      <alignment horizontal="left" indent="3"/>
    </xf>
    <xf numFmtId="166" fontId="27" fillId="3" borderId="0" pivotButton="0" quotePrefix="0" xfId="0"/>
    <xf numFmtId="166" fontId="27" fillId="3" borderId="21" pivotButton="0" quotePrefix="0" xfId="0"/>
    <xf numFmtId="166" fontId="25" fillId="3" borderId="0" applyAlignment="1" pivotButton="0" quotePrefix="0" xfId="36">
      <alignment horizontal="left" indent="1"/>
    </xf>
    <xf numFmtId="166" fontId="25" fillId="3" borderId="0" applyAlignment="1" pivotButton="0" quotePrefix="0" xfId="36">
      <alignment horizontal="left" indent="2"/>
    </xf>
    <xf numFmtId="166" fontId="25" fillId="3" borderId="2" applyAlignment="1" pivotButton="0" quotePrefix="0" xfId="36">
      <alignment horizontal="left" indent="2"/>
    </xf>
    <xf numFmtId="166" fontId="23" fillId="3" borderId="0" applyAlignment="1" pivotButton="0" quotePrefix="0" xfId="36">
      <alignment horizontal="left"/>
    </xf>
    <xf numFmtId="166" fontId="25" fillId="0" borderId="0" pivotButton="0" quotePrefix="0" xfId="0"/>
    <xf numFmtId="166" fontId="21" fillId="3" borderId="0" pivotButton="0" quotePrefix="0" xfId="0"/>
    <xf numFmtId="166" fontId="21" fillId="3" borderId="21" pivotButton="0" quotePrefix="0" xfId="0"/>
    <xf numFmtId="166" fontId="21" fillId="3" borderId="2" pivotButton="0" quotePrefix="0" xfId="0"/>
    <xf numFmtId="166" fontId="25" fillId="6" borderId="2" applyAlignment="1" pivotButton="0" quotePrefix="0" xfId="0">
      <alignment horizontal="right"/>
    </xf>
    <xf numFmtId="166" fontId="21" fillId="3" borderId="26" pivotButton="0" quotePrefix="0" xfId="0"/>
    <xf numFmtId="166" fontId="25" fillId="3" borderId="2" applyAlignment="1" pivotButton="0" quotePrefix="0" xfId="0">
      <alignment horizontal="right"/>
    </xf>
    <xf numFmtId="166" fontId="0" fillId="3" borderId="0" applyAlignment="1" pivotButton="0" quotePrefix="0" xfId="36">
      <alignment horizontal="left" indent="1"/>
    </xf>
    <xf numFmtId="166" fontId="0" fillId="3" borderId="2" applyAlignment="1" pivotButton="0" quotePrefix="0" xfId="36">
      <alignment horizontal="left" indent="1"/>
    </xf>
    <xf numFmtId="166" fontId="23" fillId="3" borderId="7" applyAlignment="1" pivotButton="0" quotePrefix="0" xfId="36">
      <alignment horizontal="left"/>
    </xf>
    <xf numFmtId="166" fontId="25" fillId="3" borderId="2" applyAlignment="1" pivotButton="0" quotePrefix="0" xfId="36">
      <alignment horizontal="left" indent="1"/>
    </xf>
    <xf numFmtId="166" fontId="6" fillId="3" borderId="7" applyAlignment="1" pivotButton="0" quotePrefix="0" xfId="36">
      <alignment horizontal="left"/>
    </xf>
    <xf numFmtId="166" fontId="9" fillId="0" borderId="0" pivotButton="0" quotePrefix="0" xfId="0"/>
    <xf numFmtId="166" fontId="9" fillId="3" borderId="0" pivotButton="0" quotePrefix="0" xfId="0"/>
    <xf numFmtId="166" fontId="25" fillId="3" borderId="0" applyAlignment="1" pivotButton="0" quotePrefix="0" xfId="36">
      <alignment horizontal="left"/>
    </xf>
    <xf numFmtId="166" fontId="25" fillId="3" borderId="13" applyAlignment="1" pivotButton="0" quotePrefix="0" xfId="36">
      <alignment horizontal="left" indent="2"/>
    </xf>
    <xf numFmtId="166" fontId="25" fillId="3" borderId="13" applyAlignment="1" pivotButton="0" quotePrefix="0" xfId="0">
      <alignment horizontal="left" indent="3"/>
    </xf>
    <xf numFmtId="166" fontId="25" fillId="6" borderId="13" pivotButton="0" quotePrefix="0" xfId="0"/>
    <xf numFmtId="166" fontId="25" fillId="3" borderId="13" pivotButton="0" quotePrefix="0" xfId="0"/>
    <xf numFmtId="166" fontId="25" fillId="3" borderId="22" pivotButton="0" quotePrefix="0" xfId="0"/>
    <xf numFmtId="166" fontId="25" fillId="3" borderId="26" applyAlignment="1" pivotButton="0" quotePrefix="0" xfId="0">
      <alignment horizontal="right"/>
    </xf>
    <xf numFmtId="166" fontId="52" fillId="3" borderId="2" applyAlignment="1" pivotButton="0" quotePrefix="0" xfId="0">
      <alignment horizontal="right"/>
    </xf>
    <xf numFmtId="166" fontId="52" fillId="6" borderId="2" applyAlignment="1" pivotButton="0" quotePrefix="0" xfId="0">
      <alignment horizontal="right"/>
    </xf>
    <xf numFmtId="166" fontId="25" fillId="3" borderId="7" applyAlignment="1" pivotButton="0" quotePrefix="0" xfId="36">
      <alignment horizontal="left" indent="1"/>
    </xf>
    <xf numFmtId="166" fontId="25" fillId="6" borderId="7" applyAlignment="1" pivotButton="0" quotePrefix="0" xfId="0">
      <alignment horizontal="right"/>
    </xf>
    <xf numFmtId="166" fontId="25" fillId="3" borderId="7" applyAlignment="1" pivotButton="0" quotePrefix="0" xfId="0">
      <alignment horizontal="right"/>
    </xf>
    <xf numFmtId="166" fontId="25" fillId="3" borderId="28" applyAlignment="1" pivotButton="0" quotePrefix="0" xfId="0">
      <alignment horizontal="right"/>
    </xf>
    <xf numFmtId="166" fontId="6" fillId="3" borderId="9" applyAlignment="1" pivotButton="0" quotePrefix="0" xfId="36">
      <alignment horizontal="left"/>
    </xf>
    <xf numFmtId="166" fontId="0" fillId="3" borderId="7" applyAlignment="1" pivotButton="0" quotePrefix="0" xfId="36">
      <alignment horizontal="left" indent="1"/>
    </xf>
    <xf numFmtId="166" fontId="0" fillId="6" borderId="7" pivotButton="0" quotePrefix="0" xfId="0"/>
    <xf numFmtId="166" fontId="0" fillId="3" borderId="7" pivotButton="0" quotePrefix="0" xfId="0"/>
    <xf numFmtId="166" fontId="0" fillId="3" borderId="28" pivotButton="0" quotePrefix="0" xfId="0"/>
    <xf numFmtId="166" fontId="0" fillId="3" borderId="9" applyAlignment="1" pivotButton="0" quotePrefix="0" xfId="36">
      <alignment horizontal="left" indent="1"/>
    </xf>
    <xf numFmtId="166" fontId="25" fillId="3" borderId="9" applyAlignment="1" pivotButton="0" quotePrefix="0" xfId="0">
      <alignment horizontal="left" indent="3"/>
    </xf>
    <xf numFmtId="166" fontId="25" fillId="6" borderId="9" pivotButton="0" quotePrefix="0" xfId="0"/>
    <xf numFmtId="166" fontId="25" fillId="3" borderId="9" pivotButton="0" quotePrefix="0" xfId="0"/>
    <xf numFmtId="166" fontId="25" fillId="3" borderId="35" pivotButton="0" quotePrefix="0" xfId="0"/>
    <xf numFmtId="166" fontId="23" fillId="0" borderId="0" pivotButton="0" quotePrefix="0" xfId="0"/>
    <xf numFmtId="166" fontId="5" fillId="3" borderId="9" pivotButton="0" quotePrefix="0" xfId="0"/>
    <xf numFmtId="166" fontId="6" fillId="6" borderId="9" applyAlignment="1" pivotButton="0" quotePrefix="0" xfId="0">
      <alignment horizontal="right"/>
    </xf>
    <xf numFmtId="166" fontId="5" fillId="3" borderId="35" pivotButton="0" quotePrefix="0" xfId="0"/>
    <xf numFmtId="166" fontId="23" fillId="3" borderId="9" applyAlignment="1" pivotButton="0" quotePrefix="0" xfId="0">
      <alignment horizontal="right"/>
    </xf>
    <xf numFmtId="166" fontId="23" fillId="6" borderId="9" applyAlignment="1" pivotButton="0" quotePrefix="0" xfId="0">
      <alignment horizontal="right"/>
    </xf>
    <xf numFmtId="168" fontId="25" fillId="0" borderId="0" pivotButton="0" quotePrefix="0" xfId="0"/>
    <xf numFmtId="168" fontId="25" fillId="3" borderId="0" applyAlignment="1" pivotButton="0" quotePrefix="0" xfId="0">
      <alignment horizontal="left" indent="3"/>
    </xf>
    <xf numFmtId="168" fontId="21" fillId="3" borderId="0" pivotButton="0" quotePrefix="0" xfId="0"/>
    <xf numFmtId="168" fontId="25" fillId="6" borderId="0" applyAlignment="1" pivotButton="0" quotePrefix="0" xfId="0">
      <alignment horizontal="right"/>
    </xf>
    <xf numFmtId="168" fontId="21" fillId="3" borderId="21" pivotButton="0" quotePrefix="0" xfId="0"/>
    <xf numFmtId="168" fontId="25" fillId="3" borderId="0" applyAlignment="1" pivotButton="0" quotePrefix="0" xfId="0">
      <alignment horizontal="right"/>
    </xf>
    <xf numFmtId="164" fontId="23" fillId="0" borderId="0" pivotButton="0" quotePrefix="0" xfId="15"/>
    <xf numFmtId="164" fontId="23" fillId="3" borderId="0" applyAlignment="1" pivotButton="0" quotePrefix="0" xfId="15">
      <alignment horizontal="left"/>
    </xf>
    <xf numFmtId="164" fontId="23" fillId="3" borderId="0" applyAlignment="1" pivotButton="0" quotePrefix="0" xfId="15">
      <alignment horizontal="left" indent="3"/>
    </xf>
    <xf numFmtId="164" fontId="6" fillId="6" borderId="0" pivotButton="0" quotePrefix="0" xfId="15"/>
    <xf numFmtId="164" fontId="6" fillId="3" borderId="0" pivotButton="0" quotePrefix="0" xfId="15"/>
    <xf numFmtId="164" fontId="5" fillId="3" borderId="0" pivotButton="0" quotePrefix="0" xfId="15"/>
    <xf numFmtId="164" fontId="6" fillId="6" borderId="0" applyAlignment="1" pivotButton="0" quotePrefix="0" xfId="15">
      <alignment horizontal="right"/>
    </xf>
    <xf numFmtId="164" fontId="5" fillId="3" borderId="21" pivotButton="0" quotePrefix="0" xfId="15"/>
    <xf numFmtId="164" fontId="53" fillId="3" borderId="0" applyAlignment="1" pivotButton="0" quotePrefix="0" xfId="15">
      <alignment horizontal="right"/>
    </xf>
    <xf numFmtId="164" fontId="23" fillId="6" borderId="0" applyAlignment="1" pivotButton="0" quotePrefix="0" xfId="15">
      <alignment horizontal="right"/>
    </xf>
    <xf numFmtId="164" fontId="53" fillId="6" borderId="0" applyAlignment="1" pivotButton="0" quotePrefix="0" xfId="15">
      <alignment horizontal="right"/>
    </xf>
    <xf numFmtId="164" fontId="23" fillId="3" borderId="0" pivotButton="0" quotePrefix="0" xfId="15"/>
    <xf numFmtId="166" fontId="23" fillId="3" borderId="0" applyAlignment="1" pivotButton="0" quotePrefix="0" xfId="15">
      <alignment horizontal="left"/>
    </xf>
    <xf numFmtId="164" fontId="23" fillId="3" borderId="0" applyAlignment="1" pivotButton="0" quotePrefix="0" xfId="15">
      <alignment horizontal="right"/>
    </xf>
    <xf numFmtId="164" fontId="24" fillId="3" borderId="0" applyAlignment="1" pivotButton="0" quotePrefix="0" xfId="15">
      <alignment horizontal="right"/>
    </xf>
    <xf numFmtId="164" fontId="24" fillId="3" borderId="21" applyAlignment="1" pivotButton="0" quotePrefix="0" xfId="15">
      <alignment horizontal="right"/>
    </xf>
    <xf numFmtId="168" fontId="23" fillId="0" borderId="0" pivotButton="0" quotePrefix="0" xfId="0"/>
    <xf numFmtId="168" fontId="3" fillId="3" borderId="0" pivotButton="0" quotePrefix="0" xfId="16"/>
    <xf numFmtId="168" fontId="23" fillId="3" borderId="0" applyAlignment="1" pivotButton="0" quotePrefix="0" xfId="0">
      <alignment horizontal="left" indent="3"/>
    </xf>
    <xf numFmtId="168" fontId="6" fillId="6" borderId="0" applyAlignment="1" pivotButton="0" quotePrefix="0" xfId="0">
      <alignment horizontal="right"/>
    </xf>
    <xf numFmtId="168" fontId="6" fillId="3" borderId="0" pivotButton="0" quotePrefix="0" xfId="0"/>
    <xf numFmtId="168" fontId="6" fillId="3" borderId="0" applyAlignment="1" pivotButton="0" quotePrefix="0" xfId="0">
      <alignment horizontal="right"/>
    </xf>
    <xf numFmtId="168" fontId="5" fillId="3" borderId="0" pivotButton="0" quotePrefix="0" xfId="0"/>
    <xf numFmtId="168" fontId="5" fillId="3" borderId="21" pivotButton="0" quotePrefix="0" xfId="0"/>
    <xf numFmtId="168" fontId="23" fillId="3" borderId="0" applyAlignment="1" pivotButton="0" quotePrefix="0" xfId="0">
      <alignment horizontal="right"/>
    </xf>
    <xf numFmtId="168" fontId="23" fillId="6" borderId="0" applyAlignment="1" pivotButton="0" quotePrefix="0" xfId="0">
      <alignment horizontal="right"/>
    </xf>
    <xf numFmtId="168" fontId="23" fillId="3" borderId="0" pivotButton="0" quotePrefix="0" xfId="0"/>
    <xf numFmtId="168" fontId="26" fillId="0" borderId="0" pivotButton="0" quotePrefix="0" xfId="0"/>
    <xf numFmtId="168" fontId="27" fillId="3" borderId="0" applyAlignment="1" pivotButton="0" quotePrefix="0" xfId="0">
      <alignment horizontal="left" indent="1"/>
    </xf>
    <xf numFmtId="168" fontId="26" fillId="3" borderId="0" applyAlignment="1" pivotButton="0" quotePrefix="0" xfId="0">
      <alignment horizontal="left" indent="3"/>
    </xf>
    <xf numFmtId="168" fontId="26" fillId="6" borderId="0" pivotButton="0" quotePrefix="0" xfId="0"/>
    <xf numFmtId="168" fontId="26" fillId="3" borderId="0" pivotButton="0" quotePrefix="0" xfId="0"/>
    <xf numFmtId="168" fontId="27" fillId="3" borderId="0" pivotButton="0" quotePrefix="0" xfId="0"/>
    <xf numFmtId="168" fontId="26" fillId="6" borderId="0" applyAlignment="1" pivotButton="0" quotePrefix="0" xfId="0">
      <alignment horizontal="right"/>
    </xf>
    <xf numFmtId="168" fontId="27" fillId="3" borderId="21" pivotButton="0" quotePrefix="0" xfId="0"/>
    <xf numFmtId="168" fontId="26" fillId="3" borderId="0" applyAlignment="1" pivotButton="0" quotePrefix="0" xfId="0">
      <alignment horizontal="right"/>
    </xf>
    <xf numFmtId="166" fontId="22" fillId="5" borderId="0" applyAlignment="1" pivotButton="0" quotePrefix="0" xfId="0">
      <alignment horizontal="left" indent="3"/>
    </xf>
    <xf numFmtId="187" fontId="25" fillId="6" borderId="0" pivotButton="0" quotePrefix="0" xfId="0"/>
    <xf numFmtId="187" fontId="25" fillId="3" borderId="0" pivotButton="0" quotePrefix="0" xfId="0"/>
    <xf numFmtId="187" fontId="25" fillId="3" borderId="21" pivotButton="0" quotePrefix="0" xfId="0"/>
    <xf numFmtId="176" fontId="23" fillId="6" borderId="0" applyAlignment="1" pivotButton="0" quotePrefix="0" xfId="0">
      <alignment horizontal="right"/>
    </xf>
    <xf numFmtId="176" fontId="23" fillId="3" borderId="0" applyAlignment="1" pivotButton="0" quotePrefix="0" xfId="0">
      <alignment horizontal="right"/>
    </xf>
    <xf numFmtId="176" fontId="23" fillId="3" borderId="21" applyAlignment="1" pivotButton="0" quotePrefix="0" xfId="0">
      <alignment horizontal="right"/>
    </xf>
    <xf numFmtId="190" fontId="23" fillId="3" borderId="0" pivotButton="0" quotePrefix="0" xfId="0"/>
    <xf numFmtId="190" fontId="23" fillId="6" borderId="0" pivotButton="0" quotePrefix="0" xfId="0"/>
    <xf numFmtId="190" fontId="23" fillId="3" borderId="21" pivotButton="0" quotePrefix="0" xfId="0"/>
    <xf numFmtId="190" fontId="23" fillId="3" borderId="0" applyAlignment="1" pivotButton="0" quotePrefix="0" xfId="0">
      <alignment horizontal="left" indent="1"/>
    </xf>
    <xf numFmtId="166" fontId="25" fillId="3" borderId="12" pivotButton="0" quotePrefix="0" xfId="0"/>
    <xf numFmtId="166" fontId="25" fillId="3" borderId="12" applyAlignment="1" pivotButton="0" quotePrefix="0" xfId="0">
      <alignment horizontal="left" indent="3"/>
    </xf>
    <xf numFmtId="166" fontId="52" fillId="6" borderId="12" pivotButton="0" quotePrefix="0" xfId="0"/>
    <xf numFmtId="166" fontId="52" fillId="3" borderId="12" pivotButton="0" quotePrefix="0" xfId="0"/>
    <xf numFmtId="166" fontId="52" fillId="3" borderId="34" pivotButton="0" quotePrefix="0" xfId="0"/>
    <xf numFmtId="166" fontId="25" fillId="6" borderId="12" pivotButton="0" quotePrefix="0" xfId="0"/>
    <xf numFmtId="173" fontId="26" fillId="3" borderId="0" applyAlignment="1" pivotButton="0" quotePrefix="0" xfId="0">
      <alignment horizontal="left" indent="1"/>
    </xf>
    <xf numFmtId="173" fontId="26" fillId="3" borderId="12" pivotButton="0" quotePrefix="0" xfId="0"/>
    <xf numFmtId="166" fontId="26" fillId="3" borderId="12" applyAlignment="1" pivotButton="0" quotePrefix="0" xfId="0">
      <alignment horizontal="left" indent="3"/>
    </xf>
    <xf numFmtId="164" fontId="26" fillId="6" borderId="12" pivotButton="0" quotePrefix="0" xfId="0"/>
    <xf numFmtId="164" fontId="26" fillId="3" borderId="12" pivotButton="0" quotePrefix="0" xfId="0"/>
    <xf numFmtId="164" fontId="26" fillId="3" borderId="34" pivotButton="0" quotePrefix="0" xfId="0"/>
    <xf numFmtId="173" fontId="26" fillId="3" borderId="0" pivotButton="0" quotePrefix="0" xfId="0"/>
    <xf numFmtId="187" fontId="0" fillId="0" borderId="0" pivotButton="0" quotePrefix="0" xfId="0"/>
    <xf numFmtId="187" fontId="25" fillId="3" borderId="0" applyAlignment="1" pivotButton="0" quotePrefix="0" xfId="0">
      <alignment horizontal="left" indent="3"/>
    </xf>
    <xf numFmtId="192" fontId="52" fillId="6" borderId="0" pivotButton="0" quotePrefix="0" xfId="0"/>
    <xf numFmtId="192" fontId="52" fillId="3" borderId="0" pivotButton="0" quotePrefix="0" xfId="0"/>
    <xf numFmtId="192" fontId="25" fillId="3" borderId="0" pivotButton="0" quotePrefix="0" xfId="0"/>
    <xf numFmtId="192" fontId="52" fillId="3" borderId="21" pivotButton="0" quotePrefix="0" xfId="0"/>
    <xf numFmtId="192" fontId="25" fillId="6" borderId="0" pivotButton="0" quotePrefix="0" xfId="0"/>
    <xf numFmtId="187" fontId="0" fillId="3" borderId="0" pivotButton="0" quotePrefix="0" xfId="0"/>
    <xf numFmtId="176" fontId="25" fillId="3" borderId="0" pivotButton="0" quotePrefix="0" xfId="0"/>
    <xf numFmtId="176" fontId="25" fillId="3" borderId="0" applyAlignment="1" pivotButton="0" quotePrefix="0" xfId="0">
      <alignment horizontal="left" indent="3"/>
    </xf>
    <xf numFmtId="176" fontId="25" fillId="6" borderId="0" pivotButton="0" quotePrefix="0" xfId="0"/>
    <xf numFmtId="176" fontId="25" fillId="3" borderId="21" pivotButton="0" quotePrefix="0" xfId="0"/>
    <xf numFmtId="176" fontId="0" fillId="3" borderId="0" pivotButton="0" quotePrefix="0" xfId="0"/>
    <xf numFmtId="190" fontId="25" fillId="3" borderId="0" applyAlignment="1" pivotButton="0" quotePrefix="0" xfId="0">
      <alignment horizontal="left" indent="1"/>
    </xf>
    <xf numFmtId="190" fontId="52" fillId="6" borderId="0" pivotButton="0" quotePrefix="0" xfId="0"/>
    <xf numFmtId="190" fontId="25" fillId="3" borderId="0" pivotButton="0" quotePrefix="0" xfId="0"/>
    <xf numFmtId="190" fontId="25" fillId="3" borderId="21" pivotButton="0" quotePrefix="0" xfId="0"/>
    <xf numFmtId="190" fontId="25" fillId="6" borderId="0" pivotButton="0" quotePrefix="0" xfId="0"/>
    <xf numFmtId="190" fontId="25" fillId="3" borderId="0" applyAlignment="1" pivotButton="0" quotePrefix="0" xfId="0">
      <alignment horizontal="left" indent="2"/>
    </xf>
    <xf numFmtId="190" fontId="25" fillId="3" borderId="2" applyAlignment="1" pivotButton="0" quotePrefix="0" xfId="0">
      <alignment horizontal="left" indent="2"/>
    </xf>
    <xf numFmtId="176" fontId="25" fillId="3" borderId="2" applyAlignment="1" pivotButton="0" quotePrefix="0" xfId="0">
      <alignment horizontal="left" indent="3"/>
    </xf>
    <xf numFmtId="190" fontId="52" fillId="6" borderId="2" pivotButton="0" quotePrefix="0" xfId="0"/>
    <xf numFmtId="190" fontId="25" fillId="3" borderId="2" pivotButton="0" quotePrefix="0" xfId="0"/>
    <xf numFmtId="190" fontId="25" fillId="6" borderId="2" pivotButton="0" quotePrefix="0" xfId="0"/>
    <xf numFmtId="190" fontId="25" fillId="3" borderId="26" pivotButton="0" quotePrefix="0" xfId="0"/>
    <xf numFmtId="190" fontId="25" fillId="3" borderId="2" applyAlignment="1" pivotButton="0" quotePrefix="0" xfId="0">
      <alignment horizontal="left" indent="1"/>
    </xf>
    <xf numFmtId="166" fontId="25" fillId="3" borderId="12" applyAlignment="1" pivotButton="0" quotePrefix="0" xfId="0">
      <alignment horizontal="left" indent="1"/>
    </xf>
    <xf numFmtId="166" fontId="25" fillId="3" borderId="34" pivotButton="0" quotePrefix="0" xfId="0"/>
    <xf numFmtId="176" fontId="25" fillId="6" borderId="12" pivotButton="0" quotePrefix="0" xfId="0"/>
    <xf numFmtId="176" fontId="25" fillId="3" borderId="12" pivotButton="0" quotePrefix="0" xfId="0"/>
    <xf numFmtId="176" fontId="25" fillId="3" borderId="34" pivotButton="0" quotePrefix="0" xfId="0"/>
    <xf numFmtId="166" fontId="25" fillId="3" borderId="12" applyAlignment="1" pivotButton="0" quotePrefix="0" xfId="0">
      <alignment horizontal="left"/>
    </xf>
    <xf numFmtId="191" fontId="23" fillId="3" borderId="0" pivotButton="0" quotePrefix="0" xfId="0"/>
    <xf numFmtId="191" fontId="23" fillId="6" borderId="0" pivotButton="0" quotePrefix="0" xfId="0"/>
    <xf numFmtId="191" fontId="23" fillId="3" borderId="21" pivotButton="0" quotePrefix="0" xfId="0"/>
    <xf numFmtId="176" fontId="25" fillId="3" borderId="0" applyAlignment="1" pivotButton="0" quotePrefix="0" xfId="0">
      <alignment horizontal="left" indent="1"/>
    </xf>
    <xf numFmtId="190" fontId="0" fillId="0" borderId="0" pivotButton="0" quotePrefix="0" xfId="0"/>
    <xf numFmtId="190" fontId="25" fillId="3" borderId="0" applyAlignment="1" pivotButton="0" quotePrefix="0" xfId="0">
      <alignment horizontal="left" indent="3"/>
    </xf>
    <xf numFmtId="190" fontId="25" fillId="3" borderId="2" applyAlignment="1" pivotButton="0" quotePrefix="0" xfId="0">
      <alignment horizontal="left" indent="3"/>
    </xf>
    <xf numFmtId="176" fontId="52" fillId="6" borderId="0" pivotButton="0" quotePrefix="0" xfId="0"/>
    <xf numFmtId="187" fontId="26" fillId="3" borderId="0" applyAlignment="1" pivotButton="0" quotePrefix="0" xfId="0">
      <alignment horizontal="left" indent="3"/>
    </xf>
    <xf numFmtId="193" fontId="26" fillId="6" borderId="0" pivotButton="0" quotePrefix="0" xfId="0"/>
    <xf numFmtId="193" fontId="26" fillId="3" borderId="0" pivotButton="0" quotePrefix="0" xfId="0"/>
    <xf numFmtId="193" fontId="19" fillId="3" borderId="0" pivotButton="0" quotePrefix="0" xfId="0"/>
    <xf numFmtId="193" fontId="19" fillId="6" borderId="0" pivotButton="0" quotePrefix="0" xfId="0"/>
    <xf numFmtId="193" fontId="26" fillId="3" borderId="21" pivotButton="0" quotePrefix="0" xfId="0"/>
    <xf numFmtId="193" fontId="57" fillId="3" borderId="0" pivotButton="0" quotePrefix="0" xfId="0"/>
    <xf numFmtId="193" fontId="57" fillId="6" borderId="0" pivotButton="0" quotePrefix="0" xfId="0"/>
    <xf numFmtId="176" fontId="52" fillId="3" borderId="0" pivotButton="0" quotePrefix="0" xfId="0"/>
    <xf numFmtId="166" fontId="23" fillId="3" borderId="12" pivotButton="0" quotePrefix="0" xfId="0"/>
    <xf numFmtId="166" fontId="23" fillId="3" borderId="12" applyAlignment="1" pivotButton="0" quotePrefix="0" xfId="0">
      <alignment horizontal="left" indent="3"/>
    </xf>
    <xf numFmtId="166" fontId="23" fillId="6" borderId="12" pivotButton="0" quotePrefix="0" xfId="0"/>
    <xf numFmtId="166" fontId="23" fillId="3" borderId="34" pivotButton="0" quotePrefix="0" xfId="0"/>
    <xf numFmtId="173" fontId="23" fillId="3" borderId="0" pivotButton="0" quotePrefix="0" xfId="0"/>
    <xf numFmtId="187" fontId="23" fillId="3" borderId="0" applyAlignment="1" pivotButton="0" quotePrefix="0" xfId="0">
      <alignment horizontal="left" indent="3"/>
    </xf>
    <xf numFmtId="166" fontId="25" fillId="3" borderId="12" applyAlignment="1" pivotButton="0" quotePrefix="0" xfId="0">
      <alignment horizontal="left" indent="2"/>
    </xf>
    <xf numFmtId="166" fontId="25" fillId="3" borderId="13" applyAlignment="1" pivotButton="0" quotePrefix="0" xfId="0">
      <alignment horizontal="left" indent="2"/>
    </xf>
    <xf numFmtId="167" fontId="25" fillId="6" borderId="0" applyAlignment="1" pivotButton="0" quotePrefix="0" xfId="0">
      <alignment horizontal="right"/>
    </xf>
    <xf numFmtId="167" fontId="25" fillId="3" borderId="0" applyAlignment="1" pivotButton="0" quotePrefix="0" xfId="0">
      <alignment horizontal="right"/>
    </xf>
    <xf numFmtId="167" fontId="25" fillId="3" borderId="21" applyAlignment="1" pivotButton="0" quotePrefix="0" xfId="0">
      <alignment horizontal="right"/>
    </xf>
    <xf numFmtId="166" fontId="22" fillId="5" borderId="0" applyAlignment="1" pivotButton="0" quotePrefix="0" xfId="0">
      <alignment horizontal="left"/>
    </xf>
    <xf numFmtId="166" fontId="25" fillId="3" borderId="13" applyAlignment="1" pivotButton="0" quotePrefix="0" xfId="0">
      <alignment horizontal="left"/>
    </xf>
    <xf numFmtId="164" fontId="31" fillId="3" borderId="0" applyAlignment="1" pivotButton="0" quotePrefix="0" xfId="0">
      <alignment horizontal="left" indent="1"/>
    </xf>
    <xf numFmtId="166" fontId="31" fillId="3" borderId="0" applyAlignment="1" pivotButton="0" quotePrefix="0" xfId="0">
      <alignment horizontal="left" indent="3"/>
    </xf>
    <xf numFmtId="164" fontId="31" fillId="6" borderId="0" pivotButton="0" quotePrefix="0" xfId="0"/>
    <xf numFmtId="164" fontId="31" fillId="3" borderId="0" pivotButton="0" quotePrefix="0" xfId="0"/>
    <xf numFmtId="164" fontId="31" fillId="3" borderId="21" pivotButton="0" quotePrefix="0" xfId="0"/>
    <xf numFmtId="164" fontId="26" fillId="3" borderId="13" applyAlignment="1" pivotButton="0" quotePrefix="0" xfId="0">
      <alignment horizontal="left" indent="1"/>
    </xf>
    <xf numFmtId="166" fontId="26" fillId="3" borderId="13" applyAlignment="1" pivotButton="0" quotePrefix="0" xfId="0">
      <alignment horizontal="left" indent="3"/>
    </xf>
    <xf numFmtId="164" fontId="26" fillId="6" borderId="13" pivotButton="0" quotePrefix="0" xfId="0"/>
    <xf numFmtId="164" fontId="26" fillId="3" borderId="13" pivotButton="0" quotePrefix="0" xfId="0"/>
    <xf numFmtId="164" fontId="26" fillId="3" borderId="22" pivotButton="0" quotePrefix="0" xfId="0"/>
    <xf numFmtId="164" fontId="31" fillId="3" borderId="0" applyAlignment="1" pivotButton="0" quotePrefix="0" xfId="0">
      <alignment horizontal="left"/>
    </xf>
    <xf numFmtId="199" fontId="25" fillId="6" borderId="0" applyAlignment="1" pivotButton="0" quotePrefix="0" xfId="0">
      <alignment horizontal="center"/>
    </xf>
    <xf numFmtId="199" fontId="25" fillId="3" borderId="0" applyAlignment="1" pivotButton="0" quotePrefix="0" xfId="0">
      <alignment horizontal="center"/>
    </xf>
    <xf numFmtId="199" fontId="25" fillId="3" borderId="21" applyAlignment="1" pivotButton="0" quotePrefix="0" xfId="0">
      <alignment horizontal="center"/>
    </xf>
    <xf numFmtId="199" fontId="25" fillId="3" borderId="0" pivotButton="0" quotePrefix="0" xfId="0"/>
    <xf numFmtId="173" fontId="49" fillId="3" borderId="0" applyAlignment="1" pivotButton="0" quotePrefix="0" xfId="0">
      <alignment horizontal="left"/>
    </xf>
    <xf numFmtId="166" fontId="49" fillId="3" borderId="0" applyAlignment="1" pivotButton="0" quotePrefix="0" xfId="0">
      <alignment horizontal="left" indent="3"/>
    </xf>
    <xf numFmtId="173" fontId="49" fillId="6" borderId="0" applyAlignment="1" pivotButton="0" quotePrefix="0" xfId="0">
      <alignment horizontal="right"/>
    </xf>
    <xf numFmtId="173" fontId="49" fillId="3" borderId="0" applyAlignment="1" pivotButton="0" quotePrefix="0" xfId="0">
      <alignment horizontal="right"/>
    </xf>
    <xf numFmtId="173" fontId="49" fillId="3" borderId="21" applyAlignment="1" pivotButton="0" quotePrefix="0" xfId="0">
      <alignment horizontal="right"/>
    </xf>
    <xf numFmtId="173" fontId="49" fillId="3" borderId="0" pivotButton="0" quotePrefix="0" xfId="0"/>
    <xf numFmtId="166" fontId="25" fillId="3" borderId="13" applyAlignment="1" pivotButton="0" quotePrefix="0" xfId="0">
      <alignment horizontal="left" indent="1"/>
    </xf>
    <xf numFmtId="164" fontId="26" fillId="3" borderId="13" applyAlignment="1" pivotButton="0" quotePrefix="0" xfId="0">
      <alignment horizontal="left" indent="2"/>
    </xf>
    <xf numFmtId="164" fontId="25" fillId="3" borderId="13" applyAlignment="1" pivotButton="0" quotePrefix="0" xfId="0">
      <alignment horizontal="left" indent="1"/>
    </xf>
    <xf numFmtId="164" fontId="25" fillId="6" borderId="13" pivotButton="0" quotePrefix="0" xfId="0"/>
    <xf numFmtId="164" fontId="25" fillId="3" borderId="13" pivotButton="0" quotePrefix="0" xfId="0"/>
    <xf numFmtId="164" fontId="25" fillId="3" borderId="22" pivotButton="0" quotePrefix="0" xfId="0"/>
    <xf numFmtId="164" fontId="25" fillId="3" borderId="13" applyAlignment="1" pivotButton="0" quotePrefix="0" xfId="0">
      <alignment horizontal="left"/>
    </xf>
    <xf numFmtId="173" fontId="31" fillId="3" borderId="0" applyAlignment="1" pivotButton="0" quotePrefix="0" xfId="0">
      <alignment horizontal="left" indent="1"/>
    </xf>
    <xf numFmtId="173" fontId="31" fillId="6" borderId="0" pivotButton="0" quotePrefix="0" xfId="0"/>
    <xf numFmtId="173" fontId="31" fillId="3" borderId="0" pivotButton="0" quotePrefix="0" xfId="0"/>
    <xf numFmtId="173" fontId="31" fillId="3" borderId="21" pivotButton="0" quotePrefix="0" xfId="0"/>
    <xf numFmtId="173" fontId="26" fillId="3" borderId="0" applyAlignment="1" pivotButton="0" quotePrefix="0" xfId="0">
      <alignment horizontal="left" indent="2"/>
    </xf>
    <xf numFmtId="173" fontId="26" fillId="6" borderId="0" pivotButton="0" quotePrefix="0" xfId="0"/>
    <xf numFmtId="173" fontId="26" fillId="3" borderId="21" pivotButton="0" quotePrefix="0" xfId="0"/>
    <xf numFmtId="173" fontId="26" fillId="3" borderId="13" applyAlignment="1" pivotButton="0" quotePrefix="0" xfId="0">
      <alignment horizontal="left" indent="2"/>
    </xf>
    <xf numFmtId="173" fontId="26" fillId="6" borderId="13" pivotButton="0" quotePrefix="0" xfId="0"/>
    <xf numFmtId="173" fontId="26" fillId="3" borderId="13" pivotButton="0" quotePrefix="0" xfId="0"/>
    <xf numFmtId="173" fontId="26" fillId="3" borderId="22" pivotButton="0" quotePrefix="0" xfId="0"/>
    <xf numFmtId="190" fontId="22" fillId="5" borderId="0" applyAlignment="1" pivotButton="0" quotePrefix="0" xfId="0">
      <alignment horizontal="left"/>
    </xf>
    <xf numFmtId="190" fontId="22" fillId="5" borderId="0" pivotButton="0" quotePrefix="0" xfId="0"/>
    <xf numFmtId="190" fontId="22" fillId="5" borderId="21" pivotButton="0" quotePrefix="0" xfId="0"/>
    <xf numFmtId="190" fontId="6" fillId="3" borderId="0" pivotButton="0" quotePrefix="0" xfId="0"/>
    <xf numFmtId="190" fontId="25" fillId="3" borderId="13" applyAlignment="1" pivotButton="0" quotePrefix="0" xfId="0">
      <alignment horizontal="left" indent="1"/>
    </xf>
    <xf numFmtId="190" fontId="25" fillId="6" borderId="13" pivotButton="0" quotePrefix="0" xfId="0"/>
    <xf numFmtId="190" fontId="25" fillId="3" borderId="13" pivotButton="0" quotePrefix="0" xfId="0"/>
    <xf numFmtId="190" fontId="25" fillId="3" borderId="22" pivotButton="0" quotePrefix="0" xfId="0"/>
    <xf numFmtId="190" fontId="25" fillId="3" borderId="0" applyAlignment="1" pivotButton="0" quotePrefix="0" xfId="0">
      <alignment horizontal="left"/>
    </xf>
    <xf numFmtId="190" fontId="25" fillId="3" borderId="13" applyAlignment="1" pivotButton="0" quotePrefix="0" xfId="0">
      <alignment horizontal="left"/>
    </xf>
    <xf numFmtId="190" fontId="23" fillId="3" borderId="0" applyAlignment="1" pivotButton="0" quotePrefix="0" xfId="0">
      <alignment horizontal="left"/>
    </xf>
    <xf numFmtId="166" fontId="25" fillId="3" borderId="2" applyAlignment="1" pivotButton="0" quotePrefix="0" xfId="0">
      <alignment horizontal="left"/>
    </xf>
    <xf numFmtId="166" fontId="25" fillId="3" borderId="7" applyAlignment="1" pivotButton="0" quotePrefix="0" xfId="0">
      <alignment horizontal="left"/>
    </xf>
    <xf numFmtId="164" fontId="26" fillId="3" borderId="2" applyAlignment="1" pivotButton="0" quotePrefix="0" xfId="0">
      <alignment horizontal="left" indent="1"/>
    </xf>
    <xf numFmtId="166" fontId="26" fillId="3" borderId="2" applyAlignment="1" pivotButton="0" quotePrefix="0" xfId="0">
      <alignment horizontal="left" indent="3"/>
    </xf>
    <xf numFmtId="164" fontId="31" fillId="3" borderId="7" applyAlignment="1" pivotButton="0" quotePrefix="0" xfId="0">
      <alignment horizontal="left"/>
    </xf>
    <xf numFmtId="166" fontId="31" fillId="3" borderId="7" applyAlignment="1" pivotButton="0" quotePrefix="0" xfId="0">
      <alignment horizontal="left" indent="3"/>
    </xf>
    <xf numFmtId="164" fontId="31" fillId="6" borderId="7" pivotButton="0" quotePrefix="0" xfId="0"/>
    <xf numFmtId="164" fontId="31" fillId="3" borderId="7" pivotButton="0" quotePrefix="0" xfId="0"/>
    <xf numFmtId="164" fontId="31" fillId="3" borderId="28" pivotButton="0" quotePrefix="0" xfId="0"/>
    <xf numFmtId="164" fontId="26" fillId="3" borderId="2" applyAlignment="1" pivotButton="0" quotePrefix="0" xfId="0">
      <alignment horizontal="left" indent="2"/>
    </xf>
    <xf numFmtId="168" fontId="6" fillId="0" borderId="0" pivotButton="0" quotePrefix="0" xfId="0"/>
    <xf numFmtId="168" fontId="24" fillId="3" borderId="0" applyAlignment="1" pivotButton="0" quotePrefix="0" xfId="0">
      <alignment horizontal="left"/>
    </xf>
    <xf numFmtId="168" fontId="23" fillId="6" borderId="0" applyAlignment="1" pivotButton="0" quotePrefix="0" xfId="16">
      <alignment horizontal="right" indent="1"/>
    </xf>
    <xf numFmtId="168" fontId="23" fillId="6" borderId="0" pivotButton="0" quotePrefix="0" xfId="16"/>
    <xf numFmtId="168" fontId="23" fillId="3" borderId="0" pivotButton="0" quotePrefix="0" xfId="16"/>
    <xf numFmtId="168" fontId="23" fillId="3" borderId="21" pivotButton="0" quotePrefix="0" xfId="16"/>
    <xf numFmtId="168" fontId="27" fillId="3" borderId="0" pivotButton="0" quotePrefix="0" xfId="16"/>
    <xf numFmtId="168" fontId="27" fillId="3" borderId="21" pivotButton="0" quotePrefix="0" xfId="16"/>
    <xf numFmtId="168" fontId="27" fillId="6" borderId="0" applyAlignment="1" pivotButton="0" quotePrefix="0" xfId="16">
      <alignment horizontal="right"/>
    </xf>
    <xf numFmtId="166" fontId="3" fillId="3" borderId="0" pivotButton="0" quotePrefix="0" xfId="0"/>
    <xf numFmtId="166" fontId="53" fillId="3" borderId="0" pivotButton="0" quotePrefix="0" xfId="0"/>
    <xf numFmtId="166" fontId="53" fillId="6" borderId="0" pivotButton="0" quotePrefix="0" xfId="0"/>
    <xf numFmtId="166" fontId="27" fillId="6" borderId="0" applyAlignment="1" pivotButton="0" quotePrefix="0" xfId="0">
      <alignment horizontal="right"/>
    </xf>
    <xf numFmtId="165" fontId="0" fillId="0" borderId="0" pivotButton="0" quotePrefix="0" xfId="0"/>
    <xf numFmtId="165" fontId="2" fillId="3" borderId="0" pivotButton="0" quotePrefix="0" xfId="16"/>
    <xf numFmtId="165" fontId="25" fillId="3" borderId="0" applyAlignment="1" pivotButton="0" quotePrefix="0" xfId="0">
      <alignment horizontal="left" indent="3"/>
    </xf>
    <xf numFmtId="165" fontId="52" fillId="6" borderId="0" pivotButton="0" quotePrefix="0" xfId="0"/>
    <xf numFmtId="165" fontId="52" fillId="3" borderId="0" pivotButton="0" quotePrefix="0" xfId="0"/>
    <xf numFmtId="165" fontId="0" fillId="6" borderId="0" pivotButton="0" quotePrefix="0" xfId="0"/>
    <xf numFmtId="165" fontId="52" fillId="3" borderId="21" pivotButton="0" quotePrefix="0" xfId="0"/>
    <xf numFmtId="165" fontId="25" fillId="6" borderId="0" pivotButton="0" quotePrefix="0" xfId="0"/>
    <xf numFmtId="165" fontId="0" fillId="3" borderId="0" pivotButton="0" quotePrefix="0" xfId="0"/>
    <xf numFmtId="165" fontId="21" fillId="3" borderId="0" pivotButton="0" quotePrefix="0" xfId="16"/>
    <xf numFmtId="165" fontId="25" fillId="3" borderId="0" pivotButton="0" quotePrefix="0" xfId="0"/>
    <xf numFmtId="165" fontId="25" fillId="3" borderId="21" pivotButton="0" quotePrefix="0" xfId="0"/>
    <xf numFmtId="165" fontId="21" fillId="3" borderId="0" applyAlignment="1" pivotButton="0" quotePrefix="0" xfId="16">
      <alignment horizontal="left" indent="1"/>
    </xf>
    <xf numFmtId="166" fontId="52" fillId="6" borderId="0" applyAlignment="1" pivotButton="0" quotePrefix="0" xfId="0">
      <alignment horizontal="right"/>
    </xf>
    <xf numFmtId="165" fontId="21" fillId="3" borderId="12" pivotButton="0" quotePrefix="0" xfId="16"/>
    <xf numFmtId="165" fontId="25" fillId="3" borderId="12" applyAlignment="1" pivotButton="0" quotePrefix="0" xfId="0">
      <alignment horizontal="left" indent="3"/>
    </xf>
    <xf numFmtId="165" fontId="3" fillId="3" borderId="0" pivotButton="0" quotePrefix="0" xfId="16"/>
    <xf numFmtId="165" fontId="23" fillId="3" borderId="0" applyAlignment="1" pivotButton="0" quotePrefix="0" xfId="0">
      <alignment horizontal="left" indent="3"/>
    </xf>
    <xf numFmtId="176" fontId="23" fillId="6" borderId="0" pivotButton="0" quotePrefix="0" xfId="0"/>
    <xf numFmtId="176" fontId="23" fillId="3" borderId="0" pivotButton="0" quotePrefix="0" xfId="0"/>
    <xf numFmtId="176" fontId="23" fillId="3" borderId="21" pivotButton="0" quotePrefix="0" xfId="0"/>
    <xf numFmtId="176" fontId="53" fillId="3" borderId="0" pivotButton="0" quotePrefix="0" xfId="0"/>
    <xf numFmtId="176" fontId="53" fillId="6" borderId="0" pivotButton="0" quotePrefix="0" xfId="0"/>
    <xf numFmtId="166" fontId="0" fillId="6" borderId="0" applyAlignment="1" pivotButton="0" quotePrefix="0" xfId="0">
      <alignment horizontal="right"/>
    </xf>
    <xf numFmtId="166" fontId="0" fillId="3" borderId="0" applyAlignment="1" pivotButton="0" quotePrefix="0" xfId="0">
      <alignment horizontal="right"/>
    </xf>
    <xf numFmtId="166" fontId="0" fillId="3" borderId="21" applyAlignment="1" pivotButton="0" quotePrefix="0" xfId="0">
      <alignment horizontal="right"/>
    </xf>
    <xf numFmtId="164" fontId="23" fillId="6" borderId="0" applyAlignment="1" pivotButton="0" quotePrefix="0" xfId="0">
      <alignment horizontal="right"/>
    </xf>
    <xf numFmtId="164" fontId="6" fillId="6" borderId="0" applyAlignment="1" pivotButton="0" quotePrefix="0" xfId="0">
      <alignment horizontal="right"/>
    </xf>
    <xf numFmtId="164" fontId="6" fillId="3" borderId="0" applyAlignment="1" pivotButton="0" quotePrefix="0" xfId="0">
      <alignment horizontal="right"/>
    </xf>
    <xf numFmtId="164" fontId="23" fillId="3" borderId="0" applyAlignment="1" pivotButton="0" quotePrefix="0" xfId="0">
      <alignment horizontal="right"/>
    </xf>
    <xf numFmtId="164" fontId="6" fillId="3" borderId="21" applyAlignment="1" pivotButton="0" quotePrefix="0" xfId="0">
      <alignment horizontal="right"/>
    </xf>
    <xf numFmtId="164" fontId="53" fillId="3" borderId="0" applyAlignment="1" pivotButton="0" quotePrefix="0" xfId="0">
      <alignment horizontal="right"/>
    </xf>
    <xf numFmtId="164" fontId="53" fillId="6" borderId="0" applyAlignment="1" pivotButton="0" quotePrefix="0" xfId="0">
      <alignment horizontal="right"/>
    </xf>
    <xf numFmtId="164" fontId="23" fillId="3" borderId="21" applyAlignment="1" pivotButton="0" quotePrefix="0" xfId="0">
      <alignment horizontal="right"/>
    </xf>
    <xf numFmtId="167" fontId="23" fillId="6" borderId="0" applyAlignment="1" pivotButton="0" quotePrefix="0" xfId="0">
      <alignment horizontal="right"/>
    </xf>
    <xf numFmtId="167" fontId="23" fillId="3" borderId="0" applyAlignment="1" pivotButton="0" quotePrefix="0" xfId="0">
      <alignment horizontal="right"/>
    </xf>
    <xf numFmtId="167" fontId="23" fillId="3" borderId="21" applyAlignment="1" pivotButton="0" quotePrefix="0" xfId="0">
      <alignment horizontal="right"/>
    </xf>
    <xf numFmtId="167" fontId="6" fillId="0" borderId="0" pivotButton="0" quotePrefix="0" xfId="0"/>
    <xf numFmtId="167" fontId="3" fillId="3" borderId="0" pivotButton="0" quotePrefix="0" xfId="0"/>
    <xf numFmtId="167" fontId="23" fillId="3" borderId="0" applyAlignment="1" pivotButton="0" quotePrefix="0" xfId="0">
      <alignment horizontal="left" indent="3"/>
    </xf>
    <xf numFmtId="167" fontId="6" fillId="6" borderId="0" applyAlignment="1" pivotButton="0" quotePrefix="0" xfId="0">
      <alignment horizontal="right"/>
    </xf>
    <xf numFmtId="167" fontId="23" fillId="3" borderId="0" pivotButton="0" quotePrefix="0" xfId="0"/>
    <xf numFmtId="167" fontId="23" fillId="3" borderId="21" pivotButton="0" quotePrefix="0" xfId="0"/>
    <xf numFmtId="167" fontId="6" fillId="3" borderId="0" pivotButton="0" quotePrefix="0" xfId="0"/>
    <xf numFmtId="176" fontId="6" fillId="0" borderId="0" pivotButton="0" quotePrefix="0" xfId="0"/>
    <xf numFmtId="189" fontId="6" fillId="3" borderId="0" applyAlignment="1" pivotButton="0" quotePrefix="0" xfId="0">
      <alignment horizontal="left"/>
    </xf>
    <xf numFmtId="176" fontId="53" fillId="3" borderId="0" applyAlignment="1" pivotButton="0" quotePrefix="0" xfId="0">
      <alignment horizontal="left"/>
    </xf>
    <xf numFmtId="176" fontId="6" fillId="6" borderId="0" applyAlignment="1" pivotButton="0" quotePrefix="0" xfId="0">
      <alignment horizontal="right"/>
    </xf>
    <xf numFmtId="176" fontId="6" fillId="3" borderId="0" applyAlignment="1" pivotButton="0" quotePrefix="0" xfId="0">
      <alignment horizontal="right"/>
    </xf>
    <xf numFmtId="176" fontId="6" fillId="3" borderId="21" applyAlignment="1" pivotButton="0" quotePrefix="0" xfId="0">
      <alignment horizontal="right"/>
    </xf>
    <xf numFmtId="176" fontId="6" fillId="3" borderId="0" pivotButton="0" quotePrefix="0" xfId="0"/>
    <xf numFmtId="167" fontId="0" fillId="0" borderId="0" pivotButton="0" quotePrefix="0" xfId="0"/>
    <xf numFmtId="167" fontId="21" fillId="3" borderId="0" pivotButton="0" quotePrefix="0" xfId="0"/>
    <xf numFmtId="167" fontId="25" fillId="3" borderId="0" applyAlignment="1" pivotButton="0" quotePrefix="0" xfId="0">
      <alignment horizontal="left" indent="3"/>
    </xf>
    <xf numFmtId="167" fontId="25" fillId="3" borderId="0" pivotButton="0" quotePrefix="0" xfId="0"/>
    <xf numFmtId="167" fontId="25" fillId="3" borderId="21" pivotButton="0" quotePrefix="0" xfId="0"/>
    <xf numFmtId="167" fontId="0" fillId="3" borderId="0" pivotButton="0" quotePrefix="0" xfId="0"/>
    <xf numFmtId="167" fontId="2" fillId="3" borderId="0" pivotButton="0" quotePrefix="0" xfId="0"/>
    <xf numFmtId="167" fontId="0" fillId="6" borderId="0" applyAlignment="1" pivotButton="0" quotePrefix="0" xfId="0">
      <alignment horizontal="right"/>
    </xf>
    <xf numFmtId="164" fontId="21" fillId="3" borderId="0" pivotButton="0" quotePrefix="0" xfId="16"/>
    <xf numFmtId="164" fontId="0" fillId="6" borderId="0" applyAlignment="1" pivotButton="0" quotePrefix="0" xfId="0">
      <alignment horizontal="right"/>
    </xf>
    <xf numFmtId="164" fontId="25" fillId="3" borderId="0" applyAlignment="1" pivotButton="0" quotePrefix="0" xfId="0">
      <alignment horizontal="right"/>
    </xf>
    <xf numFmtId="164" fontId="25" fillId="6" borderId="0" applyAlignment="1" pivotButton="0" quotePrefix="0" xfId="0">
      <alignment horizontal="right"/>
    </xf>
    <xf numFmtId="164" fontId="25" fillId="3" borderId="21" applyAlignment="1" pivotButton="0" quotePrefix="0" xfId="0">
      <alignment horizontal="right"/>
    </xf>
    <xf numFmtId="176" fontId="0" fillId="0" borderId="0" pivotButton="0" quotePrefix="0" xfId="0"/>
    <xf numFmtId="176" fontId="0" fillId="3" borderId="0" applyAlignment="1" pivotButton="0" quotePrefix="0" xfId="0">
      <alignment horizontal="left" indent="1"/>
    </xf>
    <xf numFmtId="176" fontId="21" fillId="3" borderId="0" pivotButton="0" quotePrefix="0" xfId="16"/>
    <xf numFmtId="176" fontId="0" fillId="6" borderId="0" applyAlignment="1" pivotButton="0" quotePrefix="0" xfId="0">
      <alignment horizontal="right"/>
    </xf>
    <xf numFmtId="176" fontId="0" fillId="3" borderId="0" applyAlignment="1" pivotButton="0" quotePrefix="0" xfId="0">
      <alignment horizontal="right"/>
    </xf>
    <xf numFmtId="176" fontId="0" fillId="3" borderId="21" applyAlignment="1" pivotButton="0" quotePrefix="0" xfId="0">
      <alignment horizontal="right"/>
    </xf>
    <xf numFmtId="176" fontId="25" fillId="3" borderId="0" applyAlignment="1" pivotButton="0" quotePrefix="0" xfId="0">
      <alignment horizontal="right"/>
    </xf>
    <xf numFmtId="188" fontId="0" fillId="6" borderId="0" applyAlignment="1" pivotButton="0" quotePrefix="0" xfId="0">
      <alignment horizontal="right"/>
    </xf>
    <xf numFmtId="188" fontId="0" fillId="3" borderId="0" applyAlignment="1" pivotButton="0" quotePrefix="0" xfId="0">
      <alignment horizontal="right"/>
    </xf>
    <xf numFmtId="188" fontId="25" fillId="6" borderId="0" pivotButton="0" quotePrefix="0" xfId="0"/>
    <xf numFmtId="188" fontId="0" fillId="3" borderId="21" applyAlignment="1" pivotButton="0" quotePrefix="0" xfId="0">
      <alignment horizontal="right"/>
    </xf>
    <xf numFmtId="188" fontId="25" fillId="3" borderId="0" applyAlignment="1" pivotButton="0" quotePrefix="0" xfId="0">
      <alignment horizontal="right"/>
    </xf>
    <xf numFmtId="174" fontId="0" fillId="0" borderId="0" pivotButton="0" quotePrefix="0" xfId="0"/>
    <xf numFmtId="174" fontId="0" fillId="3" borderId="0" applyAlignment="1" pivotButton="0" quotePrefix="0" xfId="0">
      <alignment horizontal="left" indent="1"/>
    </xf>
    <xf numFmtId="174" fontId="21" fillId="3" borderId="0" pivotButton="0" quotePrefix="0" xfId="16"/>
    <xf numFmtId="174" fontId="0" fillId="6" borderId="0" applyAlignment="1" pivotButton="0" quotePrefix="0" xfId="0">
      <alignment horizontal="right"/>
    </xf>
    <xf numFmtId="174" fontId="0" fillId="3" borderId="0" applyAlignment="1" pivotButton="0" quotePrefix="0" xfId="0">
      <alignment horizontal="right"/>
    </xf>
    <xf numFmtId="174" fontId="25" fillId="6" borderId="0" pivotButton="0" quotePrefix="0" xfId="0"/>
    <xf numFmtId="174" fontId="0" fillId="3" borderId="21" applyAlignment="1" pivotButton="0" quotePrefix="0" xfId="0">
      <alignment horizontal="right"/>
    </xf>
    <xf numFmtId="174" fontId="25" fillId="3" borderId="0" applyAlignment="1" pivotButton="0" quotePrefix="0" xfId="0">
      <alignment horizontal="right"/>
    </xf>
    <xf numFmtId="174" fontId="0" fillId="3" borderId="0" pivotButton="0" quotePrefix="0" xfId="0"/>
    <xf numFmtId="166" fontId="6" fillId="3" borderId="0" applyAlignment="1" pivotButton="0" quotePrefix="0" xfId="0">
      <alignment horizontal="left" indent="1"/>
    </xf>
    <xf numFmtId="166" fontId="53" fillId="3" borderId="21" pivotButton="0" quotePrefix="0" xfId="0"/>
    <xf numFmtId="166" fontId="22" fillId="5" borderId="0" applyAlignment="1" pivotButton="0" quotePrefix="0" xfId="0">
      <alignment horizontal="right"/>
    </xf>
    <xf numFmtId="166" fontId="22" fillId="5" borderId="21" applyAlignment="1" pivotButton="0" quotePrefix="0" xfId="0">
      <alignment horizontal="right"/>
    </xf>
    <xf numFmtId="166" fontId="23" fillId="6" borderId="0" applyAlignment="1" pivotButton="0" quotePrefix="0" xfId="0">
      <alignment horizontal="right"/>
    </xf>
    <xf numFmtId="166" fontId="23" fillId="3" borderId="0" applyAlignment="1" pivotButton="0" quotePrefix="0" xfId="0">
      <alignment horizontal="right"/>
    </xf>
    <xf numFmtId="166" fontId="23" fillId="3" borderId="21" applyAlignment="1" pivotButton="0" quotePrefix="0" xfId="0">
      <alignment horizontal="right"/>
    </xf>
    <xf numFmtId="166" fontId="23" fillId="3" borderId="12" applyAlignment="1" pivotButton="0" quotePrefix="0" xfId="0">
      <alignment horizontal="left"/>
    </xf>
    <xf numFmtId="166" fontId="23" fillId="6" borderId="12" applyAlignment="1" pivotButton="0" quotePrefix="0" xfId="0">
      <alignment horizontal="right"/>
    </xf>
    <xf numFmtId="166" fontId="23" fillId="3" borderId="12" applyAlignment="1" pivotButton="0" quotePrefix="0" xfId="0">
      <alignment horizontal="right"/>
    </xf>
    <xf numFmtId="166" fontId="23" fillId="3" borderId="34" applyAlignment="1" pivotButton="0" quotePrefix="0" xfId="0">
      <alignment horizontal="right"/>
    </xf>
    <xf numFmtId="166" fontId="26" fillId="3" borderId="0" applyAlignment="1" pivotButton="0" quotePrefix="0" xfId="0">
      <alignment horizontal="left"/>
    </xf>
    <xf numFmtId="164" fontId="26" fillId="3" borderId="21" applyAlignment="1" pivotButton="0" quotePrefix="0" xfId="0">
      <alignment horizontal="right"/>
    </xf>
    <xf numFmtId="164" fontId="57" fillId="3" borderId="0" applyAlignment="1" pivotButton="0" quotePrefix="0" xfId="0">
      <alignment horizontal="right"/>
    </xf>
    <xf numFmtId="164" fontId="57" fillId="6" borderId="0" applyAlignment="1" pivotButton="0" quotePrefix="0" xfId="0">
      <alignment horizontal="right"/>
    </xf>
    <xf numFmtId="173" fontId="23" fillId="6" borderId="0" applyAlignment="1" pivotButton="0" quotePrefix="0" xfId="0">
      <alignment horizontal="right"/>
    </xf>
    <xf numFmtId="173" fontId="23" fillId="3" borderId="0" applyAlignment="1" pivotButton="0" quotePrefix="0" xfId="0">
      <alignment horizontal="right"/>
    </xf>
    <xf numFmtId="173" fontId="23" fillId="3" borderId="21" applyAlignment="1" pivotButton="0" quotePrefix="0" xfId="0">
      <alignment horizontal="right"/>
    </xf>
    <xf numFmtId="198" fontId="6" fillId="3" borderId="0" applyAlignment="1" pivotButton="0" quotePrefix="0" xfId="0">
      <alignment horizontal="left"/>
    </xf>
    <xf numFmtId="164" fontId="23" fillId="3" borderId="0" applyAlignment="1" pivotButton="0" quotePrefix="0" xfId="0">
      <alignment horizontal="left" indent="3"/>
    </xf>
    <xf numFmtId="164" fontId="6" fillId="6" borderId="0" pivotButton="0" quotePrefix="0" xfId="0"/>
    <xf numFmtId="164" fontId="6" fillId="3" borderId="21" pivotButton="0" quotePrefix="0" xfId="0"/>
    <xf numFmtId="198" fontId="23" fillId="3" borderId="0" applyAlignment="1" pivotButton="0" quotePrefix="0" xfId="0">
      <alignment horizontal="left"/>
    </xf>
    <xf numFmtId="198" fontId="9" fillId="3" borderId="0" applyAlignment="1" pivotButton="0" quotePrefix="0" xfId="0">
      <alignment horizontal="left"/>
    </xf>
    <xf numFmtId="164" fontId="31" fillId="3" borderId="0" applyAlignment="1" pivotButton="0" quotePrefix="0" xfId="0">
      <alignment horizontal="left" indent="3"/>
    </xf>
    <xf numFmtId="164" fontId="9" fillId="6" borderId="0" pivotButton="0" quotePrefix="0" xfId="0"/>
    <xf numFmtId="164" fontId="9" fillId="3" borderId="0" pivotButton="0" quotePrefix="0" xfId="0"/>
    <xf numFmtId="164" fontId="9" fillId="3" borderId="21" pivotButton="0" quotePrefix="0" xfId="0"/>
    <xf numFmtId="164" fontId="56" fillId="3" borderId="0" pivotButton="0" quotePrefix="0" xfId="0"/>
    <xf numFmtId="164" fontId="56" fillId="6" borderId="0" pivotButton="0" quotePrefix="0" xfId="0"/>
    <xf numFmtId="166" fontId="29" fillId="5" borderId="0" pivotButton="0" quotePrefix="0" xfId="0"/>
    <xf numFmtId="166" fontId="29" fillId="5" borderId="21" pivotButton="0" quotePrefix="0" xfId="0"/>
    <xf numFmtId="166" fontId="21" fillId="3" borderId="13" applyAlignment="1" pivotButton="0" quotePrefix="0" xfId="28">
      <alignment horizontal="left" indent="1"/>
    </xf>
    <xf numFmtId="166" fontId="21" fillId="3" borderId="0" pivotButton="0" quotePrefix="0" xfId="28"/>
    <xf numFmtId="173" fontId="6" fillId="0" borderId="0" pivotButton="0" quotePrefix="0" xfId="0"/>
    <xf numFmtId="166" fontId="24" fillId="3" borderId="17" pivotButton="0" quotePrefix="0" xfId="28"/>
    <xf numFmtId="173" fontId="23" fillId="3" borderId="11" pivotButton="0" quotePrefix="0" xfId="0"/>
    <xf numFmtId="173" fontId="24" fillId="3" borderId="0" pivotButton="0" quotePrefix="0" xfId="28"/>
    <xf numFmtId="173" fontId="23" fillId="3" borderId="21" pivotButton="0" quotePrefix="0" xfId="0"/>
    <xf numFmtId="173" fontId="6" fillId="3" borderId="0" pivotButton="0" quotePrefix="0" xfId="0"/>
    <xf numFmtId="201" fontId="21" fillId="3" borderId="18" applyAlignment="1" pivotButton="0" quotePrefix="0" xfId="28">
      <alignment horizontal="left" indent="1"/>
    </xf>
    <xf numFmtId="173" fontId="25" fillId="3" borderId="11" pivotButton="0" quotePrefix="0" xfId="0"/>
    <xf numFmtId="173" fontId="21" fillId="3" borderId="0" pivotButton="0" quotePrefix="0" xfId="28"/>
    <xf numFmtId="177" fontId="21" fillId="3" borderId="18" applyAlignment="1" pivotButton="0" quotePrefix="0" xfId="28">
      <alignment horizontal="left" indent="1"/>
    </xf>
    <xf numFmtId="178" fontId="21" fillId="3" borderId="18" applyAlignment="1" pivotButton="0" quotePrefix="0" xfId="28">
      <alignment horizontal="left" indent="1"/>
    </xf>
    <xf numFmtId="179" fontId="21" fillId="3" borderId="18" applyAlignment="1" pivotButton="0" quotePrefix="0" xfId="28">
      <alignment horizontal="left" indent="1"/>
    </xf>
    <xf numFmtId="182" fontId="21" fillId="3" borderId="19" applyAlignment="1" pivotButton="0" quotePrefix="0" xfId="28">
      <alignment horizontal="left" indent="1"/>
    </xf>
    <xf numFmtId="166" fontId="21" fillId="3" borderId="16" applyAlignment="1" pivotButton="0" quotePrefix="0" xfId="28">
      <alignment horizontal="left" indent="1"/>
    </xf>
    <xf numFmtId="173" fontId="25" fillId="3" borderId="13" pivotButton="0" quotePrefix="0" xfId="0"/>
    <xf numFmtId="166" fontId="24" fillId="3" borderId="8" pivotButton="0" quotePrefix="0" xfId="28"/>
    <xf numFmtId="166" fontId="21" fillId="3" borderId="5" applyAlignment="1" pivotButton="0" quotePrefix="0" xfId="28">
      <alignment horizontal="left" indent="1"/>
    </xf>
    <xf numFmtId="173" fontId="58" fillId="3" borderId="4" pivotButton="0" quotePrefix="0" xfId="28"/>
    <xf numFmtId="166" fontId="21" fillId="3" borderId="3" applyAlignment="1" pivotButton="0" quotePrefix="0" xfId="28">
      <alignment horizontal="left" indent="1"/>
    </xf>
    <xf numFmtId="173" fontId="58" fillId="3" borderId="1" pivotButton="0" quotePrefix="0" xfId="28"/>
    <xf numFmtId="166" fontId="21" fillId="3" borderId="0" applyAlignment="1" pivotButton="0" quotePrefix="0" xfId="28">
      <alignment horizontal="left" indent="1"/>
    </xf>
    <xf numFmtId="166" fontId="3" fillId="3" borderId="6" applyAlignment="1" pivotButton="0" quotePrefix="0" xfId="28">
      <alignment horizontal="left"/>
    </xf>
    <xf numFmtId="166" fontId="2" fillId="3" borderId="4" applyAlignment="1" pivotButton="0" quotePrefix="0" xfId="28">
      <alignment horizontal="left" indent="1"/>
    </xf>
    <xf numFmtId="166" fontId="21" fillId="3" borderId="1" applyAlignment="1" pivotButton="0" quotePrefix="0" xfId="28">
      <alignment horizontal="left" indent="1"/>
    </xf>
    <xf numFmtId="166" fontId="24" fillId="3" borderId="6" applyAlignment="1" pivotButton="0" quotePrefix="0" xfId="28">
      <alignment horizontal="left"/>
    </xf>
    <xf numFmtId="166" fontId="21" fillId="3" borderId="4" applyAlignment="1" pivotButton="0" quotePrefix="0" xfId="28">
      <alignment horizontal="left" indent="1"/>
    </xf>
    <xf numFmtId="173" fontId="21" fillId="3" borderId="13" pivotButton="0" quotePrefix="0" xfId="28"/>
    <xf numFmtId="173" fontId="25" fillId="3" borderId="22" pivotButton="0" quotePrefix="0" xfId="0"/>
    <xf numFmtId="166" fontId="24" fillId="3" borderId="7" applyAlignment="1" pivotButton="0" quotePrefix="0" xfId="28">
      <alignment horizontal="left"/>
    </xf>
    <xf numFmtId="173" fontId="25" fillId="3" borderId="7" pivotButton="0" quotePrefix="0" xfId="0"/>
    <xf numFmtId="173" fontId="21" fillId="3" borderId="7" pivotButton="0" quotePrefix="0" xfId="28"/>
    <xf numFmtId="173" fontId="25" fillId="3" borderId="28" pivotButton="0" quotePrefix="0" xfId="0"/>
    <xf numFmtId="173" fontId="25" fillId="3" borderId="6" pivotButton="0" quotePrefix="0" xfId="0"/>
    <xf numFmtId="166" fontId="24" fillId="3" borderId="0" applyAlignment="1" pivotButton="0" quotePrefix="0" xfId="28">
      <alignment horizontal="left"/>
    </xf>
    <xf numFmtId="194" fontId="24" fillId="3" borderId="0" applyAlignment="1" pivotButton="0" quotePrefix="0" xfId="28">
      <alignment horizontal="right"/>
    </xf>
    <xf numFmtId="194" fontId="23" fillId="3" borderId="0" applyAlignment="1" pivotButton="0" quotePrefix="0" xfId="0">
      <alignment horizontal="right"/>
    </xf>
    <xf numFmtId="194" fontId="53" fillId="3" borderId="0" applyAlignment="1" pivotButton="0" quotePrefix="0" xfId="0">
      <alignment horizontal="right"/>
    </xf>
    <xf numFmtId="194" fontId="53" fillId="3" borderId="21" applyAlignment="1" pivotButton="0" quotePrefix="0" xfId="0">
      <alignment horizontal="right"/>
    </xf>
    <xf numFmtId="194" fontId="23" fillId="3" borderId="4" applyAlignment="1" pivotButton="0" quotePrefix="0" xfId="0">
      <alignment horizontal="right"/>
    </xf>
    <xf numFmtId="166" fontId="21" fillId="3" borderId="0" applyAlignment="1" pivotButton="0" quotePrefix="0" xfId="28">
      <alignment horizontal="left"/>
    </xf>
    <xf numFmtId="166" fontId="21" fillId="3" borderId="0" applyAlignment="1" pivotButton="0" quotePrefix="0" xfId="28">
      <alignment horizontal="right"/>
    </xf>
    <xf numFmtId="166" fontId="25" fillId="3" borderId="4" applyAlignment="1" pivotButton="0" quotePrefix="0" xfId="0">
      <alignment horizontal="right"/>
    </xf>
    <xf numFmtId="164" fontId="21" fillId="3" borderId="0" applyAlignment="1" pivotButton="0" quotePrefix="0" xfId="28">
      <alignment horizontal="left"/>
    </xf>
    <xf numFmtId="164" fontId="21" fillId="3" borderId="0" applyAlignment="1" pivotButton="0" quotePrefix="0" xfId="28">
      <alignment horizontal="right"/>
    </xf>
    <xf numFmtId="164" fontId="25" fillId="3" borderId="4" applyAlignment="1" pivotButton="0" quotePrefix="0" xfId="0">
      <alignment horizontal="right"/>
    </xf>
    <xf numFmtId="168" fontId="21" fillId="3" borderId="0" applyAlignment="1" pivotButton="0" quotePrefix="0" xfId="28">
      <alignment horizontal="left"/>
    </xf>
    <xf numFmtId="168" fontId="52" fillId="3" borderId="0" pivotButton="0" quotePrefix="0" xfId="0"/>
    <xf numFmtId="168" fontId="21" fillId="3" borderId="0" applyAlignment="1" pivotButton="0" quotePrefix="0" xfId="28">
      <alignment horizontal="right"/>
    </xf>
    <xf numFmtId="168" fontId="25" fillId="3" borderId="21" applyAlignment="1" pivotButton="0" quotePrefix="0" xfId="0">
      <alignment horizontal="right"/>
    </xf>
    <xf numFmtId="168" fontId="25" fillId="3" borderId="4" applyAlignment="1" pivotButton="0" quotePrefix="0" xfId="0">
      <alignment horizontal="right"/>
    </xf>
    <xf numFmtId="166" fontId="24" fillId="3" borderId="2" applyAlignment="1" pivotButton="0" quotePrefix="0" xfId="28">
      <alignment horizontal="left"/>
    </xf>
    <xf numFmtId="173" fontId="25" fillId="3" borderId="2" pivotButton="0" quotePrefix="0" xfId="0"/>
    <xf numFmtId="173" fontId="21" fillId="3" borderId="2" pivotButton="0" quotePrefix="0" xfId="28"/>
    <xf numFmtId="173" fontId="25" fillId="3" borderId="26" pivotButton="0" quotePrefix="0" xfId="0"/>
    <xf numFmtId="173" fontId="25" fillId="3" borderId="1" pivotButton="0" quotePrefix="0" xfId="0"/>
    <xf numFmtId="194" fontId="23" fillId="3" borderId="21" applyAlignment="1" pivotButton="0" quotePrefix="0" xfId="0">
      <alignment horizontal="right"/>
    </xf>
    <xf numFmtId="166" fontId="23" fillId="3" borderId="8" pivotButton="0" quotePrefix="0" xfId="0"/>
    <xf numFmtId="166" fontId="23" fillId="3" borderId="6" pivotButton="0" quotePrefix="0" xfId="0"/>
    <xf numFmtId="166" fontId="6" fillId="3" borderId="11" pivotButton="0" quotePrefix="0" xfId="0"/>
    <xf numFmtId="166" fontId="23" fillId="3" borderId="5" pivotButton="0" quotePrefix="0" xfId="0"/>
    <xf numFmtId="166" fontId="23" fillId="3" borderId="4" pivotButton="0" quotePrefix="0" xfId="0"/>
    <xf numFmtId="164" fontId="21" fillId="3" borderId="0" pivotButton="0" quotePrefix="0" xfId="28"/>
    <xf numFmtId="164" fontId="25" fillId="3" borderId="4" pivotButton="0" quotePrefix="0" xfId="0"/>
    <xf numFmtId="166" fontId="0" fillId="3" borderId="11" pivotButton="0" quotePrefix="0" xfId="0"/>
    <xf numFmtId="166" fontId="25" fillId="3" borderId="4" pivotButton="0" quotePrefix="0" xfId="0"/>
    <xf numFmtId="202" fontId="21" fillId="3" borderId="0" pivotButton="0" quotePrefix="0" xfId="16"/>
    <xf numFmtId="166" fontId="21" fillId="3" borderId="2" pivotButton="0" quotePrefix="0" xfId="28"/>
    <xf numFmtId="166" fontId="25" fillId="3" borderId="1" pivotButton="0" quotePrefix="0" xfId="0"/>
    <xf numFmtId="166" fontId="25" fillId="3" borderId="16" pivotButton="0" quotePrefix="0" xfId="0"/>
    <xf numFmtId="166" fontId="21" fillId="3" borderId="16" pivotButton="0" quotePrefix="0" xfId="28"/>
    <xf numFmtId="166" fontId="25" fillId="3" borderId="23" pivotButton="0" quotePrefix="0" xfId="0"/>
    <xf numFmtId="175" fontId="24" fillId="3" borderId="15" applyAlignment="1" pivotButton="0" quotePrefix="0" xfId="28">
      <alignment horizontal="left"/>
    </xf>
    <xf numFmtId="166" fontId="21" fillId="3" borderId="12" pivotButton="0" quotePrefix="0" xfId="28"/>
    <xf numFmtId="166" fontId="25" fillId="3" borderId="14" pivotButton="0" quotePrefix="0" xfId="0"/>
    <xf numFmtId="175" fontId="21" fillId="3" borderId="11" applyAlignment="1" pivotButton="0" quotePrefix="0" xfId="28">
      <alignment horizontal="left"/>
    </xf>
    <xf numFmtId="176" fontId="21" fillId="3" borderId="11" applyAlignment="1" pivotButton="0" quotePrefix="0" xfId="28">
      <alignment horizontal="left" indent="1"/>
    </xf>
    <xf numFmtId="176" fontId="21" fillId="3" borderId="0" pivotButton="0" quotePrefix="0" xfId="28"/>
    <xf numFmtId="176" fontId="25" fillId="3" borderId="10" pivotButton="0" quotePrefix="0" xfId="0"/>
    <xf numFmtId="176" fontId="0" fillId="3" borderId="11" pivotButton="0" quotePrefix="0" xfId="0"/>
    <xf numFmtId="176" fontId="21" fillId="3" borderId="11" applyAlignment="1" pivotButton="0" quotePrefix="0" xfId="28">
      <alignment horizontal="left" indent="2"/>
    </xf>
    <xf numFmtId="176" fontId="58" fillId="3" borderId="0" pivotButton="0" quotePrefix="0" xfId="28"/>
    <xf numFmtId="176" fontId="52" fillId="3" borderId="21" pivotButton="0" quotePrefix="0" xfId="0"/>
    <xf numFmtId="166" fontId="21" fillId="3" borderId="11" applyAlignment="1" pivotButton="0" quotePrefix="0" xfId="28">
      <alignment horizontal="left" indent="1"/>
    </xf>
    <xf numFmtId="166" fontId="25" fillId="3" borderId="10" pivotButton="0" quotePrefix="0" xfId="0"/>
    <xf numFmtId="174" fontId="21" fillId="3" borderId="11" applyAlignment="1" pivotButton="0" quotePrefix="0" xfId="28">
      <alignment horizontal="left" indent="1"/>
    </xf>
    <xf numFmtId="174" fontId="25" fillId="3" borderId="0" pivotButton="0" quotePrefix="0" xfId="0"/>
    <xf numFmtId="174" fontId="21" fillId="3" borderId="0" pivotButton="0" quotePrefix="0" xfId="28"/>
    <xf numFmtId="174" fontId="25" fillId="3" borderId="21" pivotButton="0" quotePrefix="0" xfId="0"/>
    <xf numFmtId="174" fontId="25" fillId="3" borderId="10" pivotButton="0" quotePrefix="0" xfId="0"/>
    <xf numFmtId="174" fontId="0" fillId="3" borderId="11" pivotButton="0" quotePrefix="0" xfId="0"/>
    <xf numFmtId="174" fontId="21" fillId="3" borderId="11" applyAlignment="1" pivotButton="0" quotePrefix="0" xfId="28">
      <alignment horizontal="left" indent="2"/>
    </xf>
    <xf numFmtId="174" fontId="58" fillId="3" borderId="0" pivotButton="0" quotePrefix="0" xfId="28"/>
    <xf numFmtId="174" fontId="52" fillId="3" borderId="0" pivotButton="0" quotePrefix="0" xfId="0"/>
    <xf numFmtId="174" fontId="52" fillId="3" borderId="21" pivotButton="0" quotePrefix="0" xfId="0"/>
    <xf numFmtId="188" fontId="58" fillId="3" borderId="0" pivotButton="0" quotePrefix="0" xfId="28"/>
    <xf numFmtId="188" fontId="52" fillId="3" borderId="0" pivotButton="0" quotePrefix="0" xfId="0"/>
    <xf numFmtId="188" fontId="52" fillId="3" borderId="21" pivotButton="0" quotePrefix="0" xfId="0"/>
    <xf numFmtId="188" fontId="25" fillId="3" borderId="0" pivotButton="0" quotePrefix="0" xfId="0"/>
    <xf numFmtId="188" fontId="25" fillId="3" borderId="10" pivotButton="0" quotePrefix="0" xfId="0"/>
    <xf numFmtId="166" fontId="21" fillId="3" borderId="25" applyAlignment="1" pivotButton="0" quotePrefix="0" xfId="28">
      <alignment horizontal="left" indent="1"/>
    </xf>
    <xf numFmtId="174" fontId="21" fillId="3" borderId="2" pivotButton="0" quotePrefix="0" xfId="28"/>
    <xf numFmtId="174" fontId="25" fillId="3" borderId="2" pivotButton="0" quotePrefix="0" xfId="0"/>
    <xf numFmtId="174" fontId="25" fillId="3" borderId="26" pivotButton="0" quotePrefix="0" xfId="0"/>
    <xf numFmtId="174" fontId="25" fillId="3" borderId="27" pivotButton="0" quotePrefix="0" xfId="0"/>
    <xf numFmtId="166" fontId="6" fillId="3" borderId="12" pivotButton="0" quotePrefix="0" xfId="0"/>
    <xf numFmtId="186" fontId="25" fillId="3" borderId="0" pivotButton="0" quotePrefix="0" xfId="0"/>
    <xf numFmtId="173" fontId="0" fillId="3" borderId="0" applyAlignment="1" pivotButton="0" quotePrefix="0" xfId="0">
      <alignment horizontal="left" indent="1"/>
    </xf>
    <xf numFmtId="173" fontId="0" fillId="3" borderId="13" applyAlignment="1" pivotButton="0" quotePrefix="0" xfId="0">
      <alignment horizontal="left" indent="1"/>
    </xf>
    <xf numFmtId="173" fontId="0" fillId="3" borderId="13" pivotButton="0" quotePrefix="0" xfId="0"/>
    <xf numFmtId="173" fontId="22" fillId="5" borderId="0" pivotButton="0" quotePrefix="0" xfId="0"/>
    <xf numFmtId="173" fontId="0" fillId="0" borderId="0" pivotButton="0" quotePrefix="0" xfId="36"/>
    <xf numFmtId="166" fontId="32" fillId="3" borderId="0" applyAlignment="1" pivotButton="0" quotePrefix="0" xfId="36">
      <alignment horizontal="center"/>
    </xf>
    <xf numFmtId="166" fontId="25" fillId="3" borderId="0" pivotButton="0" quotePrefix="0" xfId="36"/>
    <xf numFmtId="166" fontId="25" fillId="3" borderId="21" pivotButton="0" quotePrefix="0" xfId="36"/>
    <xf numFmtId="173" fontId="0" fillId="3" borderId="0" pivotButton="0" quotePrefix="0" xfId="36"/>
    <xf numFmtId="183" fontId="2" fillId="3" borderId="0" applyAlignment="1" pivotButton="0" quotePrefix="0" xfId="36">
      <alignment horizontal="left"/>
    </xf>
    <xf numFmtId="170" fontId="21" fillId="3" borderId="0" applyAlignment="1" pivotButton="0" quotePrefix="0" xfId="36">
      <alignment horizontal="center"/>
    </xf>
    <xf numFmtId="200" fontId="0" fillId="3" borderId="0" pivotButton="0" quotePrefix="0" xfId="36"/>
    <xf numFmtId="200" fontId="0" fillId="3" borderId="21" pivotButton="0" quotePrefix="0" xfId="36"/>
    <xf numFmtId="200" fontId="25" fillId="3" borderId="0" pivotButton="0" quotePrefix="0" xfId="36"/>
    <xf numFmtId="168" fontId="5" fillId="3" borderId="0" applyAlignment="1" pivotButton="0" quotePrefix="0" xfId="42">
      <alignment horizontal="center"/>
    </xf>
    <xf numFmtId="169" fontId="3" fillId="3" borderId="0" pivotButton="0" quotePrefix="0" xfId="36"/>
    <xf numFmtId="166" fontId="6" fillId="0" borderId="0" pivotButton="0" quotePrefix="0" xfId="36"/>
    <xf numFmtId="166" fontId="22" fillId="5" borderId="0" pivotButton="0" quotePrefix="0" xfId="36"/>
    <xf numFmtId="166" fontId="22" fillId="5" borderId="21" pivotButton="0" quotePrefix="0" xfId="36"/>
    <xf numFmtId="166" fontId="6" fillId="3" borderId="0" pivotButton="0" quotePrefix="0" xfId="36"/>
    <xf numFmtId="166" fontId="25" fillId="3" borderId="0" applyAlignment="1" pivotButton="0" quotePrefix="0" xfId="36">
      <alignment horizontal="left" indent="4"/>
    </xf>
    <xf numFmtId="166" fontId="25" fillId="6" borderId="0" pivotButton="0" quotePrefix="0" xfId="36"/>
    <xf numFmtId="166" fontId="52" fillId="6" borderId="0" applyAlignment="1" pivotButton="0" quotePrefix="0" xfId="36">
      <alignment horizontal="right"/>
    </xf>
    <xf numFmtId="166" fontId="23" fillId="3" borderId="0" pivotButton="0" quotePrefix="0" xfId="36"/>
    <xf numFmtId="166" fontId="23" fillId="6" borderId="0" pivotButton="0" quotePrefix="0" xfId="36"/>
    <xf numFmtId="166" fontId="25" fillId="3" borderId="2" applyAlignment="1" pivotButton="0" quotePrefix="0" xfId="36">
      <alignment horizontal="left" indent="4"/>
    </xf>
    <xf numFmtId="166" fontId="25" fillId="6" borderId="2" pivotButton="0" quotePrefix="0" xfId="36"/>
    <xf numFmtId="166" fontId="25" fillId="3" borderId="2" pivotButton="0" quotePrefix="0" xfId="36"/>
    <xf numFmtId="166" fontId="52" fillId="6" borderId="2" applyAlignment="1" pivotButton="0" quotePrefix="0" xfId="36">
      <alignment horizontal="right"/>
    </xf>
    <xf numFmtId="166" fontId="25" fillId="3" borderId="26" pivotButton="0" quotePrefix="0" xfId="36"/>
    <xf numFmtId="166" fontId="23" fillId="3" borderId="2" pivotButton="0" quotePrefix="0" xfId="36"/>
    <xf numFmtId="166" fontId="23" fillId="6" borderId="2" pivotButton="0" quotePrefix="0" xfId="36"/>
    <xf numFmtId="166" fontId="23" fillId="3" borderId="0" applyAlignment="1" pivotButton="0" quotePrefix="0" xfId="36">
      <alignment horizontal="left" indent="4"/>
    </xf>
    <xf numFmtId="166" fontId="23" fillId="6" borderId="0" applyAlignment="1" pivotButton="0" quotePrefix="0" xfId="36">
      <alignment horizontal="right"/>
    </xf>
    <xf numFmtId="166" fontId="23" fillId="3" borderId="21" pivotButton="0" quotePrefix="0" xfId="36"/>
    <xf numFmtId="166" fontId="0" fillId="0" borderId="0" pivotButton="0" quotePrefix="0" xfId="36"/>
    <xf numFmtId="166" fontId="25" fillId="6" borderId="0" applyAlignment="1" pivotButton="0" quotePrefix="0" xfId="36">
      <alignment horizontal="right"/>
    </xf>
    <xf numFmtId="166" fontId="0" fillId="3" borderId="0" pivotButton="0" quotePrefix="0" xfId="36"/>
    <xf numFmtId="166" fontId="25" fillId="6" borderId="2" applyAlignment="1" pivotButton="0" quotePrefix="0" xfId="36">
      <alignment horizontal="right"/>
    </xf>
    <xf numFmtId="164" fontId="6" fillId="0" borderId="0" pivotButton="0" quotePrefix="0" xfId="36"/>
    <xf numFmtId="164" fontId="25" fillId="3" borderId="0" applyAlignment="1" pivotButton="0" quotePrefix="0" xfId="36">
      <alignment horizontal="left" indent="1"/>
    </xf>
    <xf numFmtId="164" fontId="25" fillId="3" borderId="0" applyAlignment="1" pivotButton="0" quotePrefix="0" xfId="36">
      <alignment horizontal="left" indent="4"/>
    </xf>
    <xf numFmtId="164" fontId="25" fillId="6" borderId="0" pivotButton="0" quotePrefix="0" xfId="36"/>
    <xf numFmtId="164" fontId="25" fillId="3" borderId="0" pivotButton="0" quotePrefix="0" xfId="36"/>
    <xf numFmtId="164" fontId="25" fillId="3" borderId="21" pivotButton="0" quotePrefix="0" xfId="36"/>
    <xf numFmtId="164" fontId="23" fillId="3" borderId="0" pivotButton="0" quotePrefix="0" xfId="36"/>
    <xf numFmtId="164" fontId="23" fillId="6" borderId="0" pivotButton="0" quotePrefix="0" xfId="36"/>
    <xf numFmtId="164" fontId="6" fillId="3" borderId="0" pivotButton="0" quotePrefix="0" xfId="36"/>
    <xf numFmtId="166" fontId="54" fillId="6" borderId="0" pivotButton="0" quotePrefix="0" xfId="36"/>
    <xf numFmtId="166" fontId="54" fillId="3" borderId="0" pivotButton="0" quotePrefix="0" xfId="36"/>
    <xf numFmtId="166" fontId="54" fillId="3" borderId="21" pivotButton="0" quotePrefix="0" xfId="36"/>
    <xf numFmtId="166" fontId="52" fillId="6" borderId="0" pivotButton="0" quotePrefix="0" xfId="36"/>
    <xf numFmtId="190" fontId="6" fillId="0" borderId="0" pivotButton="0" quotePrefix="0" xfId="36"/>
    <xf numFmtId="190" fontId="25" fillId="3" borderId="0" applyAlignment="1" pivotButton="0" quotePrefix="0" xfId="36">
      <alignment horizontal="left"/>
    </xf>
    <xf numFmtId="190" fontId="25" fillId="3" borderId="0" applyAlignment="1" pivotButton="0" quotePrefix="0" xfId="36">
      <alignment horizontal="left" indent="4"/>
    </xf>
    <xf numFmtId="190" fontId="25" fillId="6" borderId="0" pivotButton="0" quotePrefix="0" xfId="36"/>
    <xf numFmtId="190" fontId="25" fillId="3" borderId="0" pivotButton="0" quotePrefix="0" xfId="36"/>
    <xf numFmtId="190" fontId="52" fillId="6" borderId="0" pivotButton="0" quotePrefix="0" xfId="36"/>
    <xf numFmtId="190" fontId="25" fillId="3" borderId="21" pivotButton="0" quotePrefix="0" xfId="36"/>
    <xf numFmtId="190" fontId="23" fillId="3" borderId="0" pivotButton="0" quotePrefix="0" xfId="36"/>
    <xf numFmtId="190" fontId="23" fillId="6" borderId="0" pivotButton="0" quotePrefix="0" xfId="36"/>
    <xf numFmtId="190" fontId="6" fillId="3" borderId="0" pivotButton="0" quotePrefix="0" xfId="36"/>
    <xf numFmtId="190" fontId="52" fillId="6" borderId="0" applyAlignment="1" pivotButton="0" quotePrefix="0" xfId="36">
      <alignment horizontal="right"/>
    </xf>
    <xf numFmtId="190" fontId="23" fillId="3" borderId="0" applyAlignment="1" pivotButton="0" quotePrefix="0" xfId="36">
      <alignment horizontal="left" indent="4"/>
    </xf>
    <xf numFmtId="190" fontId="23" fillId="3" borderId="21" pivotButton="0" quotePrefix="0" xfId="36"/>
    <xf numFmtId="166" fontId="53" fillId="6" borderId="0" applyAlignment="1" pivotButton="0" quotePrefix="0" xfId="36">
      <alignment horizontal="right"/>
    </xf>
    <xf numFmtId="166" fontId="53" fillId="6" borderId="0" pivotButton="0" quotePrefix="0" xfId="36"/>
    <xf numFmtId="166" fontId="52" fillId="6" borderId="0" applyAlignment="1" pivotButton="0" quotePrefix="0" xfId="36">
      <alignment horizontal="center"/>
    </xf>
    <xf numFmtId="190" fontId="52" fillId="6" borderId="0" applyAlignment="1" pivotButton="0" quotePrefix="0" xfId="36">
      <alignment horizontal="center"/>
    </xf>
    <xf numFmtId="166" fontId="25" fillId="6" borderId="0" applyAlignment="1" pivotButton="0" quotePrefix="0" xfId="36">
      <alignment horizontal="center"/>
    </xf>
    <xf numFmtId="164" fontId="25" fillId="6" borderId="0" applyAlignment="1" pivotButton="0" quotePrefix="0" xfId="36">
      <alignment horizontal="right"/>
    </xf>
    <xf numFmtId="190" fontId="25" fillId="6" borderId="0" applyAlignment="1" pivotButton="0" quotePrefix="0" xfId="36">
      <alignment horizontal="right"/>
    </xf>
    <xf numFmtId="164" fontId="23" fillId="3" borderId="21" pivotButton="0" quotePrefix="0" xfId="36"/>
    <xf numFmtId="173" fontId="6" fillId="0" borderId="0" pivotButton="0" quotePrefix="0" xfId="36"/>
    <xf numFmtId="173" fontId="25" fillId="3" borderId="0" applyAlignment="1" pivotButton="0" quotePrefix="0" xfId="36">
      <alignment horizontal="left"/>
    </xf>
    <xf numFmtId="173" fontId="25" fillId="3" borderId="0" applyAlignment="1" pivotButton="0" quotePrefix="0" xfId="36">
      <alignment horizontal="left" indent="4"/>
    </xf>
    <xf numFmtId="173" fontId="25" fillId="6" borderId="0" pivotButton="0" quotePrefix="0" xfId="36"/>
    <xf numFmtId="173" fontId="25" fillId="3" borderId="0" pivotButton="0" quotePrefix="0" xfId="36"/>
    <xf numFmtId="173" fontId="52" fillId="6" borderId="0" pivotButton="0" quotePrefix="0" xfId="36"/>
    <xf numFmtId="173" fontId="25" fillId="3" borderId="21" pivotButton="0" quotePrefix="0" xfId="36"/>
    <xf numFmtId="173" fontId="23" fillId="3" borderId="0" pivotButton="0" quotePrefix="0" xfId="36"/>
    <xf numFmtId="173" fontId="23" fillId="6" borderId="0" pivotButton="0" quotePrefix="0" xfId="36"/>
    <xf numFmtId="173" fontId="6" fillId="3" borderId="0" pivotButton="0" quotePrefix="0" xfId="36"/>
    <xf numFmtId="166" fontId="52" fillId="6" borderId="2" pivotButton="0" quotePrefix="0" xfId="36"/>
    <xf numFmtId="167" fontId="6" fillId="0" borderId="0" pivotButton="0" quotePrefix="0" xfId="36"/>
    <xf numFmtId="167" fontId="25" fillId="3" borderId="0" applyAlignment="1" pivotButton="0" quotePrefix="0" xfId="36">
      <alignment horizontal="left"/>
    </xf>
    <xf numFmtId="167" fontId="25" fillId="3" borderId="0" applyAlignment="1" pivotButton="0" quotePrefix="0" xfId="36">
      <alignment horizontal="left" indent="4"/>
    </xf>
    <xf numFmtId="167" fontId="25" fillId="6" borderId="0" pivotButton="0" quotePrefix="0" xfId="36"/>
    <xf numFmtId="167" fontId="25" fillId="3" borderId="0" pivotButton="0" quotePrefix="0" xfId="36"/>
    <xf numFmtId="167" fontId="52" fillId="6" borderId="0" pivotButton="0" quotePrefix="0" xfId="36"/>
    <xf numFmtId="167" fontId="25" fillId="3" borderId="21" pivotButton="0" quotePrefix="0" xfId="36"/>
    <xf numFmtId="167" fontId="23" fillId="3" borderId="0" pivotButton="0" quotePrefix="0" xfId="36"/>
    <xf numFmtId="167" fontId="23" fillId="6" borderId="0" pivotButton="0" quotePrefix="0" xfId="36"/>
    <xf numFmtId="167" fontId="6" fillId="3" borderId="0" pivotButton="0" quotePrefix="0" xfId="36"/>
    <xf numFmtId="164" fontId="25" fillId="3" borderId="0" applyAlignment="1" pivotButton="0" quotePrefix="0" xfId="36">
      <alignment horizontal="left"/>
    </xf>
    <xf numFmtId="164" fontId="52" fillId="6" borderId="0" pivotButton="0" quotePrefix="0" xfId="36"/>
    <xf numFmtId="173" fontId="23" fillId="3" borderId="0" applyAlignment="1" pivotButton="0" quotePrefix="0" xfId="36">
      <alignment horizontal="left"/>
    </xf>
    <xf numFmtId="173" fontId="23" fillId="3" borderId="0" applyAlignment="1" pivotButton="0" quotePrefix="0" xfId="36">
      <alignment horizontal="left" indent="4"/>
    </xf>
    <xf numFmtId="173" fontId="23" fillId="3" borderId="21" pivotButton="0" quotePrefix="0" xfId="36"/>
    <xf numFmtId="164" fontId="0" fillId="0" borderId="0" pivotButton="0" quotePrefix="0" xfId="36"/>
    <xf numFmtId="170" fontId="36" fillId="3" borderId="0" applyAlignment="1" pivotButton="0" quotePrefix="0" xfId="26">
      <alignment horizontal="left"/>
    </xf>
    <xf numFmtId="164" fontId="22" fillId="5" borderId="0" applyAlignment="1" pivotButton="0" quotePrefix="0" xfId="0">
      <alignment horizontal="center"/>
    </xf>
    <xf numFmtId="164" fontId="23" fillId="6" borderId="0" applyAlignment="1" pivotButton="0" quotePrefix="0" xfId="36">
      <alignment horizontal="center"/>
    </xf>
    <xf numFmtId="166" fontId="23" fillId="6" borderId="0" applyAlignment="1" pivotButton="0" quotePrefix="0" xfId="36">
      <alignment horizontal="center"/>
    </xf>
    <xf numFmtId="168" fontId="25" fillId="6" borderId="0" pivotButton="0" quotePrefix="0" xfId="36"/>
    <xf numFmtId="168" fontId="23" fillId="6" borderId="0" applyAlignment="1" pivotButton="0" quotePrefix="0" xfId="36">
      <alignment horizontal="center"/>
    </xf>
    <xf numFmtId="166" fontId="23" fillId="3" borderId="0" applyAlignment="1" pivotButton="0" quotePrefix="0" xfId="36">
      <alignment horizontal="center"/>
    </xf>
    <xf numFmtId="164" fontId="23" fillId="3" borderId="0" applyAlignment="1" pivotButton="0" quotePrefix="0" xfId="36">
      <alignment horizontal="center"/>
    </xf>
    <xf numFmtId="204" fontId="6" fillId="0" borderId="0" applyAlignment="1" pivotButton="0" quotePrefix="0" xfId="0">
      <alignment horizontal="center"/>
    </xf>
    <xf numFmtId="168" fontId="25" fillId="3" borderId="0" pivotButton="0" quotePrefix="0" xfId="36"/>
    <xf numFmtId="168" fontId="23" fillId="3" borderId="0" applyAlignment="1" pivotButton="0" quotePrefix="0" xfId="36">
      <alignment horizontal="center"/>
    </xf>
    <xf numFmtId="166" fontId="25" fillId="3" borderId="0" applyAlignment="1" pivotButton="0" quotePrefix="0" xfId="36">
      <alignment horizontal="center"/>
    </xf>
    <xf numFmtId="164" fontId="25" fillId="3" borderId="0" applyAlignment="1" pivotButton="0" quotePrefix="0" xfId="36">
      <alignment horizontal="center"/>
    </xf>
    <xf numFmtId="166" fontId="24" fillId="3" borderId="0" applyAlignment="1" pivotButton="0" quotePrefix="0" xfId="36">
      <alignment horizontal="left"/>
    </xf>
    <xf numFmtId="166" fontId="24" fillId="6" borderId="0" applyAlignment="1" pivotButton="0" quotePrefix="0" xfId="36">
      <alignment horizontal="center"/>
    </xf>
    <xf numFmtId="166" fontId="24" fillId="3" borderId="0" applyAlignment="1" pivotButton="0" quotePrefix="0" xfId="36">
      <alignment horizontal="center"/>
    </xf>
    <xf numFmtId="166" fontId="24" fillId="3" borderId="21" applyAlignment="1" pivotButton="0" quotePrefix="0" xfId="36">
      <alignment horizontal="center"/>
    </xf>
    <xf numFmtId="166" fontId="29" fillId="5" borderId="0" pivotButton="0" quotePrefix="0" xfId="36"/>
    <xf numFmtId="166" fontId="29" fillId="5" borderId="21" pivotButton="0" quotePrefix="0" xfId="36"/>
    <xf numFmtId="168" fontId="6" fillId="0" borderId="0" pivotButton="0" quotePrefix="0" xfId="36"/>
    <xf numFmtId="181" fontId="23" fillId="3" borderId="0" applyAlignment="1" pivotButton="0" quotePrefix="0" xfId="36">
      <alignment horizontal="left" indent="1"/>
    </xf>
    <xf numFmtId="176" fontId="23" fillId="3" borderId="0" applyAlignment="1" pivotButton="0" quotePrefix="0" xfId="36">
      <alignment horizontal="left"/>
    </xf>
    <xf numFmtId="176" fontId="23" fillId="6" borderId="0" applyAlignment="1" pivotButton="0" quotePrefix="0" xfId="36">
      <alignment horizontal="right"/>
    </xf>
    <xf numFmtId="176" fontId="23" fillId="3" borderId="0" applyAlignment="1" pivotButton="0" quotePrefix="0" xfId="36">
      <alignment horizontal="right"/>
    </xf>
    <xf numFmtId="176" fontId="23" fillId="6" borderId="0" pivotButton="0" quotePrefix="0" xfId="36"/>
    <xf numFmtId="176" fontId="23" fillId="3" borderId="21" applyAlignment="1" pivotButton="0" quotePrefix="0" xfId="36">
      <alignment horizontal="right"/>
    </xf>
    <xf numFmtId="168" fontId="23" fillId="3" borderId="0" pivotButton="0" quotePrefix="0" xfId="36"/>
    <xf numFmtId="166" fontId="25" fillId="3" borderId="13" applyAlignment="1" pivotButton="0" quotePrefix="0" xfId="36">
      <alignment horizontal="left" indent="1"/>
    </xf>
    <xf numFmtId="176" fontId="25" fillId="3" borderId="13" applyAlignment="1" pivotButton="0" quotePrefix="0" xfId="36">
      <alignment horizontal="left"/>
    </xf>
    <xf numFmtId="166" fontId="25" fillId="6" borderId="13" applyAlignment="1" pivotButton="0" quotePrefix="0" xfId="36">
      <alignment horizontal="right"/>
    </xf>
    <xf numFmtId="166" fontId="25" fillId="3" borderId="13" applyAlignment="1" pivotButton="0" quotePrefix="0" xfId="36">
      <alignment horizontal="right"/>
    </xf>
    <xf numFmtId="166" fontId="25" fillId="6" borderId="13" pivotButton="0" quotePrefix="0" xfId="36"/>
    <xf numFmtId="166" fontId="25" fillId="3" borderId="22" applyAlignment="1" pivotButton="0" quotePrefix="0" xfId="36">
      <alignment horizontal="right"/>
    </xf>
    <xf numFmtId="166" fontId="23" fillId="3" borderId="0" applyAlignment="1" pivotButton="0" quotePrefix="0" xfId="36">
      <alignment horizontal="left" indent="3"/>
    </xf>
    <xf numFmtId="166" fontId="25" fillId="3" borderId="0" applyAlignment="1" pivotButton="0" quotePrefix="0" xfId="36">
      <alignment horizontal="left" indent="3"/>
    </xf>
    <xf numFmtId="166" fontId="25" fillId="3" borderId="2" applyAlignment="1" pivotButton="0" quotePrefix="0" xfId="36">
      <alignment horizontal="left" indent="3"/>
    </xf>
    <xf numFmtId="166" fontId="23" fillId="3" borderId="7" applyAlignment="1" pivotButton="0" quotePrefix="0" xfId="36">
      <alignment horizontal="left" indent="3"/>
    </xf>
    <xf numFmtId="166" fontId="23" fillId="6" borderId="7" pivotButton="0" quotePrefix="0" xfId="36"/>
    <xf numFmtId="166" fontId="23" fillId="3" borderId="7" pivotButton="0" quotePrefix="0" xfId="36"/>
    <xf numFmtId="166" fontId="23" fillId="3" borderId="28" pivotButton="0" quotePrefix="0" xfId="36"/>
    <xf numFmtId="166" fontId="30" fillId="5" borderId="0" pivotButton="0" quotePrefix="0" xfId="36"/>
    <xf numFmtId="166" fontId="30" fillId="5" borderId="21" pivotButton="0" quotePrefix="0" xfId="36"/>
    <xf numFmtId="173" fontId="25" fillId="3" borderId="2" applyAlignment="1" pivotButton="0" quotePrefix="0" xfId="36">
      <alignment horizontal="left" indent="1"/>
    </xf>
    <xf numFmtId="168" fontId="24" fillId="3" borderId="0" pivotButton="0" quotePrefix="0" xfId="21"/>
    <xf numFmtId="168" fontId="23" fillId="3" borderId="0" applyAlignment="1" pivotButton="0" quotePrefix="0" xfId="36">
      <alignment horizontal="left" indent="3"/>
    </xf>
    <xf numFmtId="168" fontId="23" fillId="6" borderId="0" pivotButton="0" quotePrefix="0" xfId="36"/>
    <xf numFmtId="168" fontId="23" fillId="3" borderId="21" pivotButton="0" quotePrefix="0" xfId="36"/>
    <xf numFmtId="164" fontId="22" fillId="5" borderId="0" pivotButton="0" quotePrefix="0" xfId="36"/>
    <xf numFmtId="164" fontId="30" fillId="5" borderId="0" pivotButton="0" quotePrefix="0" xfId="36"/>
    <xf numFmtId="164" fontId="30" fillId="5" borderId="21" pivotButton="0" quotePrefix="0" xfId="36"/>
    <xf numFmtId="164" fontId="21" fillId="3" borderId="0" pivotButton="0" quotePrefix="0" xfId="21"/>
    <xf numFmtId="164" fontId="23" fillId="3" borderId="21" applyAlignment="1" pivotButton="0" quotePrefix="0" xfId="36">
      <alignment horizontal="center"/>
    </xf>
    <xf numFmtId="164" fontId="25" fillId="3" borderId="0" applyAlignment="1" pivotButton="0" quotePrefix="0" xfId="36">
      <alignment horizontal="right"/>
    </xf>
    <xf numFmtId="164" fontId="25" fillId="3" borderId="21" applyAlignment="1" pivotButton="0" quotePrefix="0" xfId="36">
      <alignment horizontal="right"/>
    </xf>
    <xf numFmtId="164" fontId="25" fillId="3" borderId="2" applyAlignment="1" pivotButton="0" quotePrefix="0" xfId="36">
      <alignment horizontal="left" indent="1"/>
    </xf>
    <xf numFmtId="164" fontId="21" fillId="3" borderId="2" pivotButton="0" quotePrefix="0" xfId="21"/>
    <xf numFmtId="164" fontId="25" fillId="6" borderId="2" applyAlignment="1" pivotButton="0" quotePrefix="0" xfId="36">
      <alignment horizontal="right"/>
    </xf>
    <xf numFmtId="164" fontId="25" fillId="3" borderId="2" applyAlignment="1" pivotButton="0" quotePrefix="0" xfId="36">
      <alignment horizontal="right"/>
    </xf>
    <xf numFmtId="164" fontId="25" fillId="3" borderId="26" applyAlignment="1" pivotButton="0" quotePrefix="0" xfId="36">
      <alignment horizontal="right"/>
    </xf>
    <xf numFmtId="164" fontId="25" fillId="6" borderId="2" pivotButton="0" quotePrefix="0" xfId="36"/>
    <xf numFmtId="164" fontId="23" fillId="3" borderId="0" applyAlignment="1" pivotButton="0" quotePrefix="0" xfId="36">
      <alignment horizontal="left"/>
    </xf>
    <xf numFmtId="164" fontId="24" fillId="3" borderId="0" pivotButton="0" quotePrefix="0" xfId="21"/>
    <xf numFmtId="164" fontId="23" fillId="6" borderId="0" applyAlignment="1" pivotButton="0" quotePrefix="0" xfId="36">
      <alignment horizontal="right"/>
    </xf>
    <xf numFmtId="164" fontId="23" fillId="3" borderId="0" applyAlignment="1" pivotButton="0" quotePrefix="0" xfId="36">
      <alignment horizontal="right"/>
    </xf>
    <xf numFmtId="164" fontId="23" fillId="3" borderId="21" applyAlignment="1" pivotButton="0" quotePrefix="0" xfId="36">
      <alignment horizontal="right"/>
    </xf>
    <xf numFmtId="171" fontId="6" fillId="0" borderId="0" pivotButton="0" quotePrefix="0" xfId="36"/>
    <xf numFmtId="171" fontId="23" fillId="3" borderId="0" applyAlignment="1" pivotButton="0" quotePrefix="0" xfId="36">
      <alignment horizontal="left"/>
    </xf>
    <xf numFmtId="171" fontId="24" fillId="3" borderId="0" pivotButton="0" quotePrefix="0" xfId="21"/>
    <xf numFmtId="171" fontId="23" fillId="6" borderId="0" applyAlignment="1" pivotButton="0" quotePrefix="0" xfId="36">
      <alignment horizontal="right"/>
    </xf>
    <xf numFmtId="171" fontId="23" fillId="3" borderId="0" applyAlignment="1" pivotButton="0" quotePrefix="0" xfId="36">
      <alignment horizontal="right"/>
    </xf>
    <xf numFmtId="171" fontId="23" fillId="3" borderId="21" applyAlignment="1" pivotButton="0" quotePrefix="0" xfId="36">
      <alignment horizontal="right"/>
    </xf>
    <xf numFmtId="171" fontId="23" fillId="3" borderId="0" pivotButton="0" quotePrefix="0" xfId="36"/>
    <xf numFmtId="167" fontId="24" fillId="3" borderId="0" pivotButton="0" quotePrefix="0" xfId="36"/>
    <xf numFmtId="167" fontId="23" fillId="3" borderId="0" applyAlignment="1" pivotButton="0" quotePrefix="0" xfId="36">
      <alignment horizontal="left" indent="3"/>
    </xf>
    <xf numFmtId="167" fontId="23" fillId="6" borderId="0" applyAlignment="1" pivotButton="0" quotePrefix="0" xfId="36">
      <alignment horizontal="right"/>
    </xf>
    <xf numFmtId="167" fontId="23" fillId="3" borderId="0" applyAlignment="1" pivotButton="0" quotePrefix="0" xfId="36">
      <alignment horizontal="right"/>
    </xf>
    <xf numFmtId="167" fontId="23" fillId="3" borderId="21" pivotButton="0" quotePrefix="0" xfId="36"/>
    <xf numFmtId="172" fontId="6" fillId="0" borderId="0" pivotButton="0" quotePrefix="0" xfId="36"/>
    <xf numFmtId="172" fontId="23" fillId="3" borderId="0" applyAlignment="1" pivotButton="0" quotePrefix="0" xfId="36">
      <alignment horizontal="left"/>
    </xf>
    <xf numFmtId="172" fontId="24" fillId="3" borderId="0" pivotButton="0" quotePrefix="0" xfId="21"/>
    <xf numFmtId="172" fontId="23" fillId="6" borderId="0" applyAlignment="1" pivotButton="0" quotePrefix="0" xfId="36">
      <alignment horizontal="right"/>
    </xf>
    <xf numFmtId="172" fontId="23" fillId="3" borderId="0" applyAlignment="1" pivotButton="0" quotePrefix="0" xfId="36">
      <alignment horizontal="right"/>
    </xf>
    <xf numFmtId="172" fontId="23" fillId="3" borderId="21" applyAlignment="1" pivotButton="0" quotePrefix="0" xfId="36">
      <alignment horizontal="right"/>
    </xf>
    <xf numFmtId="172" fontId="23" fillId="3" borderId="0" pivotButton="0" quotePrefix="0" xfId="36"/>
    <xf numFmtId="167" fontId="0" fillId="0" borderId="0" pivotButton="0" quotePrefix="0" xfId="36"/>
    <xf numFmtId="167" fontId="21" fillId="3" borderId="0" pivotButton="0" quotePrefix="0" xfId="36"/>
    <xf numFmtId="167" fontId="25" fillId="3" borderId="0" applyAlignment="1" pivotButton="0" quotePrefix="0" xfId="36">
      <alignment horizontal="left" indent="3"/>
    </xf>
    <xf numFmtId="167" fontId="25" fillId="6" borderId="0" applyAlignment="1" pivotButton="0" quotePrefix="0" xfId="36">
      <alignment horizontal="right"/>
    </xf>
    <xf numFmtId="167" fontId="25" fillId="3" borderId="0" applyAlignment="1" pivotButton="0" quotePrefix="0" xfId="36">
      <alignment horizontal="right"/>
    </xf>
    <xf numFmtId="173" fontId="22" fillId="5" borderId="0" pivotButton="0" quotePrefix="0" xfId="36"/>
    <xf numFmtId="195" fontId="17" fillId="3" borderId="0" applyAlignment="1" pivotButton="0" quotePrefix="0" xfId="32">
      <alignment horizontal="center" vertical="center"/>
    </xf>
    <xf numFmtId="196" fontId="3" fillId="3" borderId="0" applyAlignment="1" pivotButton="0" quotePrefix="0" xfId="32">
      <alignment horizontal="right"/>
    </xf>
    <xf numFmtId="197" fontId="3" fillId="3" borderId="0" applyAlignment="1" pivotButton="0" quotePrefix="0" xfId="32">
      <alignment horizontal="right"/>
    </xf>
  </cellXfs>
  <cellStyles count="29">
    <cellStyle name="Normal" xfId="0" builtinId="0"/>
    <cellStyle name="Percent" xfId="1"/>
    <cellStyle name="Currency" xfId="2"/>
    <cellStyle name="Currency [0]" xfId="3"/>
    <cellStyle name="Comma" xfId="4"/>
    <cellStyle name="Comma [0]" xfId="5"/>
    <cellStyle name="Currency 2" xfId="6"/>
    <cellStyle name="Currency 2 2" xfId="7"/>
    <cellStyle name="Currency 2 3" xfId="8"/>
    <cellStyle name="Currency 2 4" xfId="9"/>
    <cellStyle name="Currency 2 5" xfId="10"/>
    <cellStyle name="Good" xfId="11"/>
    <cellStyle name="Hyperlink" xfId="12"/>
    <cellStyle name="Hyperlink 2" xfId="13"/>
    <cellStyle name="Normal 2" xfId="14"/>
    <cellStyle name="Normal 2 2" xfId="15"/>
    <cellStyle name="Normal 2 3" xfId="16"/>
    <cellStyle name="Normal 2 4" xfId="17"/>
    <cellStyle name="Normal 3" xfId="18"/>
    <cellStyle name="Normal 3 2" xfId="19"/>
    <cellStyle name="Normal 3 3" xfId="20"/>
    <cellStyle name="Normal 3 4" xfId="21"/>
    <cellStyle name="Normal 4" xfId="22"/>
    <cellStyle name="Percent 2" xfId="23"/>
    <cellStyle name="Percent 2 2" xfId="24"/>
    <cellStyle name="Percent 2 3" xfId="25"/>
    <cellStyle name="Percent 2 4" xfId="26"/>
    <cellStyle name="Percent 3" xfId="27"/>
    <cellStyle name="Currency 3" xfId="28"/>
  </cellStyles>
  <dxfs count="11">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ont>
        <color rgb="FFF2F2F2"/>
      </font>
      <fill>
        <patternFill>
          <bgColor rgb="FF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Tegus (CZ)</author>
    <author>Travis Hao</author>
    <author>Tegus (KS)</author>
    <author>Tegus (WW)</author>
    <author>Tegus (AN)</author>
    <author>Tegus (AA)</author>
    <author>Tegus (BL)</author>
    <author>Tegus (TP)</author>
    <author>Tegus(AR)</author>
    <author>Tegus (HS)</author>
    <author>Tegus (ALT)</author>
  </authors>
  <commentList>
    <comment ref="I24" authorId="0" shapeId="0">
      <text>
        <t>Tegus (CZ):
Adj. for rounding</t>
      </text>
    </comment>
    <comment ref="AN106" authorId="1" shapeId="0">
      <text>
        <t>Tegus (LZ):
Not reported</t>
      </text>
    </comment>
    <comment ref="AD113" authorId="1" shapeId="0">
      <text>
        <t>Tegus (AW):
Adjusted by .1mm due to rounding</t>
      </text>
    </comment>
    <comment ref="V125" authorId="1" shapeId="0">
      <text>
        <t>Tegus (AW):
Minor changes not reported, backed out</t>
      </text>
    </comment>
    <comment ref="Y125" authorId="1" shapeId="0">
      <text>
        <t>Tegus (AW):
Adjusted by .2mm due to rounding</t>
      </text>
    </comment>
    <comment ref="AI125" authorId="1" shapeId="0">
      <text>
        <t>Tegus (AW):
Adjusted by .1mm due to rounding</t>
      </text>
    </comment>
    <comment ref="BL125" authorId="2" shapeId="0">
      <text>
        <t>Tegus (KS):
Reported as -1.3</t>
      </text>
    </comment>
    <comment ref="AD141" authorId="1" shapeId="0">
      <text>
        <t>Tegus (AW):
Adjusted by .1mm due to rounding</t>
      </text>
    </comment>
    <comment ref="AI141" authorId="1" shapeId="0">
      <text>
        <t>Tegus (AW):
Adjusted by .1mm due to rounding</t>
      </text>
    </comment>
    <comment ref="BL141" authorId="2" shapeId="0">
      <text>
        <t>Tegus (KS):
Reported as -3.7</t>
      </text>
    </comment>
    <comment ref="AF147" authorId="1" shapeId="0">
      <text>
        <t>Tegus (AW):
Due to SBC, as reported</t>
      </text>
    </comment>
    <comment ref="BN153" authorId="3" shapeId="0">
      <text>
        <t>Tegus (WW):
Outside legal fees: 18.7
Estimated legal liabilities: 8.3</t>
      </text>
    </comment>
    <comment ref="BI156" authorId="1" shapeId="0">
      <text>
        <t>Tegus (KS):
Foreign service tax</t>
      </text>
    </comment>
    <comment ref="BJ156" authorId="1" shapeId="0">
      <text>
        <t>Tegus (KS):
Foreign service tax</t>
      </text>
    </comment>
    <comment ref="BQ156" authorId="4" shapeId="0">
      <text>
        <t>Tegus (AN):
Government subsidies</t>
      </text>
    </comment>
    <comment ref="V161" authorId="1" shapeId="0">
      <text>
        <t>Tegus (AW):
Minor changes not reported, backed out</t>
      </text>
    </comment>
    <comment ref="A165" authorId="1" shapeId="0">
      <text>
        <t>Tegus (ASr):
Estimated in quarters.</t>
      </text>
    </comment>
    <comment ref="G165" authorId="1" shapeId="0">
      <text>
        <t>Tegus (KS):
Estimated</t>
      </text>
    </comment>
    <comment ref="H165" authorId="1" shapeId="0">
      <text>
        <t>Tegus (KS):
Estimated</t>
      </text>
    </comment>
    <comment ref="I165" authorId="1" shapeId="0">
      <text>
        <t>Tegus (KS):
Estimated</t>
      </text>
    </comment>
    <comment ref="J165" authorId="1" shapeId="0">
      <text>
        <t>Tegus (KS):
Estimated</t>
      </text>
    </comment>
    <comment ref="L165" authorId="1" shapeId="0">
      <text>
        <t>Tegus (KS):
Estimated</t>
      </text>
    </comment>
    <comment ref="M165" authorId="1" shapeId="0">
      <text>
        <t>Tegus (KS):
Estimated</t>
      </text>
    </comment>
    <comment ref="N165" authorId="1" shapeId="0">
      <text>
        <t>Tegus (KS):
Estimated</t>
      </text>
    </comment>
    <comment ref="O165" authorId="1" shapeId="0">
      <text>
        <t>Tegus (KS):
Estimated</t>
      </text>
    </comment>
    <comment ref="Q165" authorId="1" shapeId="0">
      <text>
        <t>Tegus (KS):
Estimated</t>
      </text>
    </comment>
    <comment ref="R165" authorId="1" shapeId="0">
      <text>
        <t>Tegus (KS):
Estimated</t>
      </text>
    </comment>
    <comment ref="S165" authorId="1" shapeId="0">
      <text>
        <t>Tegus (KS):
Estimated</t>
      </text>
    </comment>
    <comment ref="T165" authorId="1" shapeId="0">
      <text>
        <t>Tegus (KS):
Estimated</t>
      </text>
    </comment>
    <comment ref="V165" authorId="1" shapeId="0">
      <text>
        <t>Tegus (KS):
Estimated</t>
      </text>
    </comment>
    <comment ref="W165" authorId="1" shapeId="0">
      <text>
        <t>Tegus (KS):
Estimated</t>
      </text>
    </comment>
    <comment ref="X165" authorId="1" shapeId="0">
      <text>
        <t>Tegus (KS):
Estimated</t>
      </text>
    </comment>
    <comment ref="Y165" authorId="1" shapeId="0">
      <text>
        <t>Tegus (KS):
Estimated</t>
      </text>
    </comment>
    <comment ref="AA165" authorId="1" shapeId="0">
      <text>
        <t>Tegus (KS):
Estimated</t>
      </text>
    </comment>
    <comment ref="AB165" authorId="1" shapeId="0">
      <text>
        <t>Tegus (KS):
Estimated</t>
      </text>
    </comment>
    <comment ref="AC165" authorId="1" shapeId="0">
      <text>
        <t>Tegus (KS):
Estimated</t>
      </text>
    </comment>
    <comment ref="AD165" authorId="1" shapeId="0">
      <text>
        <t>Tegus (KS):
Estimated</t>
      </text>
    </comment>
    <comment ref="AF165" authorId="1" shapeId="0">
      <text>
        <t>Tegus (KS):
Estimated</t>
      </text>
    </comment>
    <comment ref="AG165" authorId="1" shapeId="0">
      <text>
        <t>Tegus (KS):
Estimated</t>
      </text>
    </comment>
    <comment ref="AH165" authorId="1" shapeId="0">
      <text>
        <t>Tegus (KS):
Estimated</t>
      </text>
    </comment>
    <comment ref="AI165" authorId="1" shapeId="0">
      <text>
        <t>Tegus (KS):
Estimated</t>
      </text>
    </comment>
    <comment ref="AK165" authorId="1" shapeId="0">
      <text>
        <t>Tegus (KS):
Estimated</t>
      </text>
    </comment>
    <comment ref="AL165" authorId="1" shapeId="0">
      <text>
        <t>Tegus (KS):
Estimated</t>
      </text>
    </comment>
    <comment ref="AM165" authorId="1" shapeId="0">
      <text>
        <t>Tegus (KS):
Estimated</t>
      </text>
    </comment>
    <comment ref="AN165" authorId="1" shapeId="0">
      <text>
        <t>Tegus (KS):
Estimated</t>
      </text>
    </comment>
    <comment ref="AP165" authorId="1" shapeId="0">
      <text>
        <t>Tegus (KS):
Estimated</t>
      </text>
    </comment>
    <comment ref="AQ165" authorId="1" shapeId="0">
      <text>
        <t>Tegus (KS):
Estimated</t>
      </text>
    </comment>
    <comment ref="AR165" authorId="1" shapeId="0">
      <text>
        <t>Tegus (KS):
Estimated</t>
      </text>
    </comment>
    <comment ref="AS165" authorId="1" shapeId="0">
      <text>
        <t>Tegus (KS):
Estimated</t>
      </text>
    </comment>
    <comment ref="AU165" authorId="1" shapeId="0">
      <text>
        <t>Tegus (KS):
Estimated</t>
      </text>
    </comment>
    <comment ref="AV165" authorId="1" shapeId="0">
      <text>
        <t>Tegus (KS):
Estimated</t>
      </text>
    </comment>
    <comment ref="AW165" authorId="1" shapeId="0">
      <text>
        <t>Tegus (KS):
Estimated</t>
      </text>
    </comment>
    <comment ref="AX165" authorId="1" shapeId="0">
      <text>
        <t>Tegus (KS):
Estimated</t>
      </text>
    </comment>
    <comment ref="AZ165" authorId="1" shapeId="0">
      <text>
        <t>Tegus (KS):
Estimated</t>
      </text>
    </comment>
    <comment ref="BA165" authorId="1" shapeId="0">
      <text>
        <t>Tegus (KS):
Estimated</t>
      </text>
    </comment>
    <comment ref="BB165" authorId="1" shapeId="0">
      <text>
        <t>Tegus (KS):
Estimated</t>
      </text>
    </comment>
    <comment ref="BC165" authorId="1" shapeId="0">
      <text>
        <t>Tegus (KS):
Estimated</t>
      </text>
    </comment>
    <comment ref="BE165" authorId="1" shapeId="0">
      <text>
        <t>Tegus (KS):
Estimated</t>
      </text>
    </comment>
    <comment ref="BF165" authorId="1" shapeId="0">
      <text>
        <t>Tegus (KS):
Estimated</t>
      </text>
    </comment>
    <comment ref="BG165" authorId="1" shapeId="0">
      <text>
        <t>Tegus (KS):
Estimated</t>
      </text>
    </comment>
    <comment ref="BH165" authorId="1" shapeId="0">
      <text>
        <t>Tegus (KS):
Estimated</t>
      </text>
    </comment>
    <comment ref="BJ165" authorId="1" shapeId="0">
      <text>
        <t>Tegus (SH):
Estimated</t>
      </text>
    </comment>
    <comment ref="BK165" authorId="5" shapeId="0">
      <text>
        <t>Tegus (AA):
Estimated</t>
      </text>
    </comment>
    <comment ref="BL165" authorId="5" shapeId="0">
      <text>
        <t>Tegus (ALT):
Estimated</t>
      </text>
    </comment>
    <comment ref="BM165" authorId="5" shapeId="0">
      <text>
        <t>Tegus (ALT):
Estimated</t>
      </text>
    </comment>
    <comment ref="BO165" authorId="6" shapeId="0">
      <text>
        <t>Tegus (BL):
Estimated</t>
      </text>
    </comment>
    <comment ref="BP165" authorId="4" shapeId="0">
      <text>
        <t>Tegus (AN):
Estimated</t>
      </text>
    </comment>
    <comment ref="BQ165" authorId="7" shapeId="0">
      <text>
        <t>Tegus (TP):
Estimated</t>
      </text>
    </comment>
    <comment ref="A169" authorId="1" shapeId="0">
      <text>
        <t>Tegus (ASr):
Backed out.</t>
      </text>
    </comment>
    <comment ref="AY172" authorId="1" shapeId="0">
      <text>
        <t xml:space="preserve">Tegus (HQ):
Reported as 4.161 in FY2021 10-K. Reported as 3.375 in Q4-2021 Financial Schedules. </t>
      </text>
    </comment>
    <comment ref="AY173" authorId="1" shapeId="0">
      <text>
        <t xml:space="preserve">Tegus (HQ):
Reported as 3.375 in FY2021 10-K. Reported as 4,161 in Q4-2021 Financial Schedules. </t>
      </text>
    </comment>
    <comment ref="C182" authorId="1" shapeId="0">
      <text>
        <t>Tegus (ASr):
Sum of product revenue and maintenance revenue.</t>
      </text>
    </comment>
    <comment ref="D182" authorId="1" shapeId="0">
      <text>
        <t>Tegus (ASr):
Sum of product revenue and maintenance revenue.</t>
      </text>
    </comment>
    <comment ref="C185" authorId="1" shapeId="0">
      <text>
        <t>Tegus (ASr):
Sum of Product COGS and Maintenance COGS.</t>
      </text>
    </comment>
    <comment ref="D185" authorId="1" shapeId="0">
      <text>
        <t>Tegus (ASr):
Sum of Product COGS and Maintenance COGS.</t>
      </text>
    </comment>
    <comment ref="BP226" authorId="4" shapeId="0">
      <text>
        <t>Tegus (AN):
The definition of recurring revenue was updated in Q2 2025. This number is not consistent with historical periods</t>
      </text>
    </comment>
    <comment ref="BQ226" authorId="7" shapeId="0">
      <text>
        <t>Tegus (TP):
The definition of recurring revenue was updated in Q2 2025. This number is not consistent with historical periods</t>
      </text>
    </comment>
    <comment ref="BP228" authorId="4" shapeId="0">
      <text>
        <t>Tegus (AN):
The definition of recurring revenue was updated in Q2 2025. This number is not consistent with historical periods</t>
      </text>
    </comment>
    <comment ref="BQ228" authorId="7" shapeId="0">
      <text>
        <t>Tegus (TP):
The definition of recurring revenue was updated in Q2 2025. This number is not consistent with historical periods</t>
      </text>
    </comment>
    <comment ref="AM259" authorId="1" shapeId="0">
      <text>
        <t>Tegus (AP):
Excludes 212.1M of non-cancellable IPAA commitments from customers where actual product selection and quantities of specific products or services are to be determined by customers at a later date.</t>
      </text>
    </comment>
    <comment ref="AN259" authorId="1" shapeId="0">
      <text>
        <t>Tegus (AP):
Excludes 205.7M of non-cancellable IPAA commitments from customers where actual product selection and quantities of specific products or services are to be determined by customers at a later date.</t>
      </text>
    </comment>
    <comment ref="AO259" authorId="1" shapeId="0">
      <text>
        <t>Tegus (AP):
Excludes 205.7M of non-cancellable IPAA commitments from customers where actual product selection and quantities of specific products or services are to be determined by customers at a later date.</t>
      </text>
    </comment>
    <comment ref="AP259" authorId="1" shapeId="0">
      <text>
        <t>Tegus (AP):
Excludes 189.0M of non-cancellable IPAA commitments from customers where actual product selection and quantities of specific products or services are to be determined by customers at a later date.</t>
      </text>
    </comment>
    <comment ref="AQ259" authorId="1" shapeId="0">
      <text>
        <t>Tegus (AP):
Excludes 176.5M of non-cancellable IPAA commitments from customers where actual product selection and quantities of specific products or services are to be determined by customers at a later date.</t>
      </text>
    </comment>
    <comment ref="AR259" authorId="1" shapeId="0">
      <text>
        <t>Tegus (AP):
Excludes 150.9M of non-cancellable IPAA commitments from customers where actual product selection and quantities of specific products or services are to be determined by customers at a later date.</t>
      </text>
    </comment>
    <comment ref="AS259" authorId="1" shapeId="0">
      <text>
        <t>Tegus (TP):
Excludes 133.6M of non-cancellable IPAA commitments from customers where actual product selection and quantities of specific products or services are to be determined by customers at a later date.</t>
      </text>
    </comment>
    <comment ref="AT259" authorId="1" shapeId="0">
      <text>
        <t>Tegus (TP):
Excludes 133.6M of non-cancellable IPAA commitments from customers where actual product selection and quantities of specific products or services are to be determined by customers at a later date.</t>
      </text>
    </comment>
    <comment ref="AU259" authorId="1" shapeId="0">
      <text>
        <t>Tegus (TP):
Excludes 124.4M of non-cancellable IPAA commitments from customers where actual product selection and quantities of specific products or services are to be determined by customers at a later date.</t>
      </text>
    </comment>
    <comment ref="AV259" authorId="1" shapeId="0">
      <text>
        <t>Tegus (TP):
Excludes $110.0M of non-cancellable IPAA commitments from customers where actual product selection and quantities of specific products or services are to be determined by customers at a later date.</t>
      </text>
    </comment>
    <comment ref="AW259" authorId="1" shapeId="0">
      <text>
        <t>Tegus (PK):
Excludes $89.1M of non-cancellable IPAA commitments from customers where actual product selection and quantities of specific products or services are to be determined by customers at a later date.</t>
      </text>
    </comment>
    <comment ref="AX259" authorId="1" shapeId="0">
      <text>
        <t>Tegus (EC):
Excludes $119.5M of non-cancellable IPAA commitments from customers where actual product selection and quantities of specific products or services are to be determined by customers at a later date.</t>
      </text>
    </comment>
    <comment ref="AY259" authorId="1" shapeId="0">
      <text>
        <t>Tegus (EC):
Excludes $119.5M of non-cancellable IPAA commitments from customers where actual product selection and quantities of specific products or services are to be determined by customers at a later date.</t>
      </text>
    </comment>
    <comment ref="AZ259" authorId="1" shapeId="0">
      <text>
        <t>Tegus (SK):
Excludes $196.9 million of non-cancelable commitments from customers where actual product selection and quantities of specific products or services are to be determined by customers at a later date</t>
      </text>
    </comment>
    <comment ref="BA259" authorId="1" shapeId="0">
      <text>
        <t>Tegus (KB):
Excludes $171.3 million of non-cancelable commitments from customers where actual product selection and quantities of specific products or services are to be determined by customers at a later date</t>
      </text>
    </comment>
    <comment ref="BB259" authorId="1" shapeId="0">
      <text>
        <t>Tegus (AHA):
Excludes $433.5 million of non-cancelable commitments from customers where actual product selection and quantities of specific products or services are to be determined by customers at a later date</t>
      </text>
    </comment>
    <comment ref="BD259" authorId="1" shapeId="0">
      <text>
        <t>Tegus (HQ):
Excludes $0.4 billion of non-cancelable commitments from customers where actual product selection and quantities of specific products or services are to be determined by customers at a later date.</t>
      </text>
    </comment>
    <comment ref="BE259" authorId="1" shapeId="0">
      <text>
        <t>Tegus (TP):
Excludes $0.4 billion of non-cancelable commitments from customers where actual product selection and quantities of specific products or services are to be determined by customers at a later date.</t>
      </text>
    </comment>
    <comment ref="BF259" authorId="1" shapeId="0">
      <text>
        <t>Tegus (TP):
Excludes $0.4 billion of non-cancelable commitments from customers where actual product selection and quantities of specific products or services are to be determined by customers at a later date.</t>
      </text>
    </comment>
    <comment ref="BG259" authorId="1" shapeId="0">
      <text>
        <t>Tegus (TZ):
Excludes $0.4 billion of non-cancelable commitments from customers where actual product selection and quantities of specific products or services are to be determined by customers at a later date.</t>
      </text>
    </comment>
    <comment ref="BI259" authorId="1" shapeId="0">
      <text>
        <t>Tegus (KS):
Excludes $0.4 billion of non-cancelable commitments from customers where actual product selection and quantities of specific products or services are to be determined by customers at a later date.</t>
      </text>
    </comment>
    <comment ref="BJ259" authorId="1" shapeId="0">
      <text>
        <t>Tegus (KS):
Contracted but unsatisfied performance obligations were approximately $6.0 billion as of March 31, 2024, which included $0.4 billion of non-cancelable commitments from customers where actual product selection and quantities of specific products or services are to be determined by customers at a later date.</t>
      </text>
    </comment>
    <comment ref="BK259" authorId="5" shapeId="0">
      <text>
        <t>Tegus (AA):
Excludes $0.4 billion of non-cancelable commitments from customers where actual product selection and quantities of specific products or services are to be determined by customers at a later date.</t>
      </text>
    </comment>
    <comment ref="BL259" authorId="2" shapeId="0">
      <text>
        <t>Tegus (KS):
Excluded $0.5 billion of non-cancelable commitments from customers</t>
      </text>
    </comment>
    <comment ref="BN259" authorId="2" shapeId="0">
      <text>
        <t>Tegus (WW):
Excluded $0.5 billion of non-cancelable commitments from customers</t>
      </text>
    </comment>
    <comment ref="BO259" authorId="8" shapeId="0">
      <text>
        <t>Tegus (AR):
Contracted but unsatisfied performance obligations were approximately $6.4 billion as of March 31, 2025, which included $0.5 billion of non-cancelable commitments from customers where actual product selection and quantities of specific products or services are to be determined by customers at a later date.</t>
      </text>
    </comment>
    <comment ref="BP259" authorId="4" shapeId="0">
      <text>
        <t>Tegus (AN):
Contracted but unsatisfied performance obligations were $6.4 billion as of June 30, 2025, which included $0.5 billion of non-cancelable commitments from customers</t>
      </text>
    </comment>
    <comment ref="BQ259" authorId="4" shapeId="0">
      <text>
        <t xml:space="preserve">Tegus (AN):
Contracted but unsatisfied performance obligations were $7.0 billion as of September 30, 2025, which included $0.4 billion of non-cancelable commitments from customers </t>
      </text>
    </comment>
    <comment ref="BL260" authorId="2" shapeId="0">
      <text>
        <t>Tegus (KS):
As of September 30, 2024, Cadence expected to recognize 57% of the contracted but unsatisfied performance obligations, excluding non-cancelable commitments, as revenue over the next 12 months</t>
      </text>
    </comment>
    <comment ref="BL274" authorId="2" shapeId="0">
      <text>
        <t>Tegus (KS):
Cadence recognized revenue of $106.1 million and $616.4 million during the three and nine months ended September 30, 2024</t>
      </text>
    </comment>
    <comment ref="BL275" authorId="2" shapeId="0">
      <text>
        <t>Tegus (KS):
Cadence recognized revenue of $106.1 million and $616.4 million during the three and nine months ended September 30, 2024</t>
      </text>
    </comment>
    <comment ref="A306" authorId="1" shapeId="0">
      <text>
        <t>Tegus (MB):
"In any fiscal year, we expect that between 85% and 90% of our annual revenue will be characterized as recurring revenue."</t>
      </text>
    </comment>
    <comment ref="G306" authorId="1" shapeId="0">
      <text>
        <t>Tegus (MB):
Approximately 90%</t>
      </text>
    </comment>
    <comment ref="H306" authorId="1" shapeId="0">
      <text>
        <t>Tegus (MB):
Approximately 90%</t>
      </text>
    </comment>
    <comment ref="I306" authorId="1" shapeId="0">
      <text>
        <t>Tegus (MB):
Approximately 90%</t>
      </text>
    </comment>
    <comment ref="J306" authorId="1" shapeId="0">
      <text>
        <t>Tegus (MB):
Approximately 90%</t>
      </text>
    </comment>
    <comment ref="K306" authorId="1" shapeId="0">
      <text>
        <t>Tegus (MB):
Approximately 90%</t>
      </text>
    </comment>
    <comment ref="L306" authorId="1" shapeId="0">
      <text>
        <t>Tegus (MB):
Approximately 90%</t>
      </text>
    </comment>
    <comment ref="M306" authorId="1" shapeId="0">
      <text>
        <t>Tegus (MB):
Approximately 90%</t>
      </text>
    </comment>
    <comment ref="N306" authorId="1" shapeId="0">
      <text>
        <t>Tegus (MB):
Approximately 90%</t>
      </text>
    </comment>
    <comment ref="O306" authorId="1" shapeId="0">
      <text>
        <t>Tegus (MB):
Approximately 90%</t>
      </text>
    </comment>
    <comment ref="P306" authorId="1" shapeId="0">
      <text>
        <t>Tegus (MB):
Approximately 90%</t>
      </text>
    </comment>
    <comment ref="Q306" authorId="1" shapeId="0">
      <text>
        <t>Tegus (MB):
Approximately 90%</t>
      </text>
    </comment>
    <comment ref="R306" authorId="1" shapeId="0">
      <text>
        <t>Tegus (MB):
Approximately 90%</t>
      </text>
    </comment>
    <comment ref="S306" authorId="1" shapeId="0">
      <text>
        <t>Tegus (MB):
Approximately 90%</t>
      </text>
    </comment>
    <comment ref="T306" authorId="1" shapeId="0">
      <text>
        <t>Tegus (MB):
Approximately 90%</t>
      </text>
    </comment>
    <comment ref="U306" authorId="1" shapeId="0">
      <text>
        <t>Tegus (MB):
Approximately 90%</t>
      </text>
    </comment>
    <comment ref="V306" authorId="1" shapeId="0">
      <text>
        <t>Tegus (MB):
Approximately 90%</t>
      </text>
    </comment>
    <comment ref="W306" authorId="1" shapeId="0">
      <text>
        <t>Tegus (MB):
Approximately 90%</t>
      </text>
    </comment>
    <comment ref="X306" authorId="1" shapeId="0">
      <text>
        <t>Tegus (MB):
Approximately 90%</t>
      </text>
    </comment>
    <comment ref="Y306" authorId="1" shapeId="0">
      <text>
        <t>Tegus (MB):
Approximately 90%</t>
      </text>
    </comment>
    <comment ref="Z306" authorId="1" shapeId="0">
      <text>
        <t>Tegus (MB):
Approximately 90%</t>
      </text>
    </comment>
    <comment ref="AA306" authorId="1" shapeId="0">
      <text>
        <t>Tegus (MB):
Approximately 90%</t>
      </text>
    </comment>
    <comment ref="AB306" authorId="1" shapeId="0">
      <text>
        <t>Tegus (MB):
Approximately 90%</t>
      </text>
    </comment>
    <comment ref="AC306" authorId="1" shapeId="0">
      <text>
        <t>Tegus (MB):
Approximately 90%</t>
      </text>
    </comment>
    <comment ref="AD306" authorId="1" shapeId="0">
      <text>
        <t>Tegus (MB):
Approximately 90%</t>
      </text>
    </comment>
    <comment ref="AE306" authorId="1" shapeId="0">
      <text>
        <t>Tegus (MB):
Approximately 90%</t>
      </text>
    </comment>
    <comment ref="AF306" authorId="1" shapeId="0">
      <text>
        <t>Tegus (MB):
Approximately 90%</t>
      </text>
    </comment>
    <comment ref="AG306" authorId="1" shapeId="0">
      <text>
        <t>Tegus (MB):
Approximately 90%</t>
      </text>
    </comment>
    <comment ref="AH306" authorId="1" shapeId="0">
      <text>
        <t>Tegus (MB):
Approximately 90%</t>
      </text>
    </comment>
    <comment ref="AI306" authorId="1" shapeId="0">
      <text>
        <t>Tegus (MB):
Approximately 90%</t>
      </text>
    </comment>
    <comment ref="AJ306" authorId="1" shapeId="0">
      <text>
        <t>Tegus (MB):
Approximately 90%</t>
      </text>
    </comment>
    <comment ref="AK306" authorId="1" shapeId="0">
      <text>
        <t>Tegus (MB):
Between 85% and 90%</t>
      </text>
    </comment>
    <comment ref="AL306" authorId="1" shapeId="0">
      <text>
        <t>Tegus (MB):
Between 85% and 90%</t>
      </text>
    </comment>
    <comment ref="AM306" authorId="1" shapeId="0">
      <text>
        <t>Tegus (MB):
Between 85% and 90%</t>
      </text>
    </comment>
    <comment ref="AN306" authorId="1" shapeId="0">
      <text>
        <t>Tegus (MB):
Between 85% and 90%</t>
      </text>
    </comment>
    <comment ref="AO306" authorId="1" shapeId="0">
      <text>
        <t>Tegus (MB):
Between 85% and 90%</t>
      </text>
    </comment>
    <comment ref="AP306" authorId="1" shapeId="0">
      <text>
        <t>Tegus (MB):
Between 85% and 90%</t>
      </text>
    </comment>
    <comment ref="AQ306" authorId="1" shapeId="0">
      <text>
        <t>Tegus (MB):
Between 85% and 90%</t>
      </text>
    </comment>
    <comment ref="AR306" authorId="1" shapeId="0">
      <text>
        <t>Tegus (MB):
Between 85% and 90%</t>
      </text>
    </comment>
    <comment ref="AS306" authorId="1" shapeId="0">
      <text>
        <t>Tegus (MB):
Between 85% and 90%</t>
      </text>
    </comment>
    <comment ref="AT306" authorId="1" shapeId="0">
      <text>
        <t>Tegus (MB):
Between 85% and 90%</t>
      </text>
    </comment>
    <comment ref="AU306" authorId="1" shapeId="0">
      <text>
        <t>Tegus (MB):
Between 85% and 90%</t>
      </text>
    </comment>
    <comment ref="AV306" authorId="1" shapeId="0">
      <text>
        <t>Tegus (MB):
Between 85% and 90%</t>
      </text>
    </comment>
    <comment ref="AW306" authorId="1" shapeId="0">
      <text>
        <t>Tegus (MB):
Between 85% and 90%</t>
      </text>
    </comment>
    <comment ref="AX306" authorId="1" shapeId="0">
      <text>
        <t>Tegus (EC):
Between 85% and 90%</t>
      </text>
    </comment>
    <comment ref="AY306" authorId="1" shapeId="0">
      <text>
        <t>Tegus (EC):
Between 85% and 90%</t>
      </text>
    </comment>
    <comment ref="AZ306" authorId="1" shapeId="0">
      <text>
        <t>Tegus (SK):
Generally, between 85% and 90% of Cadence’s annual revenue is characterized as recurring revenue</t>
      </text>
    </comment>
    <comment ref="BA306" authorId="1" shapeId="0">
      <text>
        <t>Tegus (KB):
Generally, between 85% and 90% of Cadence’s annual revenue is characterized as recurring revenue</t>
      </text>
    </comment>
    <comment ref="BB306" authorId="1" shapeId="0">
      <text>
        <t>Tegus (KB):
Generally, between 85% and 90% of Cadence’s annual revenue is characterized as recurring revenue</t>
      </text>
    </comment>
    <comment ref="BC306" authorId="1" shapeId="0">
      <text>
        <t>Tegus (KB):
Generally, between 85% and 90% of Cadence’s annual revenue is characterized as recurring revenue</t>
      </text>
    </comment>
    <comment ref="BD306" authorId="1" shapeId="0">
      <text>
        <t>Tegus (KB):
Generally, between 85% and 90% of Cadence’s annual revenue is characterized as recurring revenue</t>
      </text>
    </comment>
    <comment ref="BE306" authorId="1" shapeId="0">
      <text>
        <t>Tegus (TP):
Approximately 85% of Cadence’s annual revenue is characterized as recurring revenue.</t>
      </text>
    </comment>
    <comment ref="BF306" authorId="1" shapeId="0">
      <text>
        <t>Tegus (TP):
Approximately 85% of Cadence’s annual revenue is characterized as recurring revenue.</t>
      </text>
    </comment>
    <comment ref="BG306" authorId="1" shapeId="0">
      <text>
        <t>Tegus (TZ):
Approximately 85% of Cadence’s annual revenue is characterized as recurring revenue.</t>
      </text>
    </comment>
    <comment ref="BH306" authorId="1" shapeId="0">
      <text>
        <t>Tegus (KS):
Recurring revenue reported as 84%</t>
      </text>
    </comment>
    <comment ref="BJ306" authorId="1" shapeId="0">
      <text>
        <t>Tegus (KS):
Recurring revenue reported as 87%</t>
      </text>
    </comment>
    <comment ref="BK306" authorId="5" shapeId="0">
      <text>
        <t>Tegus (AA):
Recurring revenue reported as 88%</t>
      </text>
    </comment>
    <comment ref="BL306" authorId="5" shapeId="0">
      <text>
        <t>Tegus (ALT):
Recurring revenue reported as 82%</t>
      </text>
    </comment>
    <comment ref="BM306" authorId="5" shapeId="0">
      <text>
        <t>Tegus (CZ):
Recurring revenue reported as 82.6%</t>
      </text>
    </comment>
    <comment ref="BO306" authorId="6" shapeId="0">
      <text>
        <t>Tegus (BL):
Recurring revenue reported as 80%</t>
      </text>
    </comment>
    <comment ref="BP306" authorId="4" shapeId="0">
      <text>
        <t>Tegus (AN):
Recurring revenue reported as 78%</t>
      </text>
    </comment>
    <comment ref="BQ306" authorId="7" shapeId="0">
      <text>
        <t>Tegus (TP):
Recurring revenue reported as 82%</t>
      </text>
    </comment>
    <comment ref="AV389" authorId="1" shapeId="0">
      <text>
        <t>Tegus (DL):
includes costs related to a voluntary retirement program</t>
      </text>
    </comment>
    <comment ref="A446" authorId="1" shapeId="0">
      <text>
        <t xml:space="preserve">Tegus (CW):
Other income/expense related to investments and non-qualified deferred compensation plan assets </t>
      </text>
    </comment>
    <comment ref="C453" authorId="1" shapeId="0">
      <text>
        <t>Tegus (GJ):
Some Non-GAAP information not reported for this period</t>
      </text>
    </comment>
    <comment ref="D477" authorId="1" shapeId="0">
      <text>
        <t>Tegus (ALT):
Litigation charges</t>
      </text>
    </comment>
    <comment ref="A487" authorId="1" shapeId="0">
      <text>
        <t>Tegus (LZ):
Interest income for historical period are embedded within other income</t>
      </text>
    </comment>
    <comment ref="C503" authorId="1" shapeId="0">
      <text>
        <t>Tegus (ASr):
Formula adjusted.</t>
      </text>
    </comment>
    <comment ref="A524" authorId="1" shapeId="0">
      <text>
        <t>Tegus:
This section is primarily for the purposes of forecasting EV - as such we have not considered the scenario where the conversion of the convertible debt is dilutive to common shareholder EPS and as such interest expense will always be factored in net income and convertible shares are always excluded from EPS calculations.</t>
      </text>
    </comment>
    <comment ref="BR526" authorId="1" shapeId="0">
      <text>
        <t>Tegus:
Links to projections for share buyback, can be overwritten</t>
      </text>
    </comment>
    <comment ref="BS526" authorId="1" shapeId="0">
      <text>
        <t>Tegus:
Links to projections for share buyback, can be overwritten</t>
      </text>
    </comment>
    <comment ref="BT526" authorId="1" shapeId="0">
      <text>
        <t>Tegus:
Links to projections for share buyback, can be overwritten</t>
      </text>
    </comment>
    <comment ref="BU526" authorId="1" shapeId="0">
      <text>
        <t>Tegus:
Links to projections for share buyback, can be overwritten</t>
      </text>
    </comment>
    <comment ref="BV526" authorId="1" shapeId="0">
      <text>
        <t>Tegus:
Links to projections for share buyback, can be overwritten</t>
      </text>
    </comment>
    <comment ref="BW526" authorId="1" shapeId="0">
      <text>
        <t>Tegus:
Links to projections for share buyback, can be overwritten</t>
      </text>
    </comment>
    <comment ref="BX526" authorId="1" shapeId="0">
      <text>
        <t>Tegus:
Links to projections for share buyback, can be overwritten</t>
      </text>
    </comment>
    <comment ref="BY526" authorId="1" shapeId="0">
      <text>
        <t>Tegus:
Links to projections for share buyback, can be overwritten</t>
      </text>
    </comment>
    <comment ref="BZ526" authorId="1" shapeId="0">
      <text>
        <t>Tegus:
Links to projections for share buyback, can be overwritten</t>
      </text>
    </comment>
    <comment ref="CA526" authorId="1" shapeId="0">
      <text>
        <t>Tegus:
Links to projections for share buyback, can be overwritten</t>
      </text>
    </comment>
    <comment ref="AH530" authorId="1" shapeId="0">
      <text>
        <t>Tegus (LZ):
EoP Common Stock Outstanding not reported for periods prior to this quarter</t>
      </text>
    </comment>
    <comment ref="A531" authorId="1" shapeId="0">
      <text>
        <t>Tegus (VA):
FY 2011 onwards, RSUs include RSAs. Quarterly data estimated.</t>
      </text>
    </comment>
    <comment ref="G531" authorId="1" shapeId="0">
      <text>
        <t>Tegus (LZ):
Set to equal to previous FY valuee</t>
      </text>
    </comment>
    <comment ref="H531" authorId="1" shapeId="0">
      <text>
        <t>Tegus (LZ):
Set to equal to previous FY valuee</t>
      </text>
    </comment>
    <comment ref="I531" authorId="1" shapeId="0">
      <text>
        <t>Tegus (LZ):
Set to equal to previous FY valuee</t>
      </text>
    </comment>
    <comment ref="L531" authorId="1" shapeId="0">
      <text>
        <t>Tegus (LZ):
Set to equal to previous FY valuee</t>
      </text>
    </comment>
    <comment ref="M531" authorId="1" shapeId="0">
      <text>
        <t>Tegus (LZ):
Set to equal to previous FY valuee</t>
      </text>
    </comment>
    <comment ref="N531" authorId="1" shapeId="0">
      <text>
        <t>Tegus (LZ):
Set to equal to previous FY valuee</t>
      </text>
    </comment>
    <comment ref="Q531" authorId="1" shapeId="0">
      <text>
        <t>Tegus (LZ):
Set to equal to previous FY valuee</t>
      </text>
    </comment>
    <comment ref="R531" authorId="1" shapeId="0">
      <text>
        <t>Tegus (LZ):
Set to equal to previous FY valuee</t>
      </text>
    </comment>
    <comment ref="S531" authorId="1" shapeId="0">
      <text>
        <t>Tegus (LZ):
Set to equal to previous FY valuee</t>
      </text>
    </comment>
    <comment ref="V531" authorId="1" shapeId="0">
      <text>
        <t>Tegus (LZ):
Set to equal to previous FY valuee</t>
      </text>
    </comment>
    <comment ref="W531" authorId="1" shapeId="0">
      <text>
        <t>Tegus (LZ):
Set to equal to previous FY valuee</t>
      </text>
    </comment>
    <comment ref="X531" authorId="1" shapeId="0">
      <text>
        <t>Tegus (LZ):
Set to equal to previous FY valuee</t>
      </text>
    </comment>
    <comment ref="AA531" authorId="1" shapeId="0">
      <text>
        <t>Tegus (LZ):
Set to equal to previous FY valuee</t>
      </text>
    </comment>
    <comment ref="AB531" authorId="1" shapeId="0">
      <text>
        <t>Tegus (LZ):
Set to equal to previous FY valuee</t>
      </text>
    </comment>
    <comment ref="AC531" authorId="1" shapeId="0">
      <text>
        <t>Tegus (LZ):
Set to equal to previous FY valuee</t>
      </text>
    </comment>
    <comment ref="AF531" authorId="1" shapeId="0">
      <text>
        <t>Tegus (LZ):
Set to equal to previous FY valuee</t>
      </text>
    </comment>
    <comment ref="AG531" authorId="1" shapeId="0">
      <text>
        <t>Tegus (LZ):
Set to equal to previous FY valuee</t>
      </text>
    </comment>
    <comment ref="AH531" authorId="1" shapeId="0">
      <text>
        <t>Tegus (LZ):
Set to equal to previous FY valuee</t>
      </text>
    </comment>
    <comment ref="BR532" authorId="1" shapeId="0">
      <text>
        <t>Tegus:
This formula accounts for the scenario where the share price is below the initial conversion price of the convertible note and will therefore be paid back in cash by the company (and not flow to share count) The dilution impact during maturity of the convertible notes is calculated using last period's stock price as the real stock price during maturity is not available.</t>
      </text>
    </comment>
    <comment ref="BS532" authorId="1" shapeId="0">
      <text>
        <t>Tegus:
This formula accounts for the scenario where the share price is below the initial conversion price of the convertible note and will therefore be paid back in cash by the company (and not flow to share count) The dilution impact during maturity of the convertible notes is calculated using last period's stock price as the real stock price during maturity is not available.</t>
      </text>
    </comment>
    <comment ref="BT532" authorId="1" shapeId="0">
      <text>
        <t>Tegus:
This formula accounts for the scenario where the share price is below the initial conversion price of the convertible note and will therefore be paid back in cash by the company (and not flow to share count) The dilution impact during maturity of the convertible notes is calculated using last period's stock price as the real stock price during maturity is not available.</t>
      </text>
    </comment>
    <comment ref="BU532" authorId="1" shapeId="0">
      <text>
        <t>Tegus:
This formula accounts for the scenario where the share price is below the initial conversion price of the convertible note and will therefore be paid back in cash by the company (and not flow to share count) The dilution impact during maturity of the convertible notes is calculated using last period's stock price as the real stock price during maturity is not available.</t>
      </text>
    </comment>
    <comment ref="BV532" authorId="1" shapeId="0">
      <text>
        <t>Tegus:
This formula accounts for the scenario where the share price is below the initial conversion price of the convertible note and will therefore be paid back in cash by the company (and not flow to share count) The dilution impact during maturity of the convertible notes is calculated using last period's stock price as the real stock price during maturity is not available.</t>
      </text>
    </comment>
    <comment ref="BW532" authorId="1" shapeId="0">
      <text>
        <t>Tegus:
This formula accounts for the scenario where the share price is below the initial conversion price of the convertible note and will therefore be paid back in cash by the company (and not flow to share count) The dilution impact during maturity of the convertible notes is calculated using last period's stock price as the real stock price during maturity is not available.</t>
      </text>
    </comment>
    <comment ref="BX532" authorId="1" shapeId="0">
      <text>
        <t>Tegus:
This formula accounts for the scenario where the share price is below the initial conversion price of the convertible note and will therefore be paid back in cash by the company (and not flow to share count) The dilution impact during maturity of the convertible notes is calculated using last period's stock price as the real stock price during maturity is not available.</t>
      </text>
    </comment>
    <comment ref="BY532" authorId="1" shapeId="0">
      <text>
        <t>Tegus:
This formula accounts for the scenario where the share price is below the initial conversion price of the convertible note and will therefore be paid back in cash by the company (and not flow to share count) The dilution impact during maturity of the convertible notes is calculated using last period's stock price as the real stock price during maturity is not available.</t>
      </text>
    </comment>
    <comment ref="BZ532" authorId="1" shapeId="0">
      <text>
        <t>Tegus:
This formula accounts for the scenario where the share price is below the initial conversion price of the convertible note and will therefore be paid back in cash by the company (and not flow to share count) The dilution impact during maturity of the convertible notes is calculated using last period's stock price as the real stock price during maturity is not available.</t>
      </text>
    </comment>
    <comment ref="CA532" authorId="1" shapeId="0">
      <text>
        <t>Tegus:
This formula accounts for the scenario where the share price is below the initial conversion price of the convertible note and will therefore be paid back in cash by the company (and not flow to share count) The dilution impact during maturity of the convertible notes is calculated using last period's stock price as the real stock price during maturity is not available.</t>
      </text>
    </comment>
    <comment ref="A533" authorId="1" shapeId="0">
      <text>
        <t>Tegus:
Excludes the impact of convertible debt conversion during maturity</t>
      </text>
    </comment>
    <comment ref="A534" authorId="1" shapeId="0">
      <text>
        <t>Tegus:
Excludes the impact of convertible debt conversion during maturity</t>
      </text>
    </comment>
    <comment ref="A535" authorId="1" shapeId="0">
      <text>
        <t>Tegus:
Includes impact of convertible notes</t>
      </text>
    </comment>
    <comment ref="A536" authorId="1" shapeId="0">
      <text>
        <t>Tegus:
Includes impact of convertible notes</t>
      </text>
    </comment>
    <comment ref="A547" authorId="1" shapeId="0">
      <text>
        <t>Tegus (VA):
Quarterly data estimated.</t>
      </text>
    </comment>
    <comment ref="G547" authorId="7" shapeId="0">
      <text>
        <t>Canalyst:
Assumption by Canalyst</t>
      </text>
    </comment>
    <comment ref="H547" authorId="7" shapeId="0">
      <text>
        <t>Canalyst:
Assumption by Canalyst</t>
      </text>
    </comment>
    <comment ref="I547" authorId="7" shapeId="0">
      <text>
        <t>Canalyst:
Assumption by Canalyst</t>
      </text>
    </comment>
    <comment ref="L547" authorId="7" shapeId="0">
      <text>
        <t>Canalyst:
Assumption by Canalyst</t>
      </text>
    </comment>
    <comment ref="M547" authorId="7" shapeId="0">
      <text>
        <t>Canalyst:
Assumption by Canalyst</t>
      </text>
    </comment>
    <comment ref="N547" authorId="7" shapeId="0">
      <text>
        <t>Canalyst:
Assumption by Canalyst</t>
      </text>
    </comment>
    <comment ref="Q547" authorId="7" shapeId="0">
      <text>
        <t>Canalyst:
Assumption by Canalyst</t>
      </text>
    </comment>
    <comment ref="R547" authorId="7" shapeId="0">
      <text>
        <t>Canalyst:
Assumption by Canalyst</t>
      </text>
    </comment>
    <comment ref="S547" authorId="7" shapeId="0">
      <text>
        <t>Canalyst:
Assumption by Canalyst</t>
      </text>
    </comment>
    <comment ref="V547" authorId="7" shapeId="0">
      <text>
        <t>Canalyst:
Assumption by Canalyst</t>
      </text>
    </comment>
    <comment ref="W547" authorId="7" shapeId="0">
      <text>
        <t>Canalyst:
Assumption by Canalyst</t>
      </text>
    </comment>
    <comment ref="X547" authorId="7" shapeId="0">
      <text>
        <t>Canalyst:
Assumption by Canalyst</t>
      </text>
    </comment>
    <comment ref="AA547" authorId="7" shapeId="0">
      <text>
        <t>Canalyst:
Assumption by Canalyst</t>
      </text>
    </comment>
    <comment ref="AB547" authorId="7" shapeId="0">
      <text>
        <t>Canalyst:
Assumption by Canalyst</t>
      </text>
    </comment>
    <comment ref="AC547" authorId="7" shapeId="0">
      <text>
        <t>Canalyst:
Assumption by Canalyst</t>
      </text>
    </comment>
    <comment ref="AF547" authorId="7" shapeId="0">
      <text>
        <t>Canalyst:
Assumption by Canalyst</t>
      </text>
    </comment>
    <comment ref="AG547" authorId="7" shapeId="0">
      <text>
        <t>Canalyst:
Assumption by Canalyst</t>
      </text>
    </comment>
    <comment ref="AH547" authorId="7" shapeId="0">
      <text>
        <t>Canalyst:
Assumption by Canalyst</t>
      </text>
    </comment>
    <comment ref="AK547" authorId="7" shapeId="0">
      <text>
        <t>Canalyst:
Assumption by Canalyst</t>
      </text>
    </comment>
    <comment ref="AL547" authorId="7" shapeId="0">
      <text>
        <t>Canalyst:
Assumption by Canalyst</t>
      </text>
    </comment>
    <comment ref="AM547" authorId="7" shapeId="0">
      <text>
        <t>Canalyst:
Assumption by Canalyst</t>
      </text>
    </comment>
    <comment ref="AP547" authorId="7" shapeId="0">
      <text>
        <t>Canalyst:
Assumption by Canalyst</t>
      </text>
    </comment>
    <comment ref="AQ547" authorId="7" shapeId="0">
      <text>
        <t>Canalyst:
Assumption by Canalyst</t>
      </text>
    </comment>
    <comment ref="AR547" authorId="7" shapeId="0">
      <text>
        <t>Canalyst:
Assumption by Canalyst</t>
      </text>
    </comment>
    <comment ref="AU547" authorId="7" shapeId="0">
      <text>
        <t>Canalyst:
Assumption by Canalyst</t>
      </text>
    </comment>
    <comment ref="AV547" authorId="7" shapeId="0">
      <text>
        <t>Canalyst:
Assumption by Canalyst</t>
      </text>
    </comment>
    <comment ref="AW547" authorId="7" shapeId="0">
      <text>
        <t>Canalyst:
Assumption by Canalyst</t>
      </text>
    </comment>
    <comment ref="AZ547" authorId="7" shapeId="0">
      <text>
        <t>Canalyst:
Assumption by Canalyst</t>
      </text>
    </comment>
    <comment ref="BA547" authorId="7" shapeId="0">
      <text>
        <t>Canalyst:
Assumption by Canalyst</t>
      </text>
    </comment>
    <comment ref="BB547" authorId="7" shapeId="0">
      <text>
        <t>Canalyst:
Assumption by Canalyst</t>
      </text>
    </comment>
    <comment ref="BE547" authorId="1" shapeId="0">
      <text>
        <t>Tegus (KS):
Set equal to previous FY value</t>
      </text>
    </comment>
    <comment ref="BF547" authorId="1" shapeId="0">
      <text>
        <t>Tegus (KS):
Set equal to previous FY value</t>
      </text>
    </comment>
    <comment ref="BG547" authorId="1" shapeId="0">
      <text>
        <t>Tegus (KS):
Set equal to previous FY value</t>
      </text>
    </comment>
    <comment ref="BJ547" authorId="1" shapeId="0">
      <text>
        <t>Tegus (KS):
Set equal to previous FY value</t>
      </text>
    </comment>
    <comment ref="BK547" authorId="1" shapeId="0">
      <text>
        <t>Tegus (KS):
Set equal to previous FY value</t>
      </text>
    </comment>
    <comment ref="BL547" authorId="1" shapeId="0">
      <text>
        <t>Tegus (KS):
Set equal to previous FY value</t>
      </text>
    </comment>
    <comment ref="BO547" authorId="7" shapeId="0">
      <text>
        <t>Canalyst:
Assumption by Canalyst</t>
      </text>
    </comment>
    <comment ref="BP547" authorId="7" shapeId="0">
      <text>
        <t>Canalyst:
Assumption by Canalyst</t>
      </text>
    </comment>
    <comment ref="BQ547" authorId="7" shapeId="0">
      <text>
        <t>Canalyst:
Assumption by Canalyst</t>
      </text>
    </comment>
    <comment ref="A554" authorId="1" shapeId="0">
      <text>
        <t>Tegus (VA):
Quarterly data estimated.</t>
      </text>
    </comment>
    <comment ref="G554" authorId="7" shapeId="0">
      <text>
        <t>Canalyst:
Assumption by Canalyst</t>
      </text>
    </comment>
    <comment ref="H554" authorId="7" shapeId="0">
      <text>
        <t>Canalyst:
Assumption by Canalyst</t>
      </text>
    </comment>
    <comment ref="I554" authorId="7" shapeId="0">
      <text>
        <t>Canalyst:
Assumption by Canalyst</t>
      </text>
    </comment>
    <comment ref="L554" authorId="7" shapeId="0">
      <text>
        <t>Canalyst:
Assumption by Canalyst</t>
      </text>
    </comment>
    <comment ref="M554" authorId="7" shapeId="0">
      <text>
        <t>Canalyst:
Assumption by Canalyst</t>
      </text>
    </comment>
    <comment ref="N554" authorId="7" shapeId="0">
      <text>
        <t>Canalyst:
Assumption by Canalyst</t>
      </text>
    </comment>
    <comment ref="Q554" authorId="7" shapeId="0">
      <text>
        <t>Canalyst:
Assumption by Canalyst</t>
      </text>
    </comment>
    <comment ref="R554" authorId="7" shapeId="0">
      <text>
        <t>Canalyst:
Assumption by Canalyst</t>
      </text>
    </comment>
    <comment ref="S554" authorId="7" shapeId="0">
      <text>
        <t>Canalyst:
Assumption by Canalyst</t>
      </text>
    </comment>
    <comment ref="V554" authorId="7" shapeId="0">
      <text>
        <t>Canalyst:
Assumption by Canalyst</t>
      </text>
    </comment>
    <comment ref="W554" authorId="7" shapeId="0">
      <text>
        <t>Canalyst:
Assumption by Canalyst</t>
      </text>
    </comment>
    <comment ref="X554" authorId="7" shapeId="0">
      <text>
        <t>Canalyst:
Assumption by Canalyst</t>
      </text>
    </comment>
    <comment ref="AA554" authorId="7" shapeId="0">
      <text>
        <t>Canalyst:
Assumption by Canalyst</t>
      </text>
    </comment>
    <comment ref="AB554" authorId="7" shapeId="0">
      <text>
        <t>Canalyst:
Assumption by Canalyst</t>
      </text>
    </comment>
    <comment ref="AC554" authorId="7" shapeId="0">
      <text>
        <t>Canalyst:
Assumption by Canalyst</t>
      </text>
    </comment>
    <comment ref="AF554" authorId="7" shapeId="0">
      <text>
        <t>Canalyst:
Assumption by Canalyst</t>
      </text>
    </comment>
    <comment ref="AG554" authorId="7" shapeId="0">
      <text>
        <t>Canalyst:
Assumption by Canalyst</t>
      </text>
    </comment>
    <comment ref="AH554" authorId="7" shapeId="0">
      <text>
        <t>Canalyst:
Assumption by Canalyst</t>
      </text>
    </comment>
    <comment ref="AK554" authorId="7" shapeId="0">
      <text>
        <t>Canalyst:
Assumption by Canalyst</t>
      </text>
    </comment>
    <comment ref="AL554" authorId="7" shapeId="0">
      <text>
        <t>Canalyst:
Assumption by Canalyst</t>
      </text>
    </comment>
    <comment ref="AM554" authorId="7" shapeId="0">
      <text>
        <t>Canalyst:
Assumption by Canalyst</t>
      </text>
    </comment>
    <comment ref="AP554" authorId="7" shapeId="0">
      <text>
        <t>Canalyst:
Assumption by Canalyst</t>
      </text>
    </comment>
    <comment ref="AQ554" authorId="7" shapeId="0">
      <text>
        <t>Canalyst:
Assumption by Canalyst</t>
      </text>
    </comment>
    <comment ref="AR554" authorId="7" shapeId="0">
      <text>
        <t>Canalyst:
Assumption by Canalyst</t>
      </text>
    </comment>
    <comment ref="AU554" authorId="7" shapeId="0">
      <text>
        <t>Canalyst:
Assumption by Canalyst</t>
      </text>
    </comment>
    <comment ref="AV554" authorId="7" shapeId="0">
      <text>
        <t>Canalyst:
Assumption by Canalyst</t>
      </text>
    </comment>
    <comment ref="AW554" authorId="7" shapeId="0">
      <text>
        <t>Canalyst:
Assumption by Canalyst</t>
      </text>
    </comment>
    <comment ref="AZ554" authorId="7" shapeId="0">
      <text>
        <t>Canalyst:
Assumption by Canalyst</t>
      </text>
    </comment>
    <comment ref="BA554" authorId="7" shapeId="0">
      <text>
        <t>Canalyst:
Assumption by Canalyst</t>
      </text>
    </comment>
    <comment ref="BB554" authorId="7" shapeId="0">
      <text>
        <t>Canalyst:
Assumption by Canalyst</t>
      </text>
    </comment>
    <comment ref="BE554" authorId="7" shapeId="0">
      <text>
        <t>Canalyst:
Assumption by Canalyst</t>
      </text>
    </comment>
    <comment ref="BF554" authorId="7" shapeId="0">
      <text>
        <t>Canalyst:
Assumption by Canalyst</t>
      </text>
    </comment>
    <comment ref="BG554" authorId="7" shapeId="0">
      <text>
        <t>Canalyst:
Assumption by Canalyst</t>
      </text>
    </comment>
    <comment ref="BJ554" authorId="7" shapeId="0">
      <text>
        <t>Canalyst:
Assumption by Canalyst</t>
      </text>
    </comment>
    <comment ref="BK554" authorId="7" shapeId="0">
      <text>
        <t>Canalyst:
Assumption by Canalyst</t>
      </text>
    </comment>
    <comment ref="BL554" authorId="1" shapeId="0">
      <text>
        <t>Tegus (KS):
Set equal to previous FY value</t>
      </text>
    </comment>
    <comment ref="BO554" authorId="7" shapeId="0">
      <text>
        <t>Canalyst:
Assumption by Canalyst</t>
      </text>
    </comment>
    <comment ref="BP554" authorId="7" shapeId="0">
      <text>
        <t>Canalyst:
Assumption by Canalyst</t>
      </text>
    </comment>
    <comment ref="BQ554" authorId="7" shapeId="0">
      <text>
        <t>Canalyst:
Assumption by Canalyst</t>
      </text>
    </comment>
    <comment ref="A556" authorId="1" shapeId="0">
      <text>
        <t>Tegus:
This row aims to calculate the options available for vesting within a given year, assuming a 1 year cliff on newly issued options.As such, new issuances are ignored intra year and all exercised options are assumed to have been in the unvested count at the beginning of year.As such, each year should be viewed independently and will reset in the respective Q1s.</t>
      </text>
    </comment>
    <comment ref="A561" authorId="1" shapeId="0">
      <text>
        <t>Tegus:
This row aims to calculate the weighted average exercise price per share within a given year, assuming a 1 year cliff on newly issued options.As such, new issuances are ignored intra year and all exercised options are assumed to have been in the unvested count at the beginning of year.As such, each year should be viewed independently and will reset in the respective Q1s.</t>
      </text>
    </comment>
    <comment ref="A574" authorId="1" shapeId="0">
      <text>
        <t>Tegus:
Not reported.</t>
      </text>
    </comment>
    <comment ref="A581" authorId="1" shapeId="0">
      <text>
        <t>Tegus (VA):
FY 2011 onwards, RSUs include RSAs. Quarterly data estimated.</t>
      </text>
    </comment>
    <comment ref="G581" authorId="1" shapeId="0">
      <text>
        <t>Tegus (LZ):
Set equal to previous FY value</t>
      </text>
    </comment>
    <comment ref="H581" authorId="1" shapeId="0">
      <text>
        <t>Tegus (LZ):
Set equal to previous FY value</t>
      </text>
    </comment>
    <comment ref="I581" authorId="1" shapeId="0">
      <text>
        <t>Tegus (LZ):
Set equal to previous FY value</t>
      </text>
    </comment>
    <comment ref="L581" authorId="1" shapeId="0">
      <text>
        <t>Tegus (LZ):
Set equal to previous FY value</t>
      </text>
    </comment>
    <comment ref="M581" authorId="1" shapeId="0">
      <text>
        <t>Tegus (LZ):
Set equal to previous FY value</t>
      </text>
    </comment>
    <comment ref="N581" authorId="1" shapeId="0">
      <text>
        <t>Tegus (LZ):
Set equal to previous FY value</t>
      </text>
    </comment>
    <comment ref="Q581" authorId="1" shapeId="0">
      <text>
        <t>Tegus (LZ):
Set equal to previous FY value</t>
      </text>
    </comment>
    <comment ref="R581" authorId="1" shapeId="0">
      <text>
        <t>Tegus (LZ):
Set equal to previous FY value</t>
      </text>
    </comment>
    <comment ref="S581" authorId="1" shapeId="0">
      <text>
        <t>Tegus (LZ):
Set equal to previous FY value</t>
      </text>
    </comment>
    <comment ref="V581" authorId="1" shapeId="0">
      <text>
        <t>Tegus (LZ):
Set equal to previous FY value</t>
      </text>
    </comment>
    <comment ref="W581" authorId="1" shapeId="0">
      <text>
        <t>Tegus (LZ):
Set equal to previous FY value</t>
      </text>
    </comment>
    <comment ref="X581" authorId="1" shapeId="0">
      <text>
        <t>Tegus (LZ):
Set equal to previous FY value</t>
      </text>
    </comment>
    <comment ref="AA581" authorId="1" shapeId="0">
      <text>
        <t>Tegus (LZ):
Set equal to previous FY value</t>
      </text>
    </comment>
    <comment ref="AB581" authorId="1" shapeId="0">
      <text>
        <t>Tegus (LZ):
Set equal to previous FY value</t>
      </text>
    </comment>
    <comment ref="AC581" authorId="1" shapeId="0">
      <text>
        <t>Tegus (LZ):
Set equal to previous FY value</t>
      </text>
    </comment>
    <comment ref="AF581" authorId="1" shapeId="0">
      <text>
        <t>Tegus (LZ):
Set equal to previous FY value</t>
      </text>
    </comment>
    <comment ref="AG581" authorId="1" shapeId="0">
      <text>
        <t>Tegus (LZ):
Set equal to previous FY value</t>
      </text>
    </comment>
    <comment ref="AH581" authorId="1" shapeId="0">
      <text>
        <t>Tegus (LZ):
Set equal to previous FY value</t>
      </text>
    </comment>
    <comment ref="AK581" authorId="1" shapeId="0">
      <text>
        <t>Tegus (LZ):
Set equal to previous FY value</t>
      </text>
    </comment>
    <comment ref="AL581" authorId="1" shapeId="0">
      <text>
        <t>Tegus (LZ):
Set equal to previous FY value</t>
      </text>
    </comment>
    <comment ref="AM581" authorId="1" shapeId="0">
      <text>
        <t>Tegus (LZ):
Set equal to previous FY value</t>
      </text>
    </comment>
    <comment ref="AP581" authorId="1" shapeId="0">
      <text>
        <t>Tegus (LZ):
Set equal to previous FY value</t>
      </text>
    </comment>
    <comment ref="AQ581" authorId="1" shapeId="0">
      <text>
        <t>Tegus (LZ):
Set equal to previous FY value</t>
      </text>
    </comment>
    <comment ref="AR581" authorId="1" shapeId="0">
      <text>
        <t>Tegus (LZ):
Set equal to previous FY value</t>
      </text>
    </comment>
    <comment ref="AU581" authorId="1" shapeId="0">
      <text>
        <t>Tegus (LZ):
Set equal to previous FY value</t>
      </text>
    </comment>
    <comment ref="AV581" authorId="1" shapeId="0">
      <text>
        <t>Tegus (LZ):
Set equal to previous FY value</t>
      </text>
    </comment>
    <comment ref="AW581" authorId="1" shapeId="0">
      <text>
        <t>Tegus (LZ):
Set equal to previous FY value</t>
      </text>
    </comment>
    <comment ref="AZ581" authorId="1" shapeId="0">
      <text>
        <t>Tegus (LZ):
Set equal to previous FY value</t>
      </text>
    </comment>
    <comment ref="BA581" authorId="1" shapeId="0">
      <text>
        <t>Tegus (LZ):
Set equal to previous FY value</t>
      </text>
    </comment>
    <comment ref="BB581" authorId="1" shapeId="0">
      <text>
        <t>Tegus (LZ):
Set equal to previous FY value</t>
      </text>
    </comment>
    <comment ref="BE581" authorId="1" shapeId="0">
      <text>
        <t>Tegus (LZ):
Set equal to previous FY value</t>
      </text>
    </comment>
    <comment ref="BF581" authorId="1" shapeId="0">
      <text>
        <t>Tegus (LZ):
Set equal to previous FY value</t>
      </text>
    </comment>
    <comment ref="BG581" authorId="1" shapeId="0">
      <text>
        <t>Tegus (LZ):
Set equal to previous FY value</t>
      </text>
    </comment>
    <comment ref="BJ581" authorId="1" shapeId="0">
      <text>
        <t>Tegus (KS):
Set equal to previous FY value</t>
      </text>
    </comment>
    <comment ref="BK581" authorId="1" shapeId="0">
      <text>
        <t>Tegus (KS):
Set equal to previous FY value</t>
      </text>
    </comment>
    <comment ref="BL581" authorId="1" shapeId="0">
      <text>
        <t>Tegus (KS):
Set equal to previous FY value</t>
      </text>
    </comment>
    <comment ref="BO581" authorId="7" shapeId="0">
      <text>
        <t>Canalyst:
Assumption by Canalyst</t>
      </text>
    </comment>
    <comment ref="BP581" authorId="7" shapeId="0">
      <text>
        <t>Canalyst:
Assumption by Canalyst</t>
      </text>
    </comment>
    <comment ref="BQ581" authorId="7" shapeId="0">
      <text>
        <t>Canalyst:
Assumption by Canalyst</t>
      </text>
    </comment>
    <comment ref="A594" authorId="1" shapeId="0">
      <text>
        <t>Tegus (VA):
ESPP exists but not reported.</t>
      </text>
    </comment>
    <comment ref="A596" authorId="1" shapeId="0">
      <text>
        <t>Tegus:
Includes RSU, PSU, etc</t>
      </text>
    </comment>
    <comment ref="C616" authorId="1" shapeId="0">
      <text>
        <t>Tegus (ASr):
Not reported. However as combined principal for 2011 and 2013 notes was $500 million in the period and each had initial principal of $250 million, this value was logically assumed.</t>
      </text>
    </comment>
    <comment ref="C617" authorId="1" shapeId="0">
      <text>
        <t>Tegus (ASr):
Not reported. Assumed from combined unamortized discount for 2011 and 2013 notes.</t>
      </text>
    </comment>
    <comment ref="C619" authorId="1" shapeId="0">
      <text>
        <t>Tegus (ASr):
Not reported. Estimated using calculations from combined figures for 2011 and 2013 notes.</t>
      </text>
    </comment>
    <comment ref="D619" authorId="1" shapeId="0">
      <text>
        <t>Tegus (ASr):
As the 2011 notes mature on December 15, 2011, Consolidated BS includes a current liability of $143.3 million representing the $150.0 million principal amount of the 2011 notes, net of aplicable discount.</t>
      </text>
    </comment>
    <comment ref="C633" authorId="1" shapeId="0">
      <text>
        <t>Tegus (ASr):
Not reported. However as combined principal for 2011 and 2013 notes was $500 million in the period and each had initial principal of $250 million, this value was logically assumed.</t>
      </text>
    </comment>
    <comment ref="C634" authorId="1" shapeId="0">
      <text>
        <t>Tegus (ASr):
Not reported. Assumed from combined unamortized discount for 2011 and 2013 notes.</t>
      </text>
    </comment>
    <comment ref="C636" authorId="1" shapeId="0">
      <text>
        <t>Tegus (ASr):
Not reported. Estimated using calculations from combined figures for 2011 and 2013 notes.</t>
      </text>
    </comment>
    <comment ref="C667" authorId="1" shapeId="0">
      <text>
        <t>Tegus (ASr):
Assumed.</t>
      </text>
    </comment>
    <comment ref="D667" authorId="1" shapeId="0">
      <text>
        <t>Tegus (ASr):
Assumed.</t>
      </text>
    </comment>
    <comment ref="E667" authorId="1" shapeId="0">
      <text>
        <t>Tegus (ASr):
Backfilled using FY2012 FS.</t>
      </text>
    </comment>
    <comment ref="E668" authorId="1" shapeId="0">
      <text>
        <t>Tegus (ASr):
Backfilled using FY2012 FS.</t>
      </text>
    </comment>
    <comment ref="C670" authorId="1" shapeId="0">
      <text>
        <t>Tegus (ASr):
Figure not reported. Backed out from total convertible notes and consistent with amount reported in next FY.</t>
      </text>
    </comment>
    <comment ref="D670" authorId="1" shapeId="0">
      <text>
        <t>Tegus (ASr):
Figure not reported. Backed out from total convertible notes and consistent with amount reported in next FY.</t>
      </text>
    </comment>
    <comment ref="A880" authorId="1" shapeId="0">
      <text>
        <t>Tegus (HZ):
Linked from guided WAD shares as historical WAD share count equals WAD adjusted share count</t>
      </text>
    </comment>
    <comment ref="A883" authorId="1" shapeId="0">
      <text>
        <t>Tegus (HZ):
Linked from guided WAD shares as historical WAD share count equals WAD adjusted share count</t>
      </text>
    </comment>
    <comment ref="AR912" authorId="1" shapeId="0">
      <text>
        <t>Tegus (HZ):
not reported;implied</t>
      </text>
    </comment>
    <comment ref="AW912" authorId="1" shapeId="0">
      <text>
        <t>Tegus (HZ):
not reported;implied</t>
      </text>
    </comment>
    <comment ref="BB912" authorId="1" shapeId="0">
      <text>
        <t>Tegus (HZ):
not reported;implied</t>
      </text>
    </comment>
    <comment ref="BG912" authorId="1" shapeId="0">
      <text>
        <t>Tegus (HZ):
not reported;implied</t>
      </text>
    </comment>
    <comment ref="BL912" authorId="1" shapeId="0">
      <text>
        <t>Tegus (ALT):
not reported;implied</t>
      </text>
    </comment>
    <comment ref="AD941" authorId="1" shapeId="0">
      <text>
        <t>Tegus (VT):
Acquisition of Nusemi Inc</t>
      </text>
    </comment>
    <comment ref="AU941" authorId="1" shapeId="0">
      <text>
        <t>Tegus (TS):
Feb. 23, 2021, acquired all the outstanding equity of Belgium-based Numerical Mechanics Applications International SA (NUMECA), for aggregate cash consideration of $189.3 mm, net of $9.5 mm cash acquired.</t>
      </text>
    </comment>
    <comment ref="BH949" authorId="1" shapeId="0">
      <text>
        <t xml:space="preserve">Tegus (TZ):
Expect to repurchase approximately $125 million of Cadence shares in Q4 </t>
      </text>
    </comment>
    <comment ref="AP1239" authorId="1" shapeId="0">
      <text>
        <t>Tegus (ASr):
Estimated.</t>
      </text>
    </comment>
    <comment ref="AQ1239" authorId="1" shapeId="0">
      <text>
        <t>Tegus (ASr):
Estimated.</t>
      </text>
    </comment>
    <comment ref="AR1239" authorId="1" shapeId="0">
      <text>
        <t>Tegus (ASr):
Estimated.</t>
      </text>
    </comment>
    <comment ref="AU1239" authorId="1" shapeId="0">
      <text>
        <t>Tegus (ASr):
Estimated.</t>
      </text>
    </comment>
    <comment ref="AV1239" authorId="1" shapeId="0">
      <text>
        <t>Tegus (ASr):
Estimated.</t>
      </text>
    </comment>
    <comment ref="AW1239" authorId="1" shapeId="0">
      <text>
        <t>Tegus (ASr):
Estimated.</t>
      </text>
    </comment>
    <comment ref="AZ1239" authorId="1" shapeId="0">
      <text>
        <t>Tegus (ASr):
Estimated.</t>
      </text>
    </comment>
    <comment ref="BA1239" authorId="1" shapeId="0">
      <text>
        <t>Tegus (ASr):
Estimated.</t>
      </text>
    </comment>
    <comment ref="BB1239" authorId="1" shapeId="0">
      <text>
        <t>Tegus (ASr):
Estimated.</t>
      </text>
    </comment>
    <comment ref="BE1239" authorId="1" shapeId="0">
      <text>
        <t>Tegus (ASr):
Estimated.</t>
      </text>
    </comment>
    <comment ref="BF1239" authorId="1" shapeId="0">
      <text>
        <t>Tegus (ASr):
Estimated.</t>
      </text>
    </comment>
    <comment ref="BG1239" authorId="1" shapeId="0">
      <text>
        <t>Tegus (ASr):
Estimated.</t>
      </text>
    </comment>
    <comment ref="BJ1239" authorId="1" shapeId="0">
      <text>
        <t>Tegus (SH):
Estimated.</t>
      </text>
    </comment>
    <comment ref="BK1239" authorId="6" shapeId="0">
      <text>
        <t>Tegus:
Estimated</t>
      </text>
    </comment>
    <comment ref="BL1239" authorId="6" shapeId="0">
      <text>
        <t>Tegus:
Estimated</t>
      </text>
    </comment>
    <comment ref="BO1239" authorId="6" shapeId="0">
      <text>
        <t>Tegus:
Estimated</t>
      </text>
    </comment>
    <comment ref="BP1239" authorId="6" shapeId="0">
      <text>
        <t>Tegus:
Estimated</t>
      </text>
    </comment>
    <comment ref="BQ1239" authorId="6" shapeId="0">
      <text>
        <t>Tegus:
Estimated</t>
      </text>
    </comment>
    <comment ref="AN1240" authorId="1" shapeId="0">
      <text>
        <t>Tegus (ASr):
Adjusted for operating lease liabilities.</t>
      </text>
    </comment>
    <comment ref="AO1240" authorId="1" shapeId="0">
      <text>
        <t>Tegus (ASr):
Adjusted for operating lease liabilities.</t>
      </text>
    </comment>
    <comment ref="AP1240" authorId="1" shapeId="0">
      <text>
        <t>Tegus (ASr):
Adjusted for operating lease liabilities.</t>
      </text>
    </comment>
    <comment ref="AQ1240" authorId="1" shapeId="0">
      <text>
        <t>Tegus (ASr):
Adjusted for operating lease liabilities.</t>
      </text>
    </comment>
    <comment ref="AR1240" authorId="1" shapeId="0">
      <text>
        <t>Tegus (ASr):
Adjusted for operating lease liabilities.</t>
      </text>
    </comment>
    <comment ref="AS1240" authorId="1" shapeId="0">
      <text>
        <t>Tegus (ASr):
Adjusted for operating lease liabilities.</t>
      </text>
    </comment>
    <comment ref="AT1240" authorId="1" shapeId="0">
      <text>
        <t>Tegus (ASr):
Adjusted for operating lease liabilities.</t>
      </text>
    </comment>
    <comment ref="AU1240" authorId="1" shapeId="0">
      <text>
        <t>Tegus (ASr):
Adjusted for operating lease liabilities.</t>
      </text>
    </comment>
    <comment ref="AV1240" authorId="1" shapeId="0">
      <text>
        <t>Tegus (ASr):
Adjusted for operating lease liabilities.</t>
      </text>
    </comment>
    <comment ref="AW1240" authorId="1" shapeId="0">
      <text>
        <t>Tegus (ASr):
Adjusted for operating lease liabilities.</t>
      </text>
    </comment>
    <comment ref="AX1240" authorId="1" shapeId="0">
      <text>
        <t>Tegus (ASr):
Adjusted for operating lease liabilities.</t>
      </text>
    </comment>
    <comment ref="AY1240" authorId="1" shapeId="0">
      <text>
        <t>Tegus (ASr):
Adjusted for operating lease liabilities.</t>
      </text>
    </comment>
    <comment ref="AZ1240" authorId="1" shapeId="0">
      <text>
        <t>Tegus (ASr):
Adjusted for operating lease liabilities.</t>
      </text>
    </comment>
    <comment ref="BA1240" authorId="1" shapeId="0">
      <text>
        <t>Tegus (ASr):
Adjusted for operating lease liabilities.</t>
      </text>
    </comment>
    <comment ref="BB1240" authorId="1" shapeId="0">
      <text>
        <t>Tegus (ASr):
Adjusted for operating lease liabilities.</t>
      </text>
    </comment>
    <comment ref="BC1240" authorId="1" shapeId="0">
      <text>
        <t>Tegus (ASr):
Adjusted for operating lease liabilities.</t>
      </text>
    </comment>
    <comment ref="BD1240" authorId="1" shapeId="0">
      <text>
        <t>Tegus (ASr):
Adjusted for operating lease liabilities.</t>
      </text>
    </comment>
    <comment ref="BE1240" authorId="1" shapeId="0">
      <text>
        <t>Tegus (ASr):
Adjusted for operating lease liabilities.</t>
      </text>
    </comment>
    <comment ref="BF1240" authorId="1" shapeId="0">
      <text>
        <t>Tegus (ASr):
Adjusted for operating lease liabilities.</t>
      </text>
    </comment>
    <comment ref="BG1240" authorId="1" shapeId="0">
      <text>
        <t>Tegus (KS):
Adjusted for operating lease liabilities.</t>
      </text>
    </comment>
    <comment ref="BH1240" authorId="1" shapeId="0">
      <text>
        <t>Tegus (KS):
Adjusted for operating lease liabilities.</t>
      </text>
    </comment>
    <comment ref="BI1240" authorId="1" shapeId="0">
      <text>
        <t>Tegus (KS):
Adjusted for operating lease liabilities.</t>
      </text>
    </comment>
    <comment ref="BJ1240" authorId="1" shapeId="0">
      <text>
        <t>Tegus (SH):
Adjusted for operating lease liabilities.</t>
      </text>
    </comment>
    <comment ref="BK1240" authorId="9" shapeId="0">
      <text>
        <t>Tegus (HS):
Adjusted for operating lease liabilities.</t>
      </text>
    </comment>
    <comment ref="BL1240" authorId="10" shapeId="0">
      <text>
        <t>Tegus (ALT):
Adjusted for operating lease liabilities.</t>
      </text>
    </comment>
    <comment ref="BO1240" authorId="6" shapeId="0">
      <text>
        <t>Tegus (BL):
Adjusted for operating lease liabilities.</t>
      </text>
    </comment>
    <comment ref="BP1240" authorId="4" shapeId="0">
      <text>
        <t>Tegus (AN):
Adjusted for operating lease liabilities.</t>
      </text>
    </comment>
    <comment ref="BQ1240" authorId="7" shapeId="0">
      <text>
        <t>Tegus (TP):
Adjusted for operating lease liabilities.</t>
      </text>
    </comment>
    <comment ref="I1262" authorId="1" shapeId="0">
      <text>
        <t>Tegus (BP):
Discrepancy due to rounding in reported segment revenue percentages.</t>
      </text>
    </comment>
    <comment ref="O1272" authorId="1" shapeId="0">
      <text>
        <t>Tegus (BP):
Change in acquisitions figure is a positive integer in Q4 2014.</t>
      </text>
    </comment>
    <comment ref="AW1272" authorId="1" shapeId="0">
      <text>
        <t>Tegus (PK):
As reported</t>
      </text>
    </comment>
  </commentList>
</comments>
</file>

<file path=xl/comments/comment2.xml><?xml version="1.0" encoding="utf-8"?>
<comments xmlns="http://schemas.openxmlformats.org/spreadsheetml/2006/main">
  <authors>
    <author>Travis Hao</author>
  </authors>
  <commentList>
    <comment ref="AY159" authorId="0" shapeId="0">
      <text>
        <t>Tegus (GR):
as of March 22nd, 2022</t>
      </text>
    </comment>
    <comment ref="BD159" authorId="0" shapeId="0">
      <text>
        <t>Tegus (GR):
As of March 6th, 2023</t>
      </text>
    </comment>
    <comment ref="BI159" authorId="0" shapeId="0">
      <text>
        <t>Tegus (KS):
As of March 4th, 2024</t>
      </text>
    </comment>
    <comment ref="AY161" authorId="0" shapeId="0">
      <text>
        <t>Tegus (GR):
as of March 22nd, 2022</t>
      </text>
    </comment>
    <comment ref="BD161" authorId="0" shapeId="0">
      <text>
        <t>Tegus (GR):
As of March 6th, 2023</t>
      </text>
    </comment>
    <comment ref="BI161" authorId="0" shapeId="0">
      <text>
        <t>Tegus (KS):
As of March 4th, 2024</t>
      </text>
    </comment>
    <comment ref="AY162" authorId="0" shapeId="0">
      <text>
        <t>Tegus (GR):
as of March 22nd, 2022</t>
      </text>
    </comment>
    <comment ref="BD162" authorId="0" shapeId="0">
      <text>
        <t>Tegus (GR):
As of March 6th, 2023</t>
      </text>
    </comment>
    <comment ref="BI162" authorId="0" shapeId="0">
      <text>
        <t>Tegus (KS):
As of March 4th, 2024</t>
      </text>
    </comment>
    <comment ref="BI220" authorId="0" shapeId="0">
      <text>
        <t>Tegus (KS):
Non-GAAP operating margin for the second half of fiscal 2023 excludes a special bonus paid to employees below the NEO level for exceptional performance, which had an insignificant impact on payments to the NEOs.</t>
      </text>
    </comment>
  </commentList>
</comments>
</file>

<file path=xl/comments/comment3.xml><?xml version="1.0" encoding="utf-8"?>
<comments xmlns="http://schemas.openxmlformats.org/spreadsheetml/2006/main">
  <authors>
    <author>Travis Hao</author>
    <author>Tegus (CZ)</author>
  </authors>
  <commentList>
    <comment ref="A4" authorId="0" shapeId="0">
      <text>
        <t>Tegus:
Sort Largest to Smallest to return to default.</t>
      </text>
    </comment>
    <comment ref="N6" authorId="0" shapeId="0">
      <text>
        <t>Tegus (KB):
Tegus model does not currently provide a forecast for this metric</t>
      </text>
    </comment>
    <comment ref="N7" authorId="0" shapeId="0">
      <text>
        <t>Tegus (KB):
Tegus model does not currently provide a forecast for this metric</t>
      </text>
    </comment>
    <comment ref="N19" authorId="0" shapeId="0">
      <text>
        <t>Tegus (KB):
Tegus model does not currently provide a forecast for this metric</t>
      </text>
    </comment>
    <comment ref="N23" authorId="0" shapeId="0">
      <text>
        <t>Tegus (KB):
Tegus model does not currently provide a forecast for this metric</t>
      </text>
    </comment>
    <comment ref="N24" authorId="0" shapeId="0">
      <text>
        <t>Tegus (KB):
Tegus model does not currently provide a forecast for this metric</t>
      </text>
    </comment>
    <comment ref="N25" authorId="0" shapeId="0">
      <text>
        <t>Tegus (KB):
Tegus model does not currently provide a forecast for this metric</t>
      </text>
    </comment>
    <comment ref="N26" authorId="0" shapeId="0">
      <text>
        <t>Tegus (KB):
Tegus model does not currently provide a forecast for this metric</t>
      </text>
    </comment>
    <comment ref="N27" authorId="0" shapeId="0">
      <text>
        <t>Tegus (KB):
Tegus model does not currently provide a forecast for this metric</t>
      </text>
    </comment>
    <comment ref="N38" authorId="0" shapeId="0">
      <text>
        <t>Tegus (KB):
Tegus model does not currently provide a forecast for this metric</t>
      </text>
    </comment>
    <comment ref="N39" authorId="0" shapeId="0">
      <text>
        <t>Tegus (KB):
Tegus model does not currently provide a forecast for this metric</t>
      </text>
    </comment>
    <comment ref="N51" authorId="0" shapeId="0">
      <text>
        <t>Tegus (KB):
Tegus model does not currently provide a forecast for this metric</t>
      </text>
    </comment>
    <comment ref="N55" authorId="0" shapeId="0">
      <text>
        <t>Tegus (KB):
Tegus model does not currently provide a forecast for this metric</t>
      </text>
    </comment>
    <comment ref="N56" authorId="0" shapeId="0">
      <text>
        <t>Tegus (KB):
Tegus model does not currently provide a forecast for this metric</t>
      </text>
    </comment>
    <comment ref="N57" authorId="0" shapeId="0">
      <text>
        <t>Tegus (KB):
Tegus model does not currently provide a forecast for this metric</t>
      </text>
    </comment>
    <comment ref="N58" authorId="0" shapeId="0">
      <text>
        <t>Tegus (KB):
Tegus model does not currently provide a forecast for this metric</t>
      </text>
    </comment>
    <comment ref="N69" authorId="0" shapeId="0">
      <text>
        <t>Tegus (KB):
Tegus model does not currently provide a forecast for this metric</t>
      </text>
    </comment>
    <comment ref="N70" authorId="0" shapeId="0">
      <text>
        <t>Tegus (KB):
Tegus model does not currently provide a forecast for this metric</t>
      </text>
    </comment>
    <comment ref="N82" authorId="0" shapeId="0">
      <text>
        <t>Tegus (KB):
Tegus model does not currently provide a forecast for this metric</t>
      </text>
    </comment>
    <comment ref="N86" authorId="0" shapeId="0">
      <text>
        <t>Tegus (KB):
Tegus model does not currently provide a forecast for this metric</t>
      </text>
    </comment>
    <comment ref="N87" authorId="0" shapeId="0">
      <text>
        <t>Tegus (KB):
Tegus model does not currently provide a forecast for this metric</t>
      </text>
    </comment>
    <comment ref="N88" authorId="0" shapeId="0">
      <text>
        <t>Tegus (KB):
Tegus model does not currently provide a forecast for this metric</t>
      </text>
    </comment>
    <comment ref="N89" authorId="0" shapeId="0">
      <text>
        <t>Tegus (KB):
Tegus model does not currently provide a forecast for this metric</t>
      </text>
    </comment>
    <comment ref="N100" authorId="0" shapeId="0">
      <text>
        <t>Tegus (KB):
Tegus model does not currently provide a forecast for this metric</t>
      </text>
    </comment>
    <comment ref="N101" authorId="0" shapeId="0">
      <text>
        <t>Tegus (KB):
Tegus model does not currently provide a forecast for this metric</t>
      </text>
    </comment>
    <comment ref="N113" authorId="0" shapeId="0">
      <text>
        <t>Tegus (KB):
Tegus model does not currently provide a forecast for this metric</t>
      </text>
    </comment>
    <comment ref="N117" authorId="0" shapeId="0">
      <text>
        <t>Tegus (KB):
Tegus model does not currently provide a forecast for this metric</t>
      </text>
    </comment>
    <comment ref="N118" authorId="0" shapeId="0">
      <text>
        <t>Tegus (KB):
Tegus model does not currently provide a forecast for this metric</t>
      </text>
    </comment>
    <comment ref="N119" authorId="0" shapeId="0">
      <text>
        <t>Tegus (KB):
Tegus model does not currently provide a forecast for this metric</t>
      </text>
    </comment>
    <comment ref="N120" authorId="0" shapeId="0">
      <text>
        <t>Tegus (KB):
Tegus model does not currently provide a forecast for this metric</t>
      </text>
    </comment>
    <comment ref="K125" authorId="1" shapeId="0">
      <text>
        <t>Tegus (CZ):
Reported as 30.25-31.25% in P3 of CFO Commentary. It's believed to be a typo as it's the same as FY 2025 guidance. Took the outlook figure from P1</t>
      </text>
    </comment>
    <comment ref="K126" authorId="1" shapeId="0">
      <text>
        <t>Tegus (CZ):
Reported as 43.25 - 44.25% in P3 of CFO Commentary. It's believed to be a typo as it's the same as FY 2025 guidance. Took the outlook figure from P1</t>
      </text>
    </comment>
    <comment ref="N131" authorId="0" shapeId="0">
      <text>
        <t>Tegus (KB):
Tegus model does not currently provide a forecast for this metric</t>
      </text>
    </comment>
    <comment ref="N132" authorId="0" shapeId="0">
      <text>
        <t>Tegus (KB):
Tegus model does not currently provide a forecast for this metric</t>
      </text>
    </comment>
    <comment ref="N144" authorId="0" shapeId="0">
      <text>
        <t>Tegus (KB):
Tegus model does not currently provide a forecast for this metric</t>
      </text>
    </comment>
    <comment ref="N148" authorId="0" shapeId="0">
      <text>
        <t>Tegus (KB):
Tegus model does not currently provide a forecast for this metric</t>
      </text>
    </comment>
    <comment ref="N149" authorId="0" shapeId="0">
      <text>
        <t>Tegus (KB):
Tegus model does not currently provide a forecast for this metric</t>
      </text>
    </comment>
    <comment ref="N150" authorId="0" shapeId="0">
      <text>
        <t>Tegus (KB):
Tegus model does not currently provide a forecast for this metric</t>
      </text>
    </comment>
    <comment ref="N151" authorId="0" shapeId="0">
      <text>
        <t>Tegus (KB):
Tegus model does not currently provide a forecast for this metric</t>
      </text>
    </comment>
    <comment ref="N162" authorId="0" shapeId="0">
      <text>
        <t>Tegus (KB):
Tegus model does not currently provide a forecast for this metric</t>
      </text>
    </comment>
    <comment ref="N163" authorId="0" shapeId="0">
      <text>
        <t>Tegus (KB):
Tegus model does not currently provide a forecast for this metric</t>
      </text>
    </comment>
    <comment ref="N175" authorId="0" shapeId="0">
      <text>
        <t>Tegus (KB):
Tegus model does not currently provide a forecast for this metric</t>
      </text>
    </comment>
    <comment ref="N179" authorId="0" shapeId="0">
      <text>
        <t>Tegus (KB):
Tegus model does not currently provide a forecast for this metric</t>
      </text>
    </comment>
    <comment ref="N180" authorId="0" shapeId="0">
      <text>
        <t>Tegus (KB):
Tegus model does not currently provide a forecast for this metric</t>
      </text>
    </comment>
    <comment ref="N181" authorId="0" shapeId="0">
      <text>
        <t>Tegus (KB):
Tegus model does not currently provide a forecast for this metric</t>
      </text>
    </comment>
    <comment ref="N182" authorId="0" shapeId="0">
      <text>
        <t>Tegus (KB):
Tegus model does not currently provide a forecast for this metric</t>
      </text>
    </comment>
    <comment ref="N193" authorId="0" shapeId="0">
      <text>
        <t>Tegus (KB):
Tegus model does not currently provide a forecast for this metric</t>
      </text>
    </comment>
    <comment ref="N194" authorId="0" shapeId="0">
      <text>
        <t>Tegus (KB):
Tegus model does not currently provide a forecast for this metric</t>
      </text>
    </comment>
    <comment ref="N206" authorId="0" shapeId="0">
      <text>
        <t>Tegus (KB):
Tegus model does not currently provide a forecast for this metric</t>
      </text>
    </comment>
    <comment ref="N210" authorId="0" shapeId="0">
      <text>
        <t>Tegus (KB):
Tegus model does not currently provide a forecast for this metric</t>
      </text>
    </comment>
    <comment ref="N211" authorId="0" shapeId="0">
      <text>
        <t>Tegus (KB):
Tegus model does not currently provide a forecast for this metric</t>
      </text>
    </comment>
    <comment ref="N212" authorId="0" shapeId="0">
      <text>
        <t>Tegus (KB):
Tegus model does not currently provide a forecast for this metric</t>
      </text>
    </comment>
    <comment ref="N213" authorId="0" shapeId="0">
      <text>
        <t>Tegus (KB):
Tegus model does not currently provide a forecast for this metric</t>
      </text>
    </comment>
    <comment ref="K222" authorId="0" shapeId="0">
      <text>
        <t>Tegus (SH):
At least</t>
      </text>
    </comment>
    <comment ref="N224" authorId="0" shapeId="0">
      <text>
        <t>Tegus (KB):
Tegus model does not currently provide a forecast for this metric</t>
      </text>
    </comment>
    <comment ref="N225" authorId="0" shapeId="0">
      <text>
        <t>Tegus (KB):
Tegus model does not currently provide a forecast for this metric</t>
      </text>
    </comment>
    <comment ref="N237" authorId="0" shapeId="0">
      <text>
        <t>Tegus (KB):
Tegus model does not currently provide a forecast for this metric</t>
      </text>
    </comment>
    <comment ref="N241" authorId="0" shapeId="0">
      <text>
        <t>Tegus (KB):
Tegus model does not currently provide a forecast for this metric</t>
      </text>
    </comment>
    <comment ref="N242" authorId="0" shapeId="0">
      <text>
        <t>Tegus (KB):
Tegus model does not currently provide a forecast for this metric</t>
      </text>
    </comment>
    <comment ref="N243" authorId="0" shapeId="0">
      <text>
        <t>Tegus (KB):
Tegus model does not currently provide a forecast for this metric</t>
      </text>
    </comment>
    <comment ref="N244" authorId="0" shapeId="0">
      <text>
        <t>Tegus (KB):
Tegus model does not currently provide a forecast for this metric</t>
      </text>
    </comment>
    <comment ref="N255" authorId="0" shapeId="0">
      <text>
        <t>Tegus (KB):
Tegus model does not currently provide a forecast for this metric</t>
      </text>
    </comment>
    <comment ref="N256" authorId="0" shapeId="0">
      <text>
        <t>Tegus (KB):
Tegus model does not currently provide a forecast for this metric</t>
      </text>
    </comment>
    <comment ref="N268" authorId="0" shapeId="0">
      <text>
        <t>Tegus (KB):
Tegus model does not currently provide a forecast for this metric</t>
      </text>
    </comment>
    <comment ref="N272" authorId="0" shapeId="0">
      <text>
        <t>Tegus (KB):
Tegus model does not currently provide a forecast for this metric</t>
      </text>
    </comment>
    <comment ref="N273" authorId="0" shapeId="0">
      <text>
        <t>Tegus (KB):
Tegus model does not currently provide a forecast for this metric</t>
      </text>
    </comment>
    <comment ref="N274" authorId="0" shapeId="0">
      <text>
        <t>Tegus (KB):
Tegus model does not currently provide a forecast for this metric</t>
      </text>
    </comment>
    <comment ref="N275" authorId="0" shapeId="0">
      <text>
        <t>Tegus (KB):
Tegus model does not currently provide a forecast for this metric</t>
      </text>
    </comment>
    <comment ref="N286" authorId="0" shapeId="0">
      <text>
        <t>Tegus (KB):
Tegus model does not currently provide a forecast for this metric</t>
      </text>
    </comment>
    <comment ref="N287" authorId="0" shapeId="0">
      <text>
        <t>Tegus (KB):
Tegus model does not currently provide a forecast for this metric</t>
      </text>
    </comment>
    <comment ref="N299" authorId="0" shapeId="0">
      <text>
        <t>Tegus (KB):
Tegus model does not currently provide a forecast for this metric</t>
      </text>
    </comment>
    <comment ref="N303" authorId="0" shapeId="0">
      <text>
        <t>Tegus (KB):
Tegus model does not currently provide a forecast for this metric</t>
      </text>
    </comment>
    <comment ref="N304" authorId="0" shapeId="0">
      <text>
        <t>Tegus (KB):
Tegus model does not currently provide a forecast for this metric</t>
      </text>
    </comment>
    <comment ref="N305" authorId="0" shapeId="0">
      <text>
        <t>Tegus (KB):
Tegus model does not currently provide a forecast for this metric</t>
      </text>
    </comment>
    <comment ref="N306" authorId="0" shapeId="0">
      <text>
        <t>Tegus (KB):
Tegus model does not currently provide a forecast for this metric</t>
      </text>
    </comment>
    <comment ref="N311" authorId="0" shapeId="0">
      <text>
        <t>Tegus (EC):
Tegus model does not currently provide a forecast for this metric</t>
      </text>
    </comment>
    <comment ref="N317" authorId="0" shapeId="0">
      <text>
        <t>Tegus (KB):
Tegus model does not currently provide a forecast for this metric</t>
      </text>
    </comment>
    <comment ref="N318" authorId="0" shapeId="0">
      <text>
        <t>Tegus (KB):
Tegus model does not currently provide a forecast for this metric</t>
      </text>
    </comment>
    <comment ref="N320" authorId="0" shapeId="0">
      <text>
        <t>Tegus (EC):
Tegus model does not currently provide a forecast for this metric</t>
      </text>
    </comment>
    <comment ref="N330" authorId="0" shapeId="0">
      <text>
        <t>Tegus (KB):
Tegus model does not currently provide a forecast for this metric</t>
      </text>
    </comment>
    <comment ref="N334" authorId="0" shapeId="0">
      <text>
        <t>Tegus (KB):
Tegus model does not currently provide a forecast for this metric</t>
      </text>
    </comment>
    <comment ref="N335" authorId="0" shapeId="0">
      <text>
        <t>Tegus (KB):
Tegus model does not currently provide a forecast for this metric</t>
      </text>
    </comment>
    <comment ref="N336" authorId="0" shapeId="0">
      <text>
        <t>Tegus (KB):
Tegus model does not currently provide a forecast for this metric</t>
      </text>
    </comment>
    <comment ref="N337" authorId="0" shapeId="0">
      <text>
        <t>Tegus (KB):
Tegus model does not currently provide a forecast for this metric</t>
      </text>
    </comment>
    <comment ref="N342" authorId="0" shapeId="0">
      <text>
        <t>Tegus (EC):
Tegus model does not currently provide a forecast for this metric</t>
      </text>
    </comment>
    <comment ref="N348" authorId="0" shapeId="0">
      <text>
        <t>Tegus (KB):
Tegus model does not currently provide a forecast for this metric</t>
      </text>
    </comment>
    <comment ref="N349" authorId="0" shapeId="0">
      <text>
        <t>Tegus (KB):
Tegus model does not currently provide a forecast for this metric</t>
      </text>
    </comment>
    <comment ref="N351" authorId="0" shapeId="0">
      <text>
        <t>Tegus (EC):
Tegus model does not currently provide a forecast for this metric</t>
      </text>
    </comment>
    <comment ref="N361" authorId="0" shapeId="0">
      <text>
        <t>Tegus (KB):
Tegus model does not currently provide a forecast for this metric</t>
      </text>
    </comment>
    <comment ref="N365" authorId="0" shapeId="0">
      <text>
        <t>Tegus (KB):
Tegus model does not currently provide a forecast for this metric</t>
      </text>
    </comment>
    <comment ref="N366" authorId="0" shapeId="0">
      <text>
        <t>Tegus (KB):
Tegus model does not currently provide a forecast for this metric</t>
      </text>
    </comment>
    <comment ref="N367" authorId="0" shapeId="0">
      <text>
        <t>Tegus (KB):
Tegus model does not currently provide a forecast for this metric</t>
      </text>
    </comment>
    <comment ref="N368" authorId="0" shapeId="0">
      <text>
        <t>Tegus (KB):
Tegus model does not currently provide a forecast for this metric</t>
      </text>
    </comment>
    <comment ref="N373" authorId="0" shapeId="0">
      <text>
        <t>Tegus (EC):
Tegus model does not currently provide a forecast for this metric</t>
      </text>
    </comment>
    <comment ref="N379" authorId="0" shapeId="0">
      <text>
        <t>Tegus (KB):
Tegus model does not currently provide a forecast for this metric</t>
      </text>
    </comment>
    <comment ref="N380" authorId="0" shapeId="0">
      <text>
        <t>Tegus (KB):
Tegus model does not currently provide a forecast for this metric</t>
      </text>
    </comment>
    <comment ref="N382" authorId="0" shapeId="0">
      <text>
        <t>Tegus (EC):
Tegus model does not currently provide a forecast for this metric</t>
      </text>
    </comment>
    <comment ref="N392" authorId="0" shapeId="0">
      <text>
        <t>Tegus (KB):
Tegus model does not currently provide a forecast for this metric</t>
      </text>
    </comment>
    <comment ref="N396" authorId="0" shapeId="0">
      <text>
        <t>Tegus (KB):
Tegus model does not currently provide a forecast for this metric</t>
      </text>
    </comment>
    <comment ref="N397" authorId="0" shapeId="0">
      <text>
        <t>Tegus (KB):
Tegus model does not currently provide a forecast for this metric</t>
      </text>
    </comment>
    <comment ref="I398" authorId="0" shapeId="0">
      <text>
        <t>Tegus (KB):
Credits</t>
      </text>
    </comment>
    <comment ref="J398" authorId="0" shapeId="0">
      <text>
        <t>Tegus (KB):
Credits</t>
      </text>
    </comment>
    <comment ref="N398" authorId="0" shapeId="0">
      <text>
        <t>Tegus (KB):
Tegus model does not currently provide a forecast for this metric</t>
      </text>
    </comment>
    <comment ref="N399" authorId="0" shapeId="0">
      <text>
        <t>Tegus (KB):
Tegus model does not currently provide a forecast for this metric</t>
      </text>
    </comment>
    <comment ref="N404" authorId="0" shapeId="0">
      <text>
        <t>Tegus (EC):
Tegus model does not currently provide a forecast for this metric</t>
      </text>
    </comment>
    <comment ref="F410" authorId="0" shapeId="0">
      <text>
        <t>Tegus (AA):
FY 2022 outlook includes the recently closed Future Facilities acquisition and pending OpenEye acquisition</t>
      </text>
    </comment>
    <comment ref="N410" authorId="0" shapeId="0">
      <text>
        <t>Tegus (KB):
Tegus model does not currently provide a forecast for this metric</t>
      </text>
    </comment>
    <comment ref="N411" authorId="0" shapeId="0">
      <text>
        <t>Tegus (KB):
Tegus model does not currently provide a forecast for this metric</t>
      </text>
    </comment>
    <comment ref="N413" authorId="0" shapeId="0">
      <text>
        <t>Tegus (EC):
Tegus model does not currently provide a forecast for this metric</t>
      </text>
    </comment>
    <comment ref="I417" authorId="0" shapeId="0">
      <text>
        <t>Tegus (KB):
Includes a negative $60 million impact for recently announced acquisitions</t>
      </text>
    </comment>
    <comment ref="N424" authorId="0" shapeId="0">
      <text>
        <t>Tegus (KB):
Tegus model does not currently provide a forecast for this metric</t>
      </text>
    </comment>
    <comment ref="N428" authorId="0" shapeId="0">
      <text>
        <t>Tegus (KB):
Tegus model does not currently provide a forecast for this metric</t>
      </text>
    </comment>
    <comment ref="N429" authorId="0" shapeId="0">
      <text>
        <t>Tegus (KB):
Tegus model does not currently provide a forecast for this metric</t>
      </text>
    </comment>
    <comment ref="I430" authorId="0" shapeId="0">
      <text>
        <t>Tegus (KB):
Credits</t>
      </text>
    </comment>
    <comment ref="J430" authorId="0" shapeId="0">
      <text>
        <t>Tegus (KB):
Credits</t>
      </text>
    </comment>
    <comment ref="N430" authorId="0" shapeId="0">
      <text>
        <t>Tegus (KB):
Tegus model does not currently provide a forecast for this metric</t>
      </text>
    </comment>
    <comment ref="N431" authorId="0" shapeId="0">
      <text>
        <t>Tegus (KB):
Tegus model does not currently provide a forecast for this metric</t>
      </text>
    </comment>
    <comment ref="N436" authorId="0" shapeId="0">
      <text>
        <t>Tegus (EC):
Tegus model does not currently provide a forecast for this metric</t>
      </text>
    </comment>
    <comment ref="N442" authorId="0" shapeId="0">
      <text>
        <t>Tegus (EC):
Tegus model does not currently provide a forecast for this metric</t>
      </text>
    </comment>
    <comment ref="N443" authorId="0" shapeId="0">
      <text>
        <t>Tegus (EC):
Tegus model does not currently provide a forecast for this metric</t>
      </text>
    </comment>
    <comment ref="N445" authorId="0" shapeId="0">
      <text>
        <t>Tegus (EC):
Tegus model does not currently provide a forecast for this metric</t>
      </text>
    </comment>
    <comment ref="I450" authorId="0" shapeId="0">
      <text>
        <t>Tegus (EC):
Expect to use at least 50% of free cash flow to repurchase Cadence shares for the year</t>
      </text>
    </comment>
    <comment ref="J450" authorId="0" shapeId="0">
      <text>
        <t>Tegus (EC):
Expect to use at least 50% of free cash flow to repurchase Cadence shares for the year</t>
      </text>
    </comment>
    <comment ref="N456" authorId="0" shapeId="0">
      <text>
        <t>Tegus (EC):
Tegus model does not currently provide a forecast for this metric</t>
      </text>
    </comment>
    <comment ref="N460" authorId="0" shapeId="0">
      <text>
        <t>Tegus (EC):
Tegus model does not currently provide a forecast for this metric</t>
      </text>
    </comment>
    <comment ref="N461" authorId="0" shapeId="0">
      <text>
        <t>Tegus (EC):
Tegus model does not currently provide a forecast for this metric</t>
      </text>
    </comment>
    <comment ref="I462" authorId="0" shapeId="0">
      <text>
        <t>Tegus (SK):
Credits</t>
      </text>
    </comment>
    <comment ref="J462" authorId="0" shapeId="0">
      <text>
        <t>Tegus (SK):
Credits</t>
      </text>
    </comment>
    <comment ref="N462" authorId="0" shapeId="0">
      <text>
        <t>Tegus (EC):
Tegus model does not currently provide a forecast for this metric</t>
      </text>
    </comment>
    <comment ref="N463" authorId="0" shapeId="0">
      <text>
        <t>Tegus (EC):
Tegus model does not currently provide a forecast for this metric</t>
      </text>
    </comment>
    <comment ref="N468" authorId="0" shapeId="0">
      <text>
        <t>Tegus (EC):
Tegus model does not currently provide a forecast for this metric</t>
      </text>
    </comment>
    <comment ref="N474" authorId="0" shapeId="0">
      <text>
        <t>Tegus (EC):
Tegus model does not currently provide a forecast for this metric</t>
      </text>
    </comment>
    <comment ref="N475" authorId="0" shapeId="0">
      <text>
        <t>Tegus (EC):
Tegus model does not currently provide a forecast for this metric</t>
      </text>
    </comment>
    <comment ref="N477" authorId="0" shapeId="0">
      <text>
        <t>Tegus (EC):
Tegus model does not currently provide a forecast for this metric</t>
      </text>
    </comment>
    <comment ref="I482" authorId="0" shapeId="0">
      <text>
        <t>Tegus (EC):
Expect to use at least 50% of free cash flow to repurchase Cadence shares for the year</t>
      </text>
    </comment>
    <comment ref="J482" authorId="0" shapeId="0">
      <text>
        <t>Tegus (EC):
Expect to use at least 50% of free cash flow to repurchase Cadence shares for the year</t>
      </text>
    </comment>
    <comment ref="N488" authorId="0" shapeId="0">
      <text>
        <t>Tegus (EC):
Tegus model does not currently provide a forecast for this metric</t>
      </text>
    </comment>
    <comment ref="N492" authorId="0" shapeId="0">
      <text>
        <t>Tegus (EC):
Tegus model does not currently provide a forecast for this metric</t>
      </text>
    </comment>
    <comment ref="N493" authorId="0" shapeId="0">
      <text>
        <t>Tegus (EC):
Tegus model does not currently provide a forecast for this metric</t>
      </text>
    </comment>
    <comment ref="N494" authorId="0" shapeId="0">
      <text>
        <t>Tegus (EC):
Tegus model does not currently provide a forecast for this metric</t>
      </text>
    </comment>
    <comment ref="N495" authorId="0" shapeId="0">
      <text>
        <t>Tegus (EC):
Tegus model does not currently provide a forecast for this metric</t>
      </text>
    </comment>
    <comment ref="N498" authorId="0" shapeId="0">
      <text>
        <t>Tegus (EC):
Tegus model does not currently provide a forecast for this metric</t>
      </text>
    </comment>
    <comment ref="N504" authorId="0" shapeId="0">
      <text>
        <t>Tegus (PK):
Tegus model does not currently provide a forecast for this metric</t>
      </text>
    </comment>
    <comment ref="N505" authorId="0" shapeId="0">
      <text>
        <t>Tegus (PK):
Tegus model does not currently provide a forecast for this metric</t>
      </text>
    </comment>
    <comment ref="N507" authorId="0" shapeId="0">
      <text>
        <t>Tegus (PK):
Tegus model does not currently provide a forecast for this metric</t>
      </text>
    </comment>
    <comment ref="N512" authorId="0" shapeId="0">
      <text>
        <t>Tegus (PK):
Tegus model does not currently provide a forecast for this metric</t>
      </text>
    </comment>
    <comment ref="N516" authorId="0" shapeId="0">
      <text>
        <t>Tegus (PK):
Tegus model does not currently provide a forecast for this metric</t>
      </text>
    </comment>
    <comment ref="N517" authorId="0" shapeId="0">
      <text>
        <t>Tegus (PK):
Tegus model does not currently provide a forecast for this metric</t>
      </text>
    </comment>
    <comment ref="N518" authorId="0" shapeId="0">
      <text>
        <t>Tegus (PK):
Tegus model does not currently provide a forecast for this metric</t>
      </text>
    </comment>
    <comment ref="N519" authorId="0" shapeId="0">
      <text>
        <t>Tegus (PK):
Tegus model does not currently provide a forecast for this metric</t>
      </text>
    </comment>
    <comment ref="N520" authorId="0" shapeId="0">
      <text>
        <t>Tegus (PK):
Tegus model does not currently provide a forecast for this metric</t>
      </text>
    </comment>
    <comment ref="N521" authorId="0" shapeId="0">
      <text>
        <t>Tegus (PK):
Tegus model does not currently provide a forecast for this metric</t>
      </text>
    </comment>
    <comment ref="N523" authorId="0" shapeId="0">
      <text>
        <t>Tegus (PK):
Tegus model does not currently provide a forecast for this metric</t>
      </text>
    </comment>
    <comment ref="N529" authorId="0" shapeId="0">
      <text>
        <t>Tegus (PK):
Tegus model does not currently provide a forecast for this metric</t>
      </text>
    </comment>
    <comment ref="N535" authorId="0" shapeId="0">
      <text>
        <t>Tegus (PK):
Tegus model does not currently provide a forecast for this metric</t>
      </text>
    </comment>
    <comment ref="N536" authorId="0" shapeId="0">
      <text>
        <t>Tegus (PK):
Tegus model does not currently provide a forecast for this metric</t>
      </text>
    </comment>
    <comment ref="N537" authorId="0" shapeId="0">
      <text>
        <t>Tegus (PK):
Tegus model does not currently provide a forecast for this metric</t>
      </text>
    </comment>
    <comment ref="N541" authorId="0" shapeId="0">
      <text>
        <t>Tegus (LZ):
Tegus model does not currently provide a forecast for this metric</t>
      </text>
    </comment>
    <comment ref="N542" authorId="0" shapeId="0">
      <text>
        <t>Tegus (LZ):
Tegus model does not currently provide a forecast for this metric</t>
      </text>
    </comment>
    <comment ref="N544" authorId="0" shapeId="0">
      <text>
        <t>Tegus (LZ):
Tegus model does not currently provide a forecast for this metric</t>
      </text>
    </comment>
    <comment ref="N549" authorId="0" shapeId="0">
      <text>
        <t>Tegus (LZ):
Tegus model does not currently provide a forecast for this metric</t>
      </text>
    </comment>
    <comment ref="N553" authorId="0" shapeId="0">
      <text>
        <t>Tegus (LZ):
Tegus model does not currently provide a forecast for this metric</t>
      </text>
    </comment>
    <comment ref="N554" authorId="0" shapeId="0">
      <text>
        <t>Tegus (LZ):
Tegus model does not currently provide a forecast for this metric</t>
      </text>
    </comment>
    <comment ref="N555" authorId="0" shapeId="0">
      <text>
        <t>Tegus (LZ):
Tegus model does not currently provide a forecast for this metric</t>
      </text>
    </comment>
    <comment ref="N556" authorId="0" shapeId="0">
      <text>
        <t>Tegus (LZ):
Tegus model does not currently provide a forecast for this metric</t>
      </text>
    </comment>
    <comment ref="N557" authorId="0" shapeId="0">
      <text>
        <t>Tegus (LZ):
Tegus model does not currently provide a forecast for this metric</t>
      </text>
    </comment>
    <comment ref="N558" authorId="0" shapeId="0">
      <text>
        <t>Tegus (TS):
Tegus model does not currently provide a forecast for this metric</t>
      </text>
    </comment>
    <comment ref="N560" authorId="0" shapeId="0">
      <text>
        <t>Tegus (LZ):
Tegus model does not currently provide a forecast for this metric</t>
      </text>
    </comment>
    <comment ref="N566" authorId="0" shapeId="0">
      <text>
        <t>Tegus (LZ):
Tegus model does not currently provide a forecast for this metric</t>
      </text>
    </comment>
    <comment ref="N572" authorId="0" shapeId="0">
      <text>
        <t>Tegus (LZ):
Tegus model does not currently provide a forecast for this metric</t>
      </text>
    </comment>
    <comment ref="N573" authorId="0" shapeId="0">
      <text>
        <t>Tegus (LZ):
Tegus model does not currently provide a forecast for this metric</t>
      </text>
    </comment>
    <comment ref="N574" authorId="0" shapeId="0">
      <text>
        <t>Tegus (LZ):
Tegus model does not currently provide a forecast for this metric</t>
      </text>
    </comment>
    <comment ref="N578" authorId="0" shapeId="0">
      <text>
        <t>Tegus (LZ):
Tegus model does not currently provide a forecast for this metric</t>
      </text>
    </comment>
    <comment ref="N579" authorId="0" shapeId="0">
      <text>
        <t>Tegus (LZ):
Tegus model does not currently provide a forecast for this metric</t>
      </text>
    </comment>
    <comment ref="N581" authorId="0" shapeId="0">
      <text>
        <t>Tegus (LZ):
Tegus model does not currently provide a forecast for this metric</t>
      </text>
    </comment>
    <comment ref="N586" authorId="0" shapeId="0">
      <text>
        <t>Tegus (LZ):
Tegus model does not currently provide a forecast for this metric</t>
      </text>
    </comment>
    <comment ref="N590" authorId="0" shapeId="0">
      <text>
        <t>Tegus (LZ):
Tegus model does not currently provide a forecast for this metric</t>
      </text>
    </comment>
    <comment ref="N591" authorId="0" shapeId="0">
      <text>
        <t>Tegus (LZ):
Tegus model does not currently provide a forecast for this metric</t>
      </text>
    </comment>
    <comment ref="N592" authorId="0" shapeId="0">
      <text>
        <t>Tegus (LZ):
Tegus model does not currently provide a forecast for this metric</t>
      </text>
    </comment>
    <comment ref="N593" authorId="0" shapeId="0">
      <text>
        <t>Tegus (LZ):
Tegus model does not currently provide a forecast for this metric</t>
      </text>
    </comment>
    <comment ref="N594" authorId="0" shapeId="0">
      <text>
        <t>Tegus (TS):
Tegus model does not currently provide a forecast for this metric</t>
      </text>
    </comment>
    <comment ref="N596" authorId="0" shapeId="0">
      <text>
        <t>Tegus (LZ):
Tegus model does not currently provide a forecast for this metric</t>
      </text>
    </comment>
    <comment ref="N602" authorId="0" shapeId="0">
      <text>
        <t>Tegus (LZ):
Tegus model does not currently provide a forecast for this metric</t>
      </text>
    </comment>
    <comment ref="N608" authorId="0" shapeId="0">
      <text>
        <t>Tegus (LZ):
Tegus model does not currently provide a forecast for this metric</t>
      </text>
    </comment>
    <comment ref="N609" authorId="0" shapeId="0">
      <text>
        <t>Tegus (LZ):
Tegus model does not currently provide a forecast for this metric</t>
      </text>
    </comment>
    <comment ref="N610" authorId="0" shapeId="0">
      <text>
        <t>Tegus (LZ):
Tegus model does not currently provide a forecast for this metric</t>
      </text>
    </comment>
    <comment ref="N614" authorId="0" shapeId="0">
      <text>
        <t>Tegus (LZ):
Tegus model does not currently provide a forecast for this metric</t>
      </text>
    </comment>
    <comment ref="N615" authorId="0" shapeId="0">
      <text>
        <t>Tegus (LZ):
Tegus model does not currently provide a forecast for this metric</t>
      </text>
    </comment>
    <comment ref="N617" authorId="0" shapeId="0">
      <text>
        <t>Tegus (LZ):
Tegus model does not currently provide a forecast for this metric</t>
      </text>
    </comment>
    <comment ref="N622" authorId="0" shapeId="0">
      <text>
        <t>Tegus (LZ):
Tegus model does not currently provide a forecast for this metric</t>
      </text>
    </comment>
    <comment ref="N626" authorId="0" shapeId="0">
      <text>
        <t>Tegus (LZ):
Tegus model does not currently provide a forecast for this metric</t>
      </text>
    </comment>
    <comment ref="N627" authorId="0" shapeId="0">
      <text>
        <t>Tegus (LZ):
Tegus model does not currently provide a forecast for this metric</t>
      </text>
    </comment>
    <comment ref="N629" authorId="0" shapeId="0">
      <text>
        <t>Tegus (LZ):
Tegus model does not currently provide a forecast for this metric</t>
      </text>
    </comment>
    <comment ref="N635" authorId="0" shapeId="0">
      <text>
        <t>Tegus (LZ):
Tegus model does not currently provide a forecast for this metric</t>
      </text>
    </comment>
    <comment ref="N641" authorId="0" shapeId="0">
      <text>
        <t>Tegus (LZ):
Tegus model does not currently provide a forecast for this metric</t>
      </text>
    </comment>
    <comment ref="N642" authorId="0" shapeId="0">
      <text>
        <t>Tegus (LZ):
Tegus model does not currently provide a forecast for this metric</t>
      </text>
    </comment>
    <comment ref="N647" authorId="0" shapeId="0">
      <text>
        <t>Tegus (LZ):
Tegus model does not currently provide a forecast for this metric</t>
      </text>
    </comment>
    <comment ref="N656" authorId="0" shapeId="0">
      <text>
        <t>Tegus (LZ):
Tegus model does not currently provide a forecast for this metric</t>
      </text>
    </comment>
    <comment ref="N657" authorId="0" shapeId="0">
      <text>
        <t>Tegus (LZ):
Tegus model does not currently provide a forecast for this metric</t>
      </text>
    </comment>
    <comment ref="N658" authorId="0" shapeId="0">
      <text>
        <t>Tegus (LZ):
Tegus model does not currently provide a forecast for this metric</t>
      </text>
    </comment>
    <comment ref="N659" authorId="0" shapeId="0">
      <text>
        <t>Tegus (LZ):
Tegus model does not currently provide a forecast for this metric</t>
      </text>
    </comment>
    <comment ref="N660" authorId="0" shapeId="0">
      <text>
        <t>Tegus (LZ):
Tegus model does not currently provide a forecast for this metric</t>
      </text>
    </comment>
    <comment ref="N665" authorId="0" shapeId="0">
      <text>
        <t>Tegus (LZ):
Tegus model does not currently provide a forecast for this metric</t>
      </text>
    </comment>
    <comment ref="N671" authorId="0" shapeId="0">
      <text>
        <t>Tegus (LZ):
Tegus model does not currently provide a forecast for this metric</t>
      </text>
    </comment>
    <comment ref="N672" authorId="0" shapeId="0">
      <text>
        <t>Tegus (LZ):
Tegus model does not currently provide a forecast for this metric</t>
      </text>
    </comment>
    <comment ref="N673" authorId="0" shapeId="0">
      <text>
        <t>Tegus (LZ):
Tegus model does not currently provide a forecast for this metric</t>
      </text>
    </comment>
    <comment ref="N678" authorId="0" shapeId="0">
      <text>
        <t>Tegus (LZ):
Tegus model does not currently provide a forecast for this metric</t>
      </text>
    </comment>
    <comment ref="N687" authorId="0" shapeId="0">
      <text>
        <t>Tegus (LZ):
Tegus model does not currently provide a forecast for this metric</t>
      </text>
    </comment>
    <comment ref="N688" authorId="0" shapeId="0">
      <text>
        <t>Tegus (LZ):
Tegus model does not currently provide a forecast for this metric</t>
      </text>
    </comment>
    <comment ref="N689" authorId="0" shapeId="0">
      <text>
        <t>Tegus (LZ):
Tegus model does not currently provide a forecast for this metric</t>
      </text>
    </comment>
    <comment ref="N690" authorId="0" shapeId="0">
      <text>
        <t>Tegus (LZ):
Tegus model does not currently provide a forecast for this metric</t>
      </text>
    </comment>
    <comment ref="N691" authorId="0" shapeId="0">
      <text>
        <t>Tegus (LZ):
Tegus model does not currently provide a forecast for this metric</t>
      </text>
    </comment>
    <comment ref="N696" authorId="0" shapeId="0">
      <text>
        <t>Tegus (LZ):
Tegus model does not currently provide a forecast for this metric</t>
      </text>
    </comment>
    <comment ref="N702" authorId="0" shapeId="0">
      <text>
        <t>Tegus (LZ):
Tegus model does not currently provide a forecast for this metric</t>
      </text>
    </comment>
    <comment ref="N703" authorId="0" shapeId="0">
      <text>
        <t>Tegus (LZ):
Tegus model does not currently provide a forecast for this metric</t>
      </text>
    </comment>
    <comment ref="N704" authorId="0" shapeId="0">
      <text>
        <t>Tegus (LZ):
Tegus model does not currently provide a forecast for this metric</t>
      </text>
    </comment>
    <comment ref="N709" authorId="0" shapeId="0">
      <text>
        <t>Tegus (LZ):
Tegus model does not currently provide a forecast for this metric</t>
      </text>
    </comment>
    <comment ref="N715" authorId="0" shapeId="0">
      <text>
        <t>Tegus (LZ):
Tegus model does not currently provide a forecast for this metric</t>
      </text>
    </comment>
    <comment ref="N716" authorId="0" shapeId="0">
      <text>
        <t>Tegus (LZ):
Tegus model does not currently provide a forecast for this metric</t>
      </text>
    </comment>
    <comment ref="N717" authorId="0" shapeId="0">
      <text>
        <t>Tegus (LZ):
Tegus model does not currently provide a forecast for this metric</t>
      </text>
    </comment>
    <comment ref="N718" authorId="0" shapeId="0">
      <text>
        <t>Tegus (LZ):
Tegus model does not currently provide a forecast for this metric</t>
      </text>
    </comment>
    <comment ref="N719" authorId="0" shapeId="0">
      <text>
        <t>Tegus (LZ):
Tegus model does not currently provide a forecast for this metric</t>
      </text>
    </comment>
    <comment ref="N724" authorId="0" shapeId="0">
      <text>
        <t>Tegus (LZ):
Tegus model does not currently provide a forecast for this metric</t>
      </text>
    </comment>
    <comment ref="N730" authorId="0" shapeId="0">
      <text>
        <t>Tegus (LZ):
Tegus model does not currently provide a forecast for this metric</t>
      </text>
    </comment>
    <comment ref="N731" authorId="0" shapeId="0">
      <text>
        <t>Tegus (LZ):
Tegus model does not currently provide a forecast for this metric</t>
      </text>
    </comment>
    <comment ref="N732" authorId="0" shapeId="0">
      <text>
        <t>Tegus (LZ):
Tegus model does not currently provide a forecast for this metric</t>
      </text>
    </comment>
    <comment ref="N737" authorId="0" shapeId="0">
      <text>
        <t>Tegus (LZ):
Tegus model does not currently provide a forecast for this metric</t>
      </text>
    </comment>
    <comment ref="N743" authorId="0" shapeId="0">
      <text>
        <t>Tegus (LZ):
Tegus model does not currently provide a forecast for this metric</t>
      </text>
    </comment>
    <comment ref="N744" authorId="0" shapeId="0">
      <text>
        <t>Tegus (LZ):
Tegus model does not currently provide a forecast for this metric</t>
      </text>
    </comment>
    <comment ref="N745" authorId="0" shapeId="0">
      <text>
        <t>Tegus (LZ):
Tegus model does not currently provide a forecast for this metric</t>
      </text>
    </comment>
    <comment ref="N750" authorId="0" shapeId="0">
      <text>
        <t>Tegus (LZ):
Tegus model does not currently provide a forecast for this metric</t>
      </text>
    </comment>
    <comment ref="N756" authorId="0" shapeId="0">
      <text>
        <t>Tegus (LZ):
Tegus model does not currently provide a forecast for this metric</t>
      </text>
    </comment>
    <comment ref="N757" authorId="0" shapeId="0">
      <text>
        <t>Tegus (LZ):
Tegus model does not currently provide a forecast for this metric</t>
      </text>
    </comment>
    <comment ref="N758" authorId="0" shapeId="0">
      <text>
        <t>Tegus (LZ):
Tegus model does not currently provide a forecast for this metric</t>
      </text>
    </comment>
    <comment ref="N763" authorId="0" shapeId="0">
      <text>
        <t>Tegus (LZ):
Tegus model does not currently provide a forecast for this metric</t>
      </text>
    </comment>
    <comment ref="N770" authorId="0" shapeId="0">
      <text>
        <t>Tegus (LZ):
Tegus model does not currently provide a forecast for this metric</t>
      </text>
    </comment>
    <comment ref="N771" authorId="0" shapeId="0">
      <text>
        <t>Tegus (LZ):
Tegus model does not currently provide a forecast for this metric</t>
      </text>
    </comment>
    <comment ref="N772" authorId="0" shapeId="0">
      <text>
        <t>Tegus (LZ):
Tegus model does not currently provide a forecast for this metric</t>
      </text>
    </comment>
    <comment ref="N773" authorId="0" shapeId="0">
      <text>
        <t>Tegus (LZ):
Tegus model does not currently provide a forecast for this metric</t>
      </text>
    </comment>
    <comment ref="N774" authorId="0" shapeId="0">
      <text>
        <t>Tegus (LZ):
Tegus model does not currently provide a forecast for this metric</t>
      </text>
    </comment>
    <comment ref="N779" authorId="0" shapeId="0">
      <text>
        <t>Tegus (LZ):
Tegus model does not currently provide a forecast for this metric</t>
      </text>
    </comment>
    <comment ref="N785" authorId="0" shapeId="0">
      <text>
        <t>Tegus (LZ):
Tegus model does not currently provide a forecast for this metric</t>
      </text>
    </comment>
    <comment ref="N786" authorId="0" shapeId="0">
      <text>
        <t>Tegus (LZ):
Tegus model does not currently provide a forecast for this metric</t>
      </text>
    </comment>
    <comment ref="N787" authorId="0" shapeId="0">
      <text>
        <t>Tegus (LZ):
Tegus model does not currently provide a forecast for this metric</t>
      </text>
    </comment>
    <comment ref="N793" authorId="0" shapeId="0">
      <text>
        <t>Tegus (LZ):
Tegus model does not currently provide a forecast for this metric</t>
      </text>
    </comment>
    <comment ref="N799" authorId="0" shapeId="0">
      <text>
        <t>Tegus (LZ):
Tegus model does not currently provide a forecast for this metric</t>
      </text>
    </comment>
    <comment ref="N800" authorId="0" shapeId="0">
      <text>
        <t>Tegus (LZ):
Tegus model does not currently provide a forecast for this metric</t>
      </text>
    </comment>
    <comment ref="N801" authorId="0" shapeId="0">
      <text>
        <t>Tegus (LZ):
Tegus model does not currently provide a forecast for this metric</t>
      </text>
    </comment>
    <comment ref="N802" authorId="0" shapeId="0">
      <text>
        <t>Tegus (LZ):
Tegus model does not currently provide a forecast for this metric</t>
      </text>
    </comment>
    <comment ref="N803" authorId="0" shapeId="0">
      <text>
        <t>Tegus (LZ):
Tegus model does not currently provide a forecast for this metric</t>
      </text>
    </comment>
    <comment ref="N808" authorId="0" shapeId="0">
      <text>
        <t>Tegus (LZ):
Tegus model does not currently provide a forecast for this metric</t>
      </text>
    </comment>
    <comment ref="N814" authorId="0" shapeId="0">
      <text>
        <t>Tegus (LZ):
Tegus model does not currently provide a forecast for this metric</t>
      </text>
    </comment>
    <comment ref="N815" authorId="0" shapeId="0">
      <text>
        <t>Tegus (LZ):
Tegus model does not currently provide a forecast for this metric</t>
      </text>
    </comment>
    <comment ref="N816" authorId="0" shapeId="0">
      <text>
        <t>Tegus (LZ):
Tegus model does not currently provide a forecast for this metric</t>
      </text>
    </comment>
    <comment ref="N825" authorId="0" shapeId="0">
      <text>
        <t>Tegus (HS):
Tegus model currently does not forecast this metric</t>
      </text>
    </comment>
    <comment ref="N826" authorId="0" shapeId="0">
      <text>
        <t>Tegus (HS):
Tegus model currently does not forecast this metric</t>
      </text>
    </comment>
    <comment ref="N827" authorId="0" shapeId="0">
      <text>
        <t>Tegus (HS):
Tegus model currently does not forecast this metric</t>
      </text>
    </comment>
    <comment ref="N828" authorId="0" shapeId="0">
      <text>
        <t>Tegus (HS):
Tegus model currently does not forecast this metric</t>
      </text>
    </comment>
    <comment ref="N829" authorId="0" shapeId="0">
      <text>
        <t>Tegus (HS):
Tegus model currently does not forecast this metric</t>
      </text>
    </comment>
    <comment ref="N838" authorId="0" shapeId="0">
      <text>
        <t>Tegus (HS):
Tegus model currently does not forecast this metric</t>
      </text>
    </comment>
    <comment ref="N839" authorId="0" shapeId="0">
      <text>
        <t>Tegus (HS):
Tegus model currently does not forecast this metric</t>
      </text>
    </comment>
    <comment ref="N848" authorId="0" shapeId="0">
      <text>
        <t>Tegus (WC):
Tegus model currently does not forecast this metric</t>
      </text>
    </comment>
    <comment ref="N849" authorId="0" shapeId="0">
      <text>
        <t>Tegus (WC):
Tegus model currently does not forecast this metric</t>
      </text>
    </comment>
    <comment ref="N858" authorId="0" shapeId="0">
      <text>
        <t>Tegus (WC):
Tegus model currently does not forecast this metric</t>
      </text>
    </comment>
    <comment ref="N859" authorId="0" shapeId="0">
      <text>
        <t>Tegus (WC):
Tegus model currently does not forecast this metric</t>
      </text>
    </comment>
    <comment ref="N868" authorId="0" shapeId="0">
      <text>
        <t>Tegus (WC):
Tegus model currently does not forecast this metric</t>
      </text>
    </comment>
    <comment ref="N869" authorId="0" shapeId="0">
      <text>
        <t>Tegus (WC):
Tegus model currently does not forecast this metric</t>
      </text>
    </comment>
    <comment ref="N872" authorId="0" shapeId="0">
      <text>
        <t>Tegus (WC):
Tegus model currently does not forecast this metric</t>
      </text>
    </comment>
    <comment ref="N873" authorId="0" shapeId="0">
      <text>
        <t>Tegus (VT):
Tegus model does not currently forecast this metric.</t>
      </text>
    </comment>
    <comment ref="N880" authorId="0" shapeId="0">
      <text>
        <t>Tegus (WC):
Tegus model currently does not forecast this metric</t>
      </text>
    </comment>
    <comment ref="N881" authorId="0" shapeId="0">
      <text>
        <t>Tegus (WC):
Tegus model currently does not forecast this metric</t>
      </text>
    </comment>
    <comment ref="N882" authorId="0" shapeId="0">
      <text>
        <t>Tegus (WC):
Tegus model currently does not forecast this metric</t>
      </text>
    </comment>
    <comment ref="N885" authorId="0" shapeId="0">
      <text>
        <t>Tegus (WC):
Tegus model currently does not forecast this metric</t>
      </text>
    </comment>
    <comment ref="N897" authorId="0" shapeId="0">
      <text>
        <t>Tegus (VT):
Tegus model does not currently forecast this metric</t>
      </text>
    </comment>
    <comment ref="N898" authorId="0" shapeId="0">
      <text>
        <t>Tegus (VT):
Tegus model does not currently forecast this metric</t>
      </text>
    </comment>
    <comment ref="N901" authorId="0" shapeId="0">
      <text>
        <t>Tegus (VT):
Tegus model does not currently forecast this metric</t>
      </text>
    </comment>
    <comment ref="N902" authorId="0" shapeId="0">
      <text>
        <t>Tegus (VT):
Tegus model does not currently forecast this metric</t>
      </text>
    </comment>
    <comment ref="N903" authorId="0" shapeId="0">
      <text>
        <t>Tegus (VT):
Tegus model does not currently forecast this metric</t>
      </text>
    </comment>
    <comment ref="N908" authorId="0" shapeId="0">
      <text>
        <t>Tegus (VT):
Tegus model does not currently forecast this metric.</t>
      </text>
    </comment>
    <comment ref="N909" authorId="0" shapeId="0">
      <text>
        <t>Tegus (VT):
Tegus model does not currently forecast this metric.</t>
      </text>
    </comment>
    <comment ref="N910" authorId="0" shapeId="0">
      <text>
        <t>Tegus (VT):
Tegus model does not currently forecast this metric.</t>
      </text>
    </comment>
    <comment ref="N911" authorId="0" shapeId="0">
      <text>
        <t>Tegus (VT):
Tegus model does not currently forecast this metric.</t>
      </text>
    </comment>
    <comment ref="N922" authorId="0" shapeId="0">
      <text>
        <t>Tegus (VT):
Tegus model does not currently forecast this metric</t>
      </text>
    </comment>
    <comment ref="N923" authorId="0" shapeId="0">
      <text>
        <t>Tegus (VT):
Tegus model does not currently forecast this metric</t>
      </text>
    </comment>
    <comment ref="N926" authorId="0" shapeId="0">
      <text>
        <t>Tegus (VT):
Tegus model does not currently forecast this metric</t>
      </text>
    </comment>
    <comment ref="N927" authorId="0" shapeId="0">
      <text>
        <t>Tegus (VT):
Tegus model does not currently forecast this metric</t>
      </text>
    </comment>
    <comment ref="N928" authorId="0" shapeId="0">
      <text>
        <t>Tegus (VT):
Tegus model does not currently forecast this metric</t>
      </text>
    </comment>
    <comment ref="N933" authorId="0" shapeId="0">
      <text>
        <t>Tegus (VT):
Tegus model does not currently forecast this metric.</t>
      </text>
    </comment>
    <comment ref="N934" authorId="0" shapeId="0">
      <text>
        <t>Tegus (VT):
Tegus model does not currently forecast this metric.</t>
      </text>
    </comment>
    <comment ref="N945" authorId="0" shapeId="0">
      <text>
        <t>Tegus (VT):
Tegus model does not currently forecast this metric</t>
      </text>
    </comment>
    <comment ref="N948" authorId="0" shapeId="0">
      <text>
        <t>Tegus (VT):
Tegus model does not currently forecast this metric</t>
      </text>
    </comment>
    <comment ref="N953" authorId="0" shapeId="0">
      <text>
        <t>Tegus (VT):
Tegus model does not currently forecast this metric.</t>
      </text>
    </comment>
    <comment ref="N955" authorId="0" shapeId="0">
      <text>
        <t>Tegus (VT):
Tegus model does not currently forecast this metric.</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2</col>
      <colOff>0</colOff>
      <row>1</row>
      <rowOff>0</rowOff>
    </from>
    <to>
      <col>5</col>
      <colOff>180975</colOff>
      <row>6</row>
      <rowOff>19050</rowOff>
    </to>
    <pic>
      <nvPicPr>
        <cNvPr id="9" name="CanalystByASLogo"/>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95350" y="180975"/>
          <a:ext cx="2143125" cy="971550"/>
        </a:xfrm>
        <a:prstGeom xmlns:a="http://schemas.openxmlformats.org/drawingml/2006/main" prst="rect"/>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0</colOff>
      <row>1</row>
      <rowOff>0</rowOff>
    </from>
    <to>
      <col>3</col>
      <colOff>1257300</colOff>
      <row>6</row>
      <rowOff>142875</rowOff>
    </to>
    <pic>
      <nvPicPr>
        <cNvPr id="9" name="CanalystByASLogo"/>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42975" y="180975"/>
          <a:ext cx="2305050" cy="1047750"/>
        </a:xfrm>
        <a:prstGeom xmlns:a="http://schemas.openxmlformats.org/drawingml/2006/main" prst="rect"/>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support@canalyst.com?subject=Canalyst%20Support:%20Cadence%20Design%20Systems,%20Inc.%20CDNS%20US&amp;body=Model%20Version:%20Q1-2019.21" TargetMode="External" Id="rId1"/><Relationship Type="http://schemas.openxmlformats.org/officeDocument/2006/relationships/hyperlink" Target="mailto:support@canalyst.com?subject=Canalyst%20Support:%20Cadence%20Design%20Systems,%20Inc.%20CDNS%20US&amp;body=Model%20Version:%20Q1-2019.21" TargetMode="External" Id="rId2"/><Relationship Type="http://schemas.openxmlformats.org/officeDocument/2006/relationships/hyperlink" Target="mailto:support@canalyst.com?subject=Canalyst%20Support:%20Cadence%20Design%20Systems,%20Inc.%20CDNS%20US&amp;body=Model%20Version:%20Q1-2019.21" TargetMode="External" Id="rId3"/><Relationship Type="http://schemas.openxmlformats.org/officeDocument/2006/relationships/drawing" Target="/xl/drawings/drawing1.xml" Id="rId4"/></Relationships>
</file>

<file path=xl/worksheets/_rels/sheet3.xml.rels><Relationships xmlns="http://schemas.openxmlformats.org/package/2006/relationships"><Relationship Type="http://schemas.openxmlformats.org/officeDocument/2006/relationships/hyperlink" Target="http://www.cadence.com/cadence/investor_relations/Pages/default.aspx"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hyperlink" Target="https://www.cadence.com/content/cadence-www/global/en_US/home/company/newsroom/press-releases/pr-ir/2018/cadence-reports-second-quarter-2018-financial-results.html" TargetMode="External" Id="rId1"/><Relationship Type="http://schemas.openxmlformats.org/officeDocument/2006/relationships/hyperlink" Target="https://s206.q4cdn.com/597110084/files/doc_financials/2025/q3/Q3-2025-CFO-Commentary-Final.pdf" TargetMode="External" Id="rId2"/><Relationship Type="http://schemas.openxmlformats.org/officeDocument/2006/relationships/hyperlink" Target="https://s206.q4cdn.com/597110084/files/doc_financials/2025/q3/Q3-2025-CFO-Commentary-Final.pdf" TargetMode="External" Id="rId3"/><Relationship Type="http://schemas.openxmlformats.org/officeDocument/2006/relationships/hyperlink" Target="https://s206.q4cdn.com/597110084/files/doc_financials/2025/q3/Q3-2025-CFO-Commentary-Final.pdf" TargetMode="External" Id="rId4"/><Relationship Type="http://schemas.openxmlformats.org/officeDocument/2006/relationships/hyperlink" Target="https://s206.q4cdn.com/597110084/files/doc_financials/2025/q3/Q3-2025-CFO-Commentary-Final.pdf" TargetMode="External" Id="rId5"/><Relationship Type="http://schemas.openxmlformats.org/officeDocument/2006/relationships/hyperlink" Target="https://s206.q4cdn.com/597110084/files/doc_financials/2025/q3/Q3-2025-CFO-Commentary-Final.pdf" TargetMode="External" Id="rId6"/><Relationship Type="http://schemas.openxmlformats.org/officeDocument/2006/relationships/hyperlink" Target="https://s206.q4cdn.com/597110084/files/doc_financials/2025/q3/Q3-2025-CFO-Commentary-Final.pdf" TargetMode="External" Id="rId7"/><Relationship Type="http://schemas.openxmlformats.org/officeDocument/2006/relationships/hyperlink" Target="https://s206.q4cdn.com/597110084/files/doc_financials/2025/q3/Q3-2025-CFO-Commentary-Final.pdf" TargetMode="External" Id="rId8"/><Relationship Type="http://schemas.openxmlformats.org/officeDocument/2006/relationships/hyperlink" Target="https://s206.q4cdn.com/597110084/files/doc_financials/2025/q3/Q3-2025-CFO-Commentary-Final.pdf" TargetMode="External" Id="rId9"/><Relationship Type="http://schemas.openxmlformats.org/officeDocument/2006/relationships/hyperlink" Target="https://s206.q4cdn.com/597110084/files/doc_financials/2025/q3/Q3-2025-CFO-Commentary-Final.pdf" TargetMode="External" Id="rId10"/><Relationship Type="http://schemas.openxmlformats.org/officeDocument/2006/relationships/hyperlink" Target="https://s206.q4cdn.com/597110084/files/doc_financials/2025/q3/Q3-2025-CFO-Commentary-Final.pdf" TargetMode="External" Id="rId11"/><Relationship Type="http://schemas.openxmlformats.org/officeDocument/2006/relationships/hyperlink" Target="https://s206.q4cdn.com/597110084/files/doc_financials/2025/q3/Q3-2025-CFO-Commentary-Final.pdf" TargetMode="External" Id="rId12"/><Relationship Type="http://schemas.openxmlformats.org/officeDocument/2006/relationships/hyperlink" Target="https://s206.q4cdn.com/597110084/files/doc_financials/2025/q3/Q3-2025-CFO-Commentary-Final.pdf" TargetMode="External" Id="rId13"/><Relationship Type="http://schemas.openxmlformats.org/officeDocument/2006/relationships/hyperlink" Target="https://s206.q4cdn.com/597110084/files/doc_financials/2025/q3/Q3-2025-CFO-Commentary-Final.pdf" TargetMode="External" Id="rId14"/><Relationship Type="http://schemas.openxmlformats.org/officeDocument/2006/relationships/hyperlink" Target="https://s206.q4cdn.com/597110084/files/doc_financials/2025/q3/Q3-2025-CFO-Commentary-Final.pdf" TargetMode="External" Id="rId15"/><Relationship Type="http://schemas.openxmlformats.org/officeDocument/2006/relationships/hyperlink" Target="https://s206.q4cdn.com/597110084/files/doc_financials/2025/q3/Q3-2025-CFO-Commentary-Final.pdf" TargetMode="External" Id="rId16"/><Relationship Type="http://schemas.openxmlformats.org/officeDocument/2006/relationships/hyperlink" Target="https://s206.q4cdn.com/597110084/files/doc_financials/2025/q3/Q3-2025-CFO-Commentary-Final.pdf" TargetMode="External" Id="rId17"/><Relationship Type="http://schemas.openxmlformats.org/officeDocument/2006/relationships/hyperlink" Target="https://s206.q4cdn.com/597110084/files/doc_financials/2025/q3/Q3-2025-CFO-Commentary-Final.pdf" TargetMode="External" Id="rId18"/><Relationship Type="http://schemas.openxmlformats.org/officeDocument/2006/relationships/hyperlink" Target="https://s206.q4cdn.com/597110084/files/doc_financials/2025/q3/Q3-2025-CFO-Commentary-Final.pdf" TargetMode="External" Id="rId19"/><Relationship Type="http://schemas.openxmlformats.org/officeDocument/2006/relationships/hyperlink" Target="https://s206.q4cdn.com/597110084/files/doc_financials/2025/q3/Q3-2025-CFO-Commentary-Final.pdf" TargetMode="External" Id="rId20"/><Relationship Type="http://schemas.openxmlformats.org/officeDocument/2006/relationships/hyperlink" Target="https://s206.q4cdn.com/597110084/files/doc_financials/2025/q3/Q3-2025-CFO-Commentary-Final.pdf" TargetMode="External" Id="rId21"/><Relationship Type="http://schemas.openxmlformats.org/officeDocument/2006/relationships/hyperlink" Target="https://s206.q4cdn.com/597110084/files/doc_financials/2025/q3/Q3-2025-CFO-Commentary-Final.pdf" TargetMode="External" Id="rId22"/><Relationship Type="http://schemas.openxmlformats.org/officeDocument/2006/relationships/hyperlink" Target="https://s206.q4cdn.com/597110084/files/doc_financials/2025/q3/Q3-2025-CFO-Commentary-Final.pdf" TargetMode="External" Id="rId23"/><Relationship Type="http://schemas.openxmlformats.org/officeDocument/2006/relationships/hyperlink" Target="https://s206.q4cdn.com/597110084/files/doc_financials/2025/q3/Q3-2025-CFO-Commentary-Final.pdf" TargetMode="External" Id="rId24"/><Relationship Type="http://schemas.openxmlformats.org/officeDocument/2006/relationships/hyperlink" Target="https://s206.q4cdn.com/597110084/files/doc_financials/2025/q3/Q3-2025-CFO-Commentary-Final.pdf" TargetMode="External" Id="rId25"/><Relationship Type="http://schemas.openxmlformats.org/officeDocument/2006/relationships/hyperlink" Target="https://s206.q4cdn.com/597110084/files/doc_financials/2025/q3/Q3-2025-CFO-Commentary-Final.pdf" TargetMode="External" Id="rId26"/><Relationship Type="http://schemas.openxmlformats.org/officeDocument/2006/relationships/hyperlink" Target="https://s206.q4cdn.com/597110084/files/doc_financials/2025/q3/Q3-2025-CFO-Commentary-Final.pdf" TargetMode="External" Id="rId27"/><Relationship Type="http://schemas.openxmlformats.org/officeDocument/2006/relationships/hyperlink" Target="https://s206.q4cdn.com/597110084/files/doc_financials/2025/q3/Q3-2025-CFO-Commentary-Final.pdf" TargetMode="External" Id="rId28"/><Relationship Type="http://schemas.openxmlformats.org/officeDocument/2006/relationships/hyperlink" Target="https://s206.q4cdn.com/597110084/files/doc_financials/2025/q3/Q3-2025-CFO-Commentary-Final.pdf" TargetMode="External" Id="rId29"/><Relationship Type="http://schemas.openxmlformats.org/officeDocument/2006/relationships/hyperlink" Target="https://s206.q4cdn.com/597110084/files/doc_financials/2025/q3/Q3-2025-CFO-Commentary-Final.pdf" TargetMode="External" Id="rId30"/><Relationship Type="http://schemas.openxmlformats.org/officeDocument/2006/relationships/hyperlink" Target="https://s206.q4cdn.com/597110084/files/doc_financials/2025/q3/Q3-2025-CFO-Commentary-Final.pdf" TargetMode="External" Id="rId31"/><Relationship Type="http://schemas.openxmlformats.org/officeDocument/2006/relationships/hyperlink" Target="https://s206.q4cdn.com/597110084/files/doc_financials/2025/q2/CFO-Commentary-Q2-2025-Final-Updated.pdf" TargetMode="External" Id="rId32"/><Relationship Type="http://schemas.openxmlformats.org/officeDocument/2006/relationships/hyperlink" Target="https://s206.q4cdn.com/597110084/files/doc_financials/2025/q2/CFO-Commentary-Q2-2025-Final-Updated.pdf" TargetMode="External" Id="rId33"/><Relationship Type="http://schemas.openxmlformats.org/officeDocument/2006/relationships/hyperlink" Target="https://s206.q4cdn.com/597110084/files/doc_financials/2025/q2/CFO-Commentary-Q2-2025-Final-Updated.pdf" TargetMode="External" Id="rId34"/><Relationship Type="http://schemas.openxmlformats.org/officeDocument/2006/relationships/hyperlink" Target="https://s206.q4cdn.com/597110084/files/doc_financials/2025/q2/CFO-Commentary-Q2-2025-Final-Updated.pdf" TargetMode="External" Id="rId35"/><Relationship Type="http://schemas.openxmlformats.org/officeDocument/2006/relationships/hyperlink" Target="https://s206.q4cdn.com/597110084/files/doc_financials/2025/q2/CFO-Commentary-Q2-2025-Final-Updated.pdf" TargetMode="External" Id="rId36"/><Relationship Type="http://schemas.openxmlformats.org/officeDocument/2006/relationships/hyperlink" Target="https://s206.q4cdn.com/597110084/files/doc_financials/2025/q2/CFO-Commentary-Q2-2025-Final-Updated.pdf" TargetMode="External" Id="rId37"/><Relationship Type="http://schemas.openxmlformats.org/officeDocument/2006/relationships/hyperlink" Target="https://s206.q4cdn.com/597110084/files/doc_financials/2025/q2/CFO-Commentary-Q2-2025-Final-Updated.pdf" TargetMode="External" Id="rId38"/><Relationship Type="http://schemas.openxmlformats.org/officeDocument/2006/relationships/hyperlink" Target="https://s206.q4cdn.com/597110084/files/doc_financials/2025/q2/CFO-Commentary-Q2-2025-Final-Updated.pdf" TargetMode="External" Id="rId39"/><Relationship Type="http://schemas.openxmlformats.org/officeDocument/2006/relationships/hyperlink" Target="https://s206.q4cdn.com/597110084/files/doc_financials/2025/q2/CFO-Commentary-Q2-2025-Final-Updated.pdf" TargetMode="External" Id="rId40"/><Relationship Type="http://schemas.openxmlformats.org/officeDocument/2006/relationships/hyperlink" Target="https://s206.q4cdn.com/597110084/files/doc_financials/2025/q2/CFO-Commentary-Q2-2025-Final-Updated.pdf" TargetMode="External" Id="rId41"/><Relationship Type="http://schemas.openxmlformats.org/officeDocument/2006/relationships/hyperlink" Target="https://s206.q4cdn.com/597110084/files/doc_financials/2025/q2/CFO-Commentary-Q2-2025-Final-Updated.pdf" TargetMode="External" Id="rId42"/><Relationship Type="http://schemas.openxmlformats.org/officeDocument/2006/relationships/hyperlink" Target="https://s206.q4cdn.com/597110084/files/doc_financials/2025/q2/CFO-Commentary-Q2-2025-Final-Updated.pdf" TargetMode="External" Id="rId43"/><Relationship Type="http://schemas.openxmlformats.org/officeDocument/2006/relationships/hyperlink" Target="https://s206.q4cdn.com/597110084/files/doc_financials/2025/q2/CFO-Commentary-Q2-2025-Final-Updated.pdf" TargetMode="External" Id="rId44"/><Relationship Type="http://schemas.openxmlformats.org/officeDocument/2006/relationships/hyperlink" Target="https://s206.q4cdn.com/597110084/files/doc_financials/2025/q2/CFO-Commentary-Q2-2025-Final-Updated.pdf" TargetMode="External" Id="rId45"/><Relationship Type="http://schemas.openxmlformats.org/officeDocument/2006/relationships/hyperlink" Target="https://s206.q4cdn.com/597110084/files/doc_financials/2025/q2/CFO-Commentary-Q2-2025-Final-Updated.pdf" TargetMode="External" Id="rId46"/><Relationship Type="http://schemas.openxmlformats.org/officeDocument/2006/relationships/hyperlink" Target="https://s206.q4cdn.com/597110084/files/doc_financials/2025/q2/CFO-Commentary-Q2-2025-Final-Updated.pdf" TargetMode="External" Id="rId47"/><Relationship Type="http://schemas.openxmlformats.org/officeDocument/2006/relationships/hyperlink" Target="https://s206.q4cdn.com/597110084/files/doc_financials/2025/q2/CFO-Commentary-Q2-2025-Final-Updated.pdf" TargetMode="External" Id="rId48"/><Relationship Type="http://schemas.openxmlformats.org/officeDocument/2006/relationships/hyperlink" Target="https://s206.q4cdn.com/597110084/files/doc_financials/2025/q2/CFO-Commentary-Q2-2025-Final-Updated.pdf" TargetMode="External" Id="rId49"/><Relationship Type="http://schemas.openxmlformats.org/officeDocument/2006/relationships/hyperlink" Target="https://s206.q4cdn.com/597110084/files/doc_financials/2025/q2/CFO-Commentary-Q2-2025-Final-Updated.pdf" TargetMode="External" Id="rId50"/><Relationship Type="http://schemas.openxmlformats.org/officeDocument/2006/relationships/hyperlink" Target="https://s206.q4cdn.com/597110084/files/doc_financials/2025/q2/CFO-Commentary-Q2-2025-Final-Updated.pdf" TargetMode="External" Id="rId51"/><Relationship Type="http://schemas.openxmlformats.org/officeDocument/2006/relationships/hyperlink" Target="https://s206.q4cdn.com/597110084/files/doc_financials/2025/q2/CFO-Commentary-Q2-2025-Final-Updated.pdf" TargetMode="External" Id="rId52"/><Relationship Type="http://schemas.openxmlformats.org/officeDocument/2006/relationships/hyperlink" Target="https://s206.q4cdn.com/597110084/files/doc_financials/2025/q2/CFO-Commentary-Q2-2025-Final-Updated.pdf" TargetMode="External" Id="rId53"/><Relationship Type="http://schemas.openxmlformats.org/officeDocument/2006/relationships/hyperlink" Target="https://s206.q4cdn.com/597110084/files/doc_financials/2025/q2/CFO-Commentary-Q2-2025-Final-Updated.pdf" TargetMode="External" Id="rId54"/><Relationship Type="http://schemas.openxmlformats.org/officeDocument/2006/relationships/hyperlink" Target="https://s206.q4cdn.com/597110084/files/doc_financials/2025/q2/CFO-Commentary-Q2-2025-Final-Updated.pdf" TargetMode="External" Id="rId55"/><Relationship Type="http://schemas.openxmlformats.org/officeDocument/2006/relationships/hyperlink" Target="https://s206.q4cdn.com/597110084/files/doc_financials/2025/q2/CFO-Commentary-Q2-2025-Final-Updated.pdf" TargetMode="External" Id="rId56"/><Relationship Type="http://schemas.openxmlformats.org/officeDocument/2006/relationships/hyperlink" Target="https://s206.q4cdn.com/597110084/files/doc_financials/2025/q2/CFO-Commentary-Q2-2025-Final-Updated.pdf" TargetMode="External" Id="rId57"/><Relationship Type="http://schemas.openxmlformats.org/officeDocument/2006/relationships/hyperlink" Target="https://s206.q4cdn.com/597110084/files/doc_financials/2025/q2/CFO-Commentary-Q2-2025-Final-Updated.pdf" TargetMode="External" Id="rId58"/><Relationship Type="http://schemas.openxmlformats.org/officeDocument/2006/relationships/hyperlink" Target="https://s206.q4cdn.com/597110084/files/doc_financials/2025/q2/CFO-Commentary-Q2-2025-Final-Updated.pdf" TargetMode="External" Id="rId59"/><Relationship Type="http://schemas.openxmlformats.org/officeDocument/2006/relationships/hyperlink" Target="https://s206.q4cdn.com/597110084/files/doc_financials/2025/q2/CFO-Commentary-Q2-2025-Final-Updated.pdf" TargetMode="External" Id="rId60"/><Relationship Type="http://schemas.openxmlformats.org/officeDocument/2006/relationships/hyperlink" Target="https://www.cadence.com/content/dam/cadence-www/global/en_US/documents/company/investors/1q25-cfo-commentary.pdf" TargetMode="External" Id="rId61"/><Relationship Type="http://schemas.openxmlformats.org/officeDocument/2006/relationships/hyperlink" Target="https://www.cadence.com/content/dam/cadence-www/global/en_US/documents/company/investors/1q25-cfo-commentary.pdf" TargetMode="External" Id="rId62"/><Relationship Type="http://schemas.openxmlformats.org/officeDocument/2006/relationships/hyperlink" Target="https://www.cadence.com/content/dam/cadence-www/global/en_US/documents/company/investors/1q25-cfo-commentary.pdf" TargetMode="External" Id="rId63"/><Relationship Type="http://schemas.openxmlformats.org/officeDocument/2006/relationships/hyperlink" Target="https://www.cadence.com/content/dam/cadence-www/global/en_US/documents/company/investors/1q25-cfo-commentary.pdf" TargetMode="External" Id="rId64"/><Relationship Type="http://schemas.openxmlformats.org/officeDocument/2006/relationships/hyperlink" Target="https://www.cadence.com/content/dam/cadence-www/global/en_US/documents/company/investors/1q25-cfo-commentary.pdf" TargetMode="External" Id="rId65"/><Relationship Type="http://schemas.openxmlformats.org/officeDocument/2006/relationships/hyperlink" Target="https://www.cadence.com/content/dam/cadence-www/global/en_US/documents/company/investors/1q25-cfo-commentary.pdf" TargetMode="External" Id="rId66"/><Relationship Type="http://schemas.openxmlformats.org/officeDocument/2006/relationships/hyperlink" Target="https://www.cadence.com/content/dam/cadence-www/global/en_US/documents/company/investors/1q25-cfo-commentary.pdf" TargetMode="External" Id="rId67"/><Relationship Type="http://schemas.openxmlformats.org/officeDocument/2006/relationships/hyperlink" Target="https://www.cadence.com/content/dam/cadence-www/global/en_US/documents/company/investors/1q25-cfo-commentary.pdf" TargetMode="External" Id="rId68"/><Relationship Type="http://schemas.openxmlformats.org/officeDocument/2006/relationships/hyperlink" Target="https://www.cadence.com/content/dam/cadence-www/global/en_US/documents/company/investors/1q25-cfo-commentary.pdf" TargetMode="External" Id="rId69"/><Relationship Type="http://schemas.openxmlformats.org/officeDocument/2006/relationships/hyperlink" Target="https://www.cadence.com/content/dam/cadence-www/global/en_US/documents/company/investors/1q25-cfo-commentary.pdf" TargetMode="External" Id="rId70"/><Relationship Type="http://schemas.openxmlformats.org/officeDocument/2006/relationships/hyperlink" Target="https://www.cadence.com/content/dam/cadence-www/global/en_US/documents/company/investors/1q25-cfo-commentary.pdf" TargetMode="External" Id="rId71"/><Relationship Type="http://schemas.openxmlformats.org/officeDocument/2006/relationships/hyperlink" Target="https://www.cadence.com/content/dam/cadence-www/global/en_US/documents/company/investors/1q25-cfo-commentary.pdf" TargetMode="External" Id="rId72"/><Relationship Type="http://schemas.openxmlformats.org/officeDocument/2006/relationships/hyperlink" Target="https://www.cadence.com/content/dam/cadence-www/global/en_US/documents/company/investors/1q25-cfo-commentary.pdf" TargetMode="External" Id="rId73"/><Relationship Type="http://schemas.openxmlformats.org/officeDocument/2006/relationships/hyperlink" Target="https://www.cadence.com/content/dam/cadence-www/global/en_US/documents/company/investors/1q25-cfo-commentary.pdf" TargetMode="External" Id="rId74"/><Relationship Type="http://schemas.openxmlformats.org/officeDocument/2006/relationships/hyperlink" Target="https://www.cadence.com/content/dam/cadence-www/global/en_US/documents/company/investors/1q25-cfo-commentary.pdf" TargetMode="External" Id="rId75"/><Relationship Type="http://schemas.openxmlformats.org/officeDocument/2006/relationships/hyperlink" Target="https://www.cadence.com/content/dam/cadence-www/global/en_US/documents/company/investors/1q25-cfo-commentary.pdf" TargetMode="External" Id="rId76"/><Relationship Type="http://schemas.openxmlformats.org/officeDocument/2006/relationships/hyperlink" Target="https://www.cadence.com/content/dam/cadence-www/global/en_US/documents/company/investors/1q25-cfo-commentary.pdf" TargetMode="External" Id="rId77"/><Relationship Type="http://schemas.openxmlformats.org/officeDocument/2006/relationships/hyperlink" Target="https://www.cadence.com/content/dam/cadence-www/global/en_US/documents/company/investors/1q25-cfo-commentary.pdf" TargetMode="External" Id="rId78"/><Relationship Type="http://schemas.openxmlformats.org/officeDocument/2006/relationships/hyperlink" Target="https://www.cadence.com/content/dam/cadence-www/global/en_US/documents/company/investors/1q25-cfo-commentary.pdf" TargetMode="External" Id="rId79"/><Relationship Type="http://schemas.openxmlformats.org/officeDocument/2006/relationships/hyperlink" Target="https://www.cadence.com/content/dam/cadence-www/global/en_US/documents/company/investors/1q25-cfo-commentary.pdf" TargetMode="External" Id="rId80"/><Relationship Type="http://schemas.openxmlformats.org/officeDocument/2006/relationships/hyperlink" Target="https://www.cadence.com/content/dam/cadence-www/global/en_US/documents/company/investors/1q25-cfo-commentary.pdf" TargetMode="External" Id="rId81"/><Relationship Type="http://schemas.openxmlformats.org/officeDocument/2006/relationships/hyperlink" Target="https://www.cadence.com/content/dam/cadence-www/global/en_US/documents/company/investors/1q25-cfo-commentary.pdf" TargetMode="External" Id="rId82"/><Relationship Type="http://schemas.openxmlformats.org/officeDocument/2006/relationships/hyperlink" Target="https://www.cadence.com/content/dam/cadence-www/global/en_US/documents/company/investors/1q25-cfo-commentary.pdf" TargetMode="External" Id="rId83"/><Relationship Type="http://schemas.openxmlformats.org/officeDocument/2006/relationships/hyperlink" Target="https://www.cadence.com/content/dam/cadence-www/global/en_US/documents/company/investors/1q25-cfo-commentary.pdf" TargetMode="External" Id="rId84"/><Relationship Type="http://schemas.openxmlformats.org/officeDocument/2006/relationships/hyperlink" Target="https://www.cadence.com/content/dam/cadence-www/global/en_US/documents/company/investors/1q25-cfo-commentary.pdf" TargetMode="External" Id="rId85"/><Relationship Type="http://schemas.openxmlformats.org/officeDocument/2006/relationships/hyperlink" Target="https://www.cadence.com/content/dam/cadence-www/global/en_US/documents/company/investors/1q25-cfo-commentary.pdf" TargetMode="External" Id="rId86"/><Relationship Type="http://schemas.openxmlformats.org/officeDocument/2006/relationships/hyperlink" Target="https://www.cadence.com/content/dam/cadence-www/global/en_US/documents/company/investors/1q25-cfo-commentary.pdf" TargetMode="External" Id="rId87"/><Relationship Type="http://schemas.openxmlformats.org/officeDocument/2006/relationships/hyperlink" Target="https://www.cadence.com/content/dam/cadence-www/global/en_US/documents/company/investors/1q25-cfo-commentary.pdf" TargetMode="External" Id="rId88"/><Relationship Type="http://schemas.openxmlformats.org/officeDocument/2006/relationships/hyperlink" Target="https://www.cadence.com/content/dam/cadence-www/global/en_US/documents/company/investors/1q25-cfo-commentary.pdf" TargetMode="External" Id="rId89"/><Relationship Type="http://schemas.openxmlformats.org/officeDocument/2006/relationships/hyperlink" Target="https://www.cadence.com/content/dam/cadence-www/global/en_US/documents/company/investors/4q24-cfo-commentary.pdf" TargetMode="External" Id="rId90"/><Relationship Type="http://schemas.openxmlformats.org/officeDocument/2006/relationships/hyperlink" Target="https://www.cadence.com/content/dam/cadence-www/global/en_US/documents/company/investors/4q24-cfo-commentary.pdf" TargetMode="External" Id="rId91"/><Relationship Type="http://schemas.openxmlformats.org/officeDocument/2006/relationships/hyperlink" Target="https://www.cadence.com/content/dam/cadence-www/global/en_US/documents/company/investors/4q24-cfo-commentary.pdf" TargetMode="External" Id="rId92"/><Relationship Type="http://schemas.openxmlformats.org/officeDocument/2006/relationships/hyperlink" Target="https://www.cadence.com/content/dam/cadence-www/global/en_US/documents/company/investors/4q24-cfo-commentary.pdf" TargetMode="External" Id="rId93"/><Relationship Type="http://schemas.openxmlformats.org/officeDocument/2006/relationships/hyperlink" Target="https://www.cadence.com/content/dam/cadence-www/global/en_US/documents/company/investors/4q24-cfo-commentary.pdf" TargetMode="External" Id="rId94"/><Relationship Type="http://schemas.openxmlformats.org/officeDocument/2006/relationships/hyperlink" Target="https://www.cadence.com/content/dam/cadence-www/global/en_US/documents/company/investors/4q24-cfo-commentary.pdf" TargetMode="External" Id="rId95"/><Relationship Type="http://schemas.openxmlformats.org/officeDocument/2006/relationships/hyperlink" Target="https://www.cadence.com/content/dam/cadence-www/global/en_US/documents/company/investors/4q24-cfo-commentary.pdf" TargetMode="External" Id="rId96"/><Relationship Type="http://schemas.openxmlformats.org/officeDocument/2006/relationships/hyperlink" Target="https://www.cadence.com/content/dam/cadence-www/global/en_US/documents/company/investors/4q24-cfo-commentary.pdf" TargetMode="External" Id="rId97"/><Relationship Type="http://schemas.openxmlformats.org/officeDocument/2006/relationships/hyperlink" Target="https://www.cadence.com/content/dam/cadence-www/global/en_US/documents/company/investors/4q24-cfo-commentary.pdf" TargetMode="External" Id="rId98"/><Relationship Type="http://schemas.openxmlformats.org/officeDocument/2006/relationships/hyperlink" Target="https://www.cadence.com/content/dam/cadence-www/global/en_US/documents/company/investors/4q24-cfo-commentary.pdf" TargetMode="External" Id="rId99"/><Relationship Type="http://schemas.openxmlformats.org/officeDocument/2006/relationships/hyperlink" Target="https://www.cadence.com/content/dam/cadence-www/global/en_US/documents/company/investors/4q24-cfo-commentary.pdf" TargetMode="External" Id="rId100"/><Relationship Type="http://schemas.openxmlformats.org/officeDocument/2006/relationships/hyperlink" Target="https://www.cadence.com/content/dam/cadence-www/global/en_US/documents/company/investors/4q24-cfo-commentary.pdf" TargetMode="External" Id="rId101"/><Relationship Type="http://schemas.openxmlformats.org/officeDocument/2006/relationships/hyperlink" Target="https://www.cadence.com/content/dam/cadence-www/global/en_US/documents/company/investors/4q24-cfo-commentary.pdf" TargetMode="External" Id="rId102"/><Relationship Type="http://schemas.openxmlformats.org/officeDocument/2006/relationships/hyperlink" Target="https://www.cadence.com/content/dam/cadence-www/global/en_US/documents/company/investors/4q24-cfo-commentary.pdf" TargetMode="External" Id="rId103"/><Relationship Type="http://schemas.openxmlformats.org/officeDocument/2006/relationships/hyperlink" Target="https://www.cadence.com/content/dam/cadence-www/global/en_US/documents/company/investors/4q24-cfo-commentary.pdf" TargetMode="External" Id="rId104"/><Relationship Type="http://schemas.openxmlformats.org/officeDocument/2006/relationships/hyperlink" Target="https://www.cadence.com/content/dam/cadence-www/global/en_US/documents/company/investors/4q24-cfo-commentary.pdf" TargetMode="External" Id="rId105"/><Relationship Type="http://schemas.openxmlformats.org/officeDocument/2006/relationships/hyperlink" Target="https://www.cadence.com/content/dam/cadence-www/global/en_US/documents/company/investors/4q24-cfo-commentary.pdf" TargetMode="External" Id="rId106"/><Relationship Type="http://schemas.openxmlformats.org/officeDocument/2006/relationships/hyperlink" Target="https://www.cadence.com/content/dam/cadence-www/global/en_US/documents/company/investors/4q24-cfo-commentary.pdf" TargetMode="External" Id="rId107"/><Relationship Type="http://schemas.openxmlformats.org/officeDocument/2006/relationships/hyperlink" Target="https://www.cadence.com/content/dam/cadence-www/global/en_US/documents/company/investors/4q24-cfo-commentary.pdf" TargetMode="External" Id="rId108"/><Relationship Type="http://schemas.openxmlformats.org/officeDocument/2006/relationships/hyperlink" Target="https://www.cadence.com/content/dam/cadence-www/global/en_US/documents/company/investors/4q24-cfo-commentary.pdf" TargetMode="External" Id="rId109"/><Relationship Type="http://schemas.openxmlformats.org/officeDocument/2006/relationships/hyperlink" Target="https://www.cadence.com/content/dam/cadence-www/global/en_US/documents/company/investors/4q24-cfo-commentary.pdf" TargetMode="External" Id="rId110"/><Relationship Type="http://schemas.openxmlformats.org/officeDocument/2006/relationships/hyperlink" Target="https://www.cadence.com/content/dam/cadence-www/global/en_US/documents/company/investors/4q24-cfo-commentary.pdf" TargetMode="External" Id="rId111"/><Relationship Type="http://schemas.openxmlformats.org/officeDocument/2006/relationships/hyperlink" Target="https://www.cadence.com/content/dam/cadence-www/global/en_US/documents/company/investors/4q24-cfo-commentary.pdf" TargetMode="External" Id="rId112"/><Relationship Type="http://schemas.openxmlformats.org/officeDocument/2006/relationships/hyperlink" Target="https://www.cadence.com/content/dam/cadence-www/global/en_US/documents/company/investors/4q24-cfo-commentary.pdf" TargetMode="External" Id="rId113"/><Relationship Type="http://schemas.openxmlformats.org/officeDocument/2006/relationships/hyperlink" Target="https://www.cadence.com/content/dam/cadence-www/global/en_US/documents/company/investors/4q24-cfo-commentary.pdf" TargetMode="External" Id="rId114"/><Relationship Type="http://schemas.openxmlformats.org/officeDocument/2006/relationships/hyperlink" Target="https://www.cadence.com/content/dam/cadence-www/global/en_US/documents/company/investors/4q24-cfo-commentary.pdf" TargetMode="External" Id="rId115"/><Relationship Type="http://schemas.openxmlformats.org/officeDocument/2006/relationships/hyperlink" Target="https://www.cadence.com/content/dam/cadence-www/global/en_US/documents/company/investors/4q24-cfo-commentary.pdf" TargetMode="External" Id="rId116"/><Relationship Type="http://schemas.openxmlformats.org/officeDocument/2006/relationships/hyperlink" Target="https://www.cadence.com/content/dam/cadence-www/global/en_US/documents/company/investors/4q24-cfo-commentary.pdf" TargetMode="External" Id="rId117"/><Relationship Type="http://schemas.openxmlformats.org/officeDocument/2006/relationships/hyperlink" Target="https://www.cadence.com/content/dam/cadence-www/global/en_US/documents/company/investors/4q24-cfo-commentary.pdf" TargetMode="External" Id="rId118"/><Relationship Type="http://schemas.openxmlformats.org/officeDocument/2006/relationships/hyperlink" Target="https://www.cadence.com/content/dam/cadence-www/global/en_US/documents/company/investors/3q24-cfo-commentary.pdf" TargetMode="External" Id="rId119"/><Relationship Type="http://schemas.openxmlformats.org/officeDocument/2006/relationships/hyperlink" Target="https://www.cadence.com/content/dam/cadence-www/global/en_US/documents/company/investors/3q24-cfo-commentary.pdf" TargetMode="External" Id="rId120"/><Relationship Type="http://schemas.openxmlformats.org/officeDocument/2006/relationships/hyperlink" Target="https://www.cadence.com/content/dam/cadence-www/global/en_US/documents/company/investors/3q24-cfo-commentary.pdf" TargetMode="External" Id="rId121"/><Relationship Type="http://schemas.openxmlformats.org/officeDocument/2006/relationships/hyperlink" Target="https://www.cadence.com/content/dam/cadence-www/global/en_US/documents/company/investors/3q24-cfo-commentary.pdf" TargetMode="External" Id="rId122"/><Relationship Type="http://schemas.openxmlformats.org/officeDocument/2006/relationships/hyperlink" Target="https://www.cadence.com/content/dam/cadence-www/global/en_US/documents/company/investors/3q24-cfo-commentary.pdf" TargetMode="External" Id="rId123"/><Relationship Type="http://schemas.openxmlformats.org/officeDocument/2006/relationships/hyperlink" Target="https://www.cadence.com/content/dam/cadence-www/global/en_US/documents/company/investors/3q24-cfo-commentary.pdf" TargetMode="External" Id="rId124"/><Relationship Type="http://schemas.openxmlformats.org/officeDocument/2006/relationships/hyperlink" Target="https://www.cadence.com/content/dam/cadence-www/global/en_US/documents/company/investors/3q24-cfo-commentary.pdf" TargetMode="External" Id="rId125"/><Relationship Type="http://schemas.openxmlformats.org/officeDocument/2006/relationships/hyperlink" Target="https://www.cadence.com/content/dam/cadence-www/global/en_US/documents/company/investors/3q24-cfo-commentary.pdf" TargetMode="External" Id="rId126"/><Relationship Type="http://schemas.openxmlformats.org/officeDocument/2006/relationships/hyperlink" Target="https://www.cadence.com/content/dam/cadence-www/global/en_US/documents/company/investors/3q24-cfo-commentary.pdf" TargetMode="External" Id="rId127"/><Relationship Type="http://schemas.openxmlformats.org/officeDocument/2006/relationships/hyperlink" Target="https://www.cadence.com/content/dam/cadence-www/global/en_US/documents/company/investors/3q24-cfo-commentary.pdf" TargetMode="External" Id="rId128"/><Relationship Type="http://schemas.openxmlformats.org/officeDocument/2006/relationships/hyperlink" Target="https://www.cadence.com/content/dam/cadence-www/global/en_US/documents/company/investors/3q24-cfo-commentary.pdf" TargetMode="External" Id="rId129"/><Relationship Type="http://schemas.openxmlformats.org/officeDocument/2006/relationships/hyperlink" Target="https://www.cadence.com/content/dam/cadence-www/global/en_US/documents/company/investors/3q24-cfo-commentary.pdf" TargetMode="External" Id="rId130"/><Relationship Type="http://schemas.openxmlformats.org/officeDocument/2006/relationships/hyperlink" Target="https://www.cadence.com/content/dam/cadence-www/global/en_US/documents/company/investors/3q24-cfo-commentary.pdf" TargetMode="External" Id="rId131"/><Relationship Type="http://schemas.openxmlformats.org/officeDocument/2006/relationships/hyperlink" Target="https://www.cadence.com/content/dam/cadence-www/global/en_US/documents/company/investors/3q24-cfo-commentary.pdf" TargetMode="External" Id="rId132"/><Relationship Type="http://schemas.openxmlformats.org/officeDocument/2006/relationships/hyperlink" Target="https://www.cadence.com/content/dam/cadence-www/global/en_US/documents/company/investors/3q24-cfo-commentary.pdf" TargetMode="External" Id="rId133"/><Relationship Type="http://schemas.openxmlformats.org/officeDocument/2006/relationships/hyperlink" Target="https://www.cadence.com/content/dam/cadence-www/global/en_US/documents/company/investors/3q24-cfo-commentary.pdf" TargetMode="External" Id="rId134"/><Relationship Type="http://schemas.openxmlformats.org/officeDocument/2006/relationships/hyperlink" Target="https://www.cadence.com/content/dam/cadence-www/global/en_US/documents/company/investors/3q24-cfo-commentary.pdf" TargetMode="External" Id="rId135"/><Relationship Type="http://schemas.openxmlformats.org/officeDocument/2006/relationships/hyperlink" Target="https://www.cadence.com/content/dam/cadence-www/global/en_US/documents/company/investors/3q24-cfo-commentary.pdf" TargetMode="External" Id="rId136"/><Relationship Type="http://schemas.openxmlformats.org/officeDocument/2006/relationships/hyperlink" Target="https://www.cadence.com/content/dam/cadence-www/global/en_US/documents/company/investors/3q24-cfo-commentary.pdf" TargetMode="External" Id="rId137"/><Relationship Type="http://schemas.openxmlformats.org/officeDocument/2006/relationships/hyperlink" Target="https://www.cadence.com/content/dam/cadence-www/global/en_US/documents/company/investors/3q24-cfo-commentary.pdf" TargetMode="External" Id="rId138"/><Relationship Type="http://schemas.openxmlformats.org/officeDocument/2006/relationships/hyperlink" Target="https://www.cadence.com/content/dam/cadence-www/global/en_US/documents/company/investors/3q24-cfo-commentary.pdf" TargetMode="External" Id="rId139"/><Relationship Type="http://schemas.openxmlformats.org/officeDocument/2006/relationships/hyperlink" Target="https://www.cadence.com/content/dam/cadence-www/global/en_US/documents/company/investors/3q24-cfo-commentary.pdf" TargetMode="External" Id="rId140"/><Relationship Type="http://schemas.openxmlformats.org/officeDocument/2006/relationships/hyperlink" Target="https://www.cadence.com/content/dam/cadence-www/global/en_US/documents/company/investors/3q24-cfo-commentary.pdf" TargetMode="External" Id="rId141"/><Relationship Type="http://schemas.openxmlformats.org/officeDocument/2006/relationships/hyperlink" Target="https://www.cadence.com/content/dam/cadence-www/global/en_US/documents/company/investors/3q24-cfo-commentary.pdf" TargetMode="External" Id="rId142"/><Relationship Type="http://schemas.openxmlformats.org/officeDocument/2006/relationships/hyperlink" Target="https://www.cadence.com/content/dam/cadence-www/global/en_US/documents/company/investors/3q24-cfo-commentary.pdf" TargetMode="External" Id="rId143"/><Relationship Type="http://schemas.openxmlformats.org/officeDocument/2006/relationships/hyperlink" Target="https://www.cadence.com/content/dam/cadence-www/global/en_US/documents/company/investors/3q24-cfo-commentary.pdf" TargetMode="External" Id="rId144"/><Relationship Type="http://schemas.openxmlformats.org/officeDocument/2006/relationships/hyperlink" Target="https://www.cadence.com/content/dam/cadence-www/global/en_US/documents/company/investors/3q24-cfo-commentary.pdf" TargetMode="External" Id="rId145"/><Relationship Type="http://schemas.openxmlformats.org/officeDocument/2006/relationships/hyperlink" Target="https://www.cadence.com/content/dam/cadence-www/global/en_US/documents/company/investors/3q24-cfo-commentary.pdf" TargetMode="External" Id="rId146"/><Relationship Type="http://schemas.openxmlformats.org/officeDocument/2006/relationships/hyperlink" Target="https://www.cadence.com/content/dam/cadence-www/global/en_US/documents/company/investors/3q24-cfo-commentary.pdf" TargetMode="External" Id="rId147"/><Relationship Type="http://schemas.openxmlformats.org/officeDocument/2006/relationships/hyperlink" Target="https://www.cadence.com/content/dam/cadence-www/global/en_US/documents/company/investors/2q24-cfo-commentary.pdf" TargetMode="External" Id="rId148"/><Relationship Type="http://schemas.openxmlformats.org/officeDocument/2006/relationships/hyperlink" Target="https://www.cadence.com/content/dam/cadence-www/global/en_US/documents/company/investors/2q24-cfo-commentary.pdf" TargetMode="External" Id="rId149"/><Relationship Type="http://schemas.openxmlformats.org/officeDocument/2006/relationships/hyperlink" Target="https://www.cadence.com/content/dam/cadence-www/global/en_US/documents/company/investors/2q24-cfo-commentary.pdf" TargetMode="External" Id="rId150"/><Relationship Type="http://schemas.openxmlformats.org/officeDocument/2006/relationships/hyperlink" Target="https://www.cadence.com/content/dam/cadence-www/global/en_US/documents/company/investors/2q24-cfo-commentary.pdf" TargetMode="External" Id="rId151"/><Relationship Type="http://schemas.openxmlformats.org/officeDocument/2006/relationships/hyperlink" Target="https://www.cadence.com/content/dam/cadence-www/global/en_US/documents/company/investors/2q24-cfo-commentary.pdf" TargetMode="External" Id="rId152"/><Relationship Type="http://schemas.openxmlformats.org/officeDocument/2006/relationships/hyperlink" Target="https://www.cadence.com/content/dam/cadence-www/global/en_US/documents/company/investors/2q24-cfo-commentary.pdf" TargetMode="External" Id="rId153"/><Relationship Type="http://schemas.openxmlformats.org/officeDocument/2006/relationships/hyperlink" Target="https://www.cadence.com/content/dam/cadence-www/global/en_US/documents/company/investors/2q24-cfo-commentary.pdf" TargetMode="External" Id="rId154"/><Relationship Type="http://schemas.openxmlformats.org/officeDocument/2006/relationships/hyperlink" Target="https://www.cadence.com/content/dam/cadence-www/global/en_US/documents/company/investors/2q24-cfo-commentary.pdf" TargetMode="External" Id="rId155"/><Relationship Type="http://schemas.openxmlformats.org/officeDocument/2006/relationships/hyperlink" Target="https://www.cadence.com/content/dam/cadence-www/global/en_US/documents/company/investors/2q24-cfo-commentary.pdf" TargetMode="External" Id="rId156"/><Relationship Type="http://schemas.openxmlformats.org/officeDocument/2006/relationships/hyperlink" Target="https://www.cadence.com/content/dam/cadence-www/global/en_US/documents/company/investors/2q24-cfo-commentary.pdf" TargetMode="External" Id="rId157"/><Relationship Type="http://schemas.openxmlformats.org/officeDocument/2006/relationships/hyperlink" Target="https://www.cadence.com/content/dam/cadence-www/global/en_US/documents/company/investors/2q24-cfo-commentary.pdf" TargetMode="External" Id="rId158"/><Relationship Type="http://schemas.openxmlformats.org/officeDocument/2006/relationships/hyperlink" Target="https://www.cadence.com/content/dam/cadence-www/global/en_US/documents/company/investors/2q24-cfo-commentary.pdf" TargetMode="External" Id="rId159"/><Relationship Type="http://schemas.openxmlformats.org/officeDocument/2006/relationships/hyperlink" Target="https://www.cadence.com/content/dam/cadence-www/global/en_US/documents/company/investors/2q24-cfo-commentary.pdf" TargetMode="External" Id="rId160"/><Relationship Type="http://schemas.openxmlformats.org/officeDocument/2006/relationships/hyperlink" Target="https://www.cadence.com/content/dam/cadence-www/global/en_US/documents/company/investors/2q24-cfo-commentary.pdf" TargetMode="External" Id="rId161"/><Relationship Type="http://schemas.openxmlformats.org/officeDocument/2006/relationships/hyperlink" Target="https://www.cadence.com/content/dam/cadence-www/global/en_US/documents/company/investors/2q24-cfo-commentary.pdf" TargetMode="External" Id="rId162"/><Relationship Type="http://schemas.openxmlformats.org/officeDocument/2006/relationships/hyperlink" Target="https://www.cadence.com/content/dam/cadence-www/global/en_US/documents/company/investors/2q24-cfo-commentary.pdf" TargetMode="External" Id="rId163"/><Relationship Type="http://schemas.openxmlformats.org/officeDocument/2006/relationships/hyperlink" Target="https://www.cadence.com/content/dam/cadence-www/global/en_US/documents/company/investors/2q24-cfo-commentary.pdf" TargetMode="External" Id="rId164"/><Relationship Type="http://schemas.openxmlformats.org/officeDocument/2006/relationships/hyperlink" Target="https://www.cadence.com/content/dam/cadence-www/global/en_US/documents/company/investors/2q24-cfo-commentary.pdf" TargetMode="External" Id="rId165"/><Relationship Type="http://schemas.openxmlformats.org/officeDocument/2006/relationships/hyperlink" Target="https://www.cadence.com/content/dam/cadence-www/global/en_US/documents/company/investors/2q24-cfo-commentary.pdf" TargetMode="External" Id="rId166"/><Relationship Type="http://schemas.openxmlformats.org/officeDocument/2006/relationships/hyperlink" Target="https://www.cadence.com/content/dam/cadence-www/global/en_US/documents/company/investors/2q24-cfo-commentary.pdf" TargetMode="External" Id="rId167"/><Relationship Type="http://schemas.openxmlformats.org/officeDocument/2006/relationships/hyperlink" Target="https://www.cadence.com/content/dam/cadence-www/global/en_US/documents/company/investors/2q24-cfo-commentary.pdf" TargetMode="External" Id="rId168"/><Relationship Type="http://schemas.openxmlformats.org/officeDocument/2006/relationships/hyperlink" Target="https://www.cadence.com/content/dam/cadence-www/global/en_US/documents/company/investors/2q24-cfo-commentary.pdf" TargetMode="External" Id="rId169"/><Relationship Type="http://schemas.openxmlformats.org/officeDocument/2006/relationships/hyperlink" Target="https://www.cadence.com/content/dam/cadence-www/global/en_US/documents/company/investors/2q24-cfo-commentary.pdf" TargetMode="External" Id="rId170"/><Relationship Type="http://schemas.openxmlformats.org/officeDocument/2006/relationships/hyperlink" Target="https://www.cadence.com/content/dam/cadence-www/global/en_US/documents/company/investors/2q24-cfo-commentary.pdf" TargetMode="External" Id="rId171"/><Relationship Type="http://schemas.openxmlformats.org/officeDocument/2006/relationships/hyperlink" Target="https://www.cadence.com/content/dam/cadence-www/global/en_US/documents/company/investors/2q24-cfo-commentary.pdf" TargetMode="External" Id="rId172"/><Relationship Type="http://schemas.openxmlformats.org/officeDocument/2006/relationships/hyperlink" Target="https://www.cadence.com/content/dam/cadence-www/global/en_US/documents/company/investors/2q24-cfo-commentary.pdf" TargetMode="External" Id="rId173"/><Relationship Type="http://schemas.openxmlformats.org/officeDocument/2006/relationships/hyperlink" Target="https://www.cadence.com/content/dam/cadence-www/global/en_US/documents/company/investors/2q24-cfo-commentary.pdf" TargetMode="External" Id="rId174"/><Relationship Type="http://schemas.openxmlformats.org/officeDocument/2006/relationships/hyperlink" Target="https://www.cadence.com/content/dam/cadence-www/global/en_US/documents/company/investors/2q24-cfo-commentary.pdf" TargetMode="External" Id="rId175"/><Relationship Type="http://schemas.openxmlformats.org/officeDocument/2006/relationships/hyperlink" Target="https://www.cadence.com/content/dam/cadence-www/global/en_US/documents/company/investors/2q24-cfo-commentary.pdf" TargetMode="External" Id="rId176"/><Relationship Type="http://schemas.openxmlformats.org/officeDocument/2006/relationships/hyperlink" Target="https://www.cadence.com/content/dam/cadence-www/global/en_US/documents/company/investors/1q24-cfo-commentary.pdf" TargetMode="External" Id="rId177"/><Relationship Type="http://schemas.openxmlformats.org/officeDocument/2006/relationships/hyperlink" Target="https://www.cadence.com/content/dam/cadence-www/global/en_US/documents/company/investors/1q24-cfo-commentary.pdf" TargetMode="External" Id="rId178"/><Relationship Type="http://schemas.openxmlformats.org/officeDocument/2006/relationships/hyperlink" Target="https://www.cadence.com/content/dam/cadence-www/global/en_US/documents/company/investors/1q24-cfo-commentary.pdf" TargetMode="External" Id="rId179"/><Relationship Type="http://schemas.openxmlformats.org/officeDocument/2006/relationships/hyperlink" Target="https://www.cadence.com/content/dam/cadence-www/global/en_US/documents/company/investors/1q24-cfo-commentary.pdf" TargetMode="External" Id="rId180"/><Relationship Type="http://schemas.openxmlformats.org/officeDocument/2006/relationships/hyperlink" Target="https://www.cadence.com/content/dam/cadence-www/global/en_US/documents/company/investors/1q24-cfo-commentary.pdf" TargetMode="External" Id="rId181"/><Relationship Type="http://schemas.openxmlformats.org/officeDocument/2006/relationships/hyperlink" Target="https://www.cadence.com/content/dam/cadence-www/global/en_US/documents/company/investors/1q24-cfo-commentary.pdf" TargetMode="External" Id="rId182"/><Relationship Type="http://schemas.openxmlformats.org/officeDocument/2006/relationships/hyperlink" Target="https://www.cadence.com/content/dam/cadence-www/global/en_US/documents/company/investors/1q24-cfo-commentary.pdf" TargetMode="External" Id="rId183"/><Relationship Type="http://schemas.openxmlformats.org/officeDocument/2006/relationships/hyperlink" Target="https://www.cadence.com/content/dam/cadence-www/global/en_US/documents/company/investors/1q24-cfo-commentary.pdf" TargetMode="External" Id="rId184"/><Relationship Type="http://schemas.openxmlformats.org/officeDocument/2006/relationships/hyperlink" Target="https://www.cadence.com/content/dam/cadence-www/global/en_US/documents/company/investors/1q24-cfo-commentary.pdf" TargetMode="External" Id="rId185"/><Relationship Type="http://schemas.openxmlformats.org/officeDocument/2006/relationships/hyperlink" Target="https://www.cadence.com/content/dam/cadence-www/global/en_US/documents/company/investors/1q24-cfo-commentary.pdf" TargetMode="External" Id="rId186"/><Relationship Type="http://schemas.openxmlformats.org/officeDocument/2006/relationships/hyperlink" Target="https://www.cadence.com/content/dam/cadence-www/global/en_US/documents/company/investors/1q24-cfo-commentary.pdf" TargetMode="External" Id="rId187"/><Relationship Type="http://schemas.openxmlformats.org/officeDocument/2006/relationships/hyperlink" Target="https://www.cadence.com/content/dam/cadence-www/global/en_US/documents/company/investors/1q24-cfo-commentary.pdf" TargetMode="External" Id="rId188"/><Relationship Type="http://schemas.openxmlformats.org/officeDocument/2006/relationships/hyperlink" Target="https://www.cadence.com/content/dam/cadence-www/global/en_US/documents/company/investors/1q24-cfo-commentary.pdf" TargetMode="External" Id="rId189"/><Relationship Type="http://schemas.openxmlformats.org/officeDocument/2006/relationships/hyperlink" Target="https://www.cadence.com/content/dam/cadence-www/global/en_US/documents/company/investors/1q24-cfo-commentary.pdf" TargetMode="External" Id="rId190"/><Relationship Type="http://schemas.openxmlformats.org/officeDocument/2006/relationships/hyperlink" Target="https://www.cadence.com/content/dam/cadence-www/global/en_US/documents/company/investors/1q24-cfo-commentary.pdf" TargetMode="External" Id="rId191"/><Relationship Type="http://schemas.openxmlformats.org/officeDocument/2006/relationships/hyperlink" Target="https://www.cadence.com/content/dam/cadence-www/global/en_US/documents/company/investors/1q24-cfo-commentary.pdf" TargetMode="External" Id="rId192"/><Relationship Type="http://schemas.openxmlformats.org/officeDocument/2006/relationships/hyperlink" Target="https://www.cadence.com/content/dam/cadence-www/global/en_US/documents/company/investors/1q24-cfo-commentary.pdf" TargetMode="External" Id="rId193"/><Relationship Type="http://schemas.openxmlformats.org/officeDocument/2006/relationships/hyperlink" Target="https://www.cadence.com/content/dam/cadence-www/global/en_US/documents/company/investors/1q24-cfo-commentary.pdf" TargetMode="External" Id="rId194"/><Relationship Type="http://schemas.openxmlformats.org/officeDocument/2006/relationships/hyperlink" Target="https://www.cadence.com/content/dam/cadence-www/global/en_US/documents/company/investors/1q24-cfo-commentary.pdf" TargetMode="External" Id="rId195"/><Relationship Type="http://schemas.openxmlformats.org/officeDocument/2006/relationships/hyperlink" Target="https://www.cadence.com/content/dam/cadence-www/global/en_US/documents/company/investors/1q24-cfo-commentary.pdf" TargetMode="External" Id="rId196"/><Relationship Type="http://schemas.openxmlformats.org/officeDocument/2006/relationships/hyperlink" Target="https://www.cadence.com/content/dam/cadence-www/global/en_US/documents/company/investors/1q24-cfo-commentary.pdf" TargetMode="External" Id="rId197"/><Relationship Type="http://schemas.openxmlformats.org/officeDocument/2006/relationships/hyperlink" Target="https://www.cadence.com/content/dam/cadence-www/global/en_US/documents/company/investors/1q24-cfo-commentary.pdf" TargetMode="External" Id="rId198"/><Relationship Type="http://schemas.openxmlformats.org/officeDocument/2006/relationships/hyperlink" Target="https://www.cadence.com/content/dam/cadence-www/global/en_US/documents/company/investors/1q24-cfo-commentary.pdf" TargetMode="External" Id="rId199"/><Relationship Type="http://schemas.openxmlformats.org/officeDocument/2006/relationships/hyperlink" Target="https://www.cadence.com/content/dam/cadence-www/global/en_US/documents/company/investors/1q24-cfo-commentary.pdf" TargetMode="External" Id="rId200"/><Relationship Type="http://schemas.openxmlformats.org/officeDocument/2006/relationships/hyperlink" Target="https://www.cadence.com/content/dam/cadence-www/global/en_US/documents/company/investors/1q24-cfo-commentary.pdf" TargetMode="External" Id="rId201"/><Relationship Type="http://schemas.openxmlformats.org/officeDocument/2006/relationships/hyperlink" Target="https://www.cadence.com/content/dam/cadence-www/global/en_US/documents/company/investors/1q24-cfo-commentary.pdf" TargetMode="External" Id="rId202"/><Relationship Type="http://schemas.openxmlformats.org/officeDocument/2006/relationships/hyperlink" Target="https://www.cadence.com/content/dam/cadence-www/global/en_US/documents/company/investors/1q24-cfo-commentary.pdf" TargetMode="External" Id="rId203"/><Relationship Type="http://schemas.openxmlformats.org/officeDocument/2006/relationships/hyperlink" Target="https://www.cadence.com/content/dam/cadence-www/global/en_US/documents/company/investors/1q24-cfo-commentary.pdf" TargetMode="External" Id="rId204"/><Relationship Type="http://schemas.openxmlformats.org/officeDocument/2006/relationships/hyperlink" Target="https://www.cadence.com/content/dam/cadence-www/global/en_US/documents/company/investors/1q24-cfo-commentary.pdf" TargetMode="External" Id="rId205"/><Relationship Type="http://schemas.openxmlformats.org/officeDocument/2006/relationships/hyperlink" Target="https://www.cadence.com/content/dam/cadence-www/global/en_US/documents/company/investors/4q23-cfo-commentary.pdf" TargetMode="External" Id="rId206"/><Relationship Type="http://schemas.openxmlformats.org/officeDocument/2006/relationships/hyperlink" Target="https://www.cadence.com/content/dam/cadence-www/global/en_US/documents/company/investors/4q23-cfo-commentary.pdf" TargetMode="External" Id="rId207"/><Relationship Type="http://schemas.openxmlformats.org/officeDocument/2006/relationships/hyperlink" Target="https://www.cadence.com/content/dam/cadence-www/global/en_US/documents/company/investors/4q23-cfo-commentary.pdf" TargetMode="External" Id="rId208"/><Relationship Type="http://schemas.openxmlformats.org/officeDocument/2006/relationships/hyperlink" Target="https://www.cadence.com/content/dam/cadence-www/global/en_US/documents/company/investors/4q23-cfo-commentary.pdf" TargetMode="External" Id="rId209"/><Relationship Type="http://schemas.openxmlformats.org/officeDocument/2006/relationships/hyperlink" Target="https://www.cadence.com/content/dam/cadence-www/global/en_US/documents/company/investors/4q23-cfo-commentary.pdf" TargetMode="External" Id="rId210"/><Relationship Type="http://schemas.openxmlformats.org/officeDocument/2006/relationships/hyperlink" Target="https://www.cadence.com/content/dam/cadence-www/global/en_US/documents/company/investors/4q23-cfo-commentary.pdf" TargetMode="External" Id="rId211"/><Relationship Type="http://schemas.openxmlformats.org/officeDocument/2006/relationships/hyperlink" Target="https://www.cadence.com/content/dam/cadence-www/global/en_US/documents/company/investors/4q23-cfo-commentary.pdf" TargetMode="External" Id="rId212"/><Relationship Type="http://schemas.openxmlformats.org/officeDocument/2006/relationships/hyperlink" Target="https://www.cadence.com/content/dam/cadence-www/global/en_US/documents/company/investors/4q23-cfo-commentary.pdf" TargetMode="External" Id="rId213"/><Relationship Type="http://schemas.openxmlformats.org/officeDocument/2006/relationships/hyperlink" Target="https://www.cadence.com/content/dam/cadence-www/global/en_US/documents/company/investors/4q23-cfo-commentary.pdf" TargetMode="External" Id="rId214"/><Relationship Type="http://schemas.openxmlformats.org/officeDocument/2006/relationships/hyperlink" Target="https://www.cadence.com/content/dam/cadence-www/global/en_US/documents/company/investors/4q23-cfo-commentary.pdf" TargetMode="External" Id="rId215"/><Relationship Type="http://schemas.openxmlformats.org/officeDocument/2006/relationships/hyperlink" Target="https://www.cadence.com/content/dam/cadence-www/global/en_US/documents/company/investors/4q23-cfo-commentary.pdf" TargetMode="External" Id="rId216"/><Relationship Type="http://schemas.openxmlformats.org/officeDocument/2006/relationships/hyperlink" Target="https://www.cadence.com/content/dam/cadence-www/global/en_US/documents/company/investors/4q23-cfo-commentary.pdf" TargetMode="External" Id="rId217"/><Relationship Type="http://schemas.openxmlformats.org/officeDocument/2006/relationships/hyperlink" Target="https://www.cadence.com/content/dam/cadence-www/global/en_US/documents/company/investors/4q23-cfo-commentary.pdf" TargetMode="External" Id="rId218"/><Relationship Type="http://schemas.openxmlformats.org/officeDocument/2006/relationships/hyperlink" Target="https://www.cadence.com/content/dam/cadence-www/global/en_US/documents/company/investors/4q23-cfo-commentary.pdf" TargetMode="External" Id="rId219"/><Relationship Type="http://schemas.openxmlformats.org/officeDocument/2006/relationships/hyperlink" Target="https://www.cadence.com/content/dam/cadence-www/global/en_US/documents/company/investors/4q23-cfo-commentary.pdf" TargetMode="External" Id="rId220"/><Relationship Type="http://schemas.openxmlformats.org/officeDocument/2006/relationships/hyperlink" Target="https://www.cadence.com/content/dam/cadence-www/global/en_US/documents/company/investors/4q23-cfo-commentary.pdf" TargetMode="External" Id="rId221"/><Relationship Type="http://schemas.openxmlformats.org/officeDocument/2006/relationships/hyperlink" Target="https://www.cadence.com/content/dam/cadence-www/global/en_US/documents/company/investors/4q23-cfo-commentary.pdf" TargetMode="External" Id="rId222"/><Relationship Type="http://schemas.openxmlformats.org/officeDocument/2006/relationships/hyperlink" Target="https://www.cadence.com/content/dam/cadence-www/global/en_US/documents/company/investors/4q23-cfo-commentary.pdf" TargetMode="External" Id="rId223"/><Relationship Type="http://schemas.openxmlformats.org/officeDocument/2006/relationships/hyperlink" Target="https://www.cadence.com/content/dam/cadence-www/global/en_US/documents/company/investors/4q23-cfo-commentary.pdf" TargetMode="External" Id="rId224"/><Relationship Type="http://schemas.openxmlformats.org/officeDocument/2006/relationships/hyperlink" Target="https://www.cadence.com/content/dam/cadence-www/global/en_US/documents/company/investors/4q23-cfo-commentary.pdf" TargetMode="External" Id="rId225"/><Relationship Type="http://schemas.openxmlformats.org/officeDocument/2006/relationships/hyperlink" Target="https://www.cadence.com/content/dam/cadence-www/global/en_US/documents/company/investors/4q23-cfo-commentary.pdf" TargetMode="External" Id="rId226"/><Relationship Type="http://schemas.openxmlformats.org/officeDocument/2006/relationships/hyperlink" Target="https://www.cadence.com/content/dam/cadence-www/global/en_US/documents/company/investors/4q23-cfo-commentary.pdf" TargetMode="External" Id="rId227"/><Relationship Type="http://schemas.openxmlformats.org/officeDocument/2006/relationships/hyperlink" Target="https://www.cadence.com/content/dam/cadence-www/global/en_US/documents/company/investors/4q23-cfo-commentary.pdf" TargetMode="External" Id="rId228"/><Relationship Type="http://schemas.openxmlformats.org/officeDocument/2006/relationships/hyperlink" Target="https://www.cadence.com/content/dam/cadence-www/global/en_US/documents/company/investors/4q23-cfo-commentary.pdf" TargetMode="External" Id="rId229"/><Relationship Type="http://schemas.openxmlformats.org/officeDocument/2006/relationships/hyperlink" Target="https://www.cadence.com/content/dam/cadence-www/global/en_US/documents/company/investors/4q23-cfo-commentary.pdf" TargetMode="External" Id="rId230"/><Relationship Type="http://schemas.openxmlformats.org/officeDocument/2006/relationships/hyperlink" Target="https://www.cadence.com/content/dam/cadence-www/global/en_US/documents/company/investors/4q23-cfo-commentary.pdf" TargetMode="External" Id="rId231"/><Relationship Type="http://schemas.openxmlformats.org/officeDocument/2006/relationships/hyperlink" Target="https://www.cadence.com/content/dam/cadence-www/global/en_US/documents/company/investors/4q23-cfo-commentary.pdf" TargetMode="External" Id="rId232"/><Relationship Type="http://schemas.openxmlformats.org/officeDocument/2006/relationships/hyperlink" Target="https://www.cadence.com/content/dam/cadence-www/global/en_US/documents/company/investors/4q23-cfo-commentary.pdf" TargetMode="External" Id="rId233"/><Relationship Type="http://schemas.openxmlformats.org/officeDocument/2006/relationships/hyperlink" Target="https://www.cadence.com/content/dam/cadence-www/global/en_US/documents/company/investors/4q23-cfo-commentary.pdf" TargetMode="External" Id="rId234"/><Relationship Type="http://schemas.openxmlformats.org/officeDocument/2006/relationships/hyperlink" Target="https://www.cadence.com/content/dam/cadence-www/global/en_US/documents/company/investors/3q23-cfo-commentary.pdf" TargetMode="External" Id="rId235"/><Relationship Type="http://schemas.openxmlformats.org/officeDocument/2006/relationships/hyperlink" Target="https://www.cadence.com/content/dam/cadence-www/global/en_US/documents/company/investors/3q23-cfo-commentary.pdf" TargetMode="External" Id="rId236"/><Relationship Type="http://schemas.openxmlformats.org/officeDocument/2006/relationships/hyperlink" Target="https://www.cadence.com/content/dam/cadence-www/global/en_US/documents/company/investors/3q23-cfo-commentary.pdf" TargetMode="External" Id="rId237"/><Relationship Type="http://schemas.openxmlformats.org/officeDocument/2006/relationships/hyperlink" Target="https://www.cadence.com/content/dam/cadence-www/global/en_US/documents/company/investors/3q23-cfo-commentary.pdf" TargetMode="External" Id="rId238"/><Relationship Type="http://schemas.openxmlformats.org/officeDocument/2006/relationships/hyperlink" Target="https://www.cadence.com/content/dam/cadence-www/global/en_US/documents/company/investors/3q23-cfo-commentary.pdf" TargetMode="External" Id="rId239"/><Relationship Type="http://schemas.openxmlformats.org/officeDocument/2006/relationships/hyperlink" Target="https://www.cadence.com/content/dam/cadence-www/global/en_US/documents/company/investors/3q23-cfo-commentary.pdf" TargetMode="External" Id="rId240"/><Relationship Type="http://schemas.openxmlformats.org/officeDocument/2006/relationships/hyperlink" Target="https://www.cadence.com/content/dam/cadence-www/global/en_US/documents/company/investors/3q23-cfo-commentary.pdf" TargetMode="External" Id="rId241"/><Relationship Type="http://schemas.openxmlformats.org/officeDocument/2006/relationships/hyperlink" Target="https://www.cadence.com/content/dam/cadence-www/global/en_US/documents/company/investors/3q23-cfo-commentary.pdf" TargetMode="External" Id="rId242"/><Relationship Type="http://schemas.openxmlformats.org/officeDocument/2006/relationships/hyperlink" Target="https://www.cadence.com/content/dam/cadence-www/global/en_US/documents/company/investors/3q23-cfo-commentary.pdf" TargetMode="External" Id="rId243"/><Relationship Type="http://schemas.openxmlformats.org/officeDocument/2006/relationships/hyperlink" Target="https://www.cadence.com/content/dam/cadence-www/global/en_US/documents/company/investors/3q23-cfo-commentary.pdf" TargetMode="External" Id="rId244"/><Relationship Type="http://schemas.openxmlformats.org/officeDocument/2006/relationships/hyperlink" Target="https://www.cadence.com/content/dam/cadence-www/global/en_US/documents/company/investors/3q23-cfo-commentary.pdf" TargetMode="External" Id="rId245"/><Relationship Type="http://schemas.openxmlformats.org/officeDocument/2006/relationships/hyperlink" Target="https://www.cadence.com/content/dam/cadence-www/global/en_US/documents/company/investors/3q23-cfo-commentary.pdf" TargetMode="External" Id="rId246"/><Relationship Type="http://schemas.openxmlformats.org/officeDocument/2006/relationships/hyperlink" Target="https://www.cadence.com/content/dam/cadence-www/global/en_US/documents/company/investors/3q23-cfo-commentary.pdf" TargetMode="External" Id="rId247"/><Relationship Type="http://schemas.openxmlformats.org/officeDocument/2006/relationships/hyperlink" Target="https://www.cadence.com/content/dam/cadence-www/global/en_US/documents/company/investors/3q23-cfo-commentary.pdf" TargetMode="External" Id="rId248"/><Relationship Type="http://schemas.openxmlformats.org/officeDocument/2006/relationships/hyperlink" Target="https://www.cadence.com/content/dam/cadence-www/global/en_US/documents/company/investors/3q23-cfo-commentary.pdf" TargetMode="External" Id="rId249"/><Relationship Type="http://schemas.openxmlformats.org/officeDocument/2006/relationships/hyperlink" Target="https://www.cadence.com/content/dam/cadence-www/global/en_US/documents/company/investors/3q23-cfo-commentary.pdf" TargetMode="External" Id="rId250"/><Relationship Type="http://schemas.openxmlformats.org/officeDocument/2006/relationships/hyperlink" Target="https://www.cadence.com/content/dam/cadence-www/global/en_US/documents/company/investors/3q23-cfo-commentary.pdf" TargetMode="External" Id="rId251"/><Relationship Type="http://schemas.openxmlformats.org/officeDocument/2006/relationships/hyperlink" Target="https://www.cadence.com/content/dam/cadence-www/global/en_US/documents/company/investors/3q23-cfo-commentary.pdf" TargetMode="External" Id="rId252"/><Relationship Type="http://schemas.openxmlformats.org/officeDocument/2006/relationships/hyperlink" Target="https://www.cadence.com/content/dam/cadence-www/global/en_US/documents/company/investors/3q23-cfo-commentary.pdf" TargetMode="External" Id="rId253"/><Relationship Type="http://schemas.openxmlformats.org/officeDocument/2006/relationships/hyperlink" Target="https://www.cadence.com/content/dam/cadence-www/global/en_US/documents/company/investors/3q23-cfo-commentary.pdf" TargetMode="External" Id="rId254"/><Relationship Type="http://schemas.openxmlformats.org/officeDocument/2006/relationships/hyperlink" Target="https://www.cadence.com/content/dam/cadence-www/global/en_US/documents/company/investors/3q23-cfo-commentary.pdf" TargetMode="External" Id="rId255"/><Relationship Type="http://schemas.openxmlformats.org/officeDocument/2006/relationships/hyperlink" Target="https://www.cadence.com/content/dam/cadence-www/global/en_US/documents/company/investors/3q23-cfo-commentary.pdf" TargetMode="External" Id="rId256"/><Relationship Type="http://schemas.openxmlformats.org/officeDocument/2006/relationships/hyperlink" Target="https://www.cadence.com/content/dam/cadence-www/global/en_US/documents/company/investors/3q23-cfo-commentary.pdf" TargetMode="External" Id="rId257"/><Relationship Type="http://schemas.openxmlformats.org/officeDocument/2006/relationships/hyperlink" Target="https://www.cadence.com/content/dam/cadence-www/global/en_US/documents/company/investors/3q23-cfo-commentary.pdf" TargetMode="External" Id="rId258"/><Relationship Type="http://schemas.openxmlformats.org/officeDocument/2006/relationships/hyperlink" Target="https://www.cadence.com/content/dam/cadence-www/global/en_US/documents/company/investors/3q23-cfo-commentary.pdf" TargetMode="External" Id="rId259"/><Relationship Type="http://schemas.openxmlformats.org/officeDocument/2006/relationships/hyperlink" Target="https://www.cadence.com/content/dam/cadence-www/global/en_US/documents/company/investors/3q23-cfo-commentary.pdf" TargetMode="External" Id="rId260"/><Relationship Type="http://schemas.openxmlformats.org/officeDocument/2006/relationships/hyperlink" Target="https://www.cadence.com/content/dam/cadence-www/global/en_US/documents/company/investors/3q23-cfo-commentary.pdf" TargetMode="External" Id="rId261"/><Relationship Type="http://schemas.openxmlformats.org/officeDocument/2006/relationships/hyperlink" Target="https://www.cadence.com/content/dam/cadence-www/global/en_US/documents/company/investors/3q23-cfo-commentary.pdf" TargetMode="External" Id="rId262"/><Relationship Type="http://schemas.openxmlformats.org/officeDocument/2006/relationships/hyperlink" Target="https://www.cadence.com/content/dam/cadence-www/global/en_US/documents/company/investors/3q23-cfo-commentary.pdf" TargetMode="External" Id="rId263"/><Relationship Type="http://schemas.openxmlformats.org/officeDocument/2006/relationships/hyperlink" Target="https://www.cadence.com/content/dam/cadence-www/global/en_US/documents/company/investors/3q22-cfo-commentary.pdf" TargetMode="External" Id="rId264"/><Relationship Type="http://schemas.openxmlformats.org/officeDocument/2006/relationships/hyperlink" Target="https://www.cadence.com/content/dam/cadence-www/global/en_US/documents/company/investors/2q23-cfo-commentary.pdf" TargetMode="External" Id="rId265"/><Relationship Type="http://schemas.openxmlformats.org/officeDocument/2006/relationships/hyperlink" Target="https://www.cadence.com/content/dam/cadence-www/global/en_US/documents/company/investors/2q23-cfo-commentary.pdf" TargetMode="External" Id="rId266"/><Relationship Type="http://schemas.openxmlformats.org/officeDocument/2006/relationships/hyperlink" Target="https://www.cadence.com/content/dam/cadence-www/global/en_US/documents/company/investors/2q23-cfo-commentary.pdf" TargetMode="External" Id="rId267"/><Relationship Type="http://schemas.openxmlformats.org/officeDocument/2006/relationships/hyperlink" Target="https://www.cadence.com/content/dam/cadence-www/global/en_US/documents/company/investors/2q23-cfo-commentary.pdf" TargetMode="External" Id="rId268"/><Relationship Type="http://schemas.openxmlformats.org/officeDocument/2006/relationships/hyperlink" Target="https://www.cadence.com/content/dam/cadence-www/global/en_US/documents/company/investors/2q23-cfo-commentary.pdf" TargetMode="External" Id="rId269"/><Relationship Type="http://schemas.openxmlformats.org/officeDocument/2006/relationships/hyperlink" Target="https://www.cadence.com/content/dam/cadence-www/global/en_US/documents/company/investors/2q23-cfo-commentary.pdf" TargetMode="External" Id="rId270"/><Relationship Type="http://schemas.openxmlformats.org/officeDocument/2006/relationships/hyperlink" Target="https://www.cadence.com/content/dam/cadence-www/global/en_US/documents/company/investors/2q23-cfo-commentary.pdf" TargetMode="External" Id="rId271"/><Relationship Type="http://schemas.openxmlformats.org/officeDocument/2006/relationships/hyperlink" Target="https://www.cadence.com/content/dam/cadence-www/global/en_US/documents/company/investors/2q23-cfo-commentary.pdf" TargetMode="External" Id="rId272"/><Relationship Type="http://schemas.openxmlformats.org/officeDocument/2006/relationships/hyperlink" Target="https://www.cadence.com/content/dam/cadence-www/global/en_US/documents/company/investors/2q23-cfo-commentary.pdf" TargetMode="External" Id="rId273"/><Relationship Type="http://schemas.openxmlformats.org/officeDocument/2006/relationships/hyperlink" Target="https://www.cadence.com/content/dam/cadence-www/global/en_US/documents/company/investors/2q23-cfo-commentary.pdf" TargetMode="External" Id="rId274"/><Relationship Type="http://schemas.openxmlformats.org/officeDocument/2006/relationships/hyperlink" Target="https://www.cadence.com/content/dam/cadence-www/global/en_US/documents/company/investors/2q23-cfo-commentary.pdf" TargetMode="External" Id="rId275"/><Relationship Type="http://schemas.openxmlformats.org/officeDocument/2006/relationships/hyperlink" Target="https://www.cadence.com/content/dam/cadence-www/global/en_US/documents/company/investors/2q23-cfo-commentary.pdf" TargetMode="External" Id="rId276"/><Relationship Type="http://schemas.openxmlformats.org/officeDocument/2006/relationships/hyperlink" Target="https://www.cadence.com/content/dam/cadence-www/global/en_US/documents/company/investors/2q23-cfo-commentary.pdf" TargetMode="External" Id="rId277"/><Relationship Type="http://schemas.openxmlformats.org/officeDocument/2006/relationships/hyperlink" Target="https://www.cadence.com/content/dam/cadence-www/global/en_US/documents/company/investors/2q23-cfo-commentary.pdf" TargetMode="External" Id="rId278"/><Relationship Type="http://schemas.openxmlformats.org/officeDocument/2006/relationships/hyperlink" Target="https://www.cadence.com/content/dam/cadence-www/global/en_US/documents/company/investors/2q23-cfo-commentary.pdf" TargetMode="External" Id="rId279"/><Relationship Type="http://schemas.openxmlformats.org/officeDocument/2006/relationships/hyperlink" Target="https://www.cadence.com/content/dam/cadence-www/global/en_US/documents/company/investors/2q23-cfo-commentary.pdf" TargetMode="External" Id="rId280"/><Relationship Type="http://schemas.openxmlformats.org/officeDocument/2006/relationships/hyperlink" Target="https://www.cadence.com/content/dam/cadence-www/global/en_US/documents/company/investors/2q23-cfo-commentary.pdf" TargetMode="External" Id="rId281"/><Relationship Type="http://schemas.openxmlformats.org/officeDocument/2006/relationships/hyperlink" Target="https://www.cadence.com/content/dam/cadence-www/global/en_US/documents/company/investors/2q23-cfo-commentary.pdf" TargetMode="External" Id="rId282"/><Relationship Type="http://schemas.openxmlformats.org/officeDocument/2006/relationships/hyperlink" Target="https://www.cadence.com/content/dam/cadence-www/global/en_US/documents/company/investors/2q23-cfo-commentary.pdf" TargetMode="External" Id="rId283"/><Relationship Type="http://schemas.openxmlformats.org/officeDocument/2006/relationships/hyperlink" Target="https://www.cadence.com/content/dam/cadence-www/global/en_US/documents/company/investors/2q23-cfo-commentary.pdf" TargetMode="External" Id="rId284"/><Relationship Type="http://schemas.openxmlformats.org/officeDocument/2006/relationships/hyperlink" Target="https://www.cadence.com/content/dam/cadence-www/global/en_US/documents/company/investors/2q23-cfo-commentary.pdf" TargetMode="External" Id="rId285"/><Relationship Type="http://schemas.openxmlformats.org/officeDocument/2006/relationships/hyperlink" Target="https://www.cadence.com/content/dam/cadence-www/global/en_US/documents/company/investors/2q23-cfo-commentary.pdf" TargetMode="External" Id="rId286"/><Relationship Type="http://schemas.openxmlformats.org/officeDocument/2006/relationships/hyperlink" Target="https://www.cadence.com/content/dam/cadence-www/global/en_US/documents/company/investors/2q23-cfo-commentary.pdf" TargetMode="External" Id="rId287"/><Relationship Type="http://schemas.openxmlformats.org/officeDocument/2006/relationships/hyperlink" Target="https://www.cadence.com/content/dam/cadence-www/global/en_US/documents/company/investors/2q23-cfo-commentary.pdf" TargetMode="External" Id="rId288"/><Relationship Type="http://schemas.openxmlformats.org/officeDocument/2006/relationships/hyperlink" Target="https://www.cadence.com/content/dam/cadence-www/global/en_US/documents/company/investors/2q23-cfo-commentary.pdf" TargetMode="External" Id="rId289"/><Relationship Type="http://schemas.openxmlformats.org/officeDocument/2006/relationships/hyperlink" Target="https://www.cadence.com/content/dam/cadence-www/global/en_US/documents/company/investors/2q23-cfo-commentary.pdf" TargetMode="External" Id="rId290"/><Relationship Type="http://schemas.openxmlformats.org/officeDocument/2006/relationships/hyperlink" Target="https://www.cadence.com/content/dam/cadence-www/global/en_US/documents/company/investors/2q23-cfo-commentary.pdf" TargetMode="External" Id="rId291"/><Relationship Type="http://schemas.openxmlformats.org/officeDocument/2006/relationships/hyperlink" Target="https://www.cadence.com/content/dam/cadence-www/global/en_US/documents/company/investors/2q23-cfo-commentary.pdf" TargetMode="External" Id="rId292"/><Relationship Type="http://schemas.openxmlformats.org/officeDocument/2006/relationships/hyperlink" Target="https://www.cadence.com/content/dam/cadence-www/global/en_US/documents/company/investors/1q23-cfo-commentary.pdf" TargetMode="External" Id="rId293"/><Relationship Type="http://schemas.openxmlformats.org/officeDocument/2006/relationships/hyperlink" Target="https://www.cadence.com/content/dam/cadence-www/global/en_US/documents/company/investors/1q23-cfo-commentary.pdf" TargetMode="External" Id="rId294"/><Relationship Type="http://schemas.openxmlformats.org/officeDocument/2006/relationships/hyperlink" Target="https://www.cadence.com/content/dam/cadence-www/global/en_US/documents/company/investors/1q23-cfo-commentary.pdf" TargetMode="External" Id="rId295"/><Relationship Type="http://schemas.openxmlformats.org/officeDocument/2006/relationships/hyperlink" Target="https://www.cadence.com/content/dam/cadence-www/global/en_US/documents/company/investors/1q23-cfo-commentary.pdf" TargetMode="External" Id="rId296"/><Relationship Type="http://schemas.openxmlformats.org/officeDocument/2006/relationships/hyperlink" Target="https://www.cadence.com/content/dam/cadence-www/global/en_US/documents/company/investors/1q23-cfo-commentary.pdf" TargetMode="External" Id="rId297"/><Relationship Type="http://schemas.openxmlformats.org/officeDocument/2006/relationships/hyperlink" Target="https://www.cadence.com/content/dam/cadence-www/global/en_US/documents/company/investors/1q23-cfo-commentary.pdf" TargetMode="External" Id="rId298"/><Relationship Type="http://schemas.openxmlformats.org/officeDocument/2006/relationships/hyperlink" Target="https://www.cadence.com/content/dam/cadence-www/global/en_US/documents/company/investors/1q23-cfo-commentary.pdf" TargetMode="External" Id="rId299"/><Relationship Type="http://schemas.openxmlformats.org/officeDocument/2006/relationships/hyperlink" Target="https://www.cadence.com/content/dam/cadence-www/global/en_US/documents/company/investors/1q23-cfo-commentary.pdf" TargetMode="External" Id="rId300"/><Relationship Type="http://schemas.openxmlformats.org/officeDocument/2006/relationships/hyperlink" Target="https://www.cadence.com/content/dam/cadence-www/global/en_US/documents/company/investors/1q23-cfo-commentary.pdf" TargetMode="External" Id="rId301"/><Relationship Type="http://schemas.openxmlformats.org/officeDocument/2006/relationships/hyperlink" Target="https://www.cadence.com/content/dam/cadence-www/global/en_US/documents/company/investors/1q23-cfo-commentary.pdf" TargetMode="External" Id="rId302"/><Relationship Type="http://schemas.openxmlformats.org/officeDocument/2006/relationships/hyperlink" Target="https://www.cadence.com/content/dam/cadence-www/global/en_US/documents/company/investors/1q23-cfo-commentary.pdf" TargetMode="External" Id="rId303"/><Relationship Type="http://schemas.openxmlformats.org/officeDocument/2006/relationships/hyperlink" Target="https://www.cadence.com/content/dam/cadence-www/global/en_US/documents/company/investors/1q23-cfo-commentary.pdf" TargetMode="External" Id="rId304"/><Relationship Type="http://schemas.openxmlformats.org/officeDocument/2006/relationships/hyperlink" Target="https://www.cadence.com/content/dam/cadence-www/global/en_US/documents/company/investors/1q23-cfo-commentary.pdf" TargetMode="External" Id="rId305"/><Relationship Type="http://schemas.openxmlformats.org/officeDocument/2006/relationships/hyperlink" Target="https://www.cadence.com/content/dam/cadence-www/global/en_US/documents/company/investors/1q23-cfo-commentary.pdf" TargetMode="External" Id="rId306"/><Relationship Type="http://schemas.openxmlformats.org/officeDocument/2006/relationships/hyperlink" Target="https://www.cadence.com/content/dam/cadence-www/global/en_US/documents/company/investors/1q23-cfo-commentary.pdf" TargetMode="External" Id="rId307"/><Relationship Type="http://schemas.openxmlformats.org/officeDocument/2006/relationships/hyperlink" Target="https://www.cadence.com/content/dam/cadence-www/global/en_US/documents/company/investors/1q23-cfo-commentary.pdf" TargetMode="External" Id="rId308"/><Relationship Type="http://schemas.openxmlformats.org/officeDocument/2006/relationships/hyperlink" Target="https://www.cadence.com/content/dam/cadence-www/global/en_US/documents/company/investors/1q23-cfo-commentary.pdf" TargetMode="External" Id="rId309"/><Relationship Type="http://schemas.openxmlformats.org/officeDocument/2006/relationships/hyperlink" Target="https://www.cadence.com/content/dam/cadence-www/global/en_US/documents/company/investors/1q23-cfo-commentary.pdf" TargetMode="External" Id="rId310"/><Relationship Type="http://schemas.openxmlformats.org/officeDocument/2006/relationships/hyperlink" Target="https://www.cadence.com/content/dam/cadence-www/global/en_US/documents/company/investors/1q23-cfo-commentary.pdf" TargetMode="External" Id="rId311"/><Relationship Type="http://schemas.openxmlformats.org/officeDocument/2006/relationships/hyperlink" Target="https://www.cadence.com/content/dam/cadence-www/global/en_US/documents/company/investors/1q23-cfo-commentary.pdf" TargetMode="External" Id="rId312"/><Relationship Type="http://schemas.openxmlformats.org/officeDocument/2006/relationships/hyperlink" Target="https://www.cadence.com/content/dam/cadence-www/global/en_US/documents/company/investors/1q23-cfo-commentary.pdf" TargetMode="External" Id="rId313"/><Relationship Type="http://schemas.openxmlformats.org/officeDocument/2006/relationships/hyperlink" Target="https://www.cadence.com/content/dam/cadence-www/global/en_US/documents/company/investors/1q23-cfo-commentary.pdf" TargetMode="External" Id="rId314"/><Relationship Type="http://schemas.openxmlformats.org/officeDocument/2006/relationships/hyperlink" Target="https://www.cadence.com/content/dam/cadence-www/global/en_US/documents/company/investors/1q23-cfo-commentary.pdf" TargetMode="External" Id="rId315"/><Relationship Type="http://schemas.openxmlformats.org/officeDocument/2006/relationships/hyperlink" Target="https://www.cadence.com/content/dam/cadence-www/global/en_US/documents/company/investors/1q23-cfo-commentary.pdf" TargetMode="External" Id="rId316"/><Relationship Type="http://schemas.openxmlformats.org/officeDocument/2006/relationships/hyperlink" Target="https://www.cadence.com/content/dam/cadence-www/global/en_US/documents/company/investors/1q23-cfo-commentary.pdf" TargetMode="External" Id="rId317"/><Relationship Type="http://schemas.openxmlformats.org/officeDocument/2006/relationships/hyperlink" Target="https://www.cadence.com/content/dam/cadence-www/global/en_US/documents/company/investors/1q23-cfo-commentary.pdf" TargetMode="External" Id="rId318"/><Relationship Type="http://schemas.openxmlformats.org/officeDocument/2006/relationships/hyperlink" Target="https://www.cadence.com/content/dam/cadence-www/global/en_US/documents/company/investors/1q23-cfo-commentary.pdf" TargetMode="External" Id="rId319"/><Relationship Type="http://schemas.openxmlformats.org/officeDocument/2006/relationships/hyperlink" Target="https://www.cadence.com/content/dam/cadence-www/global/en_US/documents/company/investors/1q23-cfo-commentary.pdf" TargetMode="External" Id="rId320"/><Relationship Type="http://schemas.openxmlformats.org/officeDocument/2006/relationships/hyperlink" Target="https://www.cadence.com/content/dam/cadence-www/global/en_US/documents/company/investors/1q23-cfo-commentary.pdf" TargetMode="External" Id="rId321"/><Relationship Type="http://schemas.openxmlformats.org/officeDocument/2006/relationships/hyperlink" Target="https://www.cadence.com/content/dam/cadence-www/global/en_US/documents/company/investors/4q22-cfo-commentary.pdf" TargetMode="External" Id="rId322"/><Relationship Type="http://schemas.openxmlformats.org/officeDocument/2006/relationships/hyperlink" Target="https://www.cadence.com/content/dam/cadence-www/global/en_US/documents/company/investors/4q22-cfo-commentary.pdf" TargetMode="External" Id="rId323"/><Relationship Type="http://schemas.openxmlformats.org/officeDocument/2006/relationships/hyperlink" Target="https://www.cadence.com/content/dam/cadence-www/global/en_US/documents/company/investors/4q22-cfo-commentary.pdf" TargetMode="External" Id="rId324"/><Relationship Type="http://schemas.openxmlformats.org/officeDocument/2006/relationships/hyperlink" Target="https://www.cadence.com/content/dam/cadence-www/global/en_US/documents/company/investors/4q22-cfo-commentary.pdf" TargetMode="External" Id="rId325"/><Relationship Type="http://schemas.openxmlformats.org/officeDocument/2006/relationships/hyperlink" Target="https://www.cadence.com/content/dam/cadence-www/global/en_US/documents/company/investors/4q22-cfo-commentary.pdf" TargetMode="External" Id="rId326"/><Relationship Type="http://schemas.openxmlformats.org/officeDocument/2006/relationships/hyperlink" Target="https://www.cadence.com/content/dam/cadence-www/global/en_US/documents/company/investors/4q22-cfo-commentary.pdf" TargetMode="External" Id="rId327"/><Relationship Type="http://schemas.openxmlformats.org/officeDocument/2006/relationships/hyperlink" Target="https://www.cadence.com/content/dam/cadence-www/global/en_US/documents/company/investors/4q22-cfo-commentary.pdf" TargetMode="External" Id="rId328"/><Relationship Type="http://schemas.openxmlformats.org/officeDocument/2006/relationships/hyperlink" Target="https://www.cadence.com/content/dam/cadence-www/global/en_US/documents/company/investors/4q22-cfo-commentary.pdf" TargetMode="External" Id="rId329"/><Relationship Type="http://schemas.openxmlformats.org/officeDocument/2006/relationships/hyperlink" Target="https://www.cadence.com/content/dam/cadence-www/global/en_US/documents/company/investors/4q22-cfo-commentary.pdf" TargetMode="External" Id="rId330"/><Relationship Type="http://schemas.openxmlformats.org/officeDocument/2006/relationships/hyperlink" Target="https://www.cadence.com/content/dam/cadence-www/global/en_US/documents/company/investors/4q22-cfo-commentary.pdf" TargetMode="External" Id="rId331"/><Relationship Type="http://schemas.openxmlformats.org/officeDocument/2006/relationships/hyperlink" Target="https://www.cadence.com/content/dam/cadence-www/global/en_US/documents/company/investors/4q22-cfo-commentary.pdf" TargetMode="External" Id="rId332"/><Relationship Type="http://schemas.openxmlformats.org/officeDocument/2006/relationships/hyperlink" Target="https://www.cadence.com/content/dam/cadence-www/global/en_US/documents/company/investors/4q22-cfo-commentary.pdf" TargetMode="External" Id="rId333"/><Relationship Type="http://schemas.openxmlformats.org/officeDocument/2006/relationships/hyperlink" Target="https://www.cadence.com/content/dam/cadence-www/global/en_US/documents/company/investors/4q22-cfo-commentary.pdf" TargetMode="External" Id="rId334"/><Relationship Type="http://schemas.openxmlformats.org/officeDocument/2006/relationships/hyperlink" Target="https://www.cadence.com/content/dam/cadence-www/global/en_US/documents/company/investors/4q22-cfo-commentary.pdf" TargetMode="External" Id="rId335"/><Relationship Type="http://schemas.openxmlformats.org/officeDocument/2006/relationships/hyperlink" Target="https://www.cadence.com/content/dam/cadence-www/global/en_US/documents/company/investors/4q22-cfo-commentary.pdf" TargetMode="External" Id="rId336"/><Relationship Type="http://schemas.openxmlformats.org/officeDocument/2006/relationships/hyperlink" Target="https://www.cadence.com/content/dam/cadence-www/global/en_US/documents/company/investors/4q22-cfo-commentary.pdf" TargetMode="External" Id="rId337"/><Relationship Type="http://schemas.openxmlformats.org/officeDocument/2006/relationships/hyperlink" Target="https://www.cadence.com/content/dam/cadence-www/global/en_US/documents/company/investors/4q22-cfo-commentary.pdf" TargetMode="External" Id="rId338"/><Relationship Type="http://schemas.openxmlformats.org/officeDocument/2006/relationships/hyperlink" Target="https://www.cadence.com/content/dam/cadence-www/global/en_US/documents/company/investors/4q22-cfo-commentary.pdf" TargetMode="External" Id="rId339"/><Relationship Type="http://schemas.openxmlformats.org/officeDocument/2006/relationships/hyperlink" Target="https://www.cadence.com/content/dam/cadence-www/global/en_US/documents/company/investors/4q22-cfo-commentary.pdf" TargetMode="External" Id="rId340"/><Relationship Type="http://schemas.openxmlformats.org/officeDocument/2006/relationships/hyperlink" Target="https://www.cadence.com/content/dam/cadence-www/global/en_US/documents/company/investors/4q22-cfo-commentary.pdf" TargetMode="External" Id="rId341"/><Relationship Type="http://schemas.openxmlformats.org/officeDocument/2006/relationships/hyperlink" Target="https://www.cadence.com/content/dam/cadence-www/global/en_US/documents/company/investors/4q22-cfo-commentary.pdf" TargetMode="External" Id="rId342"/><Relationship Type="http://schemas.openxmlformats.org/officeDocument/2006/relationships/hyperlink" Target="https://www.cadence.com/content/dam/cadence-www/global/en_US/documents/company/investors/4q22-cfo-commentary.pdf" TargetMode="External" Id="rId343"/><Relationship Type="http://schemas.openxmlformats.org/officeDocument/2006/relationships/hyperlink" Target="https://www.cadence.com/content/dam/cadence-www/global/en_US/documents/company/investors/4q22-cfo-commentary.pdf" TargetMode="External" Id="rId344"/><Relationship Type="http://schemas.openxmlformats.org/officeDocument/2006/relationships/hyperlink" Target="https://www.cadence.com/content/dam/cadence-www/global/en_US/documents/company/investors/4q22-cfo-commentary.pdf" TargetMode="External" Id="rId345"/><Relationship Type="http://schemas.openxmlformats.org/officeDocument/2006/relationships/hyperlink" Target="https://www.cadence.com/content/dam/cadence-www/global/en_US/documents/company/investors/4q22-cfo-commentary.pdf" TargetMode="External" Id="rId346"/><Relationship Type="http://schemas.openxmlformats.org/officeDocument/2006/relationships/hyperlink" Target="https://www.cadence.com/content/dam/cadence-www/global/en_US/documents/company/investors/4q22-cfo-commentary.pdf" TargetMode="External" Id="rId347"/><Relationship Type="http://schemas.openxmlformats.org/officeDocument/2006/relationships/hyperlink" Target="https://www.cadence.com/content/dam/cadence-www/global/en_US/documents/company/investors/4q22-cfo-commentary.pdf" TargetMode="External" Id="rId348"/><Relationship Type="http://schemas.openxmlformats.org/officeDocument/2006/relationships/hyperlink" Target="https://www.cadence.com/content/dam/cadence-www/global/en_US/documents/company/investors/4q22-cfo-commentary.pdf" TargetMode="External" Id="rId349"/><Relationship Type="http://schemas.openxmlformats.org/officeDocument/2006/relationships/hyperlink" Target="https://www.cadence.com/content/dam/cadence-www/global/en_US/documents/company/investors/4q22-cfo-commentary.pdf" TargetMode="External" Id="rId350"/><Relationship Type="http://schemas.openxmlformats.org/officeDocument/2006/relationships/hyperlink" Target="https://www.cadence.com/content/dam/cadence-www/global/en_US/documents/company/investors/3q22-cfo-commentary.pdf" TargetMode="External" Id="rId351"/><Relationship Type="http://schemas.openxmlformats.org/officeDocument/2006/relationships/hyperlink" Target="https://www.cadence.com/content/dam/cadence-www/global/en_US/documents/company/investors/3q22-cfo-commentary.pdf" TargetMode="External" Id="rId352"/><Relationship Type="http://schemas.openxmlformats.org/officeDocument/2006/relationships/hyperlink" Target="https://www.cadence.com/content/dam/cadence-www/global/en_US/documents/company/investors/3q22-cfo-commentary.pdf" TargetMode="External" Id="rId353"/><Relationship Type="http://schemas.openxmlformats.org/officeDocument/2006/relationships/hyperlink" Target="https://www.cadence.com/content/dam/cadence-www/global/en_US/documents/company/investors/3q22-cfo-commentary.pdf" TargetMode="External" Id="rId354"/><Relationship Type="http://schemas.openxmlformats.org/officeDocument/2006/relationships/hyperlink" Target="https://www.cadence.com/content/dam/cadence-www/global/en_US/documents/company/investors/3q22-cfo-commentary.pdf" TargetMode="External" Id="rId355"/><Relationship Type="http://schemas.openxmlformats.org/officeDocument/2006/relationships/hyperlink" Target="https://www.cadence.com/content/dam/cadence-www/global/en_US/documents/company/investors/3q22-cfo-commentary.pdf" TargetMode="External" Id="rId356"/><Relationship Type="http://schemas.openxmlformats.org/officeDocument/2006/relationships/hyperlink" Target="https://www.cadence.com/content/dam/cadence-www/global/en_US/documents/company/investors/3q22-cfo-commentary.pdf" TargetMode="External" Id="rId357"/><Relationship Type="http://schemas.openxmlformats.org/officeDocument/2006/relationships/hyperlink" Target="https://www.cadence.com/content/dam/cadence-www/global/en_US/documents/company/investors/3q22-cfo-commentary.pdf" TargetMode="External" Id="rId358"/><Relationship Type="http://schemas.openxmlformats.org/officeDocument/2006/relationships/hyperlink" Target="https://www.cadence.com/content/dam/cadence-www/global/en_US/documents/company/investors/3q22-cfo-commentary.pdf" TargetMode="External" Id="rId359"/><Relationship Type="http://schemas.openxmlformats.org/officeDocument/2006/relationships/hyperlink" Target="https://www.cadence.com/content/dam/cadence-www/global/en_US/documents/company/investors/3q22-cfo-commentary.pdf" TargetMode="External" Id="rId360"/><Relationship Type="http://schemas.openxmlformats.org/officeDocument/2006/relationships/hyperlink" Target="https://www.cadence.com/content/dam/cadence-www/global/en_US/documents/company/investors/3q22-cfo-commentary.pdf" TargetMode="External" Id="rId361"/><Relationship Type="http://schemas.openxmlformats.org/officeDocument/2006/relationships/hyperlink" Target="https://www.cadence.com/content/dam/cadence-www/global/en_US/documents/company/investors/3q22-cfo-commentary.pdf" TargetMode="External" Id="rId362"/><Relationship Type="http://schemas.openxmlformats.org/officeDocument/2006/relationships/hyperlink" Target="https://www.cadence.com/content/dam/cadence-www/global/en_US/documents/company/investors/3q22-cfo-commentary.pdf" TargetMode="External" Id="rId363"/><Relationship Type="http://schemas.openxmlformats.org/officeDocument/2006/relationships/hyperlink" Target="https://www.cadence.com/content/dam/cadence-www/global/en_US/documents/company/investors/3q22-cfo-commentary.pdf" TargetMode="External" Id="rId364"/><Relationship Type="http://schemas.openxmlformats.org/officeDocument/2006/relationships/hyperlink" Target="https://www.cadence.com/content/dam/cadence-www/global/en_US/documents/company/investors/3q22-cfo-commentary.pdf" TargetMode="External" Id="rId365"/><Relationship Type="http://schemas.openxmlformats.org/officeDocument/2006/relationships/hyperlink" Target="https://www.cadence.com/content/dam/cadence-www/global/en_US/documents/company/investors/3q22-cfo-commentary.pdf" TargetMode="External" Id="rId366"/><Relationship Type="http://schemas.openxmlformats.org/officeDocument/2006/relationships/hyperlink" Target="https://www.cadence.com/content/dam/cadence-www/global/en_US/documents/company/investors/3q22-cfo-commentary.pdf" TargetMode="External" Id="rId367"/><Relationship Type="http://schemas.openxmlformats.org/officeDocument/2006/relationships/hyperlink" Target="https://www.cadence.com/content/dam/cadence-www/global/en_US/documents/company/investors/3q22-cfo-commentary.pdf" TargetMode="External" Id="rId368"/><Relationship Type="http://schemas.openxmlformats.org/officeDocument/2006/relationships/hyperlink" Target="https://www.cadence.com/content/dam/cadence-www/global/en_US/documents/company/investors/3q22-cfo-commentary.pdf" TargetMode="External" Id="rId369"/><Relationship Type="http://schemas.openxmlformats.org/officeDocument/2006/relationships/hyperlink" Target="https://www.cadence.com/content/dam/cadence-www/global/en_US/documents/company/investors/3q22-cfo-commentary.pdf" TargetMode="External" Id="rId370"/><Relationship Type="http://schemas.openxmlformats.org/officeDocument/2006/relationships/hyperlink" Target="https://www.cadence.com/content/dam/cadence-www/global/en_US/documents/company/investors/3q22-cfo-commentary.pdf" TargetMode="External" Id="rId371"/><Relationship Type="http://schemas.openxmlformats.org/officeDocument/2006/relationships/hyperlink" Target="https://www.cadence.com/content/dam/cadence-www/global/en_US/documents/company/investors/3q22-cfo-commentary.pdf" TargetMode="External" Id="rId372"/><Relationship Type="http://schemas.openxmlformats.org/officeDocument/2006/relationships/hyperlink" Target="https://www.cadence.com/content/dam/cadence-www/global/en_US/documents/company/investors/3q22-cfo-commentary.pdf" TargetMode="External" Id="rId373"/><Relationship Type="http://schemas.openxmlformats.org/officeDocument/2006/relationships/hyperlink" Target="https://www.cadence.com/content/dam/cadence-www/global/en_US/documents/company/investors/3q22-cfo-commentary.pdf" TargetMode="External" Id="rId374"/><Relationship Type="http://schemas.openxmlformats.org/officeDocument/2006/relationships/hyperlink" Target="https://www.cadence.com/content/dam/cadence-www/global/en_US/documents/company/investors/3q22-cfo-commentary.pdf" TargetMode="External" Id="rId375"/><Relationship Type="http://schemas.openxmlformats.org/officeDocument/2006/relationships/hyperlink" Target="https://www.cadence.com/content/dam/cadence-www/global/en_US/documents/company/investors/3q22-cfo-commentary.pdf" TargetMode="External" Id="rId376"/><Relationship Type="http://schemas.openxmlformats.org/officeDocument/2006/relationships/hyperlink" Target="https://www.cadence.com/content/dam/cadence-www/global/en_US/documents/company/investors/3q22-cfo-commentary.pdf" TargetMode="External" Id="rId377"/><Relationship Type="http://schemas.openxmlformats.org/officeDocument/2006/relationships/hyperlink" Target="https://www.cadence.com/content/dam/cadence-www/global/en_US/documents/company/investors/3q22-cfo-commentary.pdf" TargetMode="External" Id="rId378"/><Relationship Type="http://schemas.openxmlformats.org/officeDocument/2006/relationships/hyperlink" Target="https://www.cadence.com/content/dam/cadence-www/global/en_US/documents/company/investors/3q22-cfo-commentary.pdf" TargetMode="External" Id="rId379"/><Relationship Type="http://schemas.openxmlformats.org/officeDocument/2006/relationships/hyperlink" Target="https://www.cadence.com/content/dam/cadence-www/global/en_US/documents/company/investors/2q22-cfo-commentary.pdf" TargetMode="External" Id="rId380"/><Relationship Type="http://schemas.openxmlformats.org/officeDocument/2006/relationships/hyperlink" Target="https://www.cadence.com/content/dam/cadence-www/global/en_US/documents/company/investors/2q22-cfo-commentary.pdf" TargetMode="External" Id="rId381"/><Relationship Type="http://schemas.openxmlformats.org/officeDocument/2006/relationships/hyperlink" Target="https://www.cadence.com/content/dam/cadence-www/global/en_US/documents/company/investors/2q22-cfo-commentary.pdf" TargetMode="External" Id="rId382"/><Relationship Type="http://schemas.openxmlformats.org/officeDocument/2006/relationships/hyperlink" Target="https://www.cadence.com/content/dam/cadence-www/global/en_US/documents/company/investors/2q22-cfo-commentary.pdf" TargetMode="External" Id="rId383"/><Relationship Type="http://schemas.openxmlformats.org/officeDocument/2006/relationships/hyperlink" Target="https://www.cadence.com/content/dam/cadence-www/global/en_US/documents/company/investors/2q22-cfo-commentary.pdf" TargetMode="External" Id="rId384"/><Relationship Type="http://schemas.openxmlformats.org/officeDocument/2006/relationships/hyperlink" Target="https://www.cadence.com/content/dam/cadence-www/global/en_US/documents/company/investors/2q22-cfo-commentary.pdf" TargetMode="External" Id="rId385"/><Relationship Type="http://schemas.openxmlformats.org/officeDocument/2006/relationships/hyperlink" Target="https://www.cadence.com/content/dam/cadence-www/global/en_US/documents/company/investors/2q22-cfo-commentary.pdf" TargetMode="External" Id="rId386"/><Relationship Type="http://schemas.openxmlformats.org/officeDocument/2006/relationships/hyperlink" Target="https://www.cadence.com/content/dam/cadence-www/global/en_US/documents/company/investors/2q22-cfo-commentary.pdf" TargetMode="External" Id="rId387"/><Relationship Type="http://schemas.openxmlformats.org/officeDocument/2006/relationships/hyperlink" Target="https://www.cadence.com/content/dam/cadence-www/global/en_US/documents/company/investors/2q22-cfo-commentary.pdf" TargetMode="External" Id="rId388"/><Relationship Type="http://schemas.openxmlformats.org/officeDocument/2006/relationships/hyperlink" Target="https://www.cadence.com/content/dam/cadence-www/global/en_US/documents/company/investors/2q22-cfo-commentary.pdf" TargetMode="External" Id="rId389"/><Relationship Type="http://schemas.openxmlformats.org/officeDocument/2006/relationships/hyperlink" Target="https://www.cadence.com/content/dam/cadence-www/global/en_US/documents/company/investors/2q22-cfo-commentary.pdf" TargetMode="External" Id="rId390"/><Relationship Type="http://schemas.openxmlformats.org/officeDocument/2006/relationships/hyperlink" Target="https://www.cadence.com/content/dam/cadence-www/global/en_US/documents/company/investors/2q22-cfo-commentary.pdf" TargetMode="External" Id="rId391"/><Relationship Type="http://schemas.openxmlformats.org/officeDocument/2006/relationships/hyperlink" Target="https://www.cadence.com/content/dam/cadence-www/global/en_US/documents/company/investors/2q22-cfo-commentary.pdf" TargetMode="External" Id="rId392"/><Relationship Type="http://schemas.openxmlformats.org/officeDocument/2006/relationships/hyperlink" Target="https://www.cadence.com/content/dam/cadence-www/global/en_US/documents/company/investors/2q22-cfo-commentary.pdf" TargetMode="External" Id="rId393"/><Relationship Type="http://schemas.openxmlformats.org/officeDocument/2006/relationships/hyperlink" Target="https://www.cadence.com/content/dam/cadence-www/global/en_US/documents/company/investors/2q22-cfo-commentary.pdf" TargetMode="External" Id="rId394"/><Relationship Type="http://schemas.openxmlformats.org/officeDocument/2006/relationships/hyperlink" Target="https://www.cadence.com/content/dam/cadence-www/global/en_US/documents/company/investors/2q22-cfo-commentary.pdf" TargetMode="External" Id="rId395"/><Relationship Type="http://schemas.openxmlformats.org/officeDocument/2006/relationships/hyperlink" Target="https://www.cadence.com/content/dam/cadence-www/global/en_US/documents/company/investors/2q22-cfo-commentary.pdf" TargetMode="External" Id="rId396"/><Relationship Type="http://schemas.openxmlformats.org/officeDocument/2006/relationships/hyperlink" Target="https://www.cadence.com/content/dam/cadence-www/global/en_US/documents/company/investors/2q22-cfo-commentary.pdf" TargetMode="External" Id="rId397"/><Relationship Type="http://schemas.openxmlformats.org/officeDocument/2006/relationships/hyperlink" Target="https://www.cadence.com/content/dam/cadence-www/global/en_US/documents/company/investors/2q22-cfo-commentary.pdf" TargetMode="External" Id="rId398"/><Relationship Type="http://schemas.openxmlformats.org/officeDocument/2006/relationships/hyperlink" Target="https://www.cadence.com/content/dam/cadence-www/global/en_US/documents/company/investors/2q22-cfo-commentary.pdf" TargetMode="External" Id="rId399"/><Relationship Type="http://schemas.openxmlformats.org/officeDocument/2006/relationships/hyperlink" Target="https://www.cadence.com/content/dam/cadence-www/global/en_US/documents/company/investors/2q22-cfo-commentary.pdf" TargetMode="External" Id="rId400"/><Relationship Type="http://schemas.openxmlformats.org/officeDocument/2006/relationships/hyperlink" Target="https://www.cadence.com/content/dam/cadence-www/global/en_US/documents/company/investors/2q22-cfo-commentary.pdf" TargetMode="External" Id="rId401"/><Relationship Type="http://schemas.openxmlformats.org/officeDocument/2006/relationships/hyperlink" Target="https://www.cadence.com/content/dam/cadence-www/global/en_US/documents/company/investors/2q22-cfo-commentary.pdf" TargetMode="External" Id="rId402"/><Relationship Type="http://schemas.openxmlformats.org/officeDocument/2006/relationships/hyperlink" Target="https://www.cadence.com/content/dam/cadence-www/global/en_US/documents/company/investors/2q22-cfo-commentary.pdf" TargetMode="External" Id="rId403"/><Relationship Type="http://schemas.openxmlformats.org/officeDocument/2006/relationships/hyperlink" Target="https://www.cadence.com/content/dam/cadence-www/global/en_US/documents/company/investors/2q22-cfo-commentary.pdf" TargetMode="External" Id="rId404"/><Relationship Type="http://schemas.openxmlformats.org/officeDocument/2006/relationships/hyperlink" Target="https://www.cadence.com/content/dam/cadence-www/global/en_US/documents/company/investors/2q22-cfo-commentary.pdf" TargetMode="External" Id="rId405"/><Relationship Type="http://schemas.openxmlformats.org/officeDocument/2006/relationships/hyperlink" Target="https://www.cadence.com/content/dam/cadence-www/global/en_US/documents/company/investors/2q22-cfo-commentary.pdf" TargetMode="External" Id="rId406"/><Relationship Type="http://schemas.openxmlformats.org/officeDocument/2006/relationships/hyperlink" Target="https://www.cadence.com/content/dam/cadence-www/global/en_US/documents/company/investors/2q22-cfo-commentary.pdf" TargetMode="External" Id="rId407"/><Relationship Type="http://schemas.openxmlformats.org/officeDocument/2006/relationships/hyperlink" Target="https://www.cadence.com/content/dam/cadence-www/global/en_US/documents/company/investors/2q22-cfo-commentary.pdf" TargetMode="External" Id="rId408"/><Relationship Type="http://schemas.openxmlformats.org/officeDocument/2006/relationships/hyperlink" Target="https://www.cadence.com/content/dam/cadence-www/global/en_US/documents/company/investors/2q22-cfo-commentary.pdf" TargetMode="External" Id="rId409"/><Relationship Type="http://schemas.openxmlformats.org/officeDocument/2006/relationships/hyperlink" Target="https://www.cadence.com/content/dam/cadence-www/global/en_US/documents/company/investors/1q22-cfo-commentary.pdf" TargetMode="External" Id="rId410"/><Relationship Type="http://schemas.openxmlformats.org/officeDocument/2006/relationships/hyperlink" Target="https://www.cadence.com/content/dam/cadence-www/global/en_US/documents/company/investors/1q22-cfo-commentary.pdf" TargetMode="External" Id="rId411"/><Relationship Type="http://schemas.openxmlformats.org/officeDocument/2006/relationships/hyperlink" Target="https://www.cadence.com/content/dam/cadence-www/global/en_US/documents/company/investors/1q22-cfo-commentary.pdf" TargetMode="External" Id="rId412"/><Relationship Type="http://schemas.openxmlformats.org/officeDocument/2006/relationships/hyperlink" Target="https://www.cadence.com/content/dam/cadence-www/global/en_US/documents/company/investors/1q22-cfo-commentary.pdf" TargetMode="External" Id="rId413"/><Relationship Type="http://schemas.openxmlformats.org/officeDocument/2006/relationships/hyperlink" Target="https://www.cadence.com/content/dam/cadence-www/global/en_US/documents/company/investors/1q22-cfo-commentary.pdf" TargetMode="External" Id="rId414"/><Relationship Type="http://schemas.openxmlformats.org/officeDocument/2006/relationships/hyperlink" Target="https://www.cadence.com/content/dam/cadence-www/global/en_US/documents/company/investors/1q22-cfo-commentary.pdf" TargetMode="External" Id="rId415"/><Relationship Type="http://schemas.openxmlformats.org/officeDocument/2006/relationships/hyperlink" Target="https://www.cadence.com/content/dam/cadence-www/global/en_US/documents/company/investors/1q22-cfo-commentary.pdf" TargetMode="External" Id="rId416"/><Relationship Type="http://schemas.openxmlformats.org/officeDocument/2006/relationships/hyperlink" Target="https://www.cadence.com/content/dam/cadence-www/global/en_US/documents/company/investors/1q22-cfo-commentary.pdf" TargetMode="External" Id="rId417"/><Relationship Type="http://schemas.openxmlformats.org/officeDocument/2006/relationships/hyperlink" Target="https://www.cadence.com/content/dam/cadence-www/global/en_US/documents/company/investors/1q22-cfo-commentary.pdf" TargetMode="External" Id="rId418"/><Relationship Type="http://schemas.openxmlformats.org/officeDocument/2006/relationships/hyperlink" Target="https://www.cadence.com/content/dam/cadence-www/global/en_US/documents/company/investors/1q22-cfo-commentary.pdf" TargetMode="External" Id="rId419"/><Relationship Type="http://schemas.openxmlformats.org/officeDocument/2006/relationships/hyperlink" Target="https://www.cadence.com/content/dam/cadence-www/global/en_US/documents/company/investors/1q22-cfo-commentary.pdf" TargetMode="External" Id="rId420"/><Relationship Type="http://schemas.openxmlformats.org/officeDocument/2006/relationships/hyperlink" Target="https://www.cadence.com/content/dam/cadence-www/global/en_US/documents/company/investors/1q22-cfo-commentary.pdf" TargetMode="External" Id="rId421"/><Relationship Type="http://schemas.openxmlformats.org/officeDocument/2006/relationships/hyperlink" Target="https://www.cadence.com/content/dam/cadence-www/global/en_US/documents/company/investors/1q22-cfo-commentary.pdf" TargetMode="External" Id="rId422"/><Relationship Type="http://schemas.openxmlformats.org/officeDocument/2006/relationships/hyperlink" Target="https://www.cadence.com/content/dam/cadence-www/global/en_US/documents/company/investors/1q22-cfo-commentary.pdf" TargetMode="External" Id="rId423"/><Relationship Type="http://schemas.openxmlformats.org/officeDocument/2006/relationships/hyperlink" Target="https://www.cadence.com/content/dam/cadence-www/global/en_US/documents/company/investors/1q22-cfo-commentary.pdf" TargetMode="External" Id="rId424"/><Relationship Type="http://schemas.openxmlformats.org/officeDocument/2006/relationships/hyperlink" Target="https://www.cadence.com/content/dam/cadence-www/global/en_US/documents/company/investors/1q22-cfo-commentary.pdf" TargetMode="External" Id="rId425"/><Relationship Type="http://schemas.openxmlformats.org/officeDocument/2006/relationships/hyperlink" Target="https://www.cadence.com/content/dam/cadence-www/global/en_US/documents/company/investors/1q22-cfo-commentary.pdf" TargetMode="External" Id="rId426"/><Relationship Type="http://schemas.openxmlformats.org/officeDocument/2006/relationships/hyperlink" Target="https://www.cadence.com/content/dam/cadence-www/global/en_US/documents/company/investors/1q22-cfo-commentary.pdf" TargetMode="External" Id="rId427"/><Relationship Type="http://schemas.openxmlformats.org/officeDocument/2006/relationships/hyperlink" Target="https://www.cadence.com/content/dam/cadence-www/global/en_US/documents/company/investors/1q22-cfo-commentary.pdf" TargetMode="External" Id="rId428"/><Relationship Type="http://schemas.openxmlformats.org/officeDocument/2006/relationships/hyperlink" Target="https://www.cadence.com/content/dam/cadence-www/global/en_US/documents/company/investors/1q22-cfo-commentary.pdf" TargetMode="External" Id="rId429"/><Relationship Type="http://schemas.openxmlformats.org/officeDocument/2006/relationships/hyperlink" Target="https://www.cadence.com/content/dam/cadence-www/global/en_US/documents/company/investors/1q22-cfo-commentary.pdf" TargetMode="External" Id="rId430"/><Relationship Type="http://schemas.openxmlformats.org/officeDocument/2006/relationships/hyperlink" Target="https://www.cadence.com/content/dam/cadence-www/global/en_US/documents/company/investors/1q22-cfo-commentary.pdf" TargetMode="External" Id="rId431"/><Relationship Type="http://schemas.openxmlformats.org/officeDocument/2006/relationships/hyperlink" Target="https://www.cadence.com/content/dam/cadence-www/global/en_US/documents/company/investors/1q22-cfo-commentary.pdf" TargetMode="External" Id="rId432"/><Relationship Type="http://schemas.openxmlformats.org/officeDocument/2006/relationships/hyperlink" Target="https://www.cadence.com/content/dam/cadence-www/global/en_US/documents/company/investors/1q22-cfo-commentary.pdf" TargetMode="External" Id="rId433"/><Relationship Type="http://schemas.openxmlformats.org/officeDocument/2006/relationships/hyperlink" Target="https://www.cadence.com/content/dam/cadence-www/global/en_US/documents/company/investors/1q22-cfo-commentary.pdf" TargetMode="External" Id="rId434"/><Relationship Type="http://schemas.openxmlformats.org/officeDocument/2006/relationships/hyperlink" Target="https://www.cadence.com/content/dam/cadence-www/global/en_US/documents/company/investors/1q22-cfo-commentary.pdf" TargetMode="External" Id="rId435"/><Relationship Type="http://schemas.openxmlformats.org/officeDocument/2006/relationships/hyperlink" Target="https://www.cadence.com/content/dam/cadence-www/global/en_US/documents/company/investors/1q22-cfo-commentary.pdf" TargetMode="External" Id="rId436"/><Relationship Type="http://schemas.openxmlformats.org/officeDocument/2006/relationships/hyperlink" Target="https://www.cadence.com/content/dam/cadence-www/global/en_US/documents/company/investors/1q22-cfo-commentary.pdf" TargetMode="External" Id="rId437"/><Relationship Type="http://schemas.openxmlformats.org/officeDocument/2006/relationships/hyperlink" Target="https://www.cadence.com/content/dam/cadence-www/global/en_US/documents/company/investors/1q22-cfo-commentary.pdf" TargetMode="External" Id="rId438"/><Relationship Type="http://schemas.openxmlformats.org/officeDocument/2006/relationships/hyperlink" Target="https://www.cadence.com/content/dam/cadence-www/global/en_US/documents/company/investors/1q22-cfo-commentary.pdf" TargetMode="External" Id="rId439"/><Relationship Type="http://schemas.openxmlformats.org/officeDocument/2006/relationships/hyperlink" Target="https://www.cadence.com/content/dam/cadence-www/global/en_US/documents/company/investors/4q21-cfo-commentary.pdf" TargetMode="External" Id="rId440"/><Relationship Type="http://schemas.openxmlformats.org/officeDocument/2006/relationships/hyperlink" Target="https://www.cadence.com/content/dam/cadence-www/global/en_US/documents/company/investors/4q21-cfo-commentary.pdf" TargetMode="External" Id="rId441"/><Relationship Type="http://schemas.openxmlformats.org/officeDocument/2006/relationships/hyperlink" Target="https://www.cadence.com/content/dam/cadence-www/global/en_US/documents/company/investors/4q21-cfo-commentary.pdf" TargetMode="External" Id="rId442"/><Relationship Type="http://schemas.openxmlformats.org/officeDocument/2006/relationships/hyperlink" Target="https://www.cadence.com/content/dam/cadence-www/global/en_US/documents/company/investors/4q21-cfo-commentary.pdf" TargetMode="External" Id="rId443"/><Relationship Type="http://schemas.openxmlformats.org/officeDocument/2006/relationships/hyperlink" Target="https://www.cadence.com/content/dam/cadence-www/global/en_US/documents/company/investors/4q21-cfo-commentary.pdf" TargetMode="External" Id="rId444"/><Relationship Type="http://schemas.openxmlformats.org/officeDocument/2006/relationships/hyperlink" Target="https://www.cadence.com/content/dam/cadence-www/global/en_US/documents/company/investors/4q21-cfo-commentary.pdf" TargetMode="External" Id="rId445"/><Relationship Type="http://schemas.openxmlformats.org/officeDocument/2006/relationships/hyperlink" Target="https://www.cadence.com/content/dam/cadence-www/global/en_US/documents/company/investors/4q21-cfo-commentary.pdf" TargetMode="External" Id="rId446"/><Relationship Type="http://schemas.openxmlformats.org/officeDocument/2006/relationships/hyperlink" Target="https://www.cadence.com/content/dam/cadence-www/global/en_US/documents/company/investors/4q21-cfo-commentary.pdf" TargetMode="External" Id="rId447"/><Relationship Type="http://schemas.openxmlformats.org/officeDocument/2006/relationships/hyperlink" Target="https://www.cadence.com/content/dam/cadence-www/global/en_US/documents/company/investors/4q21-cfo-commentary.pdf" TargetMode="External" Id="rId448"/><Relationship Type="http://schemas.openxmlformats.org/officeDocument/2006/relationships/hyperlink" Target="https://www.cadence.com/content/dam/cadence-www/global/en_US/documents/company/investors/4q21-cfo-commentary.pdf" TargetMode="External" Id="rId449"/><Relationship Type="http://schemas.openxmlformats.org/officeDocument/2006/relationships/hyperlink" Target="https://www.cadence.com/content/dam/cadence-www/global/en_US/documents/company/investors/4q21-cfo-commentary.pdf" TargetMode="External" Id="rId450"/><Relationship Type="http://schemas.openxmlformats.org/officeDocument/2006/relationships/hyperlink" Target="https://www.cadence.com/content/dam/cadence-www/global/en_US/documents/company/investors/4q21-cfo-commentary.pdf" TargetMode="External" Id="rId451"/><Relationship Type="http://schemas.openxmlformats.org/officeDocument/2006/relationships/hyperlink" Target="https://www.cadence.com/content/dam/cadence-www/global/en_US/documents/company/investors/4q21-cfo-commentary.pdf" TargetMode="External" Id="rId452"/><Relationship Type="http://schemas.openxmlformats.org/officeDocument/2006/relationships/hyperlink" Target="https://www.cadence.com/content/dam/cadence-www/global/en_US/documents/company/investors/4q21-cfo-commentary.pdf" TargetMode="External" Id="rId453"/><Relationship Type="http://schemas.openxmlformats.org/officeDocument/2006/relationships/hyperlink" Target="https://www.cadence.com/content/dam/cadence-www/global/en_US/documents/company/investors/4q21-cfo-commentary.pdf" TargetMode="External" Id="rId454"/><Relationship Type="http://schemas.openxmlformats.org/officeDocument/2006/relationships/hyperlink" Target="https://www.cadence.com/content/dam/cadence-www/global/en_US/documents/company/investors/4q21-cfo-commentary.pdf" TargetMode="External" Id="rId455"/><Relationship Type="http://schemas.openxmlformats.org/officeDocument/2006/relationships/hyperlink" Target="https://www.cadence.com/content/dam/cadence-www/global/en_US/documents/company/investors/4q21-cfo-commentary.pdf" TargetMode="External" Id="rId456"/><Relationship Type="http://schemas.openxmlformats.org/officeDocument/2006/relationships/hyperlink" Target="https://www.cadence.com/content/dam/cadence-www/global/en_US/documents/company/investors/4q21-cfo-commentary.pdf" TargetMode="External" Id="rId457"/><Relationship Type="http://schemas.openxmlformats.org/officeDocument/2006/relationships/hyperlink" Target="https://www.cadence.com/content/dam/cadence-www/global/en_US/documents/company/investors/4q21-cfo-commentary.pdf" TargetMode="External" Id="rId458"/><Relationship Type="http://schemas.openxmlformats.org/officeDocument/2006/relationships/hyperlink" Target="https://www.cadence.com/content/dam/cadence-www/global/en_US/documents/company/investors/4q21-cfo-commentary.pdf" TargetMode="External" Id="rId459"/><Relationship Type="http://schemas.openxmlformats.org/officeDocument/2006/relationships/hyperlink" Target="https://www.cadence.com/content/dam/cadence-www/global/en_US/documents/company/investors/4q21-cfo-commentary.pdf" TargetMode="External" Id="rId460"/><Relationship Type="http://schemas.openxmlformats.org/officeDocument/2006/relationships/hyperlink" Target="https://www.cadence.com/content/dam/cadence-www/global/en_US/documents/company/investors/4q21-cfo-commentary.pdf" TargetMode="External" Id="rId461"/><Relationship Type="http://schemas.openxmlformats.org/officeDocument/2006/relationships/hyperlink" Target="https://www.cadence.com/content/dam/cadence-www/global/en_US/documents/company/investors/4q21-cfo-commentary.pdf" TargetMode="External" Id="rId462"/><Relationship Type="http://schemas.openxmlformats.org/officeDocument/2006/relationships/hyperlink" Target="https://www.cadence.com/content/dam/cadence-www/global/en_US/documents/company/investors/4q21-cfo-commentary.pdf" TargetMode="External" Id="rId463"/><Relationship Type="http://schemas.openxmlformats.org/officeDocument/2006/relationships/hyperlink" Target="https://www.cadence.com/content/dam/cadence-www/global/en_US/documents/company/investors/4q21-cfo-commentary.pdf" TargetMode="External" Id="rId464"/><Relationship Type="http://schemas.openxmlformats.org/officeDocument/2006/relationships/hyperlink" Target="https://www.cadence.com/content/dam/cadence-www/global/en_US/documents/company/investors/4q21-cfo-commentary.pdf" TargetMode="External" Id="rId465"/><Relationship Type="http://schemas.openxmlformats.org/officeDocument/2006/relationships/hyperlink" Target="https://www.cadence.com/content/dam/cadence-www/global/en_US/documents/company/investors/4q21-cfo-commentary.pdf" TargetMode="External" Id="rId466"/><Relationship Type="http://schemas.openxmlformats.org/officeDocument/2006/relationships/hyperlink" Target="https://www.cadence.com/content/dam/cadence-www/global/en_US/documents/company/investors/4q21-cfo-commentary.pdf" TargetMode="External" Id="rId467"/><Relationship Type="http://schemas.openxmlformats.org/officeDocument/2006/relationships/hyperlink" Target="https://www.cadence.com/content/dam/cadence-www/global/en_US/documents/company/investors/3q21-cfo-commentary.pdf" TargetMode="External" Id="rId468"/><Relationship Type="http://schemas.openxmlformats.org/officeDocument/2006/relationships/hyperlink" Target="https://www.cadence.com/content/dam/cadence-www/global/en_US/documents/company/investors/3q21-cfo-commentary.pdf" TargetMode="External" Id="rId469"/><Relationship Type="http://schemas.openxmlformats.org/officeDocument/2006/relationships/hyperlink" Target="https://www.cadence.com/content/dam/cadence-www/global/en_US/documents/company/investors/3q21-cfo-commentary.pdf" TargetMode="External" Id="rId470"/><Relationship Type="http://schemas.openxmlformats.org/officeDocument/2006/relationships/hyperlink" Target="https://www.cadence.com/content/dam/cadence-www/global/en_US/documents/company/investors/3q21-cfo-commentary.pdf" TargetMode="External" Id="rId471"/><Relationship Type="http://schemas.openxmlformats.org/officeDocument/2006/relationships/hyperlink" Target="https://www.cadence.com/content/dam/cadence-www/global/en_US/documents/company/investors/3q21-cfo-commentary.pdf" TargetMode="External" Id="rId472"/><Relationship Type="http://schemas.openxmlformats.org/officeDocument/2006/relationships/hyperlink" Target="https://www.cadence.com/content/dam/cadence-www/global/en_US/documents/company/investors/3q21-cfo-commentary.pdf" TargetMode="External" Id="rId473"/><Relationship Type="http://schemas.openxmlformats.org/officeDocument/2006/relationships/hyperlink" Target="https://www.cadence.com/content/dam/cadence-www/global/en_US/documents/company/investors/3q21-cfo-commentary.pdf" TargetMode="External" Id="rId474"/><Relationship Type="http://schemas.openxmlformats.org/officeDocument/2006/relationships/hyperlink" Target="https://www.cadence.com/content/dam/cadence-www/global/en_US/documents/company/investors/3q21-cfo-commentary.pdf" TargetMode="External" Id="rId475"/><Relationship Type="http://schemas.openxmlformats.org/officeDocument/2006/relationships/hyperlink" Target="https://www.cadence.com/content/dam/cadence-www/global/en_US/documents/company/investors/3q21-cfo-commentary.pdf" TargetMode="External" Id="rId476"/><Relationship Type="http://schemas.openxmlformats.org/officeDocument/2006/relationships/hyperlink" Target="https://www.cadence.com/content/dam/cadence-www/global/en_US/documents/company/investors/3q21-cfo-commentary.pdf" TargetMode="External" Id="rId477"/><Relationship Type="http://schemas.openxmlformats.org/officeDocument/2006/relationships/hyperlink" Target="https://www.cadence.com/content/dam/cadence-www/global/en_US/documents/company/investors/3q21-earnings-tables.pdf" TargetMode="External" Id="rId478"/><Relationship Type="http://schemas.openxmlformats.org/officeDocument/2006/relationships/hyperlink" Target="https://www.cadence.com/content/dam/cadence-www/global/en_US/documents/company/investors/3q21-earnings-tables.pdf" TargetMode="External" Id="rId479"/><Relationship Type="http://schemas.openxmlformats.org/officeDocument/2006/relationships/hyperlink" Target="https://www.cadence.com/content/dam/cadence-www/global/en_US/documents/company/investors/3q21-earnings-tables.pdf" TargetMode="External" Id="rId480"/><Relationship Type="http://schemas.openxmlformats.org/officeDocument/2006/relationships/hyperlink" Target="https://www.cadence.com/content/dam/cadence-www/global/en_US/documents/company/investors/3q21-earnings-tables.pdf" TargetMode="External" Id="rId481"/><Relationship Type="http://schemas.openxmlformats.org/officeDocument/2006/relationships/hyperlink" Target="https://www.cadence.com/content/dam/cadence-www/global/en_US/documents/company/investors/3q21-earnings-tables.pdf" TargetMode="External" Id="rId482"/><Relationship Type="http://schemas.openxmlformats.org/officeDocument/2006/relationships/hyperlink" Target="https://www.cadence.com/content/dam/cadence-www/global/en_US/documents/company/investors/3q21-earnings-tables.pdf" TargetMode="External" Id="rId483"/><Relationship Type="http://schemas.openxmlformats.org/officeDocument/2006/relationships/hyperlink" Target="https://www.cadence.com/content/dam/cadence-www/global/en_US/documents/company/investors/3q21-earnings-tables.pdf" TargetMode="External" Id="rId484"/><Relationship Type="http://schemas.openxmlformats.org/officeDocument/2006/relationships/hyperlink" Target="https://www.cadence.com/content/dam/cadence-www/global/en_US/documents/company/investors/3q21-cfo-commentary.pdf" TargetMode="External" Id="rId485"/><Relationship Type="http://schemas.openxmlformats.org/officeDocument/2006/relationships/hyperlink" Target="https://www.cadence.com/content/dam/cadence-www/global/en_US/documents/company/investors/3q21-cfo-commentary.pdf" TargetMode="External" Id="rId486"/><Relationship Type="http://schemas.openxmlformats.org/officeDocument/2006/relationships/hyperlink" Target="https://www.cadence.com/content/dam/cadence-www/global/en_US/documents/company/investors/3q21-earnings-tables.pdf" TargetMode="External" Id="rId487"/><Relationship Type="http://schemas.openxmlformats.org/officeDocument/2006/relationships/hyperlink" Target="https://www.cadence.com/content/dam/cadence-www/global/en_US/documents/company/investors/3q21-cfo-commentary.pdf" TargetMode="External" Id="rId488"/><Relationship Type="http://schemas.openxmlformats.org/officeDocument/2006/relationships/hyperlink" Target="https://www.cadence.com/content/dam/cadence-www/global/en_US/documents/company/investors/3q21-earnings-tables.pdf" TargetMode="External" Id="rId489"/><Relationship Type="http://schemas.openxmlformats.org/officeDocument/2006/relationships/hyperlink" Target="https://www.cadence.com/content/dam/cadence-www/global/en_US/documents/company/investors/3q21-earnings-tables.pdf" TargetMode="External" Id="rId490"/><Relationship Type="http://schemas.openxmlformats.org/officeDocument/2006/relationships/hyperlink" Target="https://www.cadence.com/content/dam/cadence-www/global/en_US/documents/company/investors/3q21-cfo-commentary.pdf" TargetMode="External" Id="rId491"/><Relationship Type="http://schemas.openxmlformats.org/officeDocument/2006/relationships/hyperlink" Target="https://www.cadence.com/content/dam/cadence-www/global/en_US/documents/company/investors/3q21-cfo-commentary.pdf" TargetMode="External" Id="rId492"/><Relationship Type="http://schemas.openxmlformats.org/officeDocument/2006/relationships/hyperlink" Target="https://www.cadence.com/content/dam/cadence-www/global/en_US/documents/company/investors/3q21-cfo-commentary.pdf" TargetMode="External" Id="rId493"/><Relationship Type="http://schemas.openxmlformats.org/officeDocument/2006/relationships/hyperlink" Target="https://www.cadence.com/content/dam/cadence-www/global/en_US/documents/company/investors/3q21-cfo-commentary.pdf" TargetMode="External" Id="rId494"/><Relationship Type="http://schemas.openxmlformats.org/officeDocument/2006/relationships/hyperlink" Target="https://www.cadence.com/content/dam/cadence-www/global/en_US/documents/company/investors/3q21-cfo-commentary.pdf" TargetMode="External" Id="rId495"/><Relationship Type="http://schemas.openxmlformats.org/officeDocument/2006/relationships/hyperlink" Target="https://www.cadence.com/content/dam/cadence-www/global/en_US/documents/company/investors/3q21-earnings-tables.pdf" TargetMode="External" Id="rId496"/><Relationship Type="http://schemas.openxmlformats.org/officeDocument/2006/relationships/hyperlink" Target="https://www.cadence.com/content/dam/cadence-www/global/en_US/documents/company/investors/3q21-earnings-tables.pdf" TargetMode="External" Id="rId497"/><Relationship Type="http://schemas.openxmlformats.org/officeDocument/2006/relationships/hyperlink" Target="https://www.cadence.com/content/dam/cadence-www/global/en_US/documents/company/investors/3q21-earnings-tables.pdf" TargetMode="External" Id="rId498"/><Relationship Type="http://schemas.openxmlformats.org/officeDocument/2006/relationships/hyperlink" Target="https://www.cadence.com/content/dam/cadence-www/global/en_US/documents/company/investors/3q21-earnings-tables.pdf" TargetMode="External" Id="rId499"/><Relationship Type="http://schemas.openxmlformats.org/officeDocument/2006/relationships/hyperlink" Target="https://www.cadence.com/content/dam/cadence-www/global/en_US/documents/company/investors/3q21-earnings-tables.pdf" TargetMode="External" Id="rId500"/><Relationship Type="http://schemas.openxmlformats.org/officeDocument/2006/relationships/hyperlink" Target="https://www.cadence.com/content/dam/cadence-www/global/en_US/documents/company/investors/3q21-earnings-tables.pdf" TargetMode="External" Id="rId501"/><Relationship Type="http://schemas.openxmlformats.org/officeDocument/2006/relationships/hyperlink" Target="https://www.cadence.com/content/dam/cadence-www/global/en_US/documents/company/investors/3q21-earnings-tables.pdf" TargetMode="External" Id="rId502"/><Relationship Type="http://schemas.openxmlformats.org/officeDocument/2006/relationships/hyperlink" Target="https://www.cadence.com/content/dam/cadence-www/global/en_US/documents/company/investors/2q21-cfo-commentary.pdf" TargetMode="External" Id="rId503"/><Relationship Type="http://schemas.openxmlformats.org/officeDocument/2006/relationships/hyperlink" Target="https://www.cadence.com/content/dam/cadence-www/global/en_US/documents/company/investors/2q21-cfo-commentary.pdf" TargetMode="External" Id="rId504"/><Relationship Type="http://schemas.openxmlformats.org/officeDocument/2006/relationships/hyperlink" Target="https://www.cadence.com/content/dam/cadence-www/global/en_US/documents/company/investors/2q21-cfo-commentary.pdf" TargetMode="External" Id="rId505"/><Relationship Type="http://schemas.openxmlformats.org/officeDocument/2006/relationships/hyperlink" Target="https://www.cadence.com/content/dam/cadence-www/global/en_US/documents/company/investors/2q21-cfo-commentary.pdf" TargetMode="External" Id="rId506"/><Relationship Type="http://schemas.openxmlformats.org/officeDocument/2006/relationships/hyperlink" Target="https://www.cadence.com/content/dam/cadence-www/global/en_US/documents/company/investors/2q21-cfo-commentary.pdf" TargetMode="External" Id="rId507"/><Relationship Type="http://schemas.openxmlformats.org/officeDocument/2006/relationships/hyperlink" Target="https://www.cadence.com/content/dam/cadence-www/global/en_US/documents/company/investors/2q21-cfo-commentary.pdf" TargetMode="External" Id="rId508"/><Relationship Type="http://schemas.openxmlformats.org/officeDocument/2006/relationships/hyperlink" Target="https://www.cadence.com/content/dam/cadence-www/global/en_US/documents/company/investors/2q21-cfo-commentary.pdf" TargetMode="External" Id="rId509"/><Relationship Type="http://schemas.openxmlformats.org/officeDocument/2006/relationships/hyperlink" Target="https://www.cadence.com/content/dam/cadence-www/global/en_US/documents/company/investors/2q21-cfo-commentary.pdf" TargetMode="External" Id="rId510"/><Relationship Type="http://schemas.openxmlformats.org/officeDocument/2006/relationships/hyperlink" Target="https://www.cadence.com/content/dam/cadence-www/global/en_US/documents/company/investors/2q21-cfo-commentary.pdf" TargetMode="External" Id="rId511"/><Relationship Type="http://schemas.openxmlformats.org/officeDocument/2006/relationships/hyperlink" Target="https://www.cadence.com/content/dam/cadence-www/global/en_US/documents/company/investors/2q21-cfo-commentary.pdf" TargetMode="External" Id="rId512"/><Relationship Type="http://schemas.openxmlformats.org/officeDocument/2006/relationships/hyperlink" Target="https://www.cadence.com/content/dam/cadence-www/global/en_US/documents/company/investors/2q21-earnings-tables.pdf" TargetMode="External" Id="rId513"/><Relationship Type="http://schemas.openxmlformats.org/officeDocument/2006/relationships/hyperlink" Target="https://www.cadence.com/content/dam/cadence-www/global/en_US/documents/company/investors/2q21-earnings-tables.pdf" TargetMode="External" Id="rId514"/><Relationship Type="http://schemas.openxmlformats.org/officeDocument/2006/relationships/hyperlink" Target="https://www.cadence.com/content/dam/cadence-www/global/en_US/documents/company/investors/2q21-earnings-tables.pdf" TargetMode="External" Id="rId515"/><Relationship Type="http://schemas.openxmlformats.org/officeDocument/2006/relationships/hyperlink" Target="https://www.cadence.com/content/dam/cadence-www/global/en_US/documents/company/investors/1q21-earnings-tables.pdf" TargetMode="External" Id="rId516"/><Relationship Type="http://schemas.openxmlformats.org/officeDocument/2006/relationships/hyperlink" Target="https://www.cadence.com/content/dam/cadence-www/global/en_US/documents/company/investors/2q21-earnings-tables.pdf" TargetMode="External" Id="rId517"/><Relationship Type="http://schemas.openxmlformats.org/officeDocument/2006/relationships/hyperlink" Target="https://www.cadence.com/content/dam/cadence-www/global/en_US/documents/company/investors/2q21-earnings-tables.pdf" TargetMode="External" Id="rId518"/><Relationship Type="http://schemas.openxmlformats.org/officeDocument/2006/relationships/hyperlink" Target="https://www.cadence.com/content/dam/cadence-www/global/en_US/documents/company/investors/2q21-earnings-tables.pdf" TargetMode="External" Id="rId519"/><Relationship Type="http://schemas.openxmlformats.org/officeDocument/2006/relationships/hyperlink" Target="https://www.cadence.com/content/dam/cadence-www/global/en_US/documents/company/investors/2q21-cfo-commentary.pdf" TargetMode="External" Id="rId520"/><Relationship Type="http://schemas.openxmlformats.org/officeDocument/2006/relationships/hyperlink" Target="https://www.cadence.com/content/dam/cadence-www/global/en_US/documents/company/investors/2q21-cfo-commentary.pdf" TargetMode="External" Id="rId521"/><Relationship Type="http://schemas.openxmlformats.org/officeDocument/2006/relationships/hyperlink" Target="https://www.cadence.com/content/dam/cadence-www/global/en_US/documents/company/investors/2q21-earnings-tables.pdf" TargetMode="External" Id="rId522"/><Relationship Type="http://schemas.openxmlformats.org/officeDocument/2006/relationships/hyperlink" Target="https://www.cadence.com/content/dam/cadence-www/global/en_US/documents/company/investors/2q21-cfo-commentary.pdf" TargetMode="External" Id="rId523"/><Relationship Type="http://schemas.openxmlformats.org/officeDocument/2006/relationships/hyperlink" Target="https://www.cadence.com/content/dam/cadence-www/global/en_US/documents/company/investors/2q21-earnings-tables.pdf" TargetMode="External" Id="rId524"/><Relationship Type="http://schemas.openxmlformats.org/officeDocument/2006/relationships/hyperlink" Target="https://www.cadence.com/content/dam/cadence-www/global/en_US/documents/company/investors/2q21-earnings-tables.pdf" TargetMode="External" Id="rId525"/><Relationship Type="http://schemas.openxmlformats.org/officeDocument/2006/relationships/hyperlink" Target="https://www.cadence.com/content/dam/cadence-www/global/en_US/documents/company/investors/2q21-cfo-commentary.pdf" TargetMode="External" Id="rId526"/><Relationship Type="http://schemas.openxmlformats.org/officeDocument/2006/relationships/hyperlink" Target="https://www.cadence.com/content/dam/cadence-www/global/en_US/documents/company/investors/2q21-cfo-commentary.pdf" TargetMode="External" Id="rId527"/><Relationship Type="http://schemas.openxmlformats.org/officeDocument/2006/relationships/hyperlink" Target="https://www.cadence.com/content/dam/cadence-www/global/en_US/documents/company/investors/2q21-cfo-commentary.pdf" TargetMode="External" Id="rId528"/><Relationship Type="http://schemas.openxmlformats.org/officeDocument/2006/relationships/hyperlink" Target="https://www.cadence.com/content/dam/cadence-www/global/en_US/documents/company/investors/2q21-cfo-commentary.pdf" TargetMode="External" Id="rId529"/><Relationship Type="http://schemas.openxmlformats.org/officeDocument/2006/relationships/hyperlink" Target="https://www.cadence.com/content/dam/cadence-www/global/en_US/documents/company/investors/2q21-cfo-commentary.pdf" TargetMode="External" Id="rId530"/><Relationship Type="http://schemas.openxmlformats.org/officeDocument/2006/relationships/hyperlink" Target="https://www.cadence.com/content/dam/cadence-www/global/en_US/documents/company/investors/2q21-earnings-tables.pdf" TargetMode="External" Id="rId531"/><Relationship Type="http://schemas.openxmlformats.org/officeDocument/2006/relationships/hyperlink" Target="https://www.cadence.com/content/dam/cadence-www/global/en_US/documents/company/investors/2q21-earnings-tables.pdf" TargetMode="External" Id="rId532"/><Relationship Type="http://schemas.openxmlformats.org/officeDocument/2006/relationships/hyperlink" Target="https://www.cadence.com/content/dam/cadence-www/global/en_US/documents/company/investors/2q21-earnings-tables.pdf" TargetMode="External" Id="rId533"/><Relationship Type="http://schemas.openxmlformats.org/officeDocument/2006/relationships/hyperlink" Target="https://www.cadence.com/content/dam/cadence-www/global/en_US/documents/company/investors/2q21-earnings-tables.pdf" TargetMode="External" Id="rId534"/><Relationship Type="http://schemas.openxmlformats.org/officeDocument/2006/relationships/hyperlink" Target="https://www.cadence.com/content/dam/cadence-www/global/en_US/documents/company/investors/2q21-earnings-tables.pdf" TargetMode="External" Id="rId535"/><Relationship Type="http://schemas.openxmlformats.org/officeDocument/2006/relationships/hyperlink" Target="https://www.cadence.com/content/dam/cadence-www/global/en_US/documents/company/investors/2q21-earnings-tables.pdf" TargetMode="External" Id="rId536"/><Relationship Type="http://schemas.openxmlformats.org/officeDocument/2006/relationships/hyperlink" Target="https://www.cadence.com/content/dam/cadence-www/global/en_US/documents/company/investors/2q21-earnings-tables.pdf" TargetMode="External" Id="rId537"/><Relationship Type="http://schemas.openxmlformats.org/officeDocument/2006/relationships/hyperlink" Target="https://www.sec.gov/Archives/edgar/data/813672/000081367221000015/cfocommentary04262021ex9902.htm" TargetMode="External" Id="rId538"/><Relationship Type="http://schemas.openxmlformats.org/officeDocument/2006/relationships/hyperlink" Target="https://www.sec.gov/Archives/edgar/data/813672/000081367221000015/cfocommentary04262021ex9902.htm" TargetMode="External" Id="rId539"/><Relationship Type="http://schemas.openxmlformats.org/officeDocument/2006/relationships/hyperlink" Target="https://www.sec.gov/Archives/edgar/data/813672/000081367221000015/cfocommentary04262021ex9902.htm" TargetMode="External" Id="rId540"/><Relationship Type="http://schemas.openxmlformats.org/officeDocument/2006/relationships/hyperlink" Target="https://www.sec.gov/Archives/edgar/data/813672/000081367221000015/cfocommentary04262021ex9902.htm" TargetMode="External" Id="rId541"/><Relationship Type="http://schemas.openxmlformats.org/officeDocument/2006/relationships/hyperlink" Target="https://www.sec.gov/Archives/edgar/data/813672/000081367221000015/cfocommentary04262021ex9902.htm" TargetMode="External" Id="rId542"/><Relationship Type="http://schemas.openxmlformats.org/officeDocument/2006/relationships/hyperlink" Target="https://www.sec.gov/Archives/edgar/data/813672/000081367221000015/cfocommentary04262021ex9902.htm" TargetMode="External" Id="rId543"/><Relationship Type="http://schemas.openxmlformats.org/officeDocument/2006/relationships/hyperlink" Target="https://www.sec.gov/Archives/edgar/data/813672/000081367221000015/cfocommentary04262021ex9902.htm" TargetMode="External" Id="rId544"/><Relationship Type="http://schemas.openxmlformats.org/officeDocument/2006/relationships/hyperlink" Target="https://www.sec.gov/Archives/edgar/data/813672/000081367221000015/cfocommentary04262021ex9902.htm" TargetMode="External" Id="rId545"/><Relationship Type="http://schemas.openxmlformats.org/officeDocument/2006/relationships/hyperlink" Target="https://www.sec.gov/Archives/edgar/data/813672/000081367221000015/cfocommentary04262021ex9902.htm" TargetMode="External" Id="rId546"/><Relationship Type="http://schemas.openxmlformats.org/officeDocument/2006/relationships/hyperlink" Target="https://www.sec.gov/Archives/edgar/data/813672/000081367221000015/cfocommentary04262021ex9902.htm" TargetMode="External" Id="rId547"/><Relationship Type="http://schemas.openxmlformats.org/officeDocument/2006/relationships/hyperlink" Target="https://www.cadence.com/content/dam/cadence-www/global/en_US/documents/company/investors/1q21-earnings-tables.pdf" TargetMode="External" Id="rId548"/><Relationship Type="http://schemas.openxmlformats.org/officeDocument/2006/relationships/hyperlink" Target="https://www.cadence.com/content/dam/cadence-www/global/en_US/documents/company/investors/1q21-earnings-tables.pdf" TargetMode="External" Id="rId549"/><Relationship Type="http://schemas.openxmlformats.org/officeDocument/2006/relationships/hyperlink" Target="https://www.cadence.com/content/dam/cadence-www/global/en_US/documents/company/investors/1q21-earnings-tables.pdf" TargetMode="External" Id="rId550"/><Relationship Type="http://schemas.openxmlformats.org/officeDocument/2006/relationships/hyperlink" Target="https://www.cadence.com/content/dam/cadence-www/global/en_US/documents/company/investors/1q21-earnings-tables.pdf" TargetMode="External" Id="rId551"/><Relationship Type="http://schemas.openxmlformats.org/officeDocument/2006/relationships/hyperlink" Target="https://www.cadence.com/content/dam/cadence-www/global/en_US/documents/company/investors/1q21-earnings-tables.pdf" TargetMode="External" Id="rId552"/><Relationship Type="http://schemas.openxmlformats.org/officeDocument/2006/relationships/hyperlink" Target="https://www.cadence.com/content/dam/cadence-www/global/en_US/documents/company/investors/1q21-earnings-tables.pdf" TargetMode="External" Id="rId553"/><Relationship Type="http://schemas.openxmlformats.org/officeDocument/2006/relationships/hyperlink" Target="https://www.sec.gov/Archives/edgar/data/813672/000081367221000015/cfocommentary04262021ex9902.htm" TargetMode="External" Id="rId554"/><Relationship Type="http://schemas.openxmlformats.org/officeDocument/2006/relationships/hyperlink" Target="https://www.sec.gov/Archives/edgar/data/813672/000081367221000015/cfocommentary04262021ex9902.htm" TargetMode="External" Id="rId555"/><Relationship Type="http://schemas.openxmlformats.org/officeDocument/2006/relationships/hyperlink" Target="https://www.cadence.com/content/dam/cadence-www/global/en_US/documents/company/investors/1q21-earnings-tables.pdf" TargetMode="External" Id="rId556"/><Relationship Type="http://schemas.openxmlformats.org/officeDocument/2006/relationships/hyperlink" Target="https://www.sec.gov/Archives/edgar/data/813672/000081367221000015/cfocommentary04262021ex9902.htm" TargetMode="External" Id="rId557"/><Relationship Type="http://schemas.openxmlformats.org/officeDocument/2006/relationships/hyperlink" Target="https://www.cadence.com/content/dam/cadence-www/global/en_US/documents/company/investors/1q21-earnings-tables.pdf" TargetMode="External" Id="rId558"/><Relationship Type="http://schemas.openxmlformats.org/officeDocument/2006/relationships/hyperlink" Target="https://www.cadence.com/content/dam/cadence-www/global/en_US/documents/company/investors/1q21-earnings-tables.pdf" TargetMode="External" Id="rId559"/><Relationship Type="http://schemas.openxmlformats.org/officeDocument/2006/relationships/hyperlink" Target="https://www.sec.gov/Archives/edgar/data/813672/000081367221000015/cfocommentary04262021ex9902.htm" TargetMode="External" Id="rId560"/><Relationship Type="http://schemas.openxmlformats.org/officeDocument/2006/relationships/hyperlink" Target="https://www.sec.gov/Archives/edgar/data/813672/000081367221000015/cfocommentary04262021ex9902.htm" TargetMode="External" Id="rId561"/><Relationship Type="http://schemas.openxmlformats.org/officeDocument/2006/relationships/hyperlink" Target="https://www.sec.gov/Archives/edgar/data/813672/000081367221000015/cfocommentary04262021ex9902.htm" TargetMode="External" Id="rId562"/><Relationship Type="http://schemas.openxmlformats.org/officeDocument/2006/relationships/hyperlink" Target="https://www.sec.gov/Archives/edgar/data/813672/000081367221000015/cfocommentary04262021ex9902.htm" TargetMode="External" Id="rId563"/><Relationship Type="http://schemas.openxmlformats.org/officeDocument/2006/relationships/hyperlink" Target="https://www.sec.gov/Archives/edgar/data/813672/000081367221000015/cfocommentary04262021ex9902.htm" TargetMode="External" Id="rId564"/><Relationship Type="http://schemas.openxmlformats.org/officeDocument/2006/relationships/hyperlink" Target="https://www.cadence.com/content/dam/cadence-www/global/en_US/documents/company/investors/1q21-earnings-tables.pdf" TargetMode="External" Id="rId565"/><Relationship Type="http://schemas.openxmlformats.org/officeDocument/2006/relationships/hyperlink" Target="https://www.cadence.com/content/dam/cadence-www/global/en_US/documents/company/investors/1q21-earnings-tables.pdf" TargetMode="External" Id="rId566"/><Relationship Type="http://schemas.openxmlformats.org/officeDocument/2006/relationships/hyperlink" Target="https://www.cadence.com/content/dam/cadence-www/global/en_US/documents/company/investors/1q21-earnings-tables.pdf" TargetMode="External" Id="rId567"/><Relationship Type="http://schemas.openxmlformats.org/officeDocument/2006/relationships/hyperlink" Target="https://www.cadence.com/content/dam/cadence-www/global/en_US/documents/company/investors/1q21-earnings-tables.pdf" TargetMode="External" Id="rId568"/><Relationship Type="http://schemas.openxmlformats.org/officeDocument/2006/relationships/hyperlink" Target="https://www.cadence.com/content/dam/cadence-www/global/en_US/documents/company/investors/1q21-earnings-tables.pdf" TargetMode="External" Id="rId569"/><Relationship Type="http://schemas.openxmlformats.org/officeDocument/2006/relationships/hyperlink" Target="https://www.cadence.com/content/dam/cadence-www/global/en_US/documents/company/investors/1q21-earnings-tables.pdf" TargetMode="External" Id="rId570"/><Relationship Type="http://schemas.openxmlformats.org/officeDocument/2006/relationships/hyperlink" Target="https://www.cadence.com/content/dam/cadence-www/global/en_US/documents/company/investors/1q21-earnings-tables.pdf" TargetMode="External" Id="rId571"/><Relationship Type="http://schemas.openxmlformats.org/officeDocument/2006/relationships/hyperlink" Target="https://www.cadence.com/en_US/home/company/newsroom/press-releases/pr-ir/2020/cadence-reports-third-quarter-2020-financial-results.html" TargetMode="External" Id="rId572"/><Relationship Type="http://schemas.openxmlformats.org/officeDocument/2006/relationships/hyperlink" Target="https://www.cadence.com/en_US/home/company/newsroom/press-releases/pr-ir/2020/cadence-reports-third-quarter-2020-financial-results.html" TargetMode="External" Id="rId573"/><Relationship Type="http://schemas.openxmlformats.org/officeDocument/2006/relationships/hyperlink" Target="https://www.cadence.com/en_US/home/company/newsroom/press-releases/pr-ir/2020/cadence-reports-third-quarter-2020-financial-results.html" TargetMode="External" Id="rId574"/><Relationship Type="http://schemas.openxmlformats.org/officeDocument/2006/relationships/hyperlink" Target="https://www.cadence.com/en_US/home/company/newsroom/press-releases/pr-ir/2020/cadence-reports-third-quarter-2020-financial-results.html" TargetMode="External" Id="rId575"/><Relationship Type="http://schemas.openxmlformats.org/officeDocument/2006/relationships/hyperlink" Target="https://www.cadence.com/en_US/home/company/newsroom/press-releases/pr-ir/2020/cadence-reports-third-quarter-2020-financial-results.html" TargetMode="External" Id="rId576"/><Relationship Type="http://schemas.openxmlformats.org/officeDocument/2006/relationships/hyperlink" Target="https://www.cadence.com/en_US/home/company/newsroom/press-releases/pr-ir/2020/cadence-reports-third-quarter-2020-financial-results.html" TargetMode="External" Id="rId577"/><Relationship Type="http://schemas.openxmlformats.org/officeDocument/2006/relationships/hyperlink" Target="https://www.cadence.com/en_US/home/company/newsroom/press-releases/pr-ir/2020/cadence-reports-third-quarter-2020-financial-results.html" TargetMode="External" Id="rId578"/><Relationship Type="http://schemas.openxmlformats.org/officeDocument/2006/relationships/hyperlink" Target="https://www.cadence.com/en_US/home/company/newsroom/press-releases/pr-ir/2020/cadence-reports-third-quarter-2020-financial-results.html" TargetMode="External" Id="rId579"/><Relationship Type="http://schemas.openxmlformats.org/officeDocument/2006/relationships/hyperlink" Target="https://www.cadence.com/en_US/home/company/newsroom/press-releases/pr-ir/2020/cadence-reports-third-quarter-2020-financial-results.html" TargetMode="External" Id="rId580"/><Relationship Type="http://schemas.openxmlformats.org/officeDocument/2006/relationships/hyperlink" Target="https://www.cadence.com/en_US/home/company/newsroom/press-releases/pr-ir/2020/cadence-reports-third-quarter-2020-financial-results.html" TargetMode="External" Id="rId581"/><Relationship Type="http://schemas.openxmlformats.org/officeDocument/2006/relationships/hyperlink" Target="https://www.cadence.com/content/dam/cadence-www/global/en_US/documents/company/investors/4q20-earnings-tables.pdf" TargetMode="External" Id="rId582"/><Relationship Type="http://schemas.openxmlformats.org/officeDocument/2006/relationships/hyperlink" Target="https://www.cadence.com/content/dam/cadence-www/global/en_US/documents/company/investors/4q20-earnings-tables.pdf" TargetMode="External" Id="rId583"/><Relationship Type="http://schemas.openxmlformats.org/officeDocument/2006/relationships/hyperlink" Target="https://www.cadence.com/content/dam/cadence-www/global/en_US/documents/company/investors/4q20-earnings-tables.pdf" TargetMode="External" Id="rId584"/><Relationship Type="http://schemas.openxmlformats.org/officeDocument/2006/relationships/hyperlink" Target="https://www.cadence.com/en_US/home/company/newsroom/press-releases/pr-ir/2020/cadence-reports-third-quarter-2020-financial-results.html" TargetMode="External" Id="rId585"/><Relationship Type="http://schemas.openxmlformats.org/officeDocument/2006/relationships/hyperlink" Target="https://www.cadence.com/en_US/home/company/newsroom/press-releases/pr-ir/2020/cadence-reports-third-quarter-2020-financial-results.html" TargetMode="External" Id="rId586"/><Relationship Type="http://schemas.openxmlformats.org/officeDocument/2006/relationships/hyperlink" Target="https://www.cadence.com/en_US/home/company/newsroom/press-releases/pr-ir/2020/cadence-reports-third-quarter-2020-financial-results.html" TargetMode="External" Id="rId587"/><Relationship Type="http://schemas.openxmlformats.org/officeDocument/2006/relationships/hyperlink" Target="https://www.cadence.com/en_US/home/company/newsroom/press-releases/pr-ir/2020/cadence-reports-third-quarter-2020-financial-results.html" TargetMode="External" Id="rId588"/><Relationship Type="http://schemas.openxmlformats.org/officeDocument/2006/relationships/hyperlink" Target="https://www.cadence.com/content/dam/cadence-www/global/en_US/documents/company/investors/4q20-earnings-tables.pdf" TargetMode="External" Id="rId589"/><Relationship Type="http://schemas.openxmlformats.org/officeDocument/2006/relationships/hyperlink" Target="https://www.cadence.com/content/dam/cadence-www/global/en_US/documents/company/investors/4q20-earnings-tables.pdf" TargetMode="External" Id="rId590"/><Relationship Type="http://schemas.openxmlformats.org/officeDocument/2006/relationships/hyperlink" Target="https://www.cadence.com/en_US/home/company/newsroom/press-releases/pr-ir/2020/cadence-reports-third-quarter-2020-financial-results.html" TargetMode="External" Id="rId591"/><Relationship Type="http://schemas.openxmlformats.org/officeDocument/2006/relationships/hyperlink" Target="https://www.cadence.com/en_US/home/company/newsroom/press-releases/pr-ir/2020/cadence-reports-third-quarter-2020-financial-results.html" TargetMode="External" Id="rId592"/><Relationship Type="http://schemas.openxmlformats.org/officeDocument/2006/relationships/hyperlink" Target="https://www.cadence.com/en_US/home/company/newsroom/press-releases/pr-ir/2020/cadence-reports-third-quarter-2020-financial-results.html" TargetMode="External" Id="rId593"/><Relationship Type="http://schemas.openxmlformats.org/officeDocument/2006/relationships/hyperlink" Target="https://www.cadence.com/en_US/home/company/newsroom/press-releases/pr-ir/2020/cadence-reports-third-quarter-2020-financial-results.html" TargetMode="External" Id="rId594"/><Relationship Type="http://schemas.openxmlformats.org/officeDocument/2006/relationships/hyperlink" Target="https://www.cadence.com/en_US/home/company/newsroom/press-releases/pr-ir/2020/cadence-reports-third-quarter-2020-financial-results.html" TargetMode="External" Id="rId595"/><Relationship Type="http://schemas.openxmlformats.org/officeDocument/2006/relationships/hyperlink" Target="https://www.cadence.com/content/dam/cadence-www/global/en_US/documents/company/investors/4q20-earnings-tables.pdf" TargetMode="External" Id="rId596"/><Relationship Type="http://schemas.openxmlformats.org/officeDocument/2006/relationships/hyperlink" Target="https://www.cadence.com/content/dam/cadence-www/global/en_US/documents/company/investors/4q20-earnings-tables.pdf" TargetMode="External" Id="rId597"/><Relationship Type="http://schemas.openxmlformats.org/officeDocument/2006/relationships/hyperlink" Target="https://www.cadence.com/content/dam/cadence-www/global/en_US/documents/company/investors/4q20-earnings-tables.pdf" TargetMode="External" Id="rId598"/><Relationship Type="http://schemas.openxmlformats.org/officeDocument/2006/relationships/hyperlink" Target="https://www.cadence.com/en_US/home/company/newsroom/press-releases/pr-ir/2020/cadence-reports-third-quarter-2020-financial-results.html" TargetMode="External" Id="rId599"/><Relationship Type="http://schemas.openxmlformats.org/officeDocument/2006/relationships/hyperlink" Target="https://www.cadence.com/content/dam/cadence-www/global/en_US/documents/company/investors/4q20-earnings-tables.pdf" TargetMode="External" Id="rId600"/><Relationship Type="http://schemas.openxmlformats.org/officeDocument/2006/relationships/hyperlink" Target="https://www.cadence.com/content/dam/cadence-www/global/en_US/documents/company/investors/4q20-earnings-tables.pdf" TargetMode="External" Id="rId601"/><Relationship Type="http://schemas.openxmlformats.org/officeDocument/2006/relationships/hyperlink" Target="https://www.cadence.com/en_US/home/company/newsroom/press-releases/pr-ir/2020/cadence-reports-third-quarter-2020-financial-results.html" TargetMode="External" Id="rId602"/><Relationship Type="http://schemas.openxmlformats.org/officeDocument/2006/relationships/hyperlink" Target="https://www.cadence.com/en_US/home/company/newsroom/press-releases/pr-ir/2020/cadence-reports-third-quarter-2020-financial-results.html" TargetMode="External" Id="rId603"/><Relationship Type="http://schemas.openxmlformats.org/officeDocument/2006/relationships/hyperlink" Target="https://www.cadence.com/en_US/home/company/newsroom/press-releases/pr-ir/2020/cadence-reports-third-quarter-2020-financial-results.html" TargetMode="External" Id="rId604"/><Relationship Type="http://schemas.openxmlformats.org/officeDocument/2006/relationships/hyperlink" Target="https://www.cadence.com/en_US/home/company/newsroom/press-releases/pr-ir/2020/cadence-reports-third-quarter-2020-financial-results.html" TargetMode="External" Id="rId605"/><Relationship Type="http://schemas.openxmlformats.org/officeDocument/2006/relationships/hyperlink" Target="https://www.cadence.com/en_US/home/company/newsroom/press-releases/pr-ir/2020/cadence-reports-third-quarter-2020-financial-results.html" TargetMode="External" Id="rId606"/><Relationship Type="http://schemas.openxmlformats.org/officeDocument/2006/relationships/hyperlink" Target="https://www.cadence.com/en_US/home/company/newsroom/press-releases/pr-ir/2020/cadence-reports-third-quarter-2020-financial-results.html" TargetMode="External" Id="rId607"/><Relationship Type="http://schemas.openxmlformats.org/officeDocument/2006/relationships/hyperlink" Target="https://www.cadence.com/en_US/home/company/newsroom/press-releases/pr-ir/2020/cadence-reports-third-quarter-2020-financial-results.html" TargetMode="External" Id="rId608"/><Relationship Type="http://schemas.openxmlformats.org/officeDocument/2006/relationships/hyperlink" Target="https://www.cadence.com/en_US/home/company/newsroom/press-releases/pr-ir/2020/cadence-reports-third-quarter-2020-financial-results.html" TargetMode="External" Id="rId609"/><Relationship Type="http://schemas.openxmlformats.org/officeDocument/2006/relationships/hyperlink" Target="https://www.cadence.com/en_US/home/company/newsroom/press-releases/pr-ir/2020/cadence-reports-third-quarter-2020-financial-results.html" TargetMode="External" Id="rId610"/><Relationship Type="http://schemas.openxmlformats.org/officeDocument/2006/relationships/hyperlink" Target="https://www.cadence.com/en_US/home/company/newsroom/press-releases/pr-ir/2020/cadence-reports-third-quarter-2020-financial-results.html" TargetMode="External" Id="rId611"/><Relationship Type="http://schemas.openxmlformats.org/officeDocument/2006/relationships/hyperlink" Target="https://www.cadence.com/en_US/home/company/newsroom/press-releases/pr-ir/2020/cadence-reports-third-quarter-2020-financial-results.html" TargetMode="External" Id="rId612"/><Relationship Type="http://schemas.openxmlformats.org/officeDocument/2006/relationships/hyperlink" Target="https://www.cadence.com/en_US/home/company/newsroom/press-releases/pr-ir/2020/cadence-reports-third-quarter-2020-financial-results.html" TargetMode="External" Id="rId613"/><Relationship Type="http://schemas.openxmlformats.org/officeDocument/2006/relationships/hyperlink" Target="https://www.cadence.com/en_US/home/company/newsroom/press-releases/pr-ir/2020/cadence-reports-third-quarter-2020-financial-results.html" TargetMode="External" Id="rId614"/><Relationship Type="http://schemas.openxmlformats.org/officeDocument/2006/relationships/hyperlink" Target="https://www.cadence.com/en_US/home/company/newsroom/press-releases/pr-ir/2020/cadence-reports-third-quarter-2020-financial-results.html" TargetMode="External" Id="rId615"/><Relationship Type="http://schemas.openxmlformats.org/officeDocument/2006/relationships/hyperlink" Target="https://www.cadence.com/en_US/home/company/newsroom/press-releases/pr-ir/2020/cadence-reports-third-quarter-2020-financial-results.html" TargetMode="External" Id="rId616"/><Relationship Type="http://schemas.openxmlformats.org/officeDocument/2006/relationships/hyperlink" Target="https://www.cadence.com/en_US/home/company/newsroom/press-releases/pr-ir/2020/cadence-reports-third-quarter-2020-financial-results.html" TargetMode="External" Id="rId617"/><Relationship Type="http://schemas.openxmlformats.org/officeDocument/2006/relationships/hyperlink" Target="https://www.cadence.com/en_US/home/company/newsroom/press-releases/pr-ir/2020/cadence-reports-third-quarter-2020-financial-results.html" TargetMode="External" Id="rId618"/><Relationship Type="http://schemas.openxmlformats.org/officeDocument/2006/relationships/hyperlink" Target="https://www.cadence.com/en_US/home/company/newsroom/press-releases/pr-ir/2020/cadence-reports-third-quarter-2020-financial-results.html" TargetMode="External" Id="rId619"/><Relationship Type="http://schemas.openxmlformats.org/officeDocument/2006/relationships/hyperlink" Target="https://www.cadence.com/en_US/home/company/newsroom/press-releases/pr-ir/2020/cadence-reports-third-quarter-2020-financial-results.html" TargetMode="External" Id="rId620"/><Relationship Type="http://schemas.openxmlformats.org/officeDocument/2006/relationships/hyperlink" Target="https://www.cadence.com/en_US/home/company/newsroom/press-releases/pr-ir/2020/cadence-reports-third-quarter-2020-financial-results.html" TargetMode="External" Id="rId621"/><Relationship Type="http://schemas.openxmlformats.org/officeDocument/2006/relationships/hyperlink" Target="https://www.cadence.com/en_US/home/company/newsroom/press-releases/pr-ir/2020/cadence-reports-third-quarter-2020-financial-results.html" TargetMode="External" Id="rId622"/><Relationship Type="http://schemas.openxmlformats.org/officeDocument/2006/relationships/hyperlink" Target="https://www.cadence.com/en_US/home/company/newsroom/press-releases/pr-ir/2020/cadence-reports-third-quarter-2020-financial-results.html" TargetMode="External" Id="rId623"/><Relationship Type="http://schemas.openxmlformats.org/officeDocument/2006/relationships/hyperlink" Target="https://www.cadence.com/en_US/home/company/newsroom/press-releases/pr-ir/2020/cadence-reports-third-quarter-2020-financial-results.html" TargetMode="External" Id="rId624"/><Relationship Type="http://schemas.openxmlformats.org/officeDocument/2006/relationships/hyperlink" Target="https://www.cadence.com/en_US/home/company/newsroom/press-releases/pr-ir/2020/cadence-reports-third-quarter-2020-financial-results.html" TargetMode="External" Id="rId625"/><Relationship Type="http://schemas.openxmlformats.org/officeDocument/2006/relationships/hyperlink" Target="https://www.cadence.com/en_US/home/company/newsroom/press-releases/pr-ir/2020/cadence-reports-third-quarter-2020-financial-results.html" TargetMode="External" Id="rId626"/><Relationship Type="http://schemas.openxmlformats.org/officeDocument/2006/relationships/hyperlink" Target="https://www.cadence.com/en_US/home/company/newsroom/press-releases/pr-ir/2020/cadence-reports-third-quarter-2020-financial-results.html" TargetMode="External" Id="rId627"/><Relationship Type="http://schemas.openxmlformats.org/officeDocument/2006/relationships/hyperlink" Target="https://www.cadence.com/en_US/home/company/newsroom/press-releases/pr-ir/2020/cadence-reports-third-quarter-2020-financial-results.html" TargetMode="External" Id="rId628"/><Relationship Type="http://schemas.openxmlformats.org/officeDocument/2006/relationships/hyperlink" Target="https://www.cadence.com/en_US/home/company/newsroom/press-releases/pr-ir/2020/cadence-reports-third-quarter-2020-financial-results.html" TargetMode="External" Id="rId629"/><Relationship Type="http://schemas.openxmlformats.org/officeDocument/2006/relationships/hyperlink" Target="https://www.cadence.com/en_US/home/company/newsroom/press-releases/pr-ir/2020/cadence-reports-third-quarter-2020-financial-results.html" TargetMode="External" Id="rId630"/><Relationship Type="http://schemas.openxmlformats.org/officeDocument/2006/relationships/hyperlink" Target="https://www.businesswire.com/news/home/20200720005723/en/Cadence-Reports-Quarter-2020-Financial-Results#:~:text=(Nasdaq%3A%20CDNS)%20today%20announced,the%20same%20period%20in%202019." TargetMode="External" Id="rId631"/><Relationship Type="http://schemas.openxmlformats.org/officeDocument/2006/relationships/hyperlink" Target="https://www.businesswire.com/news/home/20200720005723/en/Cadence-Reports-Quarter-2020-Financial-Results#:~:text=(Nasdaq%3A%20CDNS)%20today%20announced,the%20same%20period%20in%202019." TargetMode="External" Id="rId632"/><Relationship Type="http://schemas.openxmlformats.org/officeDocument/2006/relationships/hyperlink" Target="https://www.businesswire.com/news/home/20200720005723/en/Cadence-Reports-Quarter-2020-Financial-Results#:~:text=(Nasdaq%3A%20CDNS)%20today%20announced,the%20same%20period%20in%202019." TargetMode="External" Id="rId633"/><Relationship Type="http://schemas.openxmlformats.org/officeDocument/2006/relationships/hyperlink" Target="https://www.businesswire.com/news/home/20200720005723/en/Cadence-Reports-Quarter-2020-Financial-Results#:~:text=(Nasdaq%3A%20CDNS)%20today%20announced,the%20same%20period%20in%202019." TargetMode="External" Id="rId634"/><Relationship Type="http://schemas.openxmlformats.org/officeDocument/2006/relationships/hyperlink" Target="https://www.businesswire.com/news/home/20200720005723/en/Cadence-Reports-Quarter-2020-Financial-Results#:~:text=(Nasdaq%3A%20CDNS)%20today%20announced,the%20same%20period%20in%202019." TargetMode="External" Id="rId635"/><Relationship Type="http://schemas.openxmlformats.org/officeDocument/2006/relationships/hyperlink" Target="https://www.businesswire.com/news/home/20200720005723/en/Cadence-Reports-Quarter-2020-Financial-Results#:~:text=(Nasdaq%3A%20CDNS)%20today%20announced,the%20same%20period%20in%202019." TargetMode="External" Id="rId636"/><Relationship Type="http://schemas.openxmlformats.org/officeDocument/2006/relationships/hyperlink" Target="https://www.businesswire.com/news/home/20200720005723/en/Cadence-Reports-Quarter-2020-Financial-Results#:~:text=(Nasdaq%3A%20CDNS)%20today%20announced,the%20same%20period%20in%202019." TargetMode="External" Id="rId637"/><Relationship Type="http://schemas.openxmlformats.org/officeDocument/2006/relationships/hyperlink" Target="https://www.businesswire.com/news/home/20200720005723/en/Cadence-Reports-Quarter-2020-Financial-Results#:~:text=(Nasdaq%3A%20CDNS)%20today%20announced,the%20same%20period%20in%202019." TargetMode="External" Id="rId638"/><Relationship Type="http://schemas.openxmlformats.org/officeDocument/2006/relationships/hyperlink" Target="https://www.businesswire.com/news/home/20200720005723/en/Cadence-Reports-Quarter-2020-Financial-Results#:~:text=(Nasdaq%3A%20CDNS)%20today%20announced,the%20same%20period%20in%202019." TargetMode="External" Id="rId639"/><Relationship Type="http://schemas.openxmlformats.org/officeDocument/2006/relationships/hyperlink" Target="https://www.businesswire.com/news/home/20200720005723/en/Cadence-Reports-Quarter-2020-Financial-Results#:~:text=(Nasdaq%3A%20CDNS)%20today%20announced,the%20same%20period%20in%202019." TargetMode="External" Id="rId640"/><Relationship Type="http://schemas.openxmlformats.org/officeDocument/2006/relationships/hyperlink" Target="https://www.businesswire.com/news/home/20200720005723/en/Cadence-Reports-Quarter-2020-Financial-Results#:~:text=(Nasdaq%3A%20CDNS)%20today%20announced,the%20same%20period%20in%202019." TargetMode="External" Id="rId641"/><Relationship Type="http://schemas.openxmlformats.org/officeDocument/2006/relationships/hyperlink" Target="https://www.businesswire.com/news/home/20200720005723/en/Cadence-Reports-Quarter-2020-Financial-Results#:~:text=(Nasdaq%3A%20CDNS)%20today%20announced,the%20same%20period%20in%202019." TargetMode="External" Id="rId642"/><Relationship Type="http://schemas.openxmlformats.org/officeDocument/2006/relationships/hyperlink" Target="https://www.businesswire.com/news/home/20200720005723/en/Cadence-Reports-Quarter-2020-Financial-Results#:~:text=(Nasdaq%3A%20CDNS)%20today%20announced,the%20same%20period%20in%202019." TargetMode="External" Id="rId643"/><Relationship Type="http://schemas.openxmlformats.org/officeDocument/2006/relationships/hyperlink" Target="https://www.businesswire.com/news/home/20200720005723/en/Cadence-Reports-Quarter-2020-Financial-Results#:~:text=(Nasdaq%3A%20CDNS)%20today%20announced,the%20same%20period%20in%202019." TargetMode="External" Id="rId644"/><Relationship Type="http://schemas.openxmlformats.org/officeDocument/2006/relationships/hyperlink" Target="https://www.businesswire.com/news/home/20200720005723/en/Cadence-Reports-Quarter-2020-Financial-Results#:~:text=(Nasdaq%3A%20CDNS)%20today%20announced,the%20same%20period%20in%202019." TargetMode="External" Id="rId645"/><Relationship Type="http://schemas.openxmlformats.org/officeDocument/2006/relationships/hyperlink" Target="https://www.businesswire.com/news/home/20200720005723/en/Cadence-Reports-Quarter-2020-Financial-Results#:~:text=(Nasdaq%3A%20CDNS)%20today%20announced,the%20same%20period%20in%202019." TargetMode="External" Id="rId646"/><Relationship Type="http://schemas.openxmlformats.org/officeDocument/2006/relationships/hyperlink" Target="https://www.businesswire.com/news/home/20200720005723/en/Cadence-Reports-Quarter-2020-Financial-Results#:~:text=(Nasdaq%3A%20CDNS)%20today%20announced,the%20same%20period%20in%202019." TargetMode="External" Id="rId647"/><Relationship Type="http://schemas.openxmlformats.org/officeDocument/2006/relationships/hyperlink" Target="https://www.businesswire.com/news/home/20200720005723/en/Cadence-Reports-Quarter-2020-Financial-Results#:~:text=(Nasdaq%3A%20CDNS)%20today%20announced,the%20same%20period%20in%202019." TargetMode="External" Id="rId648"/><Relationship Type="http://schemas.openxmlformats.org/officeDocument/2006/relationships/hyperlink" Target="https://www.businesswire.com/news/home/20200720005723/en/Cadence-Reports-Quarter-2020-Financial-Results#:~:text=(Nasdaq%3A%20CDNS)%20today%20announced,the%20same%20period%20in%202019." TargetMode="External" Id="rId649"/><Relationship Type="http://schemas.openxmlformats.org/officeDocument/2006/relationships/hyperlink" Target="https://www.businesswire.com/news/home/20200720005723/en/Cadence-Reports-Quarter-2020-Financial-Results#:~:text=(Nasdaq%3A%20CDNS)%20today%20announced,the%20same%20period%20in%202019." TargetMode="External" Id="rId650"/><Relationship Type="http://schemas.openxmlformats.org/officeDocument/2006/relationships/hyperlink" Target="https://www.businesswire.com/news/home/20200720005723/en/Cadence-Reports-Quarter-2020-Financial-Results#:~:text=(Nasdaq%3A%20CDNS)%20today%20announced,the%20same%20period%20in%202019." TargetMode="External" Id="rId651"/><Relationship Type="http://schemas.openxmlformats.org/officeDocument/2006/relationships/hyperlink" Target="https://www.businesswire.com/news/home/20200720005723/en/Cadence-Reports-Quarter-2020-Financial-Results#:~:text=(Nasdaq%3A%20CDNS)%20today%20announced,the%20same%20period%20in%202019." TargetMode="External" Id="rId652"/><Relationship Type="http://schemas.openxmlformats.org/officeDocument/2006/relationships/hyperlink" Target="https://www.businesswire.com/news/home/20200720005723/en/Cadence-Reports-Quarter-2020-Financial-Results#:~:text=(Nasdaq%3A%20CDNS)%20today%20announced,the%20same%20period%20in%202019." TargetMode="External" Id="rId653"/><Relationship Type="http://schemas.openxmlformats.org/officeDocument/2006/relationships/hyperlink" Target="https://www.businesswire.com/news/home/20200720005723/en/Cadence-Reports-Quarter-2020-Financial-Results#:~:text=(Nasdaq%3A%20CDNS)%20today%20announced,the%20same%20period%20in%202019." TargetMode="External" Id="rId654"/><Relationship Type="http://schemas.openxmlformats.org/officeDocument/2006/relationships/hyperlink" Target="https://www.businesswire.com/news/home/20200720005723/en/Cadence-Reports-Quarter-2020-Financial-Results#:~:text=(Nasdaq%3A%20CDNS)%20today%20announced,the%20same%20period%20in%202019." TargetMode="External" Id="rId655"/><Relationship Type="http://schemas.openxmlformats.org/officeDocument/2006/relationships/hyperlink" Target="https://www.businesswire.com/news/home/20200720005723/en/Cadence-Reports-Quarter-2020-Financial-Results#:~:text=(Nasdaq%3A%20CDNS)%20today%20announced,the%20same%20period%20in%202019." TargetMode="External" Id="rId656"/><Relationship Type="http://schemas.openxmlformats.org/officeDocument/2006/relationships/hyperlink" Target="https://www.businesswire.com/news/home/20200720005723/en/Cadence-Reports-Quarter-2020-Financial-Results#:~:text=(Nasdaq%3A%20CDNS)%20today%20announced,the%20same%20period%20in%202019." TargetMode="External" Id="rId657"/><Relationship Type="http://schemas.openxmlformats.org/officeDocument/2006/relationships/hyperlink" Target="https://www.businesswire.com/news/home/20200720005723/en/Cadence-Reports-Quarter-2020-Financial-Results#:~:text=(Nasdaq%3A%20CDNS)%20today%20announced,the%20same%20period%20in%202019." TargetMode="External" Id="rId658"/><Relationship Type="http://schemas.openxmlformats.org/officeDocument/2006/relationships/hyperlink" Target="https://www.businesswire.com/news/home/20200720005723/en/Cadence-Reports-Quarter-2020-Financial-Results#:~:text=(Nasdaq%3A%20CDNS)%20today%20announced,the%20same%20period%20in%202019." TargetMode="External" Id="rId659"/><Relationship Type="http://schemas.openxmlformats.org/officeDocument/2006/relationships/hyperlink" Target="https://www.cadence.com/en_US/home/company/newsroom/press-releases/pr-ir/2020/cadence-reports-first-quarter-2020-financial-results.html" TargetMode="External" Id="rId660"/><Relationship Type="http://schemas.openxmlformats.org/officeDocument/2006/relationships/hyperlink" Target="https://www.cadence.com/en_US/home/company/newsroom/press-releases/pr-ir/2020/cadence-reports-first-quarter-2020-financial-results.html" TargetMode="External" Id="rId661"/><Relationship Type="http://schemas.openxmlformats.org/officeDocument/2006/relationships/hyperlink" Target="https://www.cadence.com/en_US/home/company/newsroom/press-releases/pr-ir/2020/cadence-reports-first-quarter-2020-financial-results.html" TargetMode="External" Id="rId662"/><Relationship Type="http://schemas.openxmlformats.org/officeDocument/2006/relationships/hyperlink" Target="https://www.cadence.com/en_US/home/company/newsroom/press-releases/pr-ir/2020/cadence-reports-first-quarter-2020-financial-results.html" TargetMode="External" Id="rId663"/><Relationship Type="http://schemas.openxmlformats.org/officeDocument/2006/relationships/hyperlink" Target="https://www.cadence.com/en_US/home/company/newsroom/press-releases/pr-ir/2020/cadence-reports-first-quarter-2020-financial-results.html" TargetMode="External" Id="rId664"/><Relationship Type="http://schemas.openxmlformats.org/officeDocument/2006/relationships/hyperlink" Target="https://www.cadence.com/en_US/home/company/newsroom/press-releases/pr-ir/2020/cadence-reports-first-quarter-2020-financial-results.html" TargetMode="External" Id="rId665"/><Relationship Type="http://schemas.openxmlformats.org/officeDocument/2006/relationships/hyperlink" Target="https://www.cadence.com/en_US/home/company/newsroom/press-releases/pr-ir/2020/cadence-reports-first-quarter-2020-financial-results.html" TargetMode="External" Id="rId666"/><Relationship Type="http://schemas.openxmlformats.org/officeDocument/2006/relationships/hyperlink" Target="https://www.cadence.com/en_US/home/company/newsroom/press-releases/pr-ir/2020/cadence-reports-first-quarter-2020-financial-results.html" TargetMode="External" Id="rId667"/><Relationship Type="http://schemas.openxmlformats.org/officeDocument/2006/relationships/hyperlink" Target="https://www.cadence.com/en_US/home/company/newsroom/press-releases/pr-ir/2020/cadence-reports-first-quarter-2020-financial-results.html" TargetMode="External" Id="rId668"/><Relationship Type="http://schemas.openxmlformats.org/officeDocument/2006/relationships/hyperlink" Target="https://www.cadence.com/en_US/home/company/newsroom/press-releases/pr-ir/2020/cadence-reports-first-quarter-2020-financial-results.html" TargetMode="External" Id="rId669"/><Relationship Type="http://schemas.openxmlformats.org/officeDocument/2006/relationships/hyperlink" Target="https://www.cadence.com/en_US/home/company/newsroom/press-releases/pr-ir/2020/cadence-reports-first-quarter-2020-financial-results.html" TargetMode="External" Id="rId670"/><Relationship Type="http://schemas.openxmlformats.org/officeDocument/2006/relationships/hyperlink" Target="https://www.cadence.com/en_US/home/company/newsroom/press-releases/pr-ir/2020/cadence-reports-first-quarter-2020-financial-results.html" TargetMode="External" Id="rId671"/><Relationship Type="http://schemas.openxmlformats.org/officeDocument/2006/relationships/hyperlink" Target="https://www.cadence.com/en_US/home/company/newsroom/press-releases/pr-ir/2020/cadence-reports-first-quarter-2020-financial-results.html" TargetMode="External" Id="rId672"/><Relationship Type="http://schemas.openxmlformats.org/officeDocument/2006/relationships/hyperlink" Target="https://www.cadence.com/en_US/home/company/newsroom/press-releases/pr-ir/2020/cadence-reports-first-quarter-2020-financial-results.html" TargetMode="External" Id="rId673"/><Relationship Type="http://schemas.openxmlformats.org/officeDocument/2006/relationships/hyperlink" Target="https://www.cadence.com/en_US/home/company/newsroom/press-releases/pr-ir/2020/cadence-reports-first-quarter-2020-financial-results.html" TargetMode="External" Id="rId674"/><Relationship Type="http://schemas.openxmlformats.org/officeDocument/2006/relationships/hyperlink" Target="https://www.cadence.com/en_US/home/company/newsroom/press-releases/pr-ir/2020/cadence-reports-first-quarter-2020-financial-results.html" TargetMode="External" Id="rId675"/><Relationship Type="http://schemas.openxmlformats.org/officeDocument/2006/relationships/hyperlink" Target="https://www.cadence.com/en_US/home/company/newsroom/press-releases/pr-ir/2020/cadence-reports-first-quarter-2020-financial-results.html" TargetMode="External" Id="rId676"/><Relationship Type="http://schemas.openxmlformats.org/officeDocument/2006/relationships/hyperlink" Target="https://www.cadence.com/en_US/home/company/newsroom/press-releases/pr-ir/2020/cadence-reports-first-quarter-2020-financial-results.html" TargetMode="External" Id="rId677"/><Relationship Type="http://schemas.openxmlformats.org/officeDocument/2006/relationships/hyperlink" Target="https://www.cadence.com/en_US/home/company/newsroom/press-releases/pr-ir/2020/cadence-reports-first-quarter-2020-financial-results.html" TargetMode="External" Id="rId678"/><Relationship Type="http://schemas.openxmlformats.org/officeDocument/2006/relationships/hyperlink" Target="https://www.cadence.com/en_US/home/company/newsroom/press-releases/pr-ir/2020/cadence-reports-first-quarter-2020-financial-results.html" TargetMode="External" Id="rId679"/><Relationship Type="http://schemas.openxmlformats.org/officeDocument/2006/relationships/hyperlink" Target="https://www.cadence.com/en_US/home/company/newsroom/press-releases/pr-ir/2020/cadence-reports-first-quarter-2020-financial-results.html" TargetMode="External" Id="rId680"/><Relationship Type="http://schemas.openxmlformats.org/officeDocument/2006/relationships/hyperlink" Target="https://www.cadence.com/en_US/home/company/newsroom/press-releases/pr-ir/2020/cadence-reports-first-quarter-2020-financial-results.html" TargetMode="External" Id="rId681"/><Relationship Type="http://schemas.openxmlformats.org/officeDocument/2006/relationships/hyperlink" Target="https://www.cadence.com/en_US/home/company/newsroom/press-releases/pr-ir/2020/cadence-reports-first-quarter-2020-financial-results.html" TargetMode="External" Id="rId682"/><Relationship Type="http://schemas.openxmlformats.org/officeDocument/2006/relationships/hyperlink" Target="https://www.cadence.com/en_US/home/company/newsroom/press-releases/pr-ir/2020/cadence-reports-first-quarter-2020-financial-results.html" TargetMode="External" Id="rId683"/><Relationship Type="http://schemas.openxmlformats.org/officeDocument/2006/relationships/hyperlink" Target="https://www.cadence.com/en_US/home/company/newsroom/press-releases/pr-ir/2020/cadence-reports-first-quarter-2020-financial-results.html" TargetMode="External" Id="rId684"/><Relationship Type="http://schemas.openxmlformats.org/officeDocument/2006/relationships/hyperlink" Target="https://www.cadence.com/en_US/home/company/newsroom/press-releases/pr-ir/2020/cadence-reports-first-quarter-2020-financial-results.html" TargetMode="External" Id="rId685"/><Relationship Type="http://schemas.openxmlformats.org/officeDocument/2006/relationships/hyperlink" Target="https://www.cadence.com/en_US/home/company/newsroom/press-releases/pr-ir/2020/cadence-reports-fourth-quarter-2019-financial-results.html" TargetMode="External" Id="rId686"/><Relationship Type="http://schemas.openxmlformats.org/officeDocument/2006/relationships/hyperlink" Target="https://www.cadence.com/en_US/home/company/newsroom/press-releases/pr-ir/2020/cadence-reports-fourth-quarter-2019-financial-results.html" TargetMode="External" Id="rId687"/><Relationship Type="http://schemas.openxmlformats.org/officeDocument/2006/relationships/hyperlink" Target="https://www.cadence.com/en_US/home/company/newsroom/press-releases/pr-ir/2020/cadence-reports-fourth-quarter-2019-financial-results.html" TargetMode="External" Id="rId688"/><Relationship Type="http://schemas.openxmlformats.org/officeDocument/2006/relationships/hyperlink" Target="https://www.cadence.com/en_US/home/company/newsroom/press-releases/pr-ir/2020/cadence-reports-fourth-quarter-2019-financial-results.html" TargetMode="External" Id="rId689"/><Relationship Type="http://schemas.openxmlformats.org/officeDocument/2006/relationships/hyperlink" Target="https://www.cadence.com/en_US/home/company/newsroom/press-releases/pr-ir/2020/cadence-reports-fourth-quarter-2019-financial-results.html" TargetMode="External" Id="rId690"/><Relationship Type="http://schemas.openxmlformats.org/officeDocument/2006/relationships/hyperlink" Target="https://www.cadence.com/en_US/home/company/newsroom/press-releases/pr-ir/2020/cadence-reports-fourth-quarter-2019-financial-results.html" TargetMode="External" Id="rId691"/><Relationship Type="http://schemas.openxmlformats.org/officeDocument/2006/relationships/hyperlink" Target="https://www.cadence.com/en_US/home/company/newsroom/press-releases/pr-ir/2020/cadence-reports-fourth-quarter-2019-financial-results.html" TargetMode="External" Id="rId692"/><Relationship Type="http://schemas.openxmlformats.org/officeDocument/2006/relationships/hyperlink" Target="https://www.cadence.com/en_US/home/company/newsroom/press-releases/pr-ir/2020/cadence-reports-fourth-quarter-2019-financial-results.html" TargetMode="External" Id="rId693"/><Relationship Type="http://schemas.openxmlformats.org/officeDocument/2006/relationships/hyperlink" Target="https://www.cadence.com/en_US/home/company/newsroom/press-releases/pr-ir/2020/cadence-reports-fourth-quarter-2019-financial-results.html" TargetMode="External" Id="rId694"/><Relationship Type="http://schemas.openxmlformats.org/officeDocument/2006/relationships/hyperlink" Target="https://www.cadence.com/en_US/home/company/newsroom/press-releases/pr-ir/2020/cadence-reports-fourth-quarter-2019-financial-results.html" TargetMode="External" Id="rId695"/><Relationship Type="http://schemas.openxmlformats.org/officeDocument/2006/relationships/hyperlink" Target="https://www.cadence.com/en_US/home/company/newsroom/press-releases/pr-ir/2020/cadence-reports-fourth-quarter-2019-financial-results.html" TargetMode="External" Id="rId696"/><Relationship Type="http://schemas.openxmlformats.org/officeDocument/2006/relationships/hyperlink" Target="https://www.cadence.com/en_US/home/company/newsroom/press-releases/pr-ir/2020/cadence-reports-fourth-quarter-2019-financial-results.html" TargetMode="External" Id="rId697"/><Relationship Type="http://schemas.openxmlformats.org/officeDocument/2006/relationships/hyperlink" Target="https://www.cadence.com/en_US/home/company/newsroom/press-releases/pr-ir/2020/cadence-reports-fourth-quarter-2019-financial-results.html" TargetMode="External" Id="rId698"/><Relationship Type="http://schemas.openxmlformats.org/officeDocument/2006/relationships/hyperlink" Target="https://www.cadence.com/en_US/home/company/newsroom/press-releases/pr-ir/2020/cadence-reports-fourth-quarter-2019-financial-results.html" TargetMode="External" Id="rId699"/><Relationship Type="http://schemas.openxmlformats.org/officeDocument/2006/relationships/hyperlink" Target="https://www.cadence.com/en_US/home/company/newsroom/press-releases/pr-ir/2020/cadence-reports-fourth-quarter-2019-financial-results.html" TargetMode="External" Id="rId700"/><Relationship Type="http://schemas.openxmlformats.org/officeDocument/2006/relationships/hyperlink" Target="https://www.cadence.com/en_US/home/company/newsroom/press-releases/pr-ir/2020/cadence-reports-fourth-quarter-2019-financial-results.html" TargetMode="External" Id="rId701"/><Relationship Type="http://schemas.openxmlformats.org/officeDocument/2006/relationships/hyperlink" Target="https://www.cadence.com/en_US/home/company/newsroom/press-releases/pr-ir/2020/cadence-reports-fourth-quarter-2019-financial-results.html" TargetMode="External" Id="rId702"/><Relationship Type="http://schemas.openxmlformats.org/officeDocument/2006/relationships/hyperlink" Target="https://www.cadence.com/en_US/home/company/newsroom/press-releases/pr-ir/2020/cadence-reports-fourth-quarter-2019-financial-results.html" TargetMode="External" Id="rId703"/><Relationship Type="http://schemas.openxmlformats.org/officeDocument/2006/relationships/hyperlink" Target="https://www.cadence.com/en_US/home/company/newsroom/press-releases/pr-ir/2020/cadence-reports-fourth-quarter-2019-financial-results.html" TargetMode="External" Id="rId704"/><Relationship Type="http://schemas.openxmlformats.org/officeDocument/2006/relationships/hyperlink" Target="https://www.cadence.com/en_US/home/company/newsroom/press-releases/pr-ir/2020/cadence-reports-fourth-quarter-2019-financial-results.html" TargetMode="External" Id="rId705"/><Relationship Type="http://schemas.openxmlformats.org/officeDocument/2006/relationships/hyperlink" Target="https://www.cadence.com/en_US/home/company/newsroom/press-releases/pr-ir/2020/cadence-reports-fourth-quarter-2019-financial-results.html" TargetMode="External" Id="rId706"/><Relationship Type="http://schemas.openxmlformats.org/officeDocument/2006/relationships/hyperlink" Target="https://www.cadence.com/en_US/home/company/newsroom/press-releases/pr-ir/2020/cadence-reports-fourth-quarter-2019-financial-results.html" TargetMode="External" Id="rId707"/><Relationship Type="http://schemas.openxmlformats.org/officeDocument/2006/relationships/hyperlink" Target="https://www.cadence.com/en_US/home/company/newsroom/press-releases/pr-ir/2020/cadence-reports-fourth-quarter-2019-financial-results.html" TargetMode="External" Id="rId708"/><Relationship Type="http://schemas.openxmlformats.org/officeDocument/2006/relationships/hyperlink" Target="https://www.cadence.com/en_US/home/company/newsroom/press-releases/pr-ir/2020/cadence-reports-fourth-quarter-2019-financial-results.html" TargetMode="External" Id="rId709"/><Relationship Type="http://schemas.openxmlformats.org/officeDocument/2006/relationships/hyperlink" Target="https://www.cadence.com/content/cadence-www/global/en_US/home/company/newsroom/press-releases/pr-ir/2019/cadence-reports-third-quarter-2019-financial-results.html" TargetMode="External" Id="rId710"/><Relationship Type="http://schemas.openxmlformats.org/officeDocument/2006/relationships/hyperlink" Target="https://www.cadence.com/content/cadence-www/global/en_US/home/company/newsroom/press-releases/pr-ir/2019/cadence-reports-third-quarter-2019-financial-results.html" TargetMode="External" Id="rId711"/><Relationship Type="http://schemas.openxmlformats.org/officeDocument/2006/relationships/hyperlink" Target="https://www.cadence.com/content/cadence-www/global/en_US/home/company/newsroom/press-releases/pr-ir/2019/cadence-reports-third-quarter-2019-financial-results.html" TargetMode="External" Id="rId712"/><Relationship Type="http://schemas.openxmlformats.org/officeDocument/2006/relationships/hyperlink" Target="https://www.cadence.com/content/cadence-www/global/en_US/home/company/newsroom/press-releases/pr-ir/2019/cadence-reports-third-quarter-2019-financial-results.html" TargetMode="External" Id="rId713"/><Relationship Type="http://schemas.openxmlformats.org/officeDocument/2006/relationships/hyperlink" Target="https://www.cadence.com/content/cadence-www/global/en_US/home/company/newsroom/press-releases/pr-ir/2019/cadence-reports-third-quarter-2019-financial-results.html" TargetMode="External" Id="rId714"/><Relationship Type="http://schemas.openxmlformats.org/officeDocument/2006/relationships/hyperlink" Target="https://www.cadence.com/content/cadence-www/global/en_US/home/company/newsroom/press-releases/pr-ir/2019/cadence-reports-third-quarter-2019-financial-results.html" TargetMode="External" Id="rId715"/><Relationship Type="http://schemas.openxmlformats.org/officeDocument/2006/relationships/hyperlink" Target="https://www.cadence.com/content/cadence-www/global/en_US/home/company/newsroom/press-releases/pr-ir/2019/cadence-reports-third-quarter-2019-financial-results.html" TargetMode="External" Id="rId716"/><Relationship Type="http://schemas.openxmlformats.org/officeDocument/2006/relationships/hyperlink" Target="https://www.cadence.com/content/cadence-www/global/en_US/home/company/newsroom/press-releases/pr-ir/2019/cadence-reports-third-quarter-2019-financial-results.html" TargetMode="External" Id="rId717"/><Relationship Type="http://schemas.openxmlformats.org/officeDocument/2006/relationships/hyperlink" Target="https://www.cadence.com/content/cadence-www/global/en_US/home/company/newsroom/press-releases/pr-ir/2019/cadence-reports-third-quarter-2019-financial-results.html" TargetMode="External" Id="rId718"/><Relationship Type="http://schemas.openxmlformats.org/officeDocument/2006/relationships/hyperlink" Target="https://www.cadence.com/content/cadence-www/global/en_US/home/company/newsroom/press-releases/pr-ir/2019/cadence-reports-third-quarter-2019-financial-results.html" TargetMode="External" Id="rId719"/><Relationship Type="http://schemas.openxmlformats.org/officeDocument/2006/relationships/hyperlink" Target="https://www.cadence.com/content/cadence-www/global/en_US/home/company/newsroom/press-releases/pr-ir/2019/cadence-reports-third-quarter-2019-financial-results.html" TargetMode="External" Id="rId720"/><Relationship Type="http://schemas.openxmlformats.org/officeDocument/2006/relationships/hyperlink" Target="https://www.cadence.com/content/cadence-www/global/en_US/home/company/newsroom/press-releases/pr-ir/2019/cadence-reports-third-quarter-2019-financial-results.html" TargetMode="External" Id="rId721"/><Relationship Type="http://schemas.openxmlformats.org/officeDocument/2006/relationships/hyperlink" Target="https://www.cadence.com/content/cadence-www/global/en_US/home/company/newsroom/press-releases/pr-ir/2019/cadence-reports-third-quarter-2019-financial-results.html" TargetMode="External" Id="rId722"/><Relationship Type="http://schemas.openxmlformats.org/officeDocument/2006/relationships/hyperlink" Target="https://www.cadence.com/content/cadence-www/global/en_US/home/company/newsroom/press-releases/pr-ir/2019/cadence-reports-third-quarter-2019-financial-results.html" TargetMode="External" Id="rId723"/><Relationship Type="http://schemas.openxmlformats.org/officeDocument/2006/relationships/hyperlink" Target="https://www.cadence.com/content/cadence-www/global/en_US/home/company/newsroom/press-releases/pr-ir/2019/cadence-reports-third-quarter-2019-financial-results.html" TargetMode="External" Id="rId724"/><Relationship Type="http://schemas.openxmlformats.org/officeDocument/2006/relationships/hyperlink" Target="https://www.cadence.com/content/cadence-www/global/en_US/home/company/newsroom/press-releases/pr-ir/2019/cadence-reports-third-quarter-2019-financial-results.html" TargetMode="External" Id="rId725"/><Relationship Type="http://schemas.openxmlformats.org/officeDocument/2006/relationships/hyperlink" Target="https://www.cadence.com/content/cadence-www/global/en_US/home/company/newsroom/press-releases/pr-ir/2019/cadence-reports-third-quarter-2019-financial-results.html" TargetMode="External" Id="rId726"/><Relationship Type="http://schemas.openxmlformats.org/officeDocument/2006/relationships/hyperlink" Target="https://www.cadence.com/content/cadence-www/global/en_US/home/company/newsroom/press-releases/pr-ir/2019/cadence-reports-third-quarter-2019-financial-results.html" TargetMode="External" Id="rId727"/><Relationship Type="http://schemas.openxmlformats.org/officeDocument/2006/relationships/hyperlink" Target="https://www.cadence.com/content/cadence-www/global/en_US/home/company/newsroom/press-releases/pr-ir/2019/cadence-reports-third-quarter-2019-financial-results.html" TargetMode="External" Id="rId728"/><Relationship Type="http://schemas.openxmlformats.org/officeDocument/2006/relationships/hyperlink" Target="https://www.cadence.com/content/cadence-www/global/en_US/home/company/newsroom/press-releases/pr-ir/2019/cadence-reports-third-quarter-2019-financial-results.html" TargetMode="External" Id="rId729"/><Relationship Type="http://schemas.openxmlformats.org/officeDocument/2006/relationships/hyperlink" Target="https://www.cadence.com/content/cadence-www/global/en_US/home/company/newsroom/press-releases/pr-ir/2019/cadence-reports-third-quarter-2019-financial-results.html" TargetMode="External" Id="rId730"/><Relationship Type="http://schemas.openxmlformats.org/officeDocument/2006/relationships/hyperlink" Target="https://www.cadence.com/content/cadence-www/global/en_US/home/company/newsroom/press-releases/pr-ir/2019/cadence-reports-third-quarter-2019-financial-results.html" TargetMode="External" Id="rId731"/><Relationship Type="http://schemas.openxmlformats.org/officeDocument/2006/relationships/hyperlink" Target="https://www.cadence.com/content/cadence-www/global/en_US/home/company/newsroom/press-releases/pr-ir/2019/cadence-reports-third-quarter-2019-financial-results.html" TargetMode="External" Id="rId732"/><Relationship Type="http://schemas.openxmlformats.org/officeDocument/2006/relationships/hyperlink" Target="https://www.cadence.com/content/cadence-www/global/en_US/home/company/newsroom/press-releases/pr-ir/2019/cadence-reports-third-quarter-2019-financial-results.html" TargetMode="External" Id="rId733"/><Relationship Type="http://schemas.openxmlformats.org/officeDocument/2006/relationships/hyperlink" Target="https://www.cadence.com/content/cadence-www/global/en_US/home/company/newsroom/press-releases/pr-ir/2019/cadence-reports-third-quarter-2019-financial-results.html" TargetMode="External" Id="rId734"/><Relationship Type="http://schemas.openxmlformats.org/officeDocument/2006/relationships/hyperlink" Target="https://www.cadence.com/content/cadence-www/global/en_US/home/company/newsroom/press-releases/pr-ir/2019/cadence-reports-third-quarter-2019-financial-results.html" TargetMode="External" Id="rId735"/><Relationship Type="http://schemas.openxmlformats.org/officeDocument/2006/relationships/hyperlink" Target="https://www.cadence.com/content/cadence-www/global/en_US/home/company/newsroom/press-releases/pr-ir/2019/cadence-reports-third-quarter-2019-financial-results.html" TargetMode="External" Id="rId736"/><Relationship Type="http://schemas.openxmlformats.org/officeDocument/2006/relationships/hyperlink" Target="https://www.cadence.com/content/cadence-www/global/en_US/home/company/newsroom/press-releases/pr-ir/2019/cadence-reports-third-quarter-2019-financial-results.html" TargetMode="External" Id="rId737"/><Relationship Type="http://schemas.openxmlformats.org/officeDocument/2006/relationships/hyperlink" Target="https://www.cadence.com/content/cadence-www/global/en_US/home/company/newsroom/press-releases/pr-ir/2019/cadence-reports-second-quarter-2019-financial-results.html" TargetMode="External" Id="rId738"/><Relationship Type="http://schemas.openxmlformats.org/officeDocument/2006/relationships/hyperlink" Target="https://www.cadence.com/content/cadence-www/global/en_US/home/company/newsroom/press-releases/pr-ir/2019/cadence-reports-second-quarter-2019-financial-results.html" TargetMode="External" Id="rId739"/><Relationship Type="http://schemas.openxmlformats.org/officeDocument/2006/relationships/hyperlink" Target="https://www.cadence.com/content/cadence-www/global/en_US/home/company/newsroom/press-releases/pr-ir/2019/cadence-reports-second-quarter-2019-financial-results.html" TargetMode="External" Id="rId740"/><Relationship Type="http://schemas.openxmlformats.org/officeDocument/2006/relationships/hyperlink" Target="https://www.cadence.com/content/cadence-www/global/en_US/home/company/newsroom/press-releases/pr-ir/2019/cadence-reports-second-quarter-2019-financial-results.html" TargetMode="External" Id="rId741"/><Relationship Type="http://schemas.openxmlformats.org/officeDocument/2006/relationships/hyperlink" Target="https://www.cadence.com/content/cadence-www/global/en_US/home/company/newsroom/press-releases/pr-ir/2019/cadence-reports-second-quarter-2019-financial-results.html" TargetMode="External" Id="rId742"/><Relationship Type="http://schemas.openxmlformats.org/officeDocument/2006/relationships/hyperlink" Target="https://www.cadence.com/content/cadence-www/global/en_US/home/company/newsroom/press-releases/pr-ir/2019/cadence-reports-second-quarter-2019-financial-results.html" TargetMode="External" Id="rId743"/><Relationship Type="http://schemas.openxmlformats.org/officeDocument/2006/relationships/hyperlink" Target="https://www.cadence.com/content/cadence-www/global/en_US/home/company/newsroom/press-releases/pr-ir/2019/cadence-reports-second-quarter-2019-financial-results.html" TargetMode="External" Id="rId744"/><Relationship Type="http://schemas.openxmlformats.org/officeDocument/2006/relationships/hyperlink" Target="https://www.cadence.com/content/cadence-www/global/en_US/home/company/newsroom/press-releases/pr-ir/2019/cadence-reports-second-quarter-2019-financial-results.html" TargetMode="External" Id="rId745"/><Relationship Type="http://schemas.openxmlformats.org/officeDocument/2006/relationships/hyperlink" Target="https://www.cadence.com/content/cadence-www/global/en_US/home/company/newsroom/press-releases/pr-ir/2019/cadence-reports-second-quarter-2019-financial-results.html" TargetMode="External" Id="rId746"/><Relationship Type="http://schemas.openxmlformats.org/officeDocument/2006/relationships/hyperlink" Target="https://www.cadence.com/content/cadence-www/global/en_US/home/company/newsroom/press-releases/pr-ir/2019/cadence-reports-second-quarter-2019-financial-results.html" TargetMode="External" Id="rId747"/><Relationship Type="http://schemas.openxmlformats.org/officeDocument/2006/relationships/hyperlink" Target="https://www.cadence.com/content/cadence-www/global/en_US/home/company/newsroom/press-releases/pr-ir/2019/cadence-reports-second-quarter-2019-financial-results.html" TargetMode="External" Id="rId748"/><Relationship Type="http://schemas.openxmlformats.org/officeDocument/2006/relationships/hyperlink" Target="https://www.cadence.com/content/cadence-www/global/en_US/home/company/newsroom/press-releases/pr-ir/2019/cadence-reports-second-quarter-2019-financial-results.html" TargetMode="External" Id="rId749"/><Relationship Type="http://schemas.openxmlformats.org/officeDocument/2006/relationships/hyperlink" Target="https://www.cadence.com/content/cadence-www/global/en_US/home/company/newsroom/press-releases/pr-ir/2019/cadence-reports-second-quarter-2019-financial-results.html" TargetMode="External" Id="rId750"/><Relationship Type="http://schemas.openxmlformats.org/officeDocument/2006/relationships/hyperlink" Target="https://www.cadence.com/content/cadence-www/global/en_US/home/company/newsroom/press-releases/pr-ir/2019/cadence-reports-second-quarter-2019-financial-results.html" TargetMode="External" Id="rId751"/><Relationship Type="http://schemas.openxmlformats.org/officeDocument/2006/relationships/hyperlink" Target="https://www.cadence.com/content/cadence-www/global/en_US/home/company/newsroom/press-releases/pr-ir/2019/cadence-reports-second-quarter-2019-financial-results.html" TargetMode="External" Id="rId752"/><Relationship Type="http://schemas.openxmlformats.org/officeDocument/2006/relationships/hyperlink" Target="https://www.cadence.com/content/cadence-www/global/en_US/home/company/newsroom/press-releases/pr-ir/2019/cadence-reports-second-quarter-2019-financial-results.html" TargetMode="External" Id="rId753"/><Relationship Type="http://schemas.openxmlformats.org/officeDocument/2006/relationships/hyperlink" Target="https://www.cadence.com/content/cadence-www/global/en_US/home/company/newsroom/press-releases/pr-ir/2019/cadence-reports-second-quarter-2019-financial-results.html" TargetMode="External" Id="rId754"/><Relationship Type="http://schemas.openxmlformats.org/officeDocument/2006/relationships/hyperlink" Target="https://www.cadence.com/content/cadence-www/global/en_US/home/company/newsroom/press-releases/pr-ir/2019/cadence-reports-second-quarter-2019-financial-results.html" TargetMode="External" Id="rId755"/><Relationship Type="http://schemas.openxmlformats.org/officeDocument/2006/relationships/hyperlink" Target="https://www.cadence.com/content/cadence-www/global/en_US/home/company/newsroom/press-releases/pr-ir/2019/cadence-reports-second-quarter-2019-financial-results.html" TargetMode="External" Id="rId756"/><Relationship Type="http://schemas.openxmlformats.org/officeDocument/2006/relationships/hyperlink" Target="https://www.cadence.com/content/cadence-www/global/en_US/home/company/newsroom/press-releases/pr-ir/2019/cadence-reports-second-quarter-2019-financial-results.html" TargetMode="External" Id="rId757"/><Relationship Type="http://schemas.openxmlformats.org/officeDocument/2006/relationships/hyperlink" Target="https://www.cadence.com/content/cadence-www/global/en_US/home/company/newsroom/press-releases/pr-ir/2019/cadence-reports-second-quarter-2019-financial-results.html" TargetMode="External" Id="rId758"/><Relationship Type="http://schemas.openxmlformats.org/officeDocument/2006/relationships/hyperlink" Target="https://www.cadence.com/content/cadence-www/global/en_US/home/company/newsroom/press-releases/pr-ir/2019/cadence-reports-second-quarter-2019-financial-results.html" TargetMode="External" Id="rId759"/><Relationship Type="http://schemas.openxmlformats.org/officeDocument/2006/relationships/hyperlink" Target="https://www.cadence.com/content/cadence-www/global/en_US/home/company/newsroom/press-releases/pr-ir/2019/cadence-reports-second-quarter-2019-financial-results.html" TargetMode="External" Id="rId760"/><Relationship Type="http://schemas.openxmlformats.org/officeDocument/2006/relationships/hyperlink" Target="https://www.cadence.com/content/cadence-www/global/en_US/home/company/newsroom/press-releases/pr-ir/2019/cadence-reports-second-quarter-2019-financial-results.html" TargetMode="External" Id="rId761"/><Relationship Type="http://schemas.openxmlformats.org/officeDocument/2006/relationships/hyperlink" Target="https://www.cadence.com/content/cadence-www/global/en_US/home/company/newsroom/press-releases/pr-ir/2019/cadence-reports-second-quarter-2019-financial-results.html" TargetMode="External" Id="rId762"/><Relationship Type="http://schemas.openxmlformats.org/officeDocument/2006/relationships/hyperlink" Target="https://www.cadence.com/content/cadence-www/global/en_US/home/company/newsroom/press-releases/pr-ir/2019/cadence-reports-second-quarter-2019-financial-results.html" TargetMode="External" Id="rId763"/><Relationship Type="http://schemas.openxmlformats.org/officeDocument/2006/relationships/hyperlink" Target="https://www.cadence.com/content/cadence-www/global/en_US/home/company/newsroom/press-releases/pr-ir/2019/cadence-reports-first-quarter-2019-financial-results.html" TargetMode="External" Id="rId764"/><Relationship Type="http://schemas.openxmlformats.org/officeDocument/2006/relationships/hyperlink" Target="https://www.cadence.com/content/cadence-www/global/en_US/home/company/newsroom/press-releases/pr-ir/2019/cadence-reports-first-quarter-2019-financial-results.html" TargetMode="External" Id="rId765"/><Relationship Type="http://schemas.openxmlformats.org/officeDocument/2006/relationships/hyperlink" Target="https://www.cadence.com/content/cadence-www/global/en_US/home/company/newsroom/press-releases/pr-ir/2019/cadence-reports-first-quarter-2019-financial-results.html" TargetMode="External" Id="rId766"/><Relationship Type="http://schemas.openxmlformats.org/officeDocument/2006/relationships/hyperlink" Target="https://www.cadence.com/content/cadence-www/global/en_US/home/company/newsroom/press-releases/pr-ir/2019/cadence-reports-first-quarter-2019-financial-results.html" TargetMode="External" Id="rId767"/><Relationship Type="http://schemas.openxmlformats.org/officeDocument/2006/relationships/hyperlink" Target="https://www.cadence.com/content/cadence-www/global/en_US/home/company/newsroom/press-releases/pr-ir/2019/cadence-reports-first-quarter-2019-financial-results.html" TargetMode="External" Id="rId768"/><Relationship Type="http://schemas.openxmlformats.org/officeDocument/2006/relationships/hyperlink" Target="https://www.cadence.com/content/cadence-www/global/en_US/home/company/newsroom/press-releases/pr-ir/2019/cadence-reports-first-quarter-2019-financial-results.html" TargetMode="External" Id="rId769"/><Relationship Type="http://schemas.openxmlformats.org/officeDocument/2006/relationships/hyperlink" Target="https://www.cadence.com/content/cadence-www/global/en_US/home/company/newsroom/press-releases/pr-ir/2019/cadence-reports-first-quarter-2019-financial-results.html" TargetMode="External" Id="rId770"/><Relationship Type="http://schemas.openxmlformats.org/officeDocument/2006/relationships/hyperlink" Target="https://www.cadence.com/content/cadence-www/global/en_US/home/company/newsroom/press-releases/pr-ir/2019/cadence-reports-first-quarter-2019-financial-results.html" TargetMode="External" Id="rId771"/><Relationship Type="http://schemas.openxmlformats.org/officeDocument/2006/relationships/hyperlink" Target="https://www.cadence.com/content/cadence-www/global/en_US/home/company/newsroom/press-releases/pr-ir/2019/cadence-reports-first-quarter-2019-financial-results.html" TargetMode="External" Id="rId772"/><Relationship Type="http://schemas.openxmlformats.org/officeDocument/2006/relationships/hyperlink" Target="https://www.cadence.com/content/cadence-www/global/en_US/home/company/newsroom/press-releases/pr-ir/2019/cadence-reports-first-quarter-2019-financial-results.html" TargetMode="External" Id="rId773"/><Relationship Type="http://schemas.openxmlformats.org/officeDocument/2006/relationships/hyperlink" Target="https://www.cadence.com/content/cadence-www/global/en_US/home/company/newsroom/press-releases/pr-ir/2019/cadence-reports-first-quarter-2019-financial-results.html" TargetMode="External" Id="rId774"/><Relationship Type="http://schemas.openxmlformats.org/officeDocument/2006/relationships/hyperlink" Target="https://www.cadence.com/content/cadence-www/global/en_US/home/company/newsroom/press-releases/pr-ir/2019/cadence-reports-first-quarter-2019-financial-results.html" TargetMode="External" Id="rId775"/><Relationship Type="http://schemas.openxmlformats.org/officeDocument/2006/relationships/hyperlink" Target="https://www.cadence.com/content/cadence-www/global/en_US/home/company/newsroom/press-releases/pr-ir/2019/cadence-reports-first-quarter-2019-financial-results.html" TargetMode="External" Id="rId776"/><Relationship Type="http://schemas.openxmlformats.org/officeDocument/2006/relationships/hyperlink" Target="https://www.cadence.com/content/cadence-www/global/en_US/home/company/newsroom/press-releases/pr-ir/2019/cadence-reports-first-quarter-2019-financial-results.html" TargetMode="External" Id="rId777"/><Relationship Type="http://schemas.openxmlformats.org/officeDocument/2006/relationships/hyperlink" Target="https://www.cadence.com/content/cadence-www/global/en_US/home/company/newsroom/press-releases/pr-ir/2019/cadence-reports-first-quarter-2019-financial-results.html" TargetMode="External" Id="rId778"/><Relationship Type="http://schemas.openxmlformats.org/officeDocument/2006/relationships/hyperlink" Target="https://www.cadence.com/content/cadence-www/global/en_US/home/company/newsroom/press-releases/pr-ir/2019/cadence-reports-first-quarter-2019-financial-results.html" TargetMode="External" Id="rId779"/><Relationship Type="http://schemas.openxmlformats.org/officeDocument/2006/relationships/hyperlink" Target="https://www.cadence.com/content/cadence-www/global/en_US/home/company/newsroom/press-releases/pr-ir/2019/cadence-reports-first-quarter-2019-financial-results.html" TargetMode="External" Id="rId780"/><Relationship Type="http://schemas.openxmlformats.org/officeDocument/2006/relationships/hyperlink" Target="https://www.cadence.com/content/cadence-www/global/en_US/home/company/newsroom/press-releases/pr-ir/2019/cadence-reports-first-quarter-2019-financial-results.html" TargetMode="External" Id="rId781"/><Relationship Type="http://schemas.openxmlformats.org/officeDocument/2006/relationships/hyperlink" Target="https://www.cadence.com/content/cadence-www/global/en_US/home/company/newsroom/press-releases/pr-ir/2019/cadence-reports-first-quarter-2019-financial-results.html" TargetMode="External" Id="rId782"/><Relationship Type="http://schemas.openxmlformats.org/officeDocument/2006/relationships/hyperlink" Target="https://www.cadence.com/content/cadence-www/global/en_US/home/company/newsroom/press-releases/pr-ir/2019/cadence-reports-first-quarter-2019-financial-results.html" TargetMode="External" Id="rId783"/><Relationship Type="http://schemas.openxmlformats.org/officeDocument/2006/relationships/hyperlink" Target="https://www.cadence.com/content/cadence-www/global/en_US/home/company/newsroom/press-releases/pr-ir/2019/cadence-reports-first-quarter-2019-financial-results.html" TargetMode="External" Id="rId784"/><Relationship Type="http://schemas.openxmlformats.org/officeDocument/2006/relationships/hyperlink" Target="https://www.cadence.com/content/cadence-www/global/en_US/home/company/newsroom/press-releases/pr-ir/2019/cadence-reports-fourth-quarter-and-fiscal-year-2018-financial-results.html" TargetMode="External" Id="rId785"/><Relationship Type="http://schemas.openxmlformats.org/officeDocument/2006/relationships/hyperlink" Target="https://www.cadence.com/content/cadence-www/global/en_US/home/company/newsroom/press-releases/pr-ir/2019/cadence-reports-fourth-quarter-and-fiscal-year-2018-financial-results.html" TargetMode="External" Id="rId786"/><Relationship Type="http://schemas.openxmlformats.org/officeDocument/2006/relationships/hyperlink" Target="https://www.cadence.com/content/cadence-www/global/en_US/home/company/newsroom/press-releases/pr-ir/2019/cadence-reports-fourth-quarter-and-fiscal-year-2018-financial-results.html" TargetMode="External" Id="rId787"/><Relationship Type="http://schemas.openxmlformats.org/officeDocument/2006/relationships/hyperlink" Target="https://www.cadence.com/content/cadence-www/global/en_US/home/company/newsroom/press-releases/pr-ir/2019/cadence-reports-fourth-quarter-and-fiscal-year-2018-financial-results.html" TargetMode="External" Id="rId788"/><Relationship Type="http://schemas.openxmlformats.org/officeDocument/2006/relationships/hyperlink" Target="https://www.cadence.com/content/cadence-www/global/en_US/home/company/newsroom/press-releases/pr-ir/2019/cadence-reports-fourth-quarter-and-fiscal-year-2018-financial-results.html" TargetMode="External" Id="rId789"/><Relationship Type="http://schemas.openxmlformats.org/officeDocument/2006/relationships/hyperlink" Target="https://www.cadence.com/content/cadence-www/global/en_US/home/company/newsroom/press-releases/pr-ir/2019/cadence-reports-fourth-quarter-and-fiscal-year-2018-financial-results.html" TargetMode="External" Id="rId790"/><Relationship Type="http://schemas.openxmlformats.org/officeDocument/2006/relationships/hyperlink" Target="https://www.cadence.com/content/cadence-www/global/en_US/home/company/newsroom/press-releases/pr-ir/2019/cadence-reports-fourth-quarter-and-fiscal-year-2018-financial-results.html" TargetMode="External" Id="rId791"/><Relationship Type="http://schemas.openxmlformats.org/officeDocument/2006/relationships/hyperlink" Target="https://www.cadence.com/content/cadence-www/global/en_US/home/company/newsroom/press-releases/pr-ir/2019/cadence-reports-fourth-quarter-and-fiscal-year-2018-financial-results.html" TargetMode="External" Id="rId792"/><Relationship Type="http://schemas.openxmlformats.org/officeDocument/2006/relationships/hyperlink" Target="https://www.cadence.com/content/cadence-www/global/en_US/home/company/newsroom/press-releases/pr-ir/2019/cadence-reports-fourth-quarter-and-fiscal-year-2018-financial-results.html" TargetMode="External" Id="rId793"/><Relationship Type="http://schemas.openxmlformats.org/officeDocument/2006/relationships/hyperlink" Target="https://www.cadence.com/content/cadence-www/global/en_US/home/company/newsroom/press-releases/pr-ir/2019/cadence-reports-fourth-quarter-and-fiscal-year-2018-financial-results.html" TargetMode="External" Id="rId794"/><Relationship Type="http://schemas.openxmlformats.org/officeDocument/2006/relationships/hyperlink" Target="https://www.cadence.com/content/cadence-www/global/en_US/home/company/newsroom/press-releases/pr-ir/2019/cadence-reports-fourth-quarter-and-fiscal-year-2018-financial-results.html" TargetMode="External" Id="rId795"/><Relationship Type="http://schemas.openxmlformats.org/officeDocument/2006/relationships/hyperlink" Target="https://www.cadence.com/content/cadence-www/global/en_US/home/company/newsroom/press-releases/pr-ir/2019/cadence-reports-fourth-quarter-and-fiscal-year-2018-financial-results.html" TargetMode="External" Id="rId796"/><Relationship Type="http://schemas.openxmlformats.org/officeDocument/2006/relationships/hyperlink" Target="https://www.cadence.com/content/cadence-www/global/en_US/home/company/newsroom/press-releases/pr-ir/2019/cadence-reports-fourth-quarter-and-fiscal-year-2018-financial-results.html" TargetMode="External" Id="rId797"/><Relationship Type="http://schemas.openxmlformats.org/officeDocument/2006/relationships/hyperlink" Target="https://www.cadence.com/content/cadence-www/global/en_US/home/company/newsroom/press-releases/pr-ir/2019/cadence-reports-fourth-quarter-and-fiscal-year-2018-financial-results.html" TargetMode="External" Id="rId798"/><Relationship Type="http://schemas.openxmlformats.org/officeDocument/2006/relationships/hyperlink" Target="https://www.cadence.com/content/cadence-www/global/en_US/home/company/newsroom/press-releases/pr-ir/2019/cadence-reports-fourth-quarter-and-fiscal-year-2018-financial-results.html" TargetMode="External" Id="rId799"/><Relationship Type="http://schemas.openxmlformats.org/officeDocument/2006/relationships/hyperlink" Target="https://www.cadence.com/content/cadence-www/global/en_US/home/company/newsroom/press-releases/pr-ir/2019/cadence-reports-fourth-quarter-and-fiscal-year-2018-financial-results.html" TargetMode="External" Id="rId800"/><Relationship Type="http://schemas.openxmlformats.org/officeDocument/2006/relationships/hyperlink" Target="https://www.cadence.com/content/cadence-www/global/en_US/home/company/newsroom/press-releases/pr-ir/2019/cadence-reports-fourth-quarter-and-fiscal-year-2018-financial-results.html" TargetMode="External" Id="rId801"/><Relationship Type="http://schemas.openxmlformats.org/officeDocument/2006/relationships/hyperlink" Target="https://www.cadence.com/content/cadence-www/global/en_US/home/company/newsroom/press-releases/pr-ir/2019/cadence-reports-fourth-quarter-and-fiscal-year-2018-financial-results.html" TargetMode="External" Id="rId802"/><Relationship Type="http://schemas.openxmlformats.org/officeDocument/2006/relationships/hyperlink" Target="https://www.cadence.com/content/cadence-www/global/en_US/home/company/newsroom/press-releases/pr-ir/2018/cadence-reports-third-quarter-2018-financial-results.html" TargetMode="External" Id="rId803"/><Relationship Type="http://schemas.openxmlformats.org/officeDocument/2006/relationships/hyperlink" Target="https://www.cadence.com/content/dam/cadence-www/global/en_US/documents/company/investors/2q18-earnings-tables.pdf" TargetMode="External" Id="rId804"/><Relationship Type="http://schemas.openxmlformats.org/officeDocument/2006/relationships/hyperlink" Target="https://www.cadence.com/content/dam/cadence-www/global/en_US/documents/company/investors/2q18-earnings-tables.pdf" TargetMode="External" Id="rId805"/><Relationship Type="http://schemas.openxmlformats.org/officeDocument/2006/relationships/hyperlink" Target="https://www.cadence.com/content/dam/cadence-www/global/en_US/documents/company/investors/2q18-earnings-tables.pdf" TargetMode="External" Id="rId806"/><Relationship Type="http://schemas.openxmlformats.org/officeDocument/2006/relationships/hyperlink" Target="https://www.cadence.com/content/dam/cadence-www/global/en_US/documents/company/investors/2q18-earnings-tables.pdf" TargetMode="External" Id="rId807"/><Relationship Type="http://schemas.openxmlformats.org/officeDocument/2006/relationships/hyperlink" Target="https://www.cadence.com/content/dam/cadence-www/global/en_US/documents/company/investors/2q18-earnings-tables.pdf" TargetMode="External" Id="rId808"/><Relationship Type="http://schemas.openxmlformats.org/officeDocument/2006/relationships/hyperlink" Target="https://www.cadence.com/content/dam/cadence-www/global/en_US/documents/company/investors/2q18-earnings-tables.pdf" TargetMode="External" Id="rId809"/><Relationship Type="http://schemas.openxmlformats.org/officeDocument/2006/relationships/hyperlink" Target="https://www.cadence.com/content/cadence-www/global/en_US/home/company/newsroom/press-releases/pr-ir/2018/cadence-reports-third-quarter-2018-financial-results.html" TargetMode="External" Id="rId810"/><Relationship Type="http://schemas.openxmlformats.org/officeDocument/2006/relationships/hyperlink" Target="https://www.cadence.com/content/dam/cadence-www/global/en_US/documents/company/investors/2q18-earnings-tables.pdf" TargetMode="External" Id="rId811"/><Relationship Type="http://schemas.openxmlformats.org/officeDocument/2006/relationships/hyperlink" Target="https://www.cadence.com/content/dam/cadence-www/global/en_US/documents/company/investors/2q18-earnings-tables.pdf" TargetMode="External" Id="rId812"/><Relationship Type="http://schemas.openxmlformats.org/officeDocument/2006/relationships/hyperlink" Target="https://www.cadence.com/content/dam/cadence-www/global/en_US/documents/company/investors/2q18-earnings-tables.pdf" TargetMode="External" Id="rId813"/><Relationship Type="http://schemas.openxmlformats.org/officeDocument/2006/relationships/hyperlink" Target="https://www.cadence.com/content/dam/cadence-www/global/en_US/documents/company/investors/2q18-earnings-tables.pdf" TargetMode="External" Id="rId814"/><Relationship Type="http://schemas.openxmlformats.org/officeDocument/2006/relationships/hyperlink" Target="https://www.cadence.com/content/dam/cadence-www/global/en_US/documents/company/investors/2q18-earnings-tables.pdf" TargetMode="External" Id="rId815"/><Relationship Type="http://schemas.openxmlformats.org/officeDocument/2006/relationships/hyperlink" Target="https://www.cadence.com/content/dam/cadence-www/global/en_US/documents/company/investors/2q18-earnings-tables.pdf" TargetMode="External" Id="rId816"/><Relationship Type="http://schemas.openxmlformats.org/officeDocument/2006/relationships/hyperlink" Target="https://www.cadence.com/content/dam/cadence-www/global/en_US/documents/company/investors/2q18-earnings-tables.pdf" TargetMode="External" Id="rId817"/><Relationship Type="http://schemas.openxmlformats.org/officeDocument/2006/relationships/hyperlink" Target="https://www.cadence.com/content/dam/cadence-www/global/en_US/documents/company/investors/2q18-earnings-tables.pdf" TargetMode="External" Id="rId818"/><Relationship Type="http://schemas.openxmlformats.org/officeDocument/2006/relationships/hyperlink" Target="https://www.cadence.com/content/dam/cadence-www/global/en_US/documents/company/investors/2q18-earnings-tables.pdf" TargetMode="External" Id="rId819"/><Relationship Type="http://schemas.openxmlformats.org/officeDocument/2006/relationships/hyperlink" Target="https://www.cadence.com/content/dam/cadence-www/global/en_US/documents/company/investors/2q18-earnings-tables.pdf" TargetMode="External" Id="rId820"/><Relationship Type="http://schemas.openxmlformats.org/officeDocument/2006/relationships/hyperlink" Target="https://www.cadence.com/content/dam/cadence-www/global/en_US/documents/company/investors/2q18-earnings-tables.pdf" TargetMode="External" Id="rId821"/><Relationship Type="http://schemas.openxmlformats.org/officeDocument/2006/relationships/hyperlink" Target="https://www.cadence.com/content/dam/cadence-www/global/en_US/documents/company/investors/2q18-earnings-tables.pdf" TargetMode="External" Id="rId822"/><Relationship Type="http://schemas.openxmlformats.org/officeDocument/2006/relationships/hyperlink" Target="https://www.cadence.com/content/dam/cadence-www/global/en_US/documents/company/investors/2q18-earnings-tables.pdf" TargetMode="External" Id="rId823"/><Relationship Type="http://schemas.openxmlformats.org/officeDocument/2006/relationships/hyperlink" Target="https://www.cadence.com/content/dam/cadence-www/global/en_US/documents/company/investors/2q18-earnings-tables.pdf" TargetMode="External" Id="rId824"/><Relationship Type="http://schemas.openxmlformats.org/officeDocument/2006/relationships/hyperlink" Target="https://www.cadence.com/content/dam/cadence-www/global/en_US/documents/company/investors/2q18-earnings-tables.pdf" TargetMode="External" Id="rId825"/><Relationship Type="http://schemas.openxmlformats.org/officeDocument/2006/relationships/hyperlink" Target="https://www.cadence.com/content/dam/cadence-www/global/en_US/documents/company/investors/2q18-earnings-tables.pdf" TargetMode="External" Id="rId826"/><Relationship Type="http://schemas.openxmlformats.org/officeDocument/2006/relationships/hyperlink" Target="https://www.cadence.com/content/dam/cadence-www/global/en_US/documents/company/investors/2q18-earnings-tables.pdf" TargetMode="External" Id="rId827"/><Relationship Type="http://schemas.openxmlformats.org/officeDocument/2006/relationships/hyperlink" Target="https://www.cadence.com/content/dam/cadence-www/global/en_US/documents/company/investors/2q18-earnings-tables.pdf" TargetMode="External" Id="rId828"/><Relationship Type="http://schemas.openxmlformats.org/officeDocument/2006/relationships/hyperlink" Target="https://www.cadence.com/content/dam/cadence-www/global/en_US/documents/company/investors/2q18-earnings-tables.pdf" TargetMode="External" Id="rId829"/><Relationship Type="http://schemas.openxmlformats.org/officeDocument/2006/relationships/hyperlink" Target="https://www.cadence.com/content/dam/cadence-www/global/en_US/documents/company/investors/2q18-earnings-tables.pdf" TargetMode="External" Id="rId830"/><Relationship Type="http://schemas.openxmlformats.org/officeDocument/2006/relationships/hyperlink" Target="https://www.cadence.com/content/dam/cadence-www/global/en_US/documents/company/investors/2q18-earnings-tables.pdf" TargetMode="External" Id="rId831"/><Relationship Type="http://schemas.openxmlformats.org/officeDocument/2006/relationships/hyperlink" Target="https://www.cadence.com/content/dam/cadence-www/global/en_US/documents/company/investors/2q18-earnings-tables.pdf" TargetMode="External" Id="rId832"/><Relationship Type="http://schemas.openxmlformats.org/officeDocument/2006/relationships/hyperlink" Target="https://www.cadence.com/content/dam/cadence-www/global/en_US/documents/company/investors/2q18-earnings-tables.pdf" TargetMode="External" Id="rId833"/><Relationship Type="http://schemas.openxmlformats.org/officeDocument/2006/relationships/hyperlink" Target="https://www.cadence.com/content/dam/cadence-www/global/en_US/documents/company/investors/2q18-earnings-tables.pdf" TargetMode="External" Id="rId834"/><Relationship Type="http://schemas.openxmlformats.org/officeDocument/2006/relationships/hyperlink" Target="https://www.cadence.com/content/dam/cadence-www/global/en_US/documents/company/investors/2q18-earnings-tables.pdf" TargetMode="External" Id="rId835"/><Relationship Type="http://schemas.openxmlformats.org/officeDocument/2006/relationships/hyperlink" Target="https://www.cadence.com/content/dam/cadence-www/global/en_US/documents/company/investors/2q18-earnings-tables.pdf" TargetMode="External" Id="rId836"/><Relationship Type="http://schemas.openxmlformats.org/officeDocument/2006/relationships/hyperlink" Target="https://www.cadence.com/content/dam/cadence-www/global/en_US/documents/company/investors/2q18-earnings-tables.pdf" TargetMode="External" Id="rId837"/><Relationship Type="http://schemas.openxmlformats.org/officeDocument/2006/relationships/hyperlink" Target="https://www.cadence.com/content/dam/cadence-www/global/en_US/documents/company/investors/2q18-earnings-tables.pdf" TargetMode="External" Id="rId838"/><Relationship Type="http://schemas.openxmlformats.org/officeDocument/2006/relationships/hyperlink" Target="https://www.cadence.com/content/dam/cadence-www/global/en_US/documents/company/investors/2q18-earnings-tables.pdf" TargetMode="External" Id="rId839"/><Relationship Type="http://schemas.openxmlformats.org/officeDocument/2006/relationships/hyperlink" Target="https://www.cadence.com/content/dam/cadence-www/global/en_US/documents/company/investors/2q18-earnings-tables.pdf" TargetMode="External" Id="rId840"/><Relationship Type="http://schemas.openxmlformats.org/officeDocument/2006/relationships/hyperlink" Target="https://www.cadence.com/content/dam/cadence-www/global/en_US/documents/company/investors/2q18-earnings-tables.pdf" TargetMode="External" Id="rId841"/><Relationship Type="http://schemas.openxmlformats.org/officeDocument/2006/relationships/hyperlink" Target="https://www.cadence.com/content/dam/cadence-www/global/en_US/documents/company/investors/2q18-earnings-tables.pdf" TargetMode="External" Id="rId842"/><Relationship Type="http://schemas.openxmlformats.org/officeDocument/2006/relationships/hyperlink" Target="https://www.cadence.com/content/dam/cadence-www/global/en_US/documents/company/investors/2q18-earnings-tables.pdf" TargetMode="External" Id="rId843"/><Relationship Type="http://schemas.openxmlformats.org/officeDocument/2006/relationships/hyperlink" Target="https://www.cadence.com/content/dam/cadence-www/global/en_US/documents/company/investors/2q18-earnings-tables.pdf" TargetMode="External" Id="rId844"/><Relationship Type="http://schemas.openxmlformats.org/officeDocument/2006/relationships/hyperlink" Target="https://www.cadence.com/content/dam/cadence-www/global/en_US/documents/company/investors/2q18-earnings-tables.pdf" TargetMode="External" Id="rId845"/><Relationship Type="http://schemas.openxmlformats.org/officeDocument/2006/relationships/hyperlink" Target="https://www.cadence.com/content/dam/cadence-www/global/en_US/documents/company/investors/2q18-earnings-tables.pdf" TargetMode="External" Id="rId846"/><Relationship Type="http://schemas.openxmlformats.org/officeDocument/2006/relationships/hyperlink" Target="https://www.cadence.com/content/dam/cadence-www/global/en_US/documents/company/investors/2q18-earnings-tables.pdf" TargetMode="External" Id="rId847"/><Relationship Type="http://schemas.openxmlformats.org/officeDocument/2006/relationships/hyperlink" Target="https://www.cadence.com/content/dam/cadence-www/global/en_US/documents/company/investors/2q18-earnings-tables.pdf" TargetMode="External" Id="rId848"/><Relationship Type="http://schemas.openxmlformats.org/officeDocument/2006/relationships/hyperlink" Target="https://www.cadence.com/content/dam/cadence-www/global/en_US/documents/company/investors/2q18-earnings-tables.pdf" TargetMode="External" Id="rId849"/><Relationship Type="http://schemas.openxmlformats.org/officeDocument/2006/relationships/hyperlink" Target="https://www.cadence.com/content/dam/cadence-www/global/en_US/documents/company/investors/2q18-earnings-tables.pdf" TargetMode="External" Id="rId850"/><Relationship Type="http://schemas.openxmlformats.org/officeDocument/2006/relationships/hyperlink" Target="https://www.cadence.com/content/cadence-www/global/en_US/home/company/newsroom/press-releases/pr-ir/2018/cadence-reports-first-quarter-2018-financial-results.html" TargetMode="External" Id="rId851"/><Relationship Type="http://schemas.openxmlformats.org/officeDocument/2006/relationships/hyperlink" Target="https://www.cadence.com/content/cadence-www/global/en_US/home/company/newsroom/press-releases/pr-ir/2018/cadence-reports-first-quarter-2018-financial-results.html" TargetMode="External" Id="rId852"/><Relationship Type="http://schemas.openxmlformats.org/officeDocument/2006/relationships/hyperlink" Target="https://www.cadence.com/content/cadence-www/global/en_US/home/company/newsroom/press-releases/pr-ir/2018/cadence-reports-first-quarter-2018-financial-results.html" TargetMode="External" Id="rId853"/><Relationship Type="http://schemas.openxmlformats.org/officeDocument/2006/relationships/hyperlink" Target="https://www.cadence.com/content/cadence-www/global/en_US/home/company/newsroom/press-releases/pr-ir/2018/cadence-reports-first-quarter-2018-financial-results.html" TargetMode="External" Id="rId854"/><Relationship Type="http://schemas.openxmlformats.org/officeDocument/2006/relationships/hyperlink" Target="https://www.cadence.com/content/cadence-www/global/en_US/home/company/newsroom/press-releases/pr-ir/2018/cadence-reports-first-quarter-2018-financial-results.html" TargetMode="External" Id="rId855"/><Relationship Type="http://schemas.openxmlformats.org/officeDocument/2006/relationships/hyperlink" Target="https://www.cadence.com/content/cadence-www/global/en_US/home/company/newsroom/press-releases/pr-ir/2018/cadence-reports-first-quarter-2018-financial-results.html" TargetMode="External" Id="rId856"/><Relationship Type="http://schemas.openxmlformats.org/officeDocument/2006/relationships/hyperlink" Target="https://www.cadence.com/content/cadence-www/global/en_US/home/company/newsroom/press-releases/pr-ir/2018/cadence-reports-first-quarter-2018-financial-results.html" TargetMode="External" Id="rId857"/><Relationship Type="http://schemas.openxmlformats.org/officeDocument/2006/relationships/hyperlink" Target="https://www.cadence.com/content/cadence-www/global/en_US/home/company/newsroom/press-releases/pr-ir/2018/cadence-reports-first-quarter-2018-financial-results.html" TargetMode="External" Id="rId858"/><Relationship Type="http://schemas.openxmlformats.org/officeDocument/2006/relationships/hyperlink" Target="https://www.cadence.com/content/cadence-www/global/en_US/home/company/newsroom/press-releases/pr-ir/2018/cadence-reports-first-quarter-2018-financial-results.html" TargetMode="External" Id="rId859"/><Relationship Type="http://schemas.openxmlformats.org/officeDocument/2006/relationships/hyperlink" Target="https://www.cadence.com/content/cadence-www/global/en_US/home/company/newsroom/press-releases/pr-ir/2018/cadence-reports-first-quarter-2018-financial-results.html" TargetMode="External" Id="rId860"/><Relationship Type="http://schemas.openxmlformats.org/officeDocument/2006/relationships/hyperlink" Target="https://www.cadence.com/content/cadence-www/global/en_US/home/company/newsroom/press-releases/pr-ir/2018/cadence-reports-first-quarter-2018-financial-results.html" TargetMode="External" Id="rId861"/><Relationship Type="http://schemas.openxmlformats.org/officeDocument/2006/relationships/hyperlink" Target="https://www.cadence.com/content/cadence-www/global/en_US/home/company/newsroom/press-releases/pr-ir/2018/cadence-reports-first-quarter-2018-financial-results.html" TargetMode="External" Id="rId862"/><Relationship Type="http://schemas.openxmlformats.org/officeDocument/2006/relationships/hyperlink" Target="https://www.cadence.com/content/cadence-www/global/en_US/home/company/newsroom/press-releases/pr-ir/2018/cadence-reports-first-quarter-2018-financial-results.html" TargetMode="External" Id="rId863"/><Relationship Type="http://schemas.openxmlformats.org/officeDocument/2006/relationships/hyperlink" Target="https://www.cadence.com/content/cadence-www/global/en_US/home/company/newsroom/press-releases/pr-ir/2018/cadence-reports-first-quarter-2018-financial-results.html" TargetMode="External" Id="rId864"/><Relationship Type="http://schemas.openxmlformats.org/officeDocument/2006/relationships/hyperlink" Target="https://www.cadence.com/content/cadence-www/global/en_US/home/company/newsroom/press-releases/pr-ir/2018/cadence-reports-first-quarter-2018-financial-results.html" TargetMode="External" Id="rId865"/><Relationship Type="http://schemas.openxmlformats.org/officeDocument/2006/relationships/hyperlink" Target="https://www.cadence.com/content/cadence-www/global/en_US/home/company/newsroom/press-releases/pr-ir/2018/cadence-reports-first-quarter-2018-financial-results.html" TargetMode="External" Id="rId866"/><Relationship Type="http://schemas.openxmlformats.org/officeDocument/2006/relationships/hyperlink" Target="https://www.cadence.com/content/cadence-www/global/en_US/home/company/newsroom/press-releases/pr-ir/2018/cadence-reports-first-quarter-2018-financial-results.html" TargetMode="External" Id="rId867"/><Relationship Type="http://schemas.openxmlformats.org/officeDocument/2006/relationships/hyperlink" Target="https://www.cadence.com/content/cadence-www/global/en_US/home/company/newsroom/press-releases/pr-ir/2018/cadence-reports-first-quarter-2018-financial-results.html" TargetMode="External" Id="rId868"/><Relationship Type="http://schemas.openxmlformats.org/officeDocument/2006/relationships/hyperlink" Target="https://www.cadence.com/content/cadence-www/global/en_US/home/company/newsroom/press-releases/pr-ir/2018/cadence-reports-first-quarter-2018-financial-results.html" TargetMode="External" Id="rId869"/><Relationship Type="http://schemas.openxmlformats.org/officeDocument/2006/relationships/hyperlink" Target="https://www.cadence.com/content/cadence-www/global/en_US/home/company/newsroom/press-releases/pr-ir/2018/cadence-reports-first-quarter-2018-financial-results.html" TargetMode="External" Id="rId870"/><Relationship Type="http://schemas.openxmlformats.org/officeDocument/2006/relationships/hyperlink" Target="https://www.cadence.com/content/cadence-www/global/en_US/home/company/newsroom/press-releases/pr-ir/2018/cadence-reports-first-quarter-2018-financial-results.html" TargetMode="External" Id="rId871"/><Relationship Type="http://schemas.openxmlformats.org/officeDocument/2006/relationships/hyperlink" Target="https://www.cadence.com/content/cadence-www/global/en_US/home/company/newsroom/press-releases/pr-ir/2018/cadence-reports-first-quarter-2018-financial-results.html" TargetMode="External" Id="rId872"/><Relationship Type="http://schemas.openxmlformats.org/officeDocument/2006/relationships/hyperlink" Target="https://www.cadence.com/content/cadence-www/global/en_US/home/company/newsroom/press-releases/pr-ir/2018/cadence-reports-fourth-quarter-and-fiscal-year-2017-financial-re.html" TargetMode="External" Id="rId873"/><Relationship Type="http://schemas.openxmlformats.org/officeDocument/2006/relationships/hyperlink" Target="https://www.cadence.com/content/cadence-www/global/en_US/home/company/newsroom/press-releases/pr-ir/2018/cadence-reports-fourth-quarter-and-fiscal-year-2017-financial-re.html" TargetMode="External" Id="rId874"/><Relationship Type="http://schemas.openxmlformats.org/officeDocument/2006/relationships/hyperlink" Target="https://www.cadence.com/content/cadence-www/global/en_US/home/company/newsroom/press-releases/pr-ir/2018/cadence-reports-fourth-quarter-and-fiscal-year-2017-financial-re.html" TargetMode="External" Id="rId875"/><Relationship Type="http://schemas.openxmlformats.org/officeDocument/2006/relationships/hyperlink" Target="https://www.cadence.com/content/cadence-www/global/en_US/home/company/newsroom/press-releases/pr-ir/2018/cadence-reports-fourth-quarter-and-fiscal-year-2017-financial-re.html" TargetMode="External" Id="rId876"/><Relationship Type="http://schemas.openxmlformats.org/officeDocument/2006/relationships/hyperlink" Target="https://www.cadence.com/content/cadence-www/global/en_US/home/company/newsroom/press-releases/pr-ir/2018/cadence-reports-fourth-quarter-and-fiscal-year-2017-financial-re.html" TargetMode="External" Id="rId877"/><Relationship Type="http://schemas.openxmlformats.org/officeDocument/2006/relationships/hyperlink" Target="https://www.cadence.com/content/cadence-www/global/en_US/home/company/newsroom/press-releases/pr-ir/2018/cadence-reports-fourth-quarter-and-fiscal-year-2017-financial-re.html" TargetMode="External" Id="rId878"/><Relationship Type="http://schemas.openxmlformats.org/officeDocument/2006/relationships/hyperlink" Target="https://www.cadence.com/content/cadence-www/global/en_US/home/company/newsroom/press-releases/pr-ir/2018/cadence-reports-fourth-quarter-and-fiscal-year-2017-financial-re.html" TargetMode="External" Id="rId879"/><Relationship Type="http://schemas.openxmlformats.org/officeDocument/2006/relationships/hyperlink" Target="https://www.cadence.com/content/dam/cadence-www/global/en_US/documents/company/investors/4q17-earnings-tables.pdf" TargetMode="External" Id="rId880"/><Relationship Type="http://schemas.openxmlformats.org/officeDocument/2006/relationships/hyperlink" Target="https://www.cadence.com/content/dam/cadence-www/global/en_US/documents/company/investors/4q17-earnings-tables.pdf" TargetMode="External" Id="rId881"/><Relationship Type="http://schemas.openxmlformats.org/officeDocument/2006/relationships/hyperlink" Target="https://www.cadence.com/content/dam/cadence-www/global/en_US/documents/company/investors/4q17-earnings-tables.pdf" TargetMode="External" Id="rId882"/><Relationship Type="http://schemas.openxmlformats.org/officeDocument/2006/relationships/hyperlink" Target="https://www.cadence.com/content/dam/cadence-www/global/en_US/documents/company/investors/4q17-earnings-tables.pdf" TargetMode="External" Id="rId883"/><Relationship Type="http://schemas.openxmlformats.org/officeDocument/2006/relationships/hyperlink" Target="https://www.cadence.com/content/dam/cadence-www/global/en_US/documents/company/investors/4q17-earnings-tables.pdf" TargetMode="External" Id="rId884"/><Relationship Type="http://schemas.openxmlformats.org/officeDocument/2006/relationships/hyperlink" Target="https://www.cadence.com/content/dam/cadence-www/global/en_US/documents/company/investors/4q17-earnings-tables.pdf" TargetMode="External" Id="rId885"/><Relationship Type="http://schemas.openxmlformats.org/officeDocument/2006/relationships/hyperlink" Target="https://www.cadence.com/content/dam/cadence-www/global/en_US/documents/company/investors/4q17-earnings-tables.pdf" TargetMode="External" Id="rId886"/><Relationship Type="http://schemas.openxmlformats.org/officeDocument/2006/relationships/hyperlink" Target="https://www.cadence.com/content/dam/cadence-www/global/en_US/documents/company/investors/4q17-earnings-tables.pdf" TargetMode="External" Id="rId887"/><Relationship Type="http://schemas.openxmlformats.org/officeDocument/2006/relationships/hyperlink" Target="https://www.cadence.com/content/dam/cadence-www/global/en_US/documents/company/investors/4q17-earnings-tables.pdf" TargetMode="External" Id="rId888"/><Relationship Type="http://schemas.openxmlformats.org/officeDocument/2006/relationships/hyperlink" Target="https://www.cadence.com/content/dam/cadence-www/global/en_US/documents/company/investors/4q17-earnings-tables.pdf" TargetMode="External" Id="rId889"/><Relationship Type="http://schemas.openxmlformats.org/officeDocument/2006/relationships/hyperlink" Target="https://www.cadence.com/content/dam/cadence-www/global/en_US/documents/company/investors/4q17-earnings-tables.pdf" TargetMode="External" Id="rId890"/><Relationship Type="http://schemas.openxmlformats.org/officeDocument/2006/relationships/hyperlink" Target="https://www.cadence.com/content/dam/cadence-www/global/en_US/documents/company/investors/4q17-earnings-tables.pdf" TargetMode="External" Id="rId891"/><Relationship Type="http://schemas.openxmlformats.org/officeDocument/2006/relationships/hyperlink" Target="https://www.cadence.com/content/dam/cadence-www/global/en_US/documents/company/investors/4q17-earnings-tables.pdf" TargetMode="External" Id="rId892"/><Relationship Type="http://schemas.openxmlformats.org/officeDocument/2006/relationships/hyperlink" Target="https://www.cadence.com/content/dam/cadence-www/global/en_US/documents/company/investors/4q17-earnings-tables.pdf" TargetMode="External" Id="rId893"/><Relationship Type="http://schemas.openxmlformats.org/officeDocument/2006/relationships/hyperlink" Target="https://www.cadence.com/content/cadence-www/global/en_US/home/company/newsroom/press-releases/pr-ir/2017/cadence-reports-third-quarter-2017-financial-results.html" TargetMode="External" Id="rId894"/><Relationship Type="http://schemas.openxmlformats.org/officeDocument/2006/relationships/hyperlink" Target="https://www.cadence.com/content/cadence-www/global/en_US/home/company/newsroom/press-releases/pr-ir/2017/cadence-reports-third-quarter-2017-financial-results.html" TargetMode="External" Id="rId895"/><Relationship Type="http://schemas.openxmlformats.org/officeDocument/2006/relationships/hyperlink" Target="https://www.cadence.com/content/cadence-www/global/en_US/home/company/newsroom/press-releases/pr-ir/2017/cadence-reports-third-quarter-2017-financial-results.html" TargetMode="External" Id="rId896"/><Relationship Type="http://schemas.openxmlformats.org/officeDocument/2006/relationships/hyperlink" Target="https://www.cadence.com/content/cadence-www/global/en_US/home/company/newsroom/press-releases/pr-ir/2017/cadence-reports-third-quarter-2017-financial-results.html" TargetMode="External" Id="rId897"/><Relationship Type="http://schemas.openxmlformats.org/officeDocument/2006/relationships/hyperlink" Target="https://www.cadence.com/content/cadence-www/global/en_US/home/company/newsroom/press-releases/pr-ir/2017/cadence-reports-third-quarter-2017-financial-results.html" TargetMode="External" Id="rId898"/><Relationship Type="http://schemas.openxmlformats.org/officeDocument/2006/relationships/hyperlink" Target="https://www.cadence.com/content/cadence-www/global/en_US/home/company/newsroom/press-releases/pr-ir/2017/cadence-reports-third-quarter-2017-financial-results.html" TargetMode="External" Id="rId899"/><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hyperlink" Target="https://investor.cadence.com/news/news-details/2025/Cadence-Reports-Third-Quarter-2025-Financial-Results/default.aspx" TargetMode="External" Id="rId1"/><Relationship Type="http://schemas.openxmlformats.org/officeDocument/2006/relationships/hyperlink" Target="https://investor.cadence.com/news/news-details/2025/Cadence-Reports-Third-Quarter-2025-Financial-Results/default.aspx" TargetMode="External" Id="rId2"/><Relationship Type="http://schemas.openxmlformats.org/officeDocument/2006/relationships/hyperlink" Target="https://investor.cadence.com/news/news-details/2025/Cadence-Reports-Second-Quarter-2025-Financial-Results/default.aspx" TargetMode="External" Id="rId3"/><Relationship Type="http://schemas.openxmlformats.org/officeDocument/2006/relationships/hyperlink" Target="https://investor.cadence.com/news/news-details/2025/Cadence-Reports-Second-Quarter-2025-Financial-Results/default.aspx" TargetMode="External" Id="rId4"/><Relationship Type="http://schemas.openxmlformats.org/officeDocument/2006/relationships/hyperlink" Target="https://www.cadence.com/en_US/home/company/newsroom/press-releases/pr-ir/2025/cadence-reports-first-quarter-2025-financial-results.html" TargetMode="External" Id="rId5"/><Relationship Type="http://schemas.openxmlformats.org/officeDocument/2006/relationships/hyperlink" Target="https://www.cadence.com/en_US/home/company/newsroom/press-releases/pr-ir/2025/cadence-reports-first-quarter-2025-financial-results.html" TargetMode="External" Id="rId6"/><Relationship Type="http://schemas.openxmlformats.org/officeDocument/2006/relationships/hyperlink" Target="https://www.cadence.com/en_US/home/company/newsroom/press-releases/pr-ir/2025/cadence-reports-fourth-quarter-and-fiscal-year-2024-financial.html" TargetMode="External" Id="rId7"/><Relationship Type="http://schemas.openxmlformats.org/officeDocument/2006/relationships/hyperlink" Target="https://www.cadence.com/en_US/home/company/newsroom/press-releases/pr-ir/2025/cadence-reports-fourth-quarter-and-fiscal-year-2024-financial.html" TargetMode="External" Id="rId8"/><Relationship Type="http://schemas.openxmlformats.org/officeDocument/2006/relationships/hyperlink" Target="https://www.cadence.com/en_US/home/company/newsroom/press-releases/pr-ir/2024/cadence-reports-third-quarter-2024-financial-results.html" TargetMode="External" Id="rId9"/><Relationship Type="http://schemas.openxmlformats.org/officeDocument/2006/relationships/hyperlink" Target="https://www.cadence.com/en_US/home/company/newsroom/press-releases/pr-ir/2024/cadence-reports-third-quarter-2024-financial-results.html" TargetMode="External" Id="rId10"/><Relationship Type="http://schemas.openxmlformats.org/officeDocument/2006/relationships/hyperlink" Target="https://www.cadence.com/en_US/home/company/newsroom/press-releases/pr-ir/2024/cadence-reports-first-quarter-2024-financial-results.html" TargetMode="External" Id="rId11"/><Relationship Type="http://schemas.openxmlformats.org/officeDocument/2006/relationships/hyperlink" Target="https://www.cadence.com/en_US/home/company/newsroom/press-releases/pr-ir/2024/cadence-reports-first-quarter-2024-financial-results.html" TargetMode="External" Id="rId12"/><Relationship Type="http://schemas.openxmlformats.org/officeDocument/2006/relationships/hyperlink" Target="https://www.cadence.com/en_US/home/company/newsroom/press-releases/pr-ir/2024/cadence-reports-first-quarter-2024-financial-results.html" TargetMode="External" Id="rId13"/><Relationship Type="http://schemas.openxmlformats.org/officeDocument/2006/relationships/hyperlink" Target="https://www.cadence.com/en_US/home/company/newsroom/press-releases/pr-ir/2024/cadence-reports-first-quarter-2024-financial-results.html" TargetMode="External" Id="rId14"/><Relationship Type="http://schemas.openxmlformats.org/officeDocument/2006/relationships/hyperlink" Target="https://www.cadence.com/en_US/home/company/newsroom/press-releases/pr-ir/2024/cadence-reports-fourth-quarter-and-fiscal-year-2023-financial.html" TargetMode="External" Id="rId15"/><Relationship Type="http://schemas.openxmlformats.org/officeDocument/2006/relationships/hyperlink" Target="https://www.cadence.com/en_US/home/company/newsroom/press-releases/pr-ir/2024/cadence-reports-fourth-quarter-and-fiscal-year-2023-financial.html" TargetMode="External" Id="rId16"/><Relationship Type="http://schemas.openxmlformats.org/officeDocument/2006/relationships/hyperlink" Target="https://www.cadence.com/en_US/home/company/newsroom/press-releases/pr-ir/2023/cadence-reports-third-quarter-2023-financial-results.html" TargetMode="External" Id="rId17"/><Relationship Type="http://schemas.openxmlformats.org/officeDocument/2006/relationships/hyperlink" Target="https://www.cadence.com/en_US/home/company/newsroom/press-releases/pr-ir/2023/cadence-reports-second-quarter-2023-financial-results.html" TargetMode="External" Id="rId18"/><Relationship Type="http://schemas.openxmlformats.org/officeDocument/2006/relationships/hyperlink" Target="https://www.cadence.com/en_US/home/company/newsroom/press-releases/pr-ir/2023/cadence-reports-first-quarter-2023-financial-results.html" TargetMode="External" Id="rId19"/><Relationship Type="http://schemas.openxmlformats.org/officeDocument/2006/relationships/hyperlink" Target="https://www.cadence.com/en_US/home/company/newsroom/press-releases/pr-ir/2023/cadence-reports-fourth-quarter-and-fiscal-year-2022-financial.html" TargetMode="External" Id="rId20"/><Relationship Type="http://schemas.openxmlformats.org/officeDocument/2006/relationships/hyperlink" Target="https://www.cadence.com/en_US/home/company/newsroom/press-releases/pr-ir/2022/cadence-reports-third-quarter-2022-financial-results.html" TargetMode="External" Id="rId21"/><Relationship Type="http://schemas.openxmlformats.org/officeDocument/2006/relationships/hyperlink" Target="https://www.cadence.com/en_US/home/company/newsroom/press-releases/pr-ir/2022/cadence-reports-second-quarter-2022-financial-results.html" TargetMode="External" Id="rId22"/><Relationship Type="http://schemas.openxmlformats.org/officeDocument/2006/relationships/hyperlink" Target="https://www.cadence.com/en_US/home/company/newsroom/press-releases/pr-ir/2022/cadence-reports-first-quarter-2022-financial-results.html" TargetMode="External" Id="rId23"/><Relationship Type="http://schemas.openxmlformats.org/officeDocument/2006/relationships/hyperlink" Target="https://www.cadence.com/en_US/home/company/newsroom/press-releases/pr-ir/2022/cadence-reports-fourth-quarter-and-fiscal-year-2021-financial.html" TargetMode="External" Id="rId24"/><Relationship Type="http://schemas.openxmlformats.org/officeDocument/2006/relationships/hyperlink" Target="https://www.cadence.com/en_US/home/company/newsroom/press-releases/pr-ir/2021/cadence-reports-third-quarter-2021-financial-results.html" TargetMode="External" Id="rId25"/><Relationship Type="http://schemas.openxmlformats.org/officeDocument/2006/relationships/hyperlink" Target="https://www.cadence.com/en_US/home/company/newsroom/press-releases/pr-ir/2021/cadence-reports-second-quarter-2021-financial-results.html" TargetMode="External" Id="rId26"/><Relationship Type="http://schemas.openxmlformats.org/officeDocument/2006/relationships/hyperlink" Target="https://www.cadence.com/en_US/home/company/newsroom/press-releases/pr-ir/2021/cadence-reports-second-quarter-2021-financial-results.html" TargetMode="External" Id="rId27"/><Relationship Type="http://schemas.openxmlformats.org/officeDocument/2006/relationships/hyperlink" Target="https://www.cadence.com/en_US/home/company/newsroom/press-releases/pr-ir/2021/cadence-reports-first-quarter-2021-financial-results.html" TargetMode="External" Id="rId28"/><Relationship Type="http://schemas.openxmlformats.org/officeDocument/2006/relationships/hyperlink" Target="https://www.cadence.com/en_US/home/company/newsroom/press-releases/pr-ir/2021/cadence-reports-fourth-quarter-2020-financial-results.html" TargetMode="External" Id="rId29"/><Relationship Type="http://schemas.openxmlformats.org/officeDocument/2006/relationships/hyperlink" Target="https://www.cadence.com/en_US/home/company/newsroom/press-releases/pr-ir/2021/cadence-reports-fourth-quarter-2020-financial-results.html" TargetMode="External" Id="rId30"/><Relationship Type="http://schemas.openxmlformats.org/officeDocument/2006/relationships/hyperlink" Target="https://www.cadence.com/en_US/home/company/newsroom/press-releases/pr-ir/2020/cadence-reports-third-quarter-2020-financial-results.html" TargetMode="External" Id="rId31"/><Relationship Type="http://schemas.openxmlformats.org/officeDocument/2006/relationships/hyperlink" Target="https://www.businesswire.com/news/home/20200720005723/en/Cadence-Reports-Quarter-2020-Financial-Results#:~:text=(Nasdaq%3A%20CDNS)%20today%20announced,the%20same%20period%20in%202019." TargetMode="External" Id="rId32"/><Relationship Type="http://schemas.openxmlformats.org/officeDocument/2006/relationships/hyperlink" Target="https://www.cadence.com/en_US/home/company/newsroom/press-releases/pr-ir/2020/cadence-reports-first-quarter-2020-financial-results.html" TargetMode="External" Id="rId33"/><Relationship Type="http://schemas.openxmlformats.org/officeDocument/2006/relationships/hyperlink" Target="https://www.cadence.com/en_US/home/company/newsroom/press-releases/pr-ir/2020/cadence-reports-fourth-quarter-2019-financial-results.html" TargetMode="External" Id="rId34"/><Relationship Type="http://schemas.openxmlformats.org/officeDocument/2006/relationships/hyperlink" Target="https://www.cadence.com/en_US/home/company/newsroom/press-releases/pr-ir/2020/cadence-reports-fourth-quarter-2019-financial-results.html" TargetMode="External" Id="rId35"/><Relationship Type="http://schemas.openxmlformats.org/officeDocument/2006/relationships/hyperlink" Target="https://www.cadence.com/content/cadence-www/global/en_US/home/company/newsroom/press-releases/pr-ir/2019/cadence-reports-third-quarter-2019-financial-results.html" TargetMode="External" Id="rId36"/><Relationship Type="http://schemas.openxmlformats.org/officeDocument/2006/relationships/hyperlink" Target="https://www.cadence.com/content/cadence-www/global/en_US/home/company/newsroom/press-releases/pr-ir/2019/cadence-reports-second-quarter-2019-financial-results.html" TargetMode="External" Id="rId37"/><Relationship Type="http://schemas.openxmlformats.org/officeDocument/2006/relationships/hyperlink" Target="https://www.cadence.com/content/cadence-www/global/en_US/home/company/newsroom/press-releases/pr-ir/2019/cadence-reports-second-quarter-2019-financial-results.html" TargetMode="External" Id="rId38"/><Relationship Type="http://schemas.openxmlformats.org/officeDocument/2006/relationships/hyperlink" Target="https://www.cadence.com/content/dam/cadence-www/global/en_US/documents/company/investors/1q19-earnings-tables.pdf" TargetMode="External" Id="rId39"/><Relationship Type="http://schemas.openxmlformats.org/officeDocument/2006/relationships/hyperlink" Target="https://www.cadence.com/content/cadence-www/global/en_US/home/company/newsroom/press-releases/pr-ir/2019/cadence-reports-fourth-quarter-and-fiscal-year-2018-financial-results.html" TargetMode="External" Id="rId40"/><Relationship Type="http://schemas.openxmlformats.org/officeDocument/2006/relationships/hyperlink" Target="https://www.cadence.com/content/cadence-www/global/en_US/home/company/newsroom/press-releases/pr-ir/2018/cadence-reports-third-quarter-2018-financial-results.html" TargetMode="External" Id="rId41"/><Relationship Type="http://schemas.openxmlformats.org/officeDocument/2006/relationships/hyperlink" Target="https://www.cadence.com/content/cadence-www/global/en_US/home/company/newsroom/press-releases/pr-ir/2018/cadence-reports-second-quarter-2018-financial-results.html" TargetMode="External" Id="rId42"/><Relationship Type="http://schemas.openxmlformats.org/officeDocument/2006/relationships/hyperlink" Target="https://www.cadence.com/content/cadence-www/global/en_US/home/company/newsroom/press-releases/pr-ir/2018/cadence-reports-first-quarter-2018-financial-results.html" TargetMode="External" Id="rId43"/><Relationship Type="http://schemas.openxmlformats.org/officeDocument/2006/relationships/hyperlink" Target="https://www.cadence.com/content/cadence-www/global/en_US/home/company/newsroom/press-releases/pr-ir/2018/cadence-reports-fourth-quarter-and-fiscal-year-2017-financial-re.html" TargetMode="External" Id="rId44"/><Relationship Type="http://schemas.openxmlformats.org/officeDocument/2006/relationships/hyperlink" Target="https://www.cadence.com/content/cadence-www/global/en_US/home/company/newsroom/press-releases/pr-ir/2017/cadence-reports-third-quarter-2017-financial-results.html" TargetMode="External" Id="rId45"/><Relationship Type="http://schemas.openxmlformats.org/officeDocument/2006/relationships/hyperlink" Target="https://www.cadence.com/content/cadence-www/global/en_US/home/company/newsroom/press-releases/pr-ir/2017/cadence-reports-second-quarter-2017-financial-results.html" TargetMode="External" Id="rId46"/><Relationship Type="http://schemas.openxmlformats.org/officeDocument/2006/relationships/hyperlink" Target="https://www.cadence.com/content/cadence-www/global/en_US/home/company/newsroom/press-releases/pr-ir/2017/cadence-reports-first-quarter-2017-financial-results.html" TargetMode="External" Id="rId47"/><Relationship Type="http://schemas.openxmlformats.org/officeDocument/2006/relationships/hyperlink" Target="https://www.cadence.com/content/cadence-www/global/en_US/home/company/newsroom/press-releases/pr-ir/2017/cadence-reports-fourth-quarter-and-fiscal-year-2016-financial-re.html" TargetMode="External" Id="rId48"/><Relationship Type="http://schemas.openxmlformats.org/officeDocument/2006/relationships/hyperlink" Target="https://www.cadence.com/content/cadence-www/global/en_US/home/company/newsroom/press-releases/pr-ir/2016/cadence-reports-third-quarter-2016-financial-results.html" TargetMode="External" Id="rId49"/><Relationship Type="http://schemas.openxmlformats.org/officeDocument/2006/relationships/drawing" Target="/xl/drawings/drawing2.xml" Id="rId50"/></Relationships>
</file>

<file path=xl/worksheets/sheet1.xml><?xml version="1.0" encoding="utf-8"?>
<worksheet xmlns="http://schemas.openxmlformats.org/spreadsheetml/2006/main">
  <sheetPr codeName="Sheet5">
    <outlinePr summaryBelow="1" summaryRight="1"/>
    <pageSetUpPr fitToPage="1"/>
  </sheetPr>
  <dimension ref="A1:AG67"/>
  <sheetViews>
    <sheetView showGridLines="0" tabSelected="1" topLeftCell="A1" workbookViewId="0">
      <selection activeCell="A1" sqref="A1"/>
    </sheetView>
  </sheetViews>
  <sheetFormatPr baseColWidth="8" defaultColWidth="8.664285714285709" defaultRowHeight="14.4"/>
  <cols>
    <col width="5.71428571428571" customWidth="1" style="16" min="1" max="1"/>
    <col width="7.71428571428571" customWidth="1" style="16" min="2" max="2"/>
    <col width="10.2857142857143" customWidth="1" style="16" min="3" max="3"/>
    <col width="13.7142857142857" customWidth="1" style="16" min="4" max="4"/>
    <col width="5.42857142857143" customWidth="1" style="16" min="5" max="5"/>
    <col width="13.7142857142857" customWidth="1" style="16" min="6" max="6"/>
    <col width="6.71428571428571" customWidth="1" style="16" min="7" max="7"/>
    <col width="31.7142857142857" customWidth="1" style="16" min="8" max="8"/>
    <col width="8.71428571428571" customWidth="1" style="16" min="9" max="15"/>
    <col width="45.7142857142857" customWidth="1" style="16" min="16" max="16"/>
    <col width="8.71428571428571" customWidth="1" style="16" min="17" max="22"/>
    <col width="8.71428571428571" customWidth="1" style="16" min="23" max="16384"/>
  </cols>
  <sheetData>
    <row r="1" ht="14.4" customHeight="1" s="972">
      <c r="A1" s="17" t="n"/>
      <c r="B1" s="17" t="n"/>
      <c r="C1" s="17" t="n"/>
      <c r="D1" s="17" t="n"/>
      <c r="E1" s="17" t="n"/>
      <c r="F1" s="17" t="n"/>
      <c r="G1" s="17" t="n"/>
      <c r="H1" s="17" t="n"/>
      <c r="I1" s="17" t="n"/>
      <c r="J1" s="17" t="n"/>
      <c r="K1" s="17" t="n"/>
      <c r="L1" s="17" t="n"/>
      <c r="M1" s="17" t="n"/>
      <c r="N1" s="17" t="n"/>
      <c r="O1" s="17" t="n"/>
      <c r="P1" s="17" t="n"/>
      <c r="Q1" s="17" t="n"/>
      <c r="R1" s="17" t="n"/>
      <c r="S1" s="17" t="n"/>
      <c r="T1" s="17" t="n"/>
      <c r="U1" s="17" t="n"/>
      <c r="V1" s="17" t="n"/>
      <c r="W1" s="17" t="n"/>
    </row>
    <row r="2" ht="14.4" customHeight="1" s="972">
      <c r="A2" s="17" t="n"/>
      <c r="B2" s="17" t="n"/>
      <c r="C2" s="17" t="n"/>
      <c r="D2" s="17" t="n"/>
      <c r="E2" s="17" t="n"/>
      <c r="F2" s="17" t="n"/>
      <c r="G2" s="17" t="n"/>
      <c r="H2" s="17" t="n"/>
      <c r="I2" s="17" t="n"/>
      <c r="J2" s="17" t="n"/>
      <c r="K2" s="17" t="n"/>
      <c r="L2" s="17" t="n"/>
      <c r="M2" s="17" t="n"/>
      <c r="N2" s="17" t="n"/>
      <c r="O2" s="17" t="n"/>
      <c r="P2" s="17" t="n"/>
      <c r="Q2" s="17" t="n"/>
      <c r="R2" s="17" t="n"/>
      <c r="S2" s="17" t="n"/>
      <c r="T2" s="17" t="n"/>
      <c r="U2" s="17" t="n"/>
      <c r="V2" s="17" t="n"/>
      <c r="W2" s="17" t="n"/>
    </row>
    <row r="3" ht="14.4" customHeight="1" s="972">
      <c r="A3" s="17" t="n"/>
      <c r="B3" s="17" t="n"/>
      <c r="C3" s="17" t="n"/>
      <c r="D3" s="17" t="n"/>
      <c r="E3" s="17" t="n"/>
      <c r="F3" s="17" t="n"/>
      <c r="G3" s="17" t="n"/>
      <c r="H3" s="17" t="n"/>
      <c r="I3" s="17" t="n"/>
      <c r="J3" s="17" t="n"/>
      <c r="K3" s="17" t="n"/>
      <c r="L3" s="17" t="n"/>
      <c r="M3" s="17" t="n"/>
      <c r="N3" s="17" t="n"/>
      <c r="O3" s="17" t="n"/>
      <c r="P3" s="17" t="n"/>
      <c r="Q3" s="17" t="n"/>
      <c r="R3" s="17" t="n"/>
      <c r="S3" s="17" t="n"/>
      <c r="T3" s="17" t="n"/>
      <c r="U3" s="17" t="n"/>
      <c r="V3" s="17" t="n"/>
      <c r="W3" s="17" t="n"/>
    </row>
    <row r="4" ht="14.4" customHeight="1" s="972">
      <c r="A4" s="17" t="n"/>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row>
    <row r="5" ht="14.4" customHeight="1" s="972">
      <c r="A5" s="17" t="n"/>
      <c r="B5" s="17" t="n"/>
      <c r="C5" s="17" t="n"/>
      <c r="D5" s="17" t="n"/>
      <c r="E5" s="17" t="n"/>
      <c r="F5" s="17" t="n"/>
      <c r="G5" s="17" t="n"/>
      <c r="H5" s="17" t="n"/>
      <c r="I5" s="17" t="n"/>
      <c r="J5" s="17" t="n"/>
      <c r="K5" s="17" t="n"/>
      <c r="L5" s="17" t="n"/>
      <c r="M5" s="17" t="n"/>
      <c r="N5" s="17" t="n"/>
      <c r="O5" s="17" t="n"/>
      <c r="P5" s="17" t="n"/>
      <c r="Q5" s="17" t="n"/>
      <c r="R5" s="17" t="n"/>
      <c r="S5" s="17" t="n"/>
      <c r="T5" s="17" t="n"/>
      <c r="U5" s="17" t="n"/>
      <c r="V5" s="17" t="n"/>
      <c r="W5" s="17" t="n"/>
    </row>
    <row r="6" ht="18" customHeight="1" s="972">
      <c r="A6" s="17" t="n"/>
      <c r="B6" s="17" t="n"/>
      <c r="C6" s="17" t="n"/>
      <c r="D6" s="17" t="n"/>
      <c r="E6" s="17" t="n"/>
      <c r="F6" s="17" t="n"/>
      <c r="G6" s="17" t="n"/>
      <c r="H6" s="17" t="n"/>
      <c r="I6" s="17" t="n"/>
      <c r="J6" s="17" t="n"/>
      <c r="K6" s="17" t="n"/>
      <c r="L6" s="17" t="n"/>
      <c r="M6" s="492" t="inlineStr">
        <is>
          <t xml:space="preserve">Please contact this email for any model-specific questions: </t>
        </is>
      </c>
      <c r="N6" s="17" t="n"/>
      <c r="O6" s="17" t="n"/>
      <c r="P6" s="17" t="n"/>
      <c r="Q6" s="17" t="n"/>
      <c r="R6" s="17" t="n"/>
      <c r="S6" s="17" t="n"/>
      <c r="T6" s="17" t="n"/>
      <c r="U6" s="17" t="n"/>
      <c r="V6" s="17" t="n"/>
      <c r="W6" s="17" t="n"/>
    </row>
    <row r="7" ht="18" customHeight="1" s="972">
      <c r="A7" s="17" t="n"/>
      <c r="B7" s="17" t="n"/>
      <c r="C7" s="17" t="n"/>
      <c r="D7" s="17" t="n"/>
      <c r="E7" s="17" t="n"/>
      <c r="F7" s="17" t="n"/>
      <c r="G7" s="17" t="n"/>
      <c r="H7" s="17" t="n"/>
      <c r="I7" s="17" t="n"/>
      <c r="J7" s="17" t="n"/>
      <c r="K7" s="17" t="n"/>
      <c r="L7" s="17" t="n"/>
      <c r="M7" s="764" t="inlineStr">
        <is>
          <t>modelsupport@alpha-sense.com</t>
        </is>
      </c>
      <c r="N7" s="764" t="inlineStr">
        <is>
          <t>mailto:support@canalyst.com?subject=Canalyst%20Support:%20Cadence%20Design%20Systems,%20Inc.%20CDNS%20US&amp;body=Model%20Version:%20Q1-2019.21</t>
        </is>
      </c>
      <c r="O7" s="764" t="inlineStr">
        <is>
          <t>mailto:support@canalyst.com?subject=Canalyst%20Support:%20Cadence%20Design%20Systems,%20Inc.%20CDNS%20US&amp;body=Model%20Version:%20Q1-2019.21</t>
        </is>
      </c>
      <c r="P7" s="17" t="n"/>
      <c r="Q7" s="17" t="n"/>
      <c r="R7" s="17" t="n"/>
      <c r="S7" s="17" t="n"/>
      <c r="T7" s="17" t="n"/>
      <c r="U7" s="17" t="n"/>
      <c r="V7" s="17" t="n"/>
      <c r="W7" s="17" t="n"/>
    </row>
    <row r="8" ht="28.8" customHeight="1" s="972">
      <c r="A8" s="17" t="n"/>
      <c r="B8" s="17" t="n"/>
      <c r="C8" s="17" t="n"/>
      <c r="D8" s="17" t="n"/>
      <c r="E8" s="17" t="n"/>
      <c r="F8" s="14" t="n"/>
      <c r="L8" s="17" t="n"/>
      <c r="M8" s="17" t="n"/>
      <c r="N8" s="17" t="n"/>
      <c r="O8" s="17" t="n"/>
      <c r="P8" s="17" t="n"/>
      <c r="Q8" s="17" t="n"/>
      <c r="R8" s="17" t="n"/>
      <c r="S8" s="17" t="n"/>
      <c r="T8" s="17" t="n"/>
      <c r="U8" s="17" t="n"/>
      <c r="V8" s="17" t="n"/>
      <c r="W8" s="17" t="n"/>
    </row>
    <row r="9" ht="18" customHeight="1" s="972">
      <c r="A9" s="17" t="n"/>
      <c r="B9" s="17" t="n"/>
      <c r="C9" s="493" t="inlineStr">
        <is>
          <t>Company Model:</t>
        </is>
      </c>
      <c r="D9" s="494" t="n"/>
      <c r="E9" s="494" t="n"/>
      <c r="F9" s="494" t="n"/>
      <c r="G9" s="494" t="n"/>
      <c r="H9" s="495">
        <f>Model!A1</f>
        <v/>
      </c>
      <c r="I9" s="494" t="n"/>
      <c r="J9" s="494" t="n"/>
      <c r="K9" s="494" t="n"/>
      <c r="L9" s="494" t="n"/>
      <c r="M9" s="640" t="n"/>
      <c r="N9" s="494" t="n"/>
      <c r="O9" s="494" t="n"/>
      <c r="Q9" s="17" t="n"/>
      <c r="R9" s="17" t="n"/>
      <c r="S9" s="17" t="n"/>
      <c r="T9" s="17" t="n"/>
      <c r="U9" s="17" t="n"/>
      <c r="V9" s="17" t="n"/>
      <c r="W9" s="17" t="n"/>
    </row>
    <row r="10" ht="18" customHeight="1" s="972">
      <c r="A10" s="17" t="n"/>
      <c r="B10" s="17" t="n"/>
      <c r="C10" s="496" t="n"/>
      <c r="D10" s="17" t="n"/>
      <c r="E10" s="17" t="n"/>
      <c r="F10" s="17" t="n"/>
      <c r="G10" s="17" t="n"/>
      <c r="H10" s="17" t="n"/>
      <c r="I10" s="17" t="n"/>
      <c r="J10" s="17" t="n"/>
      <c r="K10" s="17" t="n"/>
      <c r="L10" s="17" t="n"/>
      <c r="M10" s="641" t="n"/>
      <c r="N10" s="17" t="n"/>
      <c r="O10" s="17" t="n"/>
      <c r="Q10" s="17" t="n"/>
      <c r="R10" s="17" t="n"/>
      <c r="S10" s="17" t="n"/>
      <c r="T10" s="17" t="n"/>
      <c r="U10" s="17" t="n"/>
      <c r="V10" s="17" t="n"/>
      <c r="W10" s="17" t="n"/>
    </row>
    <row r="11" ht="18" customHeight="1" s="972">
      <c r="A11" s="17" t="n"/>
      <c r="B11" s="17" t="n"/>
      <c r="C11" s="493" t="inlineStr">
        <is>
          <t xml:space="preserve">Updated: </t>
        </is>
      </c>
      <c r="D11" s="17" t="n"/>
      <c r="E11" s="17" t="n"/>
      <c r="F11" s="17" t="n"/>
      <c r="G11" s="17" t="n"/>
      <c r="H11" s="524">
        <f>OFFSET('Update Log'!$C$10,1,0,1,1)</f>
        <v/>
      </c>
      <c r="I11" s="17" t="n"/>
      <c r="J11" s="17" t="n"/>
      <c r="K11" s="17" t="n"/>
      <c r="L11" s="17" t="n"/>
      <c r="M11" s="17" t="n"/>
      <c r="N11" s="17" t="n"/>
      <c r="O11" s="17" t="n"/>
      <c r="Q11" s="17" t="n"/>
      <c r="R11" s="17" t="n"/>
      <c r="S11" s="17" t="n"/>
      <c r="T11" s="17" t="n"/>
      <c r="U11" s="17" t="n"/>
      <c r="V11" s="17" t="n"/>
      <c r="W11" s="17" t="n"/>
    </row>
    <row r="12" ht="18" customHeight="1" s="972">
      <c r="A12" s="17" t="n"/>
      <c r="B12" s="17" t="n"/>
      <c r="C12" s="17" t="n"/>
      <c r="D12" s="17" t="n"/>
      <c r="E12" s="17" t="n"/>
      <c r="F12" s="17" t="n"/>
      <c r="G12" s="17" t="n"/>
      <c r="H12" s="498" t="n"/>
      <c r="I12" s="17" t="n"/>
      <c r="J12" s="17" t="n"/>
      <c r="K12" s="17" t="n"/>
      <c r="L12" s="17" t="n"/>
      <c r="M12" s="493" t="inlineStr">
        <is>
          <t>Comments on Model:</t>
        </is>
      </c>
      <c r="N12" s="17" t="n"/>
      <c r="O12" s="17" t="n"/>
      <c r="Q12" s="17" t="n"/>
      <c r="R12" s="17" t="n"/>
      <c r="S12" s="17" t="n"/>
      <c r="T12" s="17" t="n"/>
      <c r="U12" s="17" t="n"/>
      <c r="V12" s="17" t="n"/>
      <c r="W12" s="17" t="n"/>
    </row>
    <row r="13" ht="18" customHeight="1" s="972">
      <c r="A13" s="17" t="n"/>
      <c r="B13" s="17" t="n"/>
      <c r="C13" s="493" t="inlineStr">
        <is>
          <t>For:</t>
        </is>
      </c>
      <c r="D13" s="17" t="n"/>
      <c r="E13" s="17" t="n"/>
      <c r="F13" s="17" t="n"/>
      <c r="G13" s="17" t="n"/>
      <c r="H13" s="525">
        <f>OFFSET('Update Log'!$E$10,1,0,1,1)</f>
        <v/>
      </c>
      <c r="I13" s="17" t="n"/>
      <c r="J13" s="17" t="n"/>
      <c r="K13" s="17" t="n"/>
      <c r="L13" s="17" t="n"/>
      <c r="M13" s="4" t="n"/>
      <c r="Q13" s="17" t="n"/>
      <c r="R13" s="17" t="n"/>
      <c r="S13" s="17" t="n"/>
      <c r="T13" s="17" t="n"/>
      <c r="U13" s="17" t="n"/>
      <c r="V13" s="17" t="n"/>
      <c r="W13" s="17" t="n"/>
    </row>
    <row r="14" ht="14.4" customHeight="1" s="972">
      <c r="A14" s="17" t="n"/>
      <c r="B14" s="17" t="n"/>
      <c r="C14" s="17" t="n"/>
      <c r="D14" s="17" t="n"/>
      <c r="E14" s="17" t="n"/>
      <c r="F14" s="17" t="n"/>
      <c r="G14" s="17" t="n"/>
      <c r="H14" s="17" t="n"/>
      <c r="I14" s="17" t="n"/>
      <c r="J14" s="17" t="n"/>
      <c r="K14" s="17" t="n"/>
      <c r="L14" s="17" t="n"/>
      <c r="Q14" s="17" t="n"/>
      <c r="R14" s="17" t="n"/>
      <c r="S14" s="17" t="n"/>
      <c r="T14" s="17" t="n"/>
      <c r="U14" s="17" t="n"/>
      <c r="V14" s="17" t="n"/>
      <c r="W14" s="17" t="n"/>
    </row>
    <row r="15" ht="18.75" customHeight="1" s="972">
      <c r="A15" s="17" t="n"/>
      <c r="B15" s="17" t="n"/>
      <c r="C15" s="493" t="inlineStr">
        <is>
          <t>Consensus Data and Real-Time Stock Price:</t>
        </is>
      </c>
      <c r="D15" s="494" t="n"/>
      <c r="E15" s="494" t="n"/>
      <c r="F15" s="494" t="n"/>
      <c r="G15" s="494" t="n"/>
      <c r="H15" s="526" t="inlineStr">
        <is>
          <t>Bloomberg</t>
        </is>
      </c>
      <c r="I15" s="17" t="n"/>
      <c r="J15" s="499" t="n"/>
      <c r="K15" s="17" t="n"/>
      <c r="L15" s="17" t="n"/>
      <c r="Q15" s="17" t="n"/>
      <c r="R15" s="17" t="n"/>
      <c r="S15" s="17" t="n"/>
      <c r="T15" s="17" t="n"/>
      <c r="U15" s="17" t="n"/>
      <c r="V15" s="17" t="n"/>
      <c r="W15" s="17" t="n"/>
    </row>
    <row r="16" ht="15" customHeight="1" s="972">
      <c r="A16" s="17" t="n"/>
      <c r="B16" s="17" t="n"/>
      <c r="C16" s="494" t="n"/>
      <c r="D16" s="15" t="n"/>
      <c r="E16" s="15" t="n"/>
      <c r="F16" s="15" t="n"/>
      <c r="G16" s="15" t="n"/>
      <c r="H16" s="500">
        <f>IF(FP.DataSourceName="Bloomberg",1,IF(FP.DataSourceName="Capital IQ",2,IF(FP.DataSourceName="FactSet",3,IF(FP.DataSourceName="Refinitiv",4))))</f>
        <v/>
      </c>
      <c r="I16" s="501" t="n"/>
      <c r="J16" s="499" t="n"/>
      <c r="K16" s="17" t="n"/>
      <c r="L16" s="17" t="n"/>
      <c r="Q16" s="17" t="n"/>
      <c r="R16" s="17" t="n"/>
      <c r="S16" s="17" t="n"/>
      <c r="T16" s="17" t="n"/>
      <c r="U16" s="17" t="n"/>
      <c r="V16" s="17" t="n"/>
      <c r="W16" s="17" t="n"/>
    </row>
    <row r="17" ht="18" customFormat="1" customHeight="1" s="31">
      <c r="A17" s="15" t="n"/>
      <c r="B17" s="15" t="n"/>
      <c r="C17" s="496" t="n"/>
      <c r="D17" s="15" t="n"/>
      <c r="E17" s="15" t="n"/>
      <c r="F17" s="15" t="n"/>
      <c r="G17" s="15" t="n"/>
      <c r="H17" s="15" t="n"/>
      <c r="I17" s="501" t="n"/>
      <c r="J17" s="499" t="n"/>
      <c r="K17" s="17" t="n"/>
      <c r="L17" s="17" t="n"/>
      <c r="Q17" s="15" t="n"/>
      <c r="R17" s="15" t="n"/>
      <c r="S17" s="15" t="n"/>
      <c r="T17" s="15" t="n"/>
      <c r="U17" s="15" t="n"/>
      <c r="V17" s="15" t="n"/>
      <c r="W17" s="17" t="n"/>
    </row>
    <row r="18" ht="18.75" customFormat="1" customHeight="1" s="31">
      <c r="A18" s="15" t="n"/>
      <c r="B18" s="15" t="n"/>
      <c r="C18" s="493" t="inlineStr">
        <is>
          <t>Real-Time Stock Price:</t>
        </is>
      </c>
      <c r="D18" s="494" t="n"/>
      <c r="E18" s="494" t="n"/>
      <c r="F18" s="494" t="n"/>
      <c r="G18" s="494" t="n"/>
      <c r="H18" s="526" t="inlineStr">
        <is>
          <t>OFF</t>
        </is>
      </c>
      <c r="I18" s="502" t="n"/>
      <c r="J18" s="502" t="n"/>
      <c r="K18" s="17" t="n"/>
      <c r="L18" s="17" t="n"/>
      <c r="Q18" s="15" t="n"/>
      <c r="R18" s="15" t="n"/>
      <c r="S18" s="15" t="n"/>
      <c r="T18" s="15" t="n"/>
      <c r="U18" s="15" t="n"/>
      <c r="V18" s="15" t="n"/>
      <c r="W18" s="17" t="n"/>
    </row>
    <row r="19" ht="14.4" customFormat="1" customHeight="1" s="31">
      <c r="A19" s="15" t="n"/>
      <c r="B19" s="15" t="n"/>
      <c r="C19" s="494" t="n"/>
      <c r="D19" s="15" t="n"/>
      <c r="E19" s="15" t="n"/>
      <c r="F19" s="15" t="n"/>
      <c r="G19" s="15" t="n"/>
      <c r="H19" s="15" t="n"/>
      <c r="I19" s="501" t="n"/>
      <c r="J19" s="499" t="n"/>
      <c r="K19" s="17" t="n"/>
      <c r="L19" s="17" t="n"/>
      <c r="Q19" s="15" t="n"/>
      <c r="R19" s="15" t="n"/>
      <c r="S19" s="15" t="n"/>
      <c r="T19" s="15" t="n"/>
      <c r="U19" s="15" t="n"/>
      <c r="V19" s="15" t="n"/>
      <c r="W19" s="17" t="n"/>
    </row>
    <row r="20" ht="18.75" customFormat="1" customHeight="1" s="31">
      <c r="A20" s="15" t="n"/>
      <c r="B20" s="15" t="n"/>
      <c r="C20" s="503" t="inlineStr">
        <is>
          <t>Stock Price Override:</t>
        </is>
      </c>
      <c r="D20" s="15" t="n"/>
      <c r="E20" s="15" t="n"/>
      <c r="F20" s="1313" t="n">
        <v>45961</v>
      </c>
      <c r="G20" s="15" t="n"/>
      <c r="H20" s="1314" t="n">
        <v>338.69</v>
      </c>
      <c r="I20" s="501" t="n"/>
      <c r="J20" s="499" t="n"/>
      <c r="K20" s="17" t="n"/>
      <c r="L20" s="17" t="n"/>
      <c r="Q20" s="15" t="n"/>
      <c r="R20" s="15" t="n"/>
      <c r="S20" s="15" t="n"/>
      <c r="T20" s="15" t="n"/>
      <c r="U20" s="15" t="n"/>
      <c r="V20" s="15" t="n"/>
      <c r="W20" s="17" t="n"/>
    </row>
    <row r="21" ht="14.4" customFormat="1" customHeight="1" s="31">
      <c r="A21" s="15" t="n"/>
      <c r="B21" s="15" t="n"/>
      <c r="C21" s="15" t="n"/>
      <c r="D21" s="17" t="n"/>
      <c r="E21" s="17" t="n"/>
      <c r="F21" s="17" t="n"/>
      <c r="G21" s="17" t="n"/>
      <c r="H21" s="17" t="n"/>
      <c r="I21" s="17" t="n"/>
      <c r="J21" s="17" t="n"/>
      <c r="K21" s="17" t="n"/>
      <c r="L21" s="17" t="n"/>
      <c r="M21" s="17" t="n"/>
      <c r="N21" s="15" t="n"/>
      <c r="O21" s="15" t="n"/>
      <c r="P21" s="15" t="n"/>
      <c r="Q21" s="15" t="n"/>
      <c r="R21" s="15" t="n"/>
      <c r="S21" s="15" t="n"/>
      <c r="T21" s="15" t="n"/>
      <c r="U21" s="15" t="n"/>
      <c r="V21" s="15" t="n"/>
      <c r="W21" s="15" t="n"/>
    </row>
    <row r="22" ht="16.2" customHeight="1" s="972">
      <c r="A22" s="17" t="n"/>
      <c r="B22" s="17" t="n"/>
      <c r="C22" s="1315" t="inlineStr">
        <is>
          <t>DISCLAIMER
Access to and use of this model, including the data contained herein (this "Model") is subject to Tegus, Inc.'s (a successor entity to Canalyst Financial Modeling Corporation) ("Company") Terms of Use that you accepted prior to accessing this Model, the applicable Service Agreement between the Company and you (or a corporate entity that has authorized you to access and use this Model on its behalf in accordance with the terms of such Service Agreement) or other similar agreement between you and the Company. BY CONTINUING TO ACCESS OR USE THIS MODEL, YOU EXPRESSLY AGREE TO THE TERMS AND CONDITIONS OF SUCH AGREEMENTS.
The Company and certain of its licensors have exclusive proprietary rights in this Model. This Model is being provided for internal use only. Unless prior written consent by the Company and its licensors has been provided to you, you may not distribute or otherwise furnish this Model to any third party, nor use or permit anyone to use this Model for any unlawful or unauthorized purpose. IF YOU HAVE UNLAWFULLY OBTAINED, OR ARE NOT AUTHORIZED TO USE THIS MODEL, YOU ARE OBLIGATED TO PROMPTLY: (I) RETURN THIS MODEL (AND ANY DERIVATIVE WORKS ARISING FROM OR RELATING THERETO) TO THE AUTHORIZED USER OF THIS MODEL; (II) PROVIDE NOTICE TO THE COMPANY AT LEGAL@TEGUS.COM OF SUCH UNLAWFUL OR UNAUTHORIZED ACCESS AND USE; AND, (III) CERTIFY THAT YOU HAVE DESTROYED THIS MODEL (AND ANY DERIVATIVE WORKS ARISING FROM OR RELATING THERETO) AND ANY COPIES FROM YOUR SYSTEMS SO AS TO ENSURE THEY ARE INCAPABLE OF RETRIEVAL.
A portion of the data contained in this Model may be powered by third party contributors and their respective licensors, or derived from data provided by such contributors, including (but not limited to): (i) QuoteMedia Inc.: A portion of the market data is powered by Quotemedia.com. All rights reserved. Data delayed 15 minutes unless otherwise indicated; (ii) S&amp;P Global Market Intelligence LLC: Copyright (c) {{YEAR}} S&amp;P Global Market Intelligence LLC (and its affiliates as applicable). All rights reserved. Reproduction of any information, opinions, views, data or material, including ratings ("Content") in any form is prohibited except with the prior written permission of the relevant party. Such party, its affiliates and suppliers ("Content Providers") do not guarantee the accuracy, adequacy, completeness, timeliness or availability of any Content and are not responsible for any errors or omissions (negligent or otherwise), regardless of the cause, or for the results obtained from the use of such Content. In no event shall Content Providers be liable for any damages, costs, expenses, legal fees, or losses (including lost income or lost profit and opportunity costs) in connection with any use of the Content. A reference to a particular investment or security, a rating or any observation concerning an investment that is part of the Content is not a recommendation to buy, sell or hold such investment or security, does not address the suitability of an investment or security and should not be relied on as investment advice. Credit ratings are statements of opinions and are not statements of fact; and, (iii) Refinitiv Canada Holdings Limited: A portion of the information may be provided by or derived from data provided by Refinitiv.
By accessing or using this Model (including any portion of the data contained herein) you expressly represent that such access or use does not constitute a violation of any applicable law or regulation to which you or the securities are subject.
This Model does not constitute investment advice by the Company or any of its licensors. Reference to a particular investment or security, credit rating or any observation concerning a security or investment in this Model is not a recommendation or solicitation to buy, sell or hold such investment or security or make any other investment decisions. For greater certainty, any forecasts or forward-looking information expressed herein are for illustrative purposes only and do not purport to express any view on what may transpire. Neither the Company nor any of its licensors have performed company-specific research on any projected information, as such, it is your responsibility to express your own views on projected results. This Model does not guarantee future performance and undue reliance should not be placed on such. You are solely responsible for evaluating the merits and risks of any investment based on your own business and financial expertise, the business and financial expertise of professional advisors with whom you have consulted, your financial situation and risk tolerance. Neither the Company, nor any of its licensors, undertake any liability with respect to your reliance on this Model.
This Model is a quantitative tool with no investment views. The Company and its respective directors, officers, employees, agents, contractors, and affiliates may hold long or short positions in the security to which this Model relates, based on their personal views, and may initiate or close out any positions in such security at any time without any notice.
THIS MODEL IS PROVIDED "AS IS" AND ON AN "AS AVAILABLE" BASIS ONLY, WITHOUT WARRANTIES OR CONDITIONS OF ANY KIND. NEITHER THE COMPANY NOR ANY OF ITS LICENSORS NOR THEIR RESPECTIVE AFFILIATES OR SUPPLIERS HAVE LIABILITY FOR THE ACCURACY, TIMELINESS OR COMPLETENESS OF THIS MODEL, OR FOR DELAYS, INTERRUPTIONS OR OMISSIONS HEREIN, NOR FOR ANY LOST PROFITS, INDIRECT, SPECIAL OR CONSEQUENTIAL DAMAGES. Access to data in this Model that is sourced from third party contributors is subject to termination in the event that any agreement between the Company and such third party contributors terminates for any reason.
Copyright 2023 Tegus. All rights reserved.</t>
        </is>
      </c>
      <c r="D22" s="1316" t="n"/>
      <c r="E22" s="1316" t="n"/>
      <c r="F22" s="1316" t="n"/>
      <c r="G22" s="1316" t="n"/>
      <c r="H22" s="1316" t="n"/>
      <c r="I22" s="1316" t="n"/>
      <c r="J22" s="1316" t="n"/>
      <c r="K22" s="1316" t="n"/>
      <c r="L22" s="1316" t="n"/>
      <c r="M22" s="1316" t="n"/>
      <c r="N22" s="1316" t="n"/>
      <c r="O22" s="1316" t="n"/>
      <c r="P22" s="1317" t="n"/>
      <c r="Q22" s="17" t="n"/>
      <c r="R22" s="17" t="n"/>
      <c r="S22" s="17" t="n"/>
      <c r="T22" s="17" t="n"/>
      <c r="U22" s="17" t="n"/>
      <c r="V22" s="17" t="n"/>
      <c r="W22" s="17" t="n"/>
    </row>
    <row r="23" ht="16.2" customHeight="1" s="972">
      <c r="A23" s="17" t="n"/>
      <c r="B23" s="17" t="n"/>
      <c r="C23" s="1318" t="n"/>
      <c r="P23" s="1319" t="n"/>
      <c r="Q23" s="17" t="n"/>
      <c r="R23" s="17" t="n"/>
      <c r="S23" s="17" t="n"/>
      <c r="T23" s="17" t="n"/>
      <c r="U23" s="17" t="n"/>
      <c r="V23" s="17" t="n"/>
      <c r="W23" s="17" t="n"/>
    </row>
    <row r="24" ht="16.2" customHeight="1" s="972">
      <c r="A24" s="17" t="n"/>
      <c r="B24" s="17" t="n"/>
      <c r="C24" s="1318" t="n"/>
      <c r="P24" s="1319" t="n"/>
      <c r="Q24" s="17" t="n"/>
      <c r="R24" s="17" t="n"/>
      <c r="S24" s="17" t="n"/>
      <c r="T24" s="17" t="n"/>
      <c r="U24" s="17" t="n"/>
      <c r="V24" s="17" t="n"/>
      <c r="W24" s="17" t="n"/>
    </row>
    <row r="25" ht="16.2" customHeight="1" s="972">
      <c r="A25" s="17" t="n"/>
      <c r="B25" s="17" t="n"/>
      <c r="C25" s="1318" t="n"/>
      <c r="P25" s="1319" t="n"/>
      <c r="Q25" s="17" t="n"/>
      <c r="R25" s="17" t="n"/>
      <c r="S25" s="17" t="n"/>
      <c r="T25" s="17" t="n"/>
      <c r="U25" s="17" t="n"/>
      <c r="V25" s="17" t="n"/>
      <c r="W25" s="17" t="n"/>
    </row>
    <row r="26" ht="16.2" customHeight="1" s="972">
      <c r="A26" s="17" t="n"/>
      <c r="B26" s="17" t="n"/>
      <c r="C26" s="1318" t="n"/>
      <c r="P26" s="1319" t="n"/>
      <c r="Q26" s="17" t="n"/>
      <c r="R26" s="17" t="n"/>
      <c r="S26" s="17" t="n"/>
      <c r="T26" s="17" t="n"/>
      <c r="U26" s="17" t="n"/>
      <c r="V26" s="17" t="n"/>
      <c r="W26" s="17" t="n"/>
    </row>
    <row r="27" ht="16.2" customHeight="1" s="972">
      <c r="A27" s="17" t="n"/>
      <c r="B27" s="17" t="n"/>
      <c r="C27" s="1318" t="n"/>
      <c r="P27" s="1319" t="n"/>
      <c r="Q27" s="17" t="n"/>
      <c r="R27" s="17" t="n"/>
      <c r="S27" s="17" t="n"/>
      <c r="T27" s="17" t="n"/>
      <c r="U27" s="17" t="n"/>
      <c r="V27" s="17" t="n"/>
      <c r="W27" s="17" t="n"/>
    </row>
    <row r="28" ht="16.2" customHeight="1" s="972">
      <c r="A28" s="17" t="n"/>
      <c r="B28" s="17" t="n"/>
      <c r="C28" s="1318" t="n"/>
      <c r="P28" s="1319" t="n"/>
      <c r="Q28" s="17" t="n"/>
      <c r="R28" s="17" t="n"/>
      <c r="S28" s="17" t="n"/>
      <c r="T28" s="17" t="n"/>
      <c r="U28" s="17" t="n"/>
      <c r="V28" s="17" t="n"/>
      <c r="W28" s="17" t="n"/>
    </row>
    <row r="29" ht="16.2" customHeight="1" s="972">
      <c r="A29" s="17" t="n"/>
      <c r="B29" s="17" t="n"/>
      <c r="C29" s="1318" t="n"/>
      <c r="P29" s="1319" t="n"/>
      <c r="Q29" s="17" t="n"/>
      <c r="R29" s="17" t="n"/>
      <c r="S29" s="17" t="n"/>
      <c r="T29" s="17" t="n"/>
      <c r="U29" s="17" t="n"/>
      <c r="V29" s="17" t="n"/>
      <c r="W29" s="17" t="n"/>
    </row>
    <row r="30" ht="16.2" customHeight="1" s="972">
      <c r="A30" s="17" t="n"/>
      <c r="B30" s="17" t="n"/>
      <c r="C30" s="1318" t="n"/>
      <c r="P30" s="1319" t="n"/>
      <c r="Q30" s="17" t="n"/>
      <c r="R30" s="17" t="n"/>
      <c r="S30" s="17" t="n"/>
      <c r="T30" s="17" t="n"/>
      <c r="U30" s="17" t="n"/>
      <c r="V30" s="17" t="n"/>
      <c r="W30" s="17" t="n"/>
    </row>
    <row r="31" ht="16.2" customHeight="1" s="972">
      <c r="A31" s="17" t="n"/>
      <c r="B31" s="17" t="n"/>
      <c r="C31" s="1318" t="n"/>
      <c r="P31" s="1319" t="n"/>
      <c r="Q31" s="17" t="n"/>
      <c r="R31" s="17" t="n"/>
      <c r="S31" s="17" t="n"/>
      <c r="T31" s="17" t="n"/>
      <c r="U31" s="17" t="n"/>
      <c r="V31" s="17" t="n"/>
      <c r="W31" s="17" t="n"/>
    </row>
    <row r="32" ht="16.2" customHeight="1" s="972">
      <c r="A32" s="17" t="n"/>
      <c r="B32" s="17" t="n"/>
      <c r="C32" s="1318" t="n"/>
      <c r="P32" s="1319" t="n"/>
      <c r="Q32" s="17" t="n"/>
      <c r="R32" s="17" t="n"/>
      <c r="S32" s="17" t="n"/>
      <c r="T32" s="17" t="n"/>
      <c r="U32" s="17" t="n"/>
      <c r="V32" s="17" t="n"/>
      <c r="W32" s="17" t="n"/>
    </row>
    <row r="33" ht="16.2" customHeight="1" s="972">
      <c r="A33" s="17" t="n"/>
      <c r="B33" s="17" t="n"/>
      <c r="C33" s="1318" t="n"/>
      <c r="P33" s="1319" t="n"/>
      <c r="Q33" s="17" t="n"/>
      <c r="R33" s="17" t="n"/>
      <c r="S33" s="17" t="n"/>
      <c r="T33" s="17" t="n"/>
      <c r="U33" s="17" t="n"/>
      <c r="V33" s="17" t="n"/>
      <c r="W33" s="17" t="n"/>
    </row>
    <row r="34" ht="16.2" customHeight="1" s="972">
      <c r="A34" s="17" t="n"/>
      <c r="B34" s="17" t="n"/>
      <c r="C34" s="1318" t="n"/>
      <c r="P34" s="1319" t="n"/>
      <c r="Q34" s="17" t="n"/>
      <c r="R34" s="17" t="n"/>
      <c r="S34" s="17" t="n"/>
      <c r="T34" s="17" t="n"/>
      <c r="U34" s="17" t="n"/>
      <c r="V34" s="17" t="n"/>
      <c r="W34" s="17" t="n"/>
    </row>
    <row r="35" ht="16.2" customHeight="1" s="972">
      <c r="A35" s="17" t="n"/>
      <c r="B35" s="17" t="n"/>
      <c r="C35" s="1318" t="n"/>
      <c r="P35" s="1319" t="n"/>
      <c r="Q35" s="17" t="n"/>
      <c r="R35" s="17" t="n"/>
      <c r="S35" s="17" t="n"/>
      <c r="T35" s="17" t="n"/>
      <c r="U35" s="17" t="n"/>
      <c r="V35" s="17" t="n"/>
      <c r="W35" s="17" t="n"/>
    </row>
    <row r="36" ht="16.2" customHeight="1" s="972">
      <c r="A36" s="17" t="n"/>
      <c r="B36" s="17" t="n"/>
      <c r="C36" s="1318" t="n"/>
      <c r="P36" s="1319" t="n"/>
      <c r="Q36" s="17" t="n"/>
      <c r="R36" s="17" t="n"/>
      <c r="S36" s="17" t="n"/>
      <c r="T36" s="17" t="n"/>
      <c r="U36" s="17" t="n"/>
      <c r="V36" s="17" t="n"/>
      <c r="W36" s="17" t="n"/>
    </row>
    <row r="37" ht="16.2" customHeight="1" s="972">
      <c r="A37" s="17" t="n"/>
      <c r="B37" s="17" t="n"/>
      <c r="C37" s="1318" t="n"/>
      <c r="P37" s="1319" t="n"/>
      <c r="Q37" s="17" t="n"/>
      <c r="R37" s="17" t="n"/>
      <c r="S37" s="17" t="n"/>
      <c r="T37" s="17" t="n"/>
      <c r="U37" s="17" t="n"/>
      <c r="V37" s="17" t="n"/>
      <c r="W37" s="17" t="n"/>
    </row>
    <row r="38" ht="16.2" customHeight="1" s="972">
      <c r="A38" s="17" t="n"/>
      <c r="B38" s="17" t="n"/>
      <c r="C38" s="1318" t="n"/>
      <c r="P38" s="1319" t="n"/>
      <c r="Q38" s="17" t="n"/>
      <c r="R38" s="17" t="n"/>
      <c r="S38" s="17" t="n"/>
      <c r="T38" s="17" t="n"/>
      <c r="U38" s="17" t="n"/>
      <c r="V38" s="17" t="n"/>
      <c r="W38" s="17" t="n"/>
    </row>
    <row r="39" ht="16.2" customHeight="1" s="972">
      <c r="A39" s="17" t="n"/>
      <c r="B39" s="17" t="n"/>
      <c r="C39" s="1318" t="n"/>
      <c r="P39" s="1319" t="n"/>
      <c r="Q39" s="17" t="n"/>
      <c r="R39" s="17" t="n"/>
      <c r="S39" s="17" t="n"/>
      <c r="T39" s="17" t="n"/>
      <c r="U39" s="17" t="n"/>
      <c r="V39" s="17" t="n"/>
      <c r="W39" s="17" t="n"/>
    </row>
    <row r="40" ht="16.2" customHeight="1" s="972">
      <c r="A40" s="17" t="n"/>
      <c r="B40" s="17" t="n"/>
      <c r="C40" s="1318" t="n"/>
      <c r="P40" s="1319" t="n"/>
      <c r="Q40" s="17" t="n"/>
      <c r="R40" s="17" t="n"/>
      <c r="S40" s="17" t="n"/>
      <c r="T40" s="17" t="n"/>
      <c r="U40" s="17" t="n"/>
      <c r="V40" s="17" t="n"/>
      <c r="W40" s="17" t="n"/>
    </row>
    <row r="41" ht="16.2" customHeight="1" s="972">
      <c r="A41" s="17" t="n"/>
      <c r="B41" s="17" t="n"/>
      <c r="C41" s="1320" t="n"/>
      <c r="D41" s="1321" t="n"/>
      <c r="E41" s="1321" t="n"/>
      <c r="F41" s="1321" t="n"/>
      <c r="G41" s="1321" t="n"/>
      <c r="H41" s="1321" t="n"/>
      <c r="I41" s="1321" t="n"/>
      <c r="J41" s="1321" t="n"/>
      <c r="K41" s="1321" t="n"/>
      <c r="L41" s="1321" t="n"/>
      <c r="M41" s="1321" t="n"/>
      <c r="N41" s="1321" t="n"/>
      <c r="O41" s="1321" t="n"/>
      <c r="P41" s="1322" t="n"/>
      <c r="Q41" s="17" t="n"/>
      <c r="R41" s="17" t="n"/>
      <c r="S41" s="17" t="n"/>
      <c r="T41" s="17" t="n"/>
      <c r="U41" s="17" t="n"/>
      <c r="V41" s="17" t="n"/>
      <c r="W41" s="17" t="n"/>
    </row>
    <row r="42" ht="14.4" customHeight="1" s="97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row>
    <row r="43" ht="14.4" customHeight="1" s="972">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row>
    <row r="44" ht="14.4" customHeight="1" s="972">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row>
    <row r="45" ht="14.4" customHeight="1" s="972">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row>
    <row r="46" ht="14.4" customHeight="1" s="972">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row>
    <row r="47" ht="14.4" customHeight="1" s="972">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row>
    <row r="48" ht="14.4" customHeight="1" s="972">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row>
    <row r="49" ht="14.4" customHeight="1" s="972">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row>
    <row r="50" ht="14.4" customHeight="1" s="972">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row>
    <row r="51" ht="14.4" customHeight="1" s="972">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row>
    <row r="52" ht="14.4" customHeight="1" s="97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row>
    <row r="53" ht="14.4" customHeight="1" s="972">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row>
    <row r="54" ht="14.4" customHeight="1" s="972">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row>
    <row r="55" ht="14.4" customHeight="1" s="972">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row>
    <row r="56" ht="14.4" customHeight="1" s="972">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row>
    <row r="57" ht="14.4" customHeight="1" s="972">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row>
    <row r="67" ht="14.4" customHeight="1" s="972">
      <c r="AG67" s="570" t="n"/>
    </row>
  </sheetData>
  <mergeCells count="3">
    <mergeCell ref="M13:P20"/>
    <mergeCell ref="F8:K8"/>
    <mergeCell ref="C22:P41"/>
  </mergeCells>
  <conditionalFormatting sqref="C20:H20">
    <cfRule type="expression" priority="56" dxfId="10">
      <formula>AND(FP.RealTimeToggle="ON",MO.RealTime="ON")</formula>
    </cfRule>
  </conditionalFormatting>
  <dataValidations count="3">
    <dataValidation sqref="H18" showDropDown="0" showInputMessage="1" showErrorMessage="1" allowBlank="1" type="list">
      <formula1>"ON, OFF"</formula1>
    </dataValidation>
    <dataValidation sqref="H16" showDropDown="0" showInputMessage="1" showErrorMessage="1" allowBlank="1"/>
    <dataValidation sqref="H15" showDropDown="0" showInputMessage="1" showErrorMessage="1" allowBlank="1" type="list">
      <formula1>"Bloomberg, Capital IQ, FactSet, Refinitiv"</formula1>
    </dataValidation>
  </dataValidations>
  <hyperlinks>
    <hyperlink xmlns:r="http://schemas.openxmlformats.org/officeDocument/2006/relationships" ref="M7" tooltip="Click to directly email Canalyst support" display="modelsupport@alpha-sense.com" r:id="rId1"/>
    <hyperlink xmlns:r="http://schemas.openxmlformats.org/officeDocument/2006/relationships" ref="N7" tooltip="Click to directly email Canalyst support" display="modelsupport@alpha-sense.com" r:id="rId2"/>
    <hyperlink xmlns:r="http://schemas.openxmlformats.org/officeDocument/2006/relationships" ref="O7" tooltip="Click to directly email Canalyst support" display="modelsupport@alpha-sense.com" r:id="rId3"/>
  </hyperlinks>
  <pageMargins left="0.7" right="0.7" top="0.75" bottom="0.75" header="0.3" footer="0.3"/>
  <pageSetup orientation="portrait" paperSize="1" scale="45"/>
  <drawing xmlns:r="http://schemas.openxmlformats.org/officeDocument/2006/relationships" r:id="rId4"/>
</worksheet>
</file>

<file path=xl/worksheets/sheet2.xml><?xml version="1.0" encoding="utf-8"?>
<worksheet xmlns="http://schemas.openxmlformats.org/spreadsheetml/2006/main">
  <sheetPr>
    <outlinePr summaryBelow="1" summaryRight="1"/>
    <pageSetUpPr/>
  </sheetPr>
  <dimension ref="B1:Q63"/>
  <sheetViews>
    <sheetView workbookViewId="0">
      <selection activeCell="A1" sqref="A1"/>
    </sheetView>
  </sheetViews>
  <sheetFormatPr baseColWidth="8" defaultRowHeight="15"/>
  <cols>
    <col width="2" customWidth="1" style="972" min="1" max="1"/>
    <col width="44" customWidth="1" style="972" min="2" max="2"/>
    <col width="5" customWidth="1" style="972" min="3" max="3"/>
    <col width="2" customWidth="1" style="972" min="4" max="4"/>
    <col width="2" customWidth="1" style="972" min="5" max="5"/>
    <col width="16" customWidth="1" style="972" min="6" max="6"/>
    <col width="16" customWidth="1" style="972" min="7" max="7"/>
    <col width="16" customWidth="1" style="972" min="8" max="8"/>
    <col width="16" customWidth="1" style="972" min="9" max="9"/>
    <col width="16" customWidth="1" style="972" min="10" max="10"/>
    <col width="3" customWidth="1" style="972" min="11" max="11"/>
    <col width="30" customWidth="1" style="972" min="12" max="12"/>
    <col width="2" customWidth="1" style="972" min="13" max="13"/>
    <col width="2" customWidth="1" style="972" min="14" max="14"/>
    <col width="12" customWidth="1" style="972" min="15" max="15"/>
    <col width="2" customWidth="1" style="972" min="16" max="16"/>
    <col width="38" customWidth="1" style="972" min="17" max="17"/>
  </cols>
  <sheetData>
    <row r="1">
      <c r="B1" s="1323" t="inlineStr">
        <is>
          <t>Cadence Design Systems</t>
        </is>
      </c>
    </row>
    <row r="2">
      <c r="B2" s="1324" t="inlineStr">
        <is>
          <t>Discounted Cash Flow Valuation Analysis</t>
        </is>
      </c>
    </row>
    <row r="5">
      <c r="F5" s="1325" t="inlineStr">
        <is>
          <t>Historical</t>
        </is>
      </c>
      <c r="G5" s="1325" t="inlineStr">
        <is>
          <t>Projected</t>
        </is>
      </c>
      <c r="L5" s="1326" t="inlineStr">
        <is>
          <t>Assumptions</t>
        </is>
      </c>
      <c r="Q5" s="1326" t="inlineStr">
        <is>
          <t>Notes</t>
        </is>
      </c>
    </row>
    <row r="6">
      <c r="L6" s="1327" t="inlineStr">
        <is>
          <t>Risk Free Rate:</t>
        </is>
      </c>
      <c r="O6" s="1328" t="n">
        <v>0.0425</v>
      </c>
      <c r="Q6" s="1329" t="inlineStr">
        <is>
          <t>10-Year US Treasury yield</t>
        </is>
      </c>
    </row>
    <row r="7">
      <c r="B7" s="1330" t="inlineStr">
        <is>
          <t>($ in millions)</t>
        </is>
      </c>
      <c r="F7" s="1331" t="inlineStr">
        <is>
          <t>FY2025</t>
        </is>
      </c>
      <c r="G7" s="1331" t="inlineStr">
        <is>
          <t>FY2026</t>
        </is>
      </c>
      <c r="H7" s="1331" t="inlineStr">
        <is>
          <t>FY2027</t>
        </is>
      </c>
      <c r="I7" s="1331" t="inlineStr">
        <is>
          <t>FY2028</t>
        </is>
      </c>
      <c r="J7" s="1331" t="inlineStr">
        <is>
          <t>FY2029</t>
        </is>
      </c>
      <c r="L7" s="1327" t="inlineStr">
        <is>
          <t>Market Risk Premium:</t>
        </is>
      </c>
      <c r="O7" s="1328" t="n">
        <v>0.055</v>
      </c>
      <c r="Q7" s="1329" t="inlineStr">
        <is>
          <t>Damodaran equity risk premium</t>
        </is>
      </c>
    </row>
    <row r="8">
      <c r="L8" s="1327" t="inlineStr">
        <is>
          <t>Unlevered Beta:</t>
        </is>
      </c>
      <c r="O8" s="1332" t="n">
        <v>1.15</v>
      </c>
      <c r="Q8" s="1329" t="inlineStr">
        <is>
          <t>EDA software industry avg</t>
        </is>
      </c>
    </row>
    <row r="9">
      <c r="B9" s="1333" t="inlineStr">
        <is>
          <t>Revenue Build by Segment</t>
        </is>
      </c>
      <c r="L9" s="1327" t="inlineStr">
        <is>
          <t>Projected Equity to Value:</t>
        </is>
      </c>
      <c r="O9" s="1334" t="n">
        <v>0.92</v>
      </c>
      <c r="Q9" s="1329" t="inlineStr">
        <is>
          <t>CDNS moderate leverage</t>
        </is>
      </c>
    </row>
    <row r="10">
      <c r="B10" s="1335" t="inlineStr">
        <is>
          <t>Core EDA Revenue</t>
        </is>
      </c>
      <c r="F10" s="1336">
        <f>Model!BS13</f>
        <v/>
      </c>
      <c r="G10" s="1336">
        <f>Model!BX13</f>
        <v/>
      </c>
      <c r="H10" s="1336">
        <f>Model!BY13</f>
        <v/>
      </c>
      <c r="I10" s="1336">
        <f>Model!BZ13</f>
        <v/>
      </c>
      <c r="J10" s="1336">
        <f>Model!CA13</f>
        <v/>
      </c>
      <c r="L10" s="1327" t="inlineStr">
        <is>
          <t>Levered Beta:</t>
        </is>
      </c>
      <c r="O10" s="1337">
        <f>(1+(1-O12)*(1-O9)/O9)*O8</f>
        <v/>
      </c>
      <c r="Q10" s="1329" t="inlineStr">
        <is>
          <t>Hamada equation</t>
        </is>
      </c>
    </row>
    <row r="11">
      <c r="B11" s="1335" t="inlineStr">
        <is>
          <t xml:space="preserve">  Y/Y Growth</t>
        </is>
      </c>
      <c r="F11" s="1338">
        <f>Model!BS14</f>
        <v/>
      </c>
      <c r="G11" s="1338">
        <f>Model!BX14</f>
        <v/>
      </c>
      <c r="H11" s="1338">
        <f>Model!BY14</f>
        <v/>
      </c>
      <c r="I11" s="1338">
        <f>Model!BZ14</f>
        <v/>
      </c>
      <c r="J11" s="1338">
        <f>Model!CA14</f>
        <v/>
      </c>
      <c r="L11" s="1327" t="inlineStr">
        <is>
          <t>Cost of Equity:</t>
        </is>
      </c>
      <c r="O11" s="1339">
        <f>O6+O7*O10</f>
        <v/>
      </c>
      <c r="Q11" s="1329" t="inlineStr">
        <is>
          <t>CAPM: Rf + B(Rm-Rf)</t>
        </is>
      </c>
    </row>
    <row r="12">
      <c r="B12" s="1335" t="inlineStr">
        <is>
          <t>System Interconnect &amp; Analysis Revenue</t>
        </is>
      </c>
      <c r="F12" s="1336">
        <f>Model!BS16</f>
        <v/>
      </c>
      <c r="G12" s="1336">
        <f>Model!BX16</f>
        <v/>
      </c>
      <c r="H12" s="1336">
        <f>Model!BY16</f>
        <v/>
      </c>
      <c r="I12" s="1336">
        <f>Model!BZ16</f>
        <v/>
      </c>
      <c r="J12" s="1336">
        <f>Model!CA16</f>
        <v/>
      </c>
      <c r="L12" s="1327" t="inlineStr">
        <is>
          <t>Tax Rate:</t>
        </is>
      </c>
      <c r="O12" s="1340" t="n">
        <v>0.18</v>
      </c>
      <c r="Q12" s="1329" t="inlineStr">
        <is>
          <t>Long-term effective tax rate</t>
        </is>
      </c>
    </row>
    <row r="13">
      <c r="B13" s="1335" t="inlineStr">
        <is>
          <t xml:space="preserve">  Y/Y Growth</t>
        </is>
      </c>
      <c r="F13" s="1338">
        <f>Model!BS17</f>
        <v/>
      </c>
      <c r="G13" s="1338">
        <f>Model!BX17</f>
        <v/>
      </c>
      <c r="H13" s="1338">
        <f>Model!BY17</f>
        <v/>
      </c>
      <c r="I13" s="1338">
        <f>Model!BZ17</f>
        <v/>
      </c>
      <c r="J13" s="1338">
        <f>Model!CA17</f>
        <v/>
      </c>
      <c r="L13" s="1327" t="inlineStr">
        <is>
          <t>Cost of Debt:</t>
        </is>
      </c>
      <c r="O13" s="1328" t="n">
        <v>0.04</v>
      </c>
      <c r="Q13" s="1329" t="inlineStr">
        <is>
          <t>Based on outstanding senior notes</t>
        </is>
      </c>
    </row>
    <row r="14">
      <c r="B14" s="1335" t="inlineStr">
        <is>
          <t>IP Revenue</t>
        </is>
      </c>
      <c r="F14" s="1336">
        <f>Model!BS18</f>
        <v/>
      </c>
      <c r="G14" s="1336">
        <f>Model!BX18</f>
        <v/>
      </c>
      <c r="H14" s="1336">
        <f>Model!BY18</f>
        <v/>
      </c>
      <c r="I14" s="1336">
        <f>Model!BZ18</f>
        <v/>
      </c>
      <c r="J14" s="1336">
        <f>Model!CA18</f>
        <v/>
      </c>
      <c r="L14" s="1327" t="inlineStr">
        <is>
          <t>WACC:</t>
        </is>
      </c>
      <c r="O14" s="1341">
        <f>O11*O9+O13*(1-O12)*(1-O9)</f>
        <v/>
      </c>
      <c r="Q14" s="1329" t="inlineStr">
        <is>
          <t>Rd*(1-T)*(D/V) + Re*(E/V)</t>
        </is>
      </c>
    </row>
    <row r="15">
      <c r="B15" s="1335" t="inlineStr">
        <is>
          <t xml:space="preserve">  Y/Y Growth</t>
        </is>
      </c>
      <c r="F15" s="1338">
        <f>Model!BS19</f>
        <v/>
      </c>
      <c r="G15" s="1338">
        <f>Model!BX19</f>
        <v/>
      </c>
      <c r="H15" s="1338">
        <f>Model!BY19</f>
        <v/>
      </c>
      <c r="I15" s="1338">
        <f>Model!BZ19</f>
        <v/>
      </c>
      <c r="J15" s="1338">
        <f>Model!CA19</f>
        <v/>
      </c>
      <c r="L15" s="1327" t="inlineStr">
        <is>
          <t>Terminal Growth Rate:</t>
        </is>
      </c>
      <c r="O15" s="1328" t="n">
        <v>0.03</v>
      </c>
      <c r="Q15" s="1329" t="inlineStr">
        <is>
          <t>Long-term nominal GDP growth</t>
        </is>
      </c>
    </row>
    <row r="16">
      <c r="B16" s="1342" t="inlineStr">
        <is>
          <t>Total Revenue</t>
        </is>
      </c>
      <c r="F16" s="1343">
        <f>Model!BS20</f>
        <v/>
      </c>
      <c r="G16" s="1343">
        <f>Model!BX20</f>
        <v/>
      </c>
      <c r="H16" s="1343">
        <f>Model!BY20</f>
        <v/>
      </c>
      <c r="I16" s="1343">
        <f>Model!BZ20</f>
        <v/>
      </c>
      <c r="J16" s="1343">
        <f>Model!CA20</f>
        <v/>
      </c>
      <c r="L16" s="1327" t="inlineStr">
        <is>
          <t>Implied TV/EBITDA:</t>
        </is>
      </c>
      <c r="O16" s="1344">
        <f>F44/(Model!CA99+Model!CA170)</f>
        <v/>
      </c>
      <c r="Q16" s="1329" t="inlineStr">
        <is>
          <t>Terminal value / FY2029 EBITDA</t>
        </is>
      </c>
    </row>
    <row r="17">
      <c r="B17" s="1327" t="inlineStr">
        <is>
          <t>Y/Y Total Revenue Growth</t>
        </is>
      </c>
      <c r="G17" s="1341">
        <f>G16/F16-1</f>
        <v/>
      </c>
      <c r="H17" s="1341">
        <f>H16/G16-1</f>
        <v/>
      </c>
      <c r="I17" s="1341">
        <f>I16/H16-1</f>
        <v/>
      </c>
      <c r="J17" s="1341">
        <f>J16/I16-1</f>
        <v/>
      </c>
    </row>
    <row r="19">
      <c r="B19" s="1333" t="inlineStr">
        <is>
          <t>Operating Margin Drivers</t>
        </is>
      </c>
    </row>
    <row r="20">
      <c r="B20" s="1335" t="inlineStr">
        <is>
          <t>Non-GAAP Gross Margin %</t>
        </is>
      </c>
      <c r="F20" s="1338">
        <f>Model!BS47</f>
        <v/>
      </c>
      <c r="G20" s="1338">
        <f>Model!BX47</f>
        <v/>
      </c>
      <c r="H20" s="1338">
        <f>Model!BY47</f>
        <v/>
      </c>
      <c r="I20" s="1338">
        <f>Model!BZ47</f>
        <v/>
      </c>
      <c r="J20" s="1338">
        <f>Model!CA47</f>
        <v/>
      </c>
    </row>
    <row r="21">
      <c r="B21" s="1335" t="inlineStr">
        <is>
          <t xml:space="preserve">  Gross Margin Improvement (bps)</t>
        </is>
      </c>
      <c r="F21" s="1345">
        <f>Model!BS49</f>
        <v/>
      </c>
      <c r="G21" s="1345">
        <f>Model!BX49</f>
        <v/>
      </c>
      <c r="H21" s="1345">
        <f>Model!BY49</f>
        <v/>
      </c>
      <c r="I21" s="1345">
        <f>Model!BZ49</f>
        <v/>
      </c>
      <c r="J21" s="1345">
        <f>Model!CA49</f>
        <v/>
      </c>
    </row>
    <row r="22">
      <c r="B22" s="1335" t="inlineStr">
        <is>
          <t>Non-GAAP R&amp;D Margin %</t>
        </is>
      </c>
      <c r="F22" s="1338">
        <f>Model!BS61</f>
        <v/>
      </c>
      <c r="G22" s="1338">
        <f>Model!BX61</f>
        <v/>
      </c>
      <c r="H22" s="1338">
        <f>Model!BY61</f>
        <v/>
      </c>
      <c r="I22" s="1338">
        <f>Model!BZ61</f>
        <v/>
      </c>
      <c r="J22" s="1338">
        <f>Model!CA61</f>
        <v/>
      </c>
    </row>
    <row r="23">
      <c r="B23" s="1335" t="inlineStr">
        <is>
          <t xml:space="preserve">  R&amp;D Margin Improvement (bps)</t>
        </is>
      </c>
      <c r="F23" s="1345">
        <f>Model!BS62</f>
        <v/>
      </c>
      <c r="G23" s="1345">
        <f>Model!BX62</f>
        <v/>
      </c>
      <c r="H23" s="1345">
        <f>Model!BY62</f>
        <v/>
      </c>
      <c r="I23" s="1345">
        <f>Model!BZ62</f>
        <v/>
      </c>
      <c r="J23" s="1345">
        <f>Model!CA62</f>
        <v/>
      </c>
    </row>
    <row r="24">
      <c r="B24" s="1335" t="inlineStr">
        <is>
          <t>Non-GAAP G&amp;A Margin %</t>
        </is>
      </c>
      <c r="F24" s="1338">
        <f>Model!BS74</f>
        <v/>
      </c>
      <c r="G24" s="1338">
        <f>Model!BX74</f>
        <v/>
      </c>
      <c r="H24" s="1338">
        <f>Model!BY74</f>
        <v/>
      </c>
      <c r="I24" s="1338">
        <f>Model!BZ74</f>
        <v/>
      </c>
      <c r="J24" s="1338">
        <f>Model!CA74</f>
        <v/>
      </c>
    </row>
    <row r="25">
      <c r="B25" s="1335" t="inlineStr">
        <is>
          <t xml:space="preserve">  G&amp;A Margin Improvement (bps)</t>
        </is>
      </c>
      <c r="F25" s="1345">
        <f>Model!BS75</f>
        <v/>
      </c>
      <c r="G25" s="1345">
        <f>Model!BX75</f>
        <v/>
      </c>
      <c r="H25" s="1345">
        <f>Model!BY75</f>
        <v/>
      </c>
      <c r="I25" s="1345">
        <f>Model!BZ75</f>
        <v/>
      </c>
      <c r="J25" s="1345">
        <f>Model!CA75</f>
        <v/>
      </c>
    </row>
    <row r="26">
      <c r="B26" s="1335" t="inlineStr">
        <is>
          <t>Non-GAAP S&amp;M Margin %</t>
        </is>
      </c>
      <c r="F26" s="1338">
        <f>Model!BS87</f>
        <v/>
      </c>
      <c r="G26" s="1338">
        <f>Model!BX87</f>
        <v/>
      </c>
      <c r="H26" s="1338">
        <f>Model!BY87</f>
        <v/>
      </c>
      <c r="I26" s="1338">
        <f>Model!BZ87</f>
        <v/>
      </c>
      <c r="J26" s="1338">
        <f>Model!CA87</f>
        <v/>
      </c>
    </row>
    <row r="27">
      <c r="B27" s="1335" t="inlineStr">
        <is>
          <t xml:space="preserve">  S&amp;M Margin Improvement (bps)</t>
        </is>
      </c>
      <c r="F27" s="1345">
        <f>Model!BS88</f>
        <v/>
      </c>
      <c r="G27" s="1345">
        <f>Model!BX88</f>
        <v/>
      </c>
      <c r="H27" s="1345">
        <f>Model!BY88</f>
        <v/>
      </c>
      <c r="I27" s="1345">
        <f>Model!BZ88</f>
        <v/>
      </c>
      <c r="J27" s="1345">
        <f>Model!CA88</f>
        <v/>
      </c>
    </row>
    <row r="28">
      <c r="B28" s="1327" t="inlineStr">
        <is>
          <t>Non-GAAP EBIT Margin %</t>
        </is>
      </c>
      <c r="F28" s="1346">
        <f>Model!BS102</f>
        <v/>
      </c>
      <c r="G28" s="1346">
        <f>Model!BX102</f>
        <v/>
      </c>
      <c r="H28" s="1346">
        <f>Model!BY102</f>
        <v/>
      </c>
      <c r="I28" s="1346">
        <f>Model!BZ102</f>
        <v/>
      </c>
      <c r="J28" s="1346">
        <f>Model!CA102</f>
        <v/>
      </c>
    </row>
    <row r="29">
      <c r="B29" s="1342" t="inlineStr">
        <is>
          <t>Non-GAAP Operating Income (EBIT)</t>
        </is>
      </c>
      <c r="F29" s="1343">
        <f>Model!BS99</f>
        <v/>
      </c>
      <c r="G29" s="1343">
        <f>Model!BX99</f>
        <v/>
      </c>
      <c r="H29" s="1343">
        <f>Model!BY99</f>
        <v/>
      </c>
      <c r="I29" s="1343">
        <f>Model!BZ99</f>
        <v/>
      </c>
      <c r="J29" s="1343">
        <f>Model!CA99</f>
        <v/>
      </c>
    </row>
    <row r="31">
      <c r="B31" s="1333" t="inlineStr">
        <is>
          <t>Unlevered Free Cash Flow Build</t>
        </is>
      </c>
    </row>
    <row r="32">
      <c r="B32" s="1327" t="inlineStr">
        <is>
          <t>Non-GAAP EBIT</t>
        </is>
      </c>
      <c r="G32" s="1347">
        <f>G29</f>
        <v/>
      </c>
      <c r="H32" s="1347">
        <f>H29</f>
        <v/>
      </c>
      <c r="I32" s="1347">
        <f>I29</f>
        <v/>
      </c>
      <c r="J32" s="1347">
        <f>J29</f>
        <v/>
      </c>
    </row>
    <row r="33">
      <c r="B33" t="inlineStr">
        <is>
          <t>Less: Taxes on EBIT</t>
        </is>
      </c>
      <c r="G33" s="1347">
        <f>-G32*$O$12</f>
        <v/>
      </c>
      <c r="H33" s="1347">
        <f>-H32*$O$12</f>
        <v/>
      </c>
      <c r="I33" s="1347">
        <f>-I32*$O$12</f>
        <v/>
      </c>
      <c r="J33" s="1347">
        <f>-J32*$O$12</f>
        <v/>
      </c>
    </row>
    <row r="34">
      <c r="B34" s="1327" t="inlineStr">
        <is>
          <t>NOPAT</t>
        </is>
      </c>
      <c r="G34" s="1347">
        <f>G32+G33</f>
        <v/>
      </c>
      <c r="H34" s="1347">
        <f>H32+H33</f>
        <v/>
      </c>
      <c r="I34" s="1347">
        <f>I32+I33</f>
        <v/>
      </c>
      <c r="J34" s="1347">
        <f>J32+J33</f>
        <v/>
      </c>
    </row>
    <row r="35">
      <c r="B35" t="inlineStr">
        <is>
          <t>Plus: Depreciation &amp; Amortization</t>
        </is>
      </c>
      <c r="G35" s="1336">
        <f>Model!BX170</f>
        <v/>
      </c>
      <c r="H35" s="1336">
        <f>Model!BY170</f>
        <v/>
      </c>
      <c r="I35" s="1336">
        <f>Model!BZ170</f>
        <v/>
      </c>
      <c r="J35" s="1336">
        <f>Model!CA170</f>
        <v/>
      </c>
    </row>
    <row r="36">
      <c r="B36" t="inlineStr">
        <is>
          <t>Less: Capital Expenditures</t>
        </is>
      </c>
      <c r="G36" s="1336">
        <f>-Model!BX938</f>
        <v/>
      </c>
      <c r="H36" s="1336">
        <f>-Model!BY938</f>
        <v/>
      </c>
      <c r="I36" s="1336">
        <f>-Model!BZ938</f>
        <v/>
      </c>
      <c r="J36" s="1336">
        <f>-Model!CA938</f>
        <v/>
      </c>
    </row>
    <row r="37">
      <c r="B37" t="inlineStr">
        <is>
          <t>Less: Increase in Net Working Capital</t>
        </is>
      </c>
      <c r="G37" s="1336">
        <f>-Model!BX933</f>
        <v/>
      </c>
      <c r="H37" s="1336">
        <f>-Model!BY933</f>
        <v/>
      </c>
      <c r="I37" s="1336">
        <f>-Model!BZ933</f>
        <v/>
      </c>
      <c r="J37" s="1336">
        <f>-Model!CA933</f>
        <v/>
      </c>
    </row>
    <row r="38">
      <c r="B38" s="1348" t="inlineStr">
        <is>
          <t>Unlevered Free Cash Flow</t>
        </is>
      </c>
      <c r="G38" s="1349">
        <f>SUM(G34:G37)</f>
        <v/>
      </c>
      <c r="H38" s="1349">
        <f>SUM(H34:H37)</f>
        <v/>
      </c>
      <c r="I38" s="1349">
        <f>SUM(I34:I37)</f>
        <v/>
      </c>
      <c r="J38" s="1349">
        <f>SUM(J34:J37)</f>
        <v/>
      </c>
    </row>
    <row r="40">
      <c r="B40" t="inlineStr">
        <is>
          <t>Times: Discount Factor</t>
        </is>
      </c>
      <c r="G40" s="1350">
        <f>1/(1+$O$14)^1</f>
        <v/>
      </c>
      <c r="H40" s="1350">
        <f>1/(1+$O$14)^2</f>
        <v/>
      </c>
      <c r="I40" s="1350">
        <f>1/(1+$O$14)^3</f>
        <v/>
      </c>
      <c r="J40" s="1350">
        <f>1/(1+$O$14)^4</f>
        <v/>
      </c>
    </row>
    <row r="41">
      <c r="B41" t="inlineStr">
        <is>
          <t>Discounted Cash Flows</t>
        </is>
      </c>
      <c r="G41" s="1347">
        <f>G38*G40</f>
        <v/>
      </c>
      <c r="H41" s="1347">
        <f>H38*H40</f>
        <v/>
      </c>
      <c r="I41" s="1347">
        <f>I38*I40</f>
        <v/>
      </c>
      <c r="J41" s="1347">
        <f>J38*J40</f>
        <v/>
      </c>
    </row>
    <row r="43">
      <c r="B43" s="1327" t="inlineStr">
        <is>
          <t>Sum of Discounted Cash Flows</t>
        </is>
      </c>
      <c r="F43" s="1351">
        <f>SUM(G41:J41)</f>
        <v/>
      </c>
    </row>
    <row r="44">
      <c r="B44" s="1327" t="inlineStr">
        <is>
          <t>Terminal Value:</t>
        </is>
      </c>
      <c r="F44" s="1347">
        <f>(J38*(1+$O$15))/($O$14-$O$15)</f>
        <v/>
      </c>
    </row>
    <row r="45">
      <c r="B45" t="inlineStr">
        <is>
          <t>Times: Discount Factor</t>
        </is>
      </c>
      <c r="F45" s="1350">
        <f>J40</f>
        <v/>
      </c>
    </row>
    <row r="46">
      <c r="B46" t="inlineStr">
        <is>
          <t>PV of Terminal Value</t>
        </is>
      </c>
      <c r="F46" s="1351">
        <f>F44*F45</f>
        <v/>
      </c>
    </row>
    <row r="47">
      <c r="C47" s="1352" t="inlineStr">
        <is>
          <t>Enterprise Value</t>
        </is>
      </c>
      <c r="F47" s="1353">
        <f>F43+F46</f>
        <v/>
      </c>
    </row>
    <row r="49">
      <c r="B49" s="1333" t="inlineStr">
        <is>
          <t>Equity Bridge:</t>
        </is>
      </c>
    </row>
    <row r="50">
      <c r="B50" t="inlineStr">
        <is>
          <t>Enterprise Value</t>
        </is>
      </c>
      <c r="F50" s="1351">
        <f>F47</f>
        <v/>
      </c>
    </row>
    <row r="51">
      <c r="B51" t="inlineStr">
        <is>
          <t>Less: Total Debt</t>
        </is>
      </c>
      <c r="F51" s="1354">
        <f>-(Model!BS964+IF(ISNUMBER(Model!BS963),Model!BS963,0))</f>
        <v/>
      </c>
    </row>
    <row r="52">
      <c r="B52" t="inlineStr">
        <is>
          <t>Plus: Cash &amp; Cash Equivalents</t>
        </is>
      </c>
      <c r="F52" s="1354">
        <f>Model!BS962</f>
        <v/>
      </c>
    </row>
    <row r="53">
      <c r="C53" s="1352" t="inlineStr">
        <is>
          <t>Equity Value</t>
        </is>
      </c>
      <c r="F53" s="1353">
        <f>SUM(F50:F52)</f>
        <v/>
      </c>
    </row>
    <row r="54">
      <c r="B54" t="inlineStr">
        <is>
          <t>Diluted Shares Outstanding (mm)</t>
        </is>
      </c>
      <c r="F54" s="1336">
        <f>Model!BS521</f>
        <v/>
      </c>
    </row>
    <row r="55">
      <c r="C55" s="1352" t="inlineStr">
        <is>
          <t>Implied Share Price ($/share)</t>
        </is>
      </c>
      <c r="F55" s="1355">
        <f>F53/F54</f>
        <v/>
      </c>
    </row>
    <row r="57">
      <c r="B57" s="1327" t="inlineStr">
        <is>
          <t>Current Stock Price ($/share)</t>
        </is>
      </c>
      <c r="F57" s="1356">
        <f>'Front Page'!H20</f>
        <v/>
      </c>
    </row>
    <row r="58">
      <c r="B58" s="1357" t="inlineStr">
        <is>
          <t>Upside / (Downside)</t>
        </is>
      </c>
      <c r="F58" s="1358">
        <f>F55/F57-1</f>
        <v/>
      </c>
    </row>
    <row r="61">
      <c r="B61" s="1333" t="inlineStr">
        <is>
          <t>Memo:</t>
        </is>
      </c>
    </row>
    <row r="62">
      <c r="B62" t="inlineStr">
        <is>
          <t>Stock-Based Compensation (excluded from UFCF)</t>
        </is>
      </c>
      <c r="G62" s="1336">
        <f>Model!BX178</f>
        <v/>
      </c>
      <c r="H62" s="1336">
        <f>Model!BY178</f>
        <v/>
      </c>
      <c r="I62" s="1336">
        <f>Model!BZ178</f>
        <v/>
      </c>
      <c r="J62" s="1336">
        <f>Model!CA178</f>
        <v/>
      </c>
    </row>
    <row r="63">
      <c r="B63" t="inlineStr">
        <is>
          <t>UFCF Growth Rate</t>
        </is>
      </c>
      <c r="H63" s="1341">
        <f>H38/G38-1</f>
        <v/>
      </c>
      <c r="I63" s="1341">
        <f>I38/H38-1</f>
        <v/>
      </c>
      <c r="J63" s="1341">
        <f>J38/I38-1</f>
        <v/>
      </c>
    </row>
  </sheetData>
  <pageMargins left="0.75" right="0.75" top="1" bottom="1" header="0.5" footer="0.5"/>
</worksheet>
</file>

<file path=xl/worksheets/sheet3.xml><?xml version="1.0" encoding="utf-8"?>
<worksheet xmlns="http://schemas.openxmlformats.org/spreadsheetml/2006/main">
  <sheetPr codeName="Sheet2">
    <outlinePr summaryBelow="1" summaryRight="1"/>
    <pageSetUpPr fitToPage="1"/>
  </sheetPr>
  <dimension ref="A1:CB1439"/>
  <sheetViews>
    <sheetView topLeftCell="A1" zoomScale="85" zoomScaleNormal="85" workbookViewId="0">
      <pane xSplit="2" ySplit="5" topLeftCell="BI6" activePane="bottomRight" state="frozen"/>
      <selection pane="topLeft" activeCell="A1" sqref="A1"/>
      <selection pane="bottomLeft" activeCell="A6" sqref="A6"/>
      <selection pane="topRight" activeCell="C1" sqref="C1"/>
      <selection pane="bottomRight" activeCell="A1" sqref="A1"/>
    </sheetView>
  </sheetViews>
  <sheetFormatPr baseColWidth="8" defaultColWidth="9.334285714285709" defaultRowHeight="14.4" outlineLevelRow="3"/>
  <cols>
    <col width="50.7142857142857" customWidth="1" style="972" min="1" max="1"/>
    <col width="10.7142857142857" customWidth="1" style="972" min="2" max="2"/>
    <col width="9.71428571428571" customWidth="1" style="972" min="3" max="6"/>
    <col hidden="1" outlineLevel="1" width="9.71428571428571" customWidth="1" style="972" min="7" max="10"/>
    <col collapsed="1" width="9.71428571428571" customWidth="1" style="972" min="11" max="11"/>
    <col hidden="1" outlineLevel="1" width="9.71428571428571" customWidth="1" style="972" min="12" max="15"/>
    <col collapsed="1" width="9.71428571428571" customWidth="1" style="972" min="16" max="16"/>
    <col hidden="1" outlineLevel="1" width="9.71428571428571" customWidth="1" style="972" min="17" max="20"/>
    <col collapsed="1" width="9.71428571428571" customWidth="1" style="972" min="21" max="21"/>
    <col hidden="1" outlineLevel="1" width="9.71428571428571" customWidth="1" style="972" min="22" max="25"/>
    <col collapsed="1" width="9.71428571428571" customWidth="1" style="972" min="26" max="26"/>
    <col hidden="1" outlineLevel="1" width="9.71428571428571" customWidth="1" style="972" min="27" max="30"/>
    <col collapsed="1" width="9.71428571428571" customWidth="1" style="972" min="31" max="31"/>
    <col hidden="1" outlineLevel="1" width="9.71428571428571" customWidth="1" style="972" min="32" max="35"/>
    <col collapsed="1" width="9.71428571428571" customWidth="1" style="972" min="36" max="36"/>
    <col hidden="1" outlineLevel="1" width="9.71428571428571" customWidth="1" style="972" min="37" max="40"/>
    <col collapsed="1" width="9.71428571428571" customWidth="1" style="972" min="41" max="41"/>
    <col hidden="1" outlineLevel="1" width="9.71428571428571" customWidth="1" style="972" min="42" max="45"/>
    <col collapsed="1" width="9.71428571428571" customWidth="1" style="972" min="46" max="46"/>
    <col hidden="1" outlineLevel="1" width="9.71428571428571" customWidth="1" style="972" min="47" max="50"/>
    <col collapsed="1" width="9.71428571428571" customWidth="1" style="972" min="51" max="51"/>
    <col hidden="1" outlineLevel="1" width="9.71428571428571" customWidth="1" style="972" min="52" max="55"/>
    <col collapsed="1" width="9.71428571428571" customWidth="1" style="972" min="56" max="56"/>
    <col hidden="1" outlineLevel="1" width="9.71428571428571" customWidth="1" style="972" min="57" max="60"/>
    <col collapsed="1" width="9.71428571428571" customWidth="1" style="972" min="61" max="61"/>
    <col outlineLevel="1" width="9.71428571428571" customWidth="1" style="972" min="62" max="65"/>
    <col width="9.71428571428571" customWidth="1" style="972" min="66" max="66"/>
    <col outlineLevel="1" width="9.71428571428571" customWidth="1" style="972" min="67" max="70"/>
    <col width="9.71428571428571" customWidth="1" style="972" min="71" max="71"/>
    <col outlineLevel="1" width="9.71428571428571" customWidth="1" style="972" min="72" max="75"/>
    <col width="9.71428571428571" customWidth="1" style="972" min="76" max="80"/>
    <col width="9.28571428571429" customWidth="1" style="972" min="81" max="16384"/>
  </cols>
  <sheetData>
    <row r="1" ht="33.6" customFormat="1" customHeight="1" s="1359">
      <c r="A1" s="1360" t="inlineStr">
        <is>
          <t>Cadence Design Systems, Inc.</t>
        </is>
      </c>
      <c r="B1" s="1361" t="n"/>
      <c r="C1" s="1361" t="n"/>
      <c r="D1" s="1362" t="n"/>
      <c r="E1" s="1361" t="n"/>
      <c r="F1" s="1361" t="n"/>
      <c r="G1" s="1361" t="n"/>
      <c r="H1" s="1361" t="n"/>
      <c r="I1" s="1361" t="n"/>
      <c r="J1" s="1361" t="n"/>
      <c r="K1" s="1361" t="n"/>
      <c r="L1" s="1361" t="n"/>
      <c r="M1" s="1361" t="n"/>
      <c r="N1" s="1361" t="n"/>
      <c r="O1" s="1361" t="n"/>
      <c r="P1" s="1361" t="n"/>
      <c r="Q1" s="1361" t="n"/>
      <c r="R1" s="1361" t="n"/>
      <c r="S1" s="1361" t="n"/>
      <c r="T1" s="1361" t="n"/>
      <c r="U1" s="1361" t="n"/>
      <c r="V1" s="1361" t="n"/>
      <c r="W1" s="1361" t="n"/>
      <c r="X1" s="1361" t="n"/>
      <c r="Y1" s="1361" t="n"/>
      <c r="Z1" s="1361" t="n"/>
      <c r="AA1" s="1361" t="n"/>
      <c r="AB1" s="1361" t="n"/>
      <c r="AC1" s="1361" t="n"/>
      <c r="AD1" s="1361" t="n"/>
      <c r="AE1" s="1361" t="n"/>
      <c r="AF1" s="1361" t="n"/>
      <c r="AG1" s="1361" t="n"/>
      <c r="AH1" s="1361" t="n"/>
      <c r="AI1" s="1361" t="n"/>
      <c r="AJ1" s="1361" t="n"/>
      <c r="AK1" s="1361" t="n"/>
      <c r="AL1" s="1361" t="n"/>
      <c r="AM1" s="1361" t="n"/>
      <c r="AN1" s="1361" t="n"/>
      <c r="AO1" s="1361" t="n"/>
      <c r="AP1" s="1361" t="n"/>
      <c r="AQ1" s="1361" t="n"/>
      <c r="AR1" s="1361" t="n"/>
      <c r="AS1" s="1361" t="n"/>
      <c r="AT1" s="1361" t="n"/>
      <c r="AU1" s="1361" t="n"/>
      <c r="AV1" s="1361" t="n"/>
      <c r="AW1" s="1361" t="n"/>
      <c r="AX1" s="1361" t="n"/>
      <c r="AY1" s="1361" t="n"/>
      <c r="AZ1" s="1361" t="n"/>
      <c r="BA1" s="1361" t="n"/>
      <c r="BB1" s="1361" t="n"/>
      <c r="BC1" s="1361" t="n"/>
      <c r="BD1" s="1361" t="n"/>
      <c r="BE1" s="1361" t="n"/>
      <c r="BF1" s="1361" t="n"/>
      <c r="BG1" s="1361" t="n"/>
      <c r="BH1" s="1361" t="n"/>
      <c r="BI1" s="1361" t="n"/>
      <c r="BJ1" s="1361" t="n"/>
      <c r="BK1" s="1361" t="n"/>
      <c r="BL1" s="1361" t="n"/>
      <c r="BM1" s="1361" t="n"/>
      <c r="BN1" s="1361" t="n"/>
      <c r="BO1" s="1361" t="n"/>
      <c r="BP1" s="1361" t="n"/>
      <c r="BQ1" s="1363" t="n"/>
      <c r="BR1" s="1361" t="n"/>
      <c r="BS1" s="1361" t="n"/>
      <c r="BT1" s="1361" t="n"/>
      <c r="BU1" s="1361" t="n"/>
      <c r="BV1" s="1361" t="n"/>
      <c r="BW1" s="1361" t="n"/>
      <c r="BX1" s="1361" t="n"/>
      <c r="BY1" s="1361" t="n"/>
      <c r="BZ1" s="1361" t="n"/>
      <c r="CA1" s="1361" t="n"/>
      <c r="CB1" s="1364" t="n"/>
    </row>
    <row r="2" ht="14.4" customFormat="1" customHeight="1" s="974">
      <c r="A2" s="1365">
        <f>CHOOSE(MO.DataSourceIndex,MO.Ticker.Bloomberg,MO.Ticker.CapIQ,MO.Ticker.FactSet,MO.Ticker.Thomson)</f>
        <v/>
      </c>
      <c r="B2" s="1366" t="n"/>
      <c r="C2" s="1367">
        <f>EOMONTH(C4,-12)</f>
        <v/>
      </c>
      <c r="D2" s="275" t="n"/>
      <c r="E2" s="275" t="n"/>
      <c r="F2" s="275" t="n"/>
      <c r="G2" s="275" t="n"/>
      <c r="H2" s="275" t="n"/>
      <c r="I2" s="275" t="n"/>
      <c r="J2" s="275" t="n"/>
      <c r="K2" s="275" t="n"/>
      <c r="L2" s="275" t="n"/>
      <c r="M2" s="275" t="n"/>
      <c r="N2" s="275" t="n"/>
      <c r="O2" s="275" t="n"/>
      <c r="P2" s="275" t="n"/>
      <c r="Q2" s="275" t="n"/>
      <c r="R2" s="275" t="n"/>
      <c r="S2" s="275" t="n"/>
      <c r="T2" s="275" t="n"/>
      <c r="U2" s="275" t="n"/>
      <c r="V2" s="275" t="n"/>
      <c r="W2" s="275" t="n"/>
      <c r="X2" s="275" t="n"/>
      <c r="Y2" s="275" t="n"/>
      <c r="Z2" s="275" t="n"/>
      <c r="AA2" s="866" t="n"/>
      <c r="AB2" s="866" t="n"/>
      <c r="AC2" s="866" t="n"/>
      <c r="AD2" s="866" t="n"/>
      <c r="AE2" s="866" t="n"/>
      <c r="AF2" s="866" t="n"/>
      <c r="AG2" s="866" t="n"/>
      <c r="AH2" s="275" t="n"/>
      <c r="AI2" s="866" t="n"/>
      <c r="AJ2" s="866" t="n"/>
      <c r="AK2" s="866" t="n"/>
      <c r="AL2" s="866" t="n"/>
      <c r="AM2" s="275" t="n"/>
      <c r="AN2" s="866" t="n"/>
      <c r="AO2" s="866" t="n"/>
      <c r="AP2" s="866" t="n"/>
      <c r="AQ2" s="866" t="n"/>
      <c r="AR2" s="275" t="n"/>
      <c r="AS2" s="866" t="n"/>
      <c r="AT2" s="866" t="n"/>
      <c r="AU2" s="866" t="n"/>
      <c r="AV2" s="866" t="n"/>
      <c r="AW2" s="866" t="n"/>
      <c r="AX2" s="866" t="n"/>
      <c r="AY2" s="866" t="n"/>
      <c r="AZ2" s="866" t="n"/>
      <c r="BA2" s="866" t="n"/>
      <c r="BB2" s="866" t="n"/>
      <c r="BC2" s="866" t="n"/>
      <c r="BD2" s="866" t="n"/>
      <c r="BE2" s="866" t="n"/>
      <c r="BF2" s="866" t="n"/>
      <c r="BG2" s="866" t="n"/>
      <c r="BH2" s="866" t="n"/>
      <c r="BI2" s="866" t="n"/>
      <c r="BJ2" s="866" t="n"/>
      <c r="BK2" s="866" t="n"/>
      <c r="BL2" s="866" t="n"/>
      <c r="BM2" s="866" t="n"/>
      <c r="BN2" s="866" t="n"/>
      <c r="BO2" s="866" t="n"/>
      <c r="BP2" s="866" t="n"/>
      <c r="BQ2" s="638" t="n"/>
      <c r="BR2" s="275" t="n"/>
      <c r="BS2" s="275" t="n"/>
      <c r="BT2" s="275" t="n"/>
      <c r="BU2" s="275" t="n"/>
      <c r="BV2" s="275" t="n"/>
      <c r="BW2" s="275" t="n"/>
      <c r="BX2" s="275" t="n"/>
      <c r="BY2" s="275" t="n"/>
      <c r="BZ2" s="275" t="n"/>
      <c r="CA2" s="275" t="n"/>
      <c r="CB2" s="174" t="n"/>
    </row>
    <row r="3" ht="14.4" customFormat="1" customHeight="1" s="1368">
      <c r="A3" s="266">
        <f>HP.TradeCurrency</f>
        <v/>
      </c>
      <c r="B3" s="1369">
        <f>IF(MO.RealTime="OFF",MO.LastPriceHardcoded,MO.LastPriceFormula)</f>
        <v/>
      </c>
      <c r="C3" s="1108">
        <f>C4-C2</f>
        <v/>
      </c>
      <c r="D3" s="1108">
        <f>D4-C4</f>
        <v/>
      </c>
      <c r="E3" s="1108">
        <f>E4-D4</f>
        <v/>
      </c>
      <c r="F3" s="1108">
        <f>F4-E4</f>
        <v/>
      </c>
      <c r="G3" s="868">
        <f>G4-F4</f>
        <v/>
      </c>
      <c r="H3" s="868">
        <f>H4-G4</f>
        <v/>
      </c>
      <c r="I3" s="868">
        <f>I4-H4</f>
        <v/>
      </c>
      <c r="J3" s="868">
        <f>J4-I4</f>
        <v/>
      </c>
      <c r="K3" s="1108">
        <f>K4-F4</f>
        <v/>
      </c>
      <c r="L3" s="868">
        <f>L4-K4</f>
        <v/>
      </c>
      <c r="M3" s="868">
        <f>M4-L4</f>
        <v/>
      </c>
      <c r="N3" s="868">
        <f>N4-M4</f>
        <v/>
      </c>
      <c r="O3" s="868">
        <f>O4-N4</f>
        <v/>
      </c>
      <c r="P3" s="1108">
        <f>P4-K4</f>
        <v/>
      </c>
      <c r="Q3" s="868">
        <f>Q4-P4</f>
        <v/>
      </c>
      <c r="R3" s="868">
        <f>R4-Q4</f>
        <v/>
      </c>
      <c r="S3" s="868">
        <f>S4-R4</f>
        <v/>
      </c>
      <c r="T3" s="868">
        <f>T4-S4</f>
        <v/>
      </c>
      <c r="U3" s="1108">
        <f>U4-P4</f>
        <v/>
      </c>
      <c r="V3" s="868">
        <f>V4-U4</f>
        <v/>
      </c>
      <c r="W3" s="868">
        <f>W4-V4</f>
        <v/>
      </c>
      <c r="X3" s="868">
        <f>X4-W4</f>
        <v/>
      </c>
      <c r="Y3" s="152">
        <f>Y4-X4</f>
        <v/>
      </c>
      <c r="Z3" s="1109">
        <f>Z4-U4</f>
        <v/>
      </c>
      <c r="AA3" s="868">
        <f>AA4-Z4</f>
        <v/>
      </c>
      <c r="AB3" s="868">
        <f>AB4-AA4</f>
        <v/>
      </c>
      <c r="AC3" s="868">
        <f>AC4-AB4</f>
        <v/>
      </c>
      <c r="AD3" s="152">
        <f>AD4-AC4</f>
        <v/>
      </c>
      <c r="AE3" s="1109">
        <f>AE4-Z4</f>
        <v/>
      </c>
      <c r="AF3" s="868">
        <f>AF4-AE4</f>
        <v/>
      </c>
      <c r="AG3" s="868">
        <f>AG4-AF4</f>
        <v/>
      </c>
      <c r="AH3" s="868">
        <f>AH4-AG4</f>
        <v/>
      </c>
      <c r="AI3" s="152">
        <f>AI4-AH4</f>
        <v/>
      </c>
      <c r="AJ3" s="1109">
        <f>AJ4-AE4</f>
        <v/>
      </c>
      <c r="AK3" s="868">
        <f>AK4-AJ4</f>
        <v/>
      </c>
      <c r="AL3" s="868">
        <f>AL4-AK4</f>
        <v/>
      </c>
      <c r="AM3" s="868">
        <f>AM4-AL4</f>
        <v/>
      </c>
      <c r="AN3" s="152">
        <f>AN4-AM4</f>
        <v/>
      </c>
      <c r="AO3" s="1109">
        <f>AO4-AJ4</f>
        <v/>
      </c>
      <c r="AP3" s="868">
        <f>AP4-AO4</f>
        <v/>
      </c>
      <c r="AQ3" s="868">
        <f>AQ4-AP4</f>
        <v/>
      </c>
      <c r="AR3" s="868">
        <f>AR4-AQ4</f>
        <v/>
      </c>
      <c r="AS3" s="152">
        <f>AS4-AR4</f>
        <v/>
      </c>
      <c r="AT3" s="1109">
        <f>AT4-AO4</f>
        <v/>
      </c>
      <c r="AU3" s="868">
        <f>AU4-AT4</f>
        <v/>
      </c>
      <c r="AV3" s="868">
        <f>AV4-AU4</f>
        <v/>
      </c>
      <c r="AW3" s="868">
        <f>AW4-AV4</f>
        <v/>
      </c>
      <c r="AX3" s="152">
        <f>AX4-AW4</f>
        <v/>
      </c>
      <c r="AY3" s="1109">
        <f>AY4-AT4</f>
        <v/>
      </c>
      <c r="AZ3" s="868">
        <f>AZ4-AY4</f>
        <v/>
      </c>
      <c r="BA3" s="868">
        <f>BA4-AZ4</f>
        <v/>
      </c>
      <c r="BB3" s="868">
        <f>BB4-BA4</f>
        <v/>
      </c>
      <c r="BC3" s="152">
        <f>BC4-BB4</f>
        <v/>
      </c>
      <c r="BD3" s="1109">
        <f>BD4-AY4</f>
        <v/>
      </c>
      <c r="BE3" s="868">
        <f>BE4-BD4</f>
        <v/>
      </c>
      <c r="BF3" s="868">
        <f>BF4-BE4</f>
        <v/>
      </c>
      <c r="BG3" s="868">
        <f>BG4-BF4</f>
        <v/>
      </c>
      <c r="BH3" s="152">
        <f>BH4-BG4</f>
        <v/>
      </c>
      <c r="BI3" s="1109">
        <f>BI4-BD4</f>
        <v/>
      </c>
      <c r="BJ3" s="868">
        <f>BJ4-BI4</f>
        <v/>
      </c>
      <c r="BK3" s="868">
        <f>BK4-BJ4</f>
        <v/>
      </c>
      <c r="BL3" s="868">
        <f>BL4-BK4</f>
        <v/>
      </c>
      <c r="BM3" s="152">
        <f>BM4-BL4</f>
        <v/>
      </c>
      <c r="BN3" s="1109">
        <f>BN4-BI4</f>
        <v/>
      </c>
      <c r="BO3" s="868">
        <f>BO4-BN4</f>
        <v/>
      </c>
      <c r="BP3" s="868">
        <f>BP4-BO4</f>
        <v/>
      </c>
      <c r="BQ3" s="664">
        <f>BQ4-BP4</f>
        <v/>
      </c>
      <c r="BR3" s="152">
        <f>BR4-BQ4</f>
        <v/>
      </c>
      <c r="BS3" s="1109">
        <f>BS4-BN4</f>
        <v/>
      </c>
      <c r="BT3" s="152">
        <f>BT4-BS4</f>
        <v/>
      </c>
      <c r="BU3" s="152">
        <f>BU4-BT4</f>
        <v/>
      </c>
      <c r="BV3" s="152">
        <f>BV4-BU4</f>
        <v/>
      </c>
      <c r="BW3" s="152">
        <f>BW4-BV4</f>
        <v/>
      </c>
      <c r="BX3" s="1109">
        <f>BX4-BS4</f>
        <v/>
      </c>
      <c r="BY3" s="1109">
        <f>BY4-BX4</f>
        <v/>
      </c>
      <c r="BZ3" s="1109">
        <f>BZ4-BY4</f>
        <v/>
      </c>
      <c r="CA3" s="1109">
        <f>CA4-BZ4</f>
        <v/>
      </c>
      <c r="CB3" s="1370" t="n"/>
    </row>
    <row r="4" ht="14.4" customHeight="1" s="972">
      <c r="A4" s="269">
        <f>FP.DataSourceName</f>
        <v/>
      </c>
      <c r="B4" s="646">
        <f>IF(AND(MO.RealTimeStockPriceToggle,MO.LastPriceFormula&lt;&gt;"N/A"),"ON","OFF")</f>
        <v/>
      </c>
      <c r="C4" s="1110" t="n">
        <v>40180</v>
      </c>
      <c r="D4" s="1111" t="n">
        <v>40544</v>
      </c>
      <c r="E4" s="1111" t="n">
        <v>40908</v>
      </c>
      <c r="F4" s="1111" t="n">
        <v>41272</v>
      </c>
      <c r="G4" s="1031" t="n">
        <v>41363</v>
      </c>
      <c r="H4" s="1031" t="n">
        <v>41454</v>
      </c>
      <c r="I4" s="1031" t="n">
        <v>41545</v>
      </c>
      <c r="J4" s="153">
        <f>K4</f>
        <v/>
      </c>
      <c r="K4" s="1111" t="n">
        <v>41636</v>
      </c>
      <c r="L4" s="1031" t="n">
        <v>41727</v>
      </c>
      <c r="M4" s="1031" t="n">
        <v>41818</v>
      </c>
      <c r="N4" s="1031" t="n">
        <v>41909</v>
      </c>
      <c r="O4" s="153">
        <f>P4</f>
        <v/>
      </c>
      <c r="P4" s="1111" t="n">
        <v>42007</v>
      </c>
      <c r="Q4" s="1031" t="n">
        <v>42098</v>
      </c>
      <c r="R4" s="1031" t="n">
        <v>42189</v>
      </c>
      <c r="S4" s="1031" t="n">
        <v>42280</v>
      </c>
      <c r="T4" s="153">
        <f>U4</f>
        <v/>
      </c>
      <c r="U4" s="1111" t="n">
        <v>42371</v>
      </c>
      <c r="V4" s="1031" t="n">
        <v>42462</v>
      </c>
      <c r="W4" s="1031" t="n">
        <v>42553</v>
      </c>
      <c r="X4" s="1031" t="n">
        <v>42644</v>
      </c>
      <c r="Y4" s="153">
        <f>Z4</f>
        <v/>
      </c>
      <c r="Z4" s="1111" t="n">
        <v>42735</v>
      </c>
      <c r="AA4" s="1031" t="n">
        <v>42826</v>
      </c>
      <c r="AB4" s="1031" t="n">
        <v>42917</v>
      </c>
      <c r="AC4" s="1031" t="n">
        <v>43008</v>
      </c>
      <c r="AD4" s="153">
        <f>AE4</f>
        <v/>
      </c>
      <c r="AE4" s="1111" t="n">
        <v>43099</v>
      </c>
      <c r="AF4" s="1031" t="n">
        <v>43190</v>
      </c>
      <c r="AG4" s="1031" t="n">
        <v>43281</v>
      </c>
      <c r="AH4" s="1031" t="n">
        <v>43372</v>
      </c>
      <c r="AI4" s="153">
        <f>AJ4</f>
        <v/>
      </c>
      <c r="AJ4" s="1111" t="n">
        <v>43463</v>
      </c>
      <c r="AK4" s="1031" t="n">
        <v>43554</v>
      </c>
      <c r="AL4" s="1031" t="n">
        <v>43645</v>
      </c>
      <c r="AM4" s="1031" t="n">
        <v>43736</v>
      </c>
      <c r="AN4" s="153">
        <f>AO4</f>
        <v/>
      </c>
      <c r="AO4" s="1111" t="n">
        <v>43827</v>
      </c>
      <c r="AP4" s="1031" t="n">
        <v>43918</v>
      </c>
      <c r="AQ4" s="1031" t="n">
        <v>44009</v>
      </c>
      <c r="AR4" s="1031" t="n">
        <v>44100</v>
      </c>
      <c r="AS4" s="153">
        <f>AT4</f>
        <v/>
      </c>
      <c r="AT4" s="1111" t="n">
        <v>44198</v>
      </c>
      <c r="AU4" s="1031" t="n">
        <v>44289</v>
      </c>
      <c r="AV4" s="1031" t="n">
        <v>44380</v>
      </c>
      <c r="AW4" s="1031" t="n">
        <v>44471</v>
      </c>
      <c r="AX4" s="153">
        <f>AY4</f>
        <v/>
      </c>
      <c r="AY4" s="1111" t="n">
        <v>44562</v>
      </c>
      <c r="AZ4" s="1031" t="n">
        <v>44653</v>
      </c>
      <c r="BA4" s="1031" t="n">
        <v>44744</v>
      </c>
      <c r="BB4" s="1031" t="n">
        <v>44835</v>
      </c>
      <c r="BC4" s="153">
        <f>BD4</f>
        <v/>
      </c>
      <c r="BD4" s="1111" t="n">
        <v>44926</v>
      </c>
      <c r="BE4" s="1031" t="n">
        <v>45016</v>
      </c>
      <c r="BF4" s="1031" t="n">
        <v>45107</v>
      </c>
      <c r="BG4" s="1031" t="n">
        <v>45199</v>
      </c>
      <c r="BH4" s="153">
        <f>BI4</f>
        <v/>
      </c>
      <c r="BI4" s="1111" t="n">
        <v>45291</v>
      </c>
      <c r="BJ4" s="1031" t="n">
        <v>45382</v>
      </c>
      <c r="BK4" s="1031" t="n">
        <v>45473</v>
      </c>
      <c r="BL4" s="1031" t="n">
        <v>45565</v>
      </c>
      <c r="BM4" s="153">
        <f>BN4</f>
        <v/>
      </c>
      <c r="BN4" s="1111" t="n">
        <v>45657</v>
      </c>
      <c r="BO4" s="1031" t="n">
        <v>45747</v>
      </c>
      <c r="BP4" s="1031" t="n">
        <v>45838</v>
      </c>
      <c r="BQ4" s="1032" t="n">
        <v>45930</v>
      </c>
      <c r="BR4" s="153">
        <f>DATE(YEAR(BQ4),12,31)</f>
        <v/>
      </c>
      <c r="BS4" s="1112">
        <f>BR4</f>
        <v/>
      </c>
      <c r="BT4" s="153">
        <f>+EDATE(BS4,3)</f>
        <v/>
      </c>
      <c r="BU4" s="153">
        <f>+EDATE(BT4,3)</f>
        <v/>
      </c>
      <c r="BV4" s="153">
        <f>+EDATE(BU4,3)</f>
        <v/>
      </c>
      <c r="BW4" s="153">
        <f>DATE(YEAR(BV4),12,31)</f>
        <v/>
      </c>
      <c r="BX4" s="1112">
        <f>BW4</f>
        <v/>
      </c>
      <c r="BY4" s="1112">
        <f>EOMONTH(BX4,12)</f>
        <v/>
      </c>
      <c r="BZ4" s="1112">
        <f>EOMONTH(BY4,12)</f>
        <v/>
      </c>
      <c r="CA4" s="1112">
        <f>EOMONTH(BZ4,12)</f>
        <v/>
      </c>
      <c r="CB4" s="177" t="n"/>
    </row>
    <row r="5" ht="14.4" customFormat="1" customHeight="1" s="974">
      <c r="A5" s="1371">
        <f>MO.ReportCurrency</f>
        <v/>
      </c>
      <c r="B5" s="276" t="n"/>
      <c r="C5" s="1113" t="inlineStr">
        <is>
          <t>FY2009</t>
        </is>
      </c>
      <c r="D5" s="1114">
        <f>CONCATENATE("FY",RIGHT(C5,4)+1)</f>
        <v/>
      </c>
      <c r="E5" s="1114">
        <f>CONCATENATE("FY",RIGHT(D5,4)+1)</f>
        <v/>
      </c>
      <c r="F5" s="1114">
        <f>CONCATENATE("FY",RIGHT(E5,4)+1)</f>
        <v/>
      </c>
      <c r="G5" s="154">
        <f>CONCATENATE("Q1","-",RIGHT(F5,4)+1)</f>
        <v/>
      </c>
      <c r="H5" s="154">
        <f>CONCATENATE("Q2","-",RIGHT(G5,4))</f>
        <v/>
      </c>
      <c r="I5" s="154">
        <f>CONCATENATE("Q3","-",RIGHT(H5,4))</f>
        <v/>
      </c>
      <c r="J5" s="154">
        <f>CONCATENATE("Q4","-",RIGHT(I5,4))</f>
        <v/>
      </c>
      <c r="K5" s="1114">
        <f>CONCATENATE("FY",RIGHT(F5,4)+1)</f>
        <v/>
      </c>
      <c r="L5" s="154">
        <f>CONCATENATE("Q1","-",RIGHT(K5,4)+1)</f>
        <v/>
      </c>
      <c r="M5" s="154">
        <f>CONCATENATE("Q2","-",RIGHT(L5,4))</f>
        <v/>
      </c>
      <c r="N5" s="154">
        <f>CONCATENATE("Q3","-",RIGHT(M5,4))</f>
        <v/>
      </c>
      <c r="O5" s="154">
        <f>CONCATENATE("Q4","-",RIGHT(N5,4))</f>
        <v/>
      </c>
      <c r="P5" s="1114">
        <f>CONCATENATE("FY",RIGHT(K5,4)+1)</f>
        <v/>
      </c>
      <c r="Q5" s="154">
        <f>CONCATENATE("Q1","-",RIGHT(P5,4)+1)</f>
        <v/>
      </c>
      <c r="R5" s="154">
        <f>CONCATENATE("Q2","-",RIGHT(Q5,4))</f>
        <v/>
      </c>
      <c r="S5" s="154">
        <f>CONCATENATE("Q3","-",RIGHT(R5,4))</f>
        <v/>
      </c>
      <c r="T5" s="154">
        <f>CONCATENATE("Q4","-",RIGHT(S5,4))</f>
        <v/>
      </c>
      <c r="U5" s="1114">
        <f>CONCATENATE("FY",RIGHT(P5,4)+1)</f>
        <v/>
      </c>
      <c r="V5" s="154">
        <f>CONCATENATE("Q1","-",RIGHT(U5,4)+1)</f>
        <v/>
      </c>
      <c r="W5" s="876">
        <f>CONCATENATE("Q2","-",RIGHT(V5,4))</f>
        <v/>
      </c>
      <c r="X5" s="876">
        <f>CONCATENATE("Q3","-",RIGHT(W5,4))</f>
        <v/>
      </c>
      <c r="Y5" s="154">
        <f>CONCATENATE("Q4","-",RIGHT(X5,4))</f>
        <v/>
      </c>
      <c r="Z5" s="1114">
        <f>CONCATENATE("FY",RIGHT(U5,4)+1)</f>
        <v/>
      </c>
      <c r="AA5" s="876">
        <f>CONCATENATE("Q1","-",RIGHT(Z5,4)+1)</f>
        <v/>
      </c>
      <c r="AB5" s="876">
        <f>CONCATENATE("Q2","-",RIGHT(AA5,4))</f>
        <v/>
      </c>
      <c r="AC5" s="876">
        <f>CONCATENATE("Q3","-",RIGHT(AB5,4))</f>
        <v/>
      </c>
      <c r="AD5" s="154">
        <f>CONCATENATE("Q4","-",RIGHT(AC5,4))</f>
        <v/>
      </c>
      <c r="AE5" s="1114">
        <f>CONCATENATE("FY",RIGHT(Z5,4)+1)</f>
        <v/>
      </c>
      <c r="AF5" s="876">
        <f>CONCATENATE("Q1","-",RIGHT(AE5,4)+1)</f>
        <v/>
      </c>
      <c r="AG5" s="876">
        <f>CONCATENATE("Q2","-",RIGHT(AF5,4))</f>
        <v/>
      </c>
      <c r="AH5" s="876">
        <f>CONCATENATE("Q3","-",RIGHT(AG5,4))</f>
        <v/>
      </c>
      <c r="AI5" s="154">
        <f>CONCATENATE("Q4","-",RIGHT(AH5,4))</f>
        <v/>
      </c>
      <c r="AJ5" s="1114">
        <f>CONCATENATE("FY",RIGHT(AE5,4)+1)</f>
        <v/>
      </c>
      <c r="AK5" s="876">
        <f>CONCATENATE("Q1","-",RIGHT(AJ5,4)+1)</f>
        <v/>
      </c>
      <c r="AL5" s="876">
        <f>CONCATENATE("Q2","-",RIGHT(AK5,4))</f>
        <v/>
      </c>
      <c r="AM5" s="876">
        <f>CONCATENATE("Q3","-",RIGHT(AL5,4))</f>
        <v/>
      </c>
      <c r="AN5" s="154">
        <f>CONCATENATE("Q4","-",RIGHT(AM5,4))</f>
        <v/>
      </c>
      <c r="AO5" s="1114">
        <f>CONCATENATE("FY",RIGHT(AJ5,4)+1)</f>
        <v/>
      </c>
      <c r="AP5" s="876">
        <f>CONCATENATE("Q1","-",RIGHT(AO5,4)+1)</f>
        <v/>
      </c>
      <c r="AQ5" s="876">
        <f>CONCATENATE("Q2","-",RIGHT(AP5,4))</f>
        <v/>
      </c>
      <c r="AR5" s="876">
        <f>CONCATENATE("Q3","-",RIGHT(AQ5,4))</f>
        <v/>
      </c>
      <c r="AS5" s="154">
        <f>CONCATENATE("Q4","-",RIGHT(AR5,4))</f>
        <v/>
      </c>
      <c r="AT5" s="1114">
        <f>CONCATENATE("FY",RIGHT(AO5,4)+1)</f>
        <v/>
      </c>
      <c r="AU5" s="876">
        <f>CONCATENATE("Q1","-",RIGHT(AT5,4)+1)</f>
        <v/>
      </c>
      <c r="AV5" s="876">
        <f>CONCATENATE("Q2","-",RIGHT(AU5,4))</f>
        <v/>
      </c>
      <c r="AW5" s="876">
        <f>CONCATENATE("Q3","-",RIGHT(AV5,4))</f>
        <v/>
      </c>
      <c r="AX5" s="154">
        <f>CONCATENATE("Q4","-",RIGHT(AW5,4))</f>
        <v/>
      </c>
      <c r="AY5" s="1114">
        <f>CONCATENATE("FY",RIGHT(AT5,4)+1)</f>
        <v/>
      </c>
      <c r="AZ5" s="876">
        <f>CONCATENATE("Q1","-",RIGHT(AY5,4)+1)</f>
        <v/>
      </c>
      <c r="BA5" s="876">
        <f>CONCATENATE("Q2","-",RIGHT(AZ5,4))</f>
        <v/>
      </c>
      <c r="BB5" s="876">
        <f>CONCATENATE("Q3","-",RIGHT(BA5,4))</f>
        <v/>
      </c>
      <c r="BC5" s="154">
        <f>CONCATENATE("Q4","-",RIGHT(BB5,4))</f>
        <v/>
      </c>
      <c r="BD5" s="1114">
        <f>CONCATENATE("FY",RIGHT(AY5,4)+1)</f>
        <v/>
      </c>
      <c r="BE5" s="876">
        <f>CONCATENATE("Q1","-",RIGHT(BD5,4)+1)</f>
        <v/>
      </c>
      <c r="BF5" s="876">
        <f>CONCATENATE("Q2","-",RIGHT(BE5,4))</f>
        <v/>
      </c>
      <c r="BG5" s="876">
        <f>CONCATENATE("Q3","-",RIGHT(BF5,4))</f>
        <v/>
      </c>
      <c r="BH5" s="154">
        <f>CONCATENATE("Q4","-",RIGHT(BG5,4))</f>
        <v/>
      </c>
      <c r="BI5" s="1114">
        <f>CONCATENATE("FY",RIGHT(BD5,4)+1)</f>
        <v/>
      </c>
      <c r="BJ5" s="876">
        <f>CONCATENATE("Q1","-",RIGHT(BI5,4)+1)</f>
        <v/>
      </c>
      <c r="BK5" s="876">
        <f>CONCATENATE("Q2","-",RIGHT(BJ5,4))</f>
        <v/>
      </c>
      <c r="BL5" s="876">
        <f>CONCATENATE("Q3","-",RIGHT(BK5,4))</f>
        <v/>
      </c>
      <c r="BM5" s="154">
        <f>CONCATENATE("Q4","-",RIGHT(BL5,4))</f>
        <v/>
      </c>
      <c r="BN5" s="1114">
        <f>CONCATENATE("FY",RIGHT(BI5,4)+1)</f>
        <v/>
      </c>
      <c r="BO5" s="876">
        <f>CONCATENATE("Q1","-",RIGHT(BN5,4)+1)</f>
        <v/>
      </c>
      <c r="BP5" s="876">
        <f>CONCATENATE("Q2","-",RIGHT(BO5,4))</f>
        <v/>
      </c>
      <c r="BQ5" s="665">
        <f>CONCATENATE("Q3","-",RIGHT(BP5,4))</f>
        <v/>
      </c>
      <c r="BR5" s="154">
        <f>CONCATENATE("Q4","-",RIGHT(BQ5,4))</f>
        <v/>
      </c>
      <c r="BS5" s="1114">
        <f>CONCATENATE("FY",RIGHT(BN5,4)+1)</f>
        <v/>
      </c>
      <c r="BT5" s="154">
        <f>CONCATENATE("Q1","-",RIGHT(BS5,4)+1)</f>
        <v/>
      </c>
      <c r="BU5" s="154">
        <f>CONCATENATE("Q2","-",RIGHT(BT5,4))</f>
        <v/>
      </c>
      <c r="BV5" s="154">
        <f>CONCATENATE("Q3","-",RIGHT(BU5,4))</f>
        <v/>
      </c>
      <c r="BW5" s="154">
        <f>CONCATENATE("Q4","-",RIGHT(BV5,4))</f>
        <v/>
      </c>
      <c r="BX5" s="1114">
        <f>CONCATENATE("FY",RIGHT(BS5,4)+1)</f>
        <v/>
      </c>
      <c r="BY5" s="1114">
        <f>CONCATENATE("FY",RIGHT(BX5,4)+1)</f>
        <v/>
      </c>
      <c r="BZ5" s="1114">
        <f>CONCATENATE("FY",RIGHT(BY5,4)+1)</f>
        <v/>
      </c>
      <c r="CA5" s="1114">
        <f>CONCATENATE("FY",RIGHT(BZ5,4)+1)</f>
        <v/>
      </c>
      <c r="CB5" s="174" t="n"/>
    </row>
    <row r="6" ht="14.4" customFormat="1" customHeight="1" s="1372">
      <c r="A6" s="1373" t="inlineStr">
        <is>
          <t>Revenue Build</t>
        </is>
      </c>
      <c r="B6" s="1373" t="n"/>
      <c r="C6" s="1373" t="n"/>
      <c r="D6" s="1373" t="n"/>
      <c r="E6" s="1373" t="n"/>
      <c r="F6" s="1373" t="n"/>
      <c r="G6" s="1373" t="n"/>
      <c r="H6" s="1373" t="n"/>
      <c r="I6" s="1373" t="n"/>
      <c r="J6" s="1373" t="n"/>
      <c r="K6" s="1373" t="n"/>
      <c r="L6" s="1373" t="n"/>
      <c r="M6" s="1373" t="n"/>
      <c r="N6" s="1373" t="n"/>
      <c r="O6" s="1373" t="n"/>
      <c r="P6" s="1373" t="n"/>
      <c r="Q6" s="1373" t="n"/>
      <c r="R6" s="1373" t="n"/>
      <c r="S6" s="1373" t="n"/>
      <c r="T6" s="1373" t="n"/>
      <c r="U6" s="1373" t="n"/>
      <c r="V6" s="1373" t="n"/>
      <c r="W6" s="1373" t="n"/>
      <c r="X6" s="1373" t="n"/>
      <c r="Y6" s="1373" t="n"/>
      <c r="Z6" s="1373" t="n"/>
      <c r="AA6" s="1373" t="n"/>
      <c r="AB6" s="1373" t="n"/>
      <c r="AC6" s="1373" t="n"/>
      <c r="AD6" s="1373" t="n"/>
      <c r="AE6" s="1373" t="n"/>
      <c r="AF6" s="1373" t="n"/>
      <c r="AG6" s="1373" t="n"/>
      <c r="AH6" s="1373" t="n"/>
      <c r="AI6" s="1373" t="n"/>
      <c r="AJ6" s="1373" t="n"/>
      <c r="AK6" s="1373" t="n"/>
      <c r="AL6" s="1373" t="n"/>
      <c r="AM6" s="1373" t="n"/>
      <c r="AN6" s="1373" t="n"/>
      <c r="AO6" s="1373" t="n"/>
      <c r="AP6" s="1373" t="n"/>
      <c r="AQ6" s="1373" t="n"/>
      <c r="AR6" s="1373" t="n"/>
      <c r="AS6" s="1373" t="n"/>
      <c r="AT6" s="1373" t="n"/>
      <c r="AU6" s="1373" t="n"/>
      <c r="AV6" s="1373" t="n"/>
      <c r="AW6" s="1373" t="n"/>
      <c r="AX6" s="1373" t="n"/>
      <c r="AY6" s="1373" t="n"/>
      <c r="AZ6" s="1373" t="n"/>
      <c r="BA6" s="1373" t="n"/>
      <c r="BB6" s="1373" t="n"/>
      <c r="BC6" s="1373" t="n"/>
      <c r="BD6" s="1373" t="n"/>
      <c r="BE6" s="1373" t="n"/>
      <c r="BF6" s="1373" t="n"/>
      <c r="BG6" s="1373" t="n"/>
      <c r="BH6" s="1373" t="n"/>
      <c r="BI6" s="1373" t="n"/>
      <c r="BJ6" s="1373" t="n"/>
      <c r="BK6" s="1373" t="n"/>
      <c r="BL6" s="1373" t="n"/>
      <c r="BM6" s="1373" t="n"/>
      <c r="BN6" s="1373" t="n"/>
      <c r="BO6" s="1373" t="n"/>
      <c r="BP6" s="1373" t="n"/>
      <c r="BQ6" s="1374" t="n"/>
      <c r="BR6" s="1373" t="n"/>
      <c r="BS6" s="1373" t="n"/>
      <c r="BT6" s="1373" t="n"/>
      <c r="BU6" s="1373" t="n"/>
      <c r="BV6" s="1373" t="n"/>
      <c r="BW6" s="1373" t="n"/>
      <c r="BX6" s="1373" t="n"/>
      <c r="BY6" s="1373" t="n"/>
      <c r="BZ6" s="1373" t="n"/>
      <c r="CA6" s="1373" t="n"/>
      <c r="CB6" s="1375" t="n"/>
    </row>
    <row r="7" ht="14.4" customFormat="1" customHeight="1" s="1359">
      <c r="A7" s="1376" t="inlineStr">
        <is>
          <t>Functional Verification (including Emulation Hardware revenue), mm</t>
        </is>
      </c>
      <c r="B7" s="1377" t="n"/>
      <c r="C7" s="1378">
        <f>C24*C454</f>
        <v/>
      </c>
      <c r="D7" s="1378">
        <f>D24*D454</f>
        <v/>
      </c>
      <c r="E7" s="1378">
        <f>E24*E454</f>
        <v/>
      </c>
      <c r="F7" s="1378">
        <f>F24*F454</f>
        <v/>
      </c>
      <c r="G7" s="1364">
        <f>G24*G454</f>
        <v/>
      </c>
      <c r="H7" s="1364">
        <f>H24*H454</f>
        <v/>
      </c>
      <c r="I7" s="1364">
        <f>I24*I454</f>
        <v/>
      </c>
      <c r="J7" s="1364">
        <f>J24*J454</f>
        <v/>
      </c>
      <c r="K7" s="1378">
        <f>K24*K454</f>
        <v/>
      </c>
      <c r="L7" s="1364">
        <f>L24*L454</f>
        <v/>
      </c>
      <c r="M7" s="1364">
        <f>M24*M454</f>
        <v/>
      </c>
      <c r="N7" s="1364">
        <f>N24*N454</f>
        <v/>
      </c>
      <c r="O7" s="1364">
        <f>O24*O454</f>
        <v/>
      </c>
      <c r="P7" s="1378">
        <f>P24*P454</f>
        <v/>
      </c>
      <c r="Q7" s="1364">
        <f>Q24*Q454</f>
        <v/>
      </c>
      <c r="R7" s="1364">
        <f>R24*R454</f>
        <v/>
      </c>
      <c r="S7" s="1364">
        <f>S24*S454</f>
        <v/>
      </c>
      <c r="T7" s="1364">
        <f>T24*T454</f>
        <v/>
      </c>
      <c r="U7" s="1378">
        <f>U24*U454</f>
        <v/>
      </c>
      <c r="V7" s="1364">
        <f>V24*V454</f>
        <v/>
      </c>
      <c r="W7" s="1364">
        <f>W24*W454</f>
        <v/>
      </c>
      <c r="X7" s="1364">
        <f>X24*X454</f>
        <v/>
      </c>
      <c r="Y7" s="1364">
        <f>Y24*Y454</f>
        <v/>
      </c>
      <c r="Z7" s="1378">
        <f>Z24*Z454</f>
        <v/>
      </c>
      <c r="AA7" s="1364">
        <f>AA24*AA454</f>
        <v/>
      </c>
      <c r="AB7" s="1364">
        <f>AB24*AB454</f>
        <v/>
      </c>
      <c r="AC7" s="1364">
        <f>AC24*AC454</f>
        <v/>
      </c>
      <c r="AD7" s="1364">
        <f>AD24*AD454</f>
        <v/>
      </c>
      <c r="AE7" s="1378">
        <f>AE24*AE454</f>
        <v/>
      </c>
      <c r="AF7" s="1364">
        <f>AF24*AF454</f>
        <v/>
      </c>
      <c r="AG7" s="1364">
        <f>AG24*AG454</f>
        <v/>
      </c>
      <c r="AH7" s="1364">
        <f>AH24*AH454</f>
        <v/>
      </c>
      <c r="AI7" s="1364">
        <f>AI24*AI454</f>
        <v/>
      </c>
      <c r="AJ7" s="1378">
        <f>AJ24*AJ454</f>
        <v/>
      </c>
      <c r="AK7" s="1364">
        <f>AK24*AK454</f>
        <v/>
      </c>
      <c r="AL7" s="1364">
        <f>AL24*AL454</f>
        <v/>
      </c>
      <c r="AM7" s="1364">
        <f>AM24*AM454</f>
        <v/>
      </c>
      <c r="AN7" s="1364">
        <f>AN24*AN454</f>
        <v/>
      </c>
      <c r="AO7" s="1378">
        <f>AO24*AO454</f>
        <v/>
      </c>
      <c r="AP7" s="1364">
        <f>AP24*AP454</f>
        <v/>
      </c>
      <c r="AQ7" s="1364">
        <f>AQ24*AQ454</f>
        <v/>
      </c>
      <c r="AR7" s="1364">
        <f>AR24*AR454</f>
        <v/>
      </c>
      <c r="AS7" s="1364">
        <f>AS24*AS454</f>
        <v/>
      </c>
      <c r="AT7" s="1378">
        <f>AT24*AT454</f>
        <v/>
      </c>
      <c r="AU7" s="1364">
        <f>AU24*AU454</f>
        <v/>
      </c>
      <c r="AV7" s="1364">
        <f>AV24*AV454</f>
        <v/>
      </c>
      <c r="AW7" s="1364">
        <f>AW24*AW454</f>
        <v/>
      </c>
      <c r="AX7" s="1364">
        <f>AX24*AX454</f>
        <v/>
      </c>
      <c r="AY7" s="1378">
        <f>AY24*AY454</f>
        <v/>
      </c>
      <c r="AZ7" s="1364">
        <f>AZ24*AZ454</f>
        <v/>
      </c>
      <c r="BA7" s="1364">
        <f>BA24*BA454</f>
        <v/>
      </c>
      <c r="BB7" s="1364">
        <f>BB24*BB454</f>
        <v/>
      </c>
      <c r="BC7" s="1364">
        <f>BC24*BC454</f>
        <v/>
      </c>
      <c r="BD7" s="1378">
        <f>BD24*BD454</f>
        <v/>
      </c>
      <c r="BE7" s="1364">
        <f>BE24*BE454</f>
        <v/>
      </c>
      <c r="BF7" s="1364">
        <f>BF24*BF454</f>
        <v/>
      </c>
      <c r="BG7" s="1364">
        <f>BG24*BG454</f>
        <v/>
      </c>
      <c r="BH7" s="1364">
        <f>BH24*BH454</f>
        <v/>
      </c>
      <c r="BI7" s="1378">
        <f>BI24*BI454</f>
        <v/>
      </c>
      <c r="BJ7" s="1364">
        <f>BJ24*BJ454</f>
        <v/>
      </c>
      <c r="BK7" s="1364">
        <f>BK24*BK454</f>
        <v/>
      </c>
      <c r="BL7" s="1364">
        <f>BL24*BL454</f>
        <v/>
      </c>
      <c r="BM7" s="1361" t="n"/>
      <c r="BN7" s="1379" t="n"/>
      <c r="BO7" s="1361" t="n"/>
      <c r="BP7" s="1361" t="n"/>
      <c r="BQ7" s="1363" t="n"/>
      <c r="BR7" s="1361" t="n"/>
      <c r="BS7" s="1379" t="n"/>
      <c r="BT7" s="1361" t="n"/>
      <c r="BU7" s="1361" t="n"/>
      <c r="BV7" s="1361" t="n"/>
      <c r="BW7" s="1361" t="n"/>
      <c r="BX7" s="1379" t="n"/>
      <c r="BY7" s="1379" t="n"/>
      <c r="BZ7" s="1379" t="n"/>
      <c r="CA7" s="1379" t="n"/>
      <c r="CB7" s="1364" t="n"/>
    </row>
    <row r="8" ht="14.4" customFormat="1" customHeight="1" s="1359">
      <c r="A8" s="1380" t="inlineStr">
        <is>
          <t>Y/Y Functional Verification (including Emulation Hardware revenue) growth, %</t>
        </is>
      </c>
      <c r="B8" s="1381" t="n"/>
      <c r="C8" s="1382" t="n"/>
      <c r="D8" s="1383">
        <f>D7/C7-1</f>
        <v/>
      </c>
      <c r="E8" s="1383">
        <f>E7/D7-1</f>
        <v/>
      </c>
      <c r="F8" s="1383">
        <f>F7/E7-1</f>
        <v/>
      </c>
      <c r="G8" s="1384" t="n"/>
      <c r="H8" s="1384" t="n"/>
      <c r="I8" s="1384" t="n"/>
      <c r="J8" s="1384" t="n"/>
      <c r="K8" s="1383">
        <f>K7/F7-1</f>
        <v/>
      </c>
      <c r="L8" s="1385">
        <f>L7/G7-1</f>
        <v/>
      </c>
      <c r="M8" s="1385">
        <f>M7/H7-1</f>
        <v/>
      </c>
      <c r="N8" s="1385">
        <f>N7/I7-1</f>
        <v/>
      </c>
      <c r="O8" s="1385">
        <f>O7/J7-1</f>
        <v/>
      </c>
      <c r="P8" s="1383">
        <f>P7/K7-1</f>
        <v/>
      </c>
      <c r="Q8" s="1385">
        <f>Q7/L7-1</f>
        <v/>
      </c>
      <c r="R8" s="1385">
        <f>R7/M7-1</f>
        <v/>
      </c>
      <c r="S8" s="1385">
        <f>S7/N7-1</f>
        <v/>
      </c>
      <c r="T8" s="1385">
        <f>T7/O7-1</f>
        <v/>
      </c>
      <c r="U8" s="1383">
        <f>U7/P7-1</f>
        <v/>
      </c>
      <c r="V8" s="1385">
        <f>V7/Q7-1</f>
        <v/>
      </c>
      <c r="W8" s="1385">
        <f>W7/R7-1</f>
        <v/>
      </c>
      <c r="X8" s="1385">
        <f>X7/S7-1</f>
        <v/>
      </c>
      <c r="Y8" s="1385">
        <f>Y7/T7-1</f>
        <v/>
      </c>
      <c r="Z8" s="1383">
        <f>Z7/U7-1</f>
        <v/>
      </c>
      <c r="AA8" s="1385">
        <f>AA7/V7-1</f>
        <v/>
      </c>
      <c r="AB8" s="1385">
        <f>AB7/W7-1</f>
        <v/>
      </c>
      <c r="AC8" s="1385">
        <f>AC7/X7-1</f>
        <v/>
      </c>
      <c r="AD8" s="1385">
        <f>AD7/Y7-1</f>
        <v/>
      </c>
      <c r="AE8" s="1383">
        <f>AE7/Z7-1</f>
        <v/>
      </c>
      <c r="AF8" s="1385">
        <f>AF7/AA7-1</f>
        <v/>
      </c>
      <c r="AG8" s="1385">
        <f>AG7/AB7-1</f>
        <v/>
      </c>
      <c r="AH8" s="1385">
        <f>AH7/AC7-1</f>
        <v/>
      </c>
      <c r="AI8" s="1385">
        <f>AI7/AD7-1</f>
        <v/>
      </c>
      <c r="AJ8" s="1383">
        <f>AJ7/AE7-1</f>
        <v/>
      </c>
      <c r="AK8" s="1385">
        <f>AK7/AF7-1</f>
        <v/>
      </c>
      <c r="AL8" s="1385">
        <f>AL7/AG7-1</f>
        <v/>
      </c>
      <c r="AM8" s="1385">
        <f>AM7/AH7-1</f>
        <v/>
      </c>
      <c r="AN8" s="1385">
        <f>AN7/AI7-1</f>
        <v/>
      </c>
      <c r="AO8" s="1383">
        <f>AO7/AJ7-1</f>
        <v/>
      </c>
      <c r="AP8" s="1385">
        <f>AP7/AK7-1</f>
        <v/>
      </c>
      <c r="AQ8" s="1385">
        <f>AQ7/AL7-1</f>
        <v/>
      </c>
      <c r="AR8" s="1385">
        <f>AR7/AM7-1</f>
        <v/>
      </c>
      <c r="AS8" s="1385">
        <f>AS7/AN7-1</f>
        <v/>
      </c>
      <c r="AT8" s="1383">
        <f>AT7/AO7-1</f>
        <v/>
      </c>
      <c r="AU8" s="1385">
        <f>AU7/AP7-1</f>
        <v/>
      </c>
      <c r="AV8" s="1385">
        <f>AV7/AQ7-1</f>
        <v/>
      </c>
      <c r="AW8" s="1385">
        <f>AW7/AR7-1</f>
        <v/>
      </c>
      <c r="AX8" s="1385">
        <f>AX7/AS7-1</f>
        <v/>
      </c>
      <c r="AY8" s="1383">
        <f>AY7/AT7-1</f>
        <v/>
      </c>
      <c r="AZ8" s="1385">
        <f>AZ7/AU7-1</f>
        <v/>
      </c>
      <c r="BA8" s="1385">
        <f>BA7/AV7-1</f>
        <v/>
      </c>
      <c r="BB8" s="1385">
        <f>BB7/AW7-1</f>
        <v/>
      </c>
      <c r="BC8" s="1385">
        <f>BC7/AX7-1</f>
        <v/>
      </c>
      <c r="BD8" s="1383">
        <f>BD7/AY7-1</f>
        <v/>
      </c>
      <c r="BE8" s="1385">
        <f>BE7/AZ7-1</f>
        <v/>
      </c>
      <c r="BF8" s="1385">
        <f>BF7/BA7-1</f>
        <v/>
      </c>
      <c r="BG8" s="1385">
        <f>BG7/BB7-1</f>
        <v/>
      </c>
      <c r="BH8" s="1385">
        <f>BH7/BC7-1</f>
        <v/>
      </c>
      <c r="BI8" s="1383">
        <f>BI7/BD7-1</f>
        <v/>
      </c>
      <c r="BJ8" s="1385">
        <f>BJ7/BE7-1</f>
        <v/>
      </c>
      <c r="BK8" s="1385">
        <f>BK7/BF7-1</f>
        <v/>
      </c>
      <c r="BL8" s="1385">
        <f>BL7/BG7-1</f>
        <v/>
      </c>
      <c r="BM8" s="1384" t="n"/>
      <c r="BN8" s="1382" t="n"/>
      <c r="BO8" s="1384" t="n"/>
      <c r="BP8" s="1384" t="n"/>
      <c r="BQ8" s="1386" t="n"/>
      <c r="BR8" s="1384" t="n"/>
      <c r="BS8" s="1382" t="n"/>
      <c r="BT8" s="1384" t="n"/>
      <c r="BU8" s="1384" t="n"/>
      <c r="BV8" s="1384" t="n"/>
      <c r="BW8" s="1384" t="n"/>
      <c r="BX8" s="1382" t="n"/>
      <c r="BY8" s="1382" t="n"/>
      <c r="BZ8" s="1382" t="n"/>
      <c r="CA8" s="1382" t="n"/>
      <c r="CB8" s="1364" t="n"/>
    </row>
    <row r="9" ht="14.4" customFormat="1" customHeight="1" s="1359">
      <c r="A9" s="1376" t="inlineStr">
        <is>
          <t>Digital IC Design and Signoff revenue, mm</t>
        </is>
      </c>
      <c r="B9" s="1377" t="n"/>
      <c r="C9" s="1378">
        <f>C25*C454</f>
        <v/>
      </c>
      <c r="D9" s="1378">
        <f>D25*D454</f>
        <v/>
      </c>
      <c r="E9" s="1378">
        <f>E25*E454</f>
        <v/>
      </c>
      <c r="F9" s="1378">
        <f>F25*F454</f>
        <v/>
      </c>
      <c r="G9" s="1364">
        <f>G25*G454</f>
        <v/>
      </c>
      <c r="H9" s="1364">
        <f>H25*H454</f>
        <v/>
      </c>
      <c r="I9" s="1364">
        <f>I25*I454</f>
        <v/>
      </c>
      <c r="J9" s="1364">
        <f>J25*J454</f>
        <v/>
      </c>
      <c r="K9" s="1378">
        <f>K25*K454</f>
        <v/>
      </c>
      <c r="L9" s="1364">
        <f>L25*L454</f>
        <v/>
      </c>
      <c r="M9" s="1364">
        <f>M25*M454</f>
        <v/>
      </c>
      <c r="N9" s="1364">
        <f>N25*N454</f>
        <v/>
      </c>
      <c r="O9" s="1364">
        <f>O25*O454</f>
        <v/>
      </c>
      <c r="P9" s="1378">
        <f>P25*P454</f>
        <v/>
      </c>
      <c r="Q9" s="1364">
        <f>Q25*Q454</f>
        <v/>
      </c>
      <c r="R9" s="1364">
        <f>R25*R454</f>
        <v/>
      </c>
      <c r="S9" s="1364">
        <f>S25*S454</f>
        <v/>
      </c>
      <c r="T9" s="1364">
        <f>T25*T454</f>
        <v/>
      </c>
      <c r="U9" s="1378">
        <f>U25*U454</f>
        <v/>
      </c>
      <c r="V9" s="1364">
        <f>V25*V454</f>
        <v/>
      </c>
      <c r="W9" s="1364">
        <f>W25*W454</f>
        <v/>
      </c>
      <c r="X9" s="1364">
        <f>X25*X454</f>
        <v/>
      </c>
      <c r="Y9" s="1364">
        <f>Y25*Y454</f>
        <v/>
      </c>
      <c r="Z9" s="1378">
        <f>Z25*Z454</f>
        <v/>
      </c>
      <c r="AA9" s="1364">
        <f>AA25*AA454</f>
        <v/>
      </c>
      <c r="AB9" s="1364">
        <f>AB25*AB454</f>
        <v/>
      </c>
      <c r="AC9" s="1364">
        <f>AC25*AC454</f>
        <v/>
      </c>
      <c r="AD9" s="1364">
        <f>AD25*AD454</f>
        <v/>
      </c>
      <c r="AE9" s="1378">
        <f>AE25*AE454</f>
        <v/>
      </c>
      <c r="AF9" s="1364">
        <f>AF25*AF454</f>
        <v/>
      </c>
      <c r="AG9" s="1364">
        <f>AG25*AG454</f>
        <v/>
      </c>
      <c r="AH9" s="1364">
        <f>AH25*AH454</f>
        <v/>
      </c>
      <c r="AI9" s="1364">
        <f>AI25*AI454</f>
        <v/>
      </c>
      <c r="AJ9" s="1378">
        <f>AJ25*AJ454</f>
        <v/>
      </c>
      <c r="AK9" s="1364">
        <f>AK25*AK454</f>
        <v/>
      </c>
      <c r="AL9" s="1364">
        <f>AL25*AL454</f>
        <v/>
      </c>
      <c r="AM9" s="1364">
        <f>AM25*AM454</f>
        <v/>
      </c>
      <c r="AN9" s="1364">
        <f>AN25*AN454</f>
        <v/>
      </c>
      <c r="AO9" s="1378">
        <f>AO25*AO454</f>
        <v/>
      </c>
      <c r="AP9" s="1364">
        <f>AP25*AP454</f>
        <v/>
      </c>
      <c r="AQ9" s="1364">
        <f>AQ25*AQ454</f>
        <v/>
      </c>
      <c r="AR9" s="1364">
        <f>AR25*AR454</f>
        <v/>
      </c>
      <c r="AS9" s="1364">
        <f>AS25*AS454</f>
        <v/>
      </c>
      <c r="AT9" s="1378">
        <f>AT25*AT454</f>
        <v/>
      </c>
      <c r="AU9" s="1364">
        <f>AU25*AU454</f>
        <v/>
      </c>
      <c r="AV9" s="1364">
        <f>AV25*AV454</f>
        <v/>
      </c>
      <c r="AW9" s="1364">
        <f>AW25*AW454</f>
        <v/>
      </c>
      <c r="AX9" s="1364">
        <f>AX25*AX454</f>
        <v/>
      </c>
      <c r="AY9" s="1378">
        <f>AY25*AY454</f>
        <v/>
      </c>
      <c r="AZ9" s="1364">
        <f>AZ25*AZ454</f>
        <v/>
      </c>
      <c r="BA9" s="1364">
        <f>BA25*BA454</f>
        <v/>
      </c>
      <c r="BB9" s="1364">
        <f>BB25*BB454</f>
        <v/>
      </c>
      <c r="BC9" s="1364">
        <f>BC25*BC454</f>
        <v/>
      </c>
      <c r="BD9" s="1378">
        <f>BD25*BD454</f>
        <v/>
      </c>
      <c r="BE9" s="1364">
        <f>BE25*BE454</f>
        <v/>
      </c>
      <c r="BF9" s="1364">
        <f>BF25*BF454</f>
        <v/>
      </c>
      <c r="BG9" s="1364">
        <f>BG25*BG454</f>
        <v/>
      </c>
      <c r="BH9" s="1364">
        <f>BH25*BH454</f>
        <v/>
      </c>
      <c r="BI9" s="1378">
        <f>BI25*BI454</f>
        <v/>
      </c>
      <c r="BJ9" s="1364">
        <f>BJ25*BJ454</f>
        <v/>
      </c>
      <c r="BK9" s="1364">
        <f>BK25*BK454</f>
        <v/>
      </c>
      <c r="BL9" s="1364">
        <f>BL25*BL454</f>
        <v/>
      </c>
      <c r="BM9" s="1361" t="n"/>
      <c r="BN9" s="1379" t="n"/>
      <c r="BO9" s="1361" t="n"/>
      <c r="BP9" s="1361" t="n"/>
      <c r="BQ9" s="1363" t="n"/>
      <c r="BR9" s="1361" t="n"/>
      <c r="BS9" s="1379" t="n"/>
      <c r="BT9" s="1361" t="n"/>
      <c r="BU9" s="1361" t="n"/>
      <c r="BV9" s="1361" t="n"/>
      <c r="BW9" s="1361" t="n"/>
      <c r="BX9" s="1379" t="n"/>
      <c r="BY9" s="1379" t="n"/>
      <c r="BZ9" s="1379" t="n"/>
      <c r="CA9" s="1379" t="n"/>
      <c r="CB9" s="1364" t="n"/>
    </row>
    <row r="10" ht="14.4" customFormat="1" customHeight="1" s="1359">
      <c r="A10" s="1380" t="inlineStr">
        <is>
          <t>Y/Y Digital IC Design and Signoff revenue growth, %</t>
        </is>
      </c>
      <c r="B10" s="1381" t="n"/>
      <c r="C10" s="1382" t="n"/>
      <c r="D10" s="1383">
        <f>D9/C9-1</f>
        <v/>
      </c>
      <c r="E10" s="1383">
        <f>E9/D9-1</f>
        <v/>
      </c>
      <c r="F10" s="1383">
        <f>F9/E9-1</f>
        <v/>
      </c>
      <c r="G10" s="1384" t="n"/>
      <c r="H10" s="1384" t="n"/>
      <c r="I10" s="1384" t="n"/>
      <c r="J10" s="1384" t="n"/>
      <c r="K10" s="1383">
        <f>K9/F9-1</f>
        <v/>
      </c>
      <c r="L10" s="1385">
        <f>L9/G9-1</f>
        <v/>
      </c>
      <c r="M10" s="1385">
        <f>M9/H9-1</f>
        <v/>
      </c>
      <c r="N10" s="1385">
        <f>N9/I9-1</f>
        <v/>
      </c>
      <c r="O10" s="1385">
        <f>O9/J9-1</f>
        <v/>
      </c>
      <c r="P10" s="1383">
        <f>P9/K9-1</f>
        <v/>
      </c>
      <c r="Q10" s="1385">
        <f>Q9/L9-1</f>
        <v/>
      </c>
      <c r="R10" s="1385">
        <f>R9/M9-1</f>
        <v/>
      </c>
      <c r="S10" s="1385">
        <f>S9/N9-1</f>
        <v/>
      </c>
      <c r="T10" s="1385">
        <f>T9/O9-1</f>
        <v/>
      </c>
      <c r="U10" s="1383">
        <f>U9/P9-1</f>
        <v/>
      </c>
      <c r="V10" s="1385">
        <f>V9/Q9-1</f>
        <v/>
      </c>
      <c r="W10" s="1385">
        <f>W9/R9-1</f>
        <v/>
      </c>
      <c r="X10" s="1385">
        <f>X9/S9-1</f>
        <v/>
      </c>
      <c r="Y10" s="1385">
        <f>Y9/T9-1</f>
        <v/>
      </c>
      <c r="Z10" s="1383">
        <f>Z9/U9-1</f>
        <v/>
      </c>
      <c r="AA10" s="1385">
        <f>AA9/V9-1</f>
        <v/>
      </c>
      <c r="AB10" s="1385">
        <f>AB9/W9-1</f>
        <v/>
      </c>
      <c r="AC10" s="1385">
        <f>AC9/X9-1</f>
        <v/>
      </c>
      <c r="AD10" s="1385">
        <f>AD9/Y9-1</f>
        <v/>
      </c>
      <c r="AE10" s="1383">
        <f>AE9/Z9-1</f>
        <v/>
      </c>
      <c r="AF10" s="1385">
        <f>AF9/AA9-1</f>
        <v/>
      </c>
      <c r="AG10" s="1385">
        <f>AG9/AB9-1</f>
        <v/>
      </c>
      <c r="AH10" s="1385">
        <f>AH9/AC9-1</f>
        <v/>
      </c>
      <c r="AI10" s="1385">
        <f>AI9/AD9-1</f>
        <v/>
      </c>
      <c r="AJ10" s="1383">
        <f>AJ9/AE9-1</f>
        <v/>
      </c>
      <c r="AK10" s="1385">
        <f>AK9/AF9-1</f>
        <v/>
      </c>
      <c r="AL10" s="1385">
        <f>AL9/AG9-1</f>
        <v/>
      </c>
      <c r="AM10" s="1385">
        <f>AM9/AH9-1</f>
        <v/>
      </c>
      <c r="AN10" s="1385">
        <f>AN9/AI9-1</f>
        <v/>
      </c>
      <c r="AO10" s="1383">
        <f>AO9/AJ9-1</f>
        <v/>
      </c>
      <c r="AP10" s="1385">
        <f>AP9/AK9-1</f>
        <v/>
      </c>
      <c r="AQ10" s="1385">
        <f>AQ9/AL9-1</f>
        <v/>
      </c>
      <c r="AR10" s="1385">
        <f>AR9/AM9-1</f>
        <v/>
      </c>
      <c r="AS10" s="1385">
        <f>AS9/AN9-1</f>
        <v/>
      </c>
      <c r="AT10" s="1383">
        <f>AT9/AO9-1</f>
        <v/>
      </c>
      <c r="AU10" s="1385">
        <f>AU9/AP9-1</f>
        <v/>
      </c>
      <c r="AV10" s="1385">
        <f>AV9/AQ9-1</f>
        <v/>
      </c>
      <c r="AW10" s="1385">
        <f>AW9/AR9-1</f>
        <v/>
      </c>
      <c r="AX10" s="1385">
        <f>AX9/AS9-1</f>
        <v/>
      </c>
      <c r="AY10" s="1383">
        <f>AY9/AT9-1</f>
        <v/>
      </c>
      <c r="AZ10" s="1385">
        <f>AZ9/AU9-1</f>
        <v/>
      </c>
      <c r="BA10" s="1385">
        <f>BA9/AV9-1</f>
        <v/>
      </c>
      <c r="BB10" s="1385">
        <f>BB9/AW9-1</f>
        <v/>
      </c>
      <c r="BC10" s="1385">
        <f>BC9/AX9-1</f>
        <v/>
      </c>
      <c r="BD10" s="1383">
        <f>BD9/AY9-1</f>
        <v/>
      </c>
      <c r="BE10" s="1385">
        <f>BE9/AZ9-1</f>
        <v/>
      </c>
      <c r="BF10" s="1385">
        <f>BF9/BA9-1</f>
        <v/>
      </c>
      <c r="BG10" s="1385">
        <f>BG9/BB9-1</f>
        <v/>
      </c>
      <c r="BH10" s="1385">
        <f>BH9/BC9-1</f>
        <v/>
      </c>
      <c r="BI10" s="1383">
        <f>BI9/BD9-1</f>
        <v/>
      </c>
      <c r="BJ10" s="1385">
        <f>BJ9/BE9-1</f>
        <v/>
      </c>
      <c r="BK10" s="1385">
        <f>BK9/BF9-1</f>
        <v/>
      </c>
      <c r="BL10" s="1385">
        <f>BL9/BG9-1</f>
        <v/>
      </c>
      <c r="BM10" s="1384" t="n"/>
      <c r="BN10" s="1382" t="n"/>
      <c r="BO10" s="1384" t="n"/>
      <c r="BP10" s="1384" t="n"/>
      <c r="BQ10" s="1386" t="n"/>
      <c r="BR10" s="1384" t="n"/>
      <c r="BS10" s="1382" t="n"/>
      <c r="BT10" s="1384" t="n"/>
      <c r="BU10" s="1384" t="n"/>
      <c r="BV10" s="1384" t="n"/>
      <c r="BW10" s="1384" t="n"/>
      <c r="BX10" s="1382" t="n"/>
      <c r="BY10" s="1382" t="n"/>
      <c r="BZ10" s="1382" t="n"/>
      <c r="CA10" s="1382" t="n"/>
      <c r="CB10" s="1364" t="n"/>
    </row>
    <row r="11" ht="14.4" customFormat="1" customHeight="1" s="1359">
      <c r="A11" s="1376" t="inlineStr">
        <is>
          <t>Custom IC Design revenue, mm</t>
        </is>
      </c>
      <c r="B11" s="1377" t="n"/>
      <c r="C11" s="1378">
        <f>C26*C454</f>
        <v/>
      </c>
      <c r="D11" s="1378">
        <f>D26*D454</f>
        <v/>
      </c>
      <c r="E11" s="1378">
        <f>E26*E454</f>
        <v/>
      </c>
      <c r="F11" s="1378">
        <f>F26*F454</f>
        <v/>
      </c>
      <c r="G11" s="1364">
        <f>G26*G454</f>
        <v/>
      </c>
      <c r="H11" s="1364">
        <f>H26*H454</f>
        <v/>
      </c>
      <c r="I11" s="1364">
        <f>I26*I454</f>
        <v/>
      </c>
      <c r="J11" s="1364">
        <f>J26*J454</f>
        <v/>
      </c>
      <c r="K11" s="1378">
        <f>K26*K454</f>
        <v/>
      </c>
      <c r="L11" s="1364">
        <f>L26*L454</f>
        <v/>
      </c>
      <c r="M11" s="1364">
        <f>M26*M454</f>
        <v/>
      </c>
      <c r="N11" s="1364">
        <f>N26*N454</f>
        <v/>
      </c>
      <c r="O11" s="1364">
        <f>O26*O454</f>
        <v/>
      </c>
      <c r="P11" s="1378">
        <f>P26*P454</f>
        <v/>
      </c>
      <c r="Q11" s="1364">
        <f>Q26*Q454</f>
        <v/>
      </c>
      <c r="R11" s="1364">
        <f>R26*R454</f>
        <v/>
      </c>
      <c r="S11" s="1364">
        <f>S26*S454</f>
        <v/>
      </c>
      <c r="T11" s="1364">
        <f>T26*T454</f>
        <v/>
      </c>
      <c r="U11" s="1378">
        <f>U26*U454</f>
        <v/>
      </c>
      <c r="V11" s="1364">
        <f>V26*V454</f>
        <v/>
      </c>
      <c r="W11" s="1364">
        <f>W26*W454</f>
        <v/>
      </c>
      <c r="X11" s="1364">
        <f>X26*X454</f>
        <v/>
      </c>
      <c r="Y11" s="1364">
        <f>Y26*Y454</f>
        <v/>
      </c>
      <c r="Z11" s="1378">
        <f>Z26*Z454</f>
        <v/>
      </c>
      <c r="AA11" s="1364">
        <f>AA26*AA454</f>
        <v/>
      </c>
      <c r="AB11" s="1364">
        <f>AB26*AB454</f>
        <v/>
      </c>
      <c r="AC11" s="1364">
        <f>AC26*AC454</f>
        <v/>
      </c>
      <c r="AD11" s="1364">
        <f>AD26*AD454</f>
        <v/>
      </c>
      <c r="AE11" s="1378">
        <f>AE26*AE454</f>
        <v/>
      </c>
      <c r="AF11" s="1364">
        <f>AF26*AF454</f>
        <v/>
      </c>
      <c r="AG11" s="1364">
        <f>AG26*AG454</f>
        <v/>
      </c>
      <c r="AH11" s="1364">
        <f>AH26*AH454</f>
        <v/>
      </c>
      <c r="AI11" s="1364">
        <f>AI26*AI454</f>
        <v/>
      </c>
      <c r="AJ11" s="1378">
        <f>AJ26*AJ454</f>
        <v/>
      </c>
      <c r="AK11" s="1364">
        <f>AK26*AK454</f>
        <v/>
      </c>
      <c r="AL11" s="1364">
        <f>AL26*AL454</f>
        <v/>
      </c>
      <c r="AM11" s="1364">
        <f>AM26*AM454</f>
        <v/>
      </c>
      <c r="AN11" s="1364">
        <f>AN26*AN454</f>
        <v/>
      </c>
      <c r="AO11" s="1378">
        <f>AO26*AO454</f>
        <v/>
      </c>
      <c r="AP11" s="1364">
        <f>AP26*AP454</f>
        <v/>
      </c>
      <c r="AQ11" s="1364">
        <f>AQ26*AQ454</f>
        <v/>
      </c>
      <c r="AR11" s="1364">
        <f>AR26*AR454</f>
        <v/>
      </c>
      <c r="AS11" s="1364">
        <f>AS26*AS454</f>
        <v/>
      </c>
      <c r="AT11" s="1378">
        <f>AT26*AT454</f>
        <v/>
      </c>
      <c r="AU11" s="1364">
        <f>AU26*AU454</f>
        <v/>
      </c>
      <c r="AV11" s="1364">
        <f>AV26*AV454</f>
        <v/>
      </c>
      <c r="AW11" s="1364">
        <f>AW26*AW454</f>
        <v/>
      </c>
      <c r="AX11" s="1364">
        <f>AX26*AX454</f>
        <v/>
      </c>
      <c r="AY11" s="1378">
        <f>AY26*AY454</f>
        <v/>
      </c>
      <c r="AZ11" s="1364">
        <f>AZ26*AZ454</f>
        <v/>
      </c>
      <c r="BA11" s="1364">
        <f>BA26*BA454</f>
        <v/>
      </c>
      <c r="BB11" s="1364">
        <f>BB26*BB454</f>
        <v/>
      </c>
      <c r="BC11" s="1364">
        <f>BC26*BC454</f>
        <v/>
      </c>
      <c r="BD11" s="1378">
        <f>BD26*BD454</f>
        <v/>
      </c>
      <c r="BE11" s="1364">
        <f>BE26*BE454</f>
        <v/>
      </c>
      <c r="BF11" s="1364">
        <f>BF26*BF454</f>
        <v/>
      </c>
      <c r="BG11" s="1364">
        <f>BG26*BG454</f>
        <v/>
      </c>
      <c r="BH11" s="1364">
        <f>BH26*BH454</f>
        <v/>
      </c>
      <c r="BI11" s="1378">
        <f>BI26*BI454</f>
        <v/>
      </c>
      <c r="BJ11" s="1364">
        <f>BJ26*BJ454</f>
        <v/>
      </c>
      <c r="BK11" s="1364">
        <f>BK26*BK454</f>
        <v/>
      </c>
      <c r="BL11" s="1364">
        <f>BL26*BL454</f>
        <v/>
      </c>
      <c r="BM11" s="1361" t="n"/>
      <c r="BN11" s="1379" t="n"/>
      <c r="BO11" s="1361" t="n"/>
      <c r="BP11" s="1361" t="n"/>
      <c r="BQ11" s="1363" t="n"/>
      <c r="BR11" s="1361" t="n"/>
      <c r="BS11" s="1379" t="n"/>
      <c r="BT11" s="1361" t="n"/>
      <c r="BU11" s="1361" t="n"/>
      <c r="BV11" s="1361" t="n"/>
      <c r="BW11" s="1361" t="n"/>
      <c r="BX11" s="1379" t="n"/>
      <c r="BY11" s="1379" t="n"/>
      <c r="BZ11" s="1379" t="n"/>
      <c r="CA11" s="1379" t="n"/>
      <c r="CB11" s="1364" t="n"/>
    </row>
    <row r="12" ht="14.4" customFormat="1" customHeight="1" s="1359">
      <c r="A12" s="1387" t="inlineStr">
        <is>
          <t>Y/Y Custom IC Design revenue growth, %</t>
        </is>
      </c>
      <c r="B12" s="1388" t="n"/>
      <c r="C12" s="1389" t="n"/>
      <c r="D12" s="1390">
        <f>D11/C11-1</f>
        <v/>
      </c>
      <c r="E12" s="1390">
        <f>E11/D11-1</f>
        <v/>
      </c>
      <c r="F12" s="1390">
        <f>F11/E11-1</f>
        <v/>
      </c>
      <c r="G12" s="1391" t="n"/>
      <c r="H12" s="1391" t="n"/>
      <c r="I12" s="1391" t="n"/>
      <c r="J12" s="1391" t="n"/>
      <c r="K12" s="1390">
        <f>K11/F11-1</f>
        <v/>
      </c>
      <c r="L12" s="1392">
        <f>L11/G11-1</f>
        <v/>
      </c>
      <c r="M12" s="1392">
        <f>M11/H11-1</f>
        <v/>
      </c>
      <c r="N12" s="1392">
        <f>N11/I11-1</f>
        <v/>
      </c>
      <c r="O12" s="1392">
        <f>O11/J11-1</f>
        <v/>
      </c>
      <c r="P12" s="1390">
        <f>P11/K11-1</f>
        <v/>
      </c>
      <c r="Q12" s="1392">
        <f>Q11/L11-1</f>
        <v/>
      </c>
      <c r="R12" s="1392">
        <f>R11/M11-1</f>
        <v/>
      </c>
      <c r="S12" s="1392">
        <f>S11/N11-1</f>
        <v/>
      </c>
      <c r="T12" s="1392">
        <f>T11/O11-1</f>
        <v/>
      </c>
      <c r="U12" s="1390">
        <f>U11/P11-1</f>
        <v/>
      </c>
      <c r="V12" s="1392">
        <f>V11/Q11-1</f>
        <v/>
      </c>
      <c r="W12" s="1392">
        <f>W11/R11-1</f>
        <v/>
      </c>
      <c r="X12" s="1392">
        <f>X11/S11-1</f>
        <v/>
      </c>
      <c r="Y12" s="1392">
        <f>Y11/T11-1</f>
        <v/>
      </c>
      <c r="Z12" s="1390">
        <f>Z11/U11-1</f>
        <v/>
      </c>
      <c r="AA12" s="1392">
        <f>AA11/V11-1</f>
        <v/>
      </c>
      <c r="AB12" s="1392">
        <f>AB11/W11-1</f>
        <v/>
      </c>
      <c r="AC12" s="1392">
        <f>AC11/X11-1</f>
        <v/>
      </c>
      <c r="AD12" s="1392">
        <f>AD11/Y11-1</f>
        <v/>
      </c>
      <c r="AE12" s="1390">
        <f>AE11/Z11-1</f>
        <v/>
      </c>
      <c r="AF12" s="1392">
        <f>AF11/AA11-1</f>
        <v/>
      </c>
      <c r="AG12" s="1392">
        <f>AG11/AB11-1</f>
        <v/>
      </c>
      <c r="AH12" s="1392">
        <f>AH11/AC11-1</f>
        <v/>
      </c>
      <c r="AI12" s="1392">
        <f>AI11/AD11-1</f>
        <v/>
      </c>
      <c r="AJ12" s="1390">
        <f>AJ11/AE11-1</f>
        <v/>
      </c>
      <c r="AK12" s="1392">
        <f>AK11/AF11-1</f>
        <v/>
      </c>
      <c r="AL12" s="1392">
        <f>AL11/AG11-1</f>
        <v/>
      </c>
      <c r="AM12" s="1392">
        <f>AM11/AH11-1</f>
        <v/>
      </c>
      <c r="AN12" s="1392">
        <f>AN11/AI11-1</f>
        <v/>
      </c>
      <c r="AO12" s="1390">
        <f>AO11/AJ11-1</f>
        <v/>
      </c>
      <c r="AP12" s="1392">
        <f>AP11/AK11-1</f>
        <v/>
      </c>
      <c r="AQ12" s="1392">
        <f>AQ11/AL11-1</f>
        <v/>
      </c>
      <c r="AR12" s="1392">
        <f>AR11/AM11-1</f>
        <v/>
      </c>
      <c r="AS12" s="1392">
        <f>AS11/AN11-1</f>
        <v/>
      </c>
      <c r="AT12" s="1390">
        <f>AT11/AO11-1</f>
        <v/>
      </c>
      <c r="AU12" s="1392">
        <f>AU11/AP11-1</f>
        <v/>
      </c>
      <c r="AV12" s="1392">
        <f>AV11/AQ11-1</f>
        <v/>
      </c>
      <c r="AW12" s="1392">
        <f>AW11/AR11-1</f>
        <v/>
      </c>
      <c r="AX12" s="1392">
        <f>AX11/AS11-1</f>
        <v/>
      </c>
      <c r="AY12" s="1390">
        <f>AY11/AT11-1</f>
        <v/>
      </c>
      <c r="AZ12" s="1392">
        <f>AZ11/AU11-1</f>
        <v/>
      </c>
      <c r="BA12" s="1392">
        <f>BA11/AV11-1</f>
        <v/>
      </c>
      <c r="BB12" s="1392">
        <f>BB11/AW11-1</f>
        <v/>
      </c>
      <c r="BC12" s="1392">
        <f>BC11/AX11-1</f>
        <v/>
      </c>
      <c r="BD12" s="1390">
        <f>BD11/AY11-1</f>
        <v/>
      </c>
      <c r="BE12" s="1392">
        <f>BE11/AZ11-1</f>
        <v/>
      </c>
      <c r="BF12" s="1392">
        <f>BF11/BA11-1</f>
        <v/>
      </c>
      <c r="BG12" s="1392">
        <f>BG11/BB11-1</f>
        <v/>
      </c>
      <c r="BH12" s="1392">
        <f>BH11/BC11-1</f>
        <v/>
      </c>
      <c r="BI12" s="1390">
        <f>BI11/BD11-1</f>
        <v/>
      </c>
      <c r="BJ12" s="1392">
        <f>BJ11/BE11-1</f>
        <v/>
      </c>
      <c r="BK12" s="1392">
        <f>BK11/BF11-1</f>
        <v/>
      </c>
      <c r="BL12" s="1392">
        <f>BL11/BG11-1</f>
        <v/>
      </c>
      <c r="BM12" s="1391" t="n"/>
      <c r="BN12" s="1389" t="n"/>
      <c r="BO12" s="1391" t="n"/>
      <c r="BP12" s="1391" t="n"/>
      <c r="BQ12" s="1393" t="n"/>
      <c r="BR12" s="1391" t="n"/>
      <c r="BS12" s="1389" t="n"/>
      <c r="BT12" s="1391" t="n"/>
      <c r="BU12" s="1391" t="n"/>
      <c r="BV12" s="1391" t="n"/>
      <c r="BW12" s="1391" t="n"/>
      <c r="BX12" s="1389" t="n"/>
      <c r="BY12" s="1389" t="n"/>
      <c r="BZ12" s="1389" t="n"/>
      <c r="CA12" s="1389" t="n"/>
      <c r="CB12" s="1364" t="n"/>
    </row>
    <row r="13" ht="14.4" customFormat="1" customHeight="1" s="1359">
      <c r="A13" s="1394" t="inlineStr">
        <is>
          <t>Core EDA revenue, mm</t>
        </is>
      </c>
      <c r="B13" s="1377" t="n"/>
      <c r="C13" s="1379">
        <f>+C11+C9+C7</f>
        <v/>
      </c>
      <c r="D13" s="1378">
        <f>+D11+D9+D7</f>
        <v/>
      </c>
      <c r="E13" s="1378">
        <f>+E11+E9+E7</f>
        <v/>
      </c>
      <c r="F13" s="1378">
        <f>+F11+F9+F7</f>
        <v/>
      </c>
      <c r="G13" s="1361">
        <f>+G11+G9+G7</f>
        <v/>
      </c>
      <c r="H13" s="1361">
        <f>+H11+H9+H7</f>
        <v/>
      </c>
      <c r="I13" s="1361">
        <f>+I11+I9+I7</f>
        <v/>
      </c>
      <c r="J13" s="1361">
        <f>+J11+J9+J7</f>
        <v/>
      </c>
      <c r="K13" s="1378">
        <f>+K11+K9+K7</f>
        <v/>
      </c>
      <c r="L13" s="1364">
        <f>+L11+L9+L7</f>
        <v/>
      </c>
      <c r="M13" s="1364">
        <f>+M11+M9+M7</f>
        <v/>
      </c>
      <c r="N13" s="1364">
        <f>+N11+N9+N7</f>
        <v/>
      </c>
      <c r="O13" s="1364">
        <f>+O11+O9+O7</f>
        <v/>
      </c>
      <c r="P13" s="1378">
        <f>+P11+P9+P7</f>
        <v/>
      </c>
      <c r="Q13" s="1364">
        <f>+Q11+Q9+Q7</f>
        <v/>
      </c>
      <c r="R13" s="1364">
        <f>+R11+R9+R7</f>
        <v/>
      </c>
      <c r="S13" s="1364">
        <f>+S11+S9+S7</f>
        <v/>
      </c>
      <c r="T13" s="1364">
        <f>+T11+T9+T7</f>
        <v/>
      </c>
      <c r="U13" s="1378">
        <f>+U11+U9+U7</f>
        <v/>
      </c>
      <c r="V13" s="1364">
        <f>+V11+V9+V7</f>
        <v/>
      </c>
      <c r="W13" s="1364">
        <f>+W11+W9+W7</f>
        <v/>
      </c>
      <c r="X13" s="1364">
        <f>+X11+X9+X7</f>
        <v/>
      </c>
      <c r="Y13" s="1364">
        <f>+Y11+Y9+Y7</f>
        <v/>
      </c>
      <c r="Z13" s="1378">
        <f>+Z11+Z9+Z7</f>
        <v/>
      </c>
      <c r="AA13" s="1364">
        <f>+AA11+AA9+AA7</f>
        <v/>
      </c>
      <c r="AB13" s="1364">
        <f>+AB11+AB9+AB7</f>
        <v/>
      </c>
      <c r="AC13" s="1364">
        <f>+AC11+AC9+AC7</f>
        <v/>
      </c>
      <c r="AD13" s="1364">
        <f>+AD11+AD9+AD7</f>
        <v/>
      </c>
      <c r="AE13" s="1378">
        <f>+AE11+AE9+AE7</f>
        <v/>
      </c>
      <c r="AF13" s="1364">
        <f>+AF11+AF9+AF7</f>
        <v/>
      </c>
      <c r="AG13" s="1364">
        <f>+AG11+AG9+AG7</f>
        <v/>
      </c>
      <c r="AH13" s="1364">
        <f>+AH11+AH9+AH7</f>
        <v/>
      </c>
      <c r="AI13" s="1364">
        <f>+AI11+AI9+AI7</f>
        <v/>
      </c>
      <c r="AJ13" s="1378">
        <f>+AJ11+AJ9+AJ7</f>
        <v/>
      </c>
      <c r="AK13" s="1364">
        <f>+AK11+AK9+AK7</f>
        <v/>
      </c>
      <c r="AL13" s="1364">
        <f>+AL11+AL9+AL7</f>
        <v/>
      </c>
      <c r="AM13" s="1364">
        <f>+AM11+AM9+AM7</f>
        <v/>
      </c>
      <c r="AN13" s="1364">
        <f>+AN11+AN9+AN7</f>
        <v/>
      </c>
      <c r="AO13" s="1378">
        <f>+AO11+AO9+AO7</f>
        <v/>
      </c>
      <c r="AP13" s="1364">
        <f>+AP11+AP9+AP7</f>
        <v/>
      </c>
      <c r="AQ13" s="1364">
        <f>+AQ11+AQ9+AQ7</f>
        <v/>
      </c>
      <c r="AR13" s="1364">
        <f>+AR11+AR9+AR7</f>
        <v/>
      </c>
      <c r="AS13" s="1364">
        <f>+AS11+AS9+AS7</f>
        <v/>
      </c>
      <c r="AT13" s="1378">
        <f>+AT11+AT9+AT7</f>
        <v/>
      </c>
      <c r="AU13" s="1364">
        <f>+AU11+AU9+AU7</f>
        <v/>
      </c>
      <c r="AV13" s="1364">
        <f>+AV11+AV9+AV7</f>
        <v/>
      </c>
      <c r="AW13" s="1364">
        <f>+AW11+AW9+AW7</f>
        <v/>
      </c>
      <c r="AX13" s="1364">
        <f>+AX11+AX9+AX7</f>
        <v/>
      </c>
      <c r="AY13" s="1378">
        <f>+AY11+AY9+AY7</f>
        <v/>
      </c>
      <c r="AZ13" s="1364">
        <f>+AZ11+AZ9+AZ7</f>
        <v/>
      </c>
      <c r="BA13" s="1364">
        <f>+BA11+BA9+BA7</f>
        <v/>
      </c>
      <c r="BB13" s="1364">
        <f>+BB11+BB9+BB7</f>
        <v/>
      </c>
      <c r="BC13" s="1364">
        <f>+BC11+BC9+BC7</f>
        <v/>
      </c>
      <c r="BD13" s="1378">
        <f>+BD11+BD9+BD7</f>
        <v/>
      </c>
      <c r="BE13" s="1364">
        <f>+BE11+BE9+BE7</f>
        <v/>
      </c>
      <c r="BF13" s="1364">
        <f>+BF11+BF9+BF7</f>
        <v/>
      </c>
      <c r="BG13" s="1364">
        <f>+BG11+BG9+BG7</f>
        <v/>
      </c>
      <c r="BH13" s="1364">
        <f>+BH11+BH9+BH7</f>
        <v/>
      </c>
      <c r="BI13" s="1378">
        <f>+BI11+BI9+BI7</f>
        <v/>
      </c>
      <c r="BJ13" s="1364">
        <f>+BJ11+BJ9+BJ7</f>
        <v/>
      </c>
      <c r="BK13" s="1364">
        <f>+BK11+BK9+BK7</f>
        <v/>
      </c>
      <c r="BL13" s="1364">
        <f>+BL11+BL9+BL7</f>
        <v/>
      </c>
      <c r="BM13" s="1364">
        <f>BM27*BM454</f>
        <v/>
      </c>
      <c r="BN13" s="1378">
        <f>BN27*BN454</f>
        <v/>
      </c>
      <c r="BO13" s="1364">
        <f>BO27*BO454</f>
        <v/>
      </c>
      <c r="BP13" s="1364">
        <f>BP27*BP454</f>
        <v/>
      </c>
      <c r="BQ13" s="1395">
        <f>BQ27*BQ454</f>
        <v/>
      </c>
      <c r="BR13" s="1361">
        <f>BM13*(1+BR14)</f>
        <v/>
      </c>
      <c r="BS13" s="1379">
        <f>SUM(BO13,BP13,BQ13,BR13)</f>
        <v/>
      </c>
      <c r="BT13" s="1361">
        <f>BO13*(1+BT14)</f>
        <v/>
      </c>
      <c r="BU13" s="1361">
        <f>BP13*(1+BU14)</f>
        <v/>
      </c>
      <c r="BV13" s="1361">
        <f>BQ13*(1+BV14)</f>
        <v/>
      </c>
      <c r="BW13" s="1361">
        <f>BR13*(1+BW14)</f>
        <v/>
      </c>
      <c r="BX13" s="1379">
        <f>SUM(BT13,BU13,BV13,BW13)</f>
        <v/>
      </c>
      <c r="BY13" s="1379">
        <f>BX13*(1+BY14)</f>
        <v/>
      </c>
      <c r="BZ13" s="1379">
        <f>BY13*(1+BZ14)</f>
        <v/>
      </c>
      <c r="CA13" s="1379">
        <f>BZ13*(1+CA14)</f>
        <v/>
      </c>
      <c r="CB13" s="1364" t="n"/>
    </row>
    <row r="14" ht="14.4" customFormat="1" customHeight="1" s="1359">
      <c r="A14" s="1396" t="inlineStr">
        <is>
          <t>Y/Y Core EDA revenue growth, %</t>
        </is>
      </c>
      <c r="B14" s="1381" t="n"/>
      <c r="C14" s="1382" t="n"/>
      <c r="D14" s="1383">
        <f>D13/C13-1</f>
        <v/>
      </c>
      <c r="E14" s="1383">
        <f>E13/D13-1</f>
        <v/>
      </c>
      <c r="F14" s="1383">
        <f>F13/E13-1</f>
        <v/>
      </c>
      <c r="G14" s="1384" t="n"/>
      <c r="H14" s="1384" t="n"/>
      <c r="I14" s="1384" t="n"/>
      <c r="J14" s="1384" t="n"/>
      <c r="K14" s="1383">
        <f>K13/F13-1</f>
        <v/>
      </c>
      <c r="L14" s="1385">
        <f>L13/G13-1</f>
        <v/>
      </c>
      <c r="M14" s="1385">
        <f>M13/H13-1</f>
        <v/>
      </c>
      <c r="N14" s="1385">
        <f>N13/I13-1</f>
        <v/>
      </c>
      <c r="O14" s="1385">
        <f>O13/J13-1</f>
        <v/>
      </c>
      <c r="P14" s="1383">
        <f>P13/K13-1</f>
        <v/>
      </c>
      <c r="Q14" s="1385">
        <f>Q13/L13-1</f>
        <v/>
      </c>
      <c r="R14" s="1385">
        <f>R13/M13-1</f>
        <v/>
      </c>
      <c r="S14" s="1385">
        <f>S13/N13-1</f>
        <v/>
      </c>
      <c r="T14" s="1385">
        <f>T13/O13-1</f>
        <v/>
      </c>
      <c r="U14" s="1383">
        <f>U13/P13-1</f>
        <v/>
      </c>
      <c r="V14" s="1385">
        <f>V13/Q13-1</f>
        <v/>
      </c>
      <c r="W14" s="1385">
        <f>W13/R13-1</f>
        <v/>
      </c>
      <c r="X14" s="1385">
        <f>X13/S13-1</f>
        <v/>
      </c>
      <c r="Y14" s="1385">
        <f>Y13/T13-1</f>
        <v/>
      </c>
      <c r="Z14" s="1383">
        <f>Z13/U13-1</f>
        <v/>
      </c>
      <c r="AA14" s="1385">
        <f>AA13/V13-1</f>
        <v/>
      </c>
      <c r="AB14" s="1385">
        <f>AB13/W13-1</f>
        <v/>
      </c>
      <c r="AC14" s="1385">
        <f>AC13/X13-1</f>
        <v/>
      </c>
      <c r="AD14" s="1385">
        <f>AD13/Y13-1</f>
        <v/>
      </c>
      <c r="AE14" s="1383">
        <f>AE13/Z13-1</f>
        <v/>
      </c>
      <c r="AF14" s="1385">
        <f>AF13/AA13-1</f>
        <v/>
      </c>
      <c r="AG14" s="1385">
        <f>AG13/AB13-1</f>
        <v/>
      </c>
      <c r="AH14" s="1385">
        <f>AH13/AC13-1</f>
        <v/>
      </c>
      <c r="AI14" s="1385">
        <f>AI13/AD13-1</f>
        <v/>
      </c>
      <c r="AJ14" s="1383">
        <f>AJ13/AE13-1</f>
        <v/>
      </c>
      <c r="AK14" s="1385">
        <f>AK13/AF13-1</f>
        <v/>
      </c>
      <c r="AL14" s="1385">
        <f>AL13/AG13-1</f>
        <v/>
      </c>
      <c r="AM14" s="1385">
        <f>AM13/AH13-1</f>
        <v/>
      </c>
      <c r="AN14" s="1385">
        <f>AN13/AI13-1</f>
        <v/>
      </c>
      <c r="AO14" s="1383">
        <f>AO13/AJ13-1</f>
        <v/>
      </c>
      <c r="AP14" s="1385">
        <f>AP13/AK13-1</f>
        <v/>
      </c>
      <c r="AQ14" s="1385">
        <f>AQ13/AL13-1</f>
        <v/>
      </c>
      <c r="AR14" s="1385">
        <f>AR13/AM13-1</f>
        <v/>
      </c>
      <c r="AS14" s="1385">
        <f>AS13/AN13-1</f>
        <v/>
      </c>
      <c r="AT14" s="1383">
        <f>AT13/AO13-1</f>
        <v/>
      </c>
      <c r="AU14" s="1385">
        <f>AU13/AP13-1</f>
        <v/>
      </c>
      <c r="AV14" s="1385">
        <f>AV13/AQ13-1</f>
        <v/>
      </c>
      <c r="AW14" s="1385">
        <f>AW13/AR13-1</f>
        <v/>
      </c>
      <c r="AX14" s="1385">
        <f>AX13/AS13-1</f>
        <v/>
      </c>
      <c r="AY14" s="1383">
        <f>AY13/AT13-1</f>
        <v/>
      </c>
      <c r="AZ14" s="1385">
        <f>AZ13/AU13-1</f>
        <v/>
      </c>
      <c r="BA14" s="1385">
        <f>BA13/AV13-1</f>
        <v/>
      </c>
      <c r="BB14" s="1385">
        <f>BB13/AW13-1</f>
        <v/>
      </c>
      <c r="BC14" s="1385">
        <f>BC13/AX13-1</f>
        <v/>
      </c>
      <c r="BD14" s="1383">
        <f>BD13/AY13-1</f>
        <v/>
      </c>
      <c r="BE14" s="1385">
        <f>BE13/AZ13-1</f>
        <v/>
      </c>
      <c r="BF14" s="1385">
        <f>BF13/BA13-1</f>
        <v/>
      </c>
      <c r="BG14" s="1385">
        <f>BG13/BB13-1</f>
        <v/>
      </c>
      <c r="BH14" s="1385">
        <f>BH13/BC13-1</f>
        <v/>
      </c>
      <c r="BI14" s="1383">
        <f>BI13/BD13-1</f>
        <v/>
      </c>
      <c r="BJ14" s="1385">
        <f>BJ13/BE13-1</f>
        <v/>
      </c>
      <c r="BK14" s="1385">
        <f>BK13/BF13-1</f>
        <v/>
      </c>
      <c r="BL14" s="1385">
        <f>BL13/BG13-1</f>
        <v/>
      </c>
      <c r="BM14" s="1385">
        <f>BM13/BH13-1</f>
        <v/>
      </c>
      <c r="BN14" s="1383">
        <f>BN13/BI13-1</f>
        <v/>
      </c>
      <c r="BO14" s="1385">
        <f>BO13/BJ13-1</f>
        <v/>
      </c>
      <c r="BP14" s="1385">
        <f>BP13/BK13-1</f>
        <v/>
      </c>
      <c r="BQ14" s="1397">
        <f>BQ13/BL13-1</f>
        <v/>
      </c>
      <c r="BR14" s="1398" t="n">
        <v>0.05</v>
      </c>
      <c r="BS14" s="1382">
        <f>BS13/BN13-1</f>
        <v/>
      </c>
      <c r="BT14" s="1398" t="n">
        <v>0.05</v>
      </c>
      <c r="BU14" s="1398" t="n">
        <v>0.1</v>
      </c>
      <c r="BV14" s="1398" t="n">
        <v>0.01</v>
      </c>
      <c r="BW14" s="1398" t="n">
        <v>0.01</v>
      </c>
      <c r="BX14" s="1382">
        <f>BX13/BS13-1</f>
        <v/>
      </c>
      <c r="BY14" s="1399" t="n">
        <v>0.02</v>
      </c>
      <c r="BZ14" s="1399" t="n">
        <v>0.02</v>
      </c>
      <c r="CA14" s="1399" t="n">
        <v>0.02</v>
      </c>
      <c r="CB14" s="1364" t="n"/>
    </row>
    <row r="15" hidden="1" outlineLevel="1" ht="14.4" customFormat="1" customHeight="1" s="1359">
      <c r="A15" s="1394" t="inlineStr">
        <is>
          <t>Design for Manufacturing revenue, mm</t>
        </is>
      </c>
      <c r="B15" s="1377" t="n"/>
      <c r="C15" s="1378">
        <f>C28*C454</f>
        <v/>
      </c>
      <c r="D15" s="1378">
        <f>D28*D454</f>
        <v/>
      </c>
      <c r="E15" s="1378">
        <f>E28*E454</f>
        <v/>
      </c>
      <c r="F15" s="1378">
        <f>F28*F454</f>
        <v/>
      </c>
      <c r="G15" s="1361" t="n"/>
      <c r="H15" s="1361" t="n"/>
      <c r="I15" s="1361" t="n"/>
      <c r="J15" s="1361" t="n"/>
      <c r="K15" s="1379" t="n"/>
      <c r="L15" s="1361" t="n"/>
      <c r="M15" s="1361" t="n"/>
      <c r="N15" s="1361" t="n"/>
      <c r="O15" s="1361" t="n"/>
      <c r="P15" s="1379" t="n"/>
      <c r="Q15" s="1361" t="n"/>
      <c r="R15" s="1361" t="n"/>
      <c r="S15" s="1361" t="n"/>
      <c r="T15" s="1361" t="n"/>
      <c r="U15" s="1379" t="n"/>
      <c r="V15" s="1361" t="n"/>
      <c r="W15" s="1361" t="n"/>
      <c r="X15" s="1361" t="n"/>
      <c r="Y15" s="1361" t="n"/>
      <c r="Z15" s="1379" t="n"/>
      <c r="AA15" s="1361" t="n"/>
      <c r="AB15" s="1361" t="n"/>
      <c r="AC15" s="1361" t="n"/>
      <c r="AD15" s="1361" t="n"/>
      <c r="AE15" s="1379" t="n"/>
      <c r="AF15" s="1361" t="n"/>
      <c r="AG15" s="1361" t="n"/>
      <c r="AH15" s="1361" t="n"/>
      <c r="AI15" s="1361" t="n"/>
      <c r="AJ15" s="1379" t="n"/>
      <c r="AK15" s="1361" t="n"/>
      <c r="AL15" s="1361" t="n"/>
      <c r="AM15" s="1361" t="n"/>
      <c r="AN15" s="1361" t="n"/>
      <c r="AO15" s="1379" t="n"/>
      <c r="AP15" s="1361" t="n"/>
      <c r="AQ15" s="1361" t="n"/>
      <c r="AR15" s="1361" t="n"/>
      <c r="AS15" s="1361" t="n"/>
      <c r="AT15" s="1379" t="n"/>
      <c r="AU15" s="1361" t="n"/>
      <c r="AV15" s="1361" t="n"/>
      <c r="AW15" s="1361" t="n"/>
      <c r="AX15" s="1361" t="n"/>
      <c r="AY15" s="1379" t="n"/>
      <c r="AZ15" s="1361" t="n"/>
      <c r="BA15" s="1361" t="n"/>
      <c r="BB15" s="1361" t="n"/>
      <c r="BC15" s="1361" t="n"/>
      <c r="BD15" s="1379" t="n"/>
      <c r="BE15" s="1361" t="n"/>
      <c r="BF15" s="1361" t="n"/>
      <c r="BG15" s="1361" t="n"/>
      <c r="BH15" s="1361" t="n"/>
      <c r="BI15" s="1379" t="n"/>
      <c r="BJ15" s="1361" t="n"/>
      <c r="BK15" s="1361" t="n"/>
      <c r="BL15" s="1361" t="n"/>
      <c r="BM15" s="1361" t="n"/>
      <c r="BN15" s="1379" t="n"/>
      <c r="BO15" s="1361" t="n"/>
      <c r="BP15" s="1361" t="n"/>
      <c r="BQ15" s="1363" t="n"/>
      <c r="BR15" s="1361" t="n"/>
      <c r="BS15" s="1379" t="n"/>
      <c r="BT15" s="1361" t="n"/>
      <c r="BU15" s="1361" t="n"/>
      <c r="BV15" s="1361" t="n"/>
      <c r="BW15" s="1361" t="n"/>
      <c r="BX15" s="1379" t="n"/>
      <c r="BY15" s="1379" t="n"/>
      <c r="BZ15" s="1379" t="n"/>
      <c r="CA15" s="1379" t="n"/>
      <c r="CB15" s="1364" t="n"/>
    </row>
    <row r="16" collapsed="1" ht="14.4" customFormat="1" customHeight="1" s="1359">
      <c r="A16" s="1394" t="inlineStr">
        <is>
          <t>System Interconnect and Analysis revenue, mm</t>
        </is>
      </c>
      <c r="B16" s="1377" t="n"/>
      <c r="C16" s="1378">
        <f>C29*C454</f>
        <v/>
      </c>
      <c r="D16" s="1378">
        <f>D29*D454</f>
        <v/>
      </c>
      <c r="E16" s="1378">
        <f>E29*E454</f>
        <v/>
      </c>
      <c r="F16" s="1378">
        <f>F29*F454</f>
        <v/>
      </c>
      <c r="G16" s="1364">
        <f>G29*G454</f>
        <v/>
      </c>
      <c r="H16" s="1364">
        <f>H29*H454</f>
        <v/>
      </c>
      <c r="I16" s="1364">
        <f>I29*I454</f>
        <v/>
      </c>
      <c r="J16" s="1364">
        <f>J29*J454</f>
        <v/>
      </c>
      <c r="K16" s="1378">
        <f>K29*K454</f>
        <v/>
      </c>
      <c r="L16" s="1364">
        <f>L29*L454</f>
        <v/>
      </c>
      <c r="M16" s="1364">
        <f>M29*M454</f>
        <v/>
      </c>
      <c r="N16" s="1364">
        <f>N29*N454</f>
        <v/>
      </c>
      <c r="O16" s="1364">
        <f>O29*O454</f>
        <v/>
      </c>
      <c r="P16" s="1378">
        <f>P29*P454</f>
        <v/>
      </c>
      <c r="Q16" s="1364">
        <f>Q29*Q454</f>
        <v/>
      </c>
      <c r="R16" s="1364">
        <f>R29*R454</f>
        <v/>
      </c>
      <c r="S16" s="1364">
        <f>S29*S454</f>
        <v/>
      </c>
      <c r="T16" s="1364">
        <f>T29*T454</f>
        <v/>
      </c>
      <c r="U16" s="1378">
        <f>U29*U454</f>
        <v/>
      </c>
      <c r="V16" s="1364">
        <f>V29*V454</f>
        <v/>
      </c>
      <c r="W16" s="1364">
        <f>W29*W454</f>
        <v/>
      </c>
      <c r="X16" s="1364">
        <f>X29*X454</f>
        <v/>
      </c>
      <c r="Y16" s="1364">
        <f>Y29*Y454</f>
        <v/>
      </c>
      <c r="Z16" s="1378">
        <f>Z29*Z454</f>
        <v/>
      </c>
      <c r="AA16" s="1364">
        <f>AA29*AA454</f>
        <v/>
      </c>
      <c r="AB16" s="1364">
        <f>AB29*AB454</f>
        <v/>
      </c>
      <c r="AC16" s="1364">
        <f>AC29*AC454</f>
        <v/>
      </c>
      <c r="AD16" s="1364">
        <f>AD29*AD454</f>
        <v/>
      </c>
      <c r="AE16" s="1378">
        <f>AE29*AE454</f>
        <v/>
      </c>
      <c r="AF16" s="1364">
        <f>AF29*AF454</f>
        <v/>
      </c>
      <c r="AG16" s="1364">
        <f>AG29*AG454</f>
        <v/>
      </c>
      <c r="AH16" s="1364">
        <f>AH29*AH454</f>
        <v/>
      </c>
      <c r="AI16" s="1364">
        <f>AI29*AI454</f>
        <v/>
      </c>
      <c r="AJ16" s="1378">
        <f>AJ29*AJ454</f>
        <v/>
      </c>
      <c r="AK16" s="1364">
        <f>AK29*AK454</f>
        <v/>
      </c>
      <c r="AL16" s="1364">
        <f>AL29*AL454</f>
        <v/>
      </c>
      <c r="AM16" s="1364">
        <f>AM29*AM454</f>
        <v/>
      </c>
      <c r="AN16" s="1364">
        <f>AN29*AN454</f>
        <v/>
      </c>
      <c r="AO16" s="1378">
        <f>AO29*AO454</f>
        <v/>
      </c>
      <c r="AP16" s="1364">
        <f>AP29*AP454</f>
        <v/>
      </c>
      <c r="AQ16" s="1364">
        <f>AQ29*AQ454</f>
        <v/>
      </c>
      <c r="AR16" s="1364">
        <f>AR29*AR454</f>
        <v/>
      </c>
      <c r="AS16" s="1364">
        <f>AS29*AS454</f>
        <v/>
      </c>
      <c r="AT16" s="1378">
        <f>AT29*AT454</f>
        <v/>
      </c>
      <c r="AU16" s="1364">
        <f>AU29*AU454</f>
        <v/>
      </c>
      <c r="AV16" s="1364">
        <f>AV29*AV454</f>
        <v/>
      </c>
      <c r="AW16" s="1364">
        <f>AW29*AW454</f>
        <v/>
      </c>
      <c r="AX16" s="1364">
        <f>AX29*AX454</f>
        <v/>
      </c>
      <c r="AY16" s="1378">
        <f>AY29*AY454</f>
        <v/>
      </c>
      <c r="AZ16" s="1364">
        <f>AZ29*AZ454</f>
        <v/>
      </c>
      <c r="BA16" s="1364">
        <f>BA29*BA454</f>
        <v/>
      </c>
      <c r="BB16" s="1364">
        <f>BB29*BB454</f>
        <v/>
      </c>
      <c r="BC16" s="1364">
        <f>BC29*BC454</f>
        <v/>
      </c>
      <c r="BD16" s="1378">
        <f>BD29*BD454</f>
        <v/>
      </c>
      <c r="BE16" s="1364">
        <f>BE29*BE454</f>
        <v/>
      </c>
      <c r="BF16" s="1364">
        <f>BF29*BF454</f>
        <v/>
      </c>
      <c r="BG16" s="1364">
        <f>BG29*BG454</f>
        <v/>
      </c>
      <c r="BH16" s="1364">
        <f>BH29*BH454</f>
        <v/>
      </c>
      <c r="BI16" s="1378">
        <f>BI29*BI454</f>
        <v/>
      </c>
      <c r="BJ16" s="1364">
        <f>BJ29*BJ454</f>
        <v/>
      </c>
      <c r="BK16" s="1364">
        <f>BK29*BK454</f>
        <v/>
      </c>
      <c r="BL16" s="1364">
        <f>BL29*BL454</f>
        <v/>
      </c>
      <c r="BM16" s="1364">
        <f>BM29*BM454</f>
        <v/>
      </c>
      <c r="BN16" s="1378">
        <f>BN29*BN454</f>
        <v/>
      </c>
      <c r="BO16" s="1364">
        <f>BO29*BO454</f>
        <v/>
      </c>
      <c r="BP16" s="1364">
        <f>BP29*BP454</f>
        <v/>
      </c>
      <c r="BQ16" s="1395">
        <f>BQ29*BQ454</f>
        <v/>
      </c>
      <c r="BR16" s="1361">
        <f>BM16*(1+BR17)</f>
        <v/>
      </c>
      <c r="BS16" s="1379">
        <f>SUM(BO16,BP16,BQ16,BR16)</f>
        <v/>
      </c>
      <c r="BT16" s="1361">
        <f>BO16*(1+BT17)</f>
        <v/>
      </c>
      <c r="BU16" s="1361">
        <f>BP16*(1+BU17)</f>
        <v/>
      </c>
      <c r="BV16" s="1361">
        <f>BQ16*(1+BV17)</f>
        <v/>
      </c>
      <c r="BW16" s="1361">
        <f>BR16*(1+BW17)</f>
        <v/>
      </c>
      <c r="BX16" s="1379">
        <f>SUM(BT16,BU16,BV16,BW16)</f>
        <v/>
      </c>
      <c r="BY16" s="1379">
        <f>BX16*(1+BY17)</f>
        <v/>
      </c>
      <c r="BZ16" s="1379">
        <f>BY16*(1+BZ17)</f>
        <v/>
      </c>
      <c r="CA16" s="1379">
        <f>BZ16*(1+CA17)</f>
        <v/>
      </c>
      <c r="CB16" s="1364" t="n"/>
    </row>
    <row r="17" ht="14.4" customFormat="1" customHeight="1" s="1359">
      <c r="A17" s="1396" t="inlineStr">
        <is>
          <t>Y/Y System Interconnect and Analysis revenue growth, %</t>
        </is>
      </c>
      <c r="B17" s="1381" t="n"/>
      <c r="C17" s="1382" t="n"/>
      <c r="D17" s="1383">
        <f>D16/C16-1</f>
        <v/>
      </c>
      <c r="E17" s="1383">
        <f>E16/D16-1</f>
        <v/>
      </c>
      <c r="F17" s="1383">
        <f>F16/E16-1</f>
        <v/>
      </c>
      <c r="G17" s="1384" t="n"/>
      <c r="H17" s="1384" t="n"/>
      <c r="I17" s="1384" t="n"/>
      <c r="J17" s="1384" t="n"/>
      <c r="K17" s="1383">
        <f>K16/F16-1</f>
        <v/>
      </c>
      <c r="L17" s="1385">
        <f>L16/G16-1</f>
        <v/>
      </c>
      <c r="M17" s="1385">
        <f>M16/H16-1</f>
        <v/>
      </c>
      <c r="N17" s="1385">
        <f>N16/I16-1</f>
        <v/>
      </c>
      <c r="O17" s="1385">
        <f>O16/J16-1</f>
        <v/>
      </c>
      <c r="P17" s="1383">
        <f>P16/K16-1</f>
        <v/>
      </c>
      <c r="Q17" s="1385">
        <f>Q16/L16-1</f>
        <v/>
      </c>
      <c r="R17" s="1385">
        <f>R16/M16-1</f>
        <v/>
      </c>
      <c r="S17" s="1385">
        <f>S16/N16-1</f>
        <v/>
      </c>
      <c r="T17" s="1385">
        <f>T16/O16-1</f>
        <v/>
      </c>
      <c r="U17" s="1383">
        <f>U16/P16-1</f>
        <v/>
      </c>
      <c r="V17" s="1385">
        <f>V16/Q16-1</f>
        <v/>
      </c>
      <c r="W17" s="1385">
        <f>W16/R16-1</f>
        <v/>
      </c>
      <c r="X17" s="1385">
        <f>X16/S16-1</f>
        <v/>
      </c>
      <c r="Y17" s="1385">
        <f>Y16/T16-1</f>
        <v/>
      </c>
      <c r="Z17" s="1383">
        <f>Z16/U16-1</f>
        <v/>
      </c>
      <c r="AA17" s="1385">
        <f>AA16/V16-1</f>
        <v/>
      </c>
      <c r="AB17" s="1385">
        <f>AB16/W16-1</f>
        <v/>
      </c>
      <c r="AC17" s="1385">
        <f>AC16/X16-1</f>
        <v/>
      </c>
      <c r="AD17" s="1385">
        <f>AD16/Y16-1</f>
        <v/>
      </c>
      <c r="AE17" s="1383">
        <f>AE16/Z16-1</f>
        <v/>
      </c>
      <c r="AF17" s="1385">
        <f>AF16/AA16-1</f>
        <v/>
      </c>
      <c r="AG17" s="1385">
        <f>AG16/AB16-1</f>
        <v/>
      </c>
      <c r="AH17" s="1385">
        <f>AH16/AC16-1</f>
        <v/>
      </c>
      <c r="AI17" s="1385">
        <f>AI16/AD16-1</f>
        <v/>
      </c>
      <c r="AJ17" s="1383">
        <f>AJ16/AE16-1</f>
        <v/>
      </c>
      <c r="AK17" s="1385">
        <f>AK16/AF16-1</f>
        <v/>
      </c>
      <c r="AL17" s="1385">
        <f>AL16/AG16-1</f>
        <v/>
      </c>
      <c r="AM17" s="1385">
        <f>AM16/AH16-1</f>
        <v/>
      </c>
      <c r="AN17" s="1385">
        <f>AN16/AI16-1</f>
        <v/>
      </c>
      <c r="AO17" s="1383">
        <f>AO16/AJ16-1</f>
        <v/>
      </c>
      <c r="AP17" s="1385">
        <f>AP16/AK16-1</f>
        <v/>
      </c>
      <c r="AQ17" s="1385">
        <f>AQ16/AL16-1</f>
        <v/>
      </c>
      <c r="AR17" s="1385">
        <f>AR16/AM16-1</f>
        <v/>
      </c>
      <c r="AS17" s="1385">
        <f>AS16/AN16-1</f>
        <v/>
      </c>
      <c r="AT17" s="1383">
        <f>AT16/AO16-1</f>
        <v/>
      </c>
      <c r="AU17" s="1385">
        <f>AU16/AP16-1</f>
        <v/>
      </c>
      <c r="AV17" s="1385">
        <f>AV16/AQ16-1</f>
        <v/>
      </c>
      <c r="AW17" s="1385">
        <f>AW16/AR16-1</f>
        <v/>
      </c>
      <c r="AX17" s="1385">
        <f>AX16/AS16-1</f>
        <v/>
      </c>
      <c r="AY17" s="1383">
        <f>AY16/AT16-1</f>
        <v/>
      </c>
      <c r="AZ17" s="1385">
        <f>AZ16/AU16-1</f>
        <v/>
      </c>
      <c r="BA17" s="1385">
        <f>BA16/AV16-1</f>
        <v/>
      </c>
      <c r="BB17" s="1385">
        <f>BB16/AW16-1</f>
        <v/>
      </c>
      <c r="BC17" s="1385">
        <f>BC16/AX16-1</f>
        <v/>
      </c>
      <c r="BD17" s="1383">
        <f>BD16/AY16-1</f>
        <v/>
      </c>
      <c r="BE17" s="1385">
        <f>BE16/AZ16-1</f>
        <v/>
      </c>
      <c r="BF17" s="1385">
        <f>BF16/BA16-1</f>
        <v/>
      </c>
      <c r="BG17" s="1385">
        <f>BG16/BB16-1</f>
        <v/>
      </c>
      <c r="BH17" s="1385">
        <f>BH16/BC16-1</f>
        <v/>
      </c>
      <c r="BI17" s="1383">
        <f>BI16/BD16-1</f>
        <v/>
      </c>
      <c r="BJ17" s="1385">
        <f>BJ16/BE16-1</f>
        <v/>
      </c>
      <c r="BK17" s="1385">
        <f>BK16/BF16-1</f>
        <v/>
      </c>
      <c r="BL17" s="1385">
        <f>BL16/BG16-1</f>
        <v/>
      </c>
      <c r="BM17" s="1385">
        <f>BM16/BH16-1</f>
        <v/>
      </c>
      <c r="BN17" s="1383">
        <f>BN16/BI16-1</f>
        <v/>
      </c>
      <c r="BO17" s="1385">
        <f>BO16/BJ16-1</f>
        <v/>
      </c>
      <c r="BP17" s="1385">
        <f>BP16/BK16-1</f>
        <v/>
      </c>
      <c r="BQ17" s="1397">
        <f>BQ16/BL16-1</f>
        <v/>
      </c>
      <c r="BR17" s="1398" t="n">
        <v>0.05</v>
      </c>
      <c r="BS17" s="1382">
        <f>BS16/BN16-1</f>
        <v/>
      </c>
      <c r="BT17" s="1398" t="n">
        <v>0.12</v>
      </c>
      <c r="BU17" s="1398" t="n">
        <v>0.12</v>
      </c>
      <c r="BV17" s="1398" t="n">
        <v>0.005</v>
      </c>
      <c r="BW17" s="1398" t="n">
        <v>0.005</v>
      </c>
      <c r="BX17" s="1382">
        <f>BX16/BS16-1</f>
        <v/>
      </c>
      <c r="BY17" s="1399" t="n">
        <v>0.01</v>
      </c>
      <c r="BZ17" s="1399" t="n">
        <v>0.01</v>
      </c>
      <c r="CA17" s="1399" t="n">
        <v>0.01</v>
      </c>
      <c r="CB17" s="1364" t="n"/>
    </row>
    <row r="18" ht="14.4" customFormat="1" customHeight="1" s="1359">
      <c r="A18" s="1394" t="inlineStr">
        <is>
          <t>IP revenue, mm</t>
        </is>
      </c>
      <c r="B18" s="1377" t="n"/>
      <c r="C18" s="1378">
        <f>C30*C454</f>
        <v/>
      </c>
      <c r="D18" s="1378">
        <f>D30*D454</f>
        <v/>
      </c>
      <c r="E18" s="1378">
        <f>E30*E454</f>
        <v/>
      </c>
      <c r="F18" s="1378">
        <f>F30*F454</f>
        <v/>
      </c>
      <c r="G18" s="1364">
        <f>G30*G454</f>
        <v/>
      </c>
      <c r="H18" s="1364">
        <f>H30*H454</f>
        <v/>
      </c>
      <c r="I18" s="1364">
        <f>I30*I454</f>
        <v/>
      </c>
      <c r="J18" s="1364">
        <f>J30*J454</f>
        <v/>
      </c>
      <c r="K18" s="1378">
        <f>K30*K454</f>
        <v/>
      </c>
      <c r="L18" s="1364">
        <f>L30*L454</f>
        <v/>
      </c>
      <c r="M18" s="1364">
        <f>M30*M454</f>
        <v/>
      </c>
      <c r="N18" s="1364">
        <f>N30*N454</f>
        <v/>
      </c>
      <c r="O18" s="1364">
        <f>O30*O454</f>
        <v/>
      </c>
      <c r="P18" s="1378">
        <f>P30*P454</f>
        <v/>
      </c>
      <c r="Q18" s="1364">
        <f>Q30*Q454</f>
        <v/>
      </c>
      <c r="R18" s="1364">
        <f>R30*R454</f>
        <v/>
      </c>
      <c r="S18" s="1364">
        <f>S30*S454</f>
        <v/>
      </c>
      <c r="T18" s="1364">
        <f>T30*T454</f>
        <v/>
      </c>
      <c r="U18" s="1378">
        <f>U30*U454</f>
        <v/>
      </c>
      <c r="V18" s="1364">
        <f>V30*V454</f>
        <v/>
      </c>
      <c r="W18" s="1364">
        <f>W30*W454</f>
        <v/>
      </c>
      <c r="X18" s="1364">
        <f>X30*X454</f>
        <v/>
      </c>
      <c r="Y18" s="1364">
        <f>Y30*Y454</f>
        <v/>
      </c>
      <c r="Z18" s="1378">
        <f>Z30*Z454</f>
        <v/>
      </c>
      <c r="AA18" s="1364">
        <f>AA30*AA454</f>
        <v/>
      </c>
      <c r="AB18" s="1364">
        <f>AB30*AB454</f>
        <v/>
      </c>
      <c r="AC18" s="1364">
        <f>AC30*AC454</f>
        <v/>
      </c>
      <c r="AD18" s="1364">
        <f>AD30*AD454</f>
        <v/>
      </c>
      <c r="AE18" s="1378">
        <f>AE30*AE454</f>
        <v/>
      </c>
      <c r="AF18" s="1364">
        <f>AF30*AF454</f>
        <v/>
      </c>
      <c r="AG18" s="1364">
        <f>AG30*AG454</f>
        <v/>
      </c>
      <c r="AH18" s="1364">
        <f>AH30*AH454</f>
        <v/>
      </c>
      <c r="AI18" s="1364">
        <f>AI30*AI454</f>
        <v/>
      </c>
      <c r="AJ18" s="1378">
        <f>AJ30*AJ454</f>
        <v/>
      </c>
      <c r="AK18" s="1364">
        <f>AK30*AK454</f>
        <v/>
      </c>
      <c r="AL18" s="1364">
        <f>AL30*AL454</f>
        <v/>
      </c>
      <c r="AM18" s="1364">
        <f>AM30*AM454</f>
        <v/>
      </c>
      <c r="AN18" s="1364">
        <f>AN30*AN454</f>
        <v/>
      </c>
      <c r="AO18" s="1378">
        <f>AO30*AO454</f>
        <v/>
      </c>
      <c r="AP18" s="1364">
        <f>AP30*AP454</f>
        <v/>
      </c>
      <c r="AQ18" s="1364">
        <f>AQ30*AQ454</f>
        <v/>
      </c>
      <c r="AR18" s="1364">
        <f>AR30*AR454</f>
        <v/>
      </c>
      <c r="AS18" s="1364">
        <f>AS30*AS454</f>
        <v/>
      </c>
      <c r="AT18" s="1378">
        <f>AT30*AT454</f>
        <v/>
      </c>
      <c r="AU18" s="1364">
        <f>AU30*AU454</f>
        <v/>
      </c>
      <c r="AV18" s="1364">
        <f>AV30*AV454</f>
        <v/>
      </c>
      <c r="AW18" s="1364">
        <f>AW30*AW454</f>
        <v/>
      </c>
      <c r="AX18" s="1364">
        <f>AX30*AX454</f>
        <v/>
      </c>
      <c r="AY18" s="1378">
        <f>AY30*AY454</f>
        <v/>
      </c>
      <c r="AZ18" s="1364">
        <f>AZ30*AZ454</f>
        <v/>
      </c>
      <c r="BA18" s="1364">
        <f>BA30*BA454</f>
        <v/>
      </c>
      <c r="BB18" s="1364">
        <f>BB30*BB454</f>
        <v/>
      </c>
      <c r="BC18" s="1364">
        <f>BC30*BC454</f>
        <v/>
      </c>
      <c r="BD18" s="1378">
        <f>BD30*BD454</f>
        <v/>
      </c>
      <c r="BE18" s="1364">
        <f>BE30*BE454</f>
        <v/>
      </c>
      <c r="BF18" s="1364">
        <f>BF30*BF454</f>
        <v/>
      </c>
      <c r="BG18" s="1364">
        <f>BG30*BG454</f>
        <v/>
      </c>
      <c r="BH18" s="1364">
        <f>BH30*BH454</f>
        <v/>
      </c>
      <c r="BI18" s="1378">
        <f>BI30*BI454</f>
        <v/>
      </c>
      <c r="BJ18" s="1364">
        <f>BJ30*BJ454</f>
        <v/>
      </c>
      <c r="BK18" s="1364">
        <f>BK30*BK454</f>
        <v/>
      </c>
      <c r="BL18" s="1364">
        <f>BL30*BL454</f>
        <v/>
      </c>
      <c r="BM18" s="1364">
        <f>BM30*BM454</f>
        <v/>
      </c>
      <c r="BN18" s="1378">
        <f>BN30*BN454</f>
        <v/>
      </c>
      <c r="BO18" s="1364">
        <f>BO30*BO454</f>
        <v/>
      </c>
      <c r="BP18" s="1364">
        <f>BP30*BP454</f>
        <v/>
      </c>
      <c r="BQ18" s="1395">
        <f>BQ30*BQ454</f>
        <v/>
      </c>
      <c r="BR18" s="1361">
        <f>BM18*(1+BR19)</f>
        <v/>
      </c>
      <c r="BS18" s="1379">
        <f>SUM(BO18,BP18,BQ18,BR18)</f>
        <v/>
      </c>
      <c r="BT18" s="1361">
        <f>BO18*(1+BT19)</f>
        <v/>
      </c>
      <c r="BU18" s="1361">
        <f>BP18*(1+BU19)</f>
        <v/>
      </c>
      <c r="BV18" s="1361">
        <f>BQ18*(1+BV19)</f>
        <v/>
      </c>
      <c r="BW18" s="1361">
        <f>BR18*(1+BW19)</f>
        <v/>
      </c>
      <c r="BX18" s="1379">
        <f>SUM(BT18,BU18,BV18,BW18)</f>
        <v/>
      </c>
      <c r="BY18" s="1379">
        <f>BX18*(1+BY19)</f>
        <v/>
      </c>
      <c r="BZ18" s="1379">
        <f>BY18*(1+BZ19)</f>
        <v/>
      </c>
      <c r="CA18" s="1379">
        <f>BZ18*(1+CA19)</f>
        <v/>
      </c>
      <c r="CB18" s="1364" t="n"/>
    </row>
    <row r="19" ht="14.4" customFormat="1" customHeight="1" s="1359">
      <c r="A19" s="1396" t="inlineStr">
        <is>
          <t>Y/Y IP revenue growth, %</t>
        </is>
      </c>
      <c r="B19" s="1381" t="n"/>
      <c r="C19" s="1382" t="n"/>
      <c r="D19" s="1383">
        <f>D18/C18-1</f>
        <v/>
      </c>
      <c r="E19" s="1383">
        <f>E18/D18-1</f>
        <v/>
      </c>
      <c r="F19" s="1383">
        <f>F18/E18-1</f>
        <v/>
      </c>
      <c r="G19" s="1384" t="n"/>
      <c r="H19" s="1384" t="n"/>
      <c r="I19" s="1384" t="n"/>
      <c r="J19" s="1384" t="n"/>
      <c r="K19" s="1383">
        <f>K18/F18-1</f>
        <v/>
      </c>
      <c r="L19" s="1385">
        <f>L18/G18-1</f>
        <v/>
      </c>
      <c r="M19" s="1385">
        <f>M18/H18-1</f>
        <v/>
      </c>
      <c r="N19" s="1385">
        <f>N18/I18-1</f>
        <v/>
      </c>
      <c r="O19" s="1385">
        <f>O18/J18-1</f>
        <v/>
      </c>
      <c r="P19" s="1383">
        <f>P18/K18-1</f>
        <v/>
      </c>
      <c r="Q19" s="1385">
        <f>Q18/L18-1</f>
        <v/>
      </c>
      <c r="R19" s="1385">
        <f>R18/M18-1</f>
        <v/>
      </c>
      <c r="S19" s="1385">
        <f>S18/N18-1</f>
        <v/>
      </c>
      <c r="T19" s="1385">
        <f>T18/O18-1</f>
        <v/>
      </c>
      <c r="U19" s="1383">
        <f>U18/P18-1</f>
        <v/>
      </c>
      <c r="V19" s="1385">
        <f>V18/Q18-1</f>
        <v/>
      </c>
      <c r="W19" s="1385">
        <f>W18/R18-1</f>
        <v/>
      </c>
      <c r="X19" s="1385">
        <f>X18/S18-1</f>
        <v/>
      </c>
      <c r="Y19" s="1385">
        <f>Y18/T18-1</f>
        <v/>
      </c>
      <c r="Z19" s="1383">
        <f>Z18/U18-1</f>
        <v/>
      </c>
      <c r="AA19" s="1385">
        <f>AA18/V18-1</f>
        <v/>
      </c>
      <c r="AB19" s="1385">
        <f>AB18/W18-1</f>
        <v/>
      </c>
      <c r="AC19" s="1385">
        <f>AC18/X18-1</f>
        <v/>
      </c>
      <c r="AD19" s="1385">
        <f>AD18/Y18-1</f>
        <v/>
      </c>
      <c r="AE19" s="1383">
        <f>AE18/Z18-1</f>
        <v/>
      </c>
      <c r="AF19" s="1385">
        <f>AF18/AA18-1</f>
        <v/>
      </c>
      <c r="AG19" s="1385">
        <f>AG18/AB18-1</f>
        <v/>
      </c>
      <c r="AH19" s="1385">
        <f>AH18/AC18-1</f>
        <v/>
      </c>
      <c r="AI19" s="1385">
        <f>AI18/AD18-1</f>
        <v/>
      </c>
      <c r="AJ19" s="1383">
        <f>AJ18/AE18-1</f>
        <v/>
      </c>
      <c r="AK19" s="1385">
        <f>AK18/AF18-1</f>
        <v/>
      </c>
      <c r="AL19" s="1385">
        <f>AL18/AG18-1</f>
        <v/>
      </c>
      <c r="AM19" s="1385">
        <f>AM18/AH18-1</f>
        <v/>
      </c>
      <c r="AN19" s="1385">
        <f>AN18/AI18-1</f>
        <v/>
      </c>
      <c r="AO19" s="1383">
        <f>AO18/AJ18-1</f>
        <v/>
      </c>
      <c r="AP19" s="1385">
        <f>AP18/AK18-1</f>
        <v/>
      </c>
      <c r="AQ19" s="1385">
        <f>AQ18/AL18-1</f>
        <v/>
      </c>
      <c r="AR19" s="1385">
        <f>AR18/AM18-1</f>
        <v/>
      </c>
      <c r="AS19" s="1385">
        <f>AS18/AN18-1</f>
        <v/>
      </c>
      <c r="AT19" s="1383">
        <f>AT18/AO18-1</f>
        <v/>
      </c>
      <c r="AU19" s="1385">
        <f>AU18/AP18-1</f>
        <v/>
      </c>
      <c r="AV19" s="1385">
        <f>AV18/AQ18-1</f>
        <v/>
      </c>
      <c r="AW19" s="1385">
        <f>AW18/AR18-1</f>
        <v/>
      </c>
      <c r="AX19" s="1385">
        <f>AX18/AS18-1</f>
        <v/>
      </c>
      <c r="AY19" s="1383">
        <f>AY18/AT18-1</f>
        <v/>
      </c>
      <c r="AZ19" s="1385">
        <f>AZ18/AU18-1</f>
        <v/>
      </c>
      <c r="BA19" s="1385">
        <f>BA18/AV18-1</f>
        <v/>
      </c>
      <c r="BB19" s="1385">
        <f>BB18/AW18-1</f>
        <v/>
      </c>
      <c r="BC19" s="1385">
        <f>BC18/AX18-1</f>
        <v/>
      </c>
      <c r="BD19" s="1383">
        <f>BD18/AY18-1</f>
        <v/>
      </c>
      <c r="BE19" s="1385">
        <f>BE18/AZ18-1</f>
        <v/>
      </c>
      <c r="BF19" s="1385">
        <f>BF18/BA18-1</f>
        <v/>
      </c>
      <c r="BG19" s="1385">
        <f>BG18/BB18-1</f>
        <v/>
      </c>
      <c r="BH19" s="1385">
        <f>BH18/BC18-1</f>
        <v/>
      </c>
      <c r="BI19" s="1383">
        <f>BI18/BD18-1</f>
        <v/>
      </c>
      <c r="BJ19" s="1385">
        <f>BJ18/BE18-1</f>
        <v/>
      </c>
      <c r="BK19" s="1385">
        <f>BK18/BF18-1</f>
        <v/>
      </c>
      <c r="BL19" s="1385">
        <f>BL18/BG18-1</f>
        <v/>
      </c>
      <c r="BM19" s="1385">
        <f>BM18/BH18-1</f>
        <v/>
      </c>
      <c r="BN19" s="1383">
        <f>BN18/BI18-1</f>
        <v/>
      </c>
      <c r="BO19" s="1385">
        <f>BO18/BJ18-1</f>
        <v/>
      </c>
      <c r="BP19" s="1385">
        <f>BP18/BK18-1</f>
        <v/>
      </c>
      <c r="BQ19" s="1397">
        <f>BQ18/BL18-1</f>
        <v/>
      </c>
      <c r="BR19" s="1398" t="n">
        <v>0.05</v>
      </c>
      <c r="BS19" s="1382">
        <f>BS18/BN18-1</f>
        <v/>
      </c>
      <c r="BT19" s="1398" t="n">
        <v>0.12</v>
      </c>
      <c r="BU19" s="1398" t="n">
        <v>0.12</v>
      </c>
      <c r="BV19" s="1398" t="n">
        <v>0.005</v>
      </c>
      <c r="BW19" s="1398" t="n">
        <v>0.005</v>
      </c>
      <c r="BX19" s="1382">
        <f>BX18/BS18-1</f>
        <v/>
      </c>
      <c r="BY19" s="1399" t="n">
        <v>0.01</v>
      </c>
      <c r="BZ19" s="1399" t="n">
        <v>0.01</v>
      </c>
      <c r="CA19" s="1399" t="n">
        <v>0.01</v>
      </c>
      <c r="CB19" s="1364" t="n"/>
    </row>
    <row r="20" ht="14.4" customFormat="1" customHeight="1" s="1372">
      <c r="A20" s="1400" t="inlineStr">
        <is>
          <t>Total revenue, mm</t>
        </is>
      </c>
      <c r="B20" s="1401" t="n"/>
      <c r="C20" s="1402">
        <f>+C18+C16+C15+C13</f>
        <v/>
      </c>
      <c r="D20" s="1402">
        <f>+D18+D16+D15+D13</f>
        <v/>
      </c>
      <c r="E20" s="1402">
        <f>+E18+E16+E15+E13</f>
        <v/>
      </c>
      <c r="F20" s="1402">
        <f>+F18+F16+F15+F13</f>
        <v/>
      </c>
      <c r="G20" s="1403">
        <f>+G18+G16+G15+G13</f>
        <v/>
      </c>
      <c r="H20" s="1403">
        <f>+H18+H16+H15+H13</f>
        <v/>
      </c>
      <c r="I20" s="1403">
        <f>+I18+I16+I15+I13</f>
        <v/>
      </c>
      <c r="J20" s="1403">
        <f>+J18+J16+J15+J13</f>
        <v/>
      </c>
      <c r="K20" s="1402">
        <f>+K18+K16+K15+K13</f>
        <v/>
      </c>
      <c r="L20" s="1403">
        <f>+L18+L16+L15+L13</f>
        <v/>
      </c>
      <c r="M20" s="1403">
        <f>+M18+M16+M15+M13</f>
        <v/>
      </c>
      <c r="N20" s="1403">
        <f>+N18+N16+N15+N13</f>
        <v/>
      </c>
      <c r="O20" s="1403">
        <f>+O18+O16+O15+O13</f>
        <v/>
      </c>
      <c r="P20" s="1402">
        <f>+P18+P16+P15+P13</f>
        <v/>
      </c>
      <c r="Q20" s="1403">
        <f>+Q18+Q16+Q15+Q13</f>
        <v/>
      </c>
      <c r="R20" s="1403">
        <f>+R18+R16+R15+R13</f>
        <v/>
      </c>
      <c r="S20" s="1403">
        <f>+S18+S16+S15+S13</f>
        <v/>
      </c>
      <c r="T20" s="1403">
        <f>+T18+T16+T15+T13</f>
        <v/>
      </c>
      <c r="U20" s="1402">
        <f>+U18+U16+U15+U13</f>
        <v/>
      </c>
      <c r="V20" s="1403">
        <f>+V18+V16+V15+V13</f>
        <v/>
      </c>
      <c r="W20" s="1403">
        <f>+W18+W16+W15+W13</f>
        <v/>
      </c>
      <c r="X20" s="1403">
        <f>+X18+X16+X15+X13</f>
        <v/>
      </c>
      <c r="Y20" s="1404">
        <f>+Y18+Y16+Y15+Y13</f>
        <v/>
      </c>
      <c r="Z20" s="1405">
        <f>+Z18+Z16+Z15+Z13</f>
        <v/>
      </c>
      <c r="AA20" s="1403">
        <f>+AA18+AA16+AA15+AA13</f>
        <v/>
      </c>
      <c r="AB20" s="1403">
        <f>+AB18+AB16+AB15+AB13</f>
        <v/>
      </c>
      <c r="AC20" s="1403">
        <f>+AC18+AC16+AC15+AC13</f>
        <v/>
      </c>
      <c r="AD20" s="1404">
        <f>+AD18+AD16+AD15+AD13</f>
        <v/>
      </c>
      <c r="AE20" s="1405">
        <f>+AE18+AE16+AE15+AE13</f>
        <v/>
      </c>
      <c r="AF20" s="1403">
        <f>+AF18+AF16+AF15+AF13</f>
        <v/>
      </c>
      <c r="AG20" s="1403">
        <f>+AG18+AG16+AG15+AG13</f>
        <v/>
      </c>
      <c r="AH20" s="1403">
        <f>+AH18+AH16+AH15+AH13</f>
        <v/>
      </c>
      <c r="AI20" s="1404">
        <f>+AI18+AI16+AI15+AI13</f>
        <v/>
      </c>
      <c r="AJ20" s="1405">
        <f>+AJ18+AJ16+AJ15+AJ13</f>
        <v/>
      </c>
      <c r="AK20" s="1403">
        <f>+AK18+AK16+AK15+AK13</f>
        <v/>
      </c>
      <c r="AL20" s="1403">
        <f>+AL18+AL16+AL15+AL13</f>
        <v/>
      </c>
      <c r="AM20" s="1403">
        <f>+AM18+AM16+AM15+AM13</f>
        <v/>
      </c>
      <c r="AN20" s="1404">
        <f>+AN18+AN16+AN15+AN13</f>
        <v/>
      </c>
      <c r="AO20" s="1405">
        <f>+AO18+AO16+AO15+AO13</f>
        <v/>
      </c>
      <c r="AP20" s="1403">
        <f>+AP18+AP16+AP15+AP13</f>
        <v/>
      </c>
      <c r="AQ20" s="1403">
        <f>+AQ18+AQ16+AQ15+AQ13</f>
        <v/>
      </c>
      <c r="AR20" s="1403">
        <f>+AR18+AR16+AR15+AR13</f>
        <v/>
      </c>
      <c r="AS20" s="1404">
        <f>+AS18+AS16+AS15+AS13</f>
        <v/>
      </c>
      <c r="AT20" s="1405">
        <f>+AT18+AT16+AT15+AT13</f>
        <v/>
      </c>
      <c r="AU20" s="1403">
        <f>+AU18+AU16+AU15+AU13</f>
        <v/>
      </c>
      <c r="AV20" s="1403">
        <f>+AV18+AV16+AV15+AV13</f>
        <v/>
      </c>
      <c r="AW20" s="1403">
        <f>+AW18+AW16+AW15+AW13</f>
        <v/>
      </c>
      <c r="AX20" s="1404">
        <f>+AX18+AX16+AX15+AX13</f>
        <v/>
      </c>
      <c r="AY20" s="1405">
        <f>+AY18+AY16+AY15+AY13</f>
        <v/>
      </c>
      <c r="AZ20" s="1403">
        <f>+AZ18+AZ16+AZ15+AZ13</f>
        <v/>
      </c>
      <c r="BA20" s="1403">
        <f>+BA18+BA16+BA15+BA13</f>
        <v/>
      </c>
      <c r="BB20" s="1403">
        <f>+BB18+BB16+BB15+BB13</f>
        <v/>
      </c>
      <c r="BC20" s="1404">
        <f>+BC18+BC16+BC15+BC13</f>
        <v/>
      </c>
      <c r="BD20" s="1405">
        <f>+BD18+BD16+BD15+BD13</f>
        <v/>
      </c>
      <c r="BE20" s="1403">
        <f>+BE18+BE16+BE15+BE13</f>
        <v/>
      </c>
      <c r="BF20" s="1403">
        <f>+BF18+BF16+BF15+BF13</f>
        <v/>
      </c>
      <c r="BG20" s="1403">
        <f>+BG18+BG16+BG15+BG13</f>
        <v/>
      </c>
      <c r="BH20" s="1404">
        <f>+BH18+BH16+BH15+BH13</f>
        <v/>
      </c>
      <c r="BI20" s="1405">
        <f>+BI18+BI16+BI15+BI13</f>
        <v/>
      </c>
      <c r="BJ20" s="1403">
        <f>+BJ18+BJ16+BJ15+BJ13</f>
        <v/>
      </c>
      <c r="BK20" s="1403">
        <f>+BK18+BK16+BK15+BK13</f>
        <v/>
      </c>
      <c r="BL20" s="1403">
        <f>+BL18+BL16+BL15+BL13</f>
        <v/>
      </c>
      <c r="BM20" s="1404">
        <f>+BM18+BM16+BM15+BM13</f>
        <v/>
      </c>
      <c r="BN20" s="1405">
        <f>+BN18+BN16+BN15+BN13</f>
        <v/>
      </c>
      <c r="BO20" s="1403">
        <f>+BO18+BO16+BO15+BO13</f>
        <v/>
      </c>
      <c r="BP20" s="1403">
        <f>+BP18+BP16+BP15+BP13</f>
        <v/>
      </c>
      <c r="BQ20" s="1406">
        <f>+BQ18+BQ16+BQ15+BQ13</f>
        <v/>
      </c>
      <c r="BR20" s="1404">
        <f>+BR18+BR16+BR15+BR13</f>
        <v/>
      </c>
      <c r="BS20" s="1405">
        <f>+BS18+BS16+BS15+BS13</f>
        <v/>
      </c>
      <c r="BT20" s="1404">
        <f>+BT18+BT16+BT15+BT13</f>
        <v/>
      </c>
      <c r="BU20" s="1404">
        <f>+BU18+BU16+BU15+BU13</f>
        <v/>
      </c>
      <c r="BV20" s="1404">
        <f>+BV18+BV16+BV15+BV13</f>
        <v/>
      </c>
      <c r="BW20" s="1404">
        <f>+BW18+BW16+BW15+BW13</f>
        <v/>
      </c>
      <c r="BX20" s="1405">
        <f>+BX18+BX16+BX15+BX13</f>
        <v/>
      </c>
      <c r="BY20" s="1405">
        <f>+BY18+BY16+BY15+BY13</f>
        <v/>
      </c>
      <c r="BZ20" s="1405">
        <f>+BZ18+BZ16+BZ15+BZ13</f>
        <v/>
      </c>
      <c r="CA20" s="1405">
        <f>+CA18+CA16+CA15+CA13</f>
        <v/>
      </c>
      <c r="CB20" s="1375" t="n"/>
    </row>
    <row r="21" ht="14.4" customFormat="1" customHeight="1" s="1407">
      <c r="A21" s="1408">
        <f>A455</f>
        <v/>
      </c>
      <c r="B21" s="1381" t="n"/>
      <c r="C21" s="1409" t="n"/>
      <c r="D21" s="1409" t="n"/>
      <c r="E21" s="1409" t="n"/>
      <c r="F21" s="1409" t="n"/>
      <c r="G21" s="1410" t="n"/>
      <c r="H21" s="1410" t="n"/>
      <c r="I21" s="1410" t="n"/>
      <c r="J21" s="1410" t="n"/>
      <c r="K21" s="1409" t="n"/>
      <c r="L21" s="1410" t="n"/>
      <c r="M21" s="1410" t="n"/>
      <c r="N21" s="1410" t="n"/>
      <c r="O21" s="1410" t="n"/>
      <c r="P21" s="1409" t="n"/>
      <c r="Q21" s="1410" t="n"/>
      <c r="R21" s="1410" t="n"/>
      <c r="S21" s="1410" t="n"/>
      <c r="T21" s="1410" t="n"/>
      <c r="U21" s="1409" t="n"/>
      <c r="V21" s="1410" t="n"/>
      <c r="W21" s="1410" t="n"/>
      <c r="X21" s="1410" t="n"/>
      <c r="Y21" s="1410" t="n"/>
      <c r="Z21" s="1409" t="n"/>
      <c r="AA21" s="1410" t="n"/>
      <c r="AB21" s="1410" t="n"/>
      <c r="AC21" s="1410" t="n"/>
      <c r="AD21" s="1410" t="n"/>
      <c r="AE21" s="1409" t="n"/>
      <c r="AF21" s="1410" t="n"/>
      <c r="AG21" s="1410" t="n"/>
      <c r="AH21" s="1410" t="n"/>
      <c r="AI21" s="1410" t="n"/>
      <c r="AJ21" s="1409" t="n"/>
      <c r="AK21" s="1410" t="n"/>
      <c r="AL21" s="1410" t="n"/>
      <c r="AM21" s="1410" t="n"/>
      <c r="AN21" s="1410" t="n"/>
      <c r="AO21" s="1409" t="n"/>
      <c r="AP21" s="1410" t="n"/>
      <c r="AQ21" s="1410" t="n"/>
      <c r="AR21" s="1410" t="n"/>
      <c r="AS21" s="1410" t="n"/>
      <c r="AT21" s="1409" t="n"/>
      <c r="AU21" s="1410" t="n"/>
      <c r="AV21" s="1410" t="n"/>
      <c r="AW21" s="1410" t="n"/>
      <c r="AX21" s="1410" t="n"/>
      <c r="AY21" s="1409" t="n"/>
      <c r="AZ21" s="1410" t="n"/>
      <c r="BA21" s="1410" t="n"/>
      <c r="BB21" s="1410" t="n"/>
      <c r="BC21" s="1410" t="n"/>
      <c r="BD21" s="1409" t="n"/>
      <c r="BE21" s="1410" t="n"/>
      <c r="BF21" s="1410" t="n"/>
      <c r="BG21" s="1410" t="n"/>
      <c r="BH21" s="1410" t="n"/>
      <c r="BI21" s="1409" t="n"/>
      <c r="BJ21" s="1410" t="n"/>
      <c r="BK21" s="1410" t="n"/>
      <c r="BL21" s="1410" t="n"/>
      <c r="BM21" s="1410" t="n"/>
      <c r="BN21" s="1409" t="n"/>
      <c r="BO21" s="1410" t="n"/>
      <c r="BP21" s="1410" t="n"/>
      <c r="BQ21" s="1411" t="n"/>
      <c r="BR21" s="1412">
        <f>BR455</f>
        <v/>
      </c>
      <c r="BS21" s="1413">
        <f>BS455</f>
        <v/>
      </c>
      <c r="BT21" s="1412">
        <f>BT455</f>
        <v/>
      </c>
      <c r="BU21" s="1412">
        <f>BU455</f>
        <v/>
      </c>
      <c r="BV21" s="1412">
        <f>BV455</f>
        <v/>
      </c>
      <c r="BW21" s="1412">
        <f>BW455</f>
        <v/>
      </c>
      <c r="BX21" s="1413">
        <f>BX455</f>
        <v/>
      </c>
      <c r="BY21" s="1413">
        <f>BY455</f>
        <v/>
      </c>
      <c r="BZ21" s="1413">
        <f>BZ455</f>
        <v/>
      </c>
      <c r="CA21" s="1413">
        <f>CA455</f>
        <v/>
      </c>
      <c r="CB21" s="1414" t="n"/>
    </row>
    <row r="22" ht="14.4" customFormat="1" customHeight="1" s="1372">
      <c r="A22" s="1408" t="inlineStr">
        <is>
          <t>Y/Y Total revenue growth, %</t>
        </is>
      </c>
      <c r="B22" s="1381" t="n"/>
      <c r="C22" s="1382" t="n"/>
      <c r="D22" s="1383">
        <f>D20/C20-1</f>
        <v/>
      </c>
      <c r="E22" s="1383">
        <f>E20/D20-1</f>
        <v/>
      </c>
      <c r="F22" s="1383">
        <f>F20/E20-1</f>
        <v/>
      </c>
      <c r="G22" s="1384" t="n"/>
      <c r="H22" s="1384" t="n"/>
      <c r="I22" s="1384" t="n"/>
      <c r="J22" s="1384" t="n"/>
      <c r="K22" s="1383">
        <f>K20/F20-1</f>
        <v/>
      </c>
      <c r="L22" s="1385">
        <f>L20/G20-1</f>
        <v/>
      </c>
      <c r="M22" s="1385">
        <f>M20/H20-1</f>
        <v/>
      </c>
      <c r="N22" s="1385">
        <f>N20/I20-1</f>
        <v/>
      </c>
      <c r="O22" s="1385">
        <f>O20/J20-1</f>
        <v/>
      </c>
      <c r="P22" s="1383">
        <f>P20/K20-1</f>
        <v/>
      </c>
      <c r="Q22" s="1385">
        <f>Q20/L20-1</f>
        <v/>
      </c>
      <c r="R22" s="1385">
        <f>R20/M20-1</f>
        <v/>
      </c>
      <c r="S22" s="1385">
        <f>S20/N20-1</f>
        <v/>
      </c>
      <c r="T22" s="1385">
        <f>T20/O20-1</f>
        <v/>
      </c>
      <c r="U22" s="1383">
        <f>U20/P20-1</f>
        <v/>
      </c>
      <c r="V22" s="1385">
        <f>V20/Q20-1</f>
        <v/>
      </c>
      <c r="W22" s="1385">
        <f>W20/R20-1</f>
        <v/>
      </c>
      <c r="X22" s="1385">
        <f>X20/S20-1</f>
        <v/>
      </c>
      <c r="Y22" s="1384">
        <f>Y20/T20-1</f>
        <v/>
      </c>
      <c r="Z22" s="1382">
        <f>Z20/U20-1</f>
        <v/>
      </c>
      <c r="AA22" s="1385">
        <f>AA20/V20-1</f>
        <v/>
      </c>
      <c r="AB22" s="1385">
        <f>AB20/W20-1</f>
        <v/>
      </c>
      <c r="AC22" s="1385">
        <f>AC20/X20-1</f>
        <v/>
      </c>
      <c r="AD22" s="1384">
        <f>AD20/Y20-1</f>
        <v/>
      </c>
      <c r="AE22" s="1382">
        <f>AE20/Z20-1</f>
        <v/>
      </c>
      <c r="AF22" s="1385">
        <f>AF20/AA20-1</f>
        <v/>
      </c>
      <c r="AG22" s="1385">
        <f>AG20/AB20-1</f>
        <v/>
      </c>
      <c r="AH22" s="1385">
        <f>AH20/AC20-1</f>
        <v/>
      </c>
      <c r="AI22" s="1384">
        <f>AI20/AD20-1</f>
        <v/>
      </c>
      <c r="AJ22" s="1382">
        <f>AJ20/AE20-1</f>
        <v/>
      </c>
      <c r="AK22" s="1385">
        <f>AK20/AF20-1</f>
        <v/>
      </c>
      <c r="AL22" s="1385">
        <f>AL20/AG20-1</f>
        <v/>
      </c>
      <c r="AM22" s="1385">
        <f>AM20/AH20-1</f>
        <v/>
      </c>
      <c r="AN22" s="1384">
        <f>AN20/AI20-1</f>
        <v/>
      </c>
      <c r="AO22" s="1382">
        <f>AO20/AJ20-1</f>
        <v/>
      </c>
      <c r="AP22" s="1385">
        <f>AP20/AK20-1</f>
        <v/>
      </c>
      <c r="AQ22" s="1385">
        <f>AQ20/AL20-1</f>
        <v/>
      </c>
      <c r="AR22" s="1385">
        <f>AR20/AM20-1</f>
        <v/>
      </c>
      <c r="AS22" s="1384">
        <f>AS20/AN20-1</f>
        <v/>
      </c>
      <c r="AT22" s="1382">
        <f>AT20/AO20-1</f>
        <v/>
      </c>
      <c r="AU22" s="1385">
        <f>AU20/AP20-1</f>
        <v/>
      </c>
      <c r="AV22" s="1385">
        <f>AV20/AQ20-1</f>
        <v/>
      </c>
      <c r="AW22" s="1385">
        <f>AW20/AR20-1</f>
        <v/>
      </c>
      <c r="AX22" s="1384">
        <f>AX20/AS20-1</f>
        <v/>
      </c>
      <c r="AY22" s="1382">
        <f>AY20/AT20-1</f>
        <v/>
      </c>
      <c r="AZ22" s="1385">
        <f>AZ20/AU20-1</f>
        <v/>
      </c>
      <c r="BA22" s="1385">
        <f>BA20/AV20-1</f>
        <v/>
      </c>
      <c r="BB22" s="1385">
        <f>BB20/AW20-1</f>
        <v/>
      </c>
      <c r="BC22" s="1384">
        <f>BC20/AX20-1</f>
        <v/>
      </c>
      <c r="BD22" s="1382">
        <f>BD20/AY20-1</f>
        <v/>
      </c>
      <c r="BE22" s="1385">
        <f>BE20/AZ20-1</f>
        <v/>
      </c>
      <c r="BF22" s="1385">
        <f>BF20/BA20-1</f>
        <v/>
      </c>
      <c r="BG22" s="1385">
        <f>BG20/BB20-1</f>
        <v/>
      </c>
      <c r="BH22" s="1384">
        <f>BH20/BC20-1</f>
        <v/>
      </c>
      <c r="BI22" s="1382">
        <f>BI20/BD20-1</f>
        <v/>
      </c>
      <c r="BJ22" s="1385">
        <f>BJ20/BE20-1</f>
        <v/>
      </c>
      <c r="BK22" s="1385">
        <f>BK20/BF20-1</f>
        <v/>
      </c>
      <c r="BL22" s="1385">
        <f>BL20/BG20-1</f>
        <v/>
      </c>
      <c r="BM22" s="1384">
        <f>BM20/BH20-1</f>
        <v/>
      </c>
      <c r="BN22" s="1382">
        <f>BN20/BI20-1</f>
        <v/>
      </c>
      <c r="BO22" s="1385">
        <f>BO20/BJ20-1</f>
        <v/>
      </c>
      <c r="BP22" s="1385">
        <f>BP20/BK20-1</f>
        <v/>
      </c>
      <c r="BQ22" s="1397">
        <f>BQ20/BL20-1</f>
        <v/>
      </c>
      <c r="BR22" s="1384">
        <f>BR20/BM20-1</f>
        <v/>
      </c>
      <c r="BS22" s="1382">
        <f>BS20/BN20-1</f>
        <v/>
      </c>
      <c r="BT22" s="1384">
        <f>BT20/BO20-1</f>
        <v/>
      </c>
      <c r="BU22" s="1384">
        <f>BU20/BP20-1</f>
        <v/>
      </c>
      <c r="BV22" s="1384">
        <f>BV20/BQ20-1</f>
        <v/>
      </c>
      <c r="BW22" s="1384">
        <f>BW20/BR20-1</f>
        <v/>
      </c>
      <c r="BX22" s="1382">
        <f>BX20/BS20-1</f>
        <v/>
      </c>
      <c r="BY22" s="1382">
        <f>BY20/BX20-1</f>
        <v/>
      </c>
      <c r="BZ22" s="1382">
        <f>BZ20/BY20-1</f>
        <v/>
      </c>
      <c r="CA22" s="1382">
        <f>CA20/BZ20-1</f>
        <v/>
      </c>
      <c r="CB22" s="1375" t="n"/>
    </row>
    <row r="23" ht="14.4" customFormat="1" customHeight="1" s="1372">
      <c r="A23" s="1415" t="n"/>
      <c r="B23" s="1381" t="n"/>
      <c r="C23" s="1382" t="n"/>
      <c r="D23" s="1382" t="n"/>
      <c r="E23" s="1382" t="n"/>
      <c r="F23" s="1382" t="n"/>
      <c r="G23" s="1384" t="n"/>
      <c r="H23" s="1384" t="n"/>
      <c r="I23" s="1384" t="n"/>
      <c r="J23" s="1384" t="n"/>
      <c r="K23" s="1382" t="n"/>
      <c r="L23" s="1384" t="n"/>
      <c r="M23" s="1384" t="n"/>
      <c r="N23" s="1384" t="n"/>
      <c r="O23" s="1384" t="n"/>
      <c r="P23" s="1382" t="n"/>
      <c r="Q23" s="1384" t="n"/>
      <c r="R23" s="1384" t="n"/>
      <c r="S23" s="1384" t="n"/>
      <c r="T23" s="1384" t="n"/>
      <c r="U23" s="1382" t="n"/>
      <c r="V23" s="1384" t="n"/>
      <c r="W23" s="1384" t="n"/>
      <c r="X23" s="1384" t="n"/>
      <c r="Y23" s="1384" t="n"/>
      <c r="Z23" s="1382" t="n"/>
      <c r="AA23" s="1384" t="n"/>
      <c r="AB23" s="1384" t="n"/>
      <c r="AC23" s="1384" t="n"/>
      <c r="AD23" s="1384" t="n"/>
      <c r="AE23" s="1382" t="n"/>
      <c r="AF23" s="1384" t="n"/>
      <c r="AG23" s="1384" t="n"/>
      <c r="AH23" s="1384" t="n"/>
      <c r="AI23" s="1384" t="n"/>
      <c r="AJ23" s="1382" t="n"/>
      <c r="AK23" s="1384" t="n"/>
      <c r="AL23" s="1384" t="n"/>
      <c r="AM23" s="1384" t="n"/>
      <c r="AN23" s="1384" t="n"/>
      <c r="AO23" s="1382" t="n"/>
      <c r="AP23" s="1384" t="n"/>
      <c r="AQ23" s="1384" t="n"/>
      <c r="AR23" s="1384" t="n"/>
      <c r="AS23" s="1384" t="n"/>
      <c r="AT23" s="1382" t="n"/>
      <c r="AU23" s="1384" t="n"/>
      <c r="AV23" s="1384" t="n"/>
      <c r="AW23" s="1384" t="n"/>
      <c r="AX23" s="1384" t="n"/>
      <c r="AY23" s="1382" t="n"/>
      <c r="AZ23" s="1384" t="n"/>
      <c r="BA23" s="1384" t="n"/>
      <c r="BB23" s="1384" t="n"/>
      <c r="BC23" s="1384" t="n"/>
      <c r="BD23" s="1382" t="n"/>
      <c r="BE23" s="1384" t="n"/>
      <c r="BF23" s="1384" t="n"/>
      <c r="BG23" s="1384" t="n"/>
      <c r="BH23" s="1384" t="n"/>
      <c r="BI23" s="1382" t="n"/>
      <c r="BJ23" s="1384" t="n"/>
      <c r="BK23" s="1384" t="n"/>
      <c r="BL23" s="1384" t="n"/>
      <c r="BM23" s="1384" t="n"/>
      <c r="BN23" s="1382" t="n"/>
      <c r="BO23" s="1384" t="n"/>
      <c r="BP23" s="1384" t="n"/>
      <c r="BQ23" s="1386" t="n"/>
      <c r="BR23" s="1384" t="n"/>
      <c r="BS23" s="1382" t="n"/>
      <c r="BT23" s="1384" t="n"/>
      <c r="BU23" s="1384" t="n"/>
      <c r="BV23" s="1384" t="n"/>
      <c r="BW23" s="1384" t="n"/>
      <c r="BX23" s="1382" t="n"/>
      <c r="BY23" s="1382" t="n"/>
      <c r="BZ23" s="1382" t="n"/>
      <c r="CA23" s="1382" t="n"/>
      <c r="CB23" s="1375" t="n"/>
    </row>
    <row r="24" ht="14.4" customFormat="1" customHeight="1" s="1416">
      <c r="A24" s="1417" t="inlineStr">
        <is>
          <t>Functional Verification, including Emulation Hardware revenue mix, %</t>
        </is>
      </c>
      <c r="B24" s="1418" t="n"/>
      <c r="C24" s="1419" t="n">
        <v>0.22</v>
      </c>
      <c r="D24" s="1419" t="n">
        <v>0.24</v>
      </c>
      <c r="E24" s="1419" t="n">
        <v>0.3</v>
      </c>
      <c r="F24" s="1419" t="n">
        <v>0.3</v>
      </c>
      <c r="G24" s="1420" t="n">
        <v>0.22</v>
      </c>
      <c r="H24" s="1420" t="n">
        <v>0.22</v>
      </c>
      <c r="I24" s="1420">
        <f>24%+1%</f>
        <v/>
      </c>
      <c r="J24" s="1420" t="n">
        <v>0.25</v>
      </c>
      <c r="K24" s="1419" t="n">
        <v>0.23</v>
      </c>
      <c r="L24" s="1420" t="n">
        <v>0.23</v>
      </c>
      <c r="M24" s="1420" t="n">
        <v>0.21</v>
      </c>
      <c r="N24" s="1420" t="n">
        <v>0.23</v>
      </c>
      <c r="O24" s="1420" t="n">
        <v>0.21</v>
      </c>
      <c r="P24" s="1419" t="n">
        <v>0.22</v>
      </c>
      <c r="Q24" s="1420" t="n">
        <v>0.23</v>
      </c>
      <c r="R24" s="1420" t="n">
        <v>0.21</v>
      </c>
      <c r="S24" s="1420" t="n">
        <v>0.23</v>
      </c>
      <c r="T24" s="1420" t="n">
        <v>0.25</v>
      </c>
      <c r="U24" s="1419" t="n">
        <v>0.23</v>
      </c>
      <c r="V24" s="1420" t="n">
        <v>0.26</v>
      </c>
      <c r="W24" s="1420" t="n">
        <v>0.27</v>
      </c>
      <c r="X24" s="1420" t="n">
        <v>0.24</v>
      </c>
      <c r="Y24" s="1420" t="n">
        <v>0.25</v>
      </c>
      <c r="Z24" s="1419" t="n">
        <v>0.25</v>
      </c>
      <c r="AA24" s="1420" t="n">
        <v>0.23</v>
      </c>
      <c r="AB24" s="1420" t="n">
        <v>0.23</v>
      </c>
      <c r="AC24" s="1420" t="n">
        <v>0.21</v>
      </c>
      <c r="AD24" s="1420" t="n">
        <v>0.23</v>
      </c>
      <c r="AE24" s="1419" t="n">
        <v>0.22</v>
      </c>
      <c r="AF24" s="1420" t="n">
        <v>0.26</v>
      </c>
      <c r="AG24" s="1420" t="n">
        <v>0.23</v>
      </c>
      <c r="AH24" s="1420" t="n">
        <v>0.22</v>
      </c>
      <c r="AI24" s="1420" t="n">
        <v>0.25</v>
      </c>
      <c r="AJ24" s="1419" t="n">
        <v>0.24</v>
      </c>
      <c r="AK24" s="1420" t="n">
        <v>0.24</v>
      </c>
      <c r="AL24" s="1420" t="n">
        <v>0.22</v>
      </c>
      <c r="AM24" s="1420" t="n">
        <v>0.2</v>
      </c>
      <c r="AN24" s="1420" t="n">
        <v>0.24</v>
      </c>
      <c r="AO24" s="1419" t="n">
        <v>0.23</v>
      </c>
      <c r="AP24" s="1420" t="n">
        <v>0.23</v>
      </c>
      <c r="AQ24" s="1420" t="n">
        <v>0.24</v>
      </c>
      <c r="AR24" s="1420" t="n">
        <v>0.23</v>
      </c>
      <c r="AS24" s="1420" t="n">
        <v>0.19</v>
      </c>
      <c r="AT24" s="1419" t="n">
        <v>0.22</v>
      </c>
      <c r="AU24" s="1420" t="n">
        <v>0.26</v>
      </c>
      <c r="AV24" s="1420" t="n">
        <v>0.25</v>
      </c>
      <c r="AW24" s="1420" t="n">
        <v>0.23</v>
      </c>
      <c r="AX24" s="1420" t="n">
        <v>0.21</v>
      </c>
      <c r="AY24" s="1419" t="n">
        <v>0.24</v>
      </c>
      <c r="AZ24" s="1420" t="n">
        <v>0.28</v>
      </c>
      <c r="BA24" s="1420" t="n">
        <v>0.24</v>
      </c>
      <c r="BB24" s="1420" t="n">
        <v>0.25</v>
      </c>
      <c r="BC24" s="1420" t="n">
        <v>0.25</v>
      </c>
      <c r="BD24" s="1419" t="n">
        <v>0.26</v>
      </c>
      <c r="BE24" s="1420" t="n">
        <v>0.32</v>
      </c>
      <c r="BF24" s="1420" t="n">
        <v>0.27</v>
      </c>
      <c r="BG24" s="1420" t="n">
        <v>0.26</v>
      </c>
      <c r="BH24" s="1420" t="n">
        <v>0.24</v>
      </c>
      <c r="BI24" s="1419" t="n">
        <v>0.27</v>
      </c>
      <c r="BJ24" s="1420" t="n">
        <v>0.25</v>
      </c>
      <c r="BK24" s="1420" t="n">
        <v>0.25</v>
      </c>
      <c r="BL24" s="1420" t="n">
        <v>0.27</v>
      </c>
      <c r="BM24" s="1421" t="n"/>
      <c r="BN24" s="1422" t="n"/>
      <c r="BO24" s="1421" t="n"/>
      <c r="BP24" s="1421" t="n"/>
      <c r="BQ24" s="1423" t="n"/>
      <c r="BR24" s="1421" t="n"/>
      <c r="BS24" s="1422" t="n"/>
      <c r="BT24" s="1421" t="n"/>
      <c r="BU24" s="1421" t="n"/>
      <c r="BV24" s="1421" t="n"/>
      <c r="BW24" s="1421" t="n"/>
      <c r="BX24" s="1422" t="n"/>
      <c r="BY24" s="1422" t="n"/>
      <c r="BZ24" s="1422" t="n"/>
      <c r="CA24" s="1422" t="n"/>
      <c r="CB24" s="1424" t="n"/>
    </row>
    <row r="25" ht="14.4" customFormat="1" customHeight="1" s="1416">
      <c r="A25" s="1417" t="inlineStr">
        <is>
          <t>Digital IC Design and Signoff revenue mix, %</t>
        </is>
      </c>
      <c r="B25" s="1418" t="n"/>
      <c r="C25" s="1419" t="n">
        <v>0.21</v>
      </c>
      <c r="D25" s="1419" t="n">
        <v>0.23</v>
      </c>
      <c r="E25" s="1419" t="n">
        <v>0.22</v>
      </c>
      <c r="F25" s="1419" t="n">
        <v>0.23</v>
      </c>
      <c r="G25" s="1420" t="n">
        <v>0.33</v>
      </c>
      <c r="H25" s="1420" t="n">
        <v>0.31</v>
      </c>
      <c r="I25" s="1420" t="n">
        <v>0.29</v>
      </c>
      <c r="J25" s="1420" t="n">
        <v>0.29</v>
      </c>
      <c r="K25" s="1419" t="n">
        <v>0.3</v>
      </c>
      <c r="L25" s="1420" t="n">
        <v>0.3</v>
      </c>
      <c r="M25" s="1420" t="n">
        <v>0.3</v>
      </c>
      <c r="N25" s="1420" t="n">
        <v>0.29</v>
      </c>
      <c r="O25" s="1420" t="n">
        <v>0.28</v>
      </c>
      <c r="P25" s="1419" t="n">
        <v>0.29</v>
      </c>
      <c r="Q25" s="1420" t="n">
        <v>0.28</v>
      </c>
      <c r="R25" s="1420" t="n">
        <v>0.29</v>
      </c>
      <c r="S25" s="1420" t="n">
        <v>0.28</v>
      </c>
      <c r="T25" s="1420" t="n">
        <v>0.28</v>
      </c>
      <c r="U25" s="1419" t="n">
        <v>0.28</v>
      </c>
      <c r="V25" s="1420" t="n">
        <v>0.3</v>
      </c>
      <c r="W25" s="1420" t="n">
        <v>0.27</v>
      </c>
      <c r="X25" s="1420" t="n">
        <v>0.28</v>
      </c>
      <c r="Y25" s="1420" t="n">
        <v>0.3</v>
      </c>
      <c r="Z25" s="1419" t="n">
        <v>0.29</v>
      </c>
      <c r="AA25" s="1420" t="n">
        <v>0.29</v>
      </c>
      <c r="AB25" s="1420" t="n">
        <v>0.3</v>
      </c>
      <c r="AC25" s="1420" t="n">
        <v>0.3</v>
      </c>
      <c r="AD25" s="1420" t="n">
        <v>0.29</v>
      </c>
      <c r="AE25" s="1419" t="n">
        <v>0.29</v>
      </c>
      <c r="AF25" s="1420" t="n">
        <v>0.3</v>
      </c>
      <c r="AG25" s="1420" t="n">
        <v>0.3</v>
      </c>
      <c r="AH25" s="1420" t="n">
        <v>0.3</v>
      </c>
      <c r="AI25" s="1420" t="n">
        <v>0.28</v>
      </c>
      <c r="AJ25" s="1419" t="n">
        <v>0.29</v>
      </c>
      <c r="AK25" s="1420" t="n">
        <v>0.3</v>
      </c>
      <c r="AL25" s="1420" t="n">
        <v>0.31</v>
      </c>
      <c r="AM25" s="1420" t="n">
        <v>0.3</v>
      </c>
      <c r="AN25" s="1420" t="n">
        <v>0.29</v>
      </c>
      <c r="AO25" s="1419" t="n">
        <v>0.3</v>
      </c>
      <c r="AP25" s="1420" t="n">
        <v>0.29</v>
      </c>
      <c r="AQ25" s="1420" t="n">
        <v>0.28</v>
      </c>
      <c r="AR25" s="1420" t="n">
        <v>0.27</v>
      </c>
      <c r="AS25" s="1420" t="n">
        <v>0.31</v>
      </c>
      <c r="AT25" s="1419" t="n">
        <v>0.29</v>
      </c>
      <c r="AU25" s="1420" t="n">
        <v>0.27</v>
      </c>
      <c r="AV25" s="1420" t="n">
        <v>0.28</v>
      </c>
      <c r="AW25" s="1420" t="n">
        <v>0.29</v>
      </c>
      <c r="AX25" s="1420" t="n">
        <v>0.29</v>
      </c>
      <c r="AY25" s="1419" t="n">
        <v>0.29</v>
      </c>
      <c r="AZ25" s="1420" t="n">
        <v>0.27</v>
      </c>
      <c r="BA25" s="1420" t="n">
        <v>0.27</v>
      </c>
      <c r="BB25" s="1420" t="n">
        <v>0.29</v>
      </c>
      <c r="BC25" s="1420" t="n">
        <v>0.28</v>
      </c>
      <c r="BD25" s="1419" t="n">
        <v>0.28</v>
      </c>
      <c r="BE25" s="1420" t="n">
        <v>0.25</v>
      </c>
      <c r="BF25" s="1420" t="n">
        <v>0.27</v>
      </c>
      <c r="BG25" s="1420" t="n">
        <v>0.28</v>
      </c>
      <c r="BH25" s="1420" t="n">
        <v>0.29</v>
      </c>
      <c r="BI25" s="1419" t="n">
        <v>0.27</v>
      </c>
      <c r="BJ25" s="1420" t="n">
        <v>0.29</v>
      </c>
      <c r="BK25" s="1420" t="n">
        <v>0.27</v>
      </c>
      <c r="BL25" s="1420" t="n">
        <v>0.24</v>
      </c>
      <c r="BM25" s="1421" t="n"/>
      <c r="BN25" s="1422" t="n"/>
      <c r="BO25" s="1421" t="n"/>
      <c r="BP25" s="1421" t="n"/>
      <c r="BQ25" s="1423" t="n"/>
      <c r="BR25" s="1421" t="n"/>
      <c r="BS25" s="1422" t="n"/>
      <c r="BT25" s="1421" t="n"/>
      <c r="BU25" s="1421" t="n"/>
      <c r="BV25" s="1421" t="n"/>
      <c r="BW25" s="1421" t="n"/>
      <c r="BX25" s="1422" t="n"/>
      <c r="BY25" s="1422" t="n"/>
      <c r="BZ25" s="1422" t="n"/>
      <c r="CA25" s="1422" t="n"/>
      <c r="CB25" s="1424" t="n"/>
    </row>
    <row r="26" ht="14.4" customFormat="1" customHeight="1" s="1416">
      <c r="A26" s="1425" t="inlineStr">
        <is>
          <t>Custom IC Design revenue mix, %</t>
        </is>
      </c>
      <c r="B26" s="1426" t="n"/>
      <c r="C26" s="1427" t="n">
        <v>0.27</v>
      </c>
      <c r="D26" s="1427" t="n">
        <v>0.26</v>
      </c>
      <c r="E26" s="1427" t="n">
        <v>0.22</v>
      </c>
      <c r="F26" s="1427" t="n">
        <v>0.23</v>
      </c>
      <c r="G26" s="1428" t="n">
        <v>0.28</v>
      </c>
      <c r="H26" s="1428" t="n">
        <v>0.28</v>
      </c>
      <c r="I26" s="1428" t="n">
        <v>0.26</v>
      </c>
      <c r="J26" s="1428" t="n">
        <v>0.26</v>
      </c>
      <c r="K26" s="1427" t="n">
        <v>0.27</v>
      </c>
      <c r="L26" s="1428" t="n">
        <v>0.27</v>
      </c>
      <c r="M26" s="1428" t="n">
        <v>0.28</v>
      </c>
      <c r="N26" s="1428" t="n">
        <v>0.27</v>
      </c>
      <c r="O26" s="1428" t="n">
        <v>0.28</v>
      </c>
      <c r="P26" s="1427" t="n">
        <v>0.27</v>
      </c>
      <c r="Q26" s="1428" t="n">
        <v>0.27</v>
      </c>
      <c r="R26" s="1428" t="n">
        <v>0.27</v>
      </c>
      <c r="S26" s="1428" t="n">
        <v>0.26</v>
      </c>
      <c r="T26" s="1428" t="n">
        <v>0.25</v>
      </c>
      <c r="U26" s="1427" t="n">
        <v>0.26</v>
      </c>
      <c r="V26" s="1428" t="n">
        <v>0.25</v>
      </c>
      <c r="W26" s="1428" t="n">
        <v>0.26</v>
      </c>
      <c r="X26" s="1428" t="n">
        <v>0.27</v>
      </c>
      <c r="Y26" s="1428" t="n">
        <v>0.25</v>
      </c>
      <c r="Z26" s="1427" t="n">
        <v>0.25</v>
      </c>
      <c r="AA26" s="1428" t="n">
        <v>0.26</v>
      </c>
      <c r="AB26" s="1428" t="n">
        <v>0.26</v>
      </c>
      <c r="AC26" s="1428" t="n">
        <v>0.28</v>
      </c>
      <c r="AD26" s="1428" t="n">
        <v>0.26</v>
      </c>
      <c r="AE26" s="1427" t="n">
        <v>0.27</v>
      </c>
      <c r="AF26" s="1428" t="n">
        <v>0.26</v>
      </c>
      <c r="AG26" s="1428" t="n">
        <v>0.26</v>
      </c>
      <c r="AH26" s="1428" t="n">
        <v>0.26</v>
      </c>
      <c r="AI26" s="1428" t="n">
        <v>0.25</v>
      </c>
      <c r="AJ26" s="1427" t="n">
        <v>0.26</v>
      </c>
      <c r="AK26" s="1428" t="n">
        <v>0.25</v>
      </c>
      <c r="AL26" s="1428" t="n">
        <v>0.26</v>
      </c>
      <c r="AM26" s="1428" t="n">
        <v>0.26</v>
      </c>
      <c r="AN26" s="1428" t="n">
        <v>0.25</v>
      </c>
      <c r="AO26" s="1427" t="n">
        <v>0.25</v>
      </c>
      <c r="AP26" s="1428" t="n">
        <v>0.25</v>
      </c>
      <c r="AQ26" s="1428" t="n">
        <v>0.24</v>
      </c>
      <c r="AR26" s="1428" t="n">
        <v>0.24</v>
      </c>
      <c r="AS26" s="1428" t="n">
        <v>0.26</v>
      </c>
      <c r="AT26" s="1427" t="n">
        <v>0.25</v>
      </c>
      <c r="AU26" s="1428" t="n">
        <v>0.23</v>
      </c>
      <c r="AV26" s="1428" t="n">
        <v>0.23</v>
      </c>
      <c r="AW26" s="1428" t="n">
        <v>0.23</v>
      </c>
      <c r="AX26" s="1428" t="n">
        <v>0.24</v>
      </c>
      <c r="AY26" s="1427" t="n">
        <v>0.23</v>
      </c>
      <c r="AZ26" s="1428" t="n">
        <v>0.22</v>
      </c>
      <c r="BA26" s="1428" t="n">
        <v>0.23</v>
      </c>
      <c r="BB26" s="1428" t="n">
        <v>0.22</v>
      </c>
      <c r="BC26" s="1428" t="n">
        <v>0.22</v>
      </c>
      <c r="BD26" s="1427" t="n">
        <v>0.22</v>
      </c>
      <c r="BE26" s="1428" t="n">
        <v>0.2</v>
      </c>
      <c r="BF26" s="1428" t="n">
        <v>0.22</v>
      </c>
      <c r="BG26" s="1428" t="n">
        <v>0.22</v>
      </c>
      <c r="BH26" s="1428" t="n">
        <v>0.22</v>
      </c>
      <c r="BI26" s="1427" t="n">
        <v>0.22</v>
      </c>
      <c r="BJ26" s="1428" t="n">
        <v>0.22</v>
      </c>
      <c r="BK26" s="1428" t="n">
        <v>0.21</v>
      </c>
      <c r="BL26" s="1428" t="n">
        <v>0.19</v>
      </c>
      <c r="BM26" s="1429" t="n"/>
      <c r="BN26" s="1430" t="n"/>
      <c r="BO26" s="1429" t="n"/>
      <c r="BP26" s="1429" t="n"/>
      <c r="BQ26" s="1431" t="n"/>
      <c r="BR26" s="1429" t="n"/>
      <c r="BS26" s="1430" t="n"/>
      <c r="BT26" s="1429" t="n"/>
      <c r="BU26" s="1429" t="n"/>
      <c r="BV26" s="1429" t="n"/>
      <c r="BW26" s="1429" t="n"/>
      <c r="BX26" s="1430" t="n"/>
      <c r="BY26" s="1430" t="n"/>
      <c r="BZ26" s="1430" t="n"/>
      <c r="CA26" s="1430" t="n"/>
      <c r="CB26" s="1424" t="n"/>
    </row>
    <row r="27" ht="14.4" customFormat="1" customHeight="1" s="1416">
      <c r="A27" s="1432" t="inlineStr">
        <is>
          <t>Core EDA revenue mix, %</t>
        </is>
      </c>
      <c r="B27" s="1418" t="n"/>
      <c r="C27" s="1433">
        <f>SUM(C24:C26)</f>
        <v/>
      </c>
      <c r="D27" s="1433">
        <f>SUM(D24:D26)</f>
        <v/>
      </c>
      <c r="E27" s="1433">
        <f>SUM(E24:E26)</f>
        <v/>
      </c>
      <c r="F27" s="1433">
        <f>SUM(F24:F26)</f>
        <v/>
      </c>
      <c r="G27" s="1434">
        <f>SUM(G24:G26)</f>
        <v/>
      </c>
      <c r="H27" s="1434">
        <f>SUM(H24:H26)</f>
        <v/>
      </c>
      <c r="I27" s="1434">
        <f>SUM(I24:I26)</f>
        <v/>
      </c>
      <c r="J27" s="1434">
        <f>SUM(J24:J26)</f>
        <v/>
      </c>
      <c r="K27" s="1433">
        <f>SUM(K24:K26)</f>
        <v/>
      </c>
      <c r="L27" s="1434">
        <f>SUM(L24:L26)</f>
        <v/>
      </c>
      <c r="M27" s="1434">
        <f>SUM(M24:M26)</f>
        <v/>
      </c>
      <c r="N27" s="1434">
        <f>SUM(N24:N26)</f>
        <v/>
      </c>
      <c r="O27" s="1434">
        <f>SUM(O24:O26)</f>
        <v/>
      </c>
      <c r="P27" s="1433">
        <f>SUM(P24:P26)</f>
        <v/>
      </c>
      <c r="Q27" s="1434">
        <f>SUM(Q24:Q26)</f>
        <v/>
      </c>
      <c r="R27" s="1434">
        <f>SUM(R24:R26)</f>
        <v/>
      </c>
      <c r="S27" s="1434">
        <f>SUM(S24:S26)</f>
        <v/>
      </c>
      <c r="T27" s="1434">
        <f>SUM(T24:T26)</f>
        <v/>
      </c>
      <c r="U27" s="1433">
        <f>SUM(U24:U26)</f>
        <v/>
      </c>
      <c r="V27" s="1434">
        <f>SUM(V24:V26)</f>
        <v/>
      </c>
      <c r="W27" s="1434">
        <f>SUM(W24:W26)</f>
        <v/>
      </c>
      <c r="X27" s="1434">
        <f>SUM(X24:X26)</f>
        <v/>
      </c>
      <c r="Y27" s="1434">
        <f>SUM(Y24:Y26)</f>
        <v/>
      </c>
      <c r="Z27" s="1433">
        <f>SUM(Z24:Z26)</f>
        <v/>
      </c>
      <c r="AA27" s="1434">
        <f>SUM(AA24:AA26)</f>
        <v/>
      </c>
      <c r="AB27" s="1434">
        <f>SUM(AB24:AB26)</f>
        <v/>
      </c>
      <c r="AC27" s="1434">
        <f>SUM(AC24:AC26)</f>
        <v/>
      </c>
      <c r="AD27" s="1434">
        <f>SUM(AD24:AD26)</f>
        <v/>
      </c>
      <c r="AE27" s="1433">
        <f>SUM(AE24:AE26)</f>
        <v/>
      </c>
      <c r="AF27" s="1434">
        <f>SUM(AF24:AF26)</f>
        <v/>
      </c>
      <c r="AG27" s="1434">
        <f>SUM(AG24:AG26)</f>
        <v/>
      </c>
      <c r="AH27" s="1434">
        <f>SUM(AH24:AH26)</f>
        <v/>
      </c>
      <c r="AI27" s="1434">
        <f>SUM(AI24:AI26)</f>
        <v/>
      </c>
      <c r="AJ27" s="1433">
        <f>SUM(AJ24:AJ26)</f>
        <v/>
      </c>
      <c r="AK27" s="1434">
        <f>SUM(AK24:AK26)</f>
        <v/>
      </c>
      <c r="AL27" s="1434">
        <f>SUM(AL24:AL26)</f>
        <v/>
      </c>
      <c r="AM27" s="1434">
        <f>SUM(AM24:AM26)</f>
        <v/>
      </c>
      <c r="AN27" s="1434">
        <f>SUM(AN24:AN26)</f>
        <v/>
      </c>
      <c r="AO27" s="1433">
        <f>SUM(AO24:AO26)</f>
        <v/>
      </c>
      <c r="AP27" s="1434">
        <f>SUM(AP24:AP26)</f>
        <v/>
      </c>
      <c r="AQ27" s="1434">
        <f>SUM(AQ24:AQ26)</f>
        <v/>
      </c>
      <c r="AR27" s="1434">
        <f>SUM(AR24:AR26)</f>
        <v/>
      </c>
      <c r="AS27" s="1434">
        <f>SUM(AS24:AS26)</f>
        <v/>
      </c>
      <c r="AT27" s="1433">
        <f>SUM(AT24:AT26)</f>
        <v/>
      </c>
      <c r="AU27" s="1434">
        <f>SUM(AU24:AU26)</f>
        <v/>
      </c>
      <c r="AV27" s="1434">
        <f>SUM(AV24:AV26)</f>
        <v/>
      </c>
      <c r="AW27" s="1434">
        <f>SUM(AW24:AW26)</f>
        <v/>
      </c>
      <c r="AX27" s="1434">
        <f>SUM(AX24:AX26)</f>
        <v/>
      </c>
      <c r="AY27" s="1433">
        <f>SUM(AY24:AY26)</f>
        <v/>
      </c>
      <c r="AZ27" s="1434">
        <f>SUM(AZ24:AZ26)</f>
        <v/>
      </c>
      <c r="BA27" s="1434">
        <f>SUM(BA24:BA26)</f>
        <v/>
      </c>
      <c r="BB27" s="1434">
        <f>SUM(BB24:BB26)</f>
        <v/>
      </c>
      <c r="BC27" s="1434">
        <f>SUM(BC24:BC26)</f>
        <v/>
      </c>
      <c r="BD27" s="1433">
        <f>SUM(BD24:BD26)</f>
        <v/>
      </c>
      <c r="BE27" s="1434">
        <f>SUM(BE24:BE26)</f>
        <v/>
      </c>
      <c r="BF27" s="1434">
        <f>SUM(BF24:BF26)</f>
        <v/>
      </c>
      <c r="BG27" s="1434">
        <f>SUM(BG24:BG26)</f>
        <v/>
      </c>
      <c r="BH27" s="1434">
        <f>SUM(BH24:BH26)</f>
        <v/>
      </c>
      <c r="BI27" s="1433">
        <f>SUM(BI24:BI26)</f>
        <v/>
      </c>
      <c r="BJ27" s="1434">
        <f>SUM(BJ24:BJ26)</f>
        <v/>
      </c>
      <c r="BK27" s="1434">
        <f>SUM(BK24:BK26)</f>
        <v/>
      </c>
      <c r="BL27" s="1434">
        <f>SUM(BL24:BL26)</f>
        <v/>
      </c>
      <c r="BM27" s="1420" t="n">
        <v>0.68</v>
      </c>
      <c r="BN27" s="1419" t="n">
        <v>0.71</v>
      </c>
      <c r="BO27" s="1420" t="n">
        <v>0.71</v>
      </c>
      <c r="BP27" s="1420" t="n">
        <v>0.71</v>
      </c>
      <c r="BQ27" s="1435" t="n">
        <v>0.71</v>
      </c>
      <c r="BR27" s="1421" t="n"/>
      <c r="BS27" s="1422" t="n"/>
      <c r="BT27" s="1421" t="n"/>
      <c r="BU27" s="1421" t="n"/>
      <c r="BV27" s="1421" t="n"/>
      <c r="BW27" s="1421" t="n"/>
      <c r="BX27" s="1422" t="n"/>
      <c r="BY27" s="1422" t="n"/>
      <c r="BZ27" s="1422" t="n"/>
      <c r="CA27" s="1422" t="n"/>
      <c r="CB27" s="1424" t="n"/>
    </row>
    <row r="28" hidden="1" outlineLevel="1" ht="14.4" customFormat="1" customHeight="1" s="1416">
      <c r="A28" s="1432" t="inlineStr">
        <is>
          <t>Design for Manufacturing revenue mix, %</t>
        </is>
      </c>
      <c r="B28" s="1418" t="n"/>
      <c r="C28" s="1419" t="n">
        <v>0.07000000000000001</v>
      </c>
      <c r="D28" s="1419" t="n">
        <v>0.07000000000000001</v>
      </c>
      <c r="E28" s="1419" t="n">
        <v>0.07000000000000001</v>
      </c>
      <c r="F28" s="1419" t="n">
        <v>0.06</v>
      </c>
      <c r="G28" s="1421" t="n"/>
      <c r="H28" s="1421" t="n"/>
      <c r="I28" s="1421" t="n"/>
      <c r="J28" s="1421" t="n"/>
      <c r="K28" s="1422" t="n"/>
      <c r="L28" s="1421" t="n"/>
      <c r="M28" s="1421" t="n"/>
      <c r="N28" s="1421" t="n"/>
      <c r="O28" s="1421" t="n"/>
      <c r="P28" s="1422" t="n"/>
      <c r="Q28" s="1421" t="n"/>
      <c r="R28" s="1421" t="n"/>
      <c r="S28" s="1421" t="n"/>
      <c r="T28" s="1421" t="n"/>
      <c r="U28" s="1422" t="n"/>
      <c r="V28" s="1421" t="n"/>
      <c r="W28" s="1421" t="n"/>
      <c r="X28" s="1421" t="n"/>
      <c r="Y28" s="1421" t="n"/>
      <c r="Z28" s="1422" t="n"/>
      <c r="AA28" s="1421" t="n"/>
      <c r="AB28" s="1421" t="n"/>
      <c r="AC28" s="1421" t="n"/>
      <c r="AD28" s="1421" t="n"/>
      <c r="AE28" s="1422" t="n"/>
      <c r="AF28" s="1421" t="n"/>
      <c r="AG28" s="1421" t="n"/>
      <c r="AH28" s="1421" t="n"/>
      <c r="AI28" s="1421" t="n"/>
      <c r="AJ28" s="1422" t="n"/>
      <c r="AK28" s="1421" t="n"/>
      <c r="AL28" s="1421" t="n"/>
      <c r="AM28" s="1421" t="n"/>
      <c r="AN28" s="1421" t="n"/>
      <c r="AO28" s="1422" t="n"/>
      <c r="AP28" s="1421" t="n"/>
      <c r="AQ28" s="1421" t="n"/>
      <c r="AR28" s="1421" t="n"/>
      <c r="AS28" s="1421" t="n"/>
      <c r="AT28" s="1422" t="n"/>
      <c r="AU28" s="1421" t="n"/>
      <c r="AV28" s="1421" t="n"/>
      <c r="AW28" s="1421" t="n"/>
      <c r="AX28" s="1421" t="n"/>
      <c r="AY28" s="1422" t="n"/>
      <c r="AZ28" s="1421" t="n"/>
      <c r="BA28" s="1421" t="n"/>
      <c r="BB28" s="1421" t="n"/>
      <c r="BC28" s="1421" t="n"/>
      <c r="BD28" s="1422" t="n"/>
      <c r="BE28" s="1421" t="n"/>
      <c r="BF28" s="1421" t="n"/>
      <c r="BG28" s="1421" t="n"/>
      <c r="BH28" s="1421" t="n"/>
      <c r="BI28" s="1422" t="n"/>
      <c r="BJ28" s="1421" t="n"/>
      <c r="BK28" s="1421" t="n"/>
      <c r="BL28" s="1421" t="n"/>
      <c r="BM28" s="1421" t="n"/>
      <c r="BN28" s="1422" t="n"/>
      <c r="BO28" s="1421" t="n"/>
      <c r="BP28" s="1421" t="n"/>
      <c r="BQ28" s="1423" t="n"/>
      <c r="BR28" s="1421" t="n"/>
      <c r="BS28" s="1422" t="n"/>
      <c r="BT28" s="1421" t="n"/>
      <c r="BU28" s="1421" t="n"/>
      <c r="BV28" s="1421" t="n"/>
      <c r="BW28" s="1421" t="n"/>
      <c r="BX28" s="1422" t="n"/>
      <c r="BY28" s="1422" t="n"/>
      <c r="BZ28" s="1422" t="n"/>
      <c r="CA28" s="1422" t="n"/>
      <c r="CB28" s="1424" t="n"/>
    </row>
    <row r="29" collapsed="1" ht="14.4" customFormat="1" customHeight="1" s="1416">
      <c r="A29" s="1432" t="inlineStr">
        <is>
          <t>System Interconnect and Analysis revenue mix, %</t>
        </is>
      </c>
      <c r="B29" s="1418" t="n"/>
      <c r="C29" s="1419" t="n">
        <v>0.11</v>
      </c>
      <c r="D29" s="1419" t="n">
        <v>0.09</v>
      </c>
      <c r="E29" s="1419" t="n">
        <v>0.09</v>
      </c>
      <c r="F29" s="1419" t="n">
        <v>0.09</v>
      </c>
      <c r="G29" s="1420" t="n">
        <v>0.1</v>
      </c>
      <c r="H29" s="1420" t="n">
        <v>0.11</v>
      </c>
      <c r="I29" s="1420" t="n">
        <v>0.1</v>
      </c>
      <c r="J29" s="1420" t="n">
        <v>0.1</v>
      </c>
      <c r="K29" s="1419" t="n">
        <v>0.11</v>
      </c>
      <c r="L29" s="1420" t="n">
        <v>0.1</v>
      </c>
      <c r="M29" s="1420" t="n">
        <v>0.11</v>
      </c>
      <c r="N29" s="1420" t="n">
        <v>0.1</v>
      </c>
      <c r="O29" s="1420" t="n">
        <v>0.11</v>
      </c>
      <c r="P29" s="1419" t="n">
        <v>0.11</v>
      </c>
      <c r="Q29" s="1420" t="n">
        <v>0.11</v>
      </c>
      <c r="R29" s="1420" t="n">
        <v>0.11</v>
      </c>
      <c r="S29" s="1420" t="n">
        <v>0.1</v>
      </c>
      <c r="T29" s="1420" t="n">
        <v>0.1</v>
      </c>
      <c r="U29" s="1419" t="n">
        <v>0.11</v>
      </c>
      <c r="V29" s="1420" t="n">
        <v>0.09</v>
      </c>
      <c r="W29" s="1420" t="n">
        <v>0.1</v>
      </c>
      <c r="X29" s="1420" t="n">
        <v>0.1</v>
      </c>
      <c r="Y29" s="1420" t="n">
        <v>0.09</v>
      </c>
      <c r="Z29" s="1419" t="n">
        <v>0.1</v>
      </c>
      <c r="AA29" s="1420" t="n">
        <v>0.1</v>
      </c>
      <c r="AB29" s="1420" t="n">
        <v>0.1</v>
      </c>
      <c r="AC29" s="1420" t="n">
        <v>0.1</v>
      </c>
      <c r="AD29" s="1420" t="n">
        <v>0.1</v>
      </c>
      <c r="AE29" s="1419" t="n">
        <v>0.1</v>
      </c>
      <c r="AF29" s="1420" t="n">
        <v>0.09</v>
      </c>
      <c r="AG29" s="1420" t="n">
        <v>0.09</v>
      </c>
      <c r="AH29" s="1420" t="n">
        <v>0.09</v>
      </c>
      <c r="AI29" s="1420" t="n">
        <v>0.09</v>
      </c>
      <c r="AJ29" s="1419" t="n">
        <v>0.09</v>
      </c>
      <c r="AK29" s="1420" t="n">
        <v>0.09</v>
      </c>
      <c r="AL29" s="1420" t="n">
        <v>0.1</v>
      </c>
      <c r="AM29" s="1420" t="n">
        <v>0.09</v>
      </c>
      <c r="AN29" s="1420" t="n">
        <v>0.09</v>
      </c>
      <c r="AO29" s="1419" t="n">
        <v>0.09</v>
      </c>
      <c r="AP29" s="1420" t="n">
        <v>0.09</v>
      </c>
      <c r="AQ29" s="1420" t="n">
        <v>0.1</v>
      </c>
      <c r="AR29" s="1420" t="n">
        <v>0.11</v>
      </c>
      <c r="AS29" s="1420" t="n">
        <v>0.11</v>
      </c>
      <c r="AT29" s="1419" t="n">
        <v>0.1</v>
      </c>
      <c r="AU29" s="1420" t="n">
        <v>0.1</v>
      </c>
      <c r="AV29" s="1420" t="n">
        <v>0.11</v>
      </c>
      <c r="AW29" s="1420" t="n">
        <v>0.11</v>
      </c>
      <c r="AX29" s="1420" t="n">
        <v>0.12</v>
      </c>
      <c r="AY29" s="1419" t="n">
        <v>0.11</v>
      </c>
      <c r="AZ29" s="1420" t="n">
        <v>0.1</v>
      </c>
      <c r="BA29" s="1420" t="n">
        <v>0.12</v>
      </c>
      <c r="BB29" s="1420" t="n">
        <v>0.12</v>
      </c>
      <c r="BC29" s="1420" t="n">
        <v>0.13</v>
      </c>
      <c r="BD29" s="1419" t="n">
        <v>0.12</v>
      </c>
      <c r="BE29" s="1420" t="n">
        <v>0.12</v>
      </c>
      <c r="BF29" s="1420" t="n">
        <v>0.13</v>
      </c>
      <c r="BG29" s="1420" t="n">
        <v>0.13</v>
      </c>
      <c r="BH29" s="1420" t="n">
        <v>0.12</v>
      </c>
      <c r="BI29" s="1419" t="n">
        <v>0.12</v>
      </c>
      <c r="BJ29" s="1420" t="n">
        <v>0.12</v>
      </c>
      <c r="BK29" s="1420" t="n">
        <v>0.14</v>
      </c>
      <c r="BL29" s="1420" t="n">
        <v>0.16</v>
      </c>
      <c r="BM29" s="1420" t="n">
        <v>0.19</v>
      </c>
      <c r="BN29" s="1419" t="n">
        <v>0.16</v>
      </c>
      <c r="BO29" s="1420" t="n">
        <v>0.15</v>
      </c>
      <c r="BP29" s="1420" t="n">
        <v>0.16</v>
      </c>
      <c r="BQ29" s="1435" t="n">
        <v>0.15</v>
      </c>
      <c r="BR29" s="1421">
        <f>BR16/BR20</f>
        <v/>
      </c>
      <c r="BS29" s="1422">
        <f>BS16/BS20</f>
        <v/>
      </c>
      <c r="BT29" s="1421">
        <f>BT16/BT20</f>
        <v/>
      </c>
      <c r="BU29" s="1421">
        <f>BU16/BU20</f>
        <v/>
      </c>
      <c r="BV29" s="1421">
        <f>BV16/BV20</f>
        <v/>
      </c>
      <c r="BW29" s="1421">
        <f>BW16/BW20</f>
        <v/>
      </c>
      <c r="BX29" s="1422">
        <f>BX16/BX20</f>
        <v/>
      </c>
      <c r="BY29" s="1422">
        <f>BY16/BY20</f>
        <v/>
      </c>
      <c r="BZ29" s="1422">
        <f>BZ16/BZ20</f>
        <v/>
      </c>
      <c r="CA29" s="1422">
        <f>CA16/CA20</f>
        <v/>
      </c>
      <c r="CB29" s="1424" t="n"/>
    </row>
    <row r="30" ht="14.4" customFormat="1" customHeight="1" s="1416">
      <c r="A30" s="1436" t="inlineStr">
        <is>
          <t>IP revenue mix, %</t>
        </is>
      </c>
      <c r="B30" s="1426" t="n"/>
      <c r="C30" s="1427" t="n">
        <v>0.12</v>
      </c>
      <c r="D30" s="1427" t="n">
        <v>0.11</v>
      </c>
      <c r="E30" s="1427" t="n">
        <v>0.1</v>
      </c>
      <c r="F30" s="1427" t="n">
        <v>0.09</v>
      </c>
      <c r="G30" s="1428" t="n">
        <v>0.07000000000000001</v>
      </c>
      <c r="H30" s="1428" t="n">
        <v>0.08</v>
      </c>
      <c r="I30" s="1428" t="n">
        <v>0.1</v>
      </c>
      <c r="J30" s="1428" t="n">
        <v>0.1</v>
      </c>
      <c r="K30" s="1427" t="n">
        <v>0.09</v>
      </c>
      <c r="L30" s="1428" t="n">
        <v>0.1</v>
      </c>
      <c r="M30" s="1428" t="n">
        <v>0.1</v>
      </c>
      <c r="N30" s="1428" t="n">
        <v>0.11</v>
      </c>
      <c r="O30" s="1428" t="n">
        <v>0.12</v>
      </c>
      <c r="P30" s="1427" t="n">
        <v>0.11</v>
      </c>
      <c r="Q30" s="1428" t="n">
        <v>0.11</v>
      </c>
      <c r="R30" s="1428" t="n">
        <v>0.12</v>
      </c>
      <c r="S30" s="1428" t="n">
        <v>0.13</v>
      </c>
      <c r="T30" s="1428" t="n">
        <v>0.12</v>
      </c>
      <c r="U30" s="1427" t="n">
        <v>0.12</v>
      </c>
      <c r="V30" s="1428" t="n">
        <v>0.1</v>
      </c>
      <c r="W30" s="1428" t="n">
        <v>0.1</v>
      </c>
      <c r="X30" s="1428" t="n">
        <v>0.11</v>
      </c>
      <c r="Y30" s="1428" t="n">
        <v>0.11</v>
      </c>
      <c r="Z30" s="1427" t="n">
        <v>0.11</v>
      </c>
      <c r="AA30" s="1428" t="n">
        <v>0.12</v>
      </c>
      <c r="AB30" s="1428" t="n">
        <v>0.11</v>
      </c>
      <c r="AC30" s="1428" t="n">
        <v>0.11</v>
      </c>
      <c r="AD30" s="1428" t="n">
        <v>0.12</v>
      </c>
      <c r="AE30" s="1427" t="n">
        <v>0.12</v>
      </c>
      <c r="AF30" s="1428" t="n">
        <v>0.09</v>
      </c>
      <c r="AG30" s="1428" t="n">
        <v>0.12</v>
      </c>
      <c r="AH30" s="1428" t="n">
        <v>0.13</v>
      </c>
      <c r="AI30" s="1428" t="n">
        <v>0.13</v>
      </c>
      <c r="AJ30" s="1427" t="n">
        <v>0.12</v>
      </c>
      <c r="AK30" s="1428" t="n">
        <v>0.12</v>
      </c>
      <c r="AL30" s="1428" t="n">
        <v>0.11</v>
      </c>
      <c r="AM30" s="1428" t="n">
        <v>0.15</v>
      </c>
      <c r="AN30" s="1428" t="n">
        <v>0.13</v>
      </c>
      <c r="AO30" s="1427" t="n">
        <v>0.13</v>
      </c>
      <c r="AP30" s="1428" t="n">
        <v>0.14</v>
      </c>
      <c r="AQ30" s="1428" t="n">
        <v>0.14</v>
      </c>
      <c r="AR30" s="1428" t="n">
        <v>0.15</v>
      </c>
      <c r="AS30" s="1428" t="n">
        <v>0.13</v>
      </c>
      <c r="AT30" s="1427" t="n">
        <v>0.14</v>
      </c>
      <c r="AU30" s="1428" t="n">
        <v>0.14</v>
      </c>
      <c r="AV30" s="1428" t="n">
        <v>0.13</v>
      </c>
      <c r="AW30" s="1428" t="n">
        <v>0.14</v>
      </c>
      <c r="AX30" s="1428" t="n">
        <v>0.14</v>
      </c>
      <c r="AY30" s="1427" t="n">
        <v>0.13</v>
      </c>
      <c r="AZ30" s="1428" t="n">
        <v>0.13</v>
      </c>
      <c r="BA30" s="1428" t="n">
        <v>0.14</v>
      </c>
      <c r="BB30" s="1428" t="n">
        <v>0.12</v>
      </c>
      <c r="BC30" s="1428" t="n">
        <v>0.12</v>
      </c>
      <c r="BD30" s="1427" t="n">
        <v>0.12</v>
      </c>
      <c r="BE30" s="1428" t="n">
        <v>0.11</v>
      </c>
      <c r="BF30" s="1428" t="n">
        <v>0.11</v>
      </c>
      <c r="BG30" s="1428" t="n">
        <v>0.11</v>
      </c>
      <c r="BH30" s="1428" t="n">
        <v>0.13</v>
      </c>
      <c r="BI30" s="1427" t="n">
        <v>0.12</v>
      </c>
      <c r="BJ30" s="1428" t="n">
        <v>0.12</v>
      </c>
      <c r="BK30" s="1428" t="n">
        <v>0.13</v>
      </c>
      <c r="BL30" s="1428" t="n">
        <v>0.14</v>
      </c>
      <c r="BM30" s="1428" t="n">
        <v>0.13</v>
      </c>
      <c r="BN30" s="1427" t="n">
        <v>0.13</v>
      </c>
      <c r="BO30" s="1428" t="n">
        <v>0.14</v>
      </c>
      <c r="BP30" s="1428" t="n">
        <v>0.13</v>
      </c>
      <c r="BQ30" s="1437" t="n">
        <v>0.14</v>
      </c>
      <c r="BR30" s="1429">
        <f>BR18/BR20</f>
        <v/>
      </c>
      <c r="BS30" s="1430">
        <f>BS18/BS20</f>
        <v/>
      </c>
      <c r="BT30" s="1429">
        <f>BT18/BT20</f>
        <v/>
      </c>
      <c r="BU30" s="1429">
        <f>BU18/BU20</f>
        <v/>
      </c>
      <c r="BV30" s="1429">
        <f>BV18/BV20</f>
        <v/>
      </c>
      <c r="BW30" s="1429">
        <f>BW18/BW20</f>
        <v/>
      </c>
      <c r="BX30" s="1430">
        <f>BX18/BX20</f>
        <v/>
      </c>
      <c r="BY30" s="1430">
        <f>BY18/BY20</f>
        <v/>
      </c>
      <c r="BZ30" s="1430">
        <f>BZ18/BZ20</f>
        <v/>
      </c>
      <c r="CA30" s="1430">
        <f>CA18/CA20</f>
        <v/>
      </c>
      <c r="CB30" s="1424" t="n"/>
    </row>
    <row r="31" ht="14.4" customFormat="1" customHeight="1" s="1438">
      <c r="A31" s="1439" t="inlineStr">
        <is>
          <t>Total revenue mix, %</t>
        </is>
      </c>
      <c r="B31" s="1440" t="n"/>
      <c r="C31" s="1441">
        <f>SUM(C27:C30)</f>
        <v/>
      </c>
      <c r="D31" s="1441">
        <f>SUM(D27:D30)</f>
        <v/>
      </c>
      <c r="E31" s="1441">
        <f>SUM(E27:E30)</f>
        <v/>
      </c>
      <c r="F31" s="1441">
        <f>SUM(F27:F30)</f>
        <v/>
      </c>
      <c r="G31" s="1442">
        <f>SUM(G27:G30)</f>
        <v/>
      </c>
      <c r="H31" s="1442">
        <f>SUM(H27:H30)</f>
        <v/>
      </c>
      <c r="I31" s="1442">
        <f>SUM(I27:I30)</f>
        <v/>
      </c>
      <c r="J31" s="1442">
        <f>SUM(J27:J30)</f>
        <v/>
      </c>
      <c r="K31" s="1441">
        <f>SUM(K27:K30)</f>
        <v/>
      </c>
      <c r="L31" s="1442">
        <f>SUM(L27:L30)</f>
        <v/>
      </c>
      <c r="M31" s="1442">
        <f>SUM(M27:M30)</f>
        <v/>
      </c>
      <c r="N31" s="1442">
        <f>SUM(N27:N30)</f>
        <v/>
      </c>
      <c r="O31" s="1442">
        <f>SUM(O27:O30)</f>
        <v/>
      </c>
      <c r="P31" s="1441">
        <f>SUM(P27:P30)</f>
        <v/>
      </c>
      <c r="Q31" s="1442">
        <f>SUM(Q27:Q30)</f>
        <v/>
      </c>
      <c r="R31" s="1442">
        <f>SUM(R27:R30)</f>
        <v/>
      </c>
      <c r="S31" s="1442">
        <f>SUM(S27:S30)</f>
        <v/>
      </c>
      <c r="T31" s="1442">
        <f>SUM(T27:T30)</f>
        <v/>
      </c>
      <c r="U31" s="1441">
        <f>SUM(U27:U30)</f>
        <v/>
      </c>
      <c r="V31" s="1442">
        <f>SUM(V27:V30)</f>
        <v/>
      </c>
      <c r="W31" s="1442">
        <f>SUM(W27:W30)</f>
        <v/>
      </c>
      <c r="X31" s="1442">
        <f>SUM(X27:X30)</f>
        <v/>
      </c>
      <c r="Y31" s="1442">
        <f>SUM(Y27:Y30)</f>
        <v/>
      </c>
      <c r="Z31" s="1441">
        <f>SUM(Z27:Z30)</f>
        <v/>
      </c>
      <c r="AA31" s="1442">
        <f>SUM(AA27:AA30)</f>
        <v/>
      </c>
      <c r="AB31" s="1442">
        <f>SUM(AB27:AB30)</f>
        <v/>
      </c>
      <c r="AC31" s="1442">
        <f>SUM(AC27:AC30)</f>
        <v/>
      </c>
      <c r="AD31" s="1442">
        <f>SUM(AD27:AD30)</f>
        <v/>
      </c>
      <c r="AE31" s="1441">
        <f>SUM(AE27:AE30)</f>
        <v/>
      </c>
      <c r="AF31" s="1442">
        <f>SUM(AF27:AF30)</f>
        <v/>
      </c>
      <c r="AG31" s="1442">
        <f>SUM(AG27:AG30)</f>
        <v/>
      </c>
      <c r="AH31" s="1442">
        <f>SUM(AH27:AH30)</f>
        <v/>
      </c>
      <c r="AI31" s="1442">
        <f>SUM(AI27:AI30)</f>
        <v/>
      </c>
      <c r="AJ31" s="1441">
        <f>SUM(AJ27:AJ30)</f>
        <v/>
      </c>
      <c r="AK31" s="1442">
        <f>SUM(AK27:AK30)</f>
        <v/>
      </c>
      <c r="AL31" s="1442">
        <f>SUM(AL27:AL30)</f>
        <v/>
      </c>
      <c r="AM31" s="1442">
        <f>SUM(AM27:AM30)</f>
        <v/>
      </c>
      <c r="AN31" s="1442">
        <f>SUM(AN27:AN30)</f>
        <v/>
      </c>
      <c r="AO31" s="1441">
        <f>SUM(AO27:AO30)</f>
        <v/>
      </c>
      <c r="AP31" s="1442">
        <f>SUM(AP27:AP30)</f>
        <v/>
      </c>
      <c r="AQ31" s="1442">
        <f>SUM(AQ27:AQ30)</f>
        <v/>
      </c>
      <c r="AR31" s="1442">
        <f>SUM(AR27:AR30)</f>
        <v/>
      </c>
      <c r="AS31" s="1442">
        <f>SUM(AS27:AS30)</f>
        <v/>
      </c>
      <c r="AT31" s="1441">
        <f>SUM(AT27:AT30)</f>
        <v/>
      </c>
      <c r="AU31" s="1442">
        <f>SUM(AU27:AU30)</f>
        <v/>
      </c>
      <c r="AV31" s="1442">
        <f>SUM(AV27:AV30)</f>
        <v/>
      </c>
      <c r="AW31" s="1442">
        <f>SUM(AW27:AW30)</f>
        <v/>
      </c>
      <c r="AX31" s="1442">
        <f>SUM(AX27:AX30)</f>
        <v/>
      </c>
      <c r="AY31" s="1441">
        <f>SUM(AY27:AY30)</f>
        <v/>
      </c>
      <c r="AZ31" s="1442">
        <f>SUM(AZ27:AZ30)</f>
        <v/>
      </c>
      <c r="BA31" s="1442">
        <f>SUM(BA27:BA30)</f>
        <v/>
      </c>
      <c r="BB31" s="1442">
        <f>SUM(BB27:BB30)</f>
        <v/>
      </c>
      <c r="BC31" s="1442">
        <f>SUM(BC27:BC30)</f>
        <v/>
      </c>
      <c r="BD31" s="1441">
        <f>SUM(BD27:BD30)</f>
        <v/>
      </c>
      <c r="BE31" s="1442">
        <f>SUM(BE27:BE30)</f>
        <v/>
      </c>
      <c r="BF31" s="1442">
        <f>SUM(BF27:BF30)</f>
        <v/>
      </c>
      <c r="BG31" s="1442">
        <f>SUM(BG27:BG30)</f>
        <v/>
      </c>
      <c r="BH31" s="1442">
        <f>SUM(BH27:BH30)</f>
        <v/>
      </c>
      <c r="BI31" s="1441">
        <f>SUM(BI27:BI30)</f>
        <v/>
      </c>
      <c r="BJ31" s="1442">
        <f>SUM(BJ27:BJ30)</f>
        <v/>
      </c>
      <c r="BK31" s="1442">
        <f>SUM(BK27:BK30)</f>
        <v/>
      </c>
      <c r="BL31" s="1442">
        <f>SUM(BL27:BL30)</f>
        <v/>
      </c>
      <c r="BM31" s="1442">
        <f>SUM(BM27:BM30)</f>
        <v/>
      </c>
      <c r="BN31" s="1441">
        <f>SUM(BN27:BN30)</f>
        <v/>
      </c>
      <c r="BO31" s="1442">
        <f>SUM(BO27:BO30)</f>
        <v/>
      </c>
      <c r="BP31" s="1442">
        <f>SUM(BP27:BP30)</f>
        <v/>
      </c>
      <c r="BQ31" s="1443">
        <f>SUM(BQ27:BQ30)</f>
        <v/>
      </c>
      <c r="BR31" s="1444">
        <f>SUM(BR27:BR30)</f>
        <v/>
      </c>
      <c r="BS31" s="1445">
        <f>SUM(BS27:BS30)</f>
        <v/>
      </c>
      <c r="BT31" s="1444">
        <f>SUM(BT27:BT30)</f>
        <v/>
      </c>
      <c r="BU31" s="1444">
        <f>SUM(BU27:BU30)</f>
        <v/>
      </c>
      <c r="BV31" s="1444">
        <f>SUM(BV27:BV30)</f>
        <v/>
      </c>
      <c r="BW31" s="1444">
        <f>SUM(BW27:BW30)</f>
        <v/>
      </c>
      <c r="BX31" s="1445">
        <f>SUM(BX27:BX30)</f>
        <v/>
      </c>
      <c r="BY31" s="1445">
        <f>SUM(BY27:BY30)</f>
        <v/>
      </c>
      <c r="BZ31" s="1445">
        <f>SUM(BZ27:BZ30)</f>
        <v/>
      </c>
      <c r="CA31" s="1445">
        <f>SUM(CA27:CA30)</f>
        <v/>
      </c>
      <c r="CB31" s="1446" t="n"/>
    </row>
    <row r="32" ht="14.4" customFormat="1" customHeight="1" s="1372">
      <c r="A32" s="1447" t="n"/>
      <c r="B32" s="1448" t="n"/>
      <c r="C32" s="1449" t="n"/>
      <c r="D32" s="1449" t="n"/>
      <c r="E32" s="1449" t="n"/>
      <c r="F32" s="1449" t="n"/>
      <c r="G32" s="1450" t="n"/>
      <c r="H32" s="1450" t="n"/>
      <c r="I32" s="1450" t="n"/>
      <c r="J32" s="1450" t="n"/>
      <c r="K32" s="1449" t="n"/>
      <c r="L32" s="1450" t="n"/>
      <c r="M32" s="1450" t="n"/>
      <c r="N32" s="1450" t="n"/>
      <c r="O32" s="1450" t="n"/>
      <c r="P32" s="1449" t="n"/>
      <c r="Q32" s="1450" t="n"/>
      <c r="R32" s="1450" t="n"/>
      <c r="S32" s="1450" t="n"/>
      <c r="T32" s="1450" t="n"/>
      <c r="U32" s="1449" t="n"/>
      <c r="V32" s="1450" t="n"/>
      <c r="W32" s="1450" t="n"/>
      <c r="X32" s="1450" t="n"/>
      <c r="Y32" s="1450" t="n"/>
      <c r="Z32" s="1449" t="n"/>
      <c r="AA32" s="1450" t="n"/>
      <c r="AB32" s="1450" t="n"/>
      <c r="AC32" s="1450" t="n"/>
      <c r="AD32" s="1450" t="n"/>
      <c r="AE32" s="1449" t="n"/>
      <c r="AF32" s="1450" t="n"/>
      <c r="AG32" s="1450" t="n"/>
      <c r="AH32" s="1450" t="n"/>
      <c r="AI32" s="1450" t="n"/>
      <c r="AJ32" s="1449" t="n"/>
      <c r="AK32" s="1450" t="n"/>
      <c r="AL32" s="1450" t="n"/>
      <c r="AM32" s="1450" t="n"/>
      <c r="AN32" s="1450" t="n"/>
      <c r="AO32" s="1449" t="n"/>
      <c r="AP32" s="1450" t="n"/>
      <c r="AQ32" s="1450" t="n"/>
      <c r="AR32" s="1450" t="n"/>
      <c r="AS32" s="1450" t="n"/>
      <c r="AT32" s="1449" t="n"/>
      <c r="AU32" s="1450" t="n"/>
      <c r="AV32" s="1450" t="n"/>
      <c r="AW32" s="1450" t="n"/>
      <c r="AX32" s="1450" t="n"/>
      <c r="AY32" s="1449" t="n"/>
      <c r="AZ32" s="1450" t="n"/>
      <c r="BA32" s="1450" t="n"/>
      <c r="BB32" s="1450" t="n"/>
      <c r="BC32" s="1450" t="n"/>
      <c r="BD32" s="1449" t="n"/>
      <c r="BE32" s="1450" t="n"/>
      <c r="BF32" s="1450" t="n"/>
      <c r="BG32" s="1450" t="n"/>
      <c r="BH32" s="1450" t="n"/>
      <c r="BI32" s="1449" t="n"/>
      <c r="BJ32" s="1450" t="n"/>
      <c r="BK32" s="1450" t="n"/>
      <c r="BL32" s="1450" t="n"/>
      <c r="BM32" s="1450" t="n"/>
      <c r="BN32" s="1449" t="n"/>
      <c r="BO32" s="1450" t="n"/>
      <c r="BP32" s="1450" t="n"/>
      <c r="BQ32" s="1451" t="n"/>
      <c r="BR32" s="1450" t="n"/>
      <c r="BS32" s="1449" t="n"/>
      <c r="BT32" s="1450" t="n"/>
      <c r="BU32" s="1450" t="n"/>
      <c r="BV32" s="1450" t="n"/>
      <c r="BW32" s="1450" t="n"/>
      <c r="BX32" s="1449" t="n"/>
      <c r="BY32" s="1449" t="n"/>
      <c r="BZ32" s="1449" t="n"/>
      <c r="CA32" s="1449" t="n"/>
      <c r="CB32" s="1375" t="n"/>
    </row>
    <row r="33" ht="14.4" customFormat="1" customHeight="1" s="1372">
      <c r="A33" s="1373" t="inlineStr">
        <is>
          <t>Operating Expense Forecasting</t>
        </is>
      </c>
      <c r="B33" s="1373" t="n"/>
      <c r="C33" s="1373" t="n"/>
      <c r="D33" s="1373" t="n"/>
      <c r="E33" s="1373" t="n"/>
      <c r="F33" s="1373" t="n"/>
      <c r="G33" s="1373" t="n"/>
      <c r="H33" s="1373" t="n"/>
      <c r="I33" s="1373" t="n"/>
      <c r="J33" s="1373" t="n"/>
      <c r="K33" s="1373" t="n"/>
      <c r="L33" s="1373" t="n"/>
      <c r="M33" s="1373" t="n"/>
      <c r="N33" s="1373" t="n"/>
      <c r="O33" s="1373" t="n"/>
      <c r="P33" s="1373" t="n"/>
      <c r="Q33" s="1373" t="n"/>
      <c r="R33" s="1373" t="n"/>
      <c r="S33" s="1373" t="n"/>
      <c r="T33" s="1373" t="n"/>
      <c r="U33" s="1373" t="n"/>
      <c r="V33" s="1373" t="n"/>
      <c r="W33" s="1373" t="n"/>
      <c r="X33" s="1373" t="n"/>
      <c r="Y33" s="1373" t="n"/>
      <c r="Z33" s="1373" t="n"/>
      <c r="AA33" s="1373" t="n"/>
      <c r="AB33" s="1373" t="n"/>
      <c r="AC33" s="1373" t="n"/>
      <c r="AD33" s="1373" t="n"/>
      <c r="AE33" s="1373" t="n"/>
      <c r="AF33" s="1373" t="n"/>
      <c r="AG33" s="1373" t="n"/>
      <c r="AH33" s="1373" t="n"/>
      <c r="AI33" s="1373" t="n"/>
      <c r="AJ33" s="1373" t="n"/>
      <c r="AK33" s="1373" t="n"/>
      <c r="AL33" s="1373" t="n"/>
      <c r="AM33" s="1373" t="n"/>
      <c r="AN33" s="1373" t="n"/>
      <c r="AO33" s="1373" t="n"/>
      <c r="AP33" s="1373" t="n"/>
      <c r="AQ33" s="1373" t="n"/>
      <c r="AR33" s="1373" t="n"/>
      <c r="AS33" s="1373" t="n"/>
      <c r="AT33" s="1373" t="n"/>
      <c r="AU33" s="1373" t="n"/>
      <c r="AV33" s="1373" t="n"/>
      <c r="AW33" s="1373" t="n"/>
      <c r="AX33" s="1373" t="n"/>
      <c r="AY33" s="1373" t="n"/>
      <c r="AZ33" s="1373" t="n"/>
      <c r="BA33" s="1373" t="n"/>
      <c r="BB33" s="1373" t="n"/>
      <c r="BC33" s="1373" t="n"/>
      <c r="BD33" s="1373" t="n"/>
      <c r="BE33" s="1373" t="n"/>
      <c r="BF33" s="1373" t="n"/>
      <c r="BG33" s="1373" t="n"/>
      <c r="BH33" s="1373" t="n"/>
      <c r="BI33" s="1373" t="n"/>
      <c r="BJ33" s="1373" t="n"/>
      <c r="BK33" s="1373" t="n"/>
      <c r="BL33" s="1373" t="n"/>
      <c r="BM33" s="1373" t="n"/>
      <c r="BN33" s="1373" t="n"/>
      <c r="BO33" s="1373" t="n"/>
      <c r="BP33" s="1373" t="n"/>
      <c r="BQ33" s="1374" t="n"/>
      <c r="BR33" s="1373" t="n"/>
      <c r="BS33" s="1373" t="n"/>
      <c r="BT33" s="1373" t="n"/>
      <c r="BU33" s="1373" t="n"/>
      <c r="BV33" s="1373" t="n"/>
      <c r="BW33" s="1373" t="n"/>
      <c r="BX33" s="1373" t="n"/>
      <c r="BY33" s="1373" t="n"/>
      <c r="BZ33" s="1373" t="n"/>
      <c r="CA33" s="1373" t="n"/>
      <c r="CB33" s="1375" t="n"/>
    </row>
    <row r="34" hidden="1" outlineLevel="1" ht="14.4" customFormat="1" customHeight="1" s="1372">
      <c r="A34" s="1452" t="inlineStr">
        <is>
          <t>Net revenue, mm</t>
        </is>
      </c>
      <c r="B34" s="1448" t="n"/>
      <c r="C34" s="1449">
        <f>C454</f>
        <v/>
      </c>
      <c r="D34" s="1449">
        <f>D454</f>
        <v/>
      </c>
      <c r="E34" s="1449">
        <f>E454</f>
        <v/>
      </c>
      <c r="F34" s="1449">
        <f>F454</f>
        <v/>
      </c>
      <c r="G34" s="1450">
        <f>G454</f>
        <v/>
      </c>
      <c r="H34" s="1450">
        <f>H454</f>
        <v/>
      </c>
      <c r="I34" s="1450">
        <f>I454</f>
        <v/>
      </c>
      <c r="J34" s="1450">
        <f>J454</f>
        <v/>
      </c>
      <c r="K34" s="1449">
        <f>K454</f>
        <v/>
      </c>
      <c r="L34" s="1450">
        <f>L454</f>
        <v/>
      </c>
      <c r="M34" s="1450">
        <f>M454</f>
        <v/>
      </c>
      <c r="N34" s="1450">
        <f>N454</f>
        <v/>
      </c>
      <c r="O34" s="1450">
        <f>O454</f>
        <v/>
      </c>
      <c r="P34" s="1449">
        <f>P454</f>
        <v/>
      </c>
      <c r="Q34" s="1450">
        <f>Q454</f>
        <v/>
      </c>
      <c r="R34" s="1450">
        <f>R454</f>
        <v/>
      </c>
      <c r="S34" s="1450">
        <f>S454</f>
        <v/>
      </c>
      <c r="T34" s="1450">
        <f>T454</f>
        <v/>
      </c>
      <c r="U34" s="1449">
        <f>U454</f>
        <v/>
      </c>
      <c r="V34" s="1450">
        <f>V454</f>
        <v/>
      </c>
      <c r="W34" s="1450">
        <f>W454</f>
        <v/>
      </c>
      <c r="X34" s="1450">
        <f>X454</f>
        <v/>
      </c>
      <c r="Y34" s="1450">
        <f>Y454</f>
        <v/>
      </c>
      <c r="Z34" s="1449">
        <f>Z454</f>
        <v/>
      </c>
      <c r="AA34" s="1450">
        <f>AA454</f>
        <v/>
      </c>
      <c r="AB34" s="1450">
        <f>AB454</f>
        <v/>
      </c>
      <c r="AC34" s="1450">
        <f>AC454</f>
        <v/>
      </c>
      <c r="AD34" s="1450">
        <f>AD454</f>
        <v/>
      </c>
      <c r="AE34" s="1449">
        <f>AE454</f>
        <v/>
      </c>
      <c r="AF34" s="1450">
        <f>AF454</f>
        <v/>
      </c>
      <c r="AG34" s="1450">
        <f>AG454</f>
        <v/>
      </c>
      <c r="AH34" s="1450">
        <f>AH454</f>
        <v/>
      </c>
      <c r="AI34" s="1450">
        <f>AI454</f>
        <v/>
      </c>
      <c r="AJ34" s="1449">
        <f>AJ454</f>
        <v/>
      </c>
      <c r="AK34" s="1450">
        <f>AK454</f>
        <v/>
      </c>
      <c r="AL34" s="1450">
        <f>AL454</f>
        <v/>
      </c>
      <c r="AM34" s="1450">
        <f>AM454</f>
        <v/>
      </c>
      <c r="AN34" s="1450">
        <f>AN454</f>
        <v/>
      </c>
      <c r="AO34" s="1449">
        <f>AO454</f>
        <v/>
      </c>
      <c r="AP34" s="1450">
        <f>AP454</f>
        <v/>
      </c>
      <c r="AQ34" s="1450">
        <f>AQ454</f>
        <v/>
      </c>
      <c r="AR34" s="1450">
        <f>AR454</f>
        <v/>
      </c>
      <c r="AS34" s="1450">
        <f>AS454</f>
        <v/>
      </c>
      <c r="AT34" s="1449">
        <f>AT454</f>
        <v/>
      </c>
      <c r="AU34" s="1450">
        <f>AU454</f>
        <v/>
      </c>
      <c r="AV34" s="1450">
        <f>AV454</f>
        <v/>
      </c>
      <c r="AW34" s="1450">
        <f>AW454</f>
        <v/>
      </c>
      <c r="AX34" s="1450">
        <f>AX454</f>
        <v/>
      </c>
      <c r="AY34" s="1449">
        <f>AY454</f>
        <v/>
      </c>
      <c r="AZ34" s="1450">
        <f>AZ454</f>
        <v/>
      </c>
      <c r="BA34" s="1450">
        <f>BA454</f>
        <v/>
      </c>
      <c r="BB34" s="1450">
        <f>BB454</f>
        <v/>
      </c>
      <c r="BC34" s="1450">
        <f>BC454</f>
        <v/>
      </c>
      <c r="BD34" s="1449">
        <f>BD454</f>
        <v/>
      </c>
      <c r="BE34" s="1450">
        <f>BE454</f>
        <v/>
      </c>
      <c r="BF34" s="1450">
        <f>BF454</f>
        <v/>
      </c>
      <c r="BG34" s="1450">
        <f>BG454</f>
        <v/>
      </c>
      <c r="BH34" s="1450">
        <f>BH454</f>
        <v/>
      </c>
      <c r="BI34" s="1449">
        <f>BI454</f>
        <v/>
      </c>
      <c r="BJ34" s="1450">
        <f>BJ454</f>
        <v/>
      </c>
      <c r="BK34" s="1450">
        <f>BK454</f>
        <v/>
      </c>
      <c r="BL34" s="1450">
        <f>BL454</f>
        <v/>
      </c>
      <c r="BM34" s="1450">
        <f>BM454</f>
        <v/>
      </c>
      <c r="BN34" s="1449">
        <f>BN454</f>
        <v/>
      </c>
      <c r="BO34" s="1450">
        <f>BO454</f>
        <v/>
      </c>
      <c r="BP34" s="1450">
        <f>BP454</f>
        <v/>
      </c>
      <c r="BQ34" s="1451">
        <f>BQ454</f>
        <v/>
      </c>
      <c r="BR34" s="1450">
        <f>BR20</f>
        <v/>
      </c>
      <c r="BS34" s="1449">
        <f>SUM(BO34,BP34,BQ34,BR34)</f>
        <v/>
      </c>
      <c r="BT34" s="1450">
        <f>BT20</f>
        <v/>
      </c>
      <c r="BU34" s="1450">
        <f>BU20</f>
        <v/>
      </c>
      <c r="BV34" s="1450">
        <f>BV20</f>
        <v/>
      </c>
      <c r="BW34" s="1450">
        <f>BW20</f>
        <v/>
      </c>
      <c r="BX34" s="1449">
        <f>SUM(BT34,BU34,BV34,BW34)</f>
        <v/>
      </c>
      <c r="BY34" s="1449">
        <f>BY20</f>
        <v/>
      </c>
      <c r="BZ34" s="1449">
        <f>BZ20</f>
        <v/>
      </c>
      <c r="CA34" s="1449">
        <f>CA20</f>
        <v/>
      </c>
      <c r="CB34" s="1375" t="n"/>
    </row>
    <row r="35" hidden="1" outlineLevel="1" ht="14.4" customFormat="1" customHeight="1" s="1359">
      <c r="A35" s="1453" t="inlineStr">
        <is>
          <t>Total cost of revenue, mm</t>
        </is>
      </c>
      <c r="B35" s="1454" t="n"/>
      <c r="C35" s="1455">
        <f>C346</f>
        <v/>
      </c>
      <c r="D35" s="1455">
        <f>D346</f>
        <v/>
      </c>
      <c r="E35" s="1455">
        <f>E346</f>
        <v/>
      </c>
      <c r="F35" s="1455">
        <f>F346</f>
        <v/>
      </c>
      <c r="G35" s="1456">
        <f>G346</f>
        <v/>
      </c>
      <c r="H35" s="1456">
        <f>H346</f>
        <v/>
      </c>
      <c r="I35" s="1456">
        <f>I346</f>
        <v/>
      </c>
      <c r="J35" s="1456">
        <f>J346</f>
        <v/>
      </c>
      <c r="K35" s="1455">
        <f>K346</f>
        <v/>
      </c>
      <c r="L35" s="1456">
        <f>L346</f>
        <v/>
      </c>
      <c r="M35" s="1456">
        <f>M346</f>
        <v/>
      </c>
      <c r="N35" s="1456">
        <f>N346</f>
        <v/>
      </c>
      <c r="O35" s="1456">
        <f>O346</f>
        <v/>
      </c>
      <c r="P35" s="1455">
        <f>P346</f>
        <v/>
      </c>
      <c r="Q35" s="1456">
        <f>Q346</f>
        <v/>
      </c>
      <c r="R35" s="1456">
        <f>R346</f>
        <v/>
      </c>
      <c r="S35" s="1456">
        <f>S346</f>
        <v/>
      </c>
      <c r="T35" s="1456">
        <f>T346</f>
        <v/>
      </c>
      <c r="U35" s="1455">
        <f>U346</f>
        <v/>
      </c>
      <c r="V35" s="1456">
        <f>V346</f>
        <v/>
      </c>
      <c r="W35" s="1456">
        <f>W346</f>
        <v/>
      </c>
      <c r="X35" s="1456">
        <f>X346</f>
        <v/>
      </c>
      <c r="Y35" s="1456">
        <f>Y346</f>
        <v/>
      </c>
      <c r="Z35" s="1455">
        <f>Z346</f>
        <v/>
      </c>
      <c r="AA35" s="1456">
        <f>AA346</f>
        <v/>
      </c>
      <c r="AB35" s="1456">
        <f>AB346</f>
        <v/>
      </c>
      <c r="AC35" s="1456">
        <f>AC346</f>
        <v/>
      </c>
      <c r="AD35" s="1456">
        <f>AD346</f>
        <v/>
      </c>
      <c r="AE35" s="1455">
        <f>AE346</f>
        <v/>
      </c>
      <c r="AF35" s="1456">
        <f>AF346</f>
        <v/>
      </c>
      <c r="AG35" s="1456">
        <f>AG346</f>
        <v/>
      </c>
      <c r="AH35" s="1456">
        <f>AH346</f>
        <v/>
      </c>
      <c r="AI35" s="1456">
        <f>AI346</f>
        <v/>
      </c>
      <c r="AJ35" s="1455">
        <f>AJ346</f>
        <v/>
      </c>
      <c r="AK35" s="1456">
        <f>AK346</f>
        <v/>
      </c>
      <c r="AL35" s="1456">
        <f>AL346</f>
        <v/>
      </c>
      <c r="AM35" s="1456">
        <f>AM346</f>
        <v/>
      </c>
      <c r="AN35" s="1456">
        <f>AN346</f>
        <v/>
      </c>
      <c r="AO35" s="1455">
        <f>AO346</f>
        <v/>
      </c>
      <c r="AP35" s="1456">
        <f>AP346</f>
        <v/>
      </c>
      <c r="AQ35" s="1456">
        <f>AQ346</f>
        <v/>
      </c>
      <c r="AR35" s="1456">
        <f>AR346</f>
        <v/>
      </c>
      <c r="AS35" s="1456">
        <f>AS346</f>
        <v/>
      </c>
      <c r="AT35" s="1455">
        <f>AT346</f>
        <v/>
      </c>
      <c r="AU35" s="1456">
        <f>AU346</f>
        <v/>
      </c>
      <c r="AV35" s="1456">
        <f>AV346</f>
        <v/>
      </c>
      <c r="AW35" s="1456">
        <f>AW346</f>
        <v/>
      </c>
      <c r="AX35" s="1456">
        <f>AX346</f>
        <v/>
      </c>
      <c r="AY35" s="1455">
        <f>AY346</f>
        <v/>
      </c>
      <c r="AZ35" s="1456">
        <f>AZ346</f>
        <v/>
      </c>
      <c r="BA35" s="1456">
        <f>BA346</f>
        <v/>
      </c>
      <c r="BB35" s="1456">
        <f>BB346</f>
        <v/>
      </c>
      <c r="BC35" s="1456">
        <f>BC346</f>
        <v/>
      </c>
      <c r="BD35" s="1455">
        <f>BD346</f>
        <v/>
      </c>
      <c r="BE35" s="1456">
        <f>BE346</f>
        <v/>
      </c>
      <c r="BF35" s="1456">
        <f>BF346</f>
        <v/>
      </c>
      <c r="BG35" s="1456">
        <f>BG346</f>
        <v/>
      </c>
      <c r="BH35" s="1456">
        <f>BH346</f>
        <v/>
      </c>
      <c r="BI35" s="1455">
        <f>BI346</f>
        <v/>
      </c>
      <c r="BJ35" s="1456">
        <f>BJ346</f>
        <v/>
      </c>
      <c r="BK35" s="1456">
        <f>BK346</f>
        <v/>
      </c>
      <c r="BL35" s="1456">
        <f>BL346</f>
        <v/>
      </c>
      <c r="BM35" s="1456">
        <f>BM346</f>
        <v/>
      </c>
      <c r="BN35" s="1455">
        <f>BN346</f>
        <v/>
      </c>
      <c r="BO35" s="1456">
        <f>BO346</f>
        <v/>
      </c>
      <c r="BP35" s="1456">
        <f>BP346</f>
        <v/>
      </c>
      <c r="BQ35" s="1457">
        <f>BQ346</f>
        <v/>
      </c>
      <c r="BR35" s="1456">
        <f>BR34-BR36</f>
        <v/>
      </c>
      <c r="BS35" s="1455">
        <f>SUM(BO35,BP35,BQ35,BR35)</f>
        <v/>
      </c>
      <c r="BT35" s="1456">
        <f>BT34-BT36</f>
        <v/>
      </c>
      <c r="BU35" s="1456">
        <f>BU34-BU36</f>
        <v/>
      </c>
      <c r="BV35" s="1456">
        <f>BV34-BV36</f>
        <v/>
      </c>
      <c r="BW35" s="1456">
        <f>BW34-BW36</f>
        <v/>
      </c>
      <c r="BX35" s="1455">
        <f>SUM(BT35,BU35,BV35,BW35)</f>
        <v/>
      </c>
      <c r="BY35" s="1455">
        <f>BY34-BY36</f>
        <v/>
      </c>
      <c r="BZ35" s="1455">
        <f>BZ34-BZ36</f>
        <v/>
      </c>
      <c r="CA35" s="1455">
        <f>CA34-CA36</f>
        <v/>
      </c>
      <c r="CB35" s="1364" t="n"/>
    </row>
    <row r="36" hidden="1" outlineLevel="1" ht="14.4" customFormat="1" customHeight="1" s="1372">
      <c r="A36" s="1452" t="inlineStr">
        <is>
          <t>GAAP Gross Profit, mm</t>
        </is>
      </c>
      <c r="B36" s="1448" t="n"/>
      <c r="C36" s="1449">
        <f>C34-C35</f>
        <v/>
      </c>
      <c r="D36" s="1449">
        <f>D34-D35</f>
        <v/>
      </c>
      <c r="E36" s="1458">
        <f>E34-E35</f>
        <v/>
      </c>
      <c r="F36" s="1458">
        <f>F34-F35</f>
        <v/>
      </c>
      <c r="G36" s="1375">
        <f>G34-G35</f>
        <v/>
      </c>
      <c r="H36" s="1375">
        <f>H34-H35</f>
        <v/>
      </c>
      <c r="I36" s="1375">
        <f>I34-I35</f>
        <v/>
      </c>
      <c r="J36" s="1375">
        <f>J34-J35</f>
        <v/>
      </c>
      <c r="K36" s="1458">
        <f>K34-K35</f>
        <v/>
      </c>
      <c r="L36" s="1375">
        <f>L34-L35</f>
        <v/>
      </c>
      <c r="M36" s="1375">
        <f>M34-M35</f>
        <v/>
      </c>
      <c r="N36" s="1375">
        <f>N34-N35</f>
        <v/>
      </c>
      <c r="O36" s="1375">
        <f>O34-O35</f>
        <v/>
      </c>
      <c r="P36" s="1458">
        <f>P34-P35</f>
        <v/>
      </c>
      <c r="Q36" s="1375">
        <f>Q34-Q35</f>
        <v/>
      </c>
      <c r="R36" s="1375">
        <f>R34-R35</f>
        <v/>
      </c>
      <c r="S36" s="1375">
        <f>S34-S35</f>
        <v/>
      </c>
      <c r="T36" s="1375">
        <f>T34-T35</f>
        <v/>
      </c>
      <c r="U36" s="1458">
        <f>U34-U35</f>
        <v/>
      </c>
      <c r="V36" s="1375">
        <f>V34-V35</f>
        <v/>
      </c>
      <c r="W36" s="1375">
        <f>W34-W35</f>
        <v/>
      </c>
      <c r="X36" s="1375">
        <f>X34-X35</f>
        <v/>
      </c>
      <c r="Y36" s="1450">
        <f>Y34-Y35</f>
        <v/>
      </c>
      <c r="Z36" s="1449">
        <f>Z34-Z35</f>
        <v/>
      </c>
      <c r="AA36" s="1375">
        <f>AA34-AA35</f>
        <v/>
      </c>
      <c r="AB36" s="1375">
        <f>AB34-AB35</f>
        <v/>
      </c>
      <c r="AC36" s="1375">
        <f>AC34-AC35</f>
        <v/>
      </c>
      <c r="AD36" s="1450">
        <f>AD34-AD35</f>
        <v/>
      </c>
      <c r="AE36" s="1449">
        <f>AE34-AE35</f>
        <v/>
      </c>
      <c r="AF36" s="1375">
        <f>AF34-AF35</f>
        <v/>
      </c>
      <c r="AG36" s="1375">
        <f>AG34-AG35</f>
        <v/>
      </c>
      <c r="AH36" s="1375">
        <f>AH34-AH35</f>
        <v/>
      </c>
      <c r="AI36" s="1450">
        <f>AI34-AI35</f>
        <v/>
      </c>
      <c r="AJ36" s="1449">
        <f>AJ34-AJ35</f>
        <v/>
      </c>
      <c r="AK36" s="1375">
        <f>AK34-AK35</f>
        <v/>
      </c>
      <c r="AL36" s="1375">
        <f>AL34-AL35</f>
        <v/>
      </c>
      <c r="AM36" s="1375">
        <f>AM34-AM35</f>
        <v/>
      </c>
      <c r="AN36" s="1450">
        <f>AN34-AN35</f>
        <v/>
      </c>
      <c r="AO36" s="1449">
        <f>AO34-AO35</f>
        <v/>
      </c>
      <c r="AP36" s="1375">
        <f>AP34-AP35</f>
        <v/>
      </c>
      <c r="AQ36" s="1375">
        <f>AQ34-AQ35</f>
        <v/>
      </c>
      <c r="AR36" s="1375">
        <f>AR34-AR35</f>
        <v/>
      </c>
      <c r="AS36" s="1450">
        <f>AS34-AS35</f>
        <v/>
      </c>
      <c r="AT36" s="1449">
        <f>AT34-AT35</f>
        <v/>
      </c>
      <c r="AU36" s="1375">
        <f>AU34-AU35</f>
        <v/>
      </c>
      <c r="AV36" s="1375">
        <f>AV34-AV35</f>
        <v/>
      </c>
      <c r="AW36" s="1375">
        <f>AW34-AW35</f>
        <v/>
      </c>
      <c r="AX36" s="1450">
        <f>AX34-AX35</f>
        <v/>
      </c>
      <c r="AY36" s="1449">
        <f>AY34-AY35</f>
        <v/>
      </c>
      <c r="AZ36" s="1375">
        <f>AZ34-AZ35</f>
        <v/>
      </c>
      <c r="BA36" s="1375">
        <f>BA34-BA35</f>
        <v/>
      </c>
      <c r="BB36" s="1375">
        <f>BB34-BB35</f>
        <v/>
      </c>
      <c r="BC36" s="1450">
        <f>BC34-BC35</f>
        <v/>
      </c>
      <c r="BD36" s="1449">
        <f>BD34-BD35</f>
        <v/>
      </c>
      <c r="BE36" s="1375">
        <f>BE34-BE35</f>
        <v/>
      </c>
      <c r="BF36" s="1375">
        <f>BF34-BF35</f>
        <v/>
      </c>
      <c r="BG36" s="1375">
        <f>BG34-BG35</f>
        <v/>
      </c>
      <c r="BH36" s="1450">
        <f>BH34-BH35</f>
        <v/>
      </c>
      <c r="BI36" s="1449">
        <f>BI34-BI35</f>
        <v/>
      </c>
      <c r="BJ36" s="1375">
        <f>BJ34-BJ35</f>
        <v/>
      </c>
      <c r="BK36" s="1375">
        <f>BK34-BK35</f>
        <v/>
      </c>
      <c r="BL36" s="1375">
        <f>BL34-BL35</f>
        <v/>
      </c>
      <c r="BM36" s="1450">
        <f>BM34-BM35</f>
        <v/>
      </c>
      <c r="BN36" s="1449">
        <f>BN34-BN35</f>
        <v/>
      </c>
      <c r="BO36" s="1375">
        <f>BO34-BO35</f>
        <v/>
      </c>
      <c r="BP36" s="1375">
        <f>BP34-BP35</f>
        <v/>
      </c>
      <c r="BQ36" s="1459">
        <f>BQ34-BQ35</f>
        <v/>
      </c>
      <c r="BR36" s="1450">
        <f>BR45-BR44-BR43-BR41</f>
        <v/>
      </c>
      <c r="BS36" s="1449">
        <f>BS34-BS35</f>
        <v/>
      </c>
      <c r="BT36" s="1450">
        <f>BT45-BT44-BT43-BT41</f>
        <v/>
      </c>
      <c r="BU36" s="1450">
        <f>BU45-BU44-BU43-BU41</f>
        <v/>
      </c>
      <c r="BV36" s="1450">
        <f>BV45-BV44-BV43-BV41</f>
        <v/>
      </c>
      <c r="BW36" s="1450">
        <f>BW45-BW44-BW43-BW41</f>
        <v/>
      </c>
      <c r="BX36" s="1449">
        <f>BX34-BX35</f>
        <v/>
      </c>
      <c r="BY36" s="1449">
        <f>BY45-BY44-BY43-BY41</f>
        <v/>
      </c>
      <c r="BZ36" s="1449">
        <f>BZ45-BZ44-BZ43-BZ41</f>
        <v/>
      </c>
      <c r="CA36" s="1449">
        <f>CA45-CA44-CA43-CA41</f>
        <v/>
      </c>
      <c r="CB36" s="1375" t="n"/>
    </row>
    <row r="37" hidden="1" outlineLevel="1" ht="14.4" customFormat="1" customHeight="1" s="1372">
      <c r="A37" s="1408" t="inlineStr">
        <is>
          <t>Y/Y GAAP Gross Profit growth, %</t>
        </is>
      </c>
      <c r="B37" s="1381" t="n"/>
      <c r="C37" s="1382" t="n"/>
      <c r="D37" s="1382">
        <f>D36/C36-1</f>
        <v/>
      </c>
      <c r="E37" s="1383">
        <f>E36/D36-1</f>
        <v/>
      </c>
      <c r="F37" s="1383">
        <f>F36/E36-1</f>
        <v/>
      </c>
      <c r="G37" s="1384" t="n"/>
      <c r="H37" s="1384" t="n"/>
      <c r="I37" s="1384" t="n"/>
      <c r="J37" s="1384" t="n"/>
      <c r="K37" s="1383">
        <f>K36/F36-1</f>
        <v/>
      </c>
      <c r="L37" s="1385">
        <f>L36/G36-1</f>
        <v/>
      </c>
      <c r="M37" s="1385">
        <f>M36/H36-1</f>
        <v/>
      </c>
      <c r="N37" s="1385">
        <f>N36/I36-1</f>
        <v/>
      </c>
      <c r="O37" s="1385">
        <f>O36/J36-1</f>
        <v/>
      </c>
      <c r="P37" s="1383">
        <f>P36/K36-1</f>
        <v/>
      </c>
      <c r="Q37" s="1385">
        <f>Q36/L36-1</f>
        <v/>
      </c>
      <c r="R37" s="1385">
        <f>R36/M36-1</f>
        <v/>
      </c>
      <c r="S37" s="1385">
        <f>S36/N36-1</f>
        <v/>
      </c>
      <c r="T37" s="1385">
        <f>T36/O36-1</f>
        <v/>
      </c>
      <c r="U37" s="1383">
        <f>U36/P36-1</f>
        <v/>
      </c>
      <c r="V37" s="1385">
        <f>V36/Q36-1</f>
        <v/>
      </c>
      <c r="W37" s="1385">
        <f>W36/R36-1</f>
        <v/>
      </c>
      <c r="X37" s="1385">
        <f>X36/S36-1</f>
        <v/>
      </c>
      <c r="Y37" s="1384">
        <f>Y36/T36-1</f>
        <v/>
      </c>
      <c r="Z37" s="1382">
        <f>Z36/U36-1</f>
        <v/>
      </c>
      <c r="AA37" s="1385">
        <f>AA36/V36-1</f>
        <v/>
      </c>
      <c r="AB37" s="1385">
        <f>AB36/W36-1</f>
        <v/>
      </c>
      <c r="AC37" s="1385">
        <f>AC36/X36-1</f>
        <v/>
      </c>
      <c r="AD37" s="1384">
        <f>AD36/Y36-1</f>
        <v/>
      </c>
      <c r="AE37" s="1382">
        <f>AE36/Z36-1</f>
        <v/>
      </c>
      <c r="AF37" s="1385">
        <f>AF36/AA36-1</f>
        <v/>
      </c>
      <c r="AG37" s="1385">
        <f>AG36/AB36-1</f>
        <v/>
      </c>
      <c r="AH37" s="1385">
        <f>AH36/AC36-1</f>
        <v/>
      </c>
      <c r="AI37" s="1384">
        <f>AI36/AD36-1</f>
        <v/>
      </c>
      <c r="AJ37" s="1382">
        <f>AJ36/AE36-1</f>
        <v/>
      </c>
      <c r="AK37" s="1385">
        <f>AK36/AF36-1</f>
        <v/>
      </c>
      <c r="AL37" s="1385">
        <f>AL36/AG36-1</f>
        <v/>
      </c>
      <c r="AM37" s="1385">
        <f>AM36/AH36-1</f>
        <v/>
      </c>
      <c r="AN37" s="1384">
        <f>AN36/AI36-1</f>
        <v/>
      </c>
      <c r="AO37" s="1382">
        <f>AO36/AJ36-1</f>
        <v/>
      </c>
      <c r="AP37" s="1385">
        <f>AP36/AK36-1</f>
        <v/>
      </c>
      <c r="AQ37" s="1385">
        <f>AQ36/AL36-1</f>
        <v/>
      </c>
      <c r="AR37" s="1385">
        <f>AR36/AM36-1</f>
        <v/>
      </c>
      <c r="AS37" s="1384">
        <f>AS36/AN36-1</f>
        <v/>
      </c>
      <c r="AT37" s="1382">
        <f>AT36/AO36-1</f>
        <v/>
      </c>
      <c r="AU37" s="1385">
        <f>AU36/AP36-1</f>
        <v/>
      </c>
      <c r="AV37" s="1385">
        <f>AV36/AQ36-1</f>
        <v/>
      </c>
      <c r="AW37" s="1385">
        <f>AW36/AR36-1</f>
        <v/>
      </c>
      <c r="AX37" s="1384">
        <f>AX36/AS36-1</f>
        <v/>
      </c>
      <c r="AY37" s="1382">
        <f>AY36/AT36-1</f>
        <v/>
      </c>
      <c r="AZ37" s="1385">
        <f>AZ36/AU36-1</f>
        <v/>
      </c>
      <c r="BA37" s="1385">
        <f>BA36/AV36-1</f>
        <v/>
      </c>
      <c r="BB37" s="1385">
        <f>BB36/AW36-1</f>
        <v/>
      </c>
      <c r="BC37" s="1384">
        <f>BC36/AX36-1</f>
        <v/>
      </c>
      <c r="BD37" s="1382">
        <f>BD36/AY36-1</f>
        <v/>
      </c>
      <c r="BE37" s="1385">
        <f>BE36/AZ36-1</f>
        <v/>
      </c>
      <c r="BF37" s="1385">
        <f>BF36/BA36-1</f>
        <v/>
      </c>
      <c r="BG37" s="1385">
        <f>BG36/BB36-1</f>
        <v/>
      </c>
      <c r="BH37" s="1384">
        <f>BH36/BC36-1</f>
        <v/>
      </c>
      <c r="BI37" s="1382">
        <f>BI36/BD36-1</f>
        <v/>
      </c>
      <c r="BJ37" s="1385">
        <f>BJ36/BE36-1</f>
        <v/>
      </c>
      <c r="BK37" s="1385">
        <f>BK36/BF36-1</f>
        <v/>
      </c>
      <c r="BL37" s="1385">
        <f>BL36/BG36-1</f>
        <v/>
      </c>
      <c r="BM37" s="1384">
        <f>BM36/BH36-1</f>
        <v/>
      </c>
      <c r="BN37" s="1382">
        <f>BN36/BI36-1</f>
        <v/>
      </c>
      <c r="BO37" s="1385">
        <f>BO36/BJ36-1</f>
        <v/>
      </c>
      <c r="BP37" s="1385">
        <f>BP36/BK36-1</f>
        <v/>
      </c>
      <c r="BQ37" s="1397">
        <f>BQ36/BL36-1</f>
        <v/>
      </c>
      <c r="BR37" s="1384">
        <f>BR36/BM36-1</f>
        <v/>
      </c>
      <c r="BS37" s="1382">
        <f>BS36/BN36-1</f>
        <v/>
      </c>
      <c r="BT37" s="1384">
        <f>BT36/BO36-1</f>
        <v/>
      </c>
      <c r="BU37" s="1384">
        <f>BU36/BP36-1</f>
        <v/>
      </c>
      <c r="BV37" s="1384">
        <f>BV36/BQ36-1</f>
        <v/>
      </c>
      <c r="BW37" s="1384">
        <f>BW36/BR36-1</f>
        <v/>
      </c>
      <c r="BX37" s="1382">
        <f>BX36/BS36-1</f>
        <v/>
      </c>
      <c r="BY37" s="1382">
        <f>BY36/BX36-1</f>
        <v/>
      </c>
      <c r="BZ37" s="1382">
        <f>BZ36/BY36-1</f>
        <v/>
      </c>
      <c r="CA37" s="1382">
        <f>CA36/BZ36-1</f>
        <v/>
      </c>
      <c r="CB37" s="1375" t="n"/>
    </row>
    <row r="38" hidden="1" outlineLevel="1" ht="14.4" customFormat="1" customHeight="1" s="1460">
      <c r="A38" s="1461" t="inlineStr">
        <is>
          <t>GAAP Gross Profit margin, %</t>
        </is>
      </c>
      <c r="B38" s="1462" t="n"/>
      <c r="C38" s="1463">
        <f>C36/C34</f>
        <v/>
      </c>
      <c r="D38" s="1463">
        <f>D36/D34</f>
        <v/>
      </c>
      <c r="E38" s="1464">
        <f>E36/E34</f>
        <v/>
      </c>
      <c r="F38" s="1464">
        <f>F36/F34</f>
        <v/>
      </c>
      <c r="G38" s="1465">
        <f>G36/G34</f>
        <v/>
      </c>
      <c r="H38" s="1465">
        <f>H36/H34</f>
        <v/>
      </c>
      <c r="I38" s="1465">
        <f>I36/I34</f>
        <v/>
      </c>
      <c r="J38" s="1465">
        <f>J36/J34</f>
        <v/>
      </c>
      <c r="K38" s="1464">
        <f>K36/K34</f>
        <v/>
      </c>
      <c r="L38" s="1465">
        <f>L36/L34</f>
        <v/>
      </c>
      <c r="M38" s="1465">
        <f>M36/M34</f>
        <v/>
      </c>
      <c r="N38" s="1465">
        <f>N36/N34</f>
        <v/>
      </c>
      <c r="O38" s="1465">
        <f>O36/O34</f>
        <v/>
      </c>
      <c r="P38" s="1464">
        <f>P36/P34</f>
        <v/>
      </c>
      <c r="Q38" s="1465">
        <f>Q36/Q34</f>
        <v/>
      </c>
      <c r="R38" s="1465">
        <f>R36/R34</f>
        <v/>
      </c>
      <c r="S38" s="1465">
        <f>S36/S34</f>
        <v/>
      </c>
      <c r="T38" s="1465">
        <f>T36/T34</f>
        <v/>
      </c>
      <c r="U38" s="1464">
        <f>U36/U34</f>
        <v/>
      </c>
      <c r="V38" s="1465">
        <f>V36/V34</f>
        <v/>
      </c>
      <c r="W38" s="1465">
        <f>W36/W34</f>
        <v/>
      </c>
      <c r="X38" s="1465">
        <f>X36/X34</f>
        <v/>
      </c>
      <c r="Y38" s="1466">
        <f>Y36/Y34</f>
        <v/>
      </c>
      <c r="Z38" s="1463">
        <f>Z36/Z34</f>
        <v/>
      </c>
      <c r="AA38" s="1465">
        <f>AA36/AA34</f>
        <v/>
      </c>
      <c r="AB38" s="1465">
        <f>AB36/AB34</f>
        <v/>
      </c>
      <c r="AC38" s="1465">
        <f>AC36/AC34</f>
        <v/>
      </c>
      <c r="AD38" s="1466">
        <f>AD36/AD34</f>
        <v/>
      </c>
      <c r="AE38" s="1463">
        <f>AE36/AE34</f>
        <v/>
      </c>
      <c r="AF38" s="1465">
        <f>AF36/AF34</f>
        <v/>
      </c>
      <c r="AG38" s="1465">
        <f>AG36/AG34</f>
        <v/>
      </c>
      <c r="AH38" s="1465">
        <f>AH36/AH34</f>
        <v/>
      </c>
      <c r="AI38" s="1466">
        <f>AI36/AI34</f>
        <v/>
      </c>
      <c r="AJ38" s="1463">
        <f>AJ36/AJ34</f>
        <v/>
      </c>
      <c r="AK38" s="1465">
        <f>AK36/AK34</f>
        <v/>
      </c>
      <c r="AL38" s="1465">
        <f>AL36/AL34</f>
        <v/>
      </c>
      <c r="AM38" s="1465">
        <f>AM36/AM34</f>
        <v/>
      </c>
      <c r="AN38" s="1466">
        <f>AN36/AN34</f>
        <v/>
      </c>
      <c r="AO38" s="1463">
        <f>AO36/AO34</f>
        <v/>
      </c>
      <c r="AP38" s="1465">
        <f>AP36/AP34</f>
        <v/>
      </c>
      <c r="AQ38" s="1465">
        <f>AQ36/AQ34</f>
        <v/>
      </c>
      <c r="AR38" s="1465">
        <f>AR36/AR34</f>
        <v/>
      </c>
      <c r="AS38" s="1466">
        <f>AS36/AS34</f>
        <v/>
      </c>
      <c r="AT38" s="1463">
        <f>AT36/AT34</f>
        <v/>
      </c>
      <c r="AU38" s="1465">
        <f>AU36/AU34</f>
        <v/>
      </c>
      <c r="AV38" s="1465">
        <f>AV36/AV34</f>
        <v/>
      </c>
      <c r="AW38" s="1465">
        <f>AW36/AW34</f>
        <v/>
      </c>
      <c r="AX38" s="1466">
        <f>AX36/AX34</f>
        <v/>
      </c>
      <c r="AY38" s="1463">
        <f>AY36/AY34</f>
        <v/>
      </c>
      <c r="AZ38" s="1465">
        <f>AZ36/AZ34</f>
        <v/>
      </c>
      <c r="BA38" s="1465">
        <f>BA36/BA34</f>
        <v/>
      </c>
      <c r="BB38" s="1465">
        <f>BB36/BB34</f>
        <v/>
      </c>
      <c r="BC38" s="1466">
        <f>BC36/BC34</f>
        <v/>
      </c>
      <c r="BD38" s="1463">
        <f>BD36/BD34</f>
        <v/>
      </c>
      <c r="BE38" s="1465">
        <f>BE36/BE34</f>
        <v/>
      </c>
      <c r="BF38" s="1465">
        <f>BF36/BF34</f>
        <v/>
      </c>
      <c r="BG38" s="1465">
        <f>BG36/BG34</f>
        <v/>
      </c>
      <c r="BH38" s="1466">
        <f>BH36/BH34</f>
        <v/>
      </c>
      <c r="BI38" s="1463">
        <f>BI36/BI34</f>
        <v/>
      </c>
      <c r="BJ38" s="1465">
        <f>BJ36/BJ34</f>
        <v/>
      </c>
      <c r="BK38" s="1465">
        <f>BK36/BK34</f>
        <v/>
      </c>
      <c r="BL38" s="1465">
        <f>BL36/BL34</f>
        <v/>
      </c>
      <c r="BM38" s="1466">
        <f>BM36/BM34</f>
        <v/>
      </c>
      <c r="BN38" s="1463">
        <f>BN36/BN34</f>
        <v/>
      </c>
      <c r="BO38" s="1465">
        <f>BO36/BO34</f>
        <v/>
      </c>
      <c r="BP38" s="1465">
        <f>BP36/BP34</f>
        <v/>
      </c>
      <c r="BQ38" s="1467">
        <f>BQ36/BQ34</f>
        <v/>
      </c>
      <c r="BR38" s="1466">
        <f>BR36/BR34</f>
        <v/>
      </c>
      <c r="BS38" s="1463">
        <f>BS36/BS34</f>
        <v/>
      </c>
      <c r="BT38" s="1466">
        <f>BT36/BT34</f>
        <v/>
      </c>
      <c r="BU38" s="1466">
        <f>BU36/BU34</f>
        <v/>
      </c>
      <c r="BV38" s="1466">
        <f>BV36/BV34</f>
        <v/>
      </c>
      <c r="BW38" s="1466">
        <f>BW36/BW34</f>
        <v/>
      </c>
      <c r="BX38" s="1463">
        <f>BX36/BX34</f>
        <v/>
      </c>
      <c r="BY38" s="1463">
        <f>BY36/BY34</f>
        <v/>
      </c>
      <c r="BZ38" s="1463">
        <f>BZ36/BZ34</f>
        <v/>
      </c>
      <c r="CA38" s="1463">
        <f>CA36/CA34</f>
        <v/>
      </c>
      <c r="CB38" s="1465" t="n"/>
    </row>
    <row r="39" hidden="1" outlineLevel="1" ht="14.4" customFormat="1" customHeight="1" s="1460">
      <c r="A39" s="1468" t="inlineStr">
        <is>
          <t>Y/Y GAAP Gross Profit margin improvement, bps</t>
        </is>
      </c>
      <c r="B39" s="1462" t="n"/>
      <c r="C39" s="1469" t="n"/>
      <c r="D39" s="1469">
        <f>(D38-C38)*10000</f>
        <v/>
      </c>
      <c r="E39" s="1470">
        <f>(E38-D38)*10000</f>
        <v/>
      </c>
      <c r="F39" s="1470">
        <f>(F38-E38)*10000</f>
        <v/>
      </c>
      <c r="G39" s="1471" t="n"/>
      <c r="H39" s="1471" t="n"/>
      <c r="I39" s="1471" t="n"/>
      <c r="J39" s="1471" t="n"/>
      <c r="K39" s="1470">
        <f>(K38-F38)*10000</f>
        <v/>
      </c>
      <c r="L39" s="1472">
        <f>(L38-G38)*10000</f>
        <v/>
      </c>
      <c r="M39" s="1472">
        <f>(M38-H38)*10000</f>
        <v/>
      </c>
      <c r="N39" s="1472">
        <f>(N38-I38)*10000</f>
        <v/>
      </c>
      <c r="O39" s="1472">
        <f>(O38-J38)*10000</f>
        <v/>
      </c>
      <c r="P39" s="1470">
        <f>(P38-K38)*10000</f>
        <v/>
      </c>
      <c r="Q39" s="1472">
        <f>(Q38-L38)*10000</f>
        <v/>
      </c>
      <c r="R39" s="1472">
        <f>(R38-M38)*10000</f>
        <v/>
      </c>
      <c r="S39" s="1472">
        <f>(S38-N38)*10000</f>
        <v/>
      </c>
      <c r="T39" s="1472">
        <f>(T38-O38)*10000</f>
        <v/>
      </c>
      <c r="U39" s="1470">
        <f>(U38-P38)*10000</f>
        <v/>
      </c>
      <c r="V39" s="1472">
        <f>(V38-Q38)*10000</f>
        <v/>
      </c>
      <c r="W39" s="1472">
        <f>(W38-R38)*10000</f>
        <v/>
      </c>
      <c r="X39" s="1472">
        <f>(X38-S38)*10000</f>
        <v/>
      </c>
      <c r="Y39" s="1471">
        <f>(Y38-T38)*10000</f>
        <v/>
      </c>
      <c r="Z39" s="1469">
        <f>(Z38-U38)*10000</f>
        <v/>
      </c>
      <c r="AA39" s="1472">
        <f>(AA38-V38)*10000</f>
        <v/>
      </c>
      <c r="AB39" s="1472">
        <f>(AB38-W38)*10000</f>
        <v/>
      </c>
      <c r="AC39" s="1472">
        <f>(AC38-X38)*10000</f>
        <v/>
      </c>
      <c r="AD39" s="1471">
        <f>(AD38-Y38)*10000</f>
        <v/>
      </c>
      <c r="AE39" s="1469">
        <f>(AE38-Z38)*10000</f>
        <v/>
      </c>
      <c r="AF39" s="1472">
        <f>(AF38-AA38)*10000</f>
        <v/>
      </c>
      <c r="AG39" s="1472">
        <f>(AG38-AB38)*10000</f>
        <v/>
      </c>
      <c r="AH39" s="1472">
        <f>(AH38-AC38)*10000</f>
        <v/>
      </c>
      <c r="AI39" s="1471">
        <f>(AI38-AD38)*10000</f>
        <v/>
      </c>
      <c r="AJ39" s="1469">
        <f>(AJ38-AE38)*10000</f>
        <v/>
      </c>
      <c r="AK39" s="1472">
        <f>(AK38-AF38)*10000</f>
        <v/>
      </c>
      <c r="AL39" s="1472">
        <f>(AL38-AG38)*10000</f>
        <v/>
      </c>
      <c r="AM39" s="1472">
        <f>(AM38-AH38)*10000</f>
        <v/>
      </c>
      <c r="AN39" s="1471">
        <f>(AN38-AI38)*10000</f>
        <v/>
      </c>
      <c r="AO39" s="1469">
        <f>(AO38-AJ38)*10000</f>
        <v/>
      </c>
      <c r="AP39" s="1472">
        <f>(AP38-AK38)*10000</f>
        <v/>
      </c>
      <c r="AQ39" s="1472">
        <f>(AQ38-AL38)*10000</f>
        <v/>
      </c>
      <c r="AR39" s="1472">
        <f>(AR38-AM38)*10000</f>
        <v/>
      </c>
      <c r="AS39" s="1471">
        <f>(AS38-AN38)*10000</f>
        <v/>
      </c>
      <c r="AT39" s="1469">
        <f>(AT38-AO38)*10000</f>
        <v/>
      </c>
      <c r="AU39" s="1472">
        <f>(AU38-AP38)*10000</f>
        <v/>
      </c>
      <c r="AV39" s="1472">
        <f>(AV38-AQ38)*10000</f>
        <v/>
      </c>
      <c r="AW39" s="1472">
        <f>(AW38-AR38)*10000</f>
        <v/>
      </c>
      <c r="AX39" s="1471">
        <f>(AX38-AS38)*10000</f>
        <v/>
      </c>
      <c r="AY39" s="1469">
        <f>(AY38-AT38)*10000</f>
        <v/>
      </c>
      <c r="AZ39" s="1472">
        <f>(AZ38-AU38)*10000</f>
        <v/>
      </c>
      <c r="BA39" s="1472">
        <f>(BA38-AV38)*10000</f>
        <v/>
      </c>
      <c r="BB39" s="1472">
        <f>(BB38-AW38)*10000</f>
        <v/>
      </c>
      <c r="BC39" s="1471">
        <f>(BC38-AX38)*10000</f>
        <v/>
      </c>
      <c r="BD39" s="1469">
        <f>(BD38-AY38)*10000</f>
        <v/>
      </c>
      <c r="BE39" s="1472">
        <f>(BE38-AZ38)*10000</f>
        <v/>
      </c>
      <c r="BF39" s="1472">
        <f>(BF38-BA38)*10000</f>
        <v/>
      </c>
      <c r="BG39" s="1472">
        <f>(BG38-BB38)*10000</f>
        <v/>
      </c>
      <c r="BH39" s="1471">
        <f>(BH38-BC38)*10000</f>
        <v/>
      </c>
      <c r="BI39" s="1469">
        <f>(BI38-BD38)*10000</f>
        <v/>
      </c>
      <c r="BJ39" s="1472">
        <f>(BJ38-BE38)*10000</f>
        <v/>
      </c>
      <c r="BK39" s="1472">
        <f>(BK38-BF38)*10000</f>
        <v/>
      </c>
      <c r="BL39" s="1472">
        <f>(BL38-BG38)*10000</f>
        <v/>
      </c>
      <c r="BM39" s="1471">
        <f>(BM38-BH38)*10000</f>
        <v/>
      </c>
      <c r="BN39" s="1469">
        <f>(BN38-BI38)*10000</f>
        <v/>
      </c>
      <c r="BO39" s="1472">
        <f>(BO38-BJ38)*10000</f>
        <v/>
      </c>
      <c r="BP39" s="1472">
        <f>(BP38-BK38)*10000</f>
        <v/>
      </c>
      <c r="BQ39" s="1473">
        <f>(BQ38-BL38)*10000</f>
        <v/>
      </c>
      <c r="BR39" s="1471">
        <f>(BR38-BM38)*10000</f>
        <v/>
      </c>
      <c r="BS39" s="1469">
        <f>(BS38-BN38)*10000</f>
        <v/>
      </c>
      <c r="BT39" s="1471">
        <f>(BT38-BO38)*10000</f>
        <v/>
      </c>
      <c r="BU39" s="1471">
        <f>(BU38-BP38)*10000</f>
        <v/>
      </c>
      <c r="BV39" s="1471">
        <f>(BV38-BQ38)*10000</f>
        <v/>
      </c>
      <c r="BW39" s="1471">
        <f>(BW38-BR38)*10000</f>
        <v/>
      </c>
      <c r="BX39" s="1469">
        <f>(BX38-BS38)*10000</f>
        <v/>
      </c>
      <c r="BY39" s="1469">
        <f>(BY38-BX38)*10000</f>
        <v/>
      </c>
      <c r="BZ39" s="1469">
        <f>(BZ38-BY38)*10000</f>
        <v/>
      </c>
      <c r="CA39" s="1469">
        <f>(CA38-BZ38)*10000</f>
        <v/>
      </c>
      <c r="CB39" s="1465" t="n"/>
    </row>
    <row r="40" hidden="1" outlineLevel="1" ht="7.5" customFormat="1" customHeight="1" s="1359">
      <c r="A40" s="1474" t="n"/>
      <c r="B40" s="1377" t="n"/>
      <c r="C40" s="1379" t="n"/>
      <c r="D40" s="1379" t="n"/>
      <c r="E40" s="1379" t="n"/>
      <c r="F40" s="1379" t="n"/>
      <c r="G40" s="1361" t="n"/>
      <c r="H40" s="1361" t="n"/>
      <c r="I40" s="1361" t="n"/>
      <c r="J40" s="1361" t="n"/>
      <c r="K40" s="1379" t="n"/>
      <c r="L40" s="1361" t="n"/>
      <c r="M40" s="1361" t="n"/>
      <c r="N40" s="1361" t="n"/>
      <c r="O40" s="1361" t="n"/>
      <c r="P40" s="1379" t="n"/>
      <c r="Q40" s="1361" t="n"/>
      <c r="R40" s="1361" t="n"/>
      <c r="S40" s="1361" t="n"/>
      <c r="T40" s="1361" t="n"/>
      <c r="U40" s="1379" t="n"/>
      <c r="V40" s="1361" t="n"/>
      <c r="W40" s="1361" t="n"/>
      <c r="X40" s="1361" t="n"/>
      <c r="Y40" s="1361" t="n"/>
      <c r="Z40" s="1379" t="n"/>
      <c r="AA40" s="1361" t="n"/>
      <c r="AB40" s="1361" t="n"/>
      <c r="AC40" s="1361" t="n"/>
      <c r="AD40" s="1361" t="n"/>
      <c r="AE40" s="1379" t="n"/>
      <c r="AF40" s="1361" t="n"/>
      <c r="AG40" s="1361" t="n"/>
      <c r="AH40" s="1361" t="n"/>
      <c r="AI40" s="1361" t="n"/>
      <c r="AJ40" s="1379" t="n"/>
      <c r="AK40" s="1361" t="n"/>
      <c r="AL40" s="1361" t="n"/>
      <c r="AM40" s="1361" t="n"/>
      <c r="AN40" s="1361" t="n"/>
      <c r="AO40" s="1379" t="n"/>
      <c r="AP40" s="1361" t="n"/>
      <c r="AQ40" s="1361" t="n"/>
      <c r="AR40" s="1361" t="n"/>
      <c r="AS40" s="1361" t="n"/>
      <c r="AT40" s="1379" t="n"/>
      <c r="AU40" s="1361" t="n"/>
      <c r="AV40" s="1361" t="n"/>
      <c r="AW40" s="1361" t="n"/>
      <c r="AX40" s="1361" t="n"/>
      <c r="AY40" s="1379" t="n"/>
      <c r="AZ40" s="1361" t="n"/>
      <c r="BA40" s="1361" t="n"/>
      <c r="BB40" s="1361" t="n"/>
      <c r="BC40" s="1361" t="n"/>
      <c r="BD40" s="1379" t="n"/>
      <c r="BE40" s="1361" t="n"/>
      <c r="BF40" s="1361" t="n"/>
      <c r="BG40" s="1361" t="n"/>
      <c r="BH40" s="1361" t="n"/>
      <c r="BI40" s="1379" t="n"/>
      <c r="BJ40" s="1361" t="n"/>
      <c r="BK40" s="1361" t="n"/>
      <c r="BL40" s="1361" t="n"/>
      <c r="BM40" s="1361" t="n"/>
      <c r="BN40" s="1379" t="n"/>
      <c r="BO40" s="1361" t="n"/>
      <c r="BP40" s="1361" t="n"/>
      <c r="BQ40" s="1363" t="n"/>
      <c r="BR40" s="1361" t="n"/>
      <c r="BS40" s="1379" t="n"/>
      <c r="BT40" s="1361" t="n"/>
      <c r="BU40" s="1361" t="n"/>
      <c r="BV40" s="1361" t="n"/>
      <c r="BW40" s="1361" t="n"/>
      <c r="BX40" s="1379" t="n"/>
      <c r="BY40" s="1379" t="n"/>
      <c r="BZ40" s="1379" t="n"/>
      <c r="CA40" s="1379" t="n"/>
      <c r="CB40" s="1364" t="n"/>
    </row>
    <row r="41" hidden="1" outlineLevel="1" ht="14.4" customFormat="1" customHeight="1" s="1359">
      <c r="A41" s="1474" t="inlineStr">
        <is>
          <t>SBC COGS, mm</t>
        </is>
      </c>
      <c r="B41" s="1377" t="n"/>
      <c r="C41" s="1379" t="n"/>
      <c r="D41" s="1379">
        <f>-D459</f>
        <v/>
      </c>
      <c r="E41" s="1379">
        <f>-E459</f>
        <v/>
      </c>
      <c r="F41" s="1379">
        <f>-F459</f>
        <v/>
      </c>
      <c r="G41" s="1361">
        <f>-G459</f>
        <v/>
      </c>
      <c r="H41" s="1361">
        <f>-H459</f>
        <v/>
      </c>
      <c r="I41" s="1361">
        <f>-I459</f>
        <v/>
      </c>
      <c r="J41" s="1361">
        <f>-J459</f>
        <v/>
      </c>
      <c r="K41" s="1379">
        <f>-K459</f>
        <v/>
      </c>
      <c r="L41" s="1361">
        <f>-L459</f>
        <v/>
      </c>
      <c r="M41" s="1361">
        <f>-M459</f>
        <v/>
      </c>
      <c r="N41" s="1361">
        <f>-N459</f>
        <v/>
      </c>
      <c r="O41" s="1361">
        <f>-O459</f>
        <v/>
      </c>
      <c r="P41" s="1379">
        <f>-P459</f>
        <v/>
      </c>
      <c r="Q41" s="1361">
        <f>-Q459</f>
        <v/>
      </c>
      <c r="R41" s="1361">
        <f>-R459</f>
        <v/>
      </c>
      <c r="S41" s="1361">
        <f>-S459</f>
        <v/>
      </c>
      <c r="T41" s="1361">
        <f>-T459</f>
        <v/>
      </c>
      <c r="U41" s="1379">
        <f>-U459</f>
        <v/>
      </c>
      <c r="V41" s="1361">
        <f>-V459</f>
        <v/>
      </c>
      <c r="W41" s="1361">
        <f>-W459</f>
        <v/>
      </c>
      <c r="X41" s="1361">
        <f>-X459</f>
        <v/>
      </c>
      <c r="Y41" s="1361">
        <f>-Y459</f>
        <v/>
      </c>
      <c r="Z41" s="1379">
        <f>-Z459</f>
        <v/>
      </c>
      <c r="AA41" s="1361">
        <f>-AA459</f>
        <v/>
      </c>
      <c r="AB41" s="1361">
        <f>-AB459</f>
        <v/>
      </c>
      <c r="AC41" s="1361">
        <f>-AC459</f>
        <v/>
      </c>
      <c r="AD41" s="1361">
        <f>-AD459</f>
        <v/>
      </c>
      <c r="AE41" s="1379">
        <f>-AE459</f>
        <v/>
      </c>
      <c r="AF41" s="1361">
        <f>-AF459</f>
        <v/>
      </c>
      <c r="AG41" s="1361">
        <f>-AG459</f>
        <v/>
      </c>
      <c r="AH41" s="1361">
        <f>-AH459</f>
        <v/>
      </c>
      <c r="AI41" s="1361">
        <f>-AI459</f>
        <v/>
      </c>
      <c r="AJ41" s="1379">
        <f>-AJ459</f>
        <v/>
      </c>
      <c r="AK41" s="1361">
        <f>-AK459</f>
        <v/>
      </c>
      <c r="AL41" s="1361">
        <f>-AL459</f>
        <v/>
      </c>
      <c r="AM41" s="1361">
        <f>-AM459</f>
        <v/>
      </c>
      <c r="AN41" s="1361">
        <f>-AN459</f>
        <v/>
      </c>
      <c r="AO41" s="1379">
        <f>-AO459</f>
        <v/>
      </c>
      <c r="AP41" s="1361">
        <f>-AP459</f>
        <v/>
      </c>
      <c r="AQ41" s="1361">
        <f>-AQ459</f>
        <v/>
      </c>
      <c r="AR41" s="1361">
        <f>-AR459</f>
        <v/>
      </c>
      <c r="AS41" s="1361">
        <f>-AS459</f>
        <v/>
      </c>
      <c r="AT41" s="1379">
        <f>-AT459</f>
        <v/>
      </c>
      <c r="AU41" s="1361">
        <f>-AU459</f>
        <v/>
      </c>
      <c r="AV41" s="1361">
        <f>-AV459</f>
        <v/>
      </c>
      <c r="AW41" s="1361">
        <f>-AW459</f>
        <v/>
      </c>
      <c r="AX41" s="1361">
        <f>-AX459</f>
        <v/>
      </c>
      <c r="AY41" s="1379">
        <f>-AY459</f>
        <v/>
      </c>
      <c r="AZ41" s="1361">
        <f>-AZ459</f>
        <v/>
      </c>
      <c r="BA41" s="1361">
        <f>-BA459</f>
        <v/>
      </c>
      <c r="BB41" s="1361">
        <f>-BB459</f>
        <v/>
      </c>
      <c r="BC41" s="1361">
        <f>-BC459</f>
        <v/>
      </c>
      <c r="BD41" s="1379">
        <f>-BD459</f>
        <v/>
      </c>
      <c r="BE41" s="1361">
        <f>-BE459</f>
        <v/>
      </c>
      <c r="BF41" s="1361">
        <f>-BF459</f>
        <v/>
      </c>
      <c r="BG41" s="1361">
        <f>-BG459</f>
        <v/>
      </c>
      <c r="BH41" s="1361">
        <f>-BH459</f>
        <v/>
      </c>
      <c r="BI41" s="1379">
        <f>-BI459</f>
        <v/>
      </c>
      <c r="BJ41" s="1361">
        <f>-BJ459</f>
        <v/>
      </c>
      <c r="BK41" s="1361">
        <f>-BK459</f>
        <v/>
      </c>
      <c r="BL41" s="1361">
        <f>-BL459</f>
        <v/>
      </c>
      <c r="BM41" s="1361">
        <f>-BM459</f>
        <v/>
      </c>
      <c r="BN41" s="1379">
        <f>-BN459</f>
        <v/>
      </c>
      <c r="BO41" s="1361">
        <f>-BO459</f>
        <v/>
      </c>
      <c r="BP41" s="1361">
        <f>-BP459</f>
        <v/>
      </c>
      <c r="BQ41" s="1363">
        <f>-BQ459</f>
        <v/>
      </c>
      <c r="BR41" s="1361">
        <f>BR42*BR34</f>
        <v/>
      </c>
      <c r="BS41" s="1379">
        <f>SUM(BO41,BP41,BQ41,BR41)</f>
        <v/>
      </c>
      <c r="BT41" s="1361">
        <f>BT42*BT34</f>
        <v/>
      </c>
      <c r="BU41" s="1361">
        <f>BU42*BU34</f>
        <v/>
      </c>
      <c r="BV41" s="1361">
        <f>BV42*BV34</f>
        <v/>
      </c>
      <c r="BW41" s="1361">
        <f>BW42*BW34</f>
        <v/>
      </c>
      <c r="BX41" s="1379">
        <f>SUM(BT41,BU41,BV41,BW41)</f>
        <v/>
      </c>
      <c r="BY41" s="1379">
        <f>BY42*BY34</f>
        <v/>
      </c>
      <c r="BZ41" s="1379">
        <f>BZ42*BZ34</f>
        <v/>
      </c>
      <c r="CA41" s="1379">
        <f>CA42*CA34</f>
        <v/>
      </c>
      <c r="CB41" s="1364" t="n"/>
    </row>
    <row r="42" hidden="1" outlineLevel="1" ht="14.4" customFormat="1" customHeight="1" s="1475">
      <c r="A42" s="1476" t="inlineStr">
        <is>
          <t>SBC COGS as a % of revenue, %</t>
        </is>
      </c>
      <c r="B42" s="1477" t="n"/>
      <c r="C42" s="1382" t="n"/>
      <c r="D42" s="1382">
        <f>D41/D34</f>
        <v/>
      </c>
      <c r="E42" s="1382">
        <f>E41/E34</f>
        <v/>
      </c>
      <c r="F42" s="1382">
        <f>F41/F34</f>
        <v/>
      </c>
      <c r="G42" s="1384">
        <f>G41/G34</f>
        <v/>
      </c>
      <c r="H42" s="1384">
        <f>H41/H34</f>
        <v/>
      </c>
      <c r="I42" s="1384">
        <f>I41/I34</f>
        <v/>
      </c>
      <c r="J42" s="1384">
        <f>J41/J34</f>
        <v/>
      </c>
      <c r="K42" s="1382">
        <f>K41/K34</f>
        <v/>
      </c>
      <c r="L42" s="1384">
        <f>L41/L34</f>
        <v/>
      </c>
      <c r="M42" s="1384">
        <f>M41/M34</f>
        <v/>
      </c>
      <c r="N42" s="1384">
        <f>N41/N34</f>
        <v/>
      </c>
      <c r="O42" s="1384">
        <f>O41/O34</f>
        <v/>
      </c>
      <c r="P42" s="1382">
        <f>P41/P34</f>
        <v/>
      </c>
      <c r="Q42" s="1384">
        <f>Q41/Q34</f>
        <v/>
      </c>
      <c r="R42" s="1384">
        <f>R41/R34</f>
        <v/>
      </c>
      <c r="S42" s="1384">
        <f>S41/S34</f>
        <v/>
      </c>
      <c r="T42" s="1384">
        <f>T41/T34</f>
        <v/>
      </c>
      <c r="U42" s="1382">
        <f>U41/U34</f>
        <v/>
      </c>
      <c r="V42" s="1384">
        <f>V41/V34</f>
        <v/>
      </c>
      <c r="W42" s="1384">
        <f>W41/W34</f>
        <v/>
      </c>
      <c r="X42" s="1384">
        <f>X41/X34</f>
        <v/>
      </c>
      <c r="Y42" s="1384">
        <f>Y41/Y34</f>
        <v/>
      </c>
      <c r="Z42" s="1382">
        <f>Z41/Z34</f>
        <v/>
      </c>
      <c r="AA42" s="1384">
        <f>AA41/AA34</f>
        <v/>
      </c>
      <c r="AB42" s="1384">
        <f>AB41/AB34</f>
        <v/>
      </c>
      <c r="AC42" s="1384">
        <f>AC41/AC34</f>
        <v/>
      </c>
      <c r="AD42" s="1384">
        <f>AD41/AD34</f>
        <v/>
      </c>
      <c r="AE42" s="1382">
        <f>AE41/AE34</f>
        <v/>
      </c>
      <c r="AF42" s="1384">
        <f>AF41/AF34</f>
        <v/>
      </c>
      <c r="AG42" s="1384">
        <f>AG41/AG34</f>
        <v/>
      </c>
      <c r="AH42" s="1384">
        <f>AH41/AH34</f>
        <v/>
      </c>
      <c r="AI42" s="1384">
        <f>AI41/AI34</f>
        <v/>
      </c>
      <c r="AJ42" s="1382">
        <f>AJ41/AJ34</f>
        <v/>
      </c>
      <c r="AK42" s="1384">
        <f>AK41/AK34</f>
        <v/>
      </c>
      <c r="AL42" s="1384">
        <f>AL41/AL34</f>
        <v/>
      </c>
      <c r="AM42" s="1384">
        <f>AM41/AM34</f>
        <v/>
      </c>
      <c r="AN42" s="1384">
        <f>AN41/AN34</f>
        <v/>
      </c>
      <c r="AO42" s="1382">
        <f>AO41/AO34</f>
        <v/>
      </c>
      <c r="AP42" s="1384">
        <f>AP41/AP34</f>
        <v/>
      </c>
      <c r="AQ42" s="1384">
        <f>AQ41/AQ34</f>
        <v/>
      </c>
      <c r="AR42" s="1384">
        <f>AR41/AR34</f>
        <v/>
      </c>
      <c r="AS42" s="1384">
        <f>AS41/AS34</f>
        <v/>
      </c>
      <c r="AT42" s="1382">
        <f>AT41/AT34</f>
        <v/>
      </c>
      <c r="AU42" s="1384">
        <f>AU41/AU34</f>
        <v/>
      </c>
      <c r="AV42" s="1384">
        <f>AV41/AV34</f>
        <v/>
      </c>
      <c r="AW42" s="1384">
        <f>AW41/AW34</f>
        <v/>
      </c>
      <c r="AX42" s="1384">
        <f>AX41/AX34</f>
        <v/>
      </c>
      <c r="AY42" s="1382">
        <f>AY41/AY34</f>
        <v/>
      </c>
      <c r="AZ42" s="1384">
        <f>AZ41/AZ34</f>
        <v/>
      </c>
      <c r="BA42" s="1384">
        <f>BA41/BA34</f>
        <v/>
      </c>
      <c r="BB42" s="1384">
        <f>BB41/BB34</f>
        <v/>
      </c>
      <c r="BC42" s="1384">
        <f>BC41/BC34</f>
        <v/>
      </c>
      <c r="BD42" s="1382">
        <f>BD41/BD34</f>
        <v/>
      </c>
      <c r="BE42" s="1384">
        <f>BE41/BE34</f>
        <v/>
      </c>
      <c r="BF42" s="1384">
        <f>BF41/BF34</f>
        <v/>
      </c>
      <c r="BG42" s="1384">
        <f>BG41/BG34</f>
        <v/>
      </c>
      <c r="BH42" s="1384">
        <f>BH41/BH34</f>
        <v/>
      </c>
      <c r="BI42" s="1382">
        <f>BI41/BI34</f>
        <v/>
      </c>
      <c r="BJ42" s="1384">
        <f>BJ41/BJ34</f>
        <v/>
      </c>
      <c r="BK42" s="1384">
        <f>BK41/BK34</f>
        <v/>
      </c>
      <c r="BL42" s="1384">
        <f>BL41/BL34</f>
        <v/>
      </c>
      <c r="BM42" s="1384">
        <f>BM41/BM34</f>
        <v/>
      </c>
      <c r="BN42" s="1382">
        <f>BN41/BN34</f>
        <v/>
      </c>
      <c r="BO42" s="1384">
        <f>BO41/BO34</f>
        <v/>
      </c>
      <c r="BP42" s="1384">
        <f>BP41/BP34</f>
        <v/>
      </c>
      <c r="BQ42" s="1386">
        <f>BQ41/BQ34</f>
        <v/>
      </c>
      <c r="BR42" s="1398" t="n">
        <v>0.003</v>
      </c>
      <c r="BS42" s="1382">
        <f>BS41/BS34</f>
        <v/>
      </c>
      <c r="BT42" s="1398" t="n">
        <v>0.005</v>
      </c>
      <c r="BU42" s="1398" t="n">
        <v>0.005</v>
      </c>
      <c r="BV42" s="1398" t="n">
        <v>0.005</v>
      </c>
      <c r="BW42" s="1398" t="n">
        <v>0.005</v>
      </c>
      <c r="BX42" s="1382">
        <f>BX41/BX34</f>
        <v/>
      </c>
      <c r="BY42" s="1399" t="n">
        <v>0.005</v>
      </c>
      <c r="BZ42" s="1399" t="n">
        <v>0.005</v>
      </c>
      <c r="CA42" s="1399" t="n">
        <v>0.005</v>
      </c>
      <c r="CB42" s="1385" t="n"/>
    </row>
    <row r="43" hidden="1" outlineLevel="1" ht="14.4" customFormat="1" customHeight="1" s="1359">
      <c r="A43" s="1394" t="inlineStr">
        <is>
          <t>Intangible amortization COGS, mm</t>
        </is>
      </c>
      <c r="B43" s="1377" t="n"/>
      <c r="C43" s="1379" t="n"/>
      <c r="D43" s="1379">
        <f>-D460</f>
        <v/>
      </c>
      <c r="E43" s="1379">
        <f>-E460</f>
        <v/>
      </c>
      <c r="F43" s="1379">
        <f>-F460</f>
        <v/>
      </c>
      <c r="G43" s="1364">
        <f>-G460</f>
        <v/>
      </c>
      <c r="H43" s="1364">
        <f>-H460</f>
        <v/>
      </c>
      <c r="I43" s="1364">
        <f>-I460</f>
        <v/>
      </c>
      <c r="J43" s="1364">
        <f>-J460</f>
        <v/>
      </c>
      <c r="K43" s="1378">
        <f>-K460</f>
        <v/>
      </c>
      <c r="L43" s="1364">
        <f>-L460</f>
        <v/>
      </c>
      <c r="M43" s="1364">
        <f>-M460</f>
        <v/>
      </c>
      <c r="N43" s="1364">
        <f>-N460</f>
        <v/>
      </c>
      <c r="O43" s="1364">
        <f>-O460</f>
        <v/>
      </c>
      <c r="P43" s="1378">
        <f>-P460</f>
        <v/>
      </c>
      <c r="Q43" s="1364">
        <f>-Q460</f>
        <v/>
      </c>
      <c r="R43" s="1364">
        <f>-R460</f>
        <v/>
      </c>
      <c r="S43" s="1364">
        <f>-S460</f>
        <v/>
      </c>
      <c r="T43" s="1364">
        <f>-T460</f>
        <v/>
      </c>
      <c r="U43" s="1378">
        <f>-U460</f>
        <v/>
      </c>
      <c r="V43" s="1364">
        <f>-V460</f>
        <v/>
      </c>
      <c r="W43" s="1364">
        <f>-W460</f>
        <v/>
      </c>
      <c r="X43" s="1364">
        <f>-X460</f>
        <v/>
      </c>
      <c r="Y43" s="1361">
        <f>-Y460</f>
        <v/>
      </c>
      <c r="Z43" s="1379">
        <f>-Z460</f>
        <v/>
      </c>
      <c r="AA43" s="1364">
        <f>-AA460</f>
        <v/>
      </c>
      <c r="AB43" s="1364">
        <f>-AB460</f>
        <v/>
      </c>
      <c r="AC43" s="1364">
        <f>-AC460</f>
        <v/>
      </c>
      <c r="AD43" s="1361">
        <f>-AD460</f>
        <v/>
      </c>
      <c r="AE43" s="1379">
        <f>-AE460</f>
        <v/>
      </c>
      <c r="AF43" s="1364">
        <f>-AF460</f>
        <v/>
      </c>
      <c r="AG43" s="1364">
        <f>-AG460</f>
        <v/>
      </c>
      <c r="AH43" s="1364">
        <f>-AH460</f>
        <v/>
      </c>
      <c r="AI43" s="1361">
        <f>-AI460</f>
        <v/>
      </c>
      <c r="AJ43" s="1379">
        <f>-AJ460</f>
        <v/>
      </c>
      <c r="AK43" s="1364">
        <f>-AK460</f>
        <v/>
      </c>
      <c r="AL43" s="1364">
        <f>-AL460</f>
        <v/>
      </c>
      <c r="AM43" s="1364">
        <f>-AM460</f>
        <v/>
      </c>
      <c r="AN43" s="1361">
        <f>-AN460</f>
        <v/>
      </c>
      <c r="AO43" s="1379">
        <f>-AO460</f>
        <v/>
      </c>
      <c r="AP43" s="1364">
        <f>-AP460</f>
        <v/>
      </c>
      <c r="AQ43" s="1364">
        <f>-AQ460</f>
        <v/>
      </c>
      <c r="AR43" s="1364">
        <f>-AR460</f>
        <v/>
      </c>
      <c r="AS43" s="1361">
        <f>-AS460</f>
        <v/>
      </c>
      <c r="AT43" s="1379">
        <f>-AT460</f>
        <v/>
      </c>
      <c r="AU43" s="1364">
        <f>-AU460</f>
        <v/>
      </c>
      <c r="AV43" s="1364">
        <f>-AV460</f>
        <v/>
      </c>
      <c r="AW43" s="1364">
        <f>-AW460</f>
        <v/>
      </c>
      <c r="AX43" s="1361">
        <f>-AX460</f>
        <v/>
      </c>
      <c r="AY43" s="1379">
        <f>-AY460</f>
        <v/>
      </c>
      <c r="AZ43" s="1364">
        <f>-AZ460</f>
        <v/>
      </c>
      <c r="BA43" s="1364">
        <f>-BA460</f>
        <v/>
      </c>
      <c r="BB43" s="1364">
        <f>-BB460</f>
        <v/>
      </c>
      <c r="BC43" s="1361">
        <f>-BC460</f>
        <v/>
      </c>
      <c r="BD43" s="1379">
        <f>-BD460</f>
        <v/>
      </c>
      <c r="BE43" s="1364">
        <f>-BE460</f>
        <v/>
      </c>
      <c r="BF43" s="1364">
        <f>-BF460</f>
        <v/>
      </c>
      <c r="BG43" s="1364">
        <f>-BG460</f>
        <v/>
      </c>
      <c r="BH43" s="1361">
        <f>-BH460</f>
        <v/>
      </c>
      <c r="BI43" s="1379">
        <f>-BI460</f>
        <v/>
      </c>
      <c r="BJ43" s="1364">
        <f>-BJ460</f>
        <v/>
      </c>
      <c r="BK43" s="1364">
        <f>-BK460</f>
        <v/>
      </c>
      <c r="BL43" s="1364">
        <f>-BL460</f>
        <v/>
      </c>
      <c r="BM43" s="1361">
        <f>-BM460</f>
        <v/>
      </c>
      <c r="BN43" s="1379">
        <f>-BN460</f>
        <v/>
      </c>
      <c r="BO43" s="1364">
        <f>-BO460</f>
        <v/>
      </c>
      <c r="BP43" s="1364">
        <f>-BP460</f>
        <v/>
      </c>
      <c r="BQ43" s="1395">
        <f>-BQ460</f>
        <v/>
      </c>
      <c r="BR43" s="1361">
        <f>BR166</f>
        <v/>
      </c>
      <c r="BS43" s="1379">
        <f>SUM(BO43,BP43,BQ43,BR43)</f>
        <v/>
      </c>
      <c r="BT43" s="1361">
        <f>BT166</f>
        <v/>
      </c>
      <c r="BU43" s="1361">
        <f>BU166</f>
        <v/>
      </c>
      <c r="BV43" s="1361">
        <f>BV166</f>
        <v/>
      </c>
      <c r="BW43" s="1361">
        <f>BW166</f>
        <v/>
      </c>
      <c r="BX43" s="1379">
        <f>SUM(BT43,BU43,BV43,BW43)</f>
        <v/>
      </c>
      <c r="BY43" s="1379">
        <f>BY166</f>
        <v/>
      </c>
      <c r="BZ43" s="1379">
        <f>BZ166</f>
        <v/>
      </c>
      <c r="CA43" s="1379">
        <f>CA166</f>
        <v/>
      </c>
      <c r="CB43" s="1364" t="n"/>
    </row>
    <row r="44" hidden="1" outlineLevel="1" ht="14.4" customFormat="1" customHeight="1" s="1359">
      <c r="A44" s="1478" t="inlineStr">
        <is>
          <t>Other COGS Adjustments, mm</t>
        </is>
      </c>
      <c r="B44" s="1454" t="n"/>
      <c r="C44" s="1455" t="n"/>
      <c r="D44" s="1455">
        <f>-D461</f>
        <v/>
      </c>
      <c r="E44" s="1455">
        <f>-E461</f>
        <v/>
      </c>
      <c r="F44" s="1455">
        <f>-F461</f>
        <v/>
      </c>
      <c r="G44" s="1456">
        <f>-G461</f>
        <v/>
      </c>
      <c r="H44" s="1456">
        <f>-H461</f>
        <v/>
      </c>
      <c r="I44" s="1456">
        <f>-I461</f>
        <v/>
      </c>
      <c r="J44" s="1456">
        <f>-J461</f>
        <v/>
      </c>
      <c r="K44" s="1455">
        <f>-K461</f>
        <v/>
      </c>
      <c r="L44" s="1456">
        <f>-L461</f>
        <v/>
      </c>
      <c r="M44" s="1456">
        <f>-M461</f>
        <v/>
      </c>
      <c r="N44" s="1456">
        <f>-N461</f>
        <v/>
      </c>
      <c r="O44" s="1456">
        <f>-O461</f>
        <v/>
      </c>
      <c r="P44" s="1455">
        <f>-P461</f>
        <v/>
      </c>
      <c r="Q44" s="1456">
        <f>-Q461</f>
        <v/>
      </c>
      <c r="R44" s="1456">
        <f>-R461</f>
        <v/>
      </c>
      <c r="S44" s="1456">
        <f>-S461</f>
        <v/>
      </c>
      <c r="T44" s="1456">
        <f>-T461</f>
        <v/>
      </c>
      <c r="U44" s="1455">
        <f>-U461</f>
        <v/>
      </c>
      <c r="V44" s="1456">
        <f>-V461</f>
        <v/>
      </c>
      <c r="W44" s="1456">
        <f>-W461</f>
        <v/>
      </c>
      <c r="X44" s="1456">
        <f>-X461</f>
        <v/>
      </c>
      <c r="Y44" s="1456">
        <f>-Y461</f>
        <v/>
      </c>
      <c r="Z44" s="1455">
        <f>-Z461</f>
        <v/>
      </c>
      <c r="AA44" s="1456">
        <f>-AA461</f>
        <v/>
      </c>
      <c r="AB44" s="1456">
        <f>-AB461</f>
        <v/>
      </c>
      <c r="AC44" s="1456">
        <f>-AC461</f>
        <v/>
      </c>
      <c r="AD44" s="1456">
        <f>-AD461</f>
        <v/>
      </c>
      <c r="AE44" s="1455">
        <f>-AE461</f>
        <v/>
      </c>
      <c r="AF44" s="1456">
        <f>-AF461</f>
        <v/>
      </c>
      <c r="AG44" s="1456">
        <f>-AG461</f>
        <v/>
      </c>
      <c r="AH44" s="1456">
        <f>-AH461</f>
        <v/>
      </c>
      <c r="AI44" s="1456">
        <f>-AI461</f>
        <v/>
      </c>
      <c r="AJ44" s="1455">
        <f>-AJ461</f>
        <v/>
      </c>
      <c r="AK44" s="1456">
        <f>-AK461</f>
        <v/>
      </c>
      <c r="AL44" s="1456">
        <f>-AL461</f>
        <v/>
      </c>
      <c r="AM44" s="1456">
        <f>-AM461</f>
        <v/>
      </c>
      <c r="AN44" s="1456">
        <f>-AN461</f>
        <v/>
      </c>
      <c r="AO44" s="1455">
        <f>-AO461</f>
        <v/>
      </c>
      <c r="AP44" s="1456">
        <f>-AP461</f>
        <v/>
      </c>
      <c r="AQ44" s="1456">
        <f>-AQ461</f>
        <v/>
      </c>
      <c r="AR44" s="1456">
        <f>-AR461</f>
        <v/>
      </c>
      <c r="AS44" s="1456">
        <f>-AS461</f>
        <v/>
      </c>
      <c r="AT44" s="1455">
        <f>-AT461</f>
        <v/>
      </c>
      <c r="AU44" s="1456">
        <f>-AU461</f>
        <v/>
      </c>
      <c r="AV44" s="1456">
        <f>-AV461</f>
        <v/>
      </c>
      <c r="AW44" s="1456">
        <f>-AW461</f>
        <v/>
      </c>
      <c r="AX44" s="1456">
        <f>-AX461</f>
        <v/>
      </c>
      <c r="AY44" s="1455">
        <f>-AY461</f>
        <v/>
      </c>
      <c r="AZ44" s="1456">
        <f>-AZ461</f>
        <v/>
      </c>
      <c r="BA44" s="1456">
        <f>-BA461</f>
        <v/>
      </c>
      <c r="BB44" s="1456">
        <f>-BB461</f>
        <v/>
      </c>
      <c r="BC44" s="1456">
        <f>-BC461</f>
        <v/>
      </c>
      <c r="BD44" s="1455">
        <f>-BD461</f>
        <v/>
      </c>
      <c r="BE44" s="1456">
        <f>-BE461</f>
        <v/>
      </c>
      <c r="BF44" s="1456">
        <f>-BF461</f>
        <v/>
      </c>
      <c r="BG44" s="1456">
        <f>-BG461</f>
        <v/>
      </c>
      <c r="BH44" s="1456">
        <f>-BH461</f>
        <v/>
      </c>
      <c r="BI44" s="1455">
        <f>-BI461</f>
        <v/>
      </c>
      <c r="BJ44" s="1456">
        <f>-BJ461</f>
        <v/>
      </c>
      <c r="BK44" s="1456">
        <f>-BK461</f>
        <v/>
      </c>
      <c r="BL44" s="1456">
        <f>-BL461</f>
        <v/>
      </c>
      <c r="BM44" s="1456">
        <f>-BM461</f>
        <v/>
      </c>
      <c r="BN44" s="1455">
        <f>-BN461</f>
        <v/>
      </c>
      <c r="BO44" s="1456">
        <f>-BO461</f>
        <v/>
      </c>
      <c r="BP44" s="1456">
        <f>-BP461</f>
        <v/>
      </c>
      <c r="BQ44" s="1457">
        <f>-BQ461</f>
        <v/>
      </c>
      <c r="BR44" s="1479" t="n">
        <v>1.7</v>
      </c>
      <c r="BS44" s="1455">
        <f>SUM(BO44,BP44,BQ44,BR44)</f>
        <v/>
      </c>
      <c r="BT44" s="1479" t="n">
        <v>1.7</v>
      </c>
      <c r="BU44" s="1479" t="n">
        <v>1.7</v>
      </c>
      <c r="BV44" s="1479" t="n">
        <v>1.7</v>
      </c>
      <c r="BW44" s="1479" t="n">
        <v>1.7</v>
      </c>
      <c r="BX44" s="1455">
        <f>SUM(BT44,BU44,BV44,BW44)</f>
        <v/>
      </c>
      <c r="BY44" s="1480" t="n">
        <v>6.8</v>
      </c>
      <c r="BZ44" s="1480" t="n">
        <v>6.8</v>
      </c>
      <c r="CA44" s="1480" t="n">
        <v>6.8</v>
      </c>
      <c r="CB44" s="1364" t="n"/>
    </row>
    <row r="45" collapsed="1" ht="14.4" customFormat="1" customHeight="1" s="1372">
      <c r="A45" s="1452" t="inlineStr">
        <is>
          <t>Non-GAAP Gross Profit, mm</t>
        </is>
      </c>
      <c r="B45" s="1448" t="n"/>
      <c r="C45" s="1449" t="n"/>
      <c r="D45" s="1449">
        <f>D36+D41+D43+D44</f>
        <v/>
      </c>
      <c r="E45" s="1458">
        <f>E36+E41+E43+E44</f>
        <v/>
      </c>
      <c r="F45" s="1458">
        <f>F36+F41+F43+F44</f>
        <v/>
      </c>
      <c r="G45" s="1375">
        <f>G36+G41+G43+G44</f>
        <v/>
      </c>
      <c r="H45" s="1375">
        <f>H36+H41+H43+H44</f>
        <v/>
      </c>
      <c r="I45" s="1375">
        <f>I36+I41+I43+I44</f>
        <v/>
      </c>
      <c r="J45" s="1375">
        <f>J36+J41+J43+J44</f>
        <v/>
      </c>
      <c r="K45" s="1458">
        <f>K36+K41+K43+K44</f>
        <v/>
      </c>
      <c r="L45" s="1375">
        <f>L36+L41+L43+L44</f>
        <v/>
      </c>
      <c r="M45" s="1375">
        <f>M36+M41+M43+M44</f>
        <v/>
      </c>
      <c r="N45" s="1375">
        <f>N36+N41+N43+N44</f>
        <v/>
      </c>
      <c r="O45" s="1375">
        <f>O36+O41+O43+O44</f>
        <v/>
      </c>
      <c r="P45" s="1458">
        <f>P36+P41+P43+P44</f>
        <v/>
      </c>
      <c r="Q45" s="1375">
        <f>Q36+Q41+Q43+Q44</f>
        <v/>
      </c>
      <c r="R45" s="1375">
        <f>R36+R41+R43+R44</f>
        <v/>
      </c>
      <c r="S45" s="1375">
        <f>S36+S41+S43+S44</f>
        <v/>
      </c>
      <c r="T45" s="1375">
        <f>T36+T41+T43+T44</f>
        <v/>
      </c>
      <c r="U45" s="1458">
        <f>U36+U41+U43+U44</f>
        <v/>
      </c>
      <c r="V45" s="1375">
        <f>V36+V41+V43+V44</f>
        <v/>
      </c>
      <c r="W45" s="1375">
        <f>W36+W41+W43+W44</f>
        <v/>
      </c>
      <c r="X45" s="1375">
        <f>X36+X41+X43+X44</f>
        <v/>
      </c>
      <c r="Y45" s="1450">
        <f>Y36+Y41+Y43+Y44</f>
        <v/>
      </c>
      <c r="Z45" s="1449">
        <f>Z36+Z41+Z43+Z44</f>
        <v/>
      </c>
      <c r="AA45" s="1375">
        <f>AA36+AA41+AA43+AA44</f>
        <v/>
      </c>
      <c r="AB45" s="1375">
        <f>AB36+AB41+AB43+AB44</f>
        <v/>
      </c>
      <c r="AC45" s="1375">
        <f>AC36+AC41+AC43+AC44</f>
        <v/>
      </c>
      <c r="AD45" s="1450">
        <f>AD36+AD41+AD43+AD44</f>
        <v/>
      </c>
      <c r="AE45" s="1449">
        <f>AE36+AE41+AE43+AE44</f>
        <v/>
      </c>
      <c r="AF45" s="1375">
        <f>AF36+AF41+AF43+AF44</f>
        <v/>
      </c>
      <c r="AG45" s="1375">
        <f>AG36+AG41+AG43+AG44</f>
        <v/>
      </c>
      <c r="AH45" s="1375">
        <f>AH36+AH41+AH43+AH44</f>
        <v/>
      </c>
      <c r="AI45" s="1450">
        <f>AI36+AI41+AI43+AI44</f>
        <v/>
      </c>
      <c r="AJ45" s="1449">
        <f>AJ36+AJ41+AJ43+AJ44</f>
        <v/>
      </c>
      <c r="AK45" s="1375">
        <f>AK36+AK41+AK43+AK44</f>
        <v/>
      </c>
      <c r="AL45" s="1375">
        <f>AL36+AL41+AL43+AL44</f>
        <v/>
      </c>
      <c r="AM45" s="1375">
        <f>AM36+AM41+AM43+AM44</f>
        <v/>
      </c>
      <c r="AN45" s="1450">
        <f>AN36+AN41+AN43+AN44</f>
        <v/>
      </c>
      <c r="AO45" s="1449">
        <f>AO36+AO41+AO43+AO44</f>
        <v/>
      </c>
      <c r="AP45" s="1375">
        <f>AP36+AP41+AP43+AP44</f>
        <v/>
      </c>
      <c r="AQ45" s="1375">
        <f>AQ36+AQ41+AQ43+AQ44</f>
        <v/>
      </c>
      <c r="AR45" s="1375">
        <f>AR36+AR41+AR43+AR44</f>
        <v/>
      </c>
      <c r="AS45" s="1450">
        <f>AS36+AS41+AS43+AS44</f>
        <v/>
      </c>
      <c r="AT45" s="1449">
        <f>AT36+AT41+AT43+AT44</f>
        <v/>
      </c>
      <c r="AU45" s="1375">
        <f>AU36+AU41+AU43+AU44</f>
        <v/>
      </c>
      <c r="AV45" s="1375">
        <f>AV36+AV41+AV43+AV44</f>
        <v/>
      </c>
      <c r="AW45" s="1375">
        <f>AW36+AW41+AW43+AW44</f>
        <v/>
      </c>
      <c r="AX45" s="1450">
        <f>AX36+AX41+AX43+AX44</f>
        <v/>
      </c>
      <c r="AY45" s="1449">
        <f>AY36+AY41+AY43+AY44</f>
        <v/>
      </c>
      <c r="AZ45" s="1375">
        <f>AZ36+AZ41+AZ43+AZ44</f>
        <v/>
      </c>
      <c r="BA45" s="1375">
        <f>BA36+BA41+BA43+BA44</f>
        <v/>
      </c>
      <c r="BB45" s="1375">
        <f>BB36+BB41+BB43+BB44</f>
        <v/>
      </c>
      <c r="BC45" s="1450">
        <f>BC36+BC41+BC43+BC44</f>
        <v/>
      </c>
      <c r="BD45" s="1449">
        <f>BD36+BD41+BD43+BD44</f>
        <v/>
      </c>
      <c r="BE45" s="1375">
        <f>BE36+BE41+BE43+BE44</f>
        <v/>
      </c>
      <c r="BF45" s="1375">
        <f>BF36+BF41+BF43+BF44</f>
        <v/>
      </c>
      <c r="BG45" s="1375">
        <f>BG36+BG41+BG43+BG44</f>
        <v/>
      </c>
      <c r="BH45" s="1450">
        <f>BH36+BH41+BH43+BH44</f>
        <v/>
      </c>
      <c r="BI45" s="1449">
        <f>BI36+BI41+BI43+BI44</f>
        <v/>
      </c>
      <c r="BJ45" s="1375">
        <f>BJ36+BJ41+BJ43+BJ44</f>
        <v/>
      </c>
      <c r="BK45" s="1375">
        <f>BK36+BK41+BK43+BK44</f>
        <v/>
      </c>
      <c r="BL45" s="1375">
        <f>BL36+BL41+BL43+BL44</f>
        <v/>
      </c>
      <c r="BM45" s="1450">
        <f>BM36+BM41+BM43+BM44</f>
        <v/>
      </c>
      <c r="BN45" s="1449">
        <f>BN36+BN41+BN43+BN44</f>
        <v/>
      </c>
      <c r="BO45" s="1375">
        <f>BO36+BO41+BO43+BO44</f>
        <v/>
      </c>
      <c r="BP45" s="1375">
        <f>BP36+BP41+BP43+BP44</f>
        <v/>
      </c>
      <c r="BQ45" s="1459">
        <f>BQ36+BQ41+BQ43+BQ44</f>
        <v/>
      </c>
      <c r="BR45" s="1450">
        <f>BR47*BR34</f>
        <v/>
      </c>
      <c r="BS45" s="1449">
        <f>BS36+BS41+BS43+BS44</f>
        <v/>
      </c>
      <c r="BT45" s="1450">
        <f>BT47*BT34</f>
        <v/>
      </c>
      <c r="BU45" s="1450">
        <f>BU47*BU34</f>
        <v/>
      </c>
      <c r="BV45" s="1450">
        <f>BV47*BV34</f>
        <v/>
      </c>
      <c r="BW45" s="1450">
        <f>BW47*BW34</f>
        <v/>
      </c>
      <c r="BX45" s="1449">
        <f>BX36+BX41+BX43+BX44</f>
        <v/>
      </c>
      <c r="BY45" s="1449">
        <f>BY47*BY34</f>
        <v/>
      </c>
      <c r="BZ45" s="1449">
        <f>BZ47*BZ34</f>
        <v/>
      </c>
      <c r="CA45" s="1449">
        <f>CA47*CA34</f>
        <v/>
      </c>
      <c r="CB45" s="1375" t="n"/>
    </row>
    <row r="46" ht="14.4" customFormat="1" customHeight="1" s="1372">
      <c r="A46" s="1408" t="inlineStr">
        <is>
          <t>Y/Y Non-GAAP Gross Profit growth, %</t>
        </is>
      </c>
      <c r="B46" s="1381" t="n"/>
      <c r="C46" s="1382" t="n"/>
      <c r="D46" s="1382" t="n"/>
      <c r="E46" s="1383">
        <f>E45/D45-1</f>
        <v/>
      </c>
      <c r="F46" s="1383">
        <f>F45/E45-1</f>
        <v/>
      </c>
      <c r="G46" s="1384" t="n"/>
      <c r="H46" s="1384" t="n"/>
      <c r="I46" s="1384" t="n"/>
      <c r="J46" s="1384" t="n"/>
      <c r="K46" s="1383">
        <f>K45/F45-1</f>
        <v/>
      </c>
      <c r="L46" s="1385">
        <f>L45/G45-1</f>
        <v/>
      </c>
      <c r="M46" s="1385">
        <f>M45/H45-1</f>
        <v/>
      </c>
      <c r="N46" s="1385">
        <f>N45/I45-1</f>
        <v/>
      </c>
      <c r="O46" s="1385">
        <f>O45/J45-1</f>
        <v/>
      </c>
      <c r="P46" s="1383">
        <f>P45/K45-1</f>
        <v/>
      </c>
      <c r="Q46" s="1385">
        <f>Q45/L45-1</f>
        <v/>
      </c>
      <c r="R46" s="1385">
        <f>R45/M45-1</f>
        <v/>
      </c>
      <c r="S46" s="1385">
        <f>S45/N45-1</f>
        <v/>
      </c>
      <c r="T46" s="1385">
        <f>T45/O45-1</f>
        <v/>
      </c>
      <c r="U46" s="1383">
        <f>U45/P45-1</f>
        <v/>
      </c>
      <c r="V46" s="1385">
        <f>V45/Q45-1</f>
        <v/>
      </c>
      <c r="W46" s="1385">
        <f>W45/R45-1</f>
        <v/>
      </c>
      <c r="X46" s="1385">
        <f>X45/S45-1</f>
        <v/>
      </c>
      <c r="Y46" s="1384">
        <f>Y45/T45-1</f>
        <v/>
      </c>
      <c r="Z46" s="1382">
        <f>Z45/U45-1</f>
        <v/>
      </c>
      <c r="AA46" s="1385">
        <f>AA45/V45-1</f>
        <v/>
      </c>
      <c r="AB46" s="1385">
        <f>AB45/W45-1</f>
        <v/>
      </c>
      <c r="AC46" s="1385">
        <f>AC45/X45-1</f>
        <v/>
      </c>
      <c r="AD46" s="1384">
        <f>AD45/Y45-1</f>
        <v/>
      </c>
      <c r="AE46" s="1382">
        <f>AE45/Z45-1</f>
        <v/>
      </c>
      <c r="AF46" s="1385">
        <f>AF45/AA45-1</f>
        <v/>
      </c>
      <c r="AG46" s="1385">
        <f>AG45/AB45-1</f>
        <v/>
      </c>
      <c r="AH46" s="1385">
        <f>AH45/AC45-1</f>
        <v/>
      </c>
      <c r="AI46" s="1384">
        <f>AI45/AD45-1</f>
        <v/>
      </c>
      <c r="AJ46" s="1382">
        <f>AJ45/AE45-1</f>
        <v/>
      </c>
      <c r="AK46" s="1385">
        <f>AK45/AF45-1</f>
        <v/>
      </c>
      <c r="AL46" s="1385">
        <f>AL45/AG45-1</f>
        <v/>
      </c>
      <c r="AM46" s="1385">
        <f>AM45/AH45-1</f>
        <v/>
      </c>
      <c r="AN46" s="1384">
        <f>AN45/AI45-1</f>
        <v/>
      </c>
      <c r="AO46" s="1382">
        <f>AO45/AJ45-1</f>
        <v/>
      </c>
      <c r="AP46" s="1385">
        <f>AP45/AK45-1</f>
        <v/>
      </c>
      <c r="AQ46" s="1385">
        <f>AQ45/AL45-1</f>
        <v/>
      </c>
      <c r="AR46" s="1385">
        <f>AR45/AM45-1</f>
        <v/>
      </c>
      <c r="AS46" s="1384">
        <f>AS45/AN45-1</f>
        <v/>
      </c>
      <c r="AT46" s="1382">
        <f>AT45/AO45-1</f>
        <v/>
      </c>
      <c r="AU46" s="1385">
        <f>AU45/AP45-1</f>
        <v/>
      </c>
      <c r="AV46" s="1385">
        <f>AV45/AQ45-1</f>
        <v/>
      </c>
      <c r="AW46" s="1385">
        <f>AW45/AR45-1</f>
        <v/>
      </c>
      <c r="AX46" s="1384">
        <f>AX45/AS45-1</f>
        <v/>
      </c>
      <c r="AY46" s="1382">
        <f>AY45/AT45-1</f>
        <v/>
      </c>
      <c r="AZ46" s="1385">
        <f>AZ45/AU45-1</f>
        <v/>
      </c>
      <c r="BA46" s="1385">
        <f>BA45/AV45-1</f>
        <v/>
      </c>
      <c r="BB46" s="1385">
        <f>BB45/AW45-1</f>
        <v/>
      </c>
      <c r="BC46" s="1384">
        <f>BC45/AX45-1</f>
        <v/>
      </c>
      <c r="BD46" s="1382">
        <f>BD45/AY45-1</f>
        <v/>
      </c>
      <c r="BE46" s="1385">
        <f>BE45/AZ45-1</f>
        <v/>
      </c>
      <c r="BF46" s="1385">
        <f>BF45/BA45-1</f>
        <v/>
      </c>
      <c r="BG46" s="1385">
        <f>BG45/BB45-1</f>
        <v/>
      </c>
      <c r="BH46" s="1384">
        <f>BH45/BC45-1</f>
        <v/>
      </c>
      <c r="BI46" s="1382">
        <f>BI45/BD45-1</f>
        <v/>
      </c>
      <c r="BJ46" s="1385">
        <f>BJ45/BE45-1</f>
        <v/>
      </c>
      <c r="BK46" s="1385">
        <f>BK45/BF45-1</f>
        <v/>
      </c>
      <c r="BL46" s="1385">
        <f>BL45/BG45-1</f>
        <v/>
      </c>
      <c r="BM46" s="1384">
        <f>BM45/BH45-1</f>
        <v/>
      </c>
      <c r="BN46" s="1382">
        <f>BN45/BI45-1</f>
        <v/>
      </c>
      <c r="BO46" s="1385">
        <f>BO45/BJ45-1</f>
        <v/>
      </c>
      <c r="BP46" s="1385">
        <f>BP45/BK45-1</f>
        <v/>
      </c>
      <c r="BQ46" s="1397">
        <f>BQ45/BL45-1</f>
        <v/>
      </c>
      <c r="BR46" s="1384">
        <f>BR45/BM45-1</f>
        <v/>
      </c>
      <c r="BS46" s="1382">
        <f>BS45/BN45-1</f>
        <v/>
      </c>
      <c r="BT46" s="1384">
        <f>BT45/BO45-1</f>
        <v/>
      </c>
      <c r="BU46" s="1384">
        <f>BU45/BP45-1</f>
        <v/>
      </c>
      <c r="BV46" s="1384">
        <f>BV45/BQ45-1</f>
        <v/>
      </c>
      <c r="BW46" s="1384">
        <f>BW45/BR45-1</f>
        <v/>
      </c>
      <c r="BX46" s="1382">
        <f>BX45/BS45-1</f>
        <v/>
      </c>
      <c r="BY46" s="1382">
        <f>BY45/BX45-1</f>
        <v/>
      </c>
      <c r="BZ46" s="1382">
        <f>BZ45/BY45-1</f>
        <v/>
      </c>
      <c r="CA46" s="1382">
        <f>CA45/BZ45-1</f>
        <v/>
      </c>
      <c r="CB46" s="1375" t="n"/>
    </row>
    <row r="47" ht="14.4" customFormat="1" customHeight="1" s="1460">
      <c r="A47" s="1461" t="inlineStr">
        <is>
          <t>Non-GAAP Gross Profit margin, %</t>
        </is>
      </c>
      <c r="B47" s="1462" t="n"/>
      <c r="C47" s="1463" t="n"/>
      <c r="D47" s="1463">
        <f>D45/D34</f>
        <v/>
      </c>
      <c r="E47" s="1464">
        <f>E45/E34</f>
        <v/>
      </c>
      <c r="F47" s="1464">
        <f>F45/F34</f>
        <v/>
      </c>
      <c r="G47" s="1465">
        <f>G45/G34</f>
        <v/>
      </c>
      <c r="H47" s="1465">
        <f>H45/H34</f>
        <v/>
      </c>
      <c r="I47" s="1465">
        <f>I45/I34</f>
        <v/>
      </c>
      <c r="J47" s="1465">
        <f>J45/J34</f>
        <v/>
      </c>
      <c r="K47" s="1464">
        <f>K45/K34</f>
        <v/>
      </c>
      <c r="L47" s="1465">
        <f>L45/L34</f>
        <v/>
      </c>
      <c r="M47" s="1465">
        <f>M45/M34</f>
        <v/>
      </c>
      <c r="N47" s="1465">
        <f>N45/N34</f>
        <v/>
      </c>
      <c r="O47" s="1465">
        <f>O45/O34</f>
        <v/>
      </c>
      <c r="P47" s="1464">
        <f>P45/P34</f>
        <v/>
      </c>
      <c r="Q47" s="1465">
        <f>Q45/Q34</f>
        <v/>
      </c>
      <c r="R47" s="1465">
        <f>R45/R34</f>
        <v/>
      </c>
      <c r="S47" s="1465">
        <f>S45/S34</f>
        <v/>
      </c>
      <c r="T47" s="1465">
        <f>T45/T34</f>
        <v/>
      </c>
      <c r="U47" s="1464">
        <f>U45/U34</f>
        <v/>
      </c>
      <c r="V47" s="1465">
        <f>V45/V34</f>
        <v/>
      </c>
      <c r="W47" s="1465">
        <f>W45/W34</f>
        <v/>
      </c>
      <c r="X47" s="1465">
        <f>X45/X34</f>
        <v/>
      </c>
      <c r="Y47" s="1466">
        <f>Y45/Y34</f>
        <v/>
      </c>
      <c r="Z47" s="1463">
        <f>Z45/Z34</f>
        <v/>
      </c>
      <c r="AA47" s="1465">
        <f>AA45/AA34</f>
        <v/>
      </c>
      <c r="AB47" s="1465">
        <f>AB45/AB34</f>
        <v/>
      </c>
      <c r="AC47" s="1465">
        <f>AC45/AC34</f>
        <v/>
      </c>
      <c r="AD47" s="1466">
        <f>AD45/AD34</f>
        <v/>
      </c>
      <c r="AE47" s="1463">
        <f>AE45/AE34</f>
        <v/>
      </c>
      <c r="AF47" s="1465">
        <f>AF45/AF34</f>
        <v/>
      </c>
      <c r="AG47" s="1465">
        <f>AG45/AG34</f>
        <v/>
      </c>
      <c r="AH47" s="1465">
        <f>AH45/AH34</f>
        <v/>
      </c>
      <c r="AI47" s="1466">
        <f>AI45/AI34</f>
        <v/>
      </c>
      <c r="AJ47" s="1463">
        <f>AJ45/AJ34</f>
        <v/>
      </c>
      <c r="AK47" s="1465">
        <f>AK45/AK34</f>
        <v/>
      </c>
      <c r="AL47" s="1465">
        <f>AL45/AL34</f>
        <v/>
      </c>
      <c r="AM47" s="1465">
        <f>AM45/AM34</f>
        <v/>
      </c>
      <c r="AN47" s="1466">
        <f>AN45/AN34</f>
        <v/>
      </c>
      <c r="AO47" s="1463">
        <f>AO45/AO34</f>
        <v/>
      </c>
      <c r="AP47" s="1465">
        <f>AP45/AP34</f>
        <v/>
      </c>
      <c r="AQ47" s="1465">
        <f>AQ45/AQ34</f>
        <v/>
      </c>
      <c r="AR47" s="1465">
        <f>AR45/AR34</f>
        <v/>
      </c>
      <c r="AS47" s="1466">
        <f>AS45/AS34</f>
        <v/>
      </c>
      <c r="AT47" s="1463">
        <f>AT45/AT34</f>
        <v/>
      </c>
      <c r="AU47" s="1465">
        <f>AU45/AU34</f>
        <v/>
      </c>
      <c r="AV47" s="1465">
        <f>AV45/AV34</f>
        <v/>
      </c>
      <c r="AW47" s="1465">
        <f>AW45/AW34</f>
        <v/>
      </c>
      <c r="AX47" s="1466">
        <f>AX45/AX34</f>
        <v/>
      </c>
      <c r="AY47" s="1463">
        <f>AY45/AY34</f>
        <v/>
      </c>
      <c r="AZ47" s="1465">
        <f>AZ45/AZ34</f>
        <v/>
      </c>
      <c r="BA47" s="1465">
        <f>BA45/BA34</f>
        <v/>
      </c>
      <c r="BB47" s="1465">
        <f>BB45/BB34</f>
        <v/>
      </c>
      <c r="BC47" s="1466">
        <f>BC45/BC34</f>
        <v/>
      </c>
      <c r="BD47" s="1463">
        <f>BD45/BD34</f>
        <v/>
      </c>
      <c r="BE47" s="1465">
        <f>BE45/BE34</f>
        <v/>
      </c>
      <c r="BF47" s="1465">
        <f>BF45/BF34</f>
        <v/>
      </c>
      <c r="BG47" s="1465">
        <f>BG45/BG34</f>
        <v/>
      </c>
      <c r="BH47" s="1466">
        <f>BH45/BH34</f>
        <v/>
      </c>
      <c r="BI47" s="1463">
        <f>BI45/BI34</f>
        <v/>
      </c>
      <c r="BJ47" s="1465">
        <f>BJ45/BJ34</f>
        <v/>
      </c>
      <c r="BK47" s="1465">
        <f>BK45/BK34</f>
        <v/>
      </c>
      <c r="BL47" s="1465">
        <f>BL45/BL34</f>
        <v/>
      </c>
      <c r="BM47" s="1466">
        <f>BM45/BM34</f>
        <v/>
      </c>
      <c r="BN47" s="1463">
        <f>BN45/BN34</f>
        <v/>
      </c>
      <c r="BO47" s="1465">
        <f>BO45/BO34</f>
        <v/>
      </c>
      <c r="BP47" s="1465">
        <f>BP45/BP34</f>
        <v/>
      </c>
      <c r="BQ47" s="1467">
        <f>BQ45/BQ34</f>
        <v/>
      </c>
      <c r="BR47" s="1466">
        <f>BM47+BR49/10000</f>
        <v/>
      </c>
      <c r="BS47" s="1463">
        <f>BS45/BS34</f>
        <v/>
      </c>
      <c r="BT47" s="1466">
        <f>BO47+BT49/10000</f>
        <v/>
      </c>
      <c r="BU47" s="1466">
        <f>BP47+BU49/10000</f>
        <v/>
      </c>
      <c r="BV47" s="1466">
        <f>BQ47+BV49/10000</f>
        <v/>
      </c>
      <c r="BW47" s="1466">
        <f>BR47+BW49/10000</f>
        <v/>
      </c>
      <c r="BX47" s="1463">
        <f>BX45/BX34</f>
        <v/>
      </c>
      <c r="BY47" s="1463">
        <f>BX47+BY49/10000</f>
        <v/>
      </c>
      <c r="BZ47" s="1463">
        <f>BY47+BZ49/10000</f>
        <v/>
      </c>
      <c r="CA47" s="1463">
        <f>BZ47+CA49/10000</f>
        <v/>
      </c>
      <c r="CB47" s="1465" t="n"/>
    </row>
    <row r="48" ht="14.4" customFormat="1" customHeight="1" s="1481">
      <c r="A48" s="1482" t="inlineStr">
        <is>
          <t>Consensus Estimates - Non-GAAP Gross profit margin, %</t>
        </is>
      </c>
      <c r="B48" s="1477" t="n"/>
      <c r="C48" s="1382" t="n"/>
      <c r="D48" s="1382" t="n"/>
      <c r="E48" s="1382" t="n"/>
      <c r="F48" s="1382" t="n"/>
      <c r="G48" s="1384" t="n"/>
      <c r="H48" s="1384" t="n"/>
      <c r="I48" s="1384" t="n"/>
      <c r="J48" s="1384" t="n"/>
      <c r="K48" s="1382" t="n"/>
      <c r="L48" s="1384" t="n"/>
      <c r="M48" s="1384" t="n"/>
      <c r="N48" s="1384" t="n"/>
      <c r="O48" s="1384" t="n"/>
      <c r="P48" s="1382" t="n"/>
      <c r="Q48" s="1384" t="n"/>
      <c r="R48" s="1384" t="n"/>
      <c r="S48" s="1384" t="n"/>
      <c r="T48" s="1384" t="n"/>
      <c r="U48" s="1382" t="n"/>
      <c r="V48" s="1384" t="n"/>
      <c r="W48" s="1384" t="n"/>
      <c r="X48" s="1384" t="n"/>
      <c r="Y48" s="1384" t="n"/>
      <c r="Z48" s="1382" t="n"/>
      <c r="AA48" s="1384" t="n"/>
      <c r="AB48" s="1384" t="n"/>
      <c r="AC48" s="1384" t="n"/>
      <c r="AD48" s="1384" t="n"/>
      <c r="AE48" s="1382" t="n"/>
      <c r="AF48" s="1384" t="n"/>
      <c r="AG48" s="1384" t="n"/>
      <c r="AH48" s="1384" t="n"/>
      <c r="AI48" s="1384" t="n"/>
      <c r="AJ48" s="1382" t="n"/>
      <c r="AK48" s="1384" t="n"/>
      <c r="AL48" s="1384" t="n"/>
      <c r="AM48" s="1384" t="n"/>
      <c r="AN48" s="1384" t="n"/>
      <c r="AO48" s="1382" t="n"/>
      <c r="AP48" s="1384" t="n"/>
      <c r="AQ48" s="1384" t="n"/>
      <c r="AR48" s="1384" t="n"/>
      <c r="AS48" s="1384" t="n"/>
      <c r="AT48" s="1382" t="n"/>
      <c r="AU48" s="1384" t="n"/>
      <c r="AV48" s="1384" t="n"/>
      <c r="AW48" s="1384" t="n"/>
      <c r="AX48" s="1384" t="n"/>
      <c r="AY48" s="1382" t="n"/>
      <c r="AZ48" s="1384" t="n"/>
      <c r="BA48" s="1384" t="n"/>
      <c r="BB48" s="1384" t="n"/>
      <c r="BC48" s="1384" t="n"/>
      <c r="BD48" s="1382" t="n"/>
      <c r="BE48" s="1384" t="n"/>
      <c r="BF48" s="1384" t="n"/>
      <c r="BG48" s="1384" t="n"/>
      <c r="BH48" s="1384" t="n"/>
      <c r="BI48" s="1382" t="n"/>
      <c r="BJ48" s="1384" t="n"/>
      <c r="BK48" s="1384" t="n"/>
      <c r="BL48" s="1384" t="n"/>
      <c r="BM48" s="1384" t="n"/>
      <c r="BN48" s="1382" t="n"/>
      <c r="BO48" s="1384" t="n"/>
      <c r="BP48" s="1384" t="n"/>
      <c r="BQ48" s="1386" t="n"/>
      <c r="BR48" s="1483">
        <f>BR328</f>
        <v/>
      </c>
      <c r="BS48" s="1484">
        <f>BS328</f>
        <v/>
      </c>
      <c r="BT48" s="1483">
        <f>BT328</f>
        <v/>
      </c>
      <c r="BU48" s="1483">
        <f>BU328</f>
        <v/>
      </c>
      <c r="BV48" s="1483">
        <f>BV328</f>
        <v/>
      </c>
      <c r="BW48" s="1483">
        <f>BW328</f>
        <v/>
      </c>
      <c r="BX48" s="1484">
        <f>BX328</f>
        <v/>
      </c>
      <c r="BY48" s="1484">
        <f>BY328</f>
        <v/>
      </c>
      <c r="BZ48" s="1484">
        <f>BZ328</f>
        <v/>
      </c>
      <c r="CA48" s="1484">
        <f>CA328</f>
        <v/>
      </c>
      <c r="CB48" s="1485" t="n"/>
    </row>
    <row r="49" ht="14.4" customFormat="1" customHeight="1" s="1460">
      <c r="A49" s="1486" t="inlineStr">
        <is>
          <t>Y/Y Non-GAAP Gross Profit margin improvement, bps</t>
        </is>
      </c>
      <c r="B49" s="1462" t="n"/>
      <c r="C49" s="1469" t="n"/>
      <c r="D49" s="1469" t="n"/>
      <c r="E49" s="1469">
        <f>(E47-D47)*10000</f>
        <v/>
      </c>
      <c r="F49" s="1469">
        <f>(F47-E47)*10000</f>
        <v/>
      </c>
      <c r="G49" s="1471" t="n"/>
      <c r="H49" s="1471" t="n"/>
      <c r="I49" s="1471" t="n"/>
      <c r="J49" s="1471" t="n"/>
      <c r="K49" s="1469">
        <f>(K47-F47)*10000</f>
        <v/>
      </c>
      <c r="L49" s="1471">
        <f>(L47-G47)*10000</f>
        <v/>
      </c>
      <c r="M49" s="1471">
        <f>(M47-H47)*10000</f>
        <v/>
      </c>
      <c r="N49" s="1471">
        <f>(N47-I47)*10000</f>
        <v/>
      </c>
      <c r="O49" s="1471">
        <f>(O47-J47)*10000</f>
        <v/>
      </c>
      <c r="P49" s="1469">
        <f>(P47-K47)*10000</f>
        <v/>
      </c>
      <c r="Q49" s="1471">
        <f>(Q47-L47)*10000</f>
        <v/>
      </c>
      <c r="R49" s="1471">
        <f>(R47-M47)*10000</f>
        <v/>
      </c>
      <c r="S49" s="1471">
        <f>(S47-N47)*10000</f>
        <v/>
      </c>
      <c r="T49" s="1471">
        <f>(T47-O47)*10000</f>
        <v/>
      </c>
      <c r="U49" s="1469">
        <f>(U47-P47)*10000</f>
        <v/>
      </c>
      <c r="V49" s="1471">
        <f>(V47-Q47)*10000</f>
        <v/>
      </c>
      <c r="W49" s="1471">
        <f>(W47-R47)*10000</f>
        <v/>
      </c>
      <c r="X49" s="1471">
        <f>(X47-S47)*10000</f>
        <v/>
      </c>
      <c r="Y49" s="1471">
        <f>(Y47-T47)*10000</f>
        <v/>
      </c>
      <c r="Z49" s="1469">
        <f>(Z47-U47)*10000</f>
        <v/>
      </c>
      <c r="AA49" s="1471">
        <f>(AA47-V47)*10000</f>
        <v/>
      </c>
      <c r="AB49" s="1471">
        <f>(AB47-W47)*10000</f>
        <v/>
      </c>
      <c r="AC49" s="1471">
        <f>(AC47-X47)*10000</f>
        <v/>
      </c>
      <c r="AD49" s="1471">
        <f>(AD47-Y47)*10000</f>
        <v/>
      </c>
      <c r="AE49" s="1469">
        <f>(AE47-Z47)*10000</f>
        <v/>
      </c>
      <c r="AF49" s="1471">
        <f>(AF47-AA47)*10000</f>
        <v/>
      </c>
      <c r="AG49" s="1471">
        <f>(AG47-AB47)*10000</f>
        <v/>
      </c>
      <c r="AH49" s="1471">
        <f>(AH47-AC47)*10000</f>
        <v/>
      </c>
      <c r="AI49" s="1471">
        <f>(AI47-AD47)*10000</f>
        <v/>
      </c>
      <c r="AJ49" s="1469">
        <f>(AJ47-AE47)*10000</f>
        <v/>
      </c>
      <c r="AK49" s="1471">
        <f>(AK47-AF47)*10000</f>
        <v/>
      </c>
      <c r="AL49" s="1471">
        <f>(AL47-AG47)*10000</f>
        <v/>
      </c>
      <c r="AM49" s="1471">
        <f>(AM47-AH47)*10000</f>
        <v/>
      </c>
      <c r="AN49" s="1471">
        <f>(AN47-AI47)*10000</f>
        <v/>
      </c>
      <c r="AO49" s="1469">
        <f>(AO47-AJ47)*10000</f>
        <v/>
      </c>
      <c r="AP49" s="1471">
        <f>(AP47-AK47)*10000</f>
        <v/>
      </c>
      <c r="AQ49" s="1471">
        <f>(AQ47-AL47)*10000</f>
        <v/>
      </c>
      <c r="AR49" s="1471">
        <f>(AR47-AM47)*10000</f>
        <v/>
      </c>
      <c r="AS49" s="1471">
        <f>(AS47-AN47)*10000</f>
        <v/>
      </c>
      <c r="AT49" s="1469">
        <f>(AT47-AO47)*10000</f>
        <v/>
      </c>
      <c r="AU49" s="1471">
        <f>(AU47-AP47)*10000</f>
        <v/>
      </c>
      <c r="AV49" s="1471">
        <f>(AV47-AQ47)*10000</f>
        <v/>
      </c>
      <c r="AW49" s="1471">
        <f>(AW47-AR47)*10000</f>
        <v/>
      </c>
      <c r="AX49" s="1471">
        <f>(AX47-AS47)*10000</f>
        <v/>
      </c>
      <c r="AY49" s="1469">
        <f>(AY47-AT47)*10000</f>
        <v/>
      </c>
      <c r="AZ49" s="1471">
        <f>(AZ47-AU47)*10000</f>
        <v/>
      </c>
      <c r="BA49" s="1471">
        <f>(BA47-AV47)*10000</f>
        <v/>
      </c>
      <c r="BB49" s="1471">
        <f>(BB47-AW47)*10000</f>
        <v/>
      </c>
      <c r="BC49" s="1471">
        <f>(BC47-AX47)*10000</f>
        <v/>
      </c>
      <c r="BD49" s="1469">
        <f>(BD47-AY47)*10000</f>
        <v/>
      </c>
      <c r="BE49" s="1471">
        <f>(BE47-AZ47)*10000</f>
        <v/>
      </c>
      <c r="BF49" s="1471">
        <f>(BF47-BA47)*10000</f>
        <v/>
      </c>
      <c r="BG49" s="1471">
        <f>(BG47-BB47)*10000</f>
        <v/>
      </c>
      <c r="BH49" s="1471">
        <f>(BH47-BC47)*10000</f>
        <v/>
      </c>
      <c r="BI49" s="1469">
        <f>(BI47-BD47)*10000</f>
        <v/>
      </c>
      <c r="BJ49" s="1471">
        <f>(BJ47-BE47)*10000</f>
        <v/>
      </c>
      <c r="BK49" s="1471">
        <f>(BK47-BF47)*10000</f>
        <v/>
      </c>
      <c r="BL49" s="1471">
        <f>(BL47-BG47)*10000</f>
        <v/>
      </c>
      <c r="BM49" s="1471">
        <f>(BM47-BH47)*10000</f>
        <v/>
      </c>
      <c r="BN49" s="1469">
        <f>(BN47-BI47)*10000</f>
        <v/>
      </c>
      <c r="BO49" s="1471">
        <f>(BO47-BJ47)*10000</f>
        <v/>
      </c>
      <c r="BP49" s="1471">
        <f>(BP47-BK47)*10000</f>
        <v/>
      </c>
      <c r="BQ49" s="1487">
        <f>(BQ47-BL47)*10000</f>
        <v/>
      </c>
      <c r="BR49" s="1488" t="n">
        <v>-61</v>
      </c>
      <c r="BS49" s="1469">
        <f>(BS47-BN47)*10000</f>
        <v/>
      </c>
      <c r="BT49" s="1488" t="n">
        <v>150</v>
      </c>
      <c r="BU49" s="1488" t="n">
        <v>50</v>
      </c>
      <c r="BV49" s="1488" t="n">
        <v>10</v>
      </c>
      <c r="BW49" s="1488" t="n">
        <v>10</v>
      </c>
      <c r="BX49" s="1469">
        <f>(BX47-BS47)*10000</f>
        <v/>
      </c>
      <c r="BY49" s="1489" t="n">
        <v>20</v>
      </c>
      <c r="BZ49" s="1489" t="n">
        <v>20</v>
      </c>
      <c r="CA49" s="1489" t="n">
        <v>20</v>
      </c>
      <c r="CB49" s="1465" t="n"/>
    </row>
    <row r="50" ht="14.4" customFormat="1" customHeight="1" s="1372">
      <c r="A50" s="1447" t="n"/>
      <c r="B50" s="1448" t="n"/>
      <c r="C50" s="1449" t="n"/>
      <c r="D50" s="1449" t="n"/>
      <c r="E50" s="1449" t="n"/>
      <c r="F50" s="1449" t="n"/>
      <c r="G50" s="1450" t="n"/>
      <c r="H50" s="1450" t="n"/>
      <c r="I50" s="1450" t="n"/>
      <c r="J50" s="1450" t="n"/>
      <c r="K50" s="1449" t="n"/>
      <c r="L50" s="1450" t="n"/>
      <c r="M50" s="1450" t="n"/>
      <c r="N50" s="1450" t="n"/>
      <c r="O50" s="1450" t="n"/>
      <c r="P50" s="1449" t="n"/>
      <c r="Q50" s="1450" t="n"/>
      <c r="R50" s="1450" t="n"/>
      <c r="S50" s="1450" t="n"/>
      <c r="T50" s="1450" t="n"/>
      <c r="U50" s="1449" t="n"/>
      <c r="V50" s="1450" t="n"/>
      <c r="W50" s="1450" t="n"/>
      <c r="X50" s="1450" t="n"/>
      <c r="Y50" s="1450" t="n"/>
      <c r="Z50" s="1449" t="n"/>
      <c r="AA50" s="1450" t="n"/>
      <c r="AB50" s="1450" t="n"/>
      <c r="AC50" s="1450" t="n"/>
      <c r="AD50" s="1450" t="n"/>
      <c r="AE50" s="1449" t="n"/>
      <c r="AF50" s="1450" t="n"/>
      <c r="AG50" s="1450" t="n"/>
      <c r="AH50" s="1450" t="n"/>
      <c r="AI50" s="1450" t="n"/>
      <c r="AJ50" s="1449" t="n"/>
      <c r="AK50" s="1450" t="n"/>
      <c r="AL50" s="1450" t="n"/>
      <c r="AM50" s="1450" t="n"/>
      <c r="AN50" s="1450" t="n"/>
      <c r="AO50" s="1449" t="n"/>
      <c r="AP50" s="1450" t="n"/>
      <c r="AQ50" s="1450" t="n"/>
      <c r="AR50" s="1450" t="n"/>
      <c r="AS50" s="1450" t="n"/>
      <c r="AT50" s="1449" t="n"/>
      <c r="AU50" s="1450" t="n"/>
      <c r="AV50" s="1450" t="n"/>
      <c r="AW50" s="1450" t="n"/>
      <c r="AX50" s="1450" t="n"/>
      <c r="AY50" s="1449" t="n"/>
      <c r="AZ50" s="1450" t="n"/>
      <c r="BA50" s="1450" t="n"/>
      <c r="BB50" s="1450" t="n"/>
      <c r="BC50" s="1450" t="n"/>
      <c r="BD50" s="1449" t="n"/>
      <c r="BE50" s="1450" t="n"/>
      <c r="BF50" s="1450" t="n"/>
      <c r="BG50" s="1450" t="n"/>
      <c r="BH50" s="1450" t="n"/>
      <c r="BI50" s="1449" t="n"/>
      <c r="BJ50" s="1450" t="n"/>
      <c r="BK50" s="1450" t="n"/>
      <c r="BL50" s="1450" t="n"/>
      <c r="BM50" s="1450" t="n"/>
      <c r="BN50" s="1449" t="n"/>
      <c r="BO50" s="1450" t="n"/>
      <c r="BP50" s="1450" t="n"/>
      <c r="BQ50" s="1451" t="n"/>
      <c r="BR50" s="1450" t="n"/>
      <c r="BS50" s="1449" t="n"/>
      <c r="BT50" s="1450" t="n"/>
      <c r="BU50" s="1450" t="n"/>
      <c r="BV50" s="1450" t="n"/>
      <c r="BW50" s="1450" t="n"/>
      <c r="BX50" s="1449" t="n"/>
      <c r="BY50" s="1449" t="n"/>
      <c r="BZ50" s="1449" t="n"/>
      <c r="CA50" s="1449" t="n"/>
      <c r="CB50" s="1375" t="n"/>
    </row>
    <row r="51" hidden="1" outlineLevel="1" ht="14.4" customFormat="1" customHeight="1" s="1359">
      <c r="A51" s="1490" t="inlineStr">
        <is>
          <t>GAAP R&amp;D, mm</t>
        </is>
      </c>
      <c r="B51" s="1377" t="n"/>
      <c r="C51" s="1379">
        <f>C464</f>
        <v/>
      </c>
      <c r="D51" s="1379">
        <f>D464</f>
        <v/>
      </c>
      <c r="E51" s="1379">
        <f>E464</f>
        <v/>
      </c>
      <c r="F51" s="1379">
        <f>F464</f>
        <v/>
      </c>
      <c r="G51" s="1361">
        <f>G464</f>
        <v/>
      </c>
      <c r="H51" s="1361">
        <f>H464</f>
        <v/>
      </c>
      <c r="I51" s="1361">
        <f>I464</f>
        <v/>
      </c>
      <c r="J51" s="1361">
        <f>J464</f>
        <v/>
      </c>
      <c r="K51" s="1379">
        <f>K464</f>
        <v/>
      </c>
      <c r="L51" s="1361">
        <f>L464</f>
        <v/>
      </c>
      <c r="M51" s="1361">
        <f>M464</f>
        <v/>
      </c>
      <c r="N51" s="1361">
        <f>N464</f>
        <v/>
      </c>
      <c r="O51" s="1361">
        <f>O464</f>
        <v/>
      </c>
      <c r="P51" s="1379">
        <f>P464</f>
        <v/>
      </c>
      <c r="Q51" s="1361">
        <f>Q464</f>
        <v/>
      </c>
      <c r="R51" s="1361">
        <f>R464</f>
        <v/>
      </c>
      <c r="S51" s="1361">
        <f>S464</f>
        <v/>
      </c>
      <c r="T51" s="1361">
        <f>T464</f>
        <v/>
      </c>
      <c r="U51" s="1379">
        <f>U464</f>
        <v/>
      </c>
      <c r="V51" s="1361">
        <f>V464</f>
        <v/>
      </c>
      <c r="W51" s="1361">
        <f>W464</f>
        <v/>
      </c>
      <c r="X51" s="1361">
        <f>X464</f>
        <v/>
      </c>
      <c r="Y51" s="1361">
        <f>Y464</f>
        <v/>
      </c>
      <c r="Z51" s="1379">
        <f>Z464</f>
        <v/>
      </c>
      <c r="AA51" s="1361">
        <f>AA464</f>
        <v/>
      </c>
      <c r="AB51" s="1361">
        <f>AB464</f>
        <v/>
      </c>
      <c r="AC51" s="1361">
        <f>AC464</f>
        <v/>
      </c>
      <c r="AD51" s="1361">
        <f>AD464</f>
        <v/>
      </c>
      <c r="AE51" s="1379">
        <f>AE464</f>
        <v/>
      </c>
      <c r="AF51" s="1361">
        <f>AF464</f>
        <v/>
      </c>
      <c r="AG51" s="1361">
        <f>AG464</f>
        <v/>
      </c>
      <c r="AH51" s="1361">
        <f>AH464</f>
        <v/>
      </c>
      <c r="AI51" s="1361">
        <f>AI464</f>
        <v/>
      </c>
      <c r="AJ51" s="1379">
        <f>AJ464</f>
        <v/>
      </c>
      <c r="AK51" s="1361">
        <f>AK464</f>
        <v/>
      </c>
      <c r="AL51" s="1361">
        <f>AL464</f>
        <v/>
      </c>
      <c r="AM51" s="1361">
        <f>AM464</f>
        <v/>
      </c>
      <c r="AN51" s="1361">
        <f>AN464</f>
        <v/>
      </c>
      <c r="AO51" s="1379">
        <f>AO464</f>
        <v/>
      </c>
      <c r="AP51" s="1361">
        <f>AP464</f>
        <v/>
      </c>
      <c r="AQ51" s="1361">
        <f>AQ464</f>
        <v/>
      </c>
      <c r="AR51" s="1361">
        <f>AR464</f>
        <v/>
      </c>
      <c r="AS51" s="1361">
        <f>AS464</f>
        <v/>
      </c>
      <c r="AT51" s="1379">
        <f>AT464</f>
        <v/>
      </c>
      <c r="AU51" s="1361">
        <f>AU464</f>
        <v/>
      </c>
      <c r="AV51" s="1361">
        <f>AV464</f>
        <v/>
      </c>
      <c r="AW51" s="1361">
        <f>AW464</f>
        <v/>
      </c>
      <c r="AX51" s="1361">
        <f>AX464</f>
        <v/>
      </c>
      <c r="AY51" s="1379">
        <f>AY464</f>
        <v/>
      </c>
      <c r="AZ51" s="1361">
        <f>AZ464</f>
        <v/>
      </c>
      <c r="BA51" s="1361">
        <f>BA464</f>
        <v/>
      </c>
      <c r="BB51" s="1361">
        <f>BB464</f>
        <v/>
      </c>
      <c r="BC51" s="1361">
        <f>BC464</f>
        <v/>
      </c>
      <c r="BD51" s="1379">
        <f>BD464</f>
        <v/>
      </c>
      <c r="BE51" s="1361">
        <f>BE464</f>
        <v/>
      </c>
      <c r="BF51" s="1361">
        <f>BF464</f>
        <v/>
      </c>
      <c r="BG51" s="1361">
        <f>BG464</f>
        <v/>
      </c>
      <c r="BH51" s="1361">
        <f>BH464</f>
        <v/>
      </c>
      <c r="BI51" s="1379">
        <f>BI464</f>
        <v/>
      </c>
      <c r="BJ51" s="1361">
        <f>BJ464</f>
        <v/>
      </c>
      <c r="BK51" s="1361">
        <f>BK464</f>
        <v/>
      </c>
      <c r="BL51" s="1361">
        <f>BL464</f>
        <v/>
      </c>
      <c r="BM51" s="1361">
        <f>BM464</f>
        <v/>
      </c>
      <c r="BN51" s="1379">
        <f>BN464</f>
        <v/>
      </c>
      <c r="BO51" s="1361">
        <f>BO464</f>
        <v/>
      </c>
      <c r="BP51" s="1361">
        <f>BP464</f>
        <v/>
      </c>
      <c r="BQ51" s="1363">
        <f>BQ464</f>
        <v/>
      </c>
      <c r="BR51" s="1361">
        <f>BR59+BR58+BR56</f>
        <v/>
      </c>
      <c r="BS51" s="1379">
        <f>SUM(BO51,BP51,BQ51,BR51)</f>
        <v/>
      </c>
      <c r="BT51" s="1361">
        <f>BT59+BT58+BT56</f>
        <v/>
      </c>
      <c r="BU51" s="1361">
        <f>BU59+BU58+BU56</f>
        <v/>
      </c>
      <c r="BV51" s="1361">
        <f>BV59+BV58+BV56</f>
        <v/>
      </c>
      <c r="BW51" s="1361">
        <f>BW59+BW58+BW56</f>
        <v/>
      </c>
      <c r="BX51" s="1379">
        <f>SUM(BT51,BU51,BV51,BW51)</f>
        <v/>
      </c>
      <c r="BY51" s="1379">
        <f>BY59+BY58+BY56</f>
        <v/>
      </c>
      <c r="BZ51" s="1379">
        <f>BZ59+BZ58+BZ56</f>
        <v/>
      </c>
      <c r="CA51" s="1379">
        <f>CA59+CA58+CA56</f>
        <v/>
      </c>
      <c r="CB51" s="1364" t="n"/>
    </row>
    <row r="52" hidden="1" outlineLevel="1" ht="14.4" customFormat="1" customHeight="1" s="1372">
      <c r="A52" s="1408" t="inlineStr">
        <is>
          <t>Y/Y GAAP R&amp;D growth, %</t>
        </is>
      </c>
      <c r="B52" s="1381" t="n"/>
      <c r="C52" s="1382" t="n"/>
      <c r="D52" s="1382">
        <f>D51/C51-1</f>
        <v/>
      </c>
      <c r="E52" s="1382">
        <f>E51/D51-1</f>
        <v/>
      </c>
      <c r="F52" s="1382">
        <f>F51/E51-1</f>
        <v/>
      </c>
      <c r="G52" s="1384" t="n"/>
      <c r="H52" s="1384" t="n"/>
      <c r="I52" s="1384" t="n"/>
      <c r="J52" s="1384" t="n"/>
      <c r="K52" s="1382">
        <f>K51/F51-1</f>
        <v/>
      </c>
      <c r="L52" s="1384">
        <f>L51/G51-1</f>
        <v/>
      </c>
      <c r="M52" s="1384">
        <f>M51/H51-1</f>
        <v/>
      </c>
      <c r="N52" s="1384">
        <f>N51/I51-1</f>
        <v/>
      </c>
      <c r="O52" s="1384">
        <f>O51/J51-1</f>
        <v/>
      </c>
      <c r="P52" s="1382">
        <f>P51/K51-1</f>
        <v/>
      </c>
      <c r="Q52" s="1384">
        <f>Q51/L51-1</f>
        <v/>
      </c>
      <c r="R52" s="1384">
        <f>R51/M51-1</f>
        <v/>
      </c>
      <c r="S52" s="1384">
        <f>S51/N51-1</f>
        <v/>
      </c>
      <c r="T52" s="1384">
        <f>T51/O51-1</f>
        <v/>
      </c>
      <c r="U52" s="1382">
        <f>U51/P51-1</f>
        <v/>
      </c>
      <c r="V52" s="1384">
        <f>V51/Q51-1</f>
        <v/>
      </c>
      <c r="W52" s="1384">
        <f>W51/R51-1</f>
        <v/>
      </c>
      <c r="X52" s="1384">
        <f>X51/S51-1</f>
        <v/>
      </c>
      <c r="Y52" s="1384">
        <f>Y51/T51-1</f>
        <v/>
      </c>
      <c r="Z52" s="1382">
        <f>Z51/U51-1</f>
        <v/>
      </c>
      <c r="AA52" s="1384">
        <f>AA51/V51-1</f>
        <v/>
      </c>
      <c r="AB52" s="1384">
        <f>AB51/W51-1</f>
        <v/>
      </c>
      <c r="AC52" s="1384">
        <f>AC51/X51-1</f>
        <v/>
      </c>
      <c r="AD52" s="1384">
        <f>AD51/Y51-1</f>
        <v/>
      </c>
      <c r="AE52" s="1382">
        <f>AE51/Z51-1</f>
        <v/>
      </c>
      <c r="AF52" s="1384">
        <f>AF51/AA51-1</f>
        <v/>
      </c>
      <c r="AG52" s="1384">
        <f>AG51/AB51-1</f>
        <v/>
      </c>
      <c r="AH52" s="1384">
        <f>AH51/AC51-1</f>
        <v/>
      </c>
      <c r="AI52" s="1384">
        <f>AI51/AD51-1</f>
        <v/>
      </c>
      <c r="AJ52" s="1382">
        <f>AJ51/AE51-1</f>
        <v/>
      </c>
      <c r="AK52" s="1384">
        <f>AK51/AF51-1</f>
        <v/>
      </c>
      <c r="AL52" s="1384">
        <f>AL51/AG51-1</f>
        <v/>
      </c>
      <c r="AM52" s="1384">
        <f>AM51/AH51-1</f>
        <v/>
      </c>
      <c r="AN52" s="1384">
        <f>AN51/AI51-1</f>
        <v/>
      </c>
      <c r="AO52" s="1382">
        <f>AO51/AJ51-1</f>
        <v/>
      </c>
      <c r="AP52" s="1384">
        <f>AP51/AK51-1</f>
        <v/>
      </c>
      <c r="AQ52" s="1384">
        <f>AQ51/AL51-1</f>
        <v/>
      </c>
      <c r="AR52" s="1384">
        <f>AR51/AM51-1</f>
        <v/>
      </c>
      <c r="AS52" s="1384">
        <f>AS51/AN51-1</f>
        <v/>
      </c>
      <c r="AT52" s="1382">
        <f>AT51/AO51-1</f>
        <v/>
      </c>
      <c r="AU52" s="1384">
        <f>AU51/AP51-1</f>
        <v/>
      </c>
      <c r="AV52" s="1384">
        <f>AV51/AQ51-1</f>
        <v/>
      </c>
      <c r="AW52" s="1384">
        <f>AW51/AR51-1</f>
        <v/>
      </c>
      <c r="AX52" s="1384">
        <f>AX51/AS51-1</f>
        <v/>
      </c>
      <c r="AY52" s="1382">
        <f>AY51/AT51-1</f>
        <v/>
      </c>
      <c r="AZ52" s="1384">
        <f>AZ51/AU51-1</f>
        <v/>
      </c>
      <c r="BA52" s="1384">
        <f>BA51/AV51-1</f>
        <v/>
      </c>
      <c r="BB52" s="1384">
        <f>BB51/AW51-1</f>
        <v/>
      </c>
      <c r="BC52" s="1384">
        <f>BC51/AX51-1</f>
        <v/>
      </c>
      <c r="BD52" s="1382">
        <f>BD51/AY51-1</f>
        <v/>
      </c>
      <c r="BE52" s="1384">
        <f>BE51/AZ51-1</f>
        <v/>
      </c>
      <c r="BF52" s="1384">
        <f>BF51/BA51-1</f>
        <v/>
      </c>
      <c r="BG52" s="1384">
        <f>BG51/BB51-1</f>
        <v/>
      </c>
      <c r="BH52" s="1384">
        <f>BH51/BC51-1</f>
        <v/>
      </c>
      <c r="BI52" s="1382">
        <f>BI51/BD51-1</f>
        <v/>
      </c>
      <c r="BJ52" s="1384">
        <f>BJ51/BE51-1</f>
        <v/>
      </c>
      <c r="BK52" s="1384">
        <f>BK51/BF51-1</f>
        <v/>
      </c>
      <c r="BL52" s="1384">
        <f>BL51/BG51-1</f>
        <v/>
      </c>
      <c r="BM52" s="1384">
        <f>BM51/BH51-1</f>
        <v/>
      </c>
      <c r="BN52" s="1382">
        <f>BN51/BI51-1</f>
        <v/>
      </c>
      <c r="BO52" s="1384">
        <f>BO51/BJ51-1</f>
        <v/>
      </c>
      <c r="BP52" s="1384">
        <f>BP51/BK51-1</f>
        <v/>
      </c>
      <c r="BQ52" s="1386">
        <f>BQ51/BL51-1</f>
        <v/>
      </c>
      <c r="BR52" s="1384">
        <f>BR51/BM51-1</f>
        <v/>
      </c>
      <c r="BS52" s="1382">
        <f>BS51/BN51-1</f>
        <v/>
      </c>
      <c r="BT52" s="1384">
        <f>BT51/BO51-1</f>
        <v/>
      </c>
      <c r="BU52" s="1384">
        <f>BU51/BP51-1</f>
        <v/>
      </c>
      <c r="BV52" s="1384">
        <f>BV51/BQ51-1</f>
        <v/>
      </c>
      <c r="BW52" s="1384">
        <f>BW51/BR51-1</f>
        <v/>
      </c>
      <c r="BX52" s="1382">
        <f>BX51/BS51-1</f>
        <v/>
      </c>
      <c r="BY52" s="1382">
        <f>BY51/BX51-1</f>
        <v/>
      </c>
      <c r="BZ52" s="1382">
        <f>BZ51/BY51-1</f>
        <v/>
      </c>
      <c r="CA52" s="1382">
        <f>CA51/BZ51-1</f>
        <v/>
      </c>
      <c r="CB52" s="1375" t="n"/>
    </row>
    <row r="53" hidden="1" outlineLevel="1" ht="14.4" customFormat="1" customHeight="1" s="1460">
      <c r="A53" s="1461" t="inlineStr">
        <is>
          <t>GAAP R&amp;D Margin, %</t>
        </is>
      </c>
      <c r="B53" s="1462" t="n"/>
      <c r="C53" s="1463">
        <f>C51/C34</f>
        <v/>
      </c>
      <c r="D53" s="1463">
        <f>D51/D34</f>
        <v/>
      </c>
      <c r="E53" s="1463">
        <f>E51/E34</f>
        <v/>
      </c>
      <c r="F53" s="1463">
        <f>F51/F34</f>
        <v/>
      </c>
      <c r="G53" s="1466">
        <f>G51/G34</f>
        <v/>
      </c>
      <c r="H53" s="1466">
        <f>H51/H34</f>
        <v/>
      </c>
      <c r="I53" s="1466">
        <f>I51/I34</f>
        <v/>
      </c>
      <c r="J53" s="1466">
        <f>J51/J34</f>
        <v/>
      </c>
      <c r="K53" s="1463">
        <f>K51/K34</f>
        <v/>
      </c>
      <c r="L53" s="1466">
        <f>L51/L34</f>
        <v/>
      </c>
      <c r="M53" s="1466">
        <f>M51/M34</f>
        <v/>
      </c>
      <c r="N53" s="1466">
        <f>N51/N34</f>
        <v/>
      </c>
      <c r="O53" s="1466">
        <f>O51/O34</f>
        <v/>
      </c>
      <c r="P53" s="1463">
        <f>P51/P34</f>
        <v/>
      </c>
      <c r="Q53" s="1466">
        <f>Q51/Q34</f>
        <v/>
      </c>
      <c r="R53" s="1466">
        <f>R51/R34</f>
        <v/>
      </c>
      <c r="S53" s="1466">
        <f>S51/S34</f>
        <v/>
      </c>
      <c r="T53" s="1466">
        <f>T51/T34</f>
        <v/>
      </c>
      <c r="U53" s="1463">
        <f>U51/U34</f>
        <v/>
      </c>
      <c r="V53" s="1466">
        <f>V51/V34</f>
        <v/>
      </c>
      <c r="W53" s="1466">
        <f>W51/W34</f>
        <v/>
      </c>
      <c r="X53" s="1466">
        <f>X51/X34</f>
        <v/>
      </c>
      <c r="Y53" s="1466">
        <f>Y51/Y34</f>
        <v/>
      </c>
      <c r="Z53" s="1463">
        <f>Z51/Z34</f>
        <v/>
      </c>
      <c r="AA53" s="1466">
        <f>AA51/AA34</f>
        <v/>
      </c>
      <c r="AB53" s="1466">
        <f>AB51/AB34</f>
        <v/>
      </c>
      <c r="AC53" s="1466">
        <f>AC51/AC34</f>
        <v/>
      </c>
      <c r="AD53" s="1466">
        <f>AD51/AD34</f>
        <v/>
      </c>
      <c r="AE53" s="1463">
        <f>AE51/AE34</f>
        <v/>
      </c>
      <c r="AF53" s="1466">
        <f>AF51/AF34</f>
        <v/>
      </c>
      <c r="AG53" s="1466">
        <f>AG51/AG34</f>
        <v/>
      </c>
      <c r="AH53" s="1466">
        <f>AH51/AH34</f>
        <v/>
      </c>
      <c r="AI53" s="1466">
        <f>AI51/AI34</f>
        <v/>
      </c>
      <c r="AJ53" s="1463">
        <f>AJ51/AJ34</f>
        <v/>
      </c>
      <c r="AK53" s="1466">
        <f>AK51/AK34</f>
        <v/>
      </c>
      <c r="AL53" s="1466">
        <f>AL51/AL34</f>
        <v/>
      </c>
      <c r="AM53" s="1466">
        <f>AM51/AM34</f>
        <v/>
      </c>
      <c r="AN53" s="1466">
        <f>AN51/AN34</f>
        <v/>
      </c>
      <c r="AO53" s="1463">
        <f>AO51/AO34</f>
        <v/>
      </c>
      <c r="AP53" s="1466">
        <f>AP51/AP34</f>
        <v/>
      </c>
      <c r="AQ53" s="1466">
        <f>AQ51/AQ34</f>
        <v/>
      </c>
      <c r="AR53" s="1466">
        <f>AR51/AR34</f>
        <v/>
      </c>
      <c r="AS53" s="1466">
        <f>AS51/AS34</f>
        <v/>
      </c>
      <c r="AT53" s="1463">
        <f>AT51/AT34</f>
        <v/>
      </c>
      <c r="AU53" s="1466">
        <f>AU51/AU34</f>
        <v/>
      </c>
      <c r="AV53" s="1466">
        <f>AV51/AV34</f>
        <v/>
      </c>
      <c r="AW53" s="1466">
        <f>AW51/AW34</f>
        <v/>
      </c>
      <c r="AX53" s="1466">
        <f>AX51/AX34</f>
        <v/>
      </c>
      <c r="AY53" s="1463">
        <f>AY51/AY34</f>
        <v/>
      </c>
      <c r="AZ53" s="1466">
        <f>AZ51/AZ34</f>
        <v/>
      </c>
      <c r="BA53" s="1466">
        <f>BA51/BA34</f>
        <v/>
      </c>
      <c r="BB53" s="1466">
        <f>BB51/BB34</f>
        <v/>
      </c>
      <c r="BC53" s="1466">
        <f>BC51/BC34</f>
        <v/>
      </c>
      <c r="BD53" s="1463">
        <f>BD51/BD34</f>
        <v/>
      </c>
      <c r="BE53" s="1466">
        <f>BE51/BE34</f>
        <v/>
      </c>
      <c r="BF53" s="1466">
        <f>BF51/BF34</f>
        <v/>
      </c>
      <c r="BG53" s="1466">
        <f>BG51/BG34</f>
        <v/>
      </c>
      <c r="BH53" s="1466">
        <f>BH51/BH34</f>
        <v/>
      </c>
      <c r="BI53" s="1463">
        <f>BI51/BI34</f>
        <v/>
      </c>
      <c r="BJ53" s="1466">
        <f>BJ51/BJ34</f>
        <v/>
      </c>
      <c r="BK53" s="1466">
        <f>BK51/BK34</f>
        <v/>
      </c>
      <c r="BL53" s="1466">
        <f>BL51/BL34</f>
        <v/>
      </c>
      <c r="BM53" s="1466">
        <f>BM51/BM34</f>
        <v/>
      </c>
      <c r="BN53" s="1463">
        <f>BN51/BN34</f>
        <v/>
      </c>
      <c r="BO53" s="1466">
        <f>BO51/BO34</f>
        <v/>
      </c>
      <c r="BP53" s="1466">
        <f>BP51/BP34</f>
        <v/>
      </c>
      <c r="BQ53" s="1491">
        <f>BQ51/BQ34</f>
        <v/>
      </c>
      <c r="BR53" s="1466">
        <f>BR51/BR34</f>
        <v/>
      </c>
      <c r="BS53" s="1463">
        <f>BS51/BS34</f>
        <v/>
      </c>
      <c r="BT53" s="1466">
        <f>BT51/BT34</f>
        <v/>
      </c>
      <c r="BU53" s="1466">
        <f>BU51/BU34</f>
        <v/>
      </c>
      <c r="BV53" s="1466">
        <f>BV51/BV34</f>
        <v/>
      </c>
      <c r="BW53" s="1466">
        <f>BW51/BW34</f>
        <v/>
      </c>
      <c r="BX53" s="1463">
        <f>BX51/BX34</f>
        <v/>
      </c>
      <c r="BY53" s="1463">
        <f>BY51/BY34</f>
        <v/>
      </c>
      <c r="BZ53" s="1463">
        <f>BZ51/BZ34</f>
        <v/>
      </c>
      <c r="CA53" s="1463">
        <f>CA51/CA34</f>
        <v/>
      </c>
      <c r="CB53" s="1465" t="n"/>
    </row>
    <row r="54" hidden="1" outlineLevel="1" ht="14.4" customFormat="1" customHeight="1" s="1460">
      <c r="A54" s="1468" t="inlineStr">
        <is>
          <t>Y/Y GAAP R&amp;D Margin improvement, bps</t>
        </is>
      </c>
      <c r="B54" s="1462" t="n"/>
      <c r="C54" s="1469" t="n"/>
      <c r="D54" s="1469">
        <f>-(D53-C53)*10000</f>
        <v/>
      </c>
      <c r="E54" s="1469">
        <f>-(E53-D53)*10000</f>
        <v/>
      </c>
      <c r="F54" s="1469">
        <f>-(F53-E53)*10000</f>
        <v/>
      </c>
      <c r="G54" s="1471" t="n"/>
      <c r="H54" s="1471" t="n"/>
      <c r="I54" s="1471" t="n"/>
      <c r="J54" s="1471" t="n"/>
      <c r="K54" s="1469">
        <f>-(K53-F53)*10000</f>
        <v/>
      </c>
      <c r="L54" s="1471">
        <f>-(L53-G53)*10000</f>
        <v/>
      </c>
      <c r="M54" s="1471">
        <f>-(M53-H53)*10000</f>
        <v/>
      </c>
      <c r="N54" s="1471">
        <f>-(N53-I53)*10000</f>
        <v/>
      </c>
      <c r="O54" s="1471">
        <f>-(O53-J53)*10000</f>
        <v/>
      </c>
      <c r="P54" s="1469">
        <f>-(P53-K53)*10000</f>
        <v/>
      </c>
      <c r="Q54" s="1471">
        <f>-(Q53-L53)*10000</f>
        <v/>
      </c>
      <c r="R54" s="1471">
        <f>-(R53-M53)*10000</f>
        <v/>
      </c>
      <c r="S54" s="1471">
        <f>-(S53-N53)*10000</f>
        <v/>
      </c>
      <c r="T54" s="1471">
        <f>-(T53-O53)*10000</f>
        <v/>
      </c>
      <c r="U54" s="1469">
        <f>-(U53-P53)*10000</f>
        <v/>
      </c>
      <c r="V54" s="1471">
        <f>-(V53-Q53)*10000</f>
        <v/>
      </c>
      <c r="W54" s="1471">
        <f>-(W53-R53)*10000</f>
        <v/>
      </c>
      <c r="X54" s="1471">
        <f>-(X53-S53)*10000</f>
        <v/>
      </c>
      <c r="Y54" s="1471">
        <f>-(Y53-T53)*10000</f>
        <v/>
      </c>
      <c r="Z54" s="1469">
        <f>-(Z53-U53)*10000</f>
        <v/>
      </c>
      <c r="AA54" s="1471">
        <f>-(AA53-V53)*10000</f>
        <v/>
      </c>
      <c r="AB54" s="1471">
        <f>-(AB53-W53)*10000</f>
        <v/>
      </c>
      <c r="AC54" s="1471">
        <f>-(AC53-X53)*10000</f>
        <v/>
      </c>
      <c r="AD54" s="1471">
        <f>-(AD53-Y53)*10000</f>
        <v/>
      </c>
      <c r="AE54" s="1469">
        <f>-(AE53-Z53)*10000</f>
        <v/>
      </c>
      <c r="AF54" s="1471">
        <f>-(AF53-AA53)*10000</f>
        <v/>
      </c>
      <c r="AG54" s="1471">
        <f>-(AG53-AB53)*10000</f>
        <v/>
      </c>
      <c r="AH54" s="1471">
        <f>-(AH53-AC53)*10000</f>
        <v/>
      </c>
      <c r="AI54" s="1471">
        <f>-(AI53-AD53)*10000</f>
        <v/>
      </c>
      <c r="AJ54" s="1469">
        <f>-(AJ53-AE53)*10000</f>
        <v/>
      </c>
      <c r="AK54" s="1471">
        <f>-(AK53-AF53)*10000</f>
        <v/>
      </c>
      <c r="AL54" s="1471">
        <f>-(AL53-AG53)*10000</f>
        <v/>
      </c>
      <c r="AM54" s="1471">
        <f>-(AM53-AH53)*10000</f>
        <v/>
      </c>
      <c r="AN54" s="1471">
        <f>-(AN53-AI53)*10000</f>
        <v/>
      </c>
      <c r="AO54" s="1469">
        <f>-(AO53-AJ53)*10000</f>
        <v/>
      </c>
      <c r="AP54" s="1471">
        <f>-(AP53-AK53)*10000</f>
        <v/>
      </c>
      <c r="AQ54" s="1471">
        <f>-(AQ53-AL53)*10000</f>
        <v/>
      </c>
      <c r="AR54" s="1471">
        <f>-(AR53-AM53)*10000</f>
        <v/>
      </c>
      <c r="AS54" s="1471">
        <f>-(AS53-AN53)*10000</f>
        <v/>
      </c>
      <c r="AT54" s="1469">
        <f>-(AT53-AO53)*10000</f>
        <v/>
      </c>
      <c r="AU54" s="1471">
        <f>-(AU53-AP53)*10000</f>
        <v/>
      </c>
      <c r="AV54" s="1471">
        <f>-(AV53-AQ53)*10000</f>
        <v/>
      </c>
      <c r="AW54" s="1471">
        <f>-(AW53-AR53)*10000</f>
        <v/>
      </c>
      <c r="AX54" s="1471">
        <f>-(AX53-AS53)*10000</f>
        <v/>
      </c>
      <c r="AY54" s="1469">
        <f>-(AY53-AT53)*10000</f>
        <v/>
      </c>
      <c r="AZ54" s="1471">
        <f>-(AZ53-AU53)*10000</f>
        <v/>
      </c>
      <c r="BA54" s="1471">
        <f>-(BA53-AV53)*10000</f>
        <v/>
      </c>
      <c r="BB54" s="1471">
        <f>-(BB53-AW53)*10000</f>
        <v/>
      </c>
      <c r="BC54" s="1471">
        <f>-(BC53-AX53)*10000</f>
        <v/>
      </c>
      <c r="BD54" s="1469">
        <f>-(BD53-AY53)*10000</f>
        <v/>
      </c>
      <c r="BE54" s="1471">
        <f>-(BE53-AZ53)*10000</f>
        <v/>
      </c>
      <c r="BF54" s="1471">
        <f>-(BF53-BA53)*10000</f>
        <v/>
      </c>
      <c r="BG54" s="1471">
        <f>-(BG53-BB53)*10000</f>
        <v/>
      </c>
      <c r="BH54" s="1471">
        <f>-(BH53-BC53)*10000</f>
        <v/>
      </c>
      <c r="BI54" s="1469">
        <f>-(BI53-BD53)*10000</f>
        <v/>
      </c>
      <c r="BJ54" s="1471">
        <f>-(BJ53-BE53)*10000</f>
        <v/>
      </c>
      <c r="BK54" s="1471">
        <f>-(BK53-BF53)*10000</f>
        <v/>
      </c>
      <c r="BL54" s="1471">
        <f>-(BL53-BG53)*10000</f>
        <v/>
      </c>
      <c r="BM54" s="1471">
        <f>-(BM53-BH53)*10000</f>
        <v/>
      </c>
      <c r="BN54" s="1469">
        <f>-(BN53-BI53)*10000</f>
        <v/>
      </c>
      <c r="BO54" s="1471">
        <f>-(BO53-BJ53)*10000</f>
        <v/>
      </c>
      <c r="BP54" s="1471">
        <f>-(BP53-BK53)*10000</f>
        <v/>
      </c>
      <c r="BQ54" s="1487">
        <f>-(BQ53-BL53)*10000</f>
        <v/>
      </c>
      <c r="BR54" s="1471">
        <f>-(BR53-BM53)*10000</f>
        <v/>
      </c>
      <c r="BS54" s="1469">
        <f>-(BS53-BN53)*10000</f>
        <v/>
      </c>
      <c r="BT54" s="1471">
        <f>-(BT53-BO53)*10000</f>
        <v/>
      </c>
      <c r="BU54" s="1471">
        <f>-(BU53-BP53)*10000</f>
        <v/>
      </c>
      <c r="BV54" s="1471">
        <f>-(BV53-BQ53)*10000</f>
        <v/>
      </c>
      <c r="BW54" s="1471">
        <f>-(BW53-BR53)*10000</f>
        <v/>
      </c>
      <c r="BX54" s="1469">
        <f>-(BX53-BS53)*10000</f>
        <v/>
      </c>
      <c r="BY54" s="1469">
        <f>-(BY53-BX53)*10000</f>
        <v/>
      </c>
      <c r="BZ54" s="1469">
        <f>-(BZ53-BY53)*10000</f>
        <v/>
      </c>
      <c r="CA54" s="1469">
        <f>-(CA53-BZ53)*10000</f>
        <v/>
      </c>
      <c r="CB54" s="1465" t="n"/>
    </row>
    <row r="55" hidden="1" outlineLevel="1" ht="7.5" customFormat="1" customHeight="1" s="1372">
      <c r="A55" s="1474" t="n"/>
      <c r="B55" s="1448" t="n"/>
      <c r="C55" s="1449" t="n"/>
      <c r="D55" s="1449" t="n"/>
      <c r="E55" s="1449" t="n"/>
      <c r="F55" s="1449" t="n"/>
      <c r="G55" s="1450" t="n"/>
      <c r="H55" s="1450" t="n"/>
      <c r="I55" s="1450" t="n"/>
      <c r="J55" s="1450" t="n"/>
      <c r="K55" s="1449" t="n"/>
      <c r="L55" s="1450" t="n"/>
      <c r="M55" s="1450" t="n"/>
      <c r="N55" s="1450" t="n"/>
      <c r="O55" s="1450" t="n"/>
      <c r="P55" s="1449" t="n"/>
      <c r="Q55" s="1450" t="n"/>
      <c r="R55" s="1450" t="n"/>
      <c r="S55" s="1450" t="n"/>
      <c r="T55" s="1450" t="n"/>
      <c r="U55" s="1449" t="n"/>
      <c r="V55" s="1450" t="n"/>
      <c r="W55" s="1450" t="n"/>
      <c r="X55" s="1450" t="n"/>
      <c r="Y55" s="1450" t="n"/>
      <c r="Z55" s="1449" t="n"/>
      <c r="AA55" s="1450" t="n"/>
      <c r="AB55" s="1450" t="n"/>
      <c r="AC55" s="1450" t="n"/>
      <c r="AD55" s="1450" t="n"/>
      <c r="AE55" s="1449" t="n"/>
      <c r="AF55" s="1450" t="n"/>
      <c r="AG55" s="1450" t="n"/>
      <c r="AH55" s="1450" t="n"/>
      <c r="AI55" s="1450" t="n"/>
      <c r="AJ55" s="1449" t="n"/>
      <c r="AK55" s="1450" t="n"/>
      <c r="AL55" s="1450" t="n"/>
      <c r="AM55" s="1450" t="n"/>
      <c r="AN55" s="1450" t="n"/>
      <c r="AO55" s="1449" t="n"/>
      <c r="AP55" s="1450" t="n"/>
      <c r="AQ55" s="1450" t="n"/>
      <c r="AR55" s="1450" t="n"/>
      <c r="AS55" s="1450" t="n"/>
      <c r="AT55" s="1449" t="n"/>
      <c r="AU55" s="1450" t="n"/>
      <c r="AV55" s="1450" t="n"/>
      <c r="AW55" s="1450" t="n"/>
      <c r="AX55" s="1450" t="n"/>
      <c r="AY55" s="1449" t="n"/>
      <c r="AZ55" s="1450" t="n"/>
      <c r="BA55" s="1450" t="n"/>
      <c r="BB55" s="1450" t="n"/>
      <c r="BC55" s="1450" t="n"/>
      <c r="BD55" s="1449" t="n"/>
      <c r="BE55" s="1450" t="n"/>
      <c r="BF55" s="1450" t="n"/>
      <c r="BG55" s="1450" t="n"/>
      <c r="BH55" s="1450" t="n"/>
      <c r="BI55" s="1449" t="n"/>
      <c r="BJ55" s="1450" t="n"/>
      <c r="BK55" s="1450" t="n"/>
      <c r="BL55" s="1450" t="n"/>
      <c r="BM55" s="1450" t="n"/>
      <c r="BN55" s="1449" t="n"/>
      <c r="BO55" s="1450" t="n"/>
      <c r="BP55" s="1450" t="n"/>
      <c r="BQ55" s="1451" t="n"/>
      <c r="BR55" s="1450" t="n"/>
      <c r="BS55" s="1449" t="n"/>
      <c r="BT55" s="1450" t="n"/>
      <c r="BU55" s="1450" t="n"/>
      <c r="BV55" s="1450" t="n"/>
      <c r="BW55" s="1450" t="n"/>
      <c r="BX55" s="1449" t="n"/>
      <c r="BY55" s="1449" t="n"/>
      <c r="BZ55" s="1449" t="n"/>
      <c r="CA55" s="1449" t="n"/>
      <c r="CB55" s="1375" t="n"/>
    </row>
    <row r="56" hidden="1" outlineLevel="1" ht="14.4" customFormat="1" customHeight="1" s="1359">
      <c r="A56" s="1474" t="inlineStr">
        <is>
          <t>SBC R&amp;D, mm</t>
        </is>
      </c>
      <c r="B56" s="1377" t="n"/>
      <c r="C56" s="1379" t="n"/>
      <c r="D56" s="1379">
        <f>D465</f>
        <v/>
      </c>
      <c r="E56" s="1379">
        <f>E465</f>
        <v/>
      </c>
      <c r="F56" s="1379">
        <f>F465</f>
        <v/>
      </c>
      <c r="G56" s="1361">
        <f>G465</f>
        <v/>
      </c>
      <c r="H56" s="1361">
        <f>H465</f>
        <v/>
      </c>
      <c r="I56" s="1361">
        <f>I465</f>
        <v/>
      </c>
      <c r="J56" s="1361">
        <f>J465</f>
        <v/>
      </c>
      <c r="K56" s="1379">
        <f>K465</f>
        <v/>
      </c>
      <c r="L56" s="1361">
        <f>L465</f>
        <v/>
      </c>
      <c r="M56" s="1361">
        <f>M465</f>
        <v/>
      </c>
      <c r="N56" s="1361">
        <f>N465</f>
        <v/>
      </c>
      <c r="O56" s="1361">
        <f>O465</f>
        <v/>
      </c>
      <c r="P56" s="1379">
        <f>P465</f>
        <v/>
      </c>
      <c r="Q56" s="1361">
        <f>Q465</f>
        <v/>
      </c>
      <c r="R56" s="1361">
        <f>R465</f>
        <v/>
      </c>
      <c r="S56" s="1361">
        <f>S465</f>
        <v/>
      </c>
      <c r="T56" s="1361">
        <f>T465</f>
        <v/>
      </c>
      <c r="U56" s="1379">
        <f>U465</f>
        <v/>
      </c>
      <c r="V56" s="1361">
        <f>V465</f>
        <v/>
      </c>
      <c r="W56" s="1361">
        <f>W465</f>
        <v/>
      </c>
      <c r="X56" s="1361">
        <f>X465</f>
        <v/>
      </c>
      <c r="Y56" s="1361">
        <f>Y465</f>
        <v/>
      </c>
      <c r="Z56" s="1379">
        <f>Z465</f>
        <v/>
      </c>
      <c r="AA56" s="1361">
        <f>AA465</f>
        <v/>
      </c>
      <c r="AB56" s="1361">
        <f>AB465</f>
        <v/>
      </c>
      <c r="AC56" s="1361">
        <f>AC465</f>
        <v/>
      </c>
      <c r="AD56" s="1361">
        <f>AD465</f>
        <v/>
      </c>
      <c r="AE56" s="1379">
        <f>AE465</f>
        <v/>
      </c>
      <c r="AF56" s="1361">
        <f>AF465</f>
        <v/>
      </c>
      <c r="AG56" s="1361">
        <f>AG465</f>
        <v/>
      </c>
      <c r="AH56" s="1361">
        <f>AH465</f>
        <v/>
      </c>
      <c r="AI56" s="1361">
        <f>AI465</f>
        <v/>
      </c>
      <c r="AJ56" s="1379">
        <f>AJ465</f>
        <v/>
      </c>
      <c r="AK56" s="1361">
        <f>AK465</f>
        <v/>
      </c>
      <c r="AL56" s="1361">
        <f>AL465</f>
        <v/>
      </c>
      <c r="AM56" s="1361">
        <f>AM465</f>
        <v/>
      </c>
      <c r="AN56" s="1361">
        <f>AN465</f>
        <v/>
      </c>
      <c r="AO56" s="1379">
        <f>AO465</f>
        <v/>
      </c>
      <c r="AP56" s="1361">
        <f>AP465</f>
        <v/>
      </c>
      <c r="AQ56" s="1361">
        <f>AQ465</f>
        <v/>
      </c>
      <c r="AR56" s="1361">
        <f>AR465</f>
        <v/>
      </c>
      <c r="AS56" s="1361">
        <f>AS465</f>
        <v/>
      </c>
      <c r="AT56" s="1379">
        <f>AT465</f>
        <v/>
      </c>
      <c r="AU56" s="1361">
        <f>AU465</f>
        <v/>
      </c>
      <c r="AV56" s="1361">
        <f>AV465</f>
        <v/>
      </c>
      <c r="AW56" s="1361">
        <f>AW465</f>
        <v/>
      </c>
      <c r="AX56" s="1361">
        <f>AX465</f>
        <v/>
      </c>
      <c r="AY56" s="1379">
        <f>AY465</f>
        <v/>
      </c>
      <c r="AZ56" s="1361">
        <f>AZ465</f>
        <v/>
      </c>
      <c r="BA56" s="1361">
        <f>BA465</f>
        <v/>
      </c>
      <c r="BB56" s="1361">
        <f>BB465</f>
        <v/>
      </c>
      <c r="BC56" s="1361">
        <f>BC465</f>
        <v/>
      </c>
      <c r="BD56" s="1379">
        <f>BD465</f>
        <v/>
      </c>
      <c r="BE56" s="1361">
        <f>BE465</f>
        <v/>
      </c>
      <c r="BF56" s="1361">
        <f>BF465</f>
        <v/>
      </c>
      <c r="BG56" s="1361">
        <f>BG465</f>
        <v/>
      </c>
      <c r="BH56" s="1361">
        <f>BH465</f>
        <v/>
      </c>
      <c r="BI56" s="1379">
        <f>BI465</f>
        <v/>
      </c>
      <c r="BJ56" s="1361">
        <f>BJ465</f>
        <v/>
      </c>
      <c r="BK56" s="1361">
        <f>BK465</f>
        <v/>
      </c>
      <c r="BL56" s="1361">
        <f>BL465</f>
        <v/>
      </c>
      <c r="BM56" s="1361">
        <f>BM465</f>
        <v/>
      </c>
      <c r="BN56" s="1379">
        <f>BN465</f>
        <v/>
      </c>
      <c r="BO56" s="1361">
        <f>BO465</f>
        <v/>
      </c>
      <c r="BP56" s="1361">
        <f>BP465</f>
        <v/>
      </c>
      <c r="BQ56" s="1363">
        <f>BQ465</f>
        <v/>
      </c>
      <c r="BR56" s="1361">
        <f>BR57*BR34</f>
        <v/>
      </c>
      <c r="BS56" s="1379">
        <f>SUM(BO56,BP56,BQ56,BR56)</f>
        <v/>
      </c>
      <c r="BT56" s="1361">
        <f>BT57*BT34</f>
        <v/>
      </c>
      <c r="BU56" s="1361">
        <f>BU57*BU34</f>
        <v/>
      </c>
      <c r="BV56" s="1361">
        <f>BV57*BV34</f>
        <v/>
      </c>
      <c r="BW56" s="1361">
        <f>BW57*BW34</f>
        <v/>
      </c>
      <c r="BX56" s="1379">
        <f>SUM(BT56,BU56,BV56,BW56)</f>
        <v/>
      </c>
      <c r="BY56" s="1379">
        <f>BY57*BY34</f>
        <v/>
      </c>
      <c r="BZ56" s="1379">
        <f>BZ57*BZ34</f>
        <v/>
      </c>
      <c r="CA56" s="1379">
        <f>CA57*CA34</f>
        <v/>
      </c>
      <c r="CB56" s="1364" t="n"/>
    </row>
    <row r="57" hidden="1" outlineLevel="1" ht="14.4" customFormat="1" customHeight="1" s="1475">
      <c r="A57" s="1476" t="inlineStr">
        <is>
          <t>SBC R&amp;D as &amp; of revenue, %</t>
        </is>
      </c>
      <c r="B57" s="1477" t="n"/>
      <c r="C57" s="1382" t="n"/>
      <c r="D57" s="1382">
        <f>D56/D34</f>
        <v/>
      </c>
      <c r="E57" s="1382">
        <f>E56/E34</f>
        <v/>
      </c>
      <c r="F57" s="1382">
        <f>F56/F34</f>
        <v/>
      </c>
      <c r="G57" s="1384">
        <f>G56/G34</f>
        <v/>
      </c>
      <c r="H57" s="1384">
        <f>H56/H34</f>
        <v/>
      </c>
      <c r="I57" s="1384">
        <f>I56/I34</f>
        <v/>
      </c>
      <c r="J57" s="1384">
        <f>J56/J34</f>
        <v/>
      </c>
      <c r="K57" s="1382">
        <f>K56/K34</f>
        <v/>
      </c>
      <c r="L57" s="1384">
        <f>L56/L34</f>
        <v/>
      </c>
      <c r="M57" s="1384">
        <f>M56/M34</f>
        <v/>
      </c>
      <c r="N57" s="1384">
        <f>N56/N34</f>
        <v/>
      </c>
      <c r="O57" s="1384">
        <f>O56/O34</f>
        <v/>
      </c>
      <c r="P57" s="1382">
        <f>P56/P34</f>
        <v/>
      </c>
      <c r="Q57" s="1384">
        <f>Q56/Q34</f>
        <v/>
      </c>
      <c r="R57" s="1384">
        <f>R56/R34</f>
        <v/>
      </c>
      <c r="S57" s="1384">
        <f>S56/S34</f>
        <v/>
      </c>
      <c r="T57" s="1384">
        <f>T56/T34</f>
        <v/>
      </c>
      <c r="U57" s="1382">
        <f>U56/U34</f>
        <v/>
      </c>
      <c r="V57" s="1384">
        <f>V56/V34</f>
        <v/>
      </c>
      <c r="W57" s="1384">
        <f>W56/W34</f>
        <v/>
      </c>
      <c r="X57" s="1384">
        <f>X56/X34</f>
        <v/>
      </c>
      <c r="Y57" s="1384">
        <f>Y56/Y34</f>
        <v/>
      </c>
      <c r="Z57" s="1382">
        <f>Z56/Z34</f>
        <v/>
      </c>
      <c r="AA57" s="1384">
        <f>AA56/AA34</f>
        <v/>
      </c>
      <c r="AB57" s="1384">
        <f>AB56/AB34</f>
        <v/>
      </c>
      <c r="AC57" s="1384">
        <f>AC56/AC34</f>
        <v/>
      </c>
      <c r="AD57" s="1384">
        <f>AD56/AD34</f>
        <v/>
      </c>
      <c r="AE57" s="1382">
        <f>AE56/AE34</f>
        <v/>
      </c>
      <c r="AF57" s="1384">
        <f>AF56/AF34</f>
        <v/>
      </c>
      <c r="AG57" s="1384">
        <f>AG56/AG34</f>
        <v/>
      </c>
      <c r="AH57" s="1384">
        <f>AH56/AH34</f>
        <v/>
      </c>
      <c r="AI57" s="1384">
        <f>AI56/AI34</f>
        <v/>
      </c>
      <c r="AJ57" s="1382">
        <f>AJ56/AJ34</f>
        <v/>
      </c>
      <c r="AK57" s="1384">
        <f>AK56/AK34</f>
        <v/>
      </c>
      <c r="AL57" s="1384">
        <f>AL56/AL34</f>
        <v/>
      </c>
      <c r="AM57" s="1384">
        <f>AM56/AM34</f>
        <v/>
      </c>
      <c r="AN57" s="1384">
        <f>AN56/AN34</f>
        <v/>
      </c>
      <c r="AO57" s="1382">
        <f>AO56/AO34</f>
        <v/>
      </c>
      <c r="AP57" s="1384">
        <f>AP56/AP34</f>
        <v/>
      </c>
      <c r="AQ57" s="1384">
        <f>AQ56/AQ34</f>
        <v/>
      </c>
      <c r="AR57" s="1384">
        <f>AR56/AR34</f>
        <v/>
      </c>
      <c r="AS57" s="1384">
        <f>AS56/AS34</f>
        <v/>
      </c>
      <c r="AT57" s="1382">
        <f>AT56/AT34</f>
        <v/>
      </c>
      <c r="AU57" s="1384">
        <f>AU56/AU34</f>
        <v/>
      </c>
      <c r="AV57" s="1384">
        <f>AV56/AV34</f>
        <v/>
      </c>
      <c r="AW57" s="1384">
        <f>AW56/AW34</f>
        <v/>
      </c>
      <c r="AX57" s="1384">
        <f>AX56/AX34</f>
        <v/>
      </c>
      <c r="AY57" s="1382">
        <f>AY56/AY34</f>
        <v/>
      </c>
      <c r="AZ57" s="1384">
        <f>AZ56/AZ34</f>
        <v/>
      </c>
      <c r="BA57" s="1384">
        <f>BA56/BA34</f>
        <v/>
      </c>
      <c r="BB57" s="1384">
        <f>BB56/BB34</f>
        <v/>
      </c>
      <c r="BC57" s="1384">
        <f>BC56/BC34</f>
        <v/>
      </c>
      <c r="BD57" s="1382">
        <f>BD56/BD34</f>
        <v/>
      </c>
      <c r="BE57" s="1384">
        <f>BE56/BE34</f>
        <v/>
      </c>
      <c r="BF57" s="1384">
        <f>BF56/BF34</f>
        <v/>
      </c>
      <c r="BG57" s="1384">
        <f>BG56/BG34</f>
        <v/>
      </c>
      <c r="BH57" s="1384">
        <f>BH56/BH34</f>
        <v/>
      </c>
      <c r="BI57" s="1382">
        <f>BI56/BI34</f>
        <v/>
      </c>
      <c r="BJ57" s="1384">
        <f>BJ56/BJ34</f>
        <v/>
      </c>
      <c r="BK57" s="1384">
        <f>BK56/BK34</f>
        <v/>
      </c>
      <c r="BL57" s="1384">
        <f>BL56/BL34</f>
        <v/>
      </c>
      <c r="BM57" s="1384">
        <f>BM56/BM34</f>
        <v/>
      </c>
      <c r="BN57" s="1382">
        <f>BN56/BN34</f>
        <v/>
      </c>
      <c r="BO57" s="1384">
        <f>BO56/BO34</f>
        <v/>
      </c>
      <c r="BP57" s="1384">
        <f>BP56/BP34</f>
        <v/>
      </c>
      <c r="BQ57" s="1386">
        <f>BQ56/BQ34</f>
        <v/>
      </c>
      <c r="BR57" s="1398" t="n">
        <v>0.048</v>
      </c>
      <c r="BS57" s="1382">
        <f>BS56/BS34</f>
        <v/>
      </c>
      <c r="BT57" s="1398" t="n">
        <v>0.055</v>
      </c>
      <c r="BU57" s="1398" t="n">
        <v>0.055</v>
      </c>
      <c r="BV57" s="1398" t="n">
        <v>0.055</v>
      </c>
      <c r="BW57" s="1398" t="n">
        <v>0.055</v>
      </c>
      <c r="BX57" s="1382">
        <f>BX56/BX34</f>
        <v/>
      </c>
      <c r="BY57" s="1399" t="n">
        <v>0.055</v>
      </c>
      <c r="BZ57" s="1399" t="n">
        <v>0.055</v>
      </c>
      <c r="CA57" s="1399" t="n">
        <v>0.055</v>
      </c>
      <c r="CB57" s="1385" t="n"/>
    </row>
    <row r="58" hidden="1" outlineLevel="1" ht="14.4" customFormat="1" customHeight="1" s="1359">
      <c r="A58" s="1478" t="inlineStr">
        <is>
          <t>Other adjustments R&amp;D, mm</t>
        </is>
      </c>
      <c r="B58" s="1454" t="n"/>
      <c r="C58" s="1455" t="n"/>
      <c r="D58" s="1455">
        <f>D466</f>
        <v/>
      </c>
      <c r="E58" s="1455">
        <f>E466</f>
        <v/>
      </c>
      <c r="F58" s="1455">
        <f>F466</f>
        <v/>
      </c>
      <c r="G58" s="1456">
        <f>G466</f>
        <v/>
      </c>
      <c r="H58" s="1456">
        <f>H466</f>
        <v/>
      </c>
      <c r="I58" s="1456">
        <f>I466</f>
        <v/>
      </c>
      <c r="J58" s="1456">
        <f>J466</f>
        <v/>
      </c>
      <c r="K58" s="1455">
        <f>K466</f>
        <v/>
      </c>
      <c r="L58" s="1456">
        <f>L466</f>
        <v/>
      </c>
      <c r="M58" s="1456">
        <f>M466</f>
        <v/>
      </c>
      <c r="N58" s="1456">
        <f>N466</f>
        <v/>
      </c>
      <c r="O58" s="1456">
        <f>O466</f>
        <v/>
      </c>
      <c r="P58" s="1455">
        <f>P466</f>
        <v/>
      </c>
      <c r="Q58" s="1456">
        <f>Q466</f>
        <v/>
      </c>
      <c r="R58" s="1456">
        <f>R466</f>
        <v/>
      </c>
      <c r="S58" s="1456">
        <f>S466</f>
        <v/>
      </c>
      <c r="T58" s="1456">
        <f>T466</f>
        <v/>
      </c>
      <c r="U58" s="1455">
        <f>U466</f>
        <v/>
      </c>
      <c r="V58" s="1456">
        <f>V466</f>
        <v/>
      </c>
      <c r="W58" s="1456">
        <f>W466</f>
        <v/>
      </c>
      <c r="X58" s="1456">
        <f>X466</f>
        <v/>
      </c>
      <c r="Y58" s="1456">
        <f>Y466</f>
        <v/>
      </c>
      <c r="Z58" s="1455">
        <f>Z466</f>
        <v/>
      </c>
      <c r="AA58" s="1456">
        <f>AA466</f>
        <v/>
      </c>
      <c r="AB58" s="1456">
        <f>AB466</f>
        <v/>
      </c>
      <c r="AC58" s="1456">
        <f>AC466</f>
        <v/>
      </c>
      <c r="AD58" s="1456">
        <f>AD466</f>
        <v/>
      </c>
      <c r="AE58" s="1455">
        <f>AE466</f>
        <v/>
      </c>
      <c r="AF58" s="1456">
        <f>AF466</f>
        <v/>
      </c>
      <c r="AG58" s="1456">
        <f>AG466</f>
        <v/>
      </c>
      <c r="AH58" s="1456">
        <f>AH466</f>
        <v/>
      </c>
      <c r="AI58" s="1456">
        <f>AI466</f>
        <v/>
      </c>
      <c r="AJ58" s="1455">
        <f>AJ466</f>
        <v/>
      </c>
      <c r="AK58" s="1456">
        <f>AK466</f>
        <v/>
      </c>
      <c r="AL58" s="1456">
        <f>AL466</f>
        <v/>
      </c>
      <c r="AM58" s="1456">
        <f>AM466</f>
        <v/>
      </c>
      <c r="AN58" s="1456">
        <f>AN466</f>
        <v/>
      </c>
      <c r="AO58" s="1455">
        <f>AO466</f>
        <v/>
      </c>
      <c r="AP58" s="1456">
        <f>AP466</f>
        <v/>
      </c>
      <c r="AQ58" s="1456">
        <f>AQ466</f>
        <v/>
      </c>
      <c r="AR58" s="1456">
        <f>AR466</f>
        <v/>
      </c>
      <c r="AS58" s="1456">
        <f>AS466</f>
        <v/>
      </c>
      <c r="AT58" s="1455">
        <f>AT466</f>
        <v/>
      </c>
      <c r="AU58" s="1456">
        <f>AU466</f>
        <v/>
      </c>
      <c r="AV58" s="1456">
        <f>AV466</f>
        <v/>
      </c>
      <c r="AW58" s="1456">
        <f>AW466</f>
        <v/>
      </c>
      <c r="AX58" s="1456">
        <f>AX466</f>
        <v/>
      </c>
      <c r="AY58" s="1455">
        <f>AY466</f>
        <v/>
      </c>
      <c r="AZ58" s="1456">
        <f>AZ466</f>
        <v/>
      </c>
      <c r="BA58" s="1456">
        <f>BA466</f>
        <v/>
      </c>
      <c r="BB58" s="1456">
        <f>BB466</f>
        <v/>
      </c>
      <c r="BC58" s="1456">
        <f>BC466</f>
        <v/>
      </c>
      <c r="BD58" s="1455">
        <f>BD466</f>
        <v/>
      </c>
      <c r="BE58" s="1456">
        <f>BE466</f>
        <v/>
      </c>
      <c r="BF58" s="1456">
        <f>BF466</f>
        <v/>
      </c>
      <c r="BG58" s="1456">
        <f>BG466</f>
        <v/>
      </c>
      <c r="BH58" s="1456">
        <f>BH466</f>
        <v/>
      </c>
      <c r="BI58" s="1455">
        <f>BI466</f>
        <v/>
      </c>
      <c r="BJ58" s="1456">
        <f>BJ466</f>
        <v/>
      </c>
      <c r="BK58" s="1456">
        <f>BK466</f>
        <v/>
      </c>
      <c r="BL58" s="1456">
        <f>BL466</f>
        <v/>
      </c>
      <c r="BM58" s="1456">
        <f>BM466</f>
        <v/>
      </c>
      <c r="BN58" s="1455">
        <f>BN466</f>
        <v/>
      </c>
      <c r="BO58" s="1456">
        <f>BO466</f>
        <v/>
      </c>
      <c r="BP58" s="1456">
        <f>BP466</f>
        <v/>
      </c>
      <c r="BQ58" s="1457">
        <f>BQ466</f>
        <v/>
      </c>
      <c r="BR58" s="1479" t="n">
        <v>19</v>
      </c>
      <c r="BS58" s="1455">
        <f>SUM(BO58,BP58,BQ58,BR58)</f>
        <v/>
      </c>
      <c r="BT58" s="1479" t="n">
        <v>15</v>
      </c>
      <c r="BU58" s="1479" t="n">
        <v>15</v>
      </c>
      <c r="BV58" s="1479" t="n">
        <v>15</v>
      </c>
      <c r="BW58" s="1479" t="n">
        <v>15</v>
      </c>
      <c r="BX58" s="1455">
        <f>SUM(BT58,BU58,BV58,BW58)</f>
        <v/>
      </c>
      <c r="BY58" s="1480" t="n">
        <v>60</v>
      </c>
      <c r="BZ58" s="1480" t="n">
        <v>60</v>
      </c>
      <c r="CA58" s="1480" t="n">
        <v>60</v>
      </c>
      <c r="CB58" s="1364" t="n"/>
    </row>
    <row r="59" collapsed="1" ht="14.4" customFormat="1" customHeight="1" s="1359">
      <c r="A59" s="1490" t="inlineStr">
        <is>
          <t>Non-GAAP R&amp;D, mm</t>
        </is>
      </c>
      <c r="B59" s="1377" t="n"/>
      <c r="C59" s="1379" t="n"/>
      <c r="D59" s="1379">
        <f>D51-D56-D58</f>
        <v/>
      </c>
      <c r="E59" s="1379">
        <f>E51-E56-E58</f>
        <v/>
      </c>
      <c r="F59" s="1379">
        <f>F51-F56-F58</f>
        <v/>
      </c>
      <c r="G59" s="1361">
        <f>G51-G56-G58</f>
        <v/>
      </c>
      <c r="H59" s="1361">
        <f>H51-H56-H58</f>
        <v/>
      </c>
      <c r="I59" s="1361">
        <f>I51-I56-I58</f>
        <v/>
      </c>
      <c r="J59" s="1361">
        <f>J51-J56-J58</f>
        <v/>
      </c>
      <c r="K59" s="1379">
        <f>K51-K56-K58</f>
        <v/>
      </c>
      <c r="L59" s="1361">
        <f>L51-L56-L58</f>
        <v/>
      </c>
      <c r="M59" s="1361">
        <f>M51-M56-M58</f>
        <v/>
      </c>
      <c r="N59" s="1361">
        <f>N51-N56-N58</f>
        <v/>
      </c>
      <c r="O59" s="1361">
        <f>O51-O56-O58</f>
        <v/>
      </c>
      <c r="P59" s="1379">
        <f>P51-P56-P58</f>
        <v/>
      </c>
      <c r="Q59" s="1361">
        <f>Q51-Q56-Q58</f>
        <v/>
      </c>
      <c r="R59" s="1361">
        <f>R51-R56-R58</f>
        <v/>
      </c>
      <c r="S59" s="1361">
        <f>S51-S56-S58</f>
        <v/>
      </c>
      <c r="T59" s="1361">
        <f>T51-T56-T58</f>
        <v/>
      </c>
      <c r="U59" s="1379">
        <f>U51-U56-U58</f>
        <v/>
      </c>
      <c r="V59" s="1361">
        <f>V51-V56-V58</f>
        <v/>
      </c>
      <c r="W59" s="1361">
        <f>W51-W56-W58</f>
        <v/>
      </c>
      <c r="X59" s="1361">
        <f>X51-X56-X58</f>
        <v/>
      </c>
      <c r="Y59" s="1361">
        <f>Y51-Y56-Y58</f>
        <v/>
      </c>
      <c r="Z59" s="1379">
        <f>Z51-Z56-Z58</f>
        <v/>
      </c>
      <c r="AA59" s="1361">
        <f>AA51-AA56-AA58</f>
        <v/>
      </c>
      <c r="AB59" s="1361">
        <f>AB51-AB56-AB58</f>
        <v/>
      </c>
      <c r="AC59" s="1361">
        <f>AC51-AC56-AC58</f>
        <v/>
      </c>
      <c r="AD59" s="1361">
        <f>AD51-AD56-AD58</f>
        <v/>
      </c>
      <c r="AE59" s="1379">
        <f>AE51-AE56-AE58</f>
        <v/>
      </c>
      <c r="AF59" s="1361">
        <f>AF51-AF56-AF58</f>
        <v/>
      </c>
      <c r="AG59" s="1361">
        <f>AG51-AG56-AG58</f>
        <v/>
      </c>
      <c r="AH59" s="1361">
        <f>AH51-AH56-AH58</f>
        <v/>
      </c>
      <c r="AI59" s="1361">
        <f>AI51-AI56-AI58</f>
        <v/>
      </c>
      <c r="AJ59" s="1379">
        <f>AJ51-AJ56-AJ58</f>
        <v/>
      </c>
      <c r="AK59" s="1361">
        <f>AK51-AK56-AK58</f>
        <v/>
      </c>
      <c r="AL59" s="1361">
        <f>AL51-AL56-AL58</f>
        <v/>
      </c>
      <c r="AM59" s="1361">
        <f>AM51-AM56-AM58</f>
        <v/>
      </c>
      <c r="AN59" s="1361">
        <f>AN51-AN56-AN58</f>
        <v/>
      </c>
      <c r="AO59" s="1379">
        <f>AO51-AO56-AO58</f>
        <v/>
      </c>
      <c r="AP59" s="1361">
        <f>AP51-AP56-AP58</f>
        <v/>
      </c>
      <c r="AQ59" s="1361">
        <f>AQ51-AQ56-AQ58</f>
        <v/>
      </c>
      <c r="AR59" s="1361">
        <f>AR51-AR56-AR58</f>
        <v/>
      </c>
      <c r="AS59" s="1361">
        <f>AS51-AS56-AS58</f>
        <v/>
      </c>
      <c r="AT59" s="1379">
        <f>AT51-AT56-AT58</f>
        <v/>
      </c>
      <c r="AU59" s="1361">
        <f>AU51-AU56-AU58</f>
        <v/>
      </c>
      <c r="AV59" s="1361">
        <f>AV51-AV56-AV58</f>
        <v/>
      </c>
      <c r="AW59" s="1361">
        <f>AW51-AW56-AW58</f>
        <v/>
      </c>
      <c r="AX59" s="1361">
        <f>AX51-AX56-AX58</f>
        <v/>
      </c>
      <c r="AY59" s="1379">
        <f>AY51-AY56-AY58</f>
        <v/>
      </c>
      <c r="AZ59" s="1361">
        <f>AZ51-AZ56-AZ58</f>
        <v/>
      </c>
      <c r="BA59" s="1361">
        <f>BA51-BA56-BA58</f>
        <v/>
      </c>
      <c r="BB59" s="1361">
        <f>BB51-BB56-BB58</f>
        <v/>
      </c>
      <c r="BC59" s="1361">
        <f>BC51-BC56-BC58</f>
        <v/>
      </c>
      <c r="BD59" s="1379">
        <f>BD51-BD56-BD58</f>
        <v/>
      </c>
      <c r="BE59" s="1361">
        <f>BE51-BE56-BE58</f>
        <v/>
      </c>
      <c r="BF59" s="1361">
        <f>BF51-BF56-BF58</f>
        <v/>
      </c>
      <c r="BG59" s="1361">
        <f>BG51-BG56-BG58</f>
        <v/>
      </c>
      <c r="BH59" s="1361">
        <f>BH51-BH56-BH58</f>
        <v/>
      </c>
      <c r="BI59" s="1379">
        <f>BI51-BI56-BI58</f>
        <v/>
      </c>
      <c r="BJ59" s="1361">
        <f>BJ51-BJ56-BJ58</f>
        <v/>
      </c>
      <c r="BK59" s="1361">
        <f>BK51-BK56-BK58</f>
        <v/>
      </c>
      <c r="BL59" s="1361">
        <f>BL51-BL56-BL58</f>
        <v/>
      </c>
      <c r="BM59" s="1361">
        <f>BM51-BM56-BM58</f>
        <v/>
      </c>
      <c r="BN59" s="1379">
        <f>BN51-BN56-BN58</f>
        <v/>
      </c>
      <c r="BO59" s="1361">
        <f>BO51-BO56-BO58</f>
        <v/>
      </c>
      <c r="BP59" s="1361">
        <f>BP51-BP56-BP58</f>
        <v/>
      </c>
      <c r="BQ59" s="1363">
        <f>BQ51-BQ56-BQ58</f>
        <v/>
      </c>
      <c r="BR59" s="1361">
        <f>BR61*BR34</f>
        <v/>
      </c>
      <c r="BS59" s="1379">
        <f>SUM(BO59,BP59,BQ59,BR59)</f>
        <v/>
      </c>
      <c r="BT59" s="1361">
        <f>BT61*BT34</f>
        <v/>
      </c>
      <c r="BU59" s="1361">
        <f>BU61*BU34</f>
        <v/>
      </c>
      <c r="BV59" s="1361">
        <f>BV61*BV34</f>
        <v/>
      </c>
      <c r="BW59" s="1361">
        <f>BW61*BW34</f>
        <v/>
      </c>
      <c r="BX59" s="1379">
        <f>SUM(BT59,BU59,BV59,BW59)</f>
        <v/>
      </c>
      <c r="BY59" s="1379">
        <f>BY61*BY34</f>
        <v/>
      </c>
      <c r="BZ59" s="1379">
        <f>BZ61*BZ34</f>
        <v/>
      </c>
      <c r="CA59" s="1379">
        <f>CA61*CA34</f>
        <v/>
      </c>
      <c r="CB59" s="1364" t="n"/>
    </row>
    <row r="60" ht="14.4" customFormat="1" customHeight="1" s="1372">
      <c r="A60" s="1408" t="inlineStr">
        <is>
          <t>Y/Y Non-GAAP R&amp;D growth, %</t>
        </is>
      </c>
      <c r="B60" s="1381" t="n"/>
      <c r="C60" s="1382" t="n"/>
      <c r="D60" s="1382" t="n"/>
      <c r="E60" s="1382">
        <f>E59/D59-1</f>
        <v/>
      </c>
      <c r="F60" s="1382">
        <f>F59/E59-1</f>
        <v/>
      </c>
      <c r="G60" s="1384" t="n"/>
      <c r="H60" s="1384" t="n"/>
      <c r="I60" s="1384" t="n"/>
      <c r="J60" s="1384" t="n"/>
      <c r="K60" s="1382">
        <f>K59/F59-1</f>
        <v/>
      </c>
      <c r="L60" s="1384">
        <f>L59/G59-1</f>
        <v/>
      </c>
      <c r="M60" s="1384">
        <f>M59/H59-1</f>
        <v/>
      </c>
      <c r="N60" s="1384">
        <f>N59/I59-1</f>
        <v/>
      </c>
      <c r="O60" s="1384">
        <f>O59/J59-1</f>
        <v/>
      </c>
      <c r="P60" s="1382">
        <f>P59/K59-1</f>
        <v/>
      </c>
      <c r="Q60" s="1384">
        <f>Q59/L59-1</f>
        <v/>
      </c>
      <c r="R60" s="1384">
        <f>R59/M59-1</f>
        <v/>
      </c>
      <c r="S60" s="1384">
        <f>S59/N59-1</f>
        <v/>
      </c>
      <c r="T60" s="1384">
        <f>T59/O59-1</f>
        <v/>
      </c>
      <c r="U60" s="1382">
        <f>U59/P59-1</f>
        <v/>
      </c>
      <c r="V60" s="1384">
        <f>V59/Q59-1</f>
        <v/>
      </c>
      <c r="W60" s="1384">
        <f>W59/R59-1</f>
        <v/>
      </c>
      <c r="X60" s="1384">
        <f>X59/S59-1</f>
        <v/>
      </c>
      <c r="Y60" s="1384">
        <f>Y59/T59-1</f>
        <v/>
      </c>
      <c r="Z60" s="1382">
        <f>Z59/U59-1</f>
        <v/>
      </c>
      <c r="AA60" s="1384">
        <f>AA59/V59-1</f>
        <v/>
      </c>
      <c r="AB60" s="1384">
        <f>AB59/W59-1</f>
        <v/>
      </c>
      <c r="AC60" s="1384">
        <f>AC59/X59-1</f>
        <v/>
      </c>
      <c r="AD60" s="1384">
        <f>AD59/Y59-1</f>
        <v/>
      </c>
      <c r="AE60" s="1382">
        <f>AE59/Z59-1</f>
        <v/>
      </c>
      <c r="AF60" s="1384">
        <f>AF59/AA59-1</f>
        <v/>
      </c>
      <c r="AG60" s="1384">
        <f>AG59/AB59-1</f>
        <v/>
      </c>
      <c r="AH60" s="1384">
        <f>AH59/AC59-1</f>
        <v/>
      </c>
      <c r="AI60" s="1384">
        <f>AI59/AD59-1</f>
        <v/>
      </c>
      <c r="AJ60" s="1382">
        <f>AJ59/AE59-1</f>
        <v/>
      </c>
      <c r="AK60" s="1384">
        <f>AK59/AF59-1</f>
        <v/>
      </c>
      <c r="AL60" s="1384">
        <f>AL59/AG59-1</f>
        <v/>
      </c>
      <c r="AM60" s="1384">
        <f>AM59/AH59-1</f>
        <v/>
      </c>
      <c r="AN60" s="1384">
        <f>AN59/AI59-1</f>
        <v/>
      </c>
      <c r="AO60" s="1382">
        <f>AO59/AJ59-1</f>
        <v/>
      </c>
      <c r="AP60" s="1384">
        <f>AP59/AK59-1</f>
        <v/>
      </c>
      <c r="AQ60" s="1384">
        <f>AQ59/AL59-1</f>
        <v/>
      </c>
      <c r="AR60" s="1384">
        <f>AR59/AM59-1</f>
        <v/>
      </c>
      <c r="AS60" s="1384">
        <f>AS59/AN59-1</f>
        <v/>
      </c>
      <c r="AT60" s="1382">
        <f>AT59/AO59-1</f>
        <v/>
      </c>
      <c r="AU60" s="1384">
        <f>AU59/AP59-1</f>
        <v/>
      </c>
      <c r="AV60" s="1384">
        <f>AV59/AQ59-1</f>
        <v/>
      </c>
      <c r="AW60" s="1384">
        <f>AW59/AR59-1</f>
        <v/>
      </c>
      <c r="AX60" s="1384">
        <f>AX59/AS59-1</f>
        <v/>
      </c>
      <c r="AY60" s="1382">
        <f>AY59/AT59-1</f>
        <v/>
      </c>
      <c r="AZ60" s="1384">
        <f>AZ59/AU59-1</f>
        <v/>
      </c>
      <c r="BA60" s="1384">
        <f>BA59/AV59-1</f>
        <v/>
      </c>
      <c r="BB60" s="1384">
        <f>BB59/AW59-1</f>
        <v/>
      </c>
      <c r="BC60" s="1384">
        <f>BC59/AX59-1</f>
        <v/>
      </c>
      <c r="BD60" s="1382">
        <f>BD59/AY59-1</f>
        <v/>
      </c>
      <c r="BE60" s="1384">
        <f>BE59/AZ59-1</f>
        <v/>
      </c>
      <c r="BF60" s="1384">
        <f>BF59/BA59-1</f>
        <v/>
      </c>
      <c r="BG60" s="1384">
        <f>BG59/BB59-1</f>
        <v/>
      </c>
      <c r="BH60" s="1384">
        <f>BH59/BC59-1</f>
        <v/>
      </c>
      <c r="BI60" s="1382">
        <f>BI59/BD59-1</f>
        <v/>
      </c>
      <c r="BJ60" s="1384">
        <f>BJ59/BE59-1</f>
        <v/>
      </c>
      <c r="BK60" s="1384">
        <f>BK59/BF59-1</f>
        <v/>
      </c>
      <c r="BL60" s="1384">
        <f>BL59/BG59-1</f>
        <v/>
      </c>
      <c r="BM60" s="1384">
        <f>BM59/BH59-1</f>
        <v/>
      </c>
      <c r="BN60" s="1382">
        <f>BN59/BI59-1</f>
        <v/>
      </c>
      <c r="BO60" s="1384">
        <f>BO59/BJ59-1</f>
        <v/>
      </c>
      <c r="BP60" s="1384">
        <f>BP59/BK59-1</f>
        <v/>
      </c>
      <c r="BQ60" s="1386">
        <f>BQ59/BL59-1</f>
        <v/>
      </c>
      <c r="BR60" s="1384">
        <f>BR59/BM59-1</f>
        <v/>
      </c>
      <c r="BS60" s="1382">
        <f>BS59/BN59-1</f>
        <v/>
      </c>
      <c r="BT60" s="1384">
        <f>BT59/BO59-1</f>
        <v/>
      </c>
      <c r="BU60" s="1384">
        <f>BU59/BP59-1</f>
        <v/>
      </c>
      <c r="BV60" s="1384">
        <f>BV59/BQ59-1</f>
        <v/>
      </c>
      <c r="BW60" s="1384">
        <f>BW59/BR59-1</f>
        <v/>
      </c>
      <c r="BX60" s="1382">
        <f>BX59/BS59-1</f>
        <v/>
      </c>
      <c r="BY60" s="1382">
        <f>BY59/BX59-1</f>
        <v/>
      </c>
      <c r="BZ60" s="1382">
        <f>BZ59/BY59-1</f>
        <v/>
      </c>
      <c r="CA60" s="1382">
        <f>CA59/BZ59-1</f>
        <v/>
      </c>
      <c r="CB60" s="1375" t="n"/>
    </row>
    <row r="61" ht="14.4" customFormat="1" customHeight="1" s="1460">
      <c r="A61" s="1492" t="inlineStr">
        <is>
          <t>Non-GAAP R&amp;D Margin, %</t>
        </is>
      </c>
      <c r="B61" s="1462" t="n"/>
      <c r="C61" s="1463" t="n"/>
      <c r="D61" s="1463">
        <f>D59/D34</f>
        <v/>
      </c>
      <c r="E61" s="1463">
        <f>E59/E34</f>
        <v/>
      </c>
      <c r="F61" s="1463">
        <f>F59/F34</f>
        <v/>
      </c>
      <c r="G61" s="1466">
        <f>G59/G34</f>
        <v/>
      </c>
      <c r="H61" s="1466">
        <f>H59/H34</f>
        <v/>
      </c>
      <c r="I61" s="1466">
        <f>I59/I34</f>
        <v/>
      </c>
      <c r="J61" s="1466">
        <f>J59/J34</f>
        <v/>
      </c>
      <c r="K61" s="1463">
        <f>K59/K34</f>
        <v/>
      </c>
      <c r="L61" s="1466">
        <f>L59/L34</f>
        <v/>
      </c>
      <c r="M61" s="1466">
        <f>M59/M34</f>
        <v/>
      </c>
      <c r="N61" s="1466">
        <f>N59/N34</f>
        <v/>
      </c>
      <c r="O61" s="1466">
        <f>O59/O34</f>
        <v/>
      </c>
      <c r="P61" s="1463">
        <f>P59/P34</f>
        <v/>
      </c>
      <c r="Q61" s="1466">
        <f>Q59/Q34</f>
        <v/>
      </c>
      <c r="R61" s="1466">
        <f>R59/R34</f>
        <v/>
      </c>
      <c r="S61" s="1466">
        <f>S59/S34</f>
        <v/>
      </c>
      <c r="T61" s="1466">
        <f>T59/T34</f>
        <v/>
      </c>
      <c r="U61" s="1463">
        <f>U59/U34</f>
        <v/>
      </c>
      <c r="V61" s="1466">
        <f>V59/V34</f>
        <v/>
      </c>
      <c r="W61" s="1466">
        <f>W59/W34</f>
        <v/>
      </c>
      <c r="X61" s="1466">
        <f>X59/X34</f>
        <v/>
      </c>
      <c r="Y61" s="1466">
        <f>Y59/Y34</f>
        <v/>
      </c>
      <c r="Z61" s="1463">
        <f>Z59/Z34</f>
        <v/>
      </c>
      <c r="AA61" s="1466">
        <f>AA59/AA34</f>
        <v/>
      </c>
      <c r="AB61" s="1466">
        <f>AB59/AB34</f>
        <v/>
      </c>
      <c r="AC61" s="1466">
        <f>AC59/AC34</f>
        <v/>
      </c>
      <c r="AD61" s="1466">
        <f>AD59/AD34</f>
        <v/>
      </c>
      <c r="AE61" s="1463">
        <f>AE59/AE34</f>
        <v/>
      </c>
      <c r="AF61" s="1466">
        <f>AF59/AF34</f>
        <v/>
      </c>
      <c r="AG61" s="1466">
        <f>AG59/AG34</f>
        <v/>
      </c>
      <c r="AH61" s="1466">
        <f>AH59/AH34</f>
        <v/>
      </c>
      <c r="AI61" s="1466">
        <f>AI59/AI34</f>
        <v/>
      </c>
      <c r="AJ61" s="1463">
        <f>AJ59/AJ34</f>
        <v/>
      </c>
      <c r="AK61" s="1466">
        <f>AK59/AK34</f>
        <v/>
      </c>
      <c r="AL61" s="1466">
        <f>AL59/AL34</f>
        <v/>
      </c>
      <c r="AM61" s="1466">
        <f>AM59/AM34</f>
        <v/>
      </c>
      <c r="AN61" s="1466">
        <f>AN59/AN34</f>
        <v/>
      </c>
      <c r="AO61" s="1463">
        <f>AO59/AO34</f>
        <v/>
      </c>
      <c r="AP61" s="1466">
        <f>AP59/AP34</f>
        <v/>
      </c>
      <c r="AQ61" s="1466">
        <f>AQ59/AQ34</f>
        <v/>
      </c>
      <c r="AR61" s="1466">
        <f>AR59/AR34</f>
        <v/>
      </c>
      <c r="AS61" s="1466">
        <f>AS59/AS34</f>
        <v/>
      </c>
      <c r="AT61" s="1463">
        <f>AT59/AT34</f>
        <v/>
      </c>
      <c r="AU61" s="1466">
        <f>AU59/AU34</f>
        <v/>
      </c>
      <c r="AV61" s="1466">
        <f>AV59/AV34</f>
        <v/>
      </c>
      <c r="AW61" s="1466">
        <f>AW59/AW34</f>
        <v/>
      </c>
      <c r="AX61" s="1466">
        <f>AX59/AX34</f>
        <v/>
      </c>
      <c r="AY61" s="1463">
        <f>AY59/AY34</f>
        <v/>
      </c>
      <c r="AZ61" s="1466">
        <f>AZ59/AZ34</f>
        <v/>
      </c>
      <c r="BA61" s="1466">
        <f>BA59/BA34</f>
        <v/>
      </c>
      <c r="BB61" s="1466">
        <f>BB59/BB34</f>
        <v/>
      </c>
      <c r="BC61" s="1466">
        <f>BC59/BC34</f>
        <v/>
      </c>
      <c r="BD61" s="1463">
        <f>BD59/BD34</f>
        <v/>
      </c>
      <c r="BE61" s="1466">
        <f>BE59/BE34</f>
        <v/>
      </c>
      <c r="BF61" s="1466">
        <f>BF59/BF34</f>
        <v/>
      </c>
      <c r="BG61" s="1466">
        <f>BG59/BG34</f>
        <v/>
      </c>
      <c r="BH61" s="1466">
        <f>BH59/BH34</f>
        <v/>
      </c>
      <c r="BI61" s="1463">
        <f>BI59/BI34</f>
        <v/>
      </c>
      <c r="BJ61" s="1466">
        <f>BJ59/BJ34</f>
        <v/>
      </c>
      <c r="BK61" s="1466">
        <f>BK59/BK34</f>
        <v/>
      </c>
      <c r="BL61" s="1466">
        <f>BL59/BL34</f>
        <v/>
      </c>
      <c r="BM61" s="1466">
        <f>BM59/BM34</f>
        <v/>
      </c>
      <c r="BN61" s="1463">
        <f>BN59/BN34</f>
        <v/>
      </c>
      <c r="BO61" s="1466">
        <f>BO59/BO34</f>
        <v/>
      </c>
      <c r="BP61" s="1466">
        <f>BP59/BP34</f>
        <v/>
      </c>
      <c r="BQ61" s="1491">
        <f>BQ59/BQ34</f>
        <v/>
      </c>
      <c r="BR61" s="1466">
        <f>BM61-BR62/10000</f>
        <v/>
      </c>
      <c r="BS61" s="1463">
        <f>BS59/BS34</f>
        <v/>
      </c>
      <c r="BT61" s="1466">
        <f>BO61-BT62/10000</f>
        <v/>
      </c>
      <c r="BU61" s="1466">
        <f>BP61-BU62/10000</f>
        <v/>
      </c>
      <c r="BV61" s="1466">
        <f>BQ61-BV62/10000</f>
        <v/>
      </c>
      <c r="BW61" s="1466">
        <f>BR61-BW62/10000</f>
        <v/>
      </c>
      <c r="BX61" s="1463">
        <f>BX59/BX34</f>
        <v/>
      </c>
      <c r="BY61" s="1463">
        <f>BX61-BY62/10000</f>
        <v/>
      </c>
      <c r="BZ61" s="1463">
        <f>BY61-BZ62/10000</f>
        <v/>
      </c>
      <c r="CA61" s="1463">
        <f>BZ61-CA62/10000</f>
        <v/>
      </c>
      <c r="CB61" s="1465" t="n"/>
    </row>
    <row r="62" ht="14.4" customFormat="1" customHeight="1" s="1460">
      <c r="A62" s="1486" t="inlineStr">
        <is>
          <t>Y/Y Non-GAAP R&amp;D Margin improvement, bps</t>
        </is>
      </c>
      <c r="B62" s="1462" t="n"/>
      <c r="C62" s="1469" t="n"/>
      <c r="D62" s="1469" t="n"/>
      <c r="E62" s="1469">
        <f>-(E61-D61)*10000</f>
        <v/>
      </c>
      <c r="F62" s="1469">
        <f>-(F61-E61)*10000</f>
        <v/>
      </c>
      <c r="G62" s="1471" t="n"/>
      <c r="H62" s="1471" t="n"/>
      <c r="I62" s="1471" t="n"/>
      <c r="J62" s="1471" t="n"/>
      <c r="K62" s="1469">
        <f>-(K61-F61)*10000</f>
        <v/>
      </c>
      <c r="L62" s="1471">
        <f>-(L61-G61)*10000</f>
        <v/>
      </c>
      <c r="M62" s="1471">
        <f>-(M61-H61)*10000</f>
        <v/>
      </c>
      <c r="N62" s="1471">
        <f>-(N61-I61)*10000</f>
        <v/>
      </c>
      <c r="O62" s="1471">
        <f>-(O61-J61)*10000</f>
        <v/>
      </c>
      <c r="P62" s="1469">
        <f>-(P61-K61)*10000</f>
        <v/>
      </c>
      <c r="Q62" s="1471">
        <f>-(Q61-L61)*10000</f>
        <v/>
      </c>
      <c r="R62" s="1471">
        <f>-(R61-M61)*10000</f>
        <v/>
      </c>
      <c r="S62" s="1471">
        <f>-(S61-N61)*10000</f>
        <v/>
      </c>
      <c r="T62" s="1471">
        <f>-(T61-O61)*10000</f>
        <v/>
      </c>
      <c r="U62" s="1469">
        <f>-(U61-P61)*10000</f>
        <v/>
      </c>
      <c r="V62" s="1471">
        <f>-(V61-Q61)*10000</f>
        <v/>
      </c>
      <c r="W62" s="1471">
        <f>-(W61-R61)*10000</f>
        <v/>
      </c>
      <c r="X62" s="1471">
        <f>-(X61-S61)*10000</f>
        <v/>
      </c>
      <c r="Y62" s="1471">
        <f>-(Y61-T61)*10000</f>
        <v/>
      </c>
      <c r="Z62" s="1469">
        <f>-(Z61-U61)*10000</f>
        <v/>
      </c>
      <c r="AA62" s="1471">
        <f>-(AA61-V61)*10000</f>
        <v/>
      </c>
      <c r="AB62" s="1471">
        <f>-(AB61-W61)*10000</f>
        <v/>
      </c>
      <c r="AC62" s="1471">
        <f>-(AC61-X61)*10000</f>
        <v/>
      </c>
      <c r="AD62" s="1471">
        <f>-(AD61-Y61)*10000</f>
        <v/>
      </c>
      <c r="AE62" s="1469">
        <f>-(AE61-Z61)*10000</f>
        <v/>
      </c>
      <c r="AF62" s="1471">
        <f>-(AF61-AA61)*10000</f>
        <v/>
      </c>
      <c r="AG62" s="1471">
        <f>-(AG61-AB61)*10000</f>
        <v/>
      </c>
      <c r="AH62" s="1471">
        <f>-(AH61-AC61)*10000</f>
        <v/>
      </c>
      <c r="AI62" s="1471">
        <f>-(AI61-AD61)*10000</f>
        <v/>
      </c>
      <c r="AJ62" s="1469">
        <f>-(AJ61-AE61)*10000</f>
        <v/>
      </c>
      <c r="AK62" s="1471">
        <f>-(AK61-AF61)*10000</f>
        <v/>
      </c>
      <c r="AL62" s="1471">
        <f>-(AL61-AG61)*10000</f>
        <v/>
      </c>
      <c r="AM62" s="1471">
        <f>-(AM61-AH61)*10000</f>
        <v/>
      </c>
      <c r="AN62" s="1471">
        <f>-(AN61-AI61)*10000</f>
        <v/>
      </c>
      <c r="AO62" s="1469">
        <f>-(AO61-AJ61)*10000</f>
        <v/>
      </c>
      <c r="AP62" s="1471">
        <f>-(AP61-AK61)*10000</f>
        <v/>
      </c>
      <c r="AQ62" s="1471">
        <f>-(AQ61-AL61)*10000</f>
        <v/>
      </c>
      <c r="AR62" s="1471">
        <f>-(AR61-AM61)*10000</f>
        <v/>
      </c>
      <c r="AS62" s="1471">
        <f>-(AS61-AN61)*10000</f>
        <v/>
      </c>
      <c r="AT62" s="1469">
        <f>-(AT61-AO61)*10000</f>
        <v/>
      </c>
      <c r="AU62" s="1471">
        <f>-(AU61-AP61)*10000</f>
        <v/>
      </c>
      <c r="AV62" s="1471">
        <f>-(AV61-AQ61)*10000</f>
        <v/>
      </c>
      <c r="AW62" s="1471">
        <f>-(AW61-AR61)*10000</f>
        <v/>
      </c>
      <c r="AX62" s="1471">
        <f>-(AX61-AS61)*10000</f>
        <v/>
      </c>
      <c r="AY62" s="1469">
        <f>-(AY61-AT61)*10000</f>
        <v/>
      </c>
      <c r="AZ62" s="1471">
        <f>-(AZ61-AU61)*10000</f>
        <v/>
      </c>
      <c r="BA62" s="1471">
        <f>-(BA61-AV61)*10000</f>
        <v/>
      </c>
      <c r="BB62" s="1471">
        <f>-(BB61-AW61)*10000</f>
        <v/>
      </c>
      <c r="BC62" s="1471">
        <f>-(BC61-AX61)*10000</f>
        <v/>
      </c>
      <c r="BD62" s="1469">
        <f>-(BD61-AY61)*10000</f>
        <v/>
      </c>
      <c r="BE62" s="1471">
        <f>-(BE61-AZ61)*10000</f>
        <v/>
      </c>
      <c r="BF62" s="1471">
        <f>-(BF61-BA61)*10000</f>
        <v/>
      </c>
      <c r="BG62" s="1471">
        <f>-(BG61-BB61)*10000</f>
        <v/>
      </c>
      <c r="BH62" s="1471">
        <f>-(BH61-BC61)*10000</f>
        <v/>
      </c>
      <c r="BI62" s="1469">
        <f>-(BI61-BD61)*10000</f>
        <v/>
      </c>
      <c r="BJ62" s="1471">
        <f>-(BJ61-BE61)*10000</f>
        <v/>
      </c>
      <c r="BK62" s="1471">
        <f>-(BK61-BF61)*10000</f>
        <v/>
      </c>
      <c r="BL62" s="1471">
        <f>-(BL61-BG61)*10000</f>
        <v/>
      </c>
      <c r="BM62" s="1471">
        <f>-(BM61-BH61)*10000</f>
        <v/>
      </c>
      <c r="BN62" s="1469">
        <f>-(BN61-BI61)*10000</f>
        <v/>
      </c>
      <c r="BO62" s="1471">
        <f>-(BO61-BJ61)*10000</f>
        <v/>
      </c>
      <c r="BP62" s="1471">
        <f>-(BP61-BK61)*10000</f>
        <v/>
      </c>
      <c r="BQ62" s="1487">
        <f>-(BQ61-BL61)*10000</f>
        <v/>
      </c>
      <c r="BR62" s="1488" t="n">
        <v>20</v>
      </c>
      <c r="BS62" s="1469">
        <f>-(BS61-BN61)*10000</f>
        <v/>
      </c>
      <c r="BT62" s="1488" t="n">
        <v>20</v>
      </c>
      <c r="BU62" s="1488" t="n">
        <v>20</v>
      </c>
      <c r="BV62" s="1488" t="n">
        <v>0</v>
      </c>
      <c r="BW62" s="1488" t="n">
        <v>0</v>
      </c>
      <c r="BX62" s="1469">
        <f>-(BX61-BS61)*10000</f>
        <v/>
      </c>
      <c r="BY62" s="1489" t="n">
        <v>0</v>
      </c>
      <c r="BZ62" s="1489" t="n">
        <v>0</v>
      </c>
      <c r="CA62" s="1489" t="n">
        <v>0</v>
      </c>
      <c r="CB62" s="1465" t="n"/>
    </row>
    <row r="63" ht="14.4" customFormat="1" customHeight="1" s="1372">
      <c r="A63" s="1447" t="n"/>
      <c r="B63" s="1448" t="n"/>
      <c r="C63" s="1449" t="n"/>
      <c r="D63" s="1449" t="n"/>
      <c r="E63" s="1449" t="n"/>
      <c r="F63" s="1449" t="n"/>
      <c r="G63" s="1450" t="n"/>
      <c r="H63" s="1450" t="n"/>
      <c r="I63" s="1450" t="n"/>
      <c r="J63" s="1450" t="n"/>
      <c r="K63" s="1449" t="n"/>
      <c r="L63" s="1450" t="n"/>
      <c r="M63" s="1450" t="n"/>
      <c r="N63" s="1450" t="n"/>
      <c r="O63" s="1450" t="n"/>
      <c r="P63" s="1449" t="n"/>
      <c r="Q63" s="1450" t="n"/>
      <c r="R63" s="1450" t="n"/>
      <c r="S63" s="1450" t="n"/>
      <c r="T63" s="1450" t="n"/>
      <c r="U63" s="1449" t="n"/>
      <c r="V63" s="1450" t="n"/>
      <c r="W63" s="1450" t="n"/>
      <c r="X63" s="1450" t="n"/>
      <c r="Y63" s="1450" t="n"/>
      <c r="Z63" s="1449" t="n"/>
      <c r="AA63" s="1450" t="n"/>
      <c r="AB63" s="1450" t="n"/>
      <c r="AC63" s="1450" t="n"/>
      <c r="AD63" s="1450" t="n"/>
      <c r="AE63" s="1449" t="n"/>
      <c r="AF63" s="1450" t="n"/>
      <c r="AG63" s="1450" t="n"/>
      <c r="AH63" s="1450" t="n"/>
      <c r="AI63" s="1450" t="n"/>
      <c r="AJ63" s="1449" t="n"/>
      <c r="AK63" s="1450" t="n"/>
      <c r="AL63" s="1450" t="n"/>
      <c r="AM63" s="1450" t="n"/>
      <c r="AN63" s="1450" t="n"/>
      <c r="AO63" s="1449" t="n"/>
      <c r="AP63" s="1450" t="n"/>
      <c r="AQ63" s="1450" t="n"/>
      <c r="AR63" s="1450" t="n"/>
      <c r="AS63" s="1450" t="n"/>
      <c r="AT63" s="1449" t="n"/>
      <c r="AU63" s="1450" t="n"/>
      <c r="AV63" s="1450" t="n"/>
      <c r="AW63" s="1450" t="n"/>
      <c r="AX63" s="1450" t="n"/>
      <c r="AY63" s="1449" t="n"/>
      <c r="AZ63" s="1450" t="n"/>
      <c r="BA63" s="1450" t="n"/>
      <c r="BB63" s="1450" t="n"/>
      <c r="BC63" s="1450" t="n"/>
      <c r="BD63" s="1449" t="n"/>
      <c r="BE63" s="1450" t="n"/>
      <c r="BF63" s="1450" t="n"/>
      <c r="BG63" s="1450" t="n"/>
      <c r="BH63" s="1450" t="n"/>
      <c r="BI63" s="1449" t="n"/>
      <c r="BJ63" s="1450" t="n"/>
      <c r="BK63" s="1450" t="n"/>
      <c r="BL63" s="1450" t="n"/>
      <c r="BM63" s="1450" t="n"/>
      <c r="BN63" s="1449" t="n"/>
      <c r="BO63" s="1450" t="n"/>
      <c r="BP63" s="1450" t="n"/>
      <c r="BQ63" s="1451" t="n"/>
      <c r="BR63" s="1450" t="n"/>
      <c r="BS63" s="1449" t="n"/>
      <c r="BT63" s="1450" t="n"/>
      <c r="BU63" s="1450" t="n"/>
      <c r="BV63" s="1450" t="n"/>
      <c r="BW63" s="1450" t="n"/>
      <c r="BX63" s="1449" t="n"/>
      <c r="BY63" s="1449" t="n"/>
      <c r="BZ63" s="1449" t="n"/>
      <c r="CA63" s="1449" t="n"/>
      <c r="CB63" s="1375" t="n"/>
    </row>
    <row r="64" hidden="1" outlineLevel="1" ht="14.4" customFormat="1" customHeight="1" s="1359">
      <c r="A64" s="1490" t="inlineStr">
        <is>
          <t>GAAP G&amp;A, mm</t>
        </is>
      </c>
      <c r="B64" s="1377" t="n"/>
      <c r="C64" s="1379">
        <f>C468</f>
        <v/>
      </c>
      <c r="D64" s="1379">
        <f>D468</f>
        <v/>
      </c>
      <c r="E64" s="1379">
        <f>E468</f>
        <v/>
      </c>
      <c r="F64" s="1379">
        <f>F468</f>
        <v/>
      </c>
      <c r="G64" s="1361">
        <f>G468</f>
        <v/>
      </c>
      <c r="H64" s="1361">
        <f>H468</f>
        <v/>
      </c>
      <c r="I64" s="1361">
        <f>I468</f>
        <v/>
      </c>
      <c r="J64" s="1361">
        <f>J468</f>
        <v/>
      </c>
      <c r="K64" s="1379">
        <f>K468</f>
        <v/>
      </c>
      <c r="L64" s="1361">
        <f>L468</f>
        <v/>
      </c>
      <c r="M64" s="1361">
        <f>M468</f>
        <v/>
      </c>
      <c r="N64" s="1361">
        <f>N468</f>
        <v/>
      </c>
      <c r="O64" s="1361">
        <f>O468</f>
        <v/>
      </c>
      <c r="P64" s="1379">
        <f>P468</f>
        <v/>
      </c>
      <c r="Q64" s="1361">
        <f>Q468</f>
        <v/>
      </c>
      <c r="R64" s="1361">
        <f>R468</f>
        <v/>
      </c>
      <c r="S64" s="1361">
        <f>S468</f>
        <v/>
      </c>
      <c r="T64" s="1361">
        <f>T468</f>
        <v/>
      </c>
      <c r="U64" s="1379">
        <f>U468</f>
        <v/>
      </c>
      <c r="V64" s="1361">
        <f>V468</f>
        <v/>
      </c>
      <c r="W64" s="1361">
        <f>W468</f>
        <v/>
      </c>
      <c r="X64" s="1361">
        <f>X468</f>
        <v/>
      </c>
      <c r="Y64" s="1361">
        <f>Y468</f>
        <v/>
      </c>
      <c r="Z64" s="1379">
        <f>Z468</f>
        <v/>
      </c>
      <c r="AA64" s="1361">
        <f>AA468</f>
        <v/>
      </c>
      <c r="AB64" s="1361">
        <f>AB468</f>
        <v/>
      </c>
      <c r="AC64" s="1361">
        <f>AC468</f>
        <v/>
      </c>
      <c r="AD64" s="1361">
        <f>AD468</f>
        <v/>
      </c>
      <c r="AE64" s="1379">
        <f>AE468</f>
        <v/>
      </c>
      <c r="AF64" s="1361">
        <f>AF468</f>
        <v/>
      </c>
      <c r="AG64" s="1361">
        <f>AG468</f>
        <v/>
      </c>
      <c r="AH64" s="1361">
        <f>AH468</f>
        <v/>
      </c>
      <c r="AI64" s="1361">
        <f>AI468</f>
        <v/>
      </c>
      <c r="AJ64" s="1379">
        <f>AJ468</f>
        <v/>
      </c>
      <c r="AK64" s="1361">
        <f>AK468</f>
        <v/>
      </c>
      <c r="AL64" s="1361">
        <f>AL468</f>
        <v/>
      </c>
      <c r="AM64" s="1361">
        <f>AM468</f>
        <v/>
      </c>
      <c r="AN64" s="1361">
        <f>AN468</f>
        <v/>
      </c>
      <c r="AO64" s="1379">
        <f>AO468</f>
        <v/>
      </c>
      <c r="AP64" s="1361">
        <f>AP468</f>
        <v/>
      </c>
      <c r="AQ64" s="1361">
        <f>AQ468</f>
        <v/>
      </c>
      <c r="AR64" s="1361">
        <f>AR468</f>
        <v/>
      </c>
      <c r="AS64" s="1361">
        <f>AS468</f>
        <v/>
      </c>
      <c r="AT64" s="1379">
        <f>AT468</f>
        <v/>
      </c>
      <c r="AU64" s="1361">
        <f>AU468</f>
        <v/>
      </c>
      <c r="AV64" s="1361">
        <f>AV468</f>
        <v/>
      </c>
      <c r="AW64" s="1361">
        <f>AW468</f>
        <v/>
      </c>
      <c r="AX64" s="1361">
        <f>AX468</f>
        <v/>
      </c>
      <c r="AY64" s="1379">
        <f>AY468</f>
        <v/>
      </c>
      <c r="AZ64" s="1361">
        <f>AZ468</f>
        <v/>
      </c>
      <c r="BA64" s="1361">
        <f>BA468</f>
        <v/>
      </c>
      <c r="BB64" s="1361">
        <f>BB468</f>
        <v/>
      </c>
      <c r="BC64" s="1361">
        <f>BC468</f>
        <v/>
      </c>
      <c r="BD64" s="1379">
        <f>BD468</f>
        <v/>
      </c>
      <c r="BE64" s="1361">
        <f>BE468</f>
        <v/>
      </c>
      <c r="BF64" s="1361">
        <f>BF468</f>
        <v/>
      </c>
      <c r="BG64" s="1361">
        <f>BG468</f>
        <v/>
      </c>
      <c r="BH64" s="1361">
        <f>BH468</f>
        <v/>
      </c>
      <c r="BI64" s="1379">
        <f>BI468</f>
        <v/>
      </c>
      <c r="BJ64" s="1361">
        <f>BJ468</f>
        <v/>
      </c>
      <c r="BK64" s="1361">
        <f>BK468</f>
        <v/>
      </c>
      <c r="BL64" s="1361">
        <f>BL468</f>
        <v/>
      </c>
      <c r="BM64" s="1361">
        <f>BM468</f>
        <v/>
      </c>
      <c r="BN64" s="1379">
        <f>BN468</f>
        <v/>
      </c>
      <c r="BO64" s="1361">
        <f>BO468</f>
        <v/>
      </c>
      <c r="BP64" s="1361">
        <f>BP468</f>
        <v/>
      </c>
      <c r="BQ64" s="1363">
        <f>BQ468</f>
        <v/>
      </c>
      <c r="BR64" s="1361">
        <f>BR72+BR71+BR69</f>
        <v/>
      </c>
      <c r="BS64" s="1379">
        <f>SUM(BO64,BP64,BQ64,BR64)</f>
        <v/>
      </c>
      <c r="BT64" s="1361">
        <f>BT72+BT71+BT69</f>
        <v/>
      </c>
      <c r="BU64" s="1361">
        <f>BU72+BU71+BU69</f>
        <v/>
      </c>
      <c r="BV64" s="1361">
        <f>BV72+BV71+BV69</f>
        <v/>
      </c>
      <c r="BW64" s="1361">
        <f>BW72+BW71+BW69</f>
        <v/>
      </c>
      <c r="BX64" s="1379">
        <f>SUM(BT64,BU64,BV64,BW64)</f>
        <v/>
      </c>
      <c r="BY64" s="1379">
        <f>BY72+BY71+BY69</f>
        <v/>
      </c>
      <c r="BZ64" s="1379">
        <f>BZ72+BZ71+BZ69</f>
        <v/>
      </c>
      <c r="CA64" s="1379">
        <f>CA72+CA71+CA69</f>
        <v/>
      </c>
      <c r="CB64" s="1364" t="n"/>
    </row>
    <row r="65" hidden="1" outlineLevel="1" ht="14.4" customFormat="1" customHeight="1" s="1372">
      <c r="A65" s="1408" t="inlineStr">
        <is>
          <t>Y/Y GAAP G&amp;A growth, %</t>
        </is>
      </c>
      <c r="B65" s="1381" t="n"/>
      <c r="C65" s="1382" t="n"/>
      <c r="D65" s="1382">
        <f>D64/C64-1</f>
        <v/>
      </c>
      <c r="E65" s="1382">
        <f>E64/D64-1</f>
        <v/>
      </c>
      <c r="F65" s="1382">
        <f>F64/E64-1</f>
        <v/>
      </c>
      <c r="G65" s="1384" t="n"/>
      <c r="H65" s="1384" t="n"/>
      <c r="I65" s="1384" t="n"/>
      <c r="J65" s="1384" t="n"/>
      <c r="K65" s="1382">
        <f>K64/F64-1</f>
        <v/>
      </c>
      <c r="L65" s="1384">
        <f>L64/G64-1</f>
        <v/>
      </c>
      <c r="M65" s="1384">
        <f>M64/H64-1</f>
        <v/>
      </c>
      <c r="N65" s="1384">
        <f>N64/I64-1</f>
        <v/>
      </c>
      <c r="O65" s="1384">
        <f>O64/J64-1</f>
        <v/>
      </c>
      <c r="P65" s="1382">
        <f>P64/K64-1</f>
        <v/>
      </c>
      <c r="Q65" s="1384">
        <f>Q64/L64-1</f>
        <v/>
      </c>
      <c r="R65" s="1384">
        <f>R64/M64-1</f>
        <v/>
      </c>
      <c r="S65" s="1384">
        <f>S64/N64-1</f>
        <v/>
      </c>
      <c r="T65" s="1384">
        <f>T64/O64-1</f>
        <v/>
      </c>
      <c r="U65" s="1382">
        <f>U64/P64-1</f>
        <v/>
      </c>
      <c r="V65" s="1384">
        <f>V64/Q64-1</f>
        <v/>
      </c>
      <c r="W65" s="1384">
        <f>W64/R64-1</f>
        <v/>
      </c>
      <c r="X65" s="1384">
        <f>X64/S64-1</f>
        <v/>
      </c>
      <c r="Y65" s="1384">
        <f>Y64/T64-1</f>
        <v/>
      </c>
      <c r="Z65" s="1382">
        <f>Z64/U64-1</f>
        <v/>
      </c>
      <c r="AA65" s="1384">
        <f>AA64/V64-1</f>
        <v/>
      </c>
      <c r="AB65" s="1384">
        <f>AB64/W64-1</f>
        <v/>
      </c>
      <c r="AC65" s="1384">
        <f>AC64/X64-1</f>
        <v/>
      </c>
      <c r="AD65" s="1384">
        <f>AD64/Y64-1</f>
        <v/>
      </c>
      <c r="AE65" s="1382">
        <f>AE64/Z64-1</f>
        <v/>
      </c>
      <c r="AF65" s="1384">
        <f>AF64/AA64-1</f>
        <v/>
      </c>
      <c r="AG65" s="1384">
        <f>AG64/AB64-1</f>
        <v/>
      </c>
      <c r="AH65" s="1384">
        <f>AH64/AC64-1</f>
        <v/>
      </c>
      <c r="AI65" s="1384">
        <f>AI64/AD64-1</f>
        <v/>
      </c>
      <c r="AJ65" s="1382">
        <f>AJ64/AE64-1</f>
        <v/>
      </c>
      <c r="AK65" s="1384">
        <f>AK64/AF64-1</f>
        <v/>
      </c>
      <c r="AL65" s="1384">
        <f>AL64/AG64-1</f>
        <v/>
      </c>
      <c r="AM65" s="1384">
        <f>AM64/AH64-1</f>
        <v/>
      </c>
      <c r="AN65" s="1384">
        <f>AN64/AI64-1</f>
        <v/>
      </c>
      <c r="AO65" s="1382">
        <f>AO64/AJ64-1</f>
        <v/>
      </c>
      <c r="AP65" s="1384">
        <f>AP64/AK64-1</f>
        <v/>
      </c>
      <c r="AQ65" s="1384">
        <f>AQ64/AL64-1</f>
        <v/>
      </c>
      <c r="AR65" s="1384">
        <f>AR64/AM64-1</f>
        <v/>
      </c>
      <c r="AS65" s="1384">
        <f>AS64/AN64-1</f>
        <v/>
      </c>
      <c r="AT65" s="1382">
        <f>AT64/AO64-1</f>
        <v/>
      </c>
      <c r="AU65" s="1384">
        <f>AU64/AP64-1</f>
        <v/>
      </c>
      <c r="AV65" s="1384">
        <f>AV64/AQ64-1</f>
        <v/>
      </c>
      <c r="AW65" s="1384">
        <f>AW64/AR64-1</f>
        <v/>
      </c>
      <c r="AX65" s="1384">
        <f>AX64/AS64-1</f>
        <v/>
      </c>
      <c r="AY65" s="1382">
        <f>AY64/AT64-1</f>
        <v/>
      </c>
      <c r="AZ65" s="1384">
        <f>AZ64/AU64-1</f>
        <v/>
      </c>
      <c r="BA65" s="1384">
        <f>BA64/AV64-1</f>
        <v/>
      </c>
      <c r="BB65" s="1384">
        <f>BB64/AW64-1</f>
        <v/>
      </c>
      <c r="BC65" s="1384">
        <f>BC64/AX64-1</f>
        <v/>
      </c>
      <c r="BD65" s="1382">
        <f>BD64/AY64-1</f>
        <v/>
      </c>
      <c r="BE65" s="1384">
        <f>BE64/AZ64-1</f>
        <v/>
      </c>
      <c r="BF65" s="1384">
        <f>BF64/BA64-1</f>
        <v/>
      </c>
      <c r="BG65" s="1384">
        <f>BG64/BB64-1</f>
        <v/>
      </c>
      <c r="BH65" s="1384">
        <f>BH64/BC64-1</f>
        <v/>
      </c>
      <c r="BI65" s="1382">
        <f>BI64/BD64-1</f>
        <v/>
      </c>
      <c r="BJ65" s="1384">
        <f>BJ64/BE64-1</f>
        <v/>
      </c>
      <c r="BK65" s="1384">
        <f>BK64/BF64-1</f>
        <v/>
      </c>
      <c r="BL65" s="1384">
        <f>BL64/BG64-1</f>
        <v/>
      </c>
      <c r="BM65" s="1384">
        <f>BM64/BH64-1</f>
        <v/>
      </c>
      <c r="BN65" s="1382">
        <f>BN64/BI64-1</f>
        <v/>
      </c>
      <c r="BO65" s="1384">
        <f>BO64/BJ64-1</f>
        <v/>
      </c>
      <c r="BP65" s="1384">
        <f>BP64/BK64-1</f>
        <v/>
      </c>
      <c r="BQ65" s="1386">
        <f>BQ64/BL64-1</f>
        <v/>
      </c>
      <c r="BR65" s="1384">
        <f>BR64/BM64-1</f>
        <v/>
      </c>
      <c r="BS65" s="1382">
        <f>BS64/BN64-1</f>
        <v/>
      </c>
      <c r="BT65" s="1384">
        <f>BT64/BO64-1</f>
        <v/>
      </c>
      <c r="BU65" s="1384">
        <f>BU64/BP64-1</f>
        <v/>
      </c>
      <c r="BV65" s="1384">
        <f>BV64/BQ64-1</f>
        <v/>
      </c>
      <c r="BW65" s="1384">
        <f>BW64/BR64-1</f>
        <v/>
      </c>
      <c r="BX65" s="1382">
        <f>BX64/BS64-1</f>
        <v/>
      </c>
      <c r="BY65" s="1382">
        <f>BY64/BX64-1</f>
        <v/>
      </c>
      <c r="BZ65" s="1382">
        <f>BZ64/BY64-1</f>
        <v/>
      </c>
      <c r="CA65" s="1382">
        <f>CA64/BZ64-1</f>
        <v/>
      </c>
      <c r="CB65" s="1375" t="n"/>
    </row>
    <row r="66" hidden="1" outlineLevel="1" ht="14.4" customFormat="1" customHeight="1" s="1460">
      <c r="A66" s="1461" t="inlineStr">
        <is>
          <t>GAAP G&amp;A Margin, %</t>
        </is>
      </c>
      <c r="B66" s="1462" t="n"/>
      <c r="C66" s="1463">
        <f>C64/C34</f>
        <v/>
      </c>
      <c r="D66" s="1463">
        <f>D64/D34</f>
        <v/>
      </c>
      <c r="E66" s="1463">
        <f>E64/E34</f>
        <v/>
      </c>
      <c r="F66" s="1463">
        <f>F64/F34</f>
        <v/>
      </c>
      <c r="G66" s="1466">
        <f>G64/G34</f>
        <v/>
      </c>
      <c r="H66" s="1466">
        <f>H64/H34</f>
        <v/>
      </c>
      <c r="I66" s="1466">
        <f>I64/I34</f>
        <v/>
      </c>
      <c r="J66" s="1466">
        <f>J64/J34</f>
        <v/>
      </c>
      <c r="K66" s="1463">
        <f>K64/K34</f>
        <v/>
      </c>
      <c r="L66" s="1466">
        <f>L64/L34</f>
        <v/>
      </c>
      <c r="M66" s="1466">
        <f>M64/M34</f>
        <v/>
      </c>
      <c r="N66" s="1466">
        <f>N64/N34</f>
        <v/>
      </c>
      <c r="O66" s="1466">
        <f>O64/O34</f>
        <v/>
      </c>
      <c r="P66" s="1463">
        <f>P64/P34</f>
        <v/>
      </c>
      <c r="Q66" s="1466">
        <f>Q64/Q34</f>
        <v/>
      </c>
      <c r="R66" s="1466">
        <f>R64/R34</f>
        <v/>
      </c>
      <c r="S66" s="1466">
        <f>S64/S34</f>
        <v/>
      </c>
      <c r="T66" s="1466">
        <f>T64/T34</f>
        <v/>
      </c>
      <c r="U66" s="1463">
        <f>U64/U34</f>
        <v/>
      </c>
      <c r="V66" s="1466">
        <f>V64/V34</f>
        <v/>
      </c>
      <c r="W66" s="1466">
        <f>W64/W34</f>
        <v/>
      </c>
      <c r="X66" s="1466">
        <f>X64/X34</f>
        <v/>
      </c>
      <c r="Y66" s="1466">
        <f>Y64/Y34</f>
        <v/>
      </c>
      <c r="Z66" s="1463">
        <f>Z64/Z34</f>
        <v/>
      </c>
      <c r="AA66" s="1466">
        <f>AA64/AA34</f>
        <v/>
      </c>
      <c r="AB66" s="1466">
        <f>AB64/AB34</f>
        <v/>
      </c>
      <c r="AC66" s="1466">
        <f>AC64/AC34</f>
        <v/>
      </c>
      <c r="AD66" s="1466">
        <f>AD64/AD34</f>
        <v/>
      </c>
      <c r="AE66" s="1463">
        <f>AE64/AE34</f>
        <v/>
      </c>
      <c r="AF66" s="1466">
        <f>AF64/AF34</f>
        <v/>
      </c>
      <c r="AG66" s="1466">
        <f>AG64/AG34</f>
        <v/>
      </c>
      <c r="AH66" s="1466">
        <f>AH64/AH34</f>
        <v/>
      </c>
      <c r="AI66" s="1466">
        <f>AI64/AI34</f>
        <v/>
      </c>
      <c r="AJ66" s="1463">
        <f>AJ64/AJ34</f>
        <v/>
      </c>
      <c r="AK66" s="1466">
        <f>AK64/AK34</f>
        <v/>
      </c>
      <c r="AL66" s="1466">
        <f>AL64/AL34</f>
        <v/>
      </c>
      <c r="AM66" s="1466">
        <f>AM64/AM34</f>
        <v/>
      </c>
      <c r="AN66" s="1466">
        <f>AN64/AN34</f>
        <v/>
      </c>
      <c r="AO66" s="1463">
        <f>AO64/AO34</f>
        <v/>
      </c>
      <c r="AP66" s="1466">
        <f>AP64/AP34</f>
        <v/>
      </c>
      <c r="AQ66" s="1466">
        <f>AQ64/AQ34</f>
        <v/>
      </c>
      <c r="AR66" s="1466">
        <f>AR64/AR34</f>
        <v/>
      </c>
      <c r="AS66" s="1466">
        <f>AS64/AS34</f>
        <v/>
      </c>
      <c r="AT66" s="1463">
        <f>AT64/AT34</f>
        <v/>
      </c>
      <c r="AU66" s="1466">
        <f>AU64/AU34</f>
        <v/>
      </c>
      <c r="AV66" s="1466">
        <f>AV64/AV34</f>
        <v/>
      </c>
      <c r="AW66" s="1466">
        <f>AW64/AW34</f>
        <v/>
      </c>
      <c r="AX66" s="1466">
        <f>AX64/AX34</f>
        <v/>
      </c>
      <c r="AY66" s="1463">
        <f>AY64/AY34</f>
        <v/>
      </c>
      <c r="AZ66" s="1466">
        <f>AZ64/AZ34</f>
        <v/>
      </c>
      <c r="BA66" s="1466">
        <f>BA64/BA34</f>
        <v/>
      </c>
      <c r="BB66" s="1466">
        <f>BB64/BB34</f>
        <v/>
      </c>
      <c r="BC66" s="1466">
        <f>BC64/BC34</f>
        <v/>
      </c>
      <c r="BD66" s="1463">
        <f>BD64/BD34</f>
        <v/>
      </c>
      <c r="BE66" s="1466">
        <f>BE64/BE34</f>
        <v/>
      </c>
      <c r="BF66" s="1466">
        <f>BF64/BF34</f>
        <v/>
      </c>
      <c r="BG66" s="1466">
        <f>BG64/BG34</f>
        <v/>
      </c>
      <c r="BH66" s="1466">
        <f>BH64/BH34</f>
        <v/>
      </c>
      <c r="BI66" s="1463">
        <f>BI64/BI34</f>
        <v/>
      </c>
      <c r="BJ66" s="1466">
        <f>BJ64/BJ34</f>
        <v/>
      </c>
      <c r="BK66" s="1466">
        <f>BK64/BK34</f>
        <v/>
      </c>
      <c r="BL66" s="1466">
        <f>BL64/BL34</f>
        <v/>
      </c>
      <c r="BM66" s="1466">
        <f>BM64/BM34</f>
        <v/>
      </c>
      <c r="BN66" s="1463">
        <f>BN64/BN34</f>
        <v/>
      </c>
      <c r="BO66" s="1466">
        <f>BO64/BO34</f>
        <v/>
      </c>
      <c r="BP66" s="1466">
        <f>BP64/BP34</f>
        <v/>
      </c>
      <c r="BQ66" s="1491">
        <f>BQ64/BQ34</f>
        <v/>
      </c>
      <c r="BR66" s="1466">
        <f>BR64/BR34</f>
        <v/>
      </c>
      <c r="BS66" s="1463">
        <f>BS64/BS34</f>
        <v/>
      </c>
      <c r="BT66" s="1466">
        <f>BT64/BT34</f>
        <v/>
      </c>
      <c r="BU66" s="1466">
        <f>BU64/BU34</f>
        <v/>
      </c>
      <c r="BV66" s="1466">
        <f>BV64/BV34</f>
        <v/>
      </c>
      <c r="BW66" s="1466">
        <f>BW64/BW34</f>
        <v/>
      </c>
      <c r="BX66" s="1463">
        <f>BX64/BX34</f>
        <v/>
      </c>
      <c r="BY66" s="1463">
        <f>BY64/BY34</f>
        <v/>
      </c>
      <c r="BZ66" s="1463">
        <f>BZ64/BZ34</f>
        <v/>
      </c>
      <c r="CA66" s="1463">
        <f>CA64/CA34</f>
        <v/>
      </c>
      <c r="CB66" s="1465" t="n"/>
    </row>
    <row r="67" hidden="1" outlineLevel="1" ht="14.4" customFormat="1" customHeight="1" s="1460">
      <c r="A67" s="1468" t="inlineStr">
        <is>
          <t>Y/Y GAAP G&amp;A Margin improvement, bps</t>
        </is>
      </c>
      <c r="B67" s="1462" t="n"/>
      <c r="C67" s="1469" t="n"/>
      <c r="D67" s="1469">
        <f>-(D66-C66)*10000</f>
        <v/>
      </c>
      <c r="E67" s="1469">
        <f>-(E66-D66)*10000</f>
        <v/>
      </c>
      <c r="F67" s="1469">
        <f>-(F66-E66)*10000</f>
        <v/>
      </c>
      <c r="G67" s="1471" t="n"/>
      <c r="H67" s="1471" t="n"/>
      <c r="I67" s="1471" t="n"/>
      <c r="J67" s="1471" t="n"/>
      <c r="K67" s="1469">
        <f>-(K66-F66)*10000</f>
        <v/>
      </c>
      <c r="L67" s="1471">
        <f>-(L66-G66)*10000</f>
        <v/>
      </c>
      <c r="M67" s="1471">
        <f>-(M66-H66)*10000</f>
        <v/>
      </c>
      <c r="N67" s="1471">
        <f>-(N66-I66)*10000</f>
        <v/>
      </c>
      <c r="O67" s="1471">
        <f>-(O66-J66)*10000</f>
        <v/>
      </c>
      <c r="P67" s="1469">
        <f>-(P66-K66)*10000</f>
        <v/>
      </c>
      <c r="Q67" s="1471">
        <f>-(Q66-L66)*10000</f>
        <v/>
      </c>
      <c r="R67" s="1471">
        <f>-(R66-M66)*10000</f>
        <v/>
      </c>
      <c r="S67" s="1471">
        <f>-(S66-N66)*10000</f>
        <v/>
      </c>
      <c r="T67" s="1471">
        <f>-(T66-O66)*10000</f>
        <v/>
      </c>
      <c r="U67" s="1469">
        <f>-(U66-P66)*10000</f>
        <v/>
      </c>
      <c r="V67" s="1471">
        <f>-(V66-Q66)*10000</f>
        <v/>
      </c>
      <c r="W67" s="1471">
        <f>-(W66-R66)*10000</f>
        <v/>
      </c>
      <c r="X67" s="1471">
        <f>-(X66-S66)*10000</f>
        <v/>
      </c>
      <c r="Y67" s="1471">
        <f>-(Y66-T66)*10000</f>
        <v/>
      </c>
      <c r="Z67" s="1469">
        <f>-(Z66-U66)*10000</f>
        <v/>
      </c>
      <c r="AA67" s="1471">
        <f>-(AA66-V66)*10000</f>
        <v/>
      </c>
      <c r="AB67" s="1471">
        <f>-(AB66-W66)*10000</f>
        <v/>
      </c>
      <c r="AC67" s="1471">
        <f>-(AC66-X66)*10000</f>
        <v/>
      </c>
      <c r="AD67" s="1471">
        <f>-(AD66-Y66)*10000</f>
        <v/>
      </c>
      <c r="AE67" s="1469">
        <f>-(AE66-Z66)*10000</f>
        <v/>
      </c>
      <c r="AF67" s="1471">
        <f>-(AF66-AA66)*10000</f>
        <v/>
      </c>
      <c r="AG67" s="1471">
        <f>-(AG66-AB66)*10000</f>
        <v/>
      </c>
      <c r="AH67" s="1471">
        <f>-(AH66-AC66)*10000</f>
        <v/>
      </c>
      <c r="AI67" s="1471">
        <f>-(AI66-AD66)*10000</f>
        <v/>
      </c>
      <c r="AJ67" s="1469">
        <f>-(AJ66-AE66)*10000</f>
        <v/>
      </c>
      <c r="AK67" s="1471">
        <f>-(AK66-AF66)*10000</f>
        <v/>
      </c>
      <c r="AL67" s="1471">
        <f>-(AL66-AG66)*10000</f>
        <v/>
      </c>
      <c r="AM67" s="1471">
        <f>-(AM66-AH66)*10000</f>
        <v/>
      </c>
      <c r="AN67" s="1471">
        <f>-(AN66-AI66)*10000</f>
        <v/>
      </c>
      <c r="AO67" s="1469">
        <f>-(AO66-AJ66)*10000</f>
        <v/>
      </c>
      <c r="AP67" s="1471">
        <f>-(AP66-AK66)*10000</f>
        <v/>
      </c>
      <c r="AQ67" s="1471">
        <f>-(AQ66-AL66)*10000</f>
        <v/>
      </c>
      <c r="AR67" s="1471">
        <f>-(AR66-AM66)*10000</f>
        <v/>
      </c>
      <c r="AS67" s="1471">
        <f>-(AS66-AN66)*10000</f>
        <v/>
      </c>
      <c r="AT67" s="1469">
        <f>-(AT66-AO66)*10000</f>
        <v/>
      </c>
      <c r="AU67" s="1471">
        <f>-(AU66-AP66)*10000</f>
        <v/>
      </c>
      <c r="AV67" s="1471">
        <f>-(AV66-AQ66)*10000</f>
        <v/>
      </c>
      <c r="AW67" s="1471">
        <f>-(AW66-AR66)*10000</f>
        <v/>
      </c>
      <c r="AX67" s="1471">
        <f>-(AX66-AS66)*10000</f>
        <v/>
      </c>
      <c r="AY67" s="1469">
        <f>-(AY66-AT66)*10000</f>
        <v/>
      </c>
      <c r="AZ67" s="1471">
        <f>-(AZ66-AU66)*10000</f>
        <v/>
      </c>
      <c r="BA67" s="1471">
        <f>-(BA66-AV66)*10000</f>
        <v/>
      </c>
      <c r="BB67" s="1471">
        <f>-(BB66-AW66)*10000</f>
        <v/>
      </c>
      <c r="BC67" s="1471">
        <f>-(BC66-AX66)*10000</f>
        <v/>
      </c>
      <c r="BD67" s="1469">
        <f>-(BD66-AY66)*10000</f>
        <v/>
      </c>
      <c r="BE67" s="1471">
        <f>-(BE66-AZ66)*10000</f>
        <v/>
      </c>
      <c r="BF67" s="1471">
        <f>-(BF66-BA66)*10000</f>
        <v/>
      </c>
      <c r="BG67" s="1471">
        <f>-(BG66-BB66)*10000</f>
        <v/>
      </c>
      <c r="BH67" s="1471">
        <f>-(BH66-BC66)*10000</f>
        <v/>
      </c>
      <c r="BI67" s="1469">
        <f>-(BI66-BD66)*10000</f>
        <v/>
      </c>
      <c r="BJ67" s="1471">
        <f>-(BJ66-BE66)*10000</f>
        <v/>
      </c>
      <c r="BK67" s="1471">
        <f>-(BK66-BF66)*10000</f>
        <v/>
      </c>
      <c r="BL67" s="1471">
        <f>-(BL66-BG66)*10000</f>
        <v/>
      </c>
      <c r="BM67" s="1471">
        <f>-(BM66-BH66)*10000</f>
        <v/>
      </c>
      <c r="BN67" s="1469">
        <f>-(BN66-BI66)*10000</f>
        <v/>
      </c>
      <c r="BO67" s="1471">
        <f>-(BO66-BJ66)*10000</f>
        <v/>
      </c>
      <c r="BP67" s="1471">
        <f>-(BP66-BK66)*10000</f>
        <v/>
      </c>
      <c r="BQ67" s="1487">
        <f>-(BQ66-BL66)*10000</f>
        <v/>
      </c>
      <c r="BR67" s="1471">
        <f>-(BR66-BM66)*10000</f>
        <v/>
      </c>
      <c r="BS67" s="1469">
        <f>-(BS66-BN66)*10000</f>
        <v/>
      </c>
      <c r="BT67" s="1471">
        <f>-(BT66-BO66)*10000</f>
        <v/>
      </c>
      <c r="BU67" s="1471">
        <f>-(BU66-BP66)*10000</f>
        <v/>
      </c>
      <c r="BV67" s="1471">
        <f>-(BV66-BQ66)*10000</f>
        <v/>
      </c>
      <c r="BW67" s="1471">
        <f>-(BW66-BR66)*10000</f>
        <v/>
      </c>
      <c r="BX67" s="1469">
        <f>-(BX66-BS66)*10000</f>
        <v/>
      </c>
      <c r="BY67" s="1469">
        <f>-(BY66-BX66)*10000</f>
        <v/>
      </c>
      <c r="BZ67" s="1469">
        <f>-(BZ66-BY66)*10000</f>
        <v/>
      </c>
      <c r="CA67" s="1469">
        <f>-(CA66-BZ66)*10000</f>
        <v/>
      </c>
      <c r="CB67" s="1465" t="n"/>
    </row>
    <row r="68" hidden="1" outlineLevel="1" ht="7.5" customFormat="1" customHeight="1" s="1372">
      <c r="A68" s="1474" t="n"/>
      <c r="B68" s="1448" t="n"/>
      <c r="C68" s="1449" t="n"/>
      <c r="D68" s="1449" t="n"/>
      <c r="E68" s="1449" t="n"/>
      <c r="F68" s="1449" t="n"/>
      <c r="G68" s="1450" t="n"/>
      <c r="H68" s="1450" t="n"/>
      <c r="I68" s="1450" t="n"/>
      <c r="J68" s="1450" t="n"/>
      <c r="K68" s="1449" t="n"/>
      <c r="L68" s="1450" t="n"/>
      <c r="M68" s="1450" t="n"/>
      <c r="N68" s="1450" t="n"/>
      <c r="O68" s="1450" t="n"/>
      <c r="P68" s="1449" t="n"/>
      <c r="Q68" s="1450" t="n"/>
      <c r="R68" s="1450" t="n"/>
      <c r="S68" s="1450" t="n"/>
      <c r="T68" s="1450" t="n"/>
      <c r="U68" s="1449" t="n"/>
      <c r="V68" s="1450" t="n"/>
      <c r="W68" s="1450" t="n"/>
      <c r="X68" s="1450" t="n"/>
      <c r="Y68" s="1450" t="n"/>
      <c r="Z68" s="1449" t="n"/>
      <c r="AA68" s="1450" t="n"/>
      <c r="AB68" s="1450" t="n"/>
      <c r="AC68" s="1450" t="n"/>
      <c r="AD68" s="1450" t="n"/>
      <c r="AE68" s="1449" t="n"/>
      <c r="AF68" s="1450" t="n"/>
      <c r="AG68" s="1450" t="n"/>
      <c r="AH68" s="1450" t="n"/>
      <c r="AI68" s="1450" t="n"/>
      <c r="AJ68" s="1449" t="n"/>
      <c r="AK68" s="1450" t="n"/>
      <c r="AL68" s="1450" t="n"/>
      <c r="AM68" s="1450" t="n"/>
      <c r="AN68" s="1450" t="n"/>
      <c r="AO68" s="1449" t="n"/>
      <c r="AP68" s="1450" t="n"/>
      <c r="AQ68" s="1450" t="n"/>
      <c r="AR68" s="1450" t="n"/>
      <c r="AS68" s="1450" t="n"/>
      <c r="AT68" s="1449" t="n"/>
      <c r="AU68" s="1450" t="n"/>
      <c r="AV68" s="1450" t="n"/>
      <c r="AW68" s="1450" t="n"/>
      <c r="AX68" s="1450" t="n"/>
      <c r="AY68" s="1449" t="n"/>
      <c r="AZ68" s="1450" t="n"/>
      <c r="BA68" s="1450" t="n"/>
      <c r="BB68" s="1450" t="n"/>
      <c r="BC68" s="1450" t="n"/>
      <c r="BD68" s="1449" t="n"/>
      <c r="BE68" s="1450" t="n"/>
      <c r="BF68" s="1450" t="n"/>
      <c r="BG68" s="1450" t="n"/>
      <c r="BH68" s="1450" t="n"/>
      <c r="BI68" s="1449" t="n"/>
      <c r="BJ68" s="1450" t="n"/>
      <c r="BK68" s="1450" t="n"/>
      <c r="BL68" s="1450" t="n"/>
      <c r="BM68" s="1450" t="n"/>
      <c r="BN68" s="1449" t="n"/>
      <c r="BO68" s="1450" t="n"/>
      <c r="BP68" s="1450" t="n"/>
      <c r="BQ68" s="1451" t="n"/>
      <c r="BR68" s="1450" t="n"/>
      <c r="BS68" s="1449" t="n"/>
      <c r="BT68" s="1450" t="n"/>
      <c r="BU68" s="1450" t="n"/>
      <c r="BV68" s="1450" t="n"/>
      <c r="BW68" s="1450" t="n"/>
      <c r="BX68" s="1449" t="n"/>
      <c r="BY68" s="1449" t="n"/>
      <c r="BZ68" s="1449" t="n"/>
      <c r="CA68" s="1449" t="n"/>
      <c r="CB68" s="1375" t="n"/>
    </row>
    <row r="69" hidden="1" outlineLevel="1" ht="14.4" customFormat="1" customHeight="1" s="1359">
      <c r="A69" s="1474" t="inlineStr">
        <is>
          <t>SBC G&amp;A, mm</t>
        </is>
      </c>
      <c r="B69" s="1377" t="n"/>
      <c r="C69" s="1379" t="n"/>
      <c r="D69" s="1379">
        <f>D469</f>
        <v/>
      </c>
      <c r="E69" s="1379">
        <f>E469</f>
        <v/>
      </c>
      <c r="F69" s="1379">
        <f>F469</f>
        <v/>
      </c>
      <c r="G69" s="1361">
        <f>G469</f>
        <v/>
      </c>
      <c r="H69" s="1361">
        <f>H469</f>
        <v/>
      </c>
      <c r="I69" s="1361">
        <f>I469</f>
        <v/>
      </c>
      <c r="J69" s="1361">
        <f>J469</f>
        <v/>
      </c>
      <c r="K69" s="1379">
        <f>K469</f>
        <v/>
      </c>
      <c r="L69" s="1361">
        <f>L469</f>
        <v/>
      </c>
      <c r="M69" s="1361">
        <f>M469</f>
        <v/>
      </c>
      <c r="N69" s="1361">
        <f>N469</f>
        <v/>
      </c>
      <c r="O69" s="1361">
        <f>O469</f>
        <v/>
      </c>
      <c r="P69" s="1379">
        <f>P469</f>
        <v/>
      </c>
      <c r="Q69" s="1361">
        <f>Q469</f>
        <v/>
      </c>
      <c r="R69" s="1361">
        <f>R469</f>
        <v/>
      </c>
      <c r="S69" s="1361">
        <f>S469</f>
        <v/>
      </c>
      <c r="T69" s="1361">
        <f>T469</f>
        <v/>
      </c>
      <c r="U69" s="1379">
        <f>U469</f>
        <v/>
      </c>
      <c r="V69" s="1361">
        <f>V469</f>
        <v/>
      </c>
      <c r="W69" s="1361">
        <f>W469</f>
        <v/>
      </c>
      <c r="X69" s="1361">
        <f>X469</f>
        <v/>
      </c>
      <c r="Y69" s="1361">
        <f>Y469</f>
        <v/>
      </c>
      <c r="Z69" s="1379">
        <f>Z469</f>
        <v/>
      </c>
      <c r="AA69" s="1361">
        <f>AA469</f>
        <v/>
      </c>
      <c r="AB69" s="1361">
        <f>AB469</f>
        <v/>
      </c>
      <c r="AC69" s="1361">
        <f>AC469</f>
        <v/>
      </c>
      <c r="AD69" s="1361">
        <f>AD469</f>
        <v/>
      </c>
      <c r="AE69" s="1379">
        <f>AE469</f>
        <v/>
      </c>
      <c r="AF69" s="1361">
        <f>AF469</f>
        <v/>
      </c>
      <c r="AG69" s="1361">
        <f>AG469</f>
        <v/>
      </c>
      <c r="AH69" s="1361">
        <f>AH469</f>
        <v/>
      </c>
      <c r="AI69" s="1361">
        <f>AI469</f>
        <v/>
      </c>
      <c r="AJ69" s="1379">
        <f>AJ469</f>
        <v/>
      </c>
      <c r="AK69" s="1361">
        <f>AK469</f>
        <v/>
      </c>
      <c r="AL69" s="1361">
        <f>AL469</f>
        <v/>
      </c>
      <c r="AM69" s="1361">
        <f>AM469</f>
        <v/>
      </c>
      <c r="AN69" s="1361">
        <f>AN469</f>
        <v/>
      </c>
      <c r="AO69" s="1379">
        <f>AO469</f>
        <v/>
      </c>
      <c r="AP69" s="1361">
        <f>AP469</f>
        <v/>
      </c>
      <c r="AQ69" s="1361">
        <f>AQ469</f>
        <v/>
      </c>
      <c r="AR69" s="1361">
        <f>AR469</f>
        <v/>
      </c>
      <c r="AS69" s="1361">
        <f>AS469</f>
        <v/>
      </c>
      <c r="AT69" s="1379">
        <f>AT469</f>
        <v/>
      </c>
      <c r="AU69" s="1361">
        <f>AU469</f>
        <v/>
      </c>
      <c r="AV69" s="1361">
        <f>AV469</f>
        <v/>
      </c>
      <c r="AW69" s="1361">
        <f>AW469</f>
        <v/>
      </c>
      <c r="AX69" s="1361">
        <f>AX469</f>
        <v/>
      </c>
      <c r="AY69" s="1379">
        <f>AY469</f>
        <v/>
      </c>
      <c r="AZ69" s="1361">
        <f>AZ469</f>
        <v/>
      </c>
      <c r="BA69" s="1361">
        <f>BA469</f>
        <v/>
      </c>
      <c r="BB69" s="1361">
        <f>BB469</f>
        <v/>
      </c>
      <c r="BC69" s="1361">
        <f>BC469</f>
        <v/>
      </c>
      <c r="BD69" s="1379">
        <f>BD469</f>
        <v/>
      </c>
      <c r="BE69" s="1361">
        <f>BE469</f>
        <v/>
      </c>
      <c r="BF69" s="1361">
        <f>BF469</f>
        <v/>
      </c>
      <c r="BG69" s="1361">
        <f>BG469</f>
        <v/>
      </c>
      <c r="BH69" s="1361">
        <f>BH469</f>
        <v/>
      </c>
      <c r="BI69" s="1379">
        <f>BI469</f>
        <v/>
      </c>
      <c r="BJ69" s="1361">
        <f>BJ469</f>
        <v/>
      </c>
      <c r="BK69" s="1361">
        <f>BK469</f>
        <v/>
      </c>
      <c r="BL69" s="1361">
        <f>BL469</f>
        <v/>
      </c>
      <c r="BM69" s="1361">
        <f>BM469</f>
        <v/>
      </c>
      <c r="BN69" s="1379">
        <f>BN469</f>
        <v/>
      </c>
      <c r="BO69" s="1361">
        <f>BO469</f>
        <v/>
      </c>
      <c r="BP69" s="1361">
        <f>BP469</f>
        <v/>
      </c>
      <c r="BQ69" s="1363">
        <f>BQ469</f>
        <v/>
      </c>
      <c r="BR69" s="1361">
        <f>BR70*BR34</f>
        <v/>
      </c>
      <c r="BS69" s="1379">
        <f>SUM(BO69,BP69,BQ69,BR69)</f>
        <v/>
      </c>
      <c r="BT69" s="1361">
        <f>BT70*BT34</f>
        <v/>
      </c>
      <c r="BU69" s="1361">
        <f>BU70*BU34</f>
        <v/>
      </c>
      <c r="BV69" s="1361">
        <f>BV70*BV34</f>
        <v/>
      </c>
      <c r="BW69" s="1361">
        <f>BW70*BW34</f>
        <v/>
      </c>
      <c r="BX69" s="1379">
        <f>SUM(BT69,BU69,BV69,BW69)</f>
        <v/>
      </c>
      <c r="BY69" s="1379">
        <f>BY70*BY34</f>
        <v/>
      </c>
      <c r="BZ69" s="1379">
        <f>BZ70*BZ34</f>
        <v/>
      </c>
      <c r="CA69" s="1379">
        <f>CA70*CA34</f>
        <v/>
      </c>
      <c r="CB69" s="1364" t="n"/>
    </row>
    <row r="70" hidden="1" outlineLevel="1" ht="14.4" customFormat="1" customHeight="1" s="1475">
      <c r="A70" s="1476" t="inlineStr">
        <is>
          <t>SBC G&amp;A as &amp; of revenue, %</t>
        </is>
      </c>
      <c r="B70" s="1477" t="n"/>
      <c r="C70" s="1382" t="n"/>
      <c r="D70" s="1382">
        <f>D69/D34</f>
        <v/>
      </c>
      <c r="E70" s="1382">
        <f>E69/E34</f>
        <v/>
      </c>
      <c r="F70" s="1382">
        <f>F69/F34</f>
        <v/>
      </c>
      <c r="G70" s="1384">
        <f>G69/G34</f>
        <v/>
      </c>
      <c r="H70" s="1384">
        <f>H69/H34</f>
        <v/>
      </c>
      <c r="I70" s="1384">
        <f>I69/I34</f>
        <v/>
      </c>
      <c r="J70" s="1384">
        <f>J69/J34</f>
        <v/>
      </c>
      <c r="K70" s="1382">
        <f>K69/K34</f>
        <v/>
      </c>
      <c r="L70" s="1384">
        <f>L69/L34</f>
        <v/>
      </c>
      <c r="M70" s="1384">
        <f>M69/M34</f>
        <v/>
      </c>
      <c r="N70" s="1384">
        <f>N69/N34</f>
        <v/>
      </c>
      <c r="O70" s="1384">
        <f>O69/O34</f>
        <v/>
      </c>
      <c r="P70" s="1382">
        <f>P69/P34</f>
        <v/>
      </c>
      <c r="Q70" s="1384">
        <f>Q69/Q34</f>
        <v/>
      </c>
      <c r="R70" s="1384">
        <f>R69/R34</f>
        <v/>
      </c>
      <c r="S70" s="1384">
        <f>S69/S34</f>
        <v/>
      </c>
      <c r="T70" s="1384">
        <f>T69/T34</f>
        <v/>
      </c>
      <c r="U70" s="1382">
        <f>U69/U34</f>
        <v/>
      </c>
      <c r="V70" s="1384">
        <f>V69/V34</f>
        <v/>
      </c>
      <c r="W70" s="1384">
        <f>W69/W34</f>
        <v/>
      </c>
      <c r="X70" s="1384">
        <f>X69/X34</f>
        <v/>
      </c>
      <c r="Y70" s="1384">
        <f>Y69/Y34</f>
        <v/>
      </c>
      <c r="Z70" s="1382">
        <f>Z69/Z34</f>
        <v/>
      </c>
      <c r="AA70" s="1384">
        <f>AA69/AA34</f>
        <v/>
      </c>
      <c r="AB70" s="1384">
        <f>AB69/AB34</f>
        <v/>
      </c>
      <c r="AC70" s="1384">
        <f>AC69/AC34</f>
        <v/>
      </c>
      <c r="AD70" s="1384">
        <f>AD69/AD34</f>
        <v/>
      </c>
      <c r="AE70" s="1382">
        <f>AE69/AE34</f>
        <v/>
      </c>
      <c r="AF70" s="1384">
        <f>AF69/AF34</f>
        <v/>
      </c>
      <c r="AG70" s="1384">
        <f>AG69/AG34</f>
        <v/>
      </c>
      <c r="AH70" s="1384">
        <f>AH69/AH34</f>
        <v/>
      </c>
      <c r="AI70" s="1384">
        <f>AI69/AI34</f>
        <v/>
      </c>
      <c r="AJ70" s="1382">
        <f>AJ69/AJ34</f>
        <v/>
      </c>
      <c r="AK70" s="1384">
        <f>AK69/AK34</f>
        <v/>
      </c>
      <c r="AL70" s="1384">
        <f>AL69/AL34</f>
        <v/>
      </c>
      <c r="AM70" s="1384">
        <f>AM69/AM34</f>
        <v/>
      </c>
      <c r="AN70" s="1384">
        <f>AN69/AN34</f>
        <v/>
      </c>
      <c r="AO70" s="1382">
        <f>AO69/AO34</f>
        <v/>
      </c>
      <c r="AP70" s="1384">
        <f>AP69/AP34</f>
        <v/>
      </c>
      <c r="AQ70" s="1384">
        <f>AQ69/AQ34</f>
        <v/>
      </c>
      <c r="AR70" s="1384">
        <f>AR69/AR34</f>
        <v/>
      </c>
      <c r="AS70" s="1384">
        <f>AS69/AS34</f>
        <v/>
      </c>
      <c r="AT70" s="1382">
        <f>AT69/AT34</f>
        <v/>
      </c>
      <c r="AU70" s="1384">
        <f>AU69/AU34</f>
        <v/>
      </c>
      <c r="AV70" s="1384">
        <f>AV69/AV34</f>
        <v/>
      </c>
      <c r="AW70" s="1384">
        <f>AW69/AW34</f>
        <v/>
      </c>
      <c r="AX70" s="1384">
        <f>AX69/AX34</f>
        <v/>
      </c>
      <c r="AY70" s="1382">
        <f>AY69/AY34</f>
        <v/>
      </c>
      <c r="AZ70" s="1384">
        <f>AZ69/AZ34</f>
        <v/>
      </c>
      <c r="BA70" s="1384">
        <f>BA69/BA34</f>
        <v/>
      </c>
      <c r="BB70" s="1384">
        <f>BB69/BB34</f>
        <v/>
      </c>
      <c r="BC70" s="1384">
        <f>BC69/BC34</f>
        <v/>
      </c>
      <c r="BD70" s="1382">
        <f>BD69/BD34</f>
        <v/>
      </c>
      <c r="BE70" s="1384">
        <f>BE69/BE34</f>
        <v/>
      </c>
      <c r="BF70" s="1384">
        <f>BF69/BF34</f>
        <v/>
      </c>
      <c r="BG70" s="1384">
        <f>BG69/BG34</f>
        <v/>
      </c>
      <c r="BH70" s="1384">
        <f>BH69/BH34</f>
        <v/>
      </c>
      <c r="BI70" s="1382">
        <f>BI69/BI34</f>
        <v/>
      </c>
      <c r="BJ70" s="1384">
        <f>BJ69/BJ34</f>
        <v/>
      </c>
      <c r="BK70" s="1384">
        <f>BK69/BK34</f>
        <v/>
      </c>
      <c r="BL70" s="1384">
        <f>BL69/BL34</f>
        <v/>
      </c>
      <c r="BM70" s="1384">
        <f>BM69/BM34</f>
        <v/>
      </c>
      <c r="BN70" s="1382">
        <f>BN69/BN34</f>
        <v/>
      </c>
      <c r="BO70" s="1384">
        <f>BO69/BO34</f>
        <v/>
      </c>
      <c r="BP70" s="1384">
        <f>BP69/BP34</f>
        <v/>
      </c>
      <c r="BQ70" s="1386">
        <f>BQ69/BQ34</f>
        <v/>
      </c>
      <c r="BR70" s="1398" t="n">
        <v>0.013</v>
      </c>
      <c r="BS70" s="1382">
        <f>BS69/BS34</f>
        <v/>
      </c>
      <c r="BT70" s="1398" t="n">
        <v>0.013</v>
      </c>
      <c r="BU70" s="1398" t="n">
        <v>0.013</v>
      </c>
      <c r="BV70" s="1398" t="n">
        <v>0.013</v>
      </c>
      <c r="BW70" s="1398" t="n">
        <v>0.013</v>
      </c>
      <c r="BX70" s="1382">
        <f>BX69/BX34</f>
        <v/>
      </c>
      <c r="BY70" s="1399" t="n">
        <v>0.013</v>
      </c>
      <c r="BZ70" s="1399" t="n">
        <v>0.013</v>
      </c>
      <c r="CA70" s="1399" t="n">
        <v>0.013</v>
      </c>
      <c r="CB70" s="1385" t="n"/>
    </row>
    <row r="71" hidden="1" outlineLevel="1" ht="14.4" customFormat="1" customHeight="1" s="1359">
      <c r="A71" s="1478" t="inlineStr">
        <is>
          <t>Other adjustments G&amp;A, mm</t>
        </is>
      </c>
      <c r="B71" s="1454" t="n"/>
      <c r="C71" s="1455" t="n"/>
      <c r="D71" s="1455">
        <f>D470</f>
        <v/>
      </c>
      <c r="E71" s="1455">
        <f>E470</f>
        <v/>
      </c>
      <c r="F71" s="1455">
        <f>F470</f>
        <v/>
      </c>
      <c r="G71" s="1456">
        <f>G470</f>
        <v/>
      </c>
      <c r="H71" s="1456">
        <f>H470</f>
        <v/>
      </c>
      <c r="I71" s="1456">
        <f>I470</f>
        <v/>
      </c>
      <c r="J71" s="1456">
        <f>J470</f>
        <v/>
      </c>
      <c r="K71" s="1455">
        <f>K470</f>
        <v/>
      </c>
      <c r="L71" s="1456">
        <f>L470</f>
        <v/>
      </c>
      <c r="M71" s="1456">
        <f>M470</f>
        <v/>
      </c>
      <c r="N71" s="1456">
        <f>N470</f>
        <v/>
      </c>
      <c r="O71" s="1456">
        <f>O470</f>
        <v/>
      </c>
      <c r="P71" s="1455">
        <f>P470</f>
        <v/>
      </c>
      <c r="Q71" s="1456">
        <f>Q470</f>
        <v/>
      </c>
      <c r="R71" s="1456">
        <f>R470</f>
        <v/>
      </c>
      <c r="S71" s="1456">
        <f>S470</f>
        <v/>
      </c>
      <c r="T71" s="1456">
        <f>T470</f>
        <v/>
      </c>
      <c r="U71" s="1455">
        <f>U470</f>
        <v/>
      </c>
      <c r="V71" s="1456">
        <f>V470</f>
        <v/>
      </c>
      <c r="W71" s="1456">
        <f>W470</f>
        <v/>
      </c>
      <c r="X71" s="1456">
        <f>X470</f>
        <v/>
      </c>
      <c r="Y71" s="1456">
        <f>Y470</f>
        <v/>
      </c>
      <c r="Z71" s="1455">
        <f>Z470</f>
        <v/>
      </c>
      <c r="AA71" s="1456">
        <f>AA470</f>
        <v/>
      </c>
      <c r="AB71" s="1456">
        <f>AB470</f>
        <v/>
      </c>
      <c r="AC71" s="1456">
        <f>AC470</f>
        <v/>
      </c>
      <c r="AD71" s="1456">
        <f>AD470</f>
        <v/>
      </c>
      <c r="AE71" s="1455">
        <f>AE470</f>
        <v/>
      </c>
      <c r="AF71" s="1456">
        <f>AF470</f>
        <v/>
      </c>
      <c r="AG71" s="1456">
        <f>AG470</f>
        <v/>
      </c>
      <c r="AH71" s="1456">
        <f>AH470</f>
        <v/>
      </c>
      <c r="AI71" s="1456">
        <f>AI470</f>
        <v/>
      </c>
      <c r="AJ71" s="1455">
        <f>AJ470</f>
        <v/>
      </c>
      <c r="AK71" s="1456">
        <f>AK470</f>
        <v/>
      </c>
      <c r="AL71" s="1456">
        <f>AL470</f>
        <v/>
      </c>
      <c r="AM71" s="1456">
        <f>AM470</f>
        <v/>
      </c>
      <c r="AN71" s="1456">
        <f>AN470</f>
        <v/>
      </c>
      <c r="AO71" s="1455">
        <f>AO470</f>
        <v/>
      </c>
      <c r="AP71" s="1456">
        <f>AP470</f>
        <v/>
      </c>
      <c r="AQ71" s="1456">
        <f>AQ470</f>
        <v/>
      </c>
      <c r="AR71" s="1456">
        <f>AR470</f>
        <v/>
      </c>
      <c r="AS71" s="1456">
        <f>AS470</f>
        <v/>
      </c>
      <c r="AT71" s="1455">
        <f>AT470</f>
        <v/>
      </c>
      <c r="AU71" s="1456">
        <f>AU470</f>
        <v/>
      </c>
      <c r="AV71" s="1456">
        <f>AV470</f>
        <v/>
      </c>
      <c r="AW71" s="1456">
        <f>AW470</f>
        <v/>
      </c>
      <c r="AX71" s="1456">
        <f>AX470</f>
        <v/>
      </c>
      <c r="AY71" s="1455">
        <f>AY470</f>
        <v/>
      </c>
      <c r="AZ71" s="1456">
        <f>AZ470</f>
        <v/>
      </c>
      <c r="BA71" s="1456">
        <f>BA470</f>
        <v/>
      </c>
      <c r="BB71" s="1456">
        <f>BB470</f>
        <v/>
      </c>
      <c r="BC71" s="1456">
        <f>BC470</f>
        <v/>
      </c>
      <c r="BD71" s="1455">
        <f>BD470</f>
        <v/>
      </c>
      <c r="BE71" s="1456">
        <f>BE470</f>
        <v/>
      </c>
      <c r="BF71" s="1456">
        <f>BF470</f>
        <v/>
      </c>
      <c r="BG71" s="1456">
        <f>BG470</f>
        <v/>
      </c>
      <c r="BH71" s="1456">
        <f>BH470</f>
        <v/>
      </c>
      <c r="BI71" s="1455">
        <f>BI470</f>
        <v/>
      </c>
      <c r="BJ71" s="1456">
        <f>BJ470</f>
        <v/>
      </c>
      <c r="BK71" s="1456">
        <f>BK470</f>
        <v/>
      </c>
      <c r="BL71" s="1456">
        <f>BL470</f>
        <v/>
      </c>
      <c r="BM71" s="1456">
        <f>BM470</f>
        <v/>
      </c>
      <c r="BN71" s="1455">
        <f>BN470</f>
        <v/>
      </c>
      <c r="BO71" s="1456">
        <f>BO470</f>
        <v/>
      </c>
      <c r="BP71" s="1456">
        <f>BP470</f>
        <v/>
      </c>
      <c r="BQ71" s="1457">
        <f>BQ470</f>
        <v/>
      </c>
      <c r="BR71" s="1479" t="n">
        <v>6.2</v>
      </c>
      <c r="BS71" s="1455">
        <f>SUM(BO71,BP71,BQ71,BR71)</f>
        <v/>
      </c>
      <c r="BT71" s="1479" t="n">
        <v>6.2</v>
      </c>
      <c r="BU71" s="1479" t="n">
        <v>6.2</v>
      </c>
      <c r="BV71" s="1479" t="n">
        <v>6.2</v>
      </c>
      <c r="BW71" s="1479" t="n">
        <v>6.2</v>
      </c>
      <c r="BX71" s="1455">
        <f>SUM(BT71,BU71,BV71,BW71)</f>
        <v/>
      </c>
      <c r="BY71" s="1480" t="n">
        <v>24.8</v>
      </c>
      <c r="BZ71" s="1480" t="n">
        <v>24.8</v>
      </c>
      <c r="CA71" s="1480" t="n">
        <v>24.8</v>
      </c>
      <c r="CB71" s="1364" t="n"/>
    </row>
    <row r="72" collapsed="1" ht="14.4" customFormat="1" customHeight="1" s="1359">
      <c r="A72" s="1490" t="inlineStr">
        <is>
          <t>Non-GAAP G&amp;A, mm</t>
        </is>
      </c>
      <c r="B72" s="1377" t="n"/>
      <c r="C72" s="1379" t="n"/>
      <c r="D72" s="1379">
        <f>D64-D69-D71</f>
        <v/>
      </c>
      <c r="E72" s="1379">
        <f>E64-E69-E71</f>
        <v/>
      </c>
      <c r="F72" s="1379">
        <f>F64-F69-F71</f>
        <v/>
      </c>
      <c r="G72" s="1361">
        <f>G64-G69-G71</f>
        <v/>
      </c>
      <c r="H72" s="1361">
        <f>H64-H69-H71</f>
        <v/>
      </c>
      <c r="I72" s="1361">
        <f>I64-I69-I71</f>
        <v/>
      </c>
      <c r="J72" s="1361">
        <f>J64-J69-J71</f>
        <v/>
      </c>
      <c r="K72" s="1379">
        <f>K64-K69-K71</f>
        <v/>
      </c>
      <c r="L72" s="1361">
        <f>L64-L69-L71</f>
        <v/>
      </c>
      <c r="M72" s="1361">
        <f>M64-M69-M71</f>
        <v/>
      </c>
      <c r="N72" s="1361">
        <f>N64-N69-N71</f>
        <v/>
      </c>
      <c r="O72" s="1361">
        <f>O64-O69-O71</f>
        <v/>
      </c>
      <c r="P72" s="1379">
        <f>P64-P69-P71</f>
        <v/>
      </c>
      <c r="Q72" s="1361">
        <f>Q64-Q69-Q71</f>
        <v/>
      </c>
      <c r="R72" s="1361">
        <f>R64-R69-R71</f>
        <v/>
      </c>
      <c r="S72" s="1361">
        <f>S64-S69-S71</f>
        <v/>
      </c>
      <c r="T72" s="1361">
        <f>T64-T69-T71</f>
        <v/>
      </c>
      <c r="U72" s="1379">
        <f>U64-U69-U71</f>
        <v/>
      </c>
      <c r="V72" s="1361">
        <f>V64-V69-V71</f>
        <v/>
      </c>
      <c r="W72" s="1361">
        <f>W64-W69-W71</f>
        <v/>
      </c>
      <c r="X72" s="1361">
        <f>X64-X69-X71</f>
        <v/>
      </c>
      <c r="Y72" s="1361">
        <f>Y64-Y69-Y71</f>
        <v/>
      </c>
      <c r="Z72" s="1379">
        <f>Z64-Z69-Z71</f>
        <v/>
      </c>
      <c r="AA72" s="1361">
        <f>AA64-AA69-AA71</f>
        <v/>
      </c>
      <c r="AB72" s="1361">
        <f>AB64-AB69-AB71</f>
        <v/>
      </c>
      <c r="AC72" s="1361">
        <f>AC64-AC69-AC71</f>
        <v/>
      </c>
      <c r="AD72" s="1361">
        <f>AD64-AD69-AD71</f>
        <v/>
      </c>
      <c r="AE72" s="1379">
        <f>AE64-AE69-AE71</f>
        <v/>
      </c>
      <c r="AF72" s="1361">
        <f>AF64-AF69-AF71</f>
        <v/>
      </c>
      <c r="AG72" s="1361">
        <f>AG64-AG69-AG71</f>
        <v/>
      </c>
      <c r="AH72" s="1361">
        <f>AH64-AH69-AH71</f>
        <v/>
      </c>
      <c r="AI72" s="1361">
        <f>AI64-AI69-AI71</f>
        <v/>
      </c>
      <c r="AJ72" s="1379">
        <f>AJ64-AJ69-AJ71</f>
        <v/>
      </c>
      <c r="AK72" s="1361">
        <f>AK64-AK69-AK71</f>
        <v/>
      </c>
      <c r="AL72" s="1361">
        <f>AL64-AL69-AL71</f>
        <v/>
      </c>
      <c r="AM72" s="1361">
        <f>AM64-AM69-AM71</f>
        <v/>
      </c>
      <c r="AN72" s="1361">
        <f>AN64-AN69-AN71</f>
        <v/>
      </c>
      <c r="AO72" s="1379">
        <f>AO64-AO69-AO71</f>
        <v/>
      </c>
      <c r="AP72" s="1361">
        <f>AP64-AP69-AP71</f>
        <v/>
      </c>
      <c r="AQ72" s="1361">
        <f>AQ64-AQ69-AQ71</f>
        <v/>
      </c>
      <c r="AR72" s="1361">
        <f>AR64-AR69-AR71</f>
        <v/>
      </c>
      <c r="AS72" s="1361">
        <f>AS64-AS69-AS71</f>
        <v/>
      </c>
      <c r="AT72" s="1379">
        <f>AT64-AT69-AT71</f>
        <v/>
      </c>
      <c r="AU72" s="1361">
        <f>AU64-AU69-AU71</f>
        <v/>
      </c>
      <c r="AV72" s="1361">
        <f>AV64-AV69-AV71</f>
        <v/>
      </c>
      <c r="AW72" s="1361">
        <f>AW64-AW69-AW71</f>
        <v/>
      </c>
      <c r="AX72" s="1361">
        <f>AX64-AX69-AX71</f>
        <v/>
      </c>
      <c r="AY72" s="1379">
        <f>AY64-AY69-AY71</f>
        <v/>
      </c>
      <c r="AZ72" s="1361">
        <f>AZ64-AZ69-AZ71</f>
        <v/>
      </c>
      <c r="BA72" s="1361">
        <f>BA64-BA69-BA71</f>
        <v/>
      </c>
      <c r="BB72" s="1361">
        <f>BB64-BB69-BB71</f>
        <v/>
      </c>
      <c r="BC72" s="1361">
        <f>BC64-BC69-BC71</f>
        <v/>
      </c>
      <c r="BD72" s="1379">
        <f>BD64-BD69-BD71</f>
        <v/>
      </c>
      <c r="BE72" s="1361">
        <f>BE64-BE69-BE71</f>
        <v/>
      </c>
      <c r="BF72" s="1361">
        <f>BF64-BF69-BF71</f>
        <v/>
      </c>
      <c r="BG72" s="1361">
        <f>BG64-BG69-BG71</f>
        <v/>
      </c>
      <c r="BH72" s="1361">
        <f>BH64-BH69-BH71</f>
        <v/>
      </c>
      <c r="BI72" s="1379">
        <f>BI64-BI69-BI71</f>
        <v/>
      </c>
      <c r="BJ72" s="1361">
        <f>BJ64-BJ69-BJ71</f>
        <v/>
      </c>
      <c r="BK72" s="1361">
        <f>BK64-BK69-BK71</f>
        <v/>
      </c>
      <c r="BL72" s="1361">
        <f>BL64-BL69-BL71</f>
        <v/>
      </c>
      <c r="BM72" s="1361">
        <f>BM64-BM69-BM71</f>
        <v/>
      </c>
      <c r="BN72" s="1379">
        <f>BN64-BN69-BN71</f>
        <v/>
      </c>
      <c r="BO72" s="1361">
        <f>BO64-BO69-BO71</f>
        <v/>
      </c>
      <c r="BP72" s="1361">
        <f>BP64-BP69-BP71</f>
        <v/>
      </c>
      <c r="BQ72" s="1363">
        <f>BQ64-BQ69-BQ71</f>
        <v/>
      </c>
      <c r="BR72" s="1361">
        <f>BR74*BR34</f>
        <v/>
      </c>
      <c r="BS72" s="1379">
        <f>SUM(BO72,BP72,BQ72,BR72)</f>
        <v/>
      </c>
      <c r="BT72" s="1361">
        <f>BT74*BT34</f>
        <v/>
      </c>
      <c r="BU72" s="1361">
        <f>BU74*BU34</f>
        <v/>
      </c>
      <c r="BV72" s="1361">
        <f>BV74*BV34</f>
        <v/>
      </c>
      <c r="BW72" s="1361">
        <f>BW74*BW34</f>
        <v/>
      </c>
      <c r="BX72" s="1379">
        <f>SUM(BT72,BU72,BV72,BW72)</f>
        <v/>
      </c>
      <c r="BY72" s="1379">
        <f>BY74*BY34</f>
        <v/>
      </c>
      <c r="BZ72" s="1379">
        <f>BZ74*BZ34</f>
        <v/>
      </c>
      <c r="CA72" s="1379">
        <f>CA74*CA34</f>
        <v/>
      </c>
      <c r="CB72" s="1364" t="n"/>
    </row>
    <row r="73" ht="14.4" customFormat="1" customHeight="1" s="1372">
      <c r="A73" s="1408" t="inlineStr">
        <is>
          <t>Y/Y Non-GAAP G&amp;A growth, %</t>
        </is>
      </c>
      <c r="B73" s="1381" t="n"/>
      <c r="C73" s="1382" t="n"/>
      <c r="D73" s="1382" t="n"/>
      <c r="E73" s="1382">
        <f>E72/D72-1</f>
        <v/>
      </c>
      <c r="F73" s="1382">
        <f>F72/E72-1</f>
        <v/>
      </c>
      <c r="G73" s="1384" t="n"/>
      <c r="H73" s="1384" t="n"/>
      <c r="I73" s="1384" t="n"/>
      <c r="J73" s="1384" t="n"/>
      <c r="K73" s="1382">
        <f>K72/F72-1</f>
        <v/>
      </c>
      <c r="L73" s="1384">
        <f>L72/G72-1</f>
        <v/>
      </c>
      <c r="M73" s="1384">
        <f>M72/H72-1</f>
        <v/>
      </c>
      <c r="N73" s="1384">
        <f>N72/I72-1</f>
        <v/>
      </c>
      <c r="O73" s="1384">
        <f>O72/J72-1</f>
        <v/>
      </c>
      <c r="P73" s="1382">
        <f>P72/K72-1</f>
        <v/>
      </c>
      <c r="Q73" s="1384">
        <f>Q72/L72-1</f>
        <v/>
      </c>
      <c r="R73" s="1384">
        <f>R72/M72-1</f>
        <v/>
      </c>
      <c r="S73" s="1384">
        <f>S72/N72-1</f>
        <v/>
      </c>
      <c r="T73" s="1384">
        <f>T72/O72-1</f>
        <v/>
      </c>
      <c r="U73" s="1382">
        <f>U72/P72-1</f>
        <v/>
      </c>
      <c r="V73" s="1384">
        <f>V72/Q72-1</f>
        <v/>
      </c>
      <c r="W73" s="1384">
        <f>W72/R72-1</f>
        <v/>
      </c>
      <c r="X73" s="1384">
        <f>X72/S72-1</f>
        <v/>
      </c>
      <c r="Y73" s="1384">
        <f>Y72/T72-1</f>
        <v/>
      </c>
      <c r="Z73" s="1382">
        <f>Z72/U72-1</f>
        <v/>
      </c>
      <c r="AA73" s="1384">
        <f>AA72/V72-1</f>
        <v/>
      </c>
      <c r="AB73" s="1384">
        <f>AB72/W72-1</f>
        <v/>
      </c>
      <c r="AC73" s="1384">
        <f>AC72/X72-1</f>
        <v/>
      </c>
      <c r="AD73" s="1384">
        <f>AD72/Y72-1</f>
        <v/>
      </c>
      <c r="AE73" s="1382">
        <f>AE72/Z72-1</f>
        <v/>
      </c>
      <c r="AF73" s="1384">
        <f>AF72/AA72-1</f>
        <v/>
      </c>
      <c r="AG73" s="1384">
        <f>AG72/AB72-1</f>
        <v/>
      </c>
      <c r="AH73" s="1384">
        <f>AH72/AC72-1</f>
        <v/>
      </c>
      <c r="AI73" s="1384">
        <f>AI72/AD72-1</f>
        <v/>
      </c>
      <c r="AJ73" s="1382">
        <f>AJ72/AE72-1</f>
        <v/>
      </c>
      <c r="AK73" s="1384">
        <f>AK72/AF72-1</f>
        <v/>
      </c>
      <c r="AL73" s="1384">
        <f>AL72/AG72-1</f>
        <v/>
      </c>
      <c r="AM73" s="1384">
        <f>AM72/AH72-1</f>
        <v/>
      </c>
      <c r="AN73" s="1384">
        <f>AN72/AI72-1</f>
        <v/>
      </c>
      <c r="AO73" s="1382">
        <f>AO72/AJ72-1</f>
        <v/>
      </c>
      <c r="AP73" s="1384">
        <f>AP72/AK72-1</f>
        <v/>
      </c>
      <c r="AQ73" s="1384">
        <f>AQ72/AL72-1</f>
        <v/>
      </c>
      <c r="AR73" s="1384">
        <f>AR72/AM72-1</f>
        <v/>
      </c>
      <c r="AS73" s="1384">
        <f>AS72/AN72-1</f>
        <v/>
      </c>
      <c r="AT73" s="1382">
        <f>AT72/AO72-1</f>
        <v/>
      </c>
      <c r="AU73" s="1384">
        <f>AU72/AP72-1</f>
        <v/>
      </c>
      <c r="AV73" s="1384">
        <f>AV72/AQ72-1</f>
        <v/>
      </c>
      <c r="AW73" s="1384">
        <f>AW72/AR72-1</f>
        <v/>
      </c>
      <c r="AX73" s="1384">
        <f>AX72/AS72-1</f>
        <v/>
      </c>
      <c r="AY73" s="1382">
        <f>AY72/AT72-1</f>
        <v/>
      </c>
      <c r="AZ73" s="1384">
        <f>AZ72/AU72-1</f>
        <v/>
      </c>
      <c r="BA73" s="1384">
        <f>BA72/AV72-1</f>
        <v/>
      </c>
      <c r="BB73" s="1384">
        <f>BB72/AW72-1</f>
        <v/>
      </c>
      <c r="BC73" s="1384">
        <f>BC72/AX72-1</f>
        <v/>
      </c>
      <c r="BD73" s="1382">
        <f>BD72/AY72-1</f>
        <v/>
      </c>
      <c r="BE73" s="1384">
        <f>BE72/AZ72-1</f>
        <v/>
      </c>
      <c r="BF73" s="1384">
        <f>BF72/BA72-1</f>
        <v/>
      </c>
      <c r="BG73" s="1384">
        <f>BG72/BB72-1</f>
        <v/>
      </c>
      <c r="BH73" s="1384">
        <f>BH72/BC72-1</f>
        <v/>
      </c>
      <c r="BI73" s="1382">
        <f>BI72/BD72-1</f>
        <v/>
      </c>
      <c r="BJ73" s="1384">
        <f>BJ72/BE72-1</f>
        <v/>
      </c>
      <c r="BK73" s="1384">
        <f>BK72/BF72-1</f>
        <v/>
      </c>
      <c r="BL73" s="1384">
        <f>BL72/BG72-1</f>
        <v/>
      </c>
      <c r="BM73" s="1384">
        <f>BM72/BH72-1</f>
        <v/>
      </c>
      <c r="BN73" s="1382">
        <f>BN72/BI72-1</f>
        <v/>
      </c>
      <c r="BO73" s="1384">
        <f>BO72/BJ72-1</f>
        <v/>
      </c>
      <c r="BP73" s="1384">
        <f>BP72/BK72-1</f>
        <v/>
      </c>
      <c r="BQ73" s="1386">
        <f>BQ72/BL72-1</f>
        <v/>
      </c>
      <c r="BR73" s="1384">
        <f>BR72/BM72-1</f>
        <v/>
      </c>
      <c r="BS73" s="1382">
        <f>BS72/BN72-1</f>
        <v/>
      </c>
      <c r="BT73" s="1384">
        <f>BT72/BO72-1</f>
        <v/>
      </c>
      <c r="BU73" s="1384">
        <f>BU72/BP72-1</f>
        <v/>
      </c>
      <c r="BV73" s="1384">
        <f>BV72/BQ72-1</f>
        <v/>
      </c>
      <c r="BW73" s="1384">
        <f>BW72/BR72-1</f>
        <v/>
      </c>
      <c r="BX73" s="1382">
        <f>BX72/BS72-1</f>
        <v/>
      </c>
      <c r="BY73" s="1382">
        <f>BY72/BX72-1</f>
        <v/>
      </c>
      <c r="BZ73" s="1382">
        <f>BZ72/BY72-1</f>
        <v/>
      </c>
      <c r="CA73" s="1382">
        <f>CA72/BZ72-1</f>
        <v/>
      </c>
      <c r="CB73" s="1375" t="n"/>
    </row>
    <row r="74" ht="14.4" customFormat="1" customHeight="1" s="1460">
      <c r="A74" s="1492" t="inlineStr">
        <is>
          <t>Non-GAAP G&amp;A Margin, %</t>
        </is>
      </c>
      <c r="B74" s="1462" t="n"/>
      <c r="C74" s="1463" t="n"/>
      <c r="D74" s="1463">
        <f>D72/D34</f>
        <v/>
      </c>
      <c r="E74" s="1463">
        <f>E72/E34</f>
        <v/>
      </c>
      <c r="F74" s="1463">
        <f>F72/F34</f>
        <v/>
      </c>
      <c r="G74" s="1466">
        <f>G72/G34</f>
        <v/>
      </c>
      <c r="H74" s="1466">
        <f>H72/H34</f>
        <v/>
      </c>
      <c r="I74" s="1466">
        <f>I72/I34</f>
        <v/>
      </c>
      <c r="J74" s="1466">
        <f>J72/J34</f>
        <v/>
      </c>
      <c r="K74" s="1463">
        <f>K72/K34</f>
        <v/>
      </c>
      <c r="L74" s="1466">
        <f>L72/L34</f>
        <v/>
      </c>
      <c r="M74" s="1466">
        <f>M72/M34</f>
        <v/>
      </c>
      <c r="N74" s="1466">
        <f>N72/N34</f>
        <v/>
      </c>
      <c r="O74" s="1466">
        <f>O72/O34</f>
        <v/>
      </c>
      <c r="P74" s="1463">
        <f>P72/P34</f>
        <v/>
      </c>
      <c r="Q74" s="1466">
        <f>Q72/Q34</f>
        <v/>
      </c>
      <c r="R74" s="1466">
        <f>R72/R34</f>
        <v/>
      </c>
      <c r="S74" s="1466">
        <f>S72/S34</f>
        <v/>
      </c>
      <c r="T74" s="1466">
        <f>T72/T34</f>
        <v/>
      </c>
      <c r="U74" s="1463">
        <f>U72/U34</f>
        <v/>
      </c>
      <c r="V74" s="1466">
        <f>V72/V34</f>
        <v/>
      </c>
      <c r="W74" s="1466">
        <f>W72/W34</f>
        <v/>
      </c>
      <c r="X74" s="1466">
        <f>X72/X34</f>
        <v/>
      </c>
      <c r="Y74" s="1466">
        <f>Y72/Y34</f>
        <v/>
      </c>
      <c r="Z74" s="1463">
        <f>Z72/Z34</f>
        <v/>
      </c>
      <c r="AA74" s="1466">
        <f>AA72/AA34</f>
        <v/>
      </c>
      <c r="AB74" s="1466">
        <f>AB72/AB34</f>
        <v/>
      </c>
      <c r="AC74" s="1466">
        <f>AC72/AC34</f>
        <v/>
      </c>
      <c r="AD74" s="1466">
        <f>AD72/AD34</f>
        <v/>
      </c>
      <c r="AE74" s="1463">
        <f>AE72/AE34</f>
        <v/>
      </c>
      <c r="AF74" s="1466">
        <f>AF72/AF34</f>
        <v/>
      </c>
      <c r="AG74" s="1466">
        <f>AG72/AG34</f>
        <v/>
      </c>
      <c r="AH74" s="1466">
        <f>AH72/AH34</f>
        <v/>
      </c>
      <c r="AI74" s="1466">
        <f>AI72/AI34</f>
        <v/>
      </c>
      <c r="AJ74" s="1463">
        <f>AJ72/AJ34</f>
        <v/>
      </c>
      <c r="AK74" s="1466">
        <f>AK72/AK34</f>
        <v/>
      </c>
      <c r="AL74" s="1466">
        <f>AL72/AL34</f>
        <v/>
      </c>
      <c r="AM74" s="1466">
        <f>AM72/AM34</f>
        <v/>
      </c>
      <c r="AN74" s="1466">
        <f>AN72/AN34</f>
        <v/>
      </c>
      <c r="AO74" s="1463">
        <f>AO72/AO34</f>
        <v/>
      </c>
      <c r="AP74" s="1466">
        <f>AP72/AP34</f>
        <v/>
      </c>
      <c r="AQ74" s="1466">
        <f>AQ72/AQ34</f>
        <v/>
      </c>
      <c r="AR74" s="1466">
        <f>AR72/AR34</f>
        <v/>
      </c>
      <c r="AS74" s="1466">
        <f>AS72/AS34</f>
        <v/>
      </c>
      <c r="AT74" s="1463">
        <f>AT72/AT34</f>
        <v/>
      </c>
      <c r="AU74" s="1466">
        <f>AU72/AU34</f>
        <v/>
      </c>
      <c r="AV74" s="1466">
        <f>AV72/AV34</f>
        <v/>
      </c>
      <c r="AW74" s="1466">
        <f>AW72/AW34</f>
        <v/>
      </c>
      <c r="AX74" s="1466">
        <f>AX72/AX34</f>
        <v/>
      </c>
      <c r="AY74" s="1463">
        <f>AY72/AY34</f>
        <v/>
      </c>
      <c r="AZ74" s="1466">
        <f>AZ72/AZ34</f>
        <v/>
      </c>
      <c r="BA74" s="1466">
        <f>BA72/BA34</f>
        <v/>
      </c>
      <c r="BB74" s="1466">
        <f>BB72/BB34</f>
        <v/>
      </c>
      <c r="BC74" s="1466">
        <f>BC72/BC34</f>
        <v/>
      </c>
      <c r="BD74" s="1463">
        <f>BD72/BD34</f>
        <v/>
      </c>
      <c r="BE74" s="1466">
        <f>BE72/BE34</f>
        <v/>
      </c>
      <c r="BF74" s="1466">
        <f>BF72/BF34</f>
        <v/>
      </c>
      <c r="BG74" s="1466">
        <f>BG72/BG34</f>
        <v/>
      </c>
      <c r="BH74" s="1466">
        <f>BH72/BH34</f>
        <v/>
      </c>
      <c r="BI74" s="1463">
        <f>BI72/BI34</f>
        <v/>
      </c>
      <c r="BJ74" s="1466">
        <f>BJ72/BJ34</f>
        <v/>
      </c>
      <c r="BK74" s="1466">
        <f>BK72/BK34</f>
        <v/>
      </c>
      <c r="BL74" s="1466">
        <f>BL72/BL34</f>
        <v/>
      </c>
      <c r="BM74" s="1466">
        <f>BM72/BM34</f>
        <v/>
      </c>
      <c r="BN74" s="1463">
        <f>BN72/BN34</f>
        <v/>
      </c>
      <c r="BO74" s="1466">
        <f>BO72/BO34</f>
        <v/>
      </c>
      <c r="BP74" s="1466">
        <f>BP72/BP34</f>
        <v/>
      </c>
      <c r="BQ74" s="1491">
        <f>BQ72/BQ34</f>
        <v/>
      </c>
      <c r="BR74" s="1466">
        <f>BM74-BR75/10000</f>
        <v/>
      </c>
      <c r="BS74" s="1463">
        <f>BS72/BS34</f>
        <v/>
      </c>
      <c r="BT74" s="1466">
        <f>BO74-BT75/10000</f>
        <v/>
      </c>
      <c r="BU74" s="1466">
        <f>BP74-BU75/10000</f>
        <v/>
      </c>
      <c r="BV74" s="1466">
        <f>BQ74-BV75/10000</f>
        <v/>
      </c>
      <c r="BW74" s="1466">
        <f>BR74-BW75/10000</f>
        <v/>
      </c>
      <c r="BX74" s="1463">
        <f>BX72/BX34</f>
        <v/>
      </c>
      <c r="BY74" s="1463">
        <f>BX74-BY75/10000</f>
        <v/>
      </c>
      <c r="BZ74" s="1463">
        <f>BY74-BZ75/10000</f>
        <v/>
      </c>
      <c r="CA74" s="1463">
        <f>BZ74-CA75/10000</f>
        <v/>
      </c>
      <c r="CB74" s="1465" t="n"/>
    </row>
    <row r="75" ht="14.4" customFormat="1" customHeight="1" s="1460">
      <c r="A75" s="1486" t="inlineStr">
        <is>
          <t>Y/Y Non-GAAP G&amp;A Margin improvement, bps</t>
        </is>
      </c>
      <c r="B75" s="1462" t="n"/>
      <c r="C75" s="1469" t="n"/>
      <c r="D75" s="1469" t="n"/>
      <c r="E75" s="1469">
        <f>-(E74-D74)*10000</f>
        <v/>
      </c>
      <c r="F75" s="1469">
        <f>-(F74-E74)*10000</f>
        <v/>
      </c>
      <c r="G75" s="1471" t="n"/>
      <c r="H75" s="1471" t="n"/>
      <c r="I75" s="1471" t="n"/>
      <c r="J75" s="1471" t="n"/>
      <c r="K75" s="1469">
        <f>-(K74-F74)*10000</f>
        <v/>
      </c>
      <c r="L75" s="1471">
        <f>-(L74-G74)*10000</f>
        <v/>
      </c>
      <c r="M75" s="1471">
        <f>-(M74-H74)*10000</f>
        <v/>
      </c>
      <c r="N75" s="1471">
        <f>-(N74-I74)*10000</f>
        <v/>
      </c>
      <c r="O75" s="1471">
        <f>-(O74-J74)*10000</f>
        <v/>
      </c>
      <c r="P75" s="1469">
        <f>-(P74-K74)*10000</f>
        <v/>
      </c>
      <c r="Q75" s="1471">
        <f>-(Q74-L74)*10000</f>
        <v/>
      </c>
      <c r="R75" s="1471">
        <f>-(R74-M74)*10000</f>
        <v/>
      </c>
      <c r="S75" s="1471">
        <f>-(S74-N74)*10000</f>
        <v/>
      </c>
      <c r="T75" s="1471">
        <f>-(T74-O74)*10000</f>
        <v/>
      </c>
      <c r="U75" s="1469">
        <f>-(U74-P74)*10000</f>
        <v/>
      </c>
      <c r="V75" s="1471">
        <f>-(V74-Q74)*10000</f>
        <v/>
      </c>
      <c r="W75" s="1471">
        <f>-(W74-R74)*10000</f>
        <v/>
      </c>
      <c r="X75" s="1471">
        <f>-(X74-S74)*10000</f>
        <v/>
      </c>
      <c r="Y75" s="1471">
        <f>-(Y74-T74)*10000</f>
        <v/>
      </c>
      <c r="Z75" s="1469">
        <f>-(Z74-U74)*10000</f>
        <v/>
      </c>
      <c r="AA75" s="1471">
        <f>-(AA74-V74)*10000</f>
        <v/>
      </c>
      <c r="AB75" s="1471">
        <f>-(AB74-W74)*10000</f>
        <v/>
      </c>
      <c r="AC75" s="1471">
        <f>-(AC74-X74)*10000</f>
        <v/>
      </c>
      <c r="AD75" s="1471">
        <f>-(AD74-Y74)*10000</f>
        <v/>
      </c>
      <c r="AE75" s="1469">
        <f>-(AE74-Z74)*10000</f>
        <v/>
      </c>
      <c r="AF75" s="1471">
        <f>-(AF74-AA74)*10000</f>
        <v/>
      </c>
      <c r="AG75" s="1471">
        <f>-(AG74-AB74)*10000</f>
        <v/>
      </c>
      <c r="AH75" s="1471">
        <f>-(AH74-AC74)*10000</f>
        <v/>
      </c>
      <c r="AI75" s="1471">
        <f>-(AI74-AD74)*10000</f>
        <v/>
      </c>
      <c r="AJ75" s="1469">
        <f>-(AJ74-AE74)*10000</f>
        <v/>
      </c>
      <c r="AK75" s="1471">
        <f>-(AK74-AF74)*10000</f>
        <v/>
      </c>
      <c r="AL75" s="1471">
        <f>-(AL74-AG74)*10000</f>
        <v/>
      </c>
      <c r="AM75" s="1471">
        <f>-(AM74-AH74)*10000</f>
        <v/>
      </c>
      <c r="AN75" s="1471">
        <f>-(AN74-AI74)*10000</f>
        <v/>
      </c>
      <c r="AO75" s="1469">
        <f>-(AO74-AJ74)*10000</f>
        <v/>
      </c>
      <c r="AP75" s="1471">
        <f>-(AP74-AK74)*10000</f>
        <v/>
      </c>
      <c r="AQ75" s="1471">
        <f>-(AQ74-AL74)*10000</f>
        <v/>
      </c>
      <c r="AR75" s="1471">
        <f>-(AR74-AM74)*10000</f>
        <v/>
      </c>
      <c r="AS75" s="1471">
        <f>-(AS74-AN74)*10000</f>
        <v/>
      </c>
      <c r="AT75" s="1469">
        <f>-(AT74-AO74)*10000</f>
        <v/>
      </c>
      <c r="AU75" s="1471">
        <f>-(AU74-AP74)*10000</f>
        <v/>
      </c>
      <c r="AV75" s="1471">
        <f>-(AV74-AQ74)*10000</f>
        <v/>
      </c>
      <c r="AW75" s="1471">
        <f>-(AW74-AR74)*10000</f>
        <v/>
      </c>
      <c r="AX75" s="1471">
        <f>-(AX74-AS74)*10000</f>
        <v/>
      </c>
      <c r="AY75" s="1469">
        <f>-(AY74-AT74)*10000</f>
        <v/>
      </c>
      <c r="AZ75" s="1471">
        <f>-(AZ74-AU74)*10000</f>
        <v/>
      </c>
      <c r="BA75" s="1471">
        <f>-(BA74-AV74)*10000</f>
        <v/>
      </c>
      <c r="BB75" s="1471">
        <f>-(BB74-AW74)*10000</f>
        <v/>
      </c>
      <c r="BC75" s="1471">
        <f>-(BC74-AX74)*10000</f>
        <v/>
      </c>
      <c r="BD75" s="1469">
        <f>-(BD74-AY74)*10000</f>
        <v/>
      </c>
      <c r="BE75" s="1471">
        <f>-(BE74-AZ74)*10000</f>
        <v/>
      </c>
      <c r="BF75" s="1471">
        <f>-(BF74-BA74)*10000</f>
        <v/>
      </c>
      <c r="BG75" s="1471">
        <f>-(BG74-BB74)*10000</f>
        <v/>
      </c>
      <c r="BH75" s="1471">
        <f>-(BH74-BC74)*10000</f>
        <v/>
      </c>
      <c r="BI75" s="1469">
        <f>-(BI74-BD74)*10000</f>
        <v/>
      </c>
      <c r="BJ75" s="1471">
        <f>-(BJ74-BE74)*10000</f>
        <v/>
      </c>
      <c r="BK75" s="1471">
        <f>-(BK74-BF74)*10000</f>
        <v/>
      </c>
      <c r="BL75" s="1471">
        <f>-(BL74-BG74)*10000</f>
        <v/>
      </c>
      <c r="BM75" s="1471">
        <f>-(BM74-BH74)*10000</f>
        <v/>
      </c>
      <c r="BN75" s="1469">
        <f>-(BN74-BI74)*10000</f>
        <v/>
      </c>
      <c r="BO75" s="1471">
        <f>-(BO74-BJ74)*10000</f>
        <v/>
      </c>
      <c r="BP75" s="1471">
        <f>-(BP74-BK74)*10000</f>
        <v/>
      </c>
      <c r="BQ75" s="1487">
        <f>-(BQ74-BL74)*10000</f>
        <v/>
      </c>
      <c r="BR75" s="1488" t="n">
        <v>0</v>
      </c>
      <c r="BS75" s="1469">
        <f>-(BS74-BN74)*10000</f>
        <v/>
      </c>
      <c r="BT75" s="1488" t="n">
        <v>200</v>
      </c>
      <c r="BU75" s="1488" t="n">
        <v>100</v>
      </c>
      <c r="BV75" s="1488" t="n">
        <v>0</v>
      </c>
      <c r="BW75" s="1488" t="n">
        <v>0</v>
      </c>
      <c r="BX75" s="1469">
        <f>-(BX74-BS74)*10000</f>
        <v/>
      </c>
      <c r="BY75" s="1489" t="n">
        <v>0</v>
      </c>
      <c r="BZ75" s="1489" t="n">
        <v>0</v>
      </c>
      <c r="CA75" s="1489" t="n">
        <v>0</v>
      </c>
      <c r="CB75" s="1465" t="n"/>
    </row>
    <row r="76" ht="14.4" customFormat="1" customHeight="1" s="1372">
      <c r="A76" s="1447" t="n"/>
      <c r="B76" s="1448" t="n"/>
      <c r="C76" s="1449" t="n"/>
      <c r="D76" s="1449" t="n"/>
      <c r="E76" s="1449" t="n"/>
      <c r="F76" s="1449" t="n"/>
      <c r="G76" s="1450" t="n"/>
      <c r="H76" s="1450" t="n"/>
      <c r="I76" s="1450" t="n"/>
      <c r="J76" s="1450" t="n"/>
      <c r="K76" s="1449" t="n"/>
      <c r="L76" s="1450" t="n"/>
      <c r="M76" s="1450" t="n"/>
      <c r="N76" s="1450" t="n"/>
      <c r="O76" s="1450" t="n"/>
      <c r="P76" s="1449" t="n"/>
      <c r="Q76" s="1450" t="n"/>
      <c r="R76" s="1450" t="n"/>
      <c r="S76" s="1450" t="n"/>
      <c r="T76" s="1450" t="n"/>
      <c r="U76" s="1449" t="n"/>
      <c r="V76" s="1450" t="n"/>
      <c r="W76" s="1450" t="n"/>
      <c r="X76" s="1450" t="n"/>
      <c r="Y76" s="1450" t="n"/>
      <c r="Z76" s="1449" t="n"/>
      <c r="AA76" s="1450" t="n"/>
      <c r="AB76" s="1450" t="n"/>
      <c r="AC76" s="1450" t="n"/>
      <c r="AD76" s="1450" t="n"/>
      <c r="AE76" s="1449" t="n"/>
      <c r="AF76" s="1450" t="n"/>
      <c r="AG76" s="1450" t="n"/>
      <c r="AH76" s="1450" t="n"/>
      <c r="AI76" s="1450" t="n"/>
      <c r="AJ76" s="1449" t="n"/>
      <c r="AK76" s="1450" t="n"/>
      <c r="AL76" s="1450" t="n"/>
      <c r="AM76" s="1450" t="n"/>
      <c r="AN76" s="1450" t="n"/>
      <c r="AO76" s="1449" t="n"/>
      <c r="AP76" s="1450" t="n"/>
      <c r="AQ76" s="1450" t="n"/>
      <c r="AR76" s="1450" t="n"/>
      <c r="AS76" s="1450" t="n"/>
      <c r="AT76" s="1449" t="n"/>
      <c r="AU76" s="1450" t="n"/>
      <c r="AV76" s="1450" t="n"/>
      <c r="AW76" s="1450" t="n"/>
      <c r="AX76" s="1450" t="n"/>
      <c r="AY76" s="1449" t="n"/>
      <c r="AZ76" s="1450" t="n"/>
      <c r="BA76" s="1450" t="n"/>
      <c r="BB76" s="1450" t="n"/>
      <c r="BC76" s="1450" t="n"/>
      <c r="BD76" s="1449" t="n"/>
      <c r="BE76" s="1450" t="n"/>
      <c r="BF76" s="1450" t="n"/>
      <c r="BG76" s="1450" t="n"/>
      <c r="BH76" s="1450" t="n"/>
      <c r="BI76" s="1449" t="n"/>
      <c r="BJ76" s="1450" t="n"/>
      <c r="BK76" s="1450" t="n"/>
      <c r="BL76" s="1450" t="n"/>
      <c r="BM76" s="1450" t="n"/>
      <c r="BN76" s="1449" t="n"/>
      <c r="BO76" s="1450" t="n"/>
      <c r="BP76" s="1450" t="n"/>
      <c r="BQ76" s="1451" t="n"/>
      <c r="BR76" s="1450" t="n"/>
      <c r="BS76" s="1449" t="n"/>
      <c r="BT76" s="1450" t="n"/>
      <c r="BU76" s="1450" t="n"/>
      <c r="BV76" s="1450" t="n"/>
      <c r="BW76" s="1450" t="n"/>
      <c r="BX76" s="1449" t="n"/>
      <c r="BY76" s="1449" t="n"/>
      <c r="BZ76" s="1449" t="n"/>
      <c r="CA76" s="1449" t="n"/>
      <c r="CB76" s="1375" t="n"/>
    </row>
    <row r="77" hidden="1" outlineLevel="1" ht="14.4" customFormat="1" customHeight="1" s="1359">
      <c r="A77" s="1490" t="inlineStr">
        <is>
          <t>GAAP S&amp;M, mm</t>
        </is>
      </c>
      <c r="B77" s="1377" t="n"/>
      <c r="C77" s="1379">
        <f>C472</f>
        <v/>
      </c>
      <c r="D77" s="1379">
        <f>D472</f>
        <v/>
      </c>
      <c r="E77" s="1379">
        <f>E472</f>
        <v/>
      </c>
      <c r="F77" s="1379">
        <f>F472</f>
        <v/>
      </c>
      <c r="G77" s="1361">
        <f>G472</f>
        <v/>
      </c>
      <c r="H77" s="1361">
        <f>H472</f>
        <v/>
      </c>
      <c r="I77" s="1361">
        <f>I472</f>
        <v/>
      </c>
      <c r="J77" s="1361">
        <f>J472</f>
        <v/>
      </c>
      <c r="K77" s="1379">
        <f>K472</f>
        <v/>
      </c>
      <c r="L77" s="1361">
        <f>L472</f>
        <v/>
      </c>
      <c r="M77" s="1361">
        <f>M472</f>
        <v/>
      </c>
      <c r="N77" s="1361">
        <f>N472</f>
        <v/>
      </c>
      <c r="O77" s="1361">
        <f>O472</f>
        <v/>
      </c>
      <c r="P77" s="1379">
        <f>P472</f>
        <v/>
      </c>
      <c r="Q77" s="1361">
        <f>Q472</f>
        <v/>
      </c>
      <c r="R77" s="1361">
        <f>R472</f>
        <v/>
      </c>
      <c r="S77" s="1361">
        <f>S472</f>
        <v/>
      </c>
      <c r="T77" s="1361">
        <f>T472</f>
        <v/>
      </c>
      <c r="U77" s="1379">
        <f>U472</f>
        <v/>
      </c>
      <c r="V77" s="1361">
        <f>V472</f>
        <v/>
      </c>
      <c r="W77" s="1361">
        <f>W472</f>
        <v/>
      </c>
      <c r="X77" s="1361">
        <f>X472</f>
        <v/>
      </c>
      <c r="Y77" s="1361">
        <f>Y472</f>
        <v/>
      </c>
      <c r="Z77" s="1379">
        <f>Z472</f>
        <v/>
      </c>
      <c r="AA77" s="1361">
        <f>AA472</f>
        <v/>
      </c>
      <c r="AB77" s="1361">
        <f>AB472</f>
        <v/>
      </c>
      <c r="AC77" s="1361">
        <f>AC472</f>
        <v/>
      </c>
      <c r="AD77" s="1361">
        <f>AD472</f>
        <v/>
      </c>
      <c r="AE77" s="1379">
        <f>AE472</f>
        <v/>
      </c>
      <c r="AF77" s="1361">
        <f>AF472</f>
        <v/>
      </c>
      <c r="AG77" s="1361">
        <f>AG472</f>
        <v/>
      </c>
      <c r="AH77" s="1361">
        <f>AH472</f>
        <v/>
      </c>
      <c r="AI77" s="1361">
        <f>AI472</f>
        <v/>
      </c>
      <c r="AJ77" s="1379">
        <f>AJ472</f>
        <v/>
      </c>
      <c r="AK77" s="1361">
        <f>AK472</f>
        <v/>
      </c>
      <c r="AL77" s="1361">
        <f>AL472</f>
        <v/>
      </c>
      <c r="AM77" s="1361">
        <f>AM472</f>
        <v/>
      </c>
      <c r="AN77" s="1361">
        <f>AN472</f>
        <v/>
      </c>
      <c r="AO77" s="1379">
        <f>AO472</f>
        <v/>
      </c>
      <c r="AP77" s="1361">
        <f>AP472</f>
        <v/>
      </c>
      <c r="AQ77" s="1361">
        <f>AQ472</f>
        <v/>
      </c>
      <c r="AR77" s="1361">
        <f>AR472</f>
        <v/>
      </c>
      <c r="AS77" s="1361">
        <f>AS472</f>
        <v/>
      </c>
      <c r="AT77" s="1379">
        <f>AT472</f>
        <v/>
      </c>
      <c r="AU77" s="1361">
        <f>AU472</f>
        <v/>
      </c>
      <c r="AV77" s="1361">
        <f>AV472</f>
        <v/>
      </c>
      <c r="AW77" s="1361">
        <f>AW472</f>
        <v/>
      </c>
      <c r="AX77" s="1361">
        <f>AX472</f>
        <v/>
      </c>
      <c r="AY77" s="1379">
        <f>AY472</f>
        <v/>
      </c>
      <c r="AZ77" s="1361">
        <f>AZ472</f>
        <v/>
      </c>
      <c r="BA77" s="1361">
        <f>BA472</f>
        <v/>
      </c>
      <c r="BB77" s="1361">
        <f>BB472</f>
        <v/>
      </c>
      <c r="BC77" s="1361">
        <f>BC472</f>
        <v/>
      </c>
      <c r="BD77" s="1379">
        <f>BD472</f>
        <v/>
      </c>
      <c r="BE77" s="1361">
        <f>BE472</f>
        <v/>
      </c>
      <c r="BF77" s="1361">
        <f>BF472</f>
        <v/>
      </c>
      <c r="BG77" s="1361">
        <f>BG472</f>
        <v/>
      </c>
      <c r="BH77" s="1361">
        <f>BH472</f>
        <v/>
      </c>
      <c r="BI77" s="1379">
        <f>BI472</f>
        <v/>
      </c>
      <c r="BJ77" s="1361">
        <f>BJ472</f>
        <v/>
      </c>
      <c r="BK77" s="1361">
        <f>BK472</f>
        <v/>
      </c>
      <c r="BL77" s="1361">
        <f>BL472</f>
        <v/>
      </c>
      <c r="BM77" s="1361">
        <f>BM472</f>
        <v/>
      </c>
      <c r="BN77" s="1379">
        <f>BN472</f>
        <v/>
      </c>
      <c r="BO77" s="1361">
        <f>BO472</f>
        <v/>
      </c>
      <c r="BP77" s="1361">
        <f>BP472</f>
        <v/>
      </c>
      <c r="BQ77" s="1363">
        <f>BQ472</f>
        <v/>
      </c>
      <c r="BR77" s="1361">
        <f>BR85+BR84+BR82</f>
        <v/>
      </c>
      <c r="BS77" s="1379">
        <f>SUM(BO77,BP77,BQ77,BR77)</f>
        <v/>
      </c>
      <c r="BT77" s="1361">
        <f>BT85+BT84+BT82</f>
        <v/>
      </c>
      <c r="BU77" s="1361">
        <f>BU85+BU84+BU82</f>
        <v/>
      </c>
      <c r="BV77" s="1361">
        <f>BV85+BV84+BV82</f>
        <v/>
      </c>
      <c r="BW77" s="1361">
        <f>BW85+BW84+BW82</f>
        <v/>
      </c>
      <c r="BX77" s="1379">
        <f>SUM(BT77,BU77,BV77,BW77)</f>
        <v/>
      </c>
      <c r="BY77" s="1379">
        <f>BY85+BY84+BY82</f>
        <v/>
      </c>
      <c r="BZ77" s="1379">
        <f>BZ85+BZ84+BZ82</f>
        <v/>
      </c>
      <c r="CA77" s="1379">
        <f>CA85+CA84+CA82</f>
        <v/>
      </c>
      <c r="CB77" s="1364" t="n"/>
    </row>
    <row r="78" hidden="1" outlineLevel="1" ht="14.4" customFormat="1" customHeight="1" s="1475">
      <c r="A78" s="1482" t="inlineStr">
        <is>
          <t>Y/Y GAAP S&amp;M growth, %</t>
        </is>
      </c>
      <c r="B78" s="1477" t="n"/>
      <c r="C78" s="1382" t="n"/>
      <c r="D78" s="1382">
        <f>D77/C77-1</f>
        <v/>
      </c>
      <c r="E78" s="1382">
        <f>E77/D77-1</f>
        <v/>
      </c>
      <c r="F78" s="1382">
        <f>F77/E77-1</f>
        <v/>
      </c>
      <c r="G78" s="1384" t="n"/>
      <c r="H78" s="1384" t="n"/>
      <c r="I78" s="1384" t="n"/>
      <c r="J78" s="1384" t="n"/>
      <c r="K78" s="1382">
        <f>K77/F77-1</f>
        <v/>
      </c>
      <c r="L78" s="1384">
        <f>L77/G77-1</f>
        <v/>
      </c>
      <c r="M78" s="1384">
        <f>M77/H77-1</f>
        <v/>
      </c>
      <c r="N78" s="1384">
        <f>N77/I77-1</f>
        <v/>
      </c>
      <c r="O78" s="1384">
        <f>O77/J77-1</f>
        <v/>
      </c>
      <c r="P78" s="1382">
        <f>P77/K77-1</f>
        <v/>
      </c>
      <c r="Q78" s="1384">
        <f>Q77/L77-1</f>
        <v/>
      </c>
      <c r="R78" s="1384">
        <f>R77/M77-1</f>
        <v/>
      </c>
      <c r="S78" s="1384">
        <f>S77/N77-1</f>
        <v/>
      </c>
      <c r="T78" s="1384">
        <f>T77/O77-1</f>
        <v/>
      </c>
      <c r="U78" s="1382">
        <f>U77/P77-1</f>
        <v/>
      </c>
      <c r="V78" s="1384">
        <f>V77/Q77-1</f>
        <v/>
      </c>
      <c r="W78" s="1384">
        <f>W77/R77-1</f>
        <v/>
      </c>
      <c r="X78" s="1384">
        <f>X77/S77-1</f>
        <v/>
      </c>
      <c r="Y78" s="1384">
        <f>Y77/T77-1</f>
        <v/>
      </c>
      <c r="Z78" s="1382">
        <f>Z77/U77-1</f>
        <v/>
      </c>
      <c r="AA78" s="1384">
        <f>AA77/V77-1</f>
        <v/>
      </c>
      <c r="AB78" s="1384">
        <f>AB77/W77-1</f>
        <v/>
      </c>
      <c r="AC78" s="1384">
        <f>AC77/X77-1</f>
        <v/>
      </c>
      <c r="AD78" s="1384">
        <f>AD77/Y77-1</f>
        <v/>
      </c>
      <c r="AE78" s="1382">
        <f>AE77/Z77-1</f>
        <v/>
      </c>
      <c r="AF78" s="1384">
        <f>AF77/AA77-1</f>
        <v/>
      </c>
      <c r="AG78" s="1384">
        <f>AG77/AB77-1</f>
        <v/>
      </c>
      <c r="AH78" s="1384">
        <f>AH77/AC77-1</f>
        <v/>
      </c>
      <c r="AI78" s="1384">
        <f>AI77/AD77-1</f>
        <v/>
      </c>
      <c r="AJ78" s="1382">
        <f>AJ77/AE77-1</f>
        <v/>
      </c>
      <c r="AK78" s="1384">
        <f>AK77/AF77-1</f>
        <v/>
      </c>
      <c r="AL78" s="1384">
        <f>AL77/AG77-1</f>
        <v/>
      </c>
      <c r="AM78" s="1384">
        <f>AM77/AH77-1</f>
        <v/>
      </c>
      <c r="AN78" s="1384">
        <f>AN77/AI77-1</f>
        <v/>
      </c>
      <c r="AO78" s="1382">
        <f>AO77/AJ77-1</f>
        <v/>
      </c>
      <c r="AP78" s="1384">
        <f>AP77/AK77-1</f>
        <v/>
      </c>
      <c r="AQ78" s="1384">
        <f>AQ77/AL77-1</f>
        <v/>
      </c>
      <c r="AR78" s="1384">
        <f>AR77/AM77-1</f>
        <v/>
      </c>
      <c r="AS78" s="1384">
        <f>AS77/AN77-1</f>
        <v/>
      </c>
      <c r="AT78" s="1382">
        <f>AT77/AO77-1</f>
        <v/>
      </c>
      <c r="AU78" s="1384">
        <f>AU77/AP77-1</f>
        <v/>
      </c>
      <c r="AV78" s="1384">
        <f>AV77/AQ77-1</f>
        <v/>
      </c>
      <c r="AW78" s="1384">
        <f>AW77/AR77-1</f>
        <v/>
      </c>
      <c r="AX78" s="1384">
        <f>AX77/AS77-1</f>
        <v/>
      </c>
      <c r="AY78" s="1382">
        <f>AY77/AT77-1</f>
        <v/>
      </c>
      <c r="AZ78" s="1384">
        <f>AZ77/AU77-1</f>
        <v/>
      </c>
      <c r="BA78" s="1384">
        <f>BA77/AV77-1</f>
        <v/>
      </c>
      <c r="BB78" s="1384">
        <f>BB77/AW77-1</f>
        <v/>
      </c>
      <c r="BC78" s="1384">
        <f>BC77/AX77-1</f>
        <v/>
      </c>
      <c r="BD78" s="1382">
        <f>BD77/AY77-1</f>
        <v/>
      </c>
      <c r="BE78" s="1384">
        <f>BE77/AZ77-1</f>
        <v/>
      </c>
      <c r="BF78" s="1384">
        <f>BF77/BA77-1</f>
        <v/>
      </c>
      <c r="BG78" s="1384">
        <f>BG77/BB77-1</f>
        <v/>
      </c>
      <c r="BH78" s="1384">
        <f>BH77/BC77-1</f>
        <v/>
      </c>
      <c r="BI78" s="1382">
        <f>BI77/BD77-1</f>
        <v/>
      </c>
      <c r="BJ78" s="1384">
        <f>BJ77/BE77-1</f>
        <v/>
      </c>
      <c r="BK78" s="1384">
        <f>BK77/BF77-1</f>
        <v/>
      </c>
      <c r="BL78" s="1384">
        <f>BL77/BG77-1</f>
        <v/>
      </c>
      <c r="BM78" s="1384">
        <f>BM77/BH77-1</f>
        <v/>
      </c>
      <c r="BN78" s="1382">
        <f>BN77/BI77-1</f>
        <v/>
      </c>
      <c r="BO78" s="1384">
        <f>BO77/BJ77-1</f>
        <v/>
      </c>
      <c r="BP78" s="1384">
        <f>BP77/BK77-1</f>
        <v/>
      </c>
      <c r="BQ78" s="1386">
        <f>BQ77/BL77-1</f>
        <v/>
      </c>
      <c r="BR78" s="1384">
        <f>BR77/BM77-1</f>
        <v/>
      </c>
      <c r="BS78" s="1382">
        <f>BS77/BN77-1</f>
        <v/>
      </c>
      <c r="BT78" s="1384">
        <f>BT77/BO77-1</f>
        <v/>
      </c>
      <c r="BU78" s="1384">
        <f>BU77/BP77-1</f>
        <v/>
      </c>
      <c r="BV78" s="1384">
        <f>BV77/BQ77-1</f>
        <v/>
      </c>
      <c r="BW78" s="1384">
        <f>BW77/BR77-1</f>
        <v/>
      </c>
      <c r="BX78" s="1382">
        <f>BX77/BS77-1</f>
        <v/>
      </c>
      <c r="BY78" s="1382">
        <f>BY77/BX77-1</f>
        <v/>
      </c>
      <c r="BZ78" s="1382">
        <f>BZ77/BY77-1</f>
        <v/>
      </c>
      <c r="CA78" s="1382">
        <f>CA77/BZ77-1</f>
        <v/>
      </c>
      <c r="CB78" s="1385" t="n"/>
    </row>
    <row r="79" hidden="1" outlineLevel="1" ht="14.4" customFormat="1" customHeight="1" s="1460">
      <c r="A79" s="1461" t="inlineStr">
        <is>
          <t>GAAP S&amp;M Margin, %</t>
        </is>
      </c>
      <c r="B79" s="1462" t="n"/>
      <c r="C79" s="1463">
        <f>C77/C34</f>
        <v/>
      </c>
      <c r="D79" s="1463">
        <f>D77/D34</f>
        <v/>
      </c>
      <c r="E79" s="1463">
        <f>E77/E34</f>
        <v/>
      </c>
      <c r="F79" s="1463">
        <f>F77/F34</f>
        <v/>
      </c>
      <c r="G79" s="1466">
        <f>G77/G34</f>
        <v/>
      </c>
      <c r="H79" s="1466">
        <f>H77/H34</f>
        <v/>
      </c>
      <c r="I79" s="1466">
        <f>I77/I34</f>
        <v/>
      </c>
      <c r="J79" s="1466">
        <f>J77/J34</f>
        <v/>
      </c>
      <c r="K79" s="1463">
        <f>K77/K34</f>
        <v/>
      </c>
      <c r="L79" s="1466">
        <f>L77/L34</f>
        <v/>
      </c>
      <c r="M79" s="1466">
        <f>M77/M34</f>
        <v/>
      </c>
      <c r="N79" s="1466">
        <f>N77/N34</f>
        <v/>
      </c>
      <c r="O79" s="1466">
        <f>O77/O34</f>
        <v/>
      </c>
      <c r="P79" s="1463">
        <f>P77/P34</f>
        <v/>
      </c>
      <c r="Q79" s="1466">
        <f>Q77/Q34</f>
        <v/>
      </c>
      <c r="R79" s="1466">
        <f>R77/R34</f>
        <v/>
      </c>
      <c r="S79" s="1466">
        <f>S77/S34</f>
        <v/>
      </c>
      <c r="T79" s="1466">
        <f>T77/T34</f>
        <v/>
      </c>
      <c r="U79" s="1463">
        <f>U77/U34</f>
        <v/>
      </c>
      <c r="V79" s="1466">
        <f>V77/V34</f>
        <v/>
      </c>
      <c r="W79" s="1466">
        <f>W77/W34</f>
        <v/>
      </c>
      <c r="X79" s="1466">
        <f>X77/X34</f>
        <v/>
      </c>
      <c r="Y79" s="1466">
        <f>Y77/Y34</f>
        <v/>
      </c>
      <c r="Z79" s="1463">
        <f>Z77/Z34</f>
        <v/>
      </c>
      <c r="AA79" s="1466">
        <f>AA77/AA34</f>
        <v/>
      </c>
      <c r="AB79" s="1466">
        <f>AB77/AB34</f>
        <v/>
      </c>
      <c r="AC79" s="1466">
        <f>AC77/AC34</f>
        <v/>
      </c>
      <c r="AD79" s="1466">
        <f>AD77/AD34</f>
        <v/>
      </c>
      <c r="AE79" s="1463">
        <f>AE77/AE34</f>
        <v/>
      </c>
      <c r="AF79" s="1466">
        <f>AF77/AF34</f>
        <v/>
      </c>
      <c r="AG79" s="1466">
        <f>AG77/AG34</f>
        <v/>
      </c>
      <c r="AH79" s="1466">
        <f>AH77/AH34</f>
        <v/>
      </c>
      <c r="AI79" s="1466">
        <f>AI77/AI34</f>
        <v/>
      </c>
      <c r="AJ79" s="1463">
        <f>AJ77/AJ34</f>
        <v/>
      </c>
      <c r="AK79" s="1466">
        <f>AK77/AK34</f>
        <v/>
      </c>
      <c r="AL79" s="1466">
        <f>AL77/AL34</f>
        <v/>
      </c>
      <c r="AM79" s="1466">
        <f>AM77/AM34</f>
        <v/>
      </c>
      <c r="AN79" s="1466">
        <f>AN77/AN34</f>
        <v/>
      </c>
      <c r="AO79" s="1463">
        <f>AO77/AO34</f>
        <v/>
      </c>
      <c r="AP79" s="1466">
        <f>AP77/AP34</f>
        <v/>
      </c>
      <c r="AQ79" s="1466">
        <f>AQ77/AQ34</f>
        <v/>
      </c>
      <c r="AR79" s="1466">
        <f>AR77/AR34</f>
        <v/>
      </c>
      <c r="AS79" s="1466">
        <f>AS77/AS34</f>
        <v/>
      </c>
      <c r="AT79" s="1463">
        <f>AT77/AT34</f>
        <v/>
      </c>
      <c r="AU79" s="1466">
        <f>AU77/AU34</f>
        <v/>
      </c>
      <c r="AV79" s="1466">
        <f>AV77/AV34</f>
        <v/>
      </c>
      <c r="AW79" s="1466">
        <f>AW77/AW34</f>
        <v/>
      </c>
      <c r="AX79" s="1466">
        <f>AX77/AX34</f>
        <v/>
      </c>
      <c r="AY79" s="1463">
        <f>AY77/AY34</f>
        <v/>
      </c>
      <c r="AZ79" s="1466">
        <f>AZ77/AZ34</f>
        <v/>
      </c>
      <c r="BA79" s="1466">
        <f>BA77/BA34</f>
        <v/>
      </c>
      <c r="BB79" s="1466">
        <f>BB77/BB34</f>
        <v/>
      </c>
      <c r="BC79" s="1466">
        <f>BC77/BC34</f>
        <v/>
      </c>
      <c r="BD79" s="1463">
        <f>BD77/BD34</f>
        <v/>
      </c>
      <c r="BE79" s="1466">
        <f>BE77/BE34</f>
        <v/>
      </c>
      <c r="BF79" s="1466">
        <f>BF77/BF34</f>
        <v/>
      </c>
      <c r="BG79" s="1466">
        <f>BG77/BG34</f>
        <v/>
      </c>
      <c r="BH79" s="1466">
        <f>BH77/BH34</f>
        <v/>
      </c>
      <c r="BI79" s="1463">
        <f>BI77/BI34</f>
        <v/>
      </c>
      <c r="BJ79" s="1466">
        <f>BJ77/BJ34</f>
        <v/>
      </c>
      <c r="BK79" s="1466">
        <f>BK77/BK34</f>
        <v/>
      </c>
      <c r="BL79" s="1466">
        <f>BL77/BL34</f>
        <v/>
      </c>
      <c r="BM79" s="1466">
        <f>BM77/BM34</f>
        <v/>
      </c>
      <c r="BN79" s="1463">
        <f>BN77/BN34</f>
        <v/>
      </c>
      <c r="BO79" s="1466">
        <f>BO77/BO34</f>
        <v/>
      </c>
      <c r="BP79" s="1466">
        <f>BP77/BP34</f>
        <v/>
      </c>
      <c r="BQ79" s="1491">
        <f>BQ77/BQ34</f>
        <v/>
      </c>
      <c r="BR79" s="1466">
        <f>BR77/BR34</f>
        <v/>
      </c>
      <c r="BS79" s="1463">
        <f>BS77/BS34</f>
        <v/>
      </c>
      <c r="BT79" s="1466">
        <f>BT77/BT34</f>
        <v/>
      </c>
      <c r="BU79" s="1466">
        <f>BU77/BU34</f>
        <v/>
      </c>
      <c r="BV79" s="1466">
        <f>BV77/BV34</f>
        <v/>
      </c>
      <c r="BW79" s="1466">
        <f>BW77/BW34</f>
        <v/>
      </c>
      <c r="BX79" s="1463">
        <f>BX77/BX34</f>
        <v/>
      </c>
      <c r="BY79" s="1463">
        <f>BY77/BY34</f>
        <v/>
      </c>
      <c r="BZ79" s="1463">
        <f>BZ77/BZ34</f>
        <v/>
      </c>
      <c r="CA79" s="1463">
        <f>CA77/CA34</f>
        <v/>
      </c>
      <c r="CB79" s="1465" t="n"/>
    </row>
    <row r="80" hidden="1" outlineLevel="1" ht="14.4" customFormat="1" customHeight="1" s="1460">
      <c r="A80" s="1468" t="inlineStr">
        <is>
          <t>Y/Y GAAP S&amp;M Margin improvement, bps</t>
        </is>
      </c>
      <c r="B80" s="1462" t="n"/>
      <c r="C80" s="1469" t="n"/>
      <c r="D80" s="1469">
        <f>-(D79-C79)*10000</f>
        <v/>
      </c>
      <c r="E80" s="1469">
        <f>-(E79-D79)*10000</f>
        <v/>
      </c>
      <c r="F80" s="1469">
        <f>-(F79-E79)*10000</f>
        <v/>
      </c>
      <c r="G80" s="1471" t="n"/>
      <c r="H80" s="1471" t="n"/>
      <c r="I80" s="1471" t="n"/>
      <c r="J80" s="1471" t="n"/>
      <c r="K80" s="1469">
        <f>-(K79-F79)*10000</f>
        <v/>
      </c>
      <c r="L80" s="1471">
        <f>-(L79-G79)*10000</f>
        <v/>
      </c>
      <c r="M80" s="1471">
        <f>-(M79-H79)*10000</f>
        <v/>
      </c>
      <c r="N80" s="1471">
        <f>-(N79-I79)*10000</f>
        <v/>
      </c>
      <c r="O80" s="1471">
        <f>-(O79-J79)*10000</f>
        <v/>
      </c>
      <c r="P80" s="1469">
        <f>-(P79-K79)*10000</f>
        <v/>
      </c>
      <c r="Q80" s="1471">
        <f>-(Q79-L79)*10000</f>
        <v/>
      </c>
      <c r="R80" s="1471">
        <f>-(R79-M79)*10000</f>
        <v/>
      </c>
      <c r="S80" s="1471">
        <f>-(S79-N79)*10000</f>
        <v/>
      </c>
      <c r="T80" s="1471">
        <f>-(T79-O79)*10000</f>
        <v/>
      </c>
      <c r="U80" s="1469">
        <f>-(U79-P79)*10000</f>
        <v/>
      </c>
      <c r="V80" s="1471">
        <f>-(V79-Q79)*10000</f>
        <v/>
      </c>
      <c r="W80" s="1471">
        <f>-(W79-R79)*10000</f>
        <v/>
      </c>
      <c r="X80" s="1471">
        <f>-(X79-S79)*10000</f>
        <v/>
      </c>
      <c r="Y80" s="1471">
        <f>-(Y79-T79)*10000</f>
        <v/>
      </c>
      <c r="Z80" s="1469">
        <f>-(Z79-U79)*10000</f>
        <v/>
      </c>
      <c r="AA80" s="1471">
        <f>-(AA79-V79)*10000</f>
        <v/>
      </c>
      <c r="AB80" s="1471">
        <f>-(AB79-W79)*10000</f>
        <v/>
      </c>
      <c r="AC80" s="1471">
        <f>-(AC79-X79)*10000</f>
        <v/>
      </c>
      <c r="AD80" s="1471">
        <f>-(AD79-Y79)*10000</f>
        <v/>
      </c>
      <c r="AE80" s="1469">
        <f>-(AE79-Z79)*10000</f>
        <v/>
      </c>
      <c r="AF80" s="1471">
        <f>-(AF79-AA79)*10000</f>
        <v/>
      </c>
      <c r="AG80" s="1471">
        <f>-(AG79-AB79)*10000</f>
        <v/>
      </c>
      <c r="AH80" s="1471">
        <f>-(AH79-AC79)*10000</f>
        <v/>
      </c>
      <c r="AI80" s="1471">
        <f>-(AI79-AD79)*10000</f>
        <v/>
      </c>
      <c r="AJ80" s="1469">
        <f>-(AJ79-AE79)*10000</f>
        <v/>
      </c>
      <c r="AK80" s="1471">
        <f>-(AK79-AF79)*10000</f>
        <v/>
      </c>
      <c r="AL80" s="1471">
        <f>-(AL79-AG79)*10000</f>
        <v/>
      </c>
      <c r="AM80" s="1471">
        <f>-(AM79-AH79)*10000</f>
        <v/>
      </c>
      <c r="AN80" s="1471">
        <f>-(AN79-AI79)*10000</f>
        <v/>
      </c>
      <c r="AO80" s="1469">
        <f>-(AO79-AJ79)*10000</f>
        <v/>
      </c>
      <c r="AP80" s="1471">
        <f>-(AP79-AK79)*10000</f>
        <v/>
      </c>
      <c r="AQ80" s="1471">
        <f>-(AQ79-AL79)*10000</f>
        <v/>
      </c>
      <c r="AR80" s="1471">
        <f>-(AR79-AM79)*10000</f>
        <v/>
      </c>
      <c r="AS80" s="1471">
        <f>-(AS79-AN79)*10000</f>
        <v/>
      </c>
      <c r="AT80" s="1469">
        <f>-(AT79-AO79)*10000</f>
        <v/>
      </c>
      <c r="AU80" s="1471">
        <f>-(AU79-AP79)*10000</f>
        <v/>
      </c>
      <c r="AV80" s="1471">
        <f>-(AV79-AQ79)*10000</f>
        <v/>
      </c>
      <c r="AW80" s="1471">
        <f>-(AW79-AR79)*10000</f>
        <v/>
      </c>
      <c r="AX80" s="1471">
        <f>-(AX79-AS79)*10000</f>
        <v/>
      </c>
      <c r="AY80" s="1469">
        <f>-(AY79-AT79)*10000</f>
        <v/>
      </c>
      <c r="AZ80" s="1471">
        <f>-(AZ79-AU79)*10000</f>
        <v/>
      </c>
      <c r="BA80" s="1471">
        <f>-(BA79-AV79)*10000</f>
        <v/>
      </c>
      <c r="BB80" s="1471">
        <f>-(BB79-AW79)*10000</f>
        <v/>
      </c>
      <c r="BC80" s="1471">
        <f>-(BC79-AX79)*10000</f>
        <v/>
      </c>
      <c r="BD80" s="1469">
        <f>-(BD79-AY79)*10000</f>
        <v/>
      </c>
      <c r="BE80" s="1471">
        <f>-(BE79-AZ79)*10000</f>
        <v/>
      </c>
      <c r="BF80" s="1471">
        <f>-(BF79-BA79)*10000</f>
        <v/>
      </c>
      <c r="BG80" s="1471">
        <f>-(BG79-BB79)*10000</f>
        <v/>
      </c>
      <c r="BH80" s="1471">
        <f>-(BH79-BC79)*10000</f>
        <v/>
      </c>
      <c r="BI80" s="1469">
        <f>-(BI79-BD79)*10000</f>
        <v/>
      </c>
      <c r="BJ80" s="1471">
        <f>-(BJ79-BE79)*10000</f>
        <v/>
      </c>
      <c r="BK80" s="1471">
        <f>-(BK79-BF79)*10000</f>
        <v/>
      </c>
      <c r="BL80" s="1471">
        <f>-(BL79-BG79)*10000</f>
        <v/>
      </c>
      <c r="BM80" s="1471">
        <f>-(BM79-BH79)*10000</f>
        <v/>
      </c>
      <c r="BN80" s="1469">
        <f>-(BN79-BI79)*10000</f>
        <v/>
      </c>
      <c r="BO80" s="1471">
        <f>-(BO79-BJ79)*10000</f>
        <v/>
      </c>
      <c r="BP80" s="1471">
        <f>-(BP79-BK79)*10000</f>
        <v/>
      </c>
      <c r="BQ80" s="1487">
        <f>-(BQ79-BL79)*10000</f>
        <v/>
      </c>
      <c r="BR80" s="1471">
        <f>-(BR79-BM79)*10000</f>
        <v/>
      </c>
      <c r="BS80" s="1469">
        <f>-(BS79-BN79)*10000</f>
        <v/>
      </c>
      <c r="BT80" s="1471">
        <f>-(BT79-BO79)*10000</f>
        <v/>
      </c>
      <c r="BU80" s="1471">
        <f>-(BU79-BP79)*10000</f>
        <v/>
      </c>
      <c r="BV80" s="1471">
        <f>-(BV79-BQ79)*10000</f>
        <v/>
      </c>
      <c r="BW80" s="1471">
        <f>-(BW79-BR79)*10000</f>
        <v/>
      </c>
      <c r="BX80" s="1469">
        <f>-(BX79-BS79)*10000</f>
        <v/>
      </c>
      <c r="BY80" s="1469">
        <f>-(BY79-BX79)*10000</f>
        <v/>
      </c>
      <c r="BZ80" s="1469">
        <f>-(BZ79-BY79)*10000</f>
        <v/>
      </c>
      <c r="CA80" s="1469">
        <f>-(CA79-BZ79)*10000</f>
        <v/>
      </c>
      <c r="CB80" s="1465" t="n"/>
    </row>
    <row r="81" hidden="1" outlineLevel="1" ht="7.5" customFormat="1" customHeight="1" s="1372">
      <c r="A81" s="1474" t="n"/>
      <c r="B81" s="1448" t="n"/>
      <c r="C81" s="1449" t="n"/>
      <c r="D81" s="1449" t="n"/>
      <c r="E81" s="1449" t="n"/>
      <c r="F81" s="1449" t="n"/>
      <c r="G81" s="1450" t="n"/>
      <c r="H81" s="1450" t="n"/>
      <c r="I81" s="1450" t="n"/>
      <c r="J81" s="1450" t="n"/>
      <c r="K81" s="1449" t="n"/>
      <c r="L81" s="1450" t="n"/>
      <c r="M81" s="1450" t="n"/>
      <c r="N81" s="1450" t="n"/>
      <c r="O81" s="1450" t="n"/>
      <c r="P81" s="1449" t="n"/>
      <c r="Q81" s="1450" t="n"/>
      <c r="R81" s="1450" t="n"/>
      <c r="S81" s="1450" t="n"/>
      <c r="T81" s="1450" t="n"/>
      <c r="U81" s="1449" t="n"/>
      <c r="V81" s="1450" t="n"/>
      <c r="W81" s="1450" t="n"/>
      <c r="X81" s="1450" t="n"/>
      <c r="Y81" s="1450" t="n"/>
      <c r="Z81" s="1449" t="n"/>
      <c r="AA81" s="1450" t="n"/>
      <c r="AB81" s="1450" t="n"/>
      <c r="AC81" s="1450" t="n"/>
      <c r="AD81" s="1450" t="n"/>
      <c r="AE81" s="1449" t="n"/>
      <c r="AF81" s="1450" t="n"/>
      <c r="AG81" s="1450" t="n"/>
      <c r="AH81" s="1450" t="n"/>
      <c r="AI81" s="1450" t="n"/>
      <c r="AJ81" s="1449" t="n"/>
      <c r="AK81" s="1450" t="n"/>
      <c r="AL81" s="1450" t="n"/>
      <c r="AM81" s="1450" t="n"/>
      <c r="AN81" s="1450" t="n"/>
      <c r="AO81" s="1449" t="n"/>
      <c r="AP81" s="1450" t="n"/>
      <c r="AQ81" s="1450" t="n"/>
      <c r="AR81" s="1450" t="n"/>
      <c r="AS81" s="1450" t="n"/>
      <c r="AT81" s="1449" t="n"/>
      <c r="AU81" s="1450" t="n"/>
      <c r="AV81" s="1450" t="n"/>
      <c r="AW81" s="1450" t="n"/>
      <c r="AX81" s="1450" t="n"/>
      <c r="AY81" s="1449" t="n"/>
      <c r="AZ81" s="1450" t="n"/>
      <c r="BA81" s="1450" t="n"/>
      <c r="BB81" s="1450" t="n"/>
      <c r="BC81" s="1450" t="n"/>
      <c r="BD81" s="1449" t="n"/>
      <c r="BE81" s="1450" t="n"/>
      <c r="BF81" s="1450" t="n"/>
      <c r="BG81" s="1450" t="n"/>
      <c r="BH81" s="1450" t="n"/>
      <c r="BI81" s="1449" t="n"/>
      <c r="BJ81" s="1450" t="n"/>
      <c r="BK81" s="1450" t="n"/>
      <c r="BL81" s="1450" t="n"/>
      <c r="BM81" s="1450" t="n"/>
      <c r="BN81" s="1449" t="n"/>
      <c r="BO81" s="1450" t="n"/>
      <c r="BP81" s="1450" t="n"/>
      <c r="BQ81" s="1451" t="n"/>
      <c r="BR81" s="1450" t="n"/>
      <c r="BS81" s="1449" t="n"/>
      <c r="BT81" s="1450" t="n"/>
      <c r="BU81" s="1450" t="n"/>
      <c r="BV81" s="1450" t="n"/>
      <c r="BW81" s="1450" t="n"/>
      <c r="BX81" s="1449" t="n"/>
      <c r="BY81" s="1449" t="n"/>
      <c r="BZ81" s="1449" t="n"/>
      <c r="CA81" s="1449" t="n"/>
      <c r="CB81" s="1375" t="n"/>
    </row>
    <row r="82" hidden="1" outlineLevel="1" ht="14.4" customFormat="1" customHeight="1" s="1359">
      <c r="A82" s="1474" t="inlineStr">
        <is>
          <t>SBC S&amp;M, mm</t>
        </is>
      </c>
      <c r="B82" s="1377" t="n"/>
      <c r="C82" s="1379" t="n"/>
      <c r="D82" s="1379">
        <f>D473</f>
        <v/>
      </c>
      <c r="E82" s="1379">
        <f>E473</f>
        <v/>
      </c>
      <c r="F82" s="1379">
        <f>F473</f>
        <v/>
      </c>
      <c r="G82" s="1361">
        <f>G473</f>
        <v/>
      </c>
      <c r="H82" s="1361">
        <f>H473</f>
        <v/>
      </c>
      <c r="I82" s="1361">
        <f>I473</f>
        <v/>
      </c>
      <c r="J82" s="1361">
        <f>J473</f>
        <v/>
      </c>
      <c r="K82" s="1379">
        <f>K473</f>
        <v/>
      </c>
      <c r="L82" s="1361">
        <f>L473</f>
        <v/>
      </c>
      <c r="M82" s="1361">
        <f>M473</f>
        <v/>
      </c>
      <c r="N82" s="1361">
        <f>N473</f>
        <v/>
      </c>
      <c r="O82" s="1361">
        <f>O473</f>
        <v/>
      </c>
      <c r="P82" s="1379">
        <f>P473</f>
        <v/>
      </c>
      <c r="Q82" s="1361">
        <f>Q473</f>
        <v/>
      </c>
      <c r="R82" s="1361">
        <f>R473</f>
        <v/>
      </c>
      <c r="S82" s="1361">
        <f>S473</f>
        <v/>
      </c>
      <c r="T82" s="1361">
        <f>T473</f>
        <v/>
      </c>
      <c r="U82" s="1379">
        <f>U473</f>
        <v/>
      </c>
      <c r="V82" s="1361">
        <f>V473</f>
        <v/>
      </c>
      <c r="W82" s="1361">
        <f>W473</f>
        <v/>
      </c>
      <c r="X82" s="1361">
        <f>X473</f>
        <v/>
      </c>
      <c r="Y82" s="1361">
        <f>Y473</f>
        <v/>
      </c>
      <c r="Z82" s="1379">
        <f>Z473</f>
        <v/>
      </c>
      <c r="AA82" s="1361">
        <f>AA473</f>
        <v/>
      </c>
      <c r="AB82" s="1361">
        <f>AB473</f>
        <v/>
      </c>
      <c r="AC82" s="1361">
        <f>AC473</f>
        <v/>
      </c>
      <c r="AD82" s="1361">
        <f>AD473</f>
        <v/>
      </c>
      <c r="AE82" s="1379">
        <f>AE473</f>
        <v/>
      </c>
      <c r="AF82" s="1361">
        <f>AF473</f>
        <v/>
      </c>
      <c r="AG82" s="1361">
        <f>AG473</f>
        <v/>
      </c>
      <c r="AH82" s="1361">
        <f>AH473</f>
        <v/>
      </c>
      <c r="AI82" s="1361">
        <f>AI473</f>
        <v/>
      </c>
      <c r="AJ82" s="1379">
        <f>AJ473</f>
        <v/>
      </c>
      <c r="AK82" s="1361">
        <f>AK473</f>
        <v/>
      </c>
      <c r="AL82" s="1361">
        <f>AL473</f>
        <v/>
      </c>
      <c r="AM82" s="1361">
        <f>AM473</f>
        <v/>
      </c>
      <c r="AN82" s="1361">
        <f>AN473</f>
        <v/>
      </c>
      <c r="AO82" s="1379">
        <f>AO473</f>
        <v/>
      </c>
      <c r="AP82" s="1361">
        <f>AP473</f>
        <v/>
      </c>
      <c r="AQ82" s="1361">
        <f>AQ473</f>
        <v/>
      </c>
      <c r="AR82" s="1361">
        <f>AR473</f>
        <v/>
      </c>
      <c r="AS82" s="1361">
        <f>AS473</f>
        <v/>
      </c>
      <c r="AT82" s="1379">
        <f>AT473</f>
        <v/>
      </c>
      <c r="AU82" s="1361">
        <f>AU473</f>
        <v/>
      </c>
      <c r="AV82" s="1361">
        <f>AV473</f>
        <v/>
      </c>
      <c r="AW82" s="1361">
        <f>AW473</f>
        <v/>
      </c>
      <c r="AX82" s="1361">
        <f>AX473</f>
        <v/>
      </c>
      <c r="AY82" s="1379">
        <f>AY473</f>
        <v/>
      </c>
      <c r="AZ82" s="1361">
        <f>AZ473</f>
        <v/>
      </c>
      <c r="BA82" s="1361">
        <f>BA473</f>
        <v/>
      </c>
      <c r="BB82" s="1361">
        <f>BB473</f>
        <v/>
      </c>
      <c r="BC82" s="1361">
        <f>BC473</f>
        <v/>
      </c>
      <c r="BD82" s="1379">
        <f>BD473</f>
        <v/>
      </c>
      <c r="BE82" s="1361">
        <f>BE473</f>
        <v/>
      </c>
      <c r="BF82" s="1361">
        <f>BF473</f>
        <v/>
      </c>
      <c r="BG82" s="1361">
        <f>BG473</f>
        <v/>
      </c>
      <c r="BH82" s="1361">
        <f>BH473</f>
        <v/>
      </c>
      <c r="BI82" s="1379">
        <f>BI473</f>
        <v/>
      </c>
      <c r="BJ82" s="1361">
        <f>BJ473</f>
        <v/>
      </c>
      <c r="BK82" s="1361">
        <f>BK473</f>
        <v/>
      </c>
      <c r="BL82" s="1361">
        <f>BL473</f>
        <v/>
      </c>
      <c r="BM82" s="1361">
        <f>BM473</f>
        <v/>
      </c>
      <c r="BN82" s="1379">
        <f>BN473</f>
        <v/>
      </c>
      <c r="BO82" s="1361">
        <f>BO473</f>
        <v/>
      </c>
      <c r="BP82" s="1361">
        <f>BP473</f>
        <v/>
      </c>
      <c r="BQ82" s="1363">
        <f>BQ473</f>
        <v/>
      </c>
      <c r="BR82" s="1361">
        <f>BR83*BR34</f>
        <v/>
      </c>
      <c r="BS82" s="1379">
        <f>SUM(BO82,BP82,BQ82,BR82)</f>
        <v/>
      </c>
      <c r="BT82" s="1361">
        <f>BT83*BT34</f>
        <v/>
      </c>
      <c r="BU82" s="1361">
        <f>BU83*BU34</f>
        <v/>
      </c>
      <c r="BV82" s="1361">
        <f>BV83*BV34</f>
        <v/>
      </c>
      <c r="BW82" s="1361">
        <f>BW83*BW34</f>
        <v/>
      </c>
      <c r="BX82" s="1379">
        <f>SUM(BT82,BU82,BV82,BW82)</f>
        <v/>
      </c>
      <c r="BY82" s="1379">
        <f>BY83*BY34</f>
        <v/>
      </c>
      <c r="BZ82" s="1379">
        <f>BZ83*BZ34</f>
        <v/>
      </c>
      <c r="CA82" s="1379">
        <f>CA83*CA34</f>
        <v/>
      </c>
      <c r="CB82" s="1364" t="n"/>
    </row>
    <row r="83" hidden="1" outlineLevel="1" ht="14.4" customFormat="1" customHeight="1" s="1475">
      <c r="A83" s="1476" t="inlineStr">
        <is>
          <t>SBC S&amp;M as &amp; of revenue, %</t>
        </is>
      </c>
      <c r="B83" s="1477" t="n"/>
      <c r="C83" s="1382" t="n"/>
      <c r="D83" s="1382">
        <f>D82/D34</f>
        <v/>
      </c>
      <c r="E83" s="1382">
        <f>E82/E34</f>
        <v/>
      </c>
      <c r="F83" s="1382">
        <f>F82/F34</f>
        <v/>
      </c>
      <c r="G83" s="1384">
        <f>G82/G34</f>
        <v/>
      </c>
      <c r="H83" s="1384">
        <f>H82/H34</f>
        <v/>
      </c>
      <c r="I83" s="1384">
        <f>I82/I34</f>
        <v/>
      </c>
      <c r="J83" s="1384">
        <f>J82/J34</f>
        <v/>
      </c>
      <c r="K83" s="1382">
        <f>K82/K34</f>
        <v/>
      </c>
      <c r="L83" s="1384">
        <f>L82/L34</f>
        <v/>
      </c>
      <c r="M83" s="1384">
        <f>M82/M34</f>
        <v/>
      </c>
      <c r="N83" s="1384">
        <f>N82/N34</f>
        <v/>
      </c>
      <c r="O83" s="1384">
        <f>O82/O34</f>
        <v/>
      </c>
      <c r="P83" s="1382">
        <f>P82/P34</f>
        <v/>
      </c>
      <c r="Q83" s="1384">
        <f>Q82/Q34</f>
        <v/>
      </c>
      <c r="R83" s="1384">
        <f>R82/R34</f>
        <v/>
      </c>
      <c r="S83" s="1384">
        <f>S82/S34</f>
        <v/>
      </c>
      <c r="T83" s="1384">
        <f>T82/T34</f>
        <v/>
      </c>
      <c r="U83" s="1382">
        <f>U82/U34</f>
        <v/>
      </c>
      <c r="V83" s="1384">
        <f>V82/V34</f>
        <v/>
      </c>
      <c r="W83" s="1384">
        <f>W82/W34</f>
        <v/>
      </c>
      <c r="X83" s="1384">
        <f>X82/X34</f>
        <v/>
      </c>
      <c r="Y83" s="1384">
        <f>Y82/Y34</f>
        <v/>
      </c>
      <c r="Z83" s="1382">
        <f>Z82/Z34</f>
        <v/>
      </c>
      <c r="AA83" s="1384">
        <f>AA82/AA34</f>
        <v/>
      </c>
      <c r="AB83" s="1384">
        <f>AB82/AB34</f>
        <v/>
      </c>
      <c r="AC83" s="1384">
        <f>AC82/AC34</f>
        <v/>
      </c>
      <c r="AD83" s="1384">
        <f>AD82/AD34</f>
        <v/>
      </c>
      <c r="AE83" s="1382">
        <f>AE82/AE34</f>
        <v/>
      </c>
      <c r="AF83" s="1384">
        <f>AF82/AF34</f>
        <v/>
      </c>
      <c r="AG83" s="1384">
        <f>AG82/AG34</f>
        <v/>
      </c>
      <c r="AH83" s="1384">
        <f>AH82/AH34</f>
        <v/>
      </c>
      <c r="AI83" s="1384">
        <f>AI82/AI34</f>
        <v/>
      </c>
      <c r="AJ83" s="1382">
        <f>AJ82/AJ34</f>
        <v/>
      </c>
      <c r="AK83" s="1384">
        <f>AK82/AK34</f>
        <v/>
      </c>
      <c r="AL83" s="1384">
        <f>AL82/AL34</f>
        <v/>
      </c>
      <c r="AM83" s="1384">
        <f>AM82/AM34</f>
        <v/>
      </c>
      <c r="AN83" s="1384">
        <f>AN82/AN34</f>
        <v/>
      </c>
      <c r="AO83" s="1382">
        <f>AO82/AO34</f>
        <v/>
      </c>
      <c r="AP83" s="1384">
        <f>AP82/AP34</f>
        <v/>
      </c>
      <c r="AQ83" s="1384">
        <f>AQ82/AQ34</f>
        <v/>
      </c>
      <c r="AR83" s="1384">
        <f>AR82/AR34</f>
        <v/>
      </c>
      <c r="AS83" s="1384">
        <f>AS82/AS34</f>
        <v/>
      </c>
      <c r="AT83" s="1382">
        <f>AT82/AT34</f>
        <v/>
      </c>
      <c r="AU83" s="1384">
        <f>AU82/AU34</f>
        <v/>
      </c>
      <c r="AV83" s="1384">
        <f>AV82/AV34</f>
        <v/>
      </c>
      <c r="AW83" s="1384">
        <f>AW82/AW34</f>
        <v/>
      </c>
      <c r="AX83" s="1384">
        <f>AX82/AX34</f>
        <v/>
      </c>
      <c r="AY83" s="1382">
        <f>AY82/AY34</f>
        <v/>
      </c>
      <c r="AZ83" s="1384">
        <f>AZ82/AZ34</f>
        <v/>
      </c>
      <c r="BA83" s="1384">
        <f>BA82/BA34</f>
        <v/>
      </c>
      <c r="BB83" s="1384">
        <f>BB82/BB34</f>
        <v/>
      </c>
      <c r="BC83" s="1384">
        <f>BC82/BC34</f>
        <v/>
      </c>
      <c r="BD83" s="1382">
        <f>BD82/BD34</f>
        <v/>
      </c>
      <c r="BE83" s="1384">
        <f>BE82/BE34</f>
        <v/>
      </c>
      <c r="BF83" s="1384">
        <f>BF82/BF34</f>
        <v/>
      </c>
      <c r="BG83" s="1384">
        <f>BG82/BG34</f>
        <v/>
      </c>
      <c r="BH83" s="1384">
        <f>BH82/BH34</f>
        <v/>
      </c>
      <c r="BI83" s="1382">
        <f>BI82/BI34</f>
        <v/>
      </c>
      <c r="BJ83" s="1384">
        <f>BJ82/BJ34</f>
        <v/>
      </c>
      <c r="BK83" s="1384">
        <f>BK82/BK34</f>
        <v/>
      </c>
      <c r="BL83" s="1384">
        <f>BL82/BL34</f>
        <v/>
      </c>
      <c r="BM83" s="1384">
        <f>BM82/BM34</f>
        <v/>
      </c>
      <c r="BN83" s="1382">
        <f>BN82/BN34</f>
        <v/>
      </c>
      <c r="BO83" s="1384">
        <f>BO82/BO34</f>
        <v/>
      </c>
      <c r="BP83" s="1384">
        <f>BP82/BP34</f>
        <v/>
      </c>
      <c r="BQ83" s="1386">
        <f>BQ82/BQ34</f>
        <v/>
      </c>
      <c r="BR83" s="1398" t="n">
        <v>0.016</v>
      </c>
      <c r="BS83" s="1382">
        <f>BS82/BS34</f>
        <v/>
      </c>
      <c r="BT83" s="1398" t="n">
        <v>0.017</v>
      </c>
      <c r="BU83" s="1398" t="n">
        <v>0.017</v>
      </c>
      <c r="BV83" s="1398" t="n">
        <v>0.017</v>
      </c>
      <c r="BW83" s="1398" t="n">
        <v>0.017</v>
      </c>
      <c r="BX83" s="1382">
        <f>BX82/BX34</f>
        <v/>
      </c>
      <c r="BY83" s="1399" t="n">
        <v>0.017</v>
      </c>
      <c r="BZ83" s="1399" t="n">
        <v>0.017</v>
      </c>
      <c r="CA83" s="1399" t="n">
        <v>0.017</v>
      </c>
      <c r="CB83" s="1385" t="n"/>
    </row>
    <row r="84" hidden="1" outlineLevel="1" ht="14.4" customFormat="1" customHeight="1" s="1359">
      <c r="A84" s="1478" t="inlineStr">
        <is>
          <t>Other adjustments S&amp;M, mm</t>
        </is>
      </c>
      <c r="B84" s="1454" t="n"/>
      <c r="C84" s="1455" t="n"/>
      <c r="D84" s="1455">
        <f>D474</f>
        <v/>
      </c>
      <c r="E84" s="1455">
        <f>E474</f>
        <v/>
      </c>
      <c r="F84" s="1455">
        <f>F474</f>
        <v/>
      </c>
      <c r="G84" s="1456">
        <f>G474</f>
        <v/>
      </c>
      <c r="H84" s="1456">
        <f>H474</f>
        <v/>
      </c>
      <c r="I84" s="1456">
        <f>I474</f>
        <v/>
      </c>
      <c r="J84" s="1456">
        <f>J474</f>
        <v/>
      </c>
      <c r="K84" s="1455">
        <f>K474</f>
        <v/>
      </c>
      <c r="L84" s="1456">
        <f>L474</f>
        <v/>
      </c>
      <c r="M84" s="1456">
        <f>M474</f>
        <v/>
      </c>
      <c r="N84" s="1456">
        <f>N474</f>
        <v/>
      </c>
      <c r="O84" s="1456">
        <f>O474</f>
        <v/>
      </c>
      <c r="P84" s="1455">
        <f>P474</f>
        <v/>
      </c>
      <c r="Q84" s="1456">
        <f>Q474</f>
        <v/>
      </c>
      <c r="R84" s="1456">
        <f>R474</f>
        <v/>
      </c>
      <c r="S84" s="1456">
        <f>S474</f>
        <v/>
      </c>
      <c r="T84" s="1456">
        <f>T474</f>
        <v/>
      </c>
      <c r="U84" s="1455">
        <f>U474</f>
        <v/>
      </c>
      <c r="V84" s="1456">
        <f>V474</f>
        <v/>
      </c>
      <c r="W84" s="1456">
        <f>W474</f>
        <v/>
      </c>
      <c r="X84" s="1456">
        <f>X474</f>
        <v/>
      </c>
      <c r="Y84" s="1456">
        <f>Y474</f>
        <v/>
      </c>
      <c r="Z84" s="1455">
        <f>Z474</f>
        <v/>
      </c>
      <c r="AA84" s="1456">
        <f>AA474</f>
        <v/>
      </c>
      <c r="AB84" s="1456">
        <f>AB474</f>
        <v/>
      </c>
      <c r="AC84" s="1456">
        <f>AC474</f>
        <v/>
      </c>
      <c r="AD84" s="1456">
        <f>AD474</f>
        <v/>
      </c>
      <c r="AE84" s="1455">
        <f>AE474</f>
        <v/>
      </c>
      <c r="AF84" s="1456">
        <f>AF474</f>
        <v/>
      </c>
      <c r="AG84" s="1456">
        <f>AG474</f>
        <v/>
      </c>
      <c r="AH84" s="1456">
        <f>AH474</f>
        <v/>
      </c>
      <c r="AI84" s="1456">
        <f>AI474</f>
        <v/>
      </c>
      <c r="AJ84" s="1455">
        <f>AJ474</f>
        <v/>
      </c>
      <c r="AK84" s="1456">
        <f>AK474</f>
        <v/>
      </c>
      <c r="AL84" s="1456">
        <f>AL474</f>
        <v/>
      </c>
      <c r="AM84" s="1456">
        <f>AM474</f>
        <v/>
      </c>
      <c r="AN84" s="1456">
        <f>AN474</f>
        <v/>
      </c>
      <c r="AO84" s="1455">
        <f>AO474</f>
        <v/>
      </c>
      <c r="AP84" s="1456">
        <f>AP474</f>
        <v/>
      </c>
      <c r="AQ84" s="1456">
        <f>AQ474</f>
        <v/>
      </c>
      <c r="AR84" s="1456">
        <f>AR474</f>
        <v/>
      </c>
      <c r="AS84" s="1456">
        <f>AS474</f>
        <v/>
      </c>
      <c r="AT84" s="1455">
        <f>AT474</f>
        <v/>
      </c>
      <c r="AU84" s="1456">
        <f>AU474</f>
        <v/>
      </c>
      <c r="AV84" s="1456">
        <f>AV474</f>
        <v/>
      </c>
      <c r="AW84" s="1456">
        <f>AW474</f>
        <v/>
      </c>
      <c r="AX84" s="1456">
        <f>AX474</f>
        <v/>
      </c>
      <c r="AY84" s="1455">
        <f>AY474</f>
        <v/>
      </c>
      <c r="AZ84" s="1456">
        <f>AZ474</f>
        <v/>
      </c>
      <c r="BA84" s="1456">
        <f>BA474</f>
        <v/>
      </c>
      <c r="BB84" s="1456">
        <f>BB474</f>
        <v/>
      </c>
      <c r="BC84" s="1456">
        <f>BC474</f>
        <v/>
      </c>
      <c r="BD84" s="1455">
        <f>BD474</f>
        <v/>
      </c>
      <c r="BE84" s="1456">
        <f>BE474</f>
        <v/>
      </c>
      <c r="BF84" s="1456">
        <f>BF474</f>
        <v/>
      </c>
      <c r="BG84" s="1456">
        <f>BG474</f>
        <v/>
      </c>
      <c r="BH84" s="1456">
        <f>BH474</f>
        <v/>
      </c>
      <c r="BI84" s="1455">
        <f>BI474</f>
        <v/>
      </c>
      <c r="BJ84" s="1456">
        <f>BJ474</f>
        <v/>
      </c>
      <c r="BK84" s="1456">
        <f>BK474</f>
        <v/>
      </c>
      <c r="BL84" s="1456">
        <f>BL474</f>
        <v/>
      </c>
      <c r="BM84" s="1456">
        <f>BM474</f>
        <v/>
      </c>
      <c r="BN84" s="1455">
        <f>BN474</f>
        <v/>
      </c>
      <c r="BO84" s="1456">
        <f>BO474</f>
        <v/>
      </c>
      <c r="BP84" s="1456">
        <f>BP474</f>
        <v/>
      </c>
      <c r="BQ84" s="1457">
        <f>BQ474</f>
        <v/>
      </c>
      <c r="BR84" s="1479" t="n">
        <v>4</v>
      </c>
      <c r="BS84" s="1455">
        <f>SUM(BO84,BP84,BQ84,BR84)</f>
        <v/>
      </c>
      <c r="BT84" s="1479" t="n">
        <v>6</v>
      </c>
      <c r="BU84" s="1479" t="n">
        <v>6</v>
      </c>
      <c r="BV84" s="1479" t="n">
        <v>6</v>
      </c>
      <c r="BW84" s="1479" t="n">
        <v>6</v>
      </c>
      <c r="BX84" s="1455">
        <f>SUM(BT84,BU84,BV84,BW84)</f>
        <v/>
      </c>
      <c r="BY84" s="1480" t="n">
        <v>24</v>
      </c>
      <c r="BZ84" s="1480" t="n">
        <v>24</v>
      </c>
      <c r="CA84" s="1480" t="n">
        <v>24</v>
      </c>
      <c r="CB84" s="1364" t="n"/>
    </row>
    <row r="85" collapsed="1" ht="14.4" customFormat="1" customHeight="1" s="1359">
      <c r="A85" s="1490" t="inlineStr">
        <is>
          <t>Non-GAAP S&amp;M, mm</t>
        </is>
      </c>
      <c r="B85" s="1377" t="n"/>
      <c r="C85" s="1379" t="n"/>
      <c r="D85" s="1379">
        <f>D77-D82-D84</f>
        <v/>
      </c>
      <c r="E85" s="1379">
        <f>E77-E82-E84</f>
        <v/>
      </c>
      <c r="F85" s="1379">
        <f>F77-F82-F84</f>
        <v/>
      </c>
      <c r="G85" s="1361">
        <f>G77-G82-G84</f>
        <v/>
      </c>
      <c r="H85" s="1361">
        <f>H77-H82-H84</f>
        <v/>
      </c>
      <c r="I85" s="1361">
        <f>I77-I82-I84</f>
        <v/>
      </c>
      <c r="J85" s="1361">
        <f>J77-J82-J84</f>
        <v/>
      </c>
      <c r="K85" s="1379">
        <f>K77-K82-K84</f>
        <v/>
      </c>
      <c r="L85" s="1361">
        <f>L77-L82-L84</f>
        <v/>
      </c>
      <c r="M85" s="1361">
        <f>M77-M82-M84</f>
        <v/>
      </c>
      <c r="N85" s="1361">
        <f>N77-N82-N84</f>
        <v/>
      </c>
      <c r="O85" s="1361">
        <f>O77-O82-O84</f>
        <v/>
      </c>
      <c r="P85" s="1379">
        <f>P77-P82-P84</f>
        <v/>
      </c>
      <c r="Q85" s="1361">
        <f>Q77-Q82-Q84</f>
        <v/>
      </c>
      <c r="R85" s="1361">
        <f>R77-R82-R84</f>
        <v/>
      </c>
      <c r="S85" s="1361">
        <f>S77-S82-S84</f>
        <v/>
      </c>
      <c r="T85" s="1361">
        <f>T77-T82-T84</f>
        <v/>
      </c>
      <c r="U85" s="1379">
        <f>U77-U82-U84</f>
        <v/>
      </c>
      <c r="V85" s="1361">
        <f>V77-V82-V84</f>
        <v/>
      </c>
      <c r="W85" s="1361">
        <f>W77-W82-W84</f>
        <v/>
      </c>
      <c r="X85" s="1361">
        <f>X77-X82-X84</f>
        <v/>
      </c>
      <c r="Y85" s="1361">
        <f>Y77-Y82-Y84</f>
        <v/>
      </c>
      <c r="Z85" s="1379">
        <f>Z77-Z82-Z84</f>
        <v/>
      </c>
      <c r="AA85" s="1361">
        <f>AA77-AA82-AA84</f>
        <v/>
      </c>
      <c r="AB85" s="1361">
        <f>AB77-AB82-AB84</f>
        <v/>
      </c>
      <c r="AC85" s="1361">
        <f>AC77-AC82-AC84</f>
        <v/>
      </c>
      <c r="AD85" s="1361">
        <f>AD77-AD82-AD84</f>
        <v/>
      </c>
      <c r="AE85" s="1379">
        <f>AE77-AE82-AE84</f>
        <v/>
      </c>
      <c r="AF85" s="1361">
        <f>AF77-AF82-AF84</f>
        <v/>
      </c>
      <c r="AG85" s="1361">
        <f>AG77-AG82-AG84</f>
        <v/>
      </c>
      <c r="AH85" s="1361">
        <f>AH77-AH82-AH84</f>
        <v/>
      </c>
      <c r="AI85" s="1361">
        <f>AI77-AI82-AI84</f>
        <v/>
      </c>
      <c r="AJ85" s="1379">
        <f>AJ77-AJ82-AJ84</f>
        <v/>
      </c>
      <c r="AK85" s="1361">
        <f>AK77-AK82-AK84</f>
        <v/>
      </c>
      <c r="AL85" s="1361">
        <f>AL77-AL82-AL84</f>
        <v/>
      </c>
      <c r="AM85" s="1361">
        <f>AM77-AM82-AM84</f>
        <v/>
      </c>
      <c r="AN85" s="1361">
        <f>AN77-AN82-AN84</f>
        <v/>
      </c>
      <c r="AO85" s="1379">
        <f>AO77-AO82-AO84</f>
        <v/>
      </c>
      <c r="AP85" s="1361">
        <f>AP77-AP82-AP84</f>
        <v/>
      </c>
      <c r="AQ85" s="1361">
        <f>AQ77-AQ82-AQ84</f>
        <v/>
      </c>
      <c r="AR85" s="1361">
        <f>AR77-AR82-AR84</f>
        <v/>
      </c>
      <c r="AS85" s="1361">
        <f>AS77-AS82-AS84</f>
        <v/>
      </c>
      <c r="AT85" s="1379">
        <f>AT77-AT82-AT84</f>
        <v/>
      </c>
      <c r="AU85" s="1361">
        <f>AU77-AU82-AU84</f>
        <v/>
      </c>
      <c r="AV85" s="1361">
        <f>AV77-AV82-AV84</f>
        <v/>
      </c>
      <c r="AW85" s="1361">
        <f>AW77-AW82-AW84</f>
        <v/>
      </c>
      <c r="AX85" s="1361">
        <f>AX77-AX82-AX84</f>
        <v/>
      </c>
      <c r="AY85" s="1379">
        <f>AY77-AY82-AY84</f>
        <v/>
      </c>
      <c r="AZ85" s="1361">
        <f>AZ77-AZ82-AZ84</f>
        <v/>
      </c>
      <c r="BA85" s="1361">
        <f>BA77-BA82-BA84</f>
        <v/>
      </c>
      <c r="BB85" s="1361">
        <f>BB77-BB82-BB84</f>
        <v/>
      </c>
      <c r="BC85" s="1361">
        <f>BC77-BC82-BC84</f>
        <v/>
      </c>
      <c r="BD85" s="1379">
        <f>BD77-BD82-BD84</f>
        <v/>
      </c>
      <c r="BE85" s="1361">
        <f>BE77-BE82-BE84</f>
        <v/>
      </c>
      <c r="BF85" s="1361">
        <f>BF77-BF82-BF84</f>
        <v/>
      </c>
      <c r="BG85" s="1361">
        <f>BG77-BG82-BG84</f>
        <v/>
      </c>
      <c r="BH85" s="1361">
        <f>BH77-BH82-BH84</f>
        <v/>
      </c>
      <c r="BI85" s="1379">
        <f>BI77-BI82-BI84</f>
        <v/>
      </c>
      <c r="BJ85" s="1361">
        <f>BJ77-BJ82-BJ84</f>
        <v/>
      </c>
      <c r="BK85" s="1361">
        <f>BK77-BK82-BK84</f>
        <v/>
      </c>
      <c r="BL85" s="1361">
        <f>BL77-BL82-BL84</f>
        <v/>
      </c>
      <c r="BM85" s="1361">
        <f>BM77-BM82-BM84</f>
        <v/>
      </c>
      <c r="BN85" s="1379">
        <f>BN77-BN82-BN84</f>
        <v/>
      </c>
      <c r="BO85" s="1361">
        <f>BO77-BO82-BO84</f>
        <v/>
      </c>
      <c r="BP85" s="1361">
        <f>BP77-BP82-BP84</f>
        <v/>
      </c>
      <c r="BQ85" s="1363">
        <f>BQ77-BQ82-BQ84</f>
        <v/>
      </c>
      <c r="BR85" s="1361">
        <f>BR87*BR34</f>
        <v/>
      </c>
      <c r="BS85" s="1379">
        <f>SUM(BO85,BP85,BQ85,BR85)</f>
        <v/>
      </c>
      <c r="BT85" s="1361">
        <f>BT87*BT34</f>
        <v/>
      </c>
      <c r="BU85" s="1361">
        <f>BU87*BU34</f>
        <v/>
      </c>
      <c r="BV85" s="1361">
        <f>BV87*BV34</f>
        <v/>
      </c>
      <c r="BW85" s="1361">
        <f>BW87*BW34</f>
        <v/>
      </c>
      <c r="BX85" s="1379">
        <f>SUM(BT85,BU85,BV85,BW85)</f>
        <v/>
      </c>
      <c r="BY85" s="1379">
        <f>BY87*BY34</f>
        <v/>
      </c>
      <c r="BZ85" s="1379">
        <f>BZ87*BZ34</f>
        <v/>
      </c>
      <c r="CA85" s="1379">
        <f>CA87*CA34</f>
        <v/>
      </c>
      <c r="CB85" s="1364" t="n"/>
    </row>
    <row r="86" ht="14.4" customFormat="1" customHeight="1" s="1475">
      <c r="A86" s="1482" t="inlineStr">
        <is>
          <t>Y/Y Non-GAAP S&amp;M growth, %</t>
        </is>
      </c>
      <c r="B86" s="1477" t="n"/>
      <c r="C86" s="1382" t="n"/>
      <c r="D86" s="1382" t="n"/>
      <c r="E86" s="1382">
        <f>E85/D85-1</f>
        <v/>
      </c>
      <c r="F86" s="1382">
        <f>F85/E85-1</f>
        <v/>
      </c>
      <c r="G86" s="1384" t="n"/>
      <c r="H86" s="1384" t="n"/>
      <c r="I86" s="1384" t="n"/>
      <c r="J86" s="1384" t="n"/>
      <c r="K86" s="1382">
        <f>K85/F85-1</f>
        <v/>
      </c>
      <c r="L86" s="1384">
        <f>L85/G85-1</f>
        <v/>
      </c>
      <c r="M86" s="1384">
        <f>M85/H85-1</f>
        <v/>
      </c>
      <c r="N86" s="1384">
        <f>N85/I85-1</f>
        <v/>
      </c>
      <c r="O86" s="1384">
        <f>O85/J85-1</f>
        <v/>
      </c>
      <c r="P86" s="1382">
        <f>P85/K85-1</f>
        <v/>
      </c>
      <c r="Q86" s="1384">
        <f>Q85/L85-1</f>
        <v/>
      </c>
      <c r="R86" s="1384">
        <f>R85/M85-1</f>
        <v/>
      </c>
      <c r="S86" s="1384">
        <f>S85/N85-1</f>
        <v/>
      </c>
      <c r="T86" s="1384">
        <f>T85/O85-1</f>
        <v/>
      </c>
      <c r="U86" s="1382">
        <f>U85/P85-1</f>
        <v/>
      </c>
      <c r="V86" s="1384">
        <f>V85/Q85-1</f>
        <v/>
      </c>
      <c r="W86" s="1384">
        <f>W85/R85-1</f>
        <v/>
      </c>
      <c r="X86" s="1384">
        <f>X85/S85-1</f>
        <v/>
      </c>
      <c r="Y86" s="1384">
        <f>Y85/T85-1</f>
        <v/>
      </c>
      <c r="Z86" s="1382">
        <f>Z85/U85-1</f>
        <v/>
      </c>
      <c r="AA86" s="1384">
        <f>AA85/V85-1</f>
        <v/>
      </c>
      <c r="AB86" s="1384">
        <f>AB85/W85-1</f>
        <v/>
      </c>
      <c r="AC86" s="1384">
        <f>AC85/X85-1</f>
        <v/>
      </c>
      <c r="AD86" s="1384">
        <f>AD85/Y85-1</f>
        <v/>
      </c>
      <c r="AE86" s="1382">
        <f>AE85/Z85-1</f>
        <v/>
      </c>
      <c r="AF86" s="1384">
        <f>AF85/AA85-1</f>
        <v/>
      </c>
      <c r="AG86" s="1384">
        <f>AG85/AB85-1</f>
        <v/>
      </c>
      <c r="AH86" s="1384">
        <f>AH85/AC85-1</f>
        <v/>
      </c>
      <c r="AI86" s="1384">
        <f>AI85/AD85-1</f>
        <v/>
      </c>
      <c r="AJ86" s="1382">
        <f>AJ85/AE85-1</f>
        <v/>
      </c>
      <c r="AK86" s="1384">
        <f>AK85/AF85-1</f>
        <v/>
      </c>
      <c r="AL86" s="1384">
        <f>AL85/AG85-1</f>
        <v/>
      </c>
      <c r="AM86" s="1384">
        <f>AM85/AH85-1</f>
        <v/>
      </c>
      <c r="AN86" s="1384">
        <f>AN85/AI85-1</f>
        <v/>
      </c>
      <c r="AO86" s="1382">
        <f>AO85/AJ85-1</f>
        <v/>
      </c>
      <c r="AP86" s="1384">
        <f>AP85/AK85-1</f>
        <v/>
      </c>
      <c r="AQ86" s="1384">
        <f>AQ85/AL85-1</f>
        <v/>
      </c>
      <c r="AR86" s="1384">
        <f>AR85/AM85-1</f>
        <v/>
      </c>
      <c r="AS86" s="1384">
        <f>AS85/AN85-1</f>
        <v/>
      </c>
      <c r="AT86" s="1382">
        <f>AT85/AO85-1</f>
        <v/>
      </c>
      <c r="AU86" s="1384">
        <f>AU85/AP85-1</f>
        <v/>
      </c>
      <c r="AV86" s="1384">
        <f>AV85/AQ85-1</f>
        <v/>
      </c>
      <c r="AW86" s="1384">
        <f>AW85/AR85-1</f>
        <v/>
      </c>
      <c r="AX86" s="1384">
        <f>AX85/AS85-1</f>
        <v/>
      </c>
      <c r="AY86" s="1382">
        <f>AY85/AT85-1</f>
        <v/>
      </c>
      <c r="AZ86" s="1384">
        <f>AZ85/AU85-1</f>
        <v/>
      </c>
      <c r="BA86" s="1384">
        <f>BA85/AV85-1</f>
        <v/>
      </c>
      <c r="BB86" s="1384">
        <f>BB85/AW85-1</f>
        <v/>
      </c>
      <c r="BC86" s="1384">
        <f>BC85/AX85-1</f>
        <v/>
      </c>
      <c r="BD86" s="1382">
        <f>BD85/AY85-1</f>
        <v/>
      </c>
      <c r="BE86" s="1384">
        <f>BE85/AZ85-1</f>
        <v/>
      </c>
      <c r="BF86" s="1384">
        <f>BF85/BA85-1</f>
        <v/>
      </c>
      <c r="BG86" s="1384">
        <f>BG85/BB85-1</f>
        <v/>
      </c>
      <c r="BH86" s="1384">
        <f>BH85/BC85-1</f>
        <v/>
      </c>
      <c r="BI86" s="1382">
        <f>BI85/BD85-1</f>
        <v/>
      </c>
      <c r="BJ86" s="1384">
        <f>BJ85/BE85-1</f>
        <v/>
      </c>
      <c r="BK86" s="1384">
        <f>BK85/BF85-1</f>
        <v/>
      </c>
      <c r="BL86" s="1384">
        <f>BL85/BG85-1</f>
        <v/>
      </c>
      <c r="BM86" s="1384">
        <f>BM85/BH85-1</f>
        <v/>
      </c>
      <c r="BN86" s="1382">
        <f>BN85/BI85-1</f>
        <v/>
      </c>
      <c r="BO86" s="1384">
        <f>BO85/BJ85-1</f>
        <v/>
      </c>
      <c r="BP86" s="1384">
        <f>BP85/BK85-1</f>
        <v/>
      </c>
      <c r="BQ86" s="1386">
        <f>BQ85/BL85-1</f>
        <v/>
      </c>
      <c r="BR86" s="1384">
        <f>BR85/BM85-1</f>
        <v/>
      </c>
      <c r="BS86" s="1382">
        <f>BS85/BN85-1</f>
        <v/>
      </c>
      <c r="BT86" s="1384">
        <f>BT85/BO85-1</f>
        <v/>
      </c>
      <c r="BU86" s="1384">
        <f>BU85/BP85-1</f>
        <v/>
      </c>
      <c r="BV86" s="1384">
        <f>BV85/BQ85-1</f>
        <v/>
      </c>
      <c r="BW86" s="1384">
        <f>BW85/BR85-1</f>
        <v/>
      </c>
      <c r="BX86" s="1382">
        <f>BX85/BS85-1</f>
        <v/>
      </c>
      <c r="BY86" s="1382">
        <f>BY85/BX85-1</f>
        <v/>
      </c>
      <c r="BZ86" s="1382">
        <f>BZ85/BY85-1</f>
        <v/>
      </c>
      <c r="CA86" s="1382">
        <f>CA85/BZ85-1</f>
        <v/>
      </c>
      <c r="CB86" s="1385" t="n"/>
    </row>
    <row r="87" ht="14.4" customFormat="1" customHeight="1" s="1460">
      <c r="A87" s="1492" t="inlineStr">
        <is>
          <t>Non-GAAP S&amp;M Margin, %</t>
        </is>
      </c>
      <c r="B87" s="1462" t="n"/>
      <c r="C87" s="1463" t="n"/>
      <c r="D87" s="1463">
        <f>D85/D34</f>
        <v/>
      </c>
      <c r="E87" s="1463">
        <f>E85/E34</f>
        <v/>
      </c>
      <c r="F87" s="1463">
        <f>F85/F34</f>
        <v/>
      </c>
      <c r="G87" s="1466">
        <f>G85/G34</f>
        <v/>
      </c>
      <c r="H87" s="1466">
        <f>H85/H34</f>
        <v/>
      </c>
      <c r="I87" s="1466">
        <f>I85/I34</f>
        <v/>
      </c>
      <c r="J87" s="1466">
        <f>J85/J34</f>
        <v/>
      </c>
      <c r="K87" s="1463">
        <f>K85/K34</f>
        <v/>
      </c>
      <c r="L87" s="1466">
        <f>L85/L34</f>
        <v/>
      </c>
      <c r="M87" s="1466">
        <f>M85/M34</f>
        <v/>
      </c>
      <c r="N87" s="1466">
        <f>N85/N34</f>
        <v/>
      </c>
      <c r="O87" s="1466">
        <f>O85/O34</f>
        <v/>
      </c>
      <c r="P87" s="1463">
        <f>P85/P34</f>
        <v/>
      </c>
      <c r="Q87" s="1466">
        <f>Q85/Q34</f>
        <v/>
      </c>
      <c r="R87" s="1466">
        <f>R85/R34</f>
        <v/>
      </c>
      <c r="S87" s="1466">
        <f>S85/S34</f>
        <v/>
      </c>
      <c r="T87" s="1466">
        <f>T85/T34</f>
        <v/>
      </c>
      <c r="U87" s="1463">
        <f>U85/U34</f>
        <v/>
      </c>
      <c r="V87" s="1466">
        <f>V85/V34</f>
        <v/>
      </c>
      <c r="W87" s="1466">
        <f>W85/W34</f>
        <v/>
      </c>
      <c r="X87" s="1466">
        <f>X85/X34</f>
        <v/>
      </c>
      <c r="Y87" s="1466">
        <f>Y85/Y34</f>
        <v/>
      </c>
      <c r="Z87" s="1463">
        <f>Z85/Z34</f>
        <v/>
      </c>
      <c r="AA87" s="1466">
        <f>AA85/AA34</f>
        <v/>
      </c>
      <c r="AB87" s="1466">
        <f>AB85/AB34</f>
        <v/>
      </c>
      <c r="AC87" s="1466">
        <f>AC85/AC34</f>
        <v/>
      </c>
      <c r="AD87" s="1466">
        <f>AD85/AD34</f>
        <v/>
      </c>
      <c r="AE87" s="1463">
        <f>AE85/AE34</f>
        <v/>
      </c>
      <c r="AF87" s="1466">
        <f>AF85/AF34</f>
        <v/>
      </c>
      <c r="AG87" s="1466">
        <f>AG85/AG34</f>
        <v/>
      </c>
      <c r="AH87" s="1466">
        <f>AH85/AH34</f>
        <v/>
      </c>
      <c r="AI87" s="1466">
        <f>AI85/AI34</f>
        <v/>
      </c>
      <c r="AJ87" s="1463">
        <f>AJ85/AJ34</f>
        <v/>
      </c>
      <c r="AK87" s="1466">
        <f>AK85/AK34</f>
        <v/>
      </c>
      <c r="AL87" s="1466">
        <f>AL85/AL34</f>
        <v/>
      </c>
      <c r="AM87" s="1466">
        <f>AM85/AM34</f>
        <v/>
      </c>
      <c r="AN87" s="1466">
        <f>AN85/AN34</f>
        <v/>
      </c>
      <c r="AO87" s="1463">
        <f>AO85/AO34</f>
        <v/>
      </c>
      <c r="AP87" s="1466">
        <f>AP85/AP34</f>
        <v/>
      </c>
      <c r="AQ87" s="1466">
        <f>AQ85/AQ34</f>
        <v/>
      </c>
      <c r="AR87" s="1466">
        <f>AR85/AR34</f>
        <v/>
      </c>
      <c r="AS87" s="1466">
        <f>AS85/AS34</f>
        <v/>
      </c>
      <c r="AT87" s="1463">
        <f>AT85/AT34</f>
        <v/>
      </c>
      <c r="AU87" s="1466">
        <f>AU85/AU34</f>
        <v/>
      </c>
      <c r="AV87" s="1466">
        <f>AV85/AV34</f>
        <v/>
      </c>
      <c r="AW87" s="1466">
        <f>AW85/AW34</f>
        <v/>
      </c>
      <c r="AX87" s="1466">
        <f>AX85/AX34</f>
        <v/>
      </c>
      <c r="AY87" s="1463">
        <f>AY85/AY34</f>
        <v/>
      </c>
      <c r="AZ87" s="1466">
        <f>AZ85/AZ34</f>
        <v/>
      </c>
      <c r="BA87" s="1466">
        <f>BA85/BA34</f>
        <v/>
      </c>
      <c r="BB87" s="1466">
        <f>BB85/BB34</f>
        <v/>
      </c>
      <c r="BC87" s="1466">
        <f>BC85/BC34</f>
        <v/>
      </c>
      <c r="BD87" s="1463">
        <f>BD85/BD34</f>
        <v/>
      </c>
      <c r="BE87" s="1466">
        <f>BE85/BE34</f>
        <v/>
      </c>
      <c r="BF87" s="1466">
        <f>BF85/BF34</f>
        <v/>
      </c>
      <c r="BG87" s="1466">
        <f>BG85/BG34</f>
        <v/>
      </c>
      <c r="BH87" s="1466">
        <f>BH85/BH34</f>
        <v/>
      </c>
      <c r="BI87" s="1463">
        <f>BI85/BI34</f>
        <v/>
      </c>
      <c r="BJ87" s="1466">
        <f>BJ85/BJ34</f>
        <v/>
      </c>
      <c r="BK87" s="1466">
        <f>BK85/BK34</f>
        <v/>
      </c>
      <c r="BL87" s="1466">
        <f>BL85/BL34</f>
        <v/>
      </c>
      <c r="BM87" s="1466">
        <f>BM85/BM34</f>
        <v/>
      </c>
      <c r="BN87" s="1463">
        <f>BN85/BN34</f>
        <v/>
      </c>
      <c r="BO87" s="1466">
        <f>BO85/BO34</f>
        <v/>
      </c>
      <c r="BP87" s="1466">
        <f>BP85/BP34</f>
        <v/>
      </c>
      <c r="BQ87" s="1491">
        <f>BQ85/BQ34</f>
        <v/>
      </c>
      <c r="BR87" s="1466">
        <f>BM87-BR88/10000</f>
        <v/>
      </c>
      <c r="BS87" s="1463">
        <f>BS85/BS34</f>
        <v/>
      </c>
      <c r="BT87" s="1466">
        <f>BO87-BT88/10000</f>
        <v/>
      </c>
      <c r="BU87" s="1466">
        <f>BP87-BU88/10000</f>
        <v/>
      </c>
      <c r="BV87" s="1466">
        <f>BQ87-BV88/10000</f>
        <v/>
      </c>
      <c r="BW87" s="1466">
        <f>BR87-BW88/10000</f>
        <v/>
      </c>
      <c r="BX87" s="1463">
        <f>BX85/BX34</f>
        <v/>
      </c>
      <c r="BY87" s="1463">
        <f>BX87-BY88/10000</f>
        <v/>
      </c>
      <c r="BZ87" s="1463">
        <f>BY87-BZ88/10000</f>
        <v/>
      </c>
      <c r="CA87" s="1463">
        <f>BZ87-CA88/10000</f>
        <v/>
      </c>
      <c r="CB87" s="1465" t="n"/>
    </row>
    <row r="88" ht="14.4" customFormat="1" customHeight="1" s="1460">
      <c r="A88" s="1486" t="inlineStr">
        <is>
          <t>Y/Y Non-GAAP S&amp;M Margin improvement, bps</t>
        </is>
      </c>
      <c r="B88" s="1462" t="n"/>
      <c r="C88" s="1469" t="n"/>
      <c r="D88" s="1469" t="n"/>
      <c r="E88" s="1469">
        <f>-(E87-D87)*10000</f>
        <v/>
      </c>
      <c r="F88" s="1469">
        <f>-(F87-E87)*10000</f>
        <v/>
      </c>
      <c r="G88" s="1471" t="n"/>
      <c r="H88" s="1471" t="n"/>
      <c r="I88" s="1471" t="n"/>
      <c r="J88" s="1471" t="n"/>
      <c r="K88" s="1469">
        <f>-(K87-F87)*10000</f>
        <v/>
      </c>
      <c r="L88" s="1471">
        <f>-(L87-G87)*10000</f>
        <v/>
      </c>
      <c r="M88" s="1471">
        <f>-(M87-H87)*10000</f>
        <v/>
      </c>
      <c r="N88" s="1471">
        <f>-(N87-I87)*10000</f>
        <v/>
      </c>
      <c r="O88" s="1471">
        <f>-(O87-J87)*10000</f>
        <v/>
      </c>
      <c r="P88" s="1469">
        <f>-(P87-K87)*10000</f>
        <v/>
      </c>
      <c r="Q88" s="1471">
        <f>-(Q87-L87)*10000</f>
        <v/>
      </c>
      <c r="R88" s="1471">
        <f>-(R87-M87)*10000</f>
        <v/>
      </c>
      <c r="S88" s="1471">
        <f>-(S87-N87)*10000</f>
        <v/>
      </c>
      <c r="T88" s="1471">
        <f>-(T87-O87)*10000</f>
        <v/>
      </c>
      <c r="U88" s="1469">
        <f>-(U87-P87)*10000</f>
        <v/>
      </c>
      <c r="V88" s="1471">
        <f>-(V87-Q87)*10000</f>
        <v/>
      </c>
      <c r="W88" s="1471">
        <f>-(W87-R87)*10000</f>
        <v/>
      </c>
      <c r="X88" s="1471">
        <f>-(X87-S87)*10000</f>
        <v/>
      </c>
      <c r="Y88" s="1471">
        <f>-(Y87-T87)*10000</f>
        <v/>
      </c>
      <c r="Z88" s="1469">
        <f>-(Z87-U87)*10000</f>
        <v/>
      </c>
      <c r="AA88" s="1471">
        <f>-(AA87-V87)*10000</f>
        <v/>
      </c>
      <c r="AB88" s="1471">
        <f>-(AB87-W87)*10000</f>
        <v/>
      </c>
      <c r="AC88" s="1471">
        <f>-(AC87-X87)*10000</f>
        <v/>
      </c>
      <c r="AD88" s="1471">
        <f>-(AD87-Y87)*10000</f>
        <v/>
      </c>
      <c r="AE88" s="1469">
        <f>-(AE87-Z87)*10000</f>
        <v/>
      </c>
      <c r="AF88" s="1471">
        <f>-(AF87-AA87)*10000</f>
        <v/>
      </c>
      <c r="AG88" s="1471">
        <f>-(AG87-AB87)*10000</f>
        <v/>
      </c>
      <c r="AH88" s="1471">
        <f>-(AH87-AC87)*10000</f>
        <v/>
      </c>
      <c r="AI88" s="1471">
        <f>-(AI87-AD87)*10000</f>
        <v/>
      </c>
      <c r="AJ88" s="1469">
        <f>-(AJ87-AE87)*10000</f>
        <v/>
      </c>
      <c r="AK88" s="1471">
        <f>-(AK87-AF87)*10000</f>
        <v/>
      </c>
      <c r="AL88" s="1471">
        <f>-(AL87-AG87)*10000</f>
        <v/>
      </c>
      <c r="AM88" s="1471">
        <f>-(AM87-AH87)*10000</f>
        <v/>
      </c>
      <c r="AN88" s="1471">
        <f>-(AN87-AI87)*10000</f>
        <v/>
      </c>
      <c r="AO88" s="1469">
        <f>-(AO87-AJ87)*10000</f>
        <v/>
      </c>
      <c r="AP88" s="1471">
        <f>-(AP87-AK87)*10000</f>
        <v/>
      </c>
      <c r="AQ88" s="1471">
        <f>-(AQ87-AL87)*10000</f>
        <v/>
      </c>
      <c r="AR88" s="1471">
        <f>-(AR87-AM87)*10000</f>
        <v/>
      </c>
      <c r="AS88" s="1471">
        <f>-(AS87-AN87)*10000</f>
        <v/>
      </c>
      <c r="AT88" s="1469">
        <f>-(AT87-AO87)*10000</f>
        <v/>
      </c>
      <c r="AU88" s="1471">
        <f>-(AU87-AP87)*10000</f>
        <v/>
      </c>
      <c r="AV88" s="1471">
        <f>-(AV87-AQ87)*10000</f>
        <v/>
      </c>
      <c r="AW88" s="1471">
        <f>-(AW87-AR87)*10000</f>
        <v/>
      </c>
      <c r="AX88" s="1471">
        <f>-(AX87-AS87)*10000</f>
        <v/>
      </c>
      <c r="AY88" s="1469">
        <f>-(AY87-AT87)*10000</f>
        <v/>
      </c>
      <c r="AZ88" s="1471">
        <f>-(AZ87-AU87)*10000</f>
        <v/>
      </c>
      <c r="BA88" s="1471">
        <f>-(BA87-AV87)*10000</f>
        <v/>
      </c>
      <c r="BB88" s="1471">
        <f>-(BB87-AW87)*10000</f>
        <v/>
      </c>
      <c r="BC88" s="1471">
        <f>-(BC87-AX87)*10000</f>
        <v/>
      </c>
      <c r="BD88" s="1469">
        <f>-(BD87-AY87)*10000</f>
        <v/>
      </c>
      <c r="BE88" s="1471">
        <f>-(BE87-AZ87)*10000</f>
        <v/>
      </c>
      <c r="BF88" s="1471">
        <f>-(BF87-BA87)*10000</f>
        <v/>
      </c>
      <c r="BG88" s="1471">
        <f>-(BG87-BB87)*10000</f>
        <v/>
      </c>
      <c r="BH88" s="1471">
        <f>-(BH87-BC87)*10000</f>
        <v/>
      </c>
      <c r="BI88" s="1469">
        <f>-(BI87-BD87)*10000</f>
        <v/>
      </c>
      <c r="BJ88" s="1471">
        <f>-(BJ87-BE87)*10000</f>
        <v/>
      </c>
      <c r="BK88" s="1471">
        <f>-(BK87-BF87)*10000</f>
        <v/>
      </c>
      <c r="BL88" s="1471">
        <f>-(BL87-BG87)*10000</f>
        <v/>
      </c>
      <c r="BM88" s="1471">
        <f>-(BM87-BH87)*10000</f>
        <v/>
      </c>
      <c r="BN88" s="1469">
        <f>-(BN87-BI87)*10000</f>
        <v/>
      </c>
      <c r="BO88" s="1471">
        <f>-(BO87-BJ87)*10000</f>
        <v/>
      </c>
      <c r="BP88" s="1471">
        <f>-(BP87-BK87)*10000</f>
        <v/>
      </c>
      <c r="BQ88" s="1487">
        <f>-(BQ87-BL87)*10000</f>
        <v/>
      </c>
      <c r="BR88" s="1488" t="n">
        <v>-50</v>
      </c>
      <c r="BS88" s="1469">
        <f>-(BS87-BN87)*10000</f>
        <v/>
      </c>
      <c r="BT88" s="1488" t="n">
        <v>150</v>
      </c>
      <c r="BU88" s="1488" t="n">
        <v>200</v>
      </c>
      <c r="BV88" s="1488" t="n">
        <v>0</v>
      </c>
      <c r="BW88" s="1488" t="n">
        <v>0</v>
      </c>
      <c r="BX88" s="1469">
        <f>-(BX87-BS87)*10000</f>
        <v/>
      </c>
      <c r="BY88" s="1489" t="n">
        <v>0</v>
      </c>
      <c r="BZ88" s="1489" t="n">
        <v>0</v>
      </c>
      <c r="CA88" s="1489" t="n">
        <v>0</v>
      </c>
      <c r="CB88" s="1465" t="n"/>
    </row>
    <row r="89" hidden="1" outlineLevel="1" ht="14.4" customFormat="1" customHeight="1" s="1372">
      <c r="A89" s="1486" t="n"/>
      <c r="B89" s="1448" t="n"/>
      <c r="C89" s="1449" t="n"/>
      <c r="D89" s="1449" t="n"/>
      <c r="E89" s="1449" t="n"/>
      <c r="F89" s="1449" t="n"/>
      <c r="G89" s="1450" t="n"/>
      <c r="H89" s="1450" t="n"/>
      <c r="I89" s="1450" t="n"/>
      <c r="J89" s="1450" t="n"/>
      <c r="K89" s="1449" t="n"/>
      <c r="L89" s="1450" t="n"/>
      <c r="M89" s="1450" t="n"/>
      <c r="N89" s="1450" t="n"/>
      <c r="O89" s="1450" t="n"/>
      <c r="P89" s="1449" t="n"/>
      <c r="Q89" s="1450" t="n"/>
      <c r="R89" s="1450" t="n"/>
      <c r="S89" s="1450" t="n"/>
      <c r="T89" s="1450" t="n"/>
      <c r="U89" s="1449" t="n"/>
      <c r="V89" s="1450" t="n"/>
      <c r="W89" s="1450" t="n"/>
      <c r="X89" s="1450" t="n"/>
      <c r="Y89" s="1450" t="n"/>
      <c r="Z89" s="1449" t="n"/>
      <c r="AA89" s="1450" t="n"/>
      <c r="AB89" s="1450" t="n"/>
      <c r="AC89" s="1450" t="n"/>
      <c r="AD89" s="1450" t="n"/>
      <c r="AE89" s="1449" t="n"/>
      <c r="AF89" s="1450" t="n"/>
      <c r="AG89" s="1450" t="n"/>
      <c r="AH89" s="1450" t="n"/>
      <c r="AI89" s="1450" t="n"/>
      <c r="AJ89" s="1449" t="n"/>
      <c r="AK89" s="1450" t="n"/>
      <c r="AL89" s="1450" t="n"/>
      <c r="AM89" s="1450" t="n"/>
      <c r="AN89" s="1450" t="n"/>
      <c r="AO89" s="1449" t="n"/>
      <c r="AP89" s="1450" t="n"/>
      <c r="AQ89" s="1450" t="n"/>
      <c r="AR89" s="1450" t="n"/>
      <c r="AS89" s="1450" t="n"/>
      <c r="AT89" s="1449" t="n"/>
      <c r="AU89" s="1450" t="n"/>
      <c r="AV89" s="1450" t="n"/>
      <c r="AW89" s="1450" t="n"/>
      <c r="AX89" s="1450" t="n"/>
      <c r="AY89" s="1449" t="n"/>
      <c r="AZ89" s="1450" t="n"/>
      <c r="BA89" s="1450" t="n"/>
      <c r="BB89" s="1450" t="n"/>
      <c r="BC89" s="1450" t="n"/>
      <c r="BD89" s="1449" t="n"/>
      <c r="BE89" s="1450" t="n"/>
      <c r="BF89" s="1450" t="n"/>
      <c r="BG89" s="1450" t="n"/>
      <c r="BH89" s="1450" t="n"/>
      <c r="BI89" s="1449" t="n"/>
      <c r="BJ89" s="1450" t="n"/>
      <c r="BK89" s="1450" t="n"/>
      <c r="BL89" s="1450" t="n"/>
      <c r="BM89" s="1450" t="n"/>
      <c r="BN89" s="1449" t="n"/>
      <c r="BO89" s="1450" t="n"/>
      <c r="BP89" s="1450" t="n"/>
      <c r="BQ89" s="1451" t="n"/>
      <c r="BR89" s="1450" t="n"/>
      <c r="BS89" s="1449" t="n"/>
      <c r="BT89" s="1450" t="n"/>
      <c r="BU89" s="1450" t="n"/>
      <c r="BV89" s="1450" t="n"/>
      <c r="BW89" s="1450" t="n"/>
      <c r="BX89" s="1449" t="n"/>
      <c r="BY89" s="1449" t="n"/>
      <c r="BZ89" s="1449" t="n"/>
      <c r="CA89" s="1449" t="n"/>
      <c r="CB89" s="1375" t="n"/>
    </row>
    <row r="90" hidden="1" outlineLevel="1" ht="14.4" customFormat="1" customHeight="1" s="1359">
      <c r="A90" s="1474" t="inlineStr">
        <is>
          <t>Amortization of acquired intangibles, mm</t>
        </is>
      </c>
      <c r="B90" s="1377" t="n"/>
      <c r="C90" s="1379">
        <f>C351</f>
        <v/>
      </c>
      <c r="D90" s="1379">
        <f>D351</f>
        <v/>
      </c>
      <c r="E90" s="1379">
        <f>E351</f>
        <v/>
      </c>
      <c r="F90" s="1379">
        <f>F351</f>
        <v/>
      </c>
      <c r="G90" s="1361">
        <f>G351</f>
        <v/>
      </c>
      <c r="H90" s="1361">
        <f>H351</f>
        <v/>
      </c>
      <c r="I90" s="1361">
        <f>I351</f>
        <v/>
      </c>
      <c r="J90" s="1361">
        <f>J351</f>
        <v/>
      </c>
      <c r="K90" s="1379">
        <f>K351</f>
        <v/>
      </c>
      <c r="L90" s="1361">
        <f>L351</f>
        <v/>
      </c>
      <c r="M90" s="1361">
        <f>M351</f>
        <v/>
      </c>
      <c r="N90" s="1361">
        <f>N351</f>
        <v/>
      </c>
      <c r="O90" s="1361">
        <f>O351</f>
        <v/>
      </c>
      <c r="P90" s="1379">
        <f>P351</f>
        <v/>
      </c>
      <c r="Q90" s="1361">
        <f>Q351</f>
        <v/>
      </c>
      <c r="R90" s="1361">
        <f>R351</f>
        <v/>
      </c>
      <c r="S90" s="1361">
        <f>S351</f>
        <v/>
      </c>
      <c r="T90" s="1361">
        <f>T351</f>
        <v/>
      </c>
      <c r="U90" s="1379">
        <f>U351</f>
        <v/>
      </c>
      <c r="V90" s="1361">
        <f>V351</f>
        <v/>
      </c>
      <c r="W90" s="1361">
        <f>W351</f>
        <v/>
      </c>
      <c r="X90" s="1361">
        <f>X351</f>
        <v/>
      </c>
      <c r="Y90" s="1361">
        <f>Y351</f>
        <v/>
      </c>
      <c r="Z90" s="1379">
        <f>Z351</f>
        <v/>
      </c>
      <c r="AA90" s="1361">
        <f>AA351</f>
        <v/>
      </c>
      <c r="AB90" s="1361">
        <f>AB351</f>
        <v/>
      </c>
      <c r="AC90" s="1361">
        <f>AC351</f>
        <v/>
      </c>
      <c r="AD90" s="1361">
        <f>AD351</f>
        <v/>
      </c>
      <c r="AE90" s="1379">
        <f>AE351</f>
        <v/>
      </c>
      <c r="AF90" s="1361">
        <f>AF351</f>
        <v/>
      </c>
      <c r="AG90" s="1361">
        <f>AG351</f>
        <v/>
      </c>
      <c r="AH90" s="1361">
        <f>AH351</f>
        <v/>
      </c>
      <c r="AI90" s="1361">
        <f>AI351</f>
        <v/>
      </c>
      <c r="AJ90" s="1379">
        <f>AJ351</f>
        <v/>
      </c>
      <c r="AK90" s="1361">
        <f>AK351</f>
        <v/>
      </c>
      <c r="AL90" s="1361">
        <f>AL351</f>
        <v/>
      </c>
      <c r="AM90" s="1361">
        <f>AM351</f>
        <v/>
      </c>
      <c r="AN90" s="1361">
        <f>AN351</f>
        <v/>
      </c>
      <c r="AO90" s="1379">
        <f>AO351</f>
        <v/>
      </c>
      <c r="AP90" s="1361">
        <f>AP351</f>
        <v/>
      </c>
      <c r="AQ90" s="1361">
        <f>AQ351</f>
        <v/>
      </c>
      <c r="AR90" s="1361">
        <f>AR351</f>
        <v/>
      </c>
      <c r="AS90" s="1361">
        <f>AS351</f>
        <v/>
      </c>
      <c r="AT90" s="1379">
        <f>AT351</f>
        <v/>
      </c>
      <c r="AU90" s="1361">
        <f>AU351</f>
        <v/>
      </c>
      <c r="AV90" s="1361">
        <f>AV351</f>
        <v/>
      </c>
      <c r="AW90" s="1361">
        <f>AW351</f>
        <v/>
      </c>
      <c r="AX90" s="1361">
        <f>AX351</f>
        <v/>
      </c>
      <c r="AY90" s="1379">
        <f>AY351</f>
        <v/>
      </c>
      <c r="AZ90" s="1361">
        <f>AZ351</f>
        <v/>
      </c>
      <c r="BA90" s="1361">
        <f>BA351</f>
        <v/>
      </c>
      <c r="BB90" s="1361">
        <f>BB351</f>
        <v/>
      </c>
      <c r="BC90" s="1361">
        <f>BC351</f>
        <v/>
      </c>
      <c r="BD90" s="1379">
        <f>BD351</f>
        <v/>
      </c>
      <c r="BE90" s="1361">
        <f>BE351</f>
        <v/>
      </c>
      <c r="BF90" s="1361">
        <f>BF351</f>
        <v/>
      </c>
      <c r="BG90" s="1361">
        <f>BG351</f>
        <v/>
      </c>
      <c r="BH90" s="1361">
        <f>BH351</f>
        <v/>
      </c>
      <c r="BI90" s="1379">
        <f>BI351</f>
        <v/>
      </c>
      <c r="BJ90" s="1361">
        <f>BJ351</f>
        <v/>
      </c>
      <c r="BK90" s="1361">
        <f>BK351</f>
        <v/>
      </c>
      <c r="BL90" s="1361">
        <f>BL351</f>
        <v/>
      </c>
      <c r="BM90" s="1361">
        <f>BM351</f>
        <v/>
      </c>
      <c r="BN90" s="1379">
        <f>BN351</f>
        <v/>
      </c>
      <c r="BO90" s="1361">
        <f>BO351</f>
        <v/>
      </c>
      <c r="BP90" s="1361">
        <f>BP351</f>
        <v/>
      </c>
      <c r="BQ90" s="1363">
        <f>BQ351</f>
        <v/>
      </c>
      <c r="BR90" s="1361">
        <f>BR167</f>
        <v/>
      </c>
      <c r="BS90" s="1379">
        <f>SUM(BO90,BP90,BQ90,BR90)</f>
        <v/>
      </c>
      <c r="BT90" s="1361">
        <f>BT167</f>
        <v/>
      </c>
      <c r="BU90" s="1361">
        <f>BU167</f>
        <v/>
      </c>
      <c r="BV90" s="1361">
        <f>BV167</f>
        <v/>
      </c>
      <c r="BW90" s="1361">
        <f>BW167</f>
        <v/>
      </c>
      <c r="BX90" s="1379">
        <f>SUM(BT90,BU90,BV90,BW90)</f>
        <v/>
      </c>
      <c r="BY90" s="1379">
        <f>BY167</f>
        <v/>
      </c>
      <c r="BZ90" s="1379">
        <f>BZ167</f>
        <v/>
      </c>
      <c r="CA90" s="1379">
        <f>CA167</f>
        <v/>
      </c>
      <c r="CB90" s="1364" t="n"/>
    </row>
    <row r="91" hidden="1" outlineLevel="1" ht="14.4" customFormat="1" customHeight="1" s="1359">
      <c r="A91" s="1474" t="inlineStr">
        <is>
          <t>Other GAAP expenses, mm</t>
        </is>
      </c>
      <c r="B91" s="1377" t="n"/>
      <c r="C91" s="1379">
        <f>SUM(C352:C354)</f>
        <v/>
      </c>
      <c r="D91" s="1379">
        <f>SUM(D352:D354)</f>
        <v/>
      </c>
      <c r="E91" s="1379">
        <f>SUM(E352:E354)</f>
        <v/>
      </c>
      <c r="F91" s="1379">
        <f>SUM(F352:F354)</f>
        <v/>
      </c>
      <c r="G91" s="1361">
        <f>SUM(G352:G354)</f>
        <v/>
      </c>
      <c r="H91" s="1361">
        <f>SUM(H352:H354)</f>
        <v/>
      </c>
      <c r="I91" s="1361">
        <f>SUM(I352:I354)</f>
        <v/>
      </c>
      <c r="J91" s="1361">
        <f>SUM(J352:J354)</f>
        <v/>
      </c>
      <c r="K91" s="1379">
        <f>SUM(K352:K354)</f>
        <v/>
      </c>
      <c r="L91" s="1361">
        <f>SUM(L352:L354)</f>
        <v/>
      </c>
      <c r="M91" s="1361">
        <f>SUM(M352:M354)</f>
        <v/>
      </c>
      <c r="N91" s="1361">
        <f>SUM(N352:N354)</f>
        <v/>
      </c>
      <c r="O91" s="1361">
        <f>SUM(O352:O354)</f>
        <v/>
      </c>
      <c r="P91" s="1379">
        <f>SUM(P352:P354)</f>
        <v/>
      </c>
      <c r="Q91" s="1361">
        <f>SUM(Q352:Q354)</f>
        <v/>
      </c>
      <c r="R91" s="1361">
        <f>SUM(R352:R354)</f>
        <v/>
      </c>
      <c r="S91" s="1361">
        <f>SUM(S352:S354)</f>
        <v/>
      </c>
      <c r="T91" s="1361">
        <f>SUM(T352:T354)</f>
        <v/>
      </c>
      <c r="U91" s="1379">
        <f>SUM(U352:U354)</f>
        <v/>
      </c>
      <c r="V91" s="1361">
        <f>SUM(V352:V354)</f>
        <v/>
      </c>
      <c r="W91" s="1361">
        <f>SUM(W352:W354)</f>
        <v/>
      </c>
      <c r="X91" s="1361">
        <f>SUM(X352:X354)</f>
        <v/>
      </c>
      <c r="Y91" s="1361">
        <f>SUM(Y352:Y354)</f>
        <v/>
      </c>
      <c r="Z91" s="1379">
        <f>SUM(Z352:Z354)</f>
        <v/>
      </c>
      <c r="AA91" s="1361">
        <f>SUM(AA352:AA354)</f>
        <v/>
      </c>
      <c r="AB91" s="1361">
        <f>SUM(AB352:AB354)</f>
        <v/>
      </c>
      <c r="AC91" s="1361">
        <f>SUM(AC352:AC354)</f>
        <v/>
      </c>
      <c r="AD91" s="1361">
        <f>SUM(AD352:AD354)</f>
        <v/>
      </c>
      <c r="AE91" s="1379">
        <f>SUM(AE352:AE354)</f>
        <v/>
      </c>
      <c r="AF91" s="1361">
        <f>SUM(AF352:AF354)</f>
        <v/>
      </c>
      <c r="AG91" s="1361">
        <f>SUM(AG352:AG354)</f>
        <v/>
      </c>
      <c r="AH91" s="1361">
        <f>SUM(AH352:AH354)</f>
        <v/>
      </c>
      <c r="AI91" s="1361">
        <f>SUM(AI352:AI354)</f>
        <v/>
      </c>
      <c r="AJ91" s="1379">
        <f>SUM(AJ352:AJ354)</f>
        <v/>
      </c>
      <c r="AK91" s="1361">
        <f>SUM(AK352:AK354)</f>
        <v/>
      </c>
      <c r="AL91" s="1361">
        <f>SUM(AL352:AL354)</f>
        <v/>
      </c>
      <c r="AM91" s="1361">
        <f>SUM(AM352:AM354)</f>
        <v/>
      </c>
      <c r="AN91" s="1361">
        <f>SUM(AN352:AN354)</f>
        <v/>
      </c>
      <c r="AO91" s="1379">
        <f>SUM(AO352:AO354)</f>
        <v/>
      </c>
      <c r="AP91" s="1361">
        <f>SUM(AP352:AP354)</f>
        <v/>
      </c>
      <c r="AQ91" s="1361">
        <f>SUM(AQ352:AQ354)</f>
        <v/>
      </c>
      <c r="AR91" s="1361">
        <f>SUM(AR352:AR354)</f>
        <v/>
      </c>
      <c r="AS91" s="1361">
        <f>SUM(AS352:AS354)</f>
        <v/>
      </c>
      <c r="AT91" s="1379">
        <f>SUM(AT352:AT354)</f>
        <v/>
      </c>
      <c r="AU91" s="1361">
        <f>SUM(AU352:AU354)</f>
        <v/>
      </c>
      <c r="AV91" s="1361">
        <f>SUM(AV352:AV354)</f>
        <v/>
      </c>
      <c r="AW91" s="1361">
        <f>SUM(AW352:AW354)</f>
        <v/>
      </c>
      <c r="AX91" s="1361">
        <f>SUM(AX352:AX354)</f>
        <v/>
      </c>
      <c r="AY91" s="1379">
        <f>SUM(AY352:AY354)</f>
        <v/>
      </c>
      <c r="AZ91" s="1361">
        <f>SUM(AZ352:AZ354)</f>
        <v/>
      </c>
      <c r="BA91" s="1361">
        <f>SUM(BA352:BA354)</f>
        <v/>
      </c>
      <c r="BB91" s="1361">
        <f>SUM(BB352:BB354)</f>
        <v/>
      </c>
      <c r="BC91" s="1361">
        <f>SUM(BC352:BC354)</f>
        <v/>
      </c>
      <c r="BD91" s="1379">
        <f>SUM(BD352:BD354)</f>
        <v/>
      </c>
      <c r="BE91" s="1361">
        <f>SUM(BE352:BE354)</f>
        <v/>
      </c>
      <c r="BF91" s="1361">
        <f>SUM(BF352:BF354)</f>
        <v/>
      </c>
      <c r="BG91" s="1361">
        <f>SUM(BG352:BG354)</f>
        <v/>
      </c>
      <c r="BH91" s="1361">
        <f>SUM(BH352:BH354)</f>
        <v/>
      </c>
      <c r="BI91" s="1379">
        <f>SUM(BI352:BI354)</f>
        <v/>
      </c>
      <c r="BJ91" s="1361">
        <f>SUM(BJ352:BJ354)</f>
        <v/>
      </c>
      <c r="BK91" s="1361">
        <f>SUM(BK352:BK354)</f>
        <v/>
      </c>
      <c r="BL91" s="1361">
        <f>SUM(BL352:BL354)</f>
        <v/>
      </c>
      <c r="BM91" s="1361">
        <f>SUM(BM352:BM354)</f>
        <v/>
      </c>
      <c r="BN91" s="1379">
        <f>SUM(BN352:BN354)</f>
        <v/>
      </c>
      <c r="BO91" s="1361">
        <f>SUM(BO352:BO354)</f>
        <v/>
      </c>
      <c r="BP91" s="1361">
        <f>SUM(BP352:BP354)</f>
        <v/>
      </c>
      <c r="BQ91" s="1363">
        <f>SUM(BQ352:BQ354)</f>
        <v/>
      </c>
      <c r="BR91" s="1493" t="n">
        <v>-5</v>
      </c>
      <c r="BS91" s="1379">
        <f>SUM(BO91,BP91,BQ91,BR91)</f>
        <v/>
      </c>
      <c r="BT91" s="1493" t="n">
        <v>5.8</v>
      </c>
      <c r="BU91" s="1493" t="n">
        <v>5.8</v>
      </c>
      <c r="BV91" s="1493" t="n">
        <v>5.8</v>
      </c>
      <c r="BW91" s="1493" t="n">
        <v>5.8</v>
      </c>
      <c r="BX91" s="1379">
        <f>SUM(BT91,BU91,BV91,BW91)</f>
        <v/>
      </c>
      <c r="BY91" s="1494" t="n">
        <v>23.2</v>
      </c>
      <c r="BZ91" s="1494" t="n">
        <v>23.2</v>
      </c>
      <c r="CA91" s="1494" t="n">
        <v>23.2</v>
      </c>
      <c r="CB91" s="1364" t="n"/>
    </row>
    <row r="92" hidden="1" outlineLevel="1" ht="7.5" customFormat="1" customHeight="1" s="1372">
      <c r="A92" s="1495" t="n"/>
      <c r="B92" s="1496" t="n"/>
      <c r="C92" s="1497" t="n"/>
      <c r="D92" s="1497" t="n"/>
      <c r="E92" s="1497" t="n"/>
      <c r="F92" s="1497" t="n"/>
      <c r="G92" s="1498" t="n"/>
      <c r="H92" s="1498" t="n"/>
      <c r="I92" s="1498" t="n"/>
      <c r="J92" s="1498" t="n"/>
      <c r="K92" s="1497" t="n"/>
      <c r="L92" s="1498" t="n"/>
      <c r="M92" s="1498" t="n"/>
      <c r="N92" s="1498" t="n"/>
      <c r="O92" s="1498" t="n"/>
      <c r="P92" s="1497" t="n"/>
      <c r="Q92" s="1498" t="n"/>
      <c r="R92" s="1498" t="n"/>
      <c r="S92" s="1498" t="n"/>
      <c r="T92" s="1498" t="n"/>
      <c r="U92" s="1497" t="n"/>
      <c r="V92" s="1498" t="n"/>
      <c r="W92" s="1498" t="n"/>
      <c r="X92" s="1498" t="n"/>
      <c r="Y92" s="1498" t="n"/>
      <c r="Z92" s="1497" t="n"/>
      <c r="AA92" s="1498" t="n"/>
      <c r="AB92" s="1498" t="n"/>
      <c r="AC92" s="1498" t="n"/>
      <c r="AD92" s="1498" t="n"/>
      <c r="AE92" s="1497" t="n"/>
      <c r="AF92" s="1498" t="n"/>
      <c r="AG92" s="1498" t="n"/>
      <c r="AH92" s="1498" t="n"/>
      <c r="AI92" s="1498" t="n"/>
      <c r="AJ92" s="1497" t="n"/>
      <c r="AK92" s="1498" t="n"/>
      <c r="AL92" s="1498" t="n"/>
      <c r="AM92" s="1498" t="n"/>
      <c r="AN92" s="1498" t="n"/>
      <c r="AO92" s="1497" t="n"/>
      <c r="AP92" s="1498" t="n"/>
      <c r="AQ92" s="1498" t="n"/>
      <c r="AR92" s="1498" t="n"/>
      <c r="AS92" s="1498" t="n"/>
      <c r="AT92" s="1497" t="n"/>
      <c r="AU92" s="1498" t="n"/>
      <c r="AV92" s="1498" t="n"/>
      <c r="AW92" s="1498" t="n"/>
      <c r="AX92" s="1498" t="n"/>
      <c r="AY92" s="1497" t="n"/>
      <c r="AZ92" s="1498" t="n"/>
      <c r="BA92" s="1498" t="n"/>
      <c r="BB92" s="1498" t="n"/>
      <c r="BC92" s="1498" t="n"/>
      <c r="BD92" s="1497" t="n"/>
      <c r="BE92" s="1498" t="n"/>
      <c r="BF92" s="1498" t="n"/>
      <c r="BG92" s="1498" t="n"/>
      <c r="BH92" s="1498" t="n"/>
      <c r="BI92" s="1497" t="n"/>
      <c r="BJ92" s="1498" t="n"/>
      <c r="BK92" s="1498" t="n"/>
      <c r="BL92" s="1498" t="n"/>
      <c r="BM92" s="1498" t="n"/>
      <c r="BN92" s="1497" t="n"/>
      <c r="BO92" s="1498" t="n"/>
      <c r="BP92" s="1498" t="n"/>
      <c r="BQ92" s="1499" t="n"/>
      <c r="BR92" s="1498" t="n"/>
      <c r="BS92" s="1497" t="n"/>
      <c r="BT92" s="1498" t="n"/>
      <c r="BU92" s="1498" t="n"/>
      <c r="BV92" s="1498" t="n"/>
      <c r="BW92" s="1498" t="n"/>
      <c r="BX92" s="1497" t="n"/>
      <c r="BY92" s="1497" t="n"/>
      <c r="BZ92" s="1497" t="n"/>
      <c r="CA92" s="1497" t="n"/>
      <c r="CB92" s="1375" t="n"/>
    </row>
    <row r="93" hidden="1" outlineLevel="1" ht="14.4" customFormat="1" customHeight="1" s="1372">
      <c r="A93" s="1447" t="inlineStr">
        <is>
          <t>GAAP Operating Income, mm</t>
        </is>
      </c>
      <c r="B93" s="1448" t="n"/>
      <c r="C93" s="1449">
        <f>C36-C51-C64-C77-C90-C91</f>
        <v/>
      </c>
      <c r="D93" s="1449">
        <f>D36-D51-D64-D77-D90-D91</f>
        <v/>
      </c>
      <c r="E93" s="1449">
        <f>E36-E51-E64-E77-E90-E91</f>
        <v/>
      </c>
      <c r="F93" s="1449">
        <f>F36-F51-F64-F77-F90-F91</f>
        <v/>
      </c>
      <c r="G93" s="1450">
        <f>G36-G51-G64-G77-G90-G91</f>
        <v/>
      </c>
      <c r="H93" s="1450">
        <f>H36-H51-H64-H77-H90-H91</f>
        <v/>
      </c>
      <c r="I93" s="1450">
        <f>I36-I51-I64-I77-I90-I91</f>
        <v/>
      </c>
      <c r="J93" s="1450">
        <f>J36-J51-J64-J77-J90-J91</f>
        <v/>
      </c>
      <c r="K93" s="1449">
        <f>K36-K51-K64-K77-K90-K91</f>
        <v/>
      </c>
      <c r="L93" s="1450">
        <f>L36-L51-L64-L77-L90-L91</f>
        <v/>
      </c>
      <c r="M93" s="1450">
        <f>M36-M51-M64-M77-M90-M91</f>
        <v/>
      </c>
      <c r="N93" s="1450">
        <f>N36-N51-N64-N77-N90-N91</f>
        <v/>
      </c>
      <c r="O93" s="1450">
        <f>O36-O51-O64-O77-O90-O91</f>
        <v/>
      </c>
      <c r="P93" s="1449">
        <f>P36-P51-P64-P77-P90-P91</f>
        <v/>
      </c>
      <c r="Q93" s="1450">
        <f>Q36-Q51-Q64-Q77-Q90-Q91</f>
        <v/>
      </c>
      <c r="R93" s="1450">
        <f>R36-R51-R64-R77-R90-R91</f>
        <v/>
      </c>
      <c r="S93" s="1450">
        <f>S36-S51-S64-S77-S90-S91</f>
        <v/>
      </c>
      <c r="T93" s="1450">
        <f>T36-T51-T64-T77-T90-T91</f>
        <v/>
      </c>
      <c r="U93" s="1449">
        <f>U36-U51-U64-U77-U90-U91</f>
        <v/>
      </c>
      <c r="V93" s="1450">
        <f>V36-V51-V64-V77-V90-V91</f>
        <v/>
      </c>
      <c r="W93" s="1450">
        <f>W36-W51-W64-W77-W90-W91</f>
        <v/>
      </c>
      <c r="X93" s="1450">
        <f>X36-X51-X64-X77-X90-X91</f>
        <v/>
      </c>
      <c r="Y93" s="1450">
        <f>Y36-Y51-Y64-Y77-Y90-Y91</f>
        <v/>
      </c>
      <c r="Z93" s="1449">
        <f>Z36-Z51-Z64-Z77-Z90-Z91</f>
        <v/>
      </c>
      <c r="AA93" s="1450">
        <f>AA36-AA51-AA64-AA77-AA90-AA91</f>
        <v/>
      </c>
      <c r="AB93" s="1450">
        <f>AB36-AB51-AB64-AB77-AB90-AB91</f>
        <v/>
      </c>
      <c r="AC93" s="1450">
        <f>AC36-AC51-AC64-AC77-AC90-AC91</f>
        <v/>
      </c>
      <c r="AD93" s="1450">
        <f>AD36-AD51-AD64-AD77-AD90-AD91</f>
        <v/>
      </c>
      <c r="AE93" s="1449">
        <f>AE36-AE51-AE64-AE77-AE90-AE91</f>
        <v/>
      </c>
      <c r="AF93" s="1450">
        <f>AF36-AF51-AF64-AF77-AF90-AF91</f>
        <v/>
      </c>
      <c r="AG93" s="1450">
        <f>AG36-AG51-AG64-AG77-AG90-AG91</f>
        <v/>
      </c>
      <c r="AH93" s="1450">
        <f>AH36-AH51-AH64-AH77-AH90-AH91</f>
        <v/>
      </c>
      <c r="AI93" s="1450">
        <f>AI36-AI51-AI64-AI77-AI90-AI91</f>
        <v/>
      </c>
      <c r="AJ93" s="1449">
        <f>AJ36-AJ51-AJ64-AJ77-AJ90-AJ91</f>
        <v/>
      </c>
      <c r="AK93" s="1450">
        <f>AK36-AK51-AK64-AK77-AK90-AK91</f>
        <v/>
      </c>
      <c r="AL93" s="1450">
        <f>AL36-AL51-AL64-AL77-AL90-AL91</f>
        <v/>
      </c>
      <c r="AM93" s="1450">
        <f>AM36-AM51-AM64-AM77-AM90-AM91</f>
        <v/>
      </c>
      <c r="AN93" s="1450">
        <f>AN36-AN51-AN64-AN77-AN90-AN91</f>
        <v/>
      </c>
      <c r="AO93" s="1449">
        <f>AO36-AO51-AO64-AO77-AO90-AO91</f>
        <v/>
      </c>
      <c r="AP93" s="1450">
        <f>AP36-AP51-AP64-AP77-AP90-AP91</f>
        <v/>
      </c>
      <c r="AQ93" s="1450">
        <f>AQ36-AQ51-AQ64-AQ77-AQ90-AQ91</f>
        <v/>
      </c>
      <c r="AR93" s="1450">
        <f>AR36-AR51-AR64-AR77-AR90-AR91</f>
        <v/>
      </c>
      <c r="AS93" s="1450">
        <f>AS36-AS51-AS64-AS77-AS90-AS91</f>
        <v/>
      </c>
      <c r="AT93" s="1449">
        <f>AT36-AT51-AT64-AT77-AT90-AT91</f>
        <v/>
      </c>
      <c r="AU93" s="1450">
        <f>AU36-AU51-AU64-AU77-AU90-AU91</f>
        <v/>
      </c>
      <c r="AV93" s="1450">
        <f>AV36-AV51-AV64-AV77-AV90-AV91</f>
        <v/>
      </c>
      <c r="AW93" s="1450">
        <f>AW36-AW51-AW64-AW77-AW90-AW91</f>
        <v/>
      </c>
      <c r="AX93" s="1450">
        <f>AX36-AX51-AX64-AX77-AX90-AX91</f>
        <v/>
      </c>
      <c r="AY93" s="1449">
        <f>AY36-AY51-AY64-AY77-AY90-AY91</f>
        <v/>
      </c>
      <c r="AZ93" s="1450">
        <f>AZ36-AZ51-AZ64-AZ77-AZ90-AZ91</f>
        <v/>
      </c>
      <c r="BA93" s="1450">
        <f>BA36-BA51-BA64-BA77-BA90-BA91</f>
        <v/>
      </c>
      <c r="BB93" s="1450">
        <f>BB36-BB51-BB64-BB77-BB90-BB91</f>
        <v/>
      </c>
      <c r="BC93" s="1450">
        <f>BC36-BC51-BC64-BC77-BC90-BC91</f>
        <v/>
      </c>
      <c r="BD93" s="1449">
        <f>BD36-BD51-BD64-BD77-BD90-BD91</f>
        <v/>
      </c>
      <c r="BE93" s="1450">
        <f>BE36-BE51-BE64-BE77-BE90-BE91</f>
        <v/>
      </c>
      <c r="BF93" s="1450">
        <f>BF36-BF51-BF64-BF77-BF90-BF91</f>
        <v/>
      </c>
      <c r="BG93" s="1450">
        <f>BG36-BG51-BG64-BG77-BG90-BG91</f>
        <v/>
      </c>
      <c r="BH93" s="1450">
        <f>BH36-BH51-BH64-BH77-BH90-BH91</f>
        <v/>
      </c>
      <c r="BI93" s="1449">
        <f>BI36-BI51-BI64-BI77-BI90-BI91</f>
        <v/>
      </c>
      <c r="BJ93" s="1450">
        <f>BJ36-BJ51-BJ64-BJ77-BJ90-BJ91</f>
        <v/>
      </c>
      <c r="BK93" s="1450">
        <f>BK36-BK51-BK64-BK77-BK90-BK91</f>
        <v/>
      </c>
      <c r="BL93" s="1450">
        <f>BL36-BL51-BL64-BL77-BL90-BL91</f>
        <v/>
      </c>
      <c r="BM93" s="1450">
        <f>BM36-BM51-BM64-BM77-BM90-BM91</f>
        <v/>
      </c>
      <c r="BN93" s="1449">
        <f>BN36-BN51-BN64-BN77-BN90-BN91</f>
        <v/>
      </c>
      <c r="BO93" s="1450">
        <f>BO36-BO51-BO64-BO77-BO90-BO91</f>
        <v/>
      </c>
      <c r="BP93" s="1450">
        <f>BP36-BP51-BP64-BP77-BP90-BP91</f>
        <v/>
      </c>
      <c r="BQ93" s="1451">
        <f>BQ36-BQ51-BQ64-BQ77-BQ90-BQ91</f>
        <v/>
      </c>
      <c r="BR93" s="1450">
        <f>BR36-BR51-BR64-BR77-BR90-BR91</f>
        <v/>
      </c>
      <c r="BS93" s="1449">
        <f>BS36-BS51-BS64-BS77-BS90-BS91</f>
        <v/>
      </c>
      <c r="BT93" s="1450">
        <f>BT36-BT51-BT64-BT77-BT90-BT91</f>
        <v/>
      </c>
      <c r="BU93" s="1450">
        <f>BU36-BU51-BU64-BU77-BU90-BU91</f>
        <v/>
      </c>
      <c r="BV93" s="1450">
        <f>BV36-BV51-BV64-BV77-BV90-BV91</f>
        <v/>
      </c>
      <c r="BW93" s="1450">
        <f>BW36-BW51-BW64-BW77-BW90-BW91</f>
        <v/>
      </c>
      <c r="BX93" s="1449">
        <f>BX36-BX51-BX64-BX77-BX90-BX91</f>
        <v/>
      </c>
      <c r="BY93" s="1449">
        <f>BY36-BY51-BY64-BY77-BY90-BY91</f>
        <v/>
      </c>
      <c r="BZ93" s="1449">
        <f>BZ36-BZ51-BZ64-BZ77-BZ90-BZ91</f>
        <v/>
      </c>
      <c r="CA93" s="1449">
        <f>CA36-CA51-CA64-CA77-CA90-CA91</f>
        <v/>
      </c>
      <c r="CB93" s="1375" t="n"/>
    </row>
    <row r="94" hidden="1" outlineLevel="1" ht="14.4" customFormat="1" customHeight="1" s="1372">
      <c r="A94" s="1415" t="inlineStr">
        <is>
          <t>Y/Y GAAP Operating Income growth, %</t>
        </is>
      </c>
      <c r="B94" s="1381" t="n"/>
      <c r="C94" s="1382" t="n"/>
      <c r="D94" s="1382">
        <f>D93/C93-1</f>
        <v/>
      </c>
      <c r="E94" s="1382">
        <f>E93/D93-1</f>
        <v/>
      </c>
      <c r="F94" s="1382">
        <f>F93/E93-1</f>
        <v/>
      </c>
      <c r="G94" s="1384" t="n"/>
      <c r="H94" s="1384" t="n"/>
      <c r="I94" s="1384" t="n"/>
      <c r="J94" s="1384" t="n"/>
      <c r="K94" s="1382">
        <f>K93/F93-1</f>
        <v/>
      </c>
      <c r="L94" s="1384">
        <f>L93/G93-1</f>
        <v/>
      </c>
      <c r="M94" s="1384">
        <f>M93/H93-1</f>
        <v/>
      </c>
      <c r="N94" s="1384">
        <f>N93/I93-1</f>
        <v/>
      </c>
      <c r="O94" s="1384">
        <f>O93/J93-1</f>
        <v/>
      </c>
      <c r="P94" s="1382">
        <f>P93/K93-1</f>
        <v/>
      </c>
      <c r="Q94" s="1384">
        <f>Q93/L93-1</f>
        <v/>
      </c>
      <c r="R94" s="1384">
        <f>R93/M93-1</f>
        <v/>
      </c>
      <c r="S94" s="1384">
        <f>S93/N93-1</f>
        <v/>
      </c>
      <c r="T94" s="1384">
        <f>T93/O93-1</f>
        <v/>
      </c>
      <c r="U94" s="1382">
        <f>U93/P93-1</f>
        <v/>
      </c>
      <c r="V94" s="1384">
        <f>V93/Q93-1</f>
        <v/>
      </c>
      <c r="W94" s="1384">
        <f>W93/R93-1</f>
        <v/>
      </c>
      <c r="X94" s="1384">
        <f>X93/S93-1</f>
        <v/>
      </c>
      <c r="Y94" s="1384">
        <f>Y93/T93-1</f>
        <v/>
      </c>
      <c r="Z94" s="1382">
        <f>Z93/U93-1</f>
        <v/>
      </c>
      <c r="AA94" s="1384">
        <f>AA93/V93-1</f>
        <v/>
      </c>
      <c r="AB94" s="1384">
        <f>AB93/W93-1</f>
        <v/>
      </c>
      <c r="AC94" s="1384">
        <f>AC93/X93-1</f>
        <v/>
      </c>
      <c r="AD94" s="1384">
        <f>AD93/Y93-1</f>
        <v/>
      </c>
      <c r="AE94" s="1382">
        <f>AE93/Z93-1</f>
        <v/>
      </c>
      <c r="AF94" s="1384">
        <f>AF93/AA93-1</f>
        <v/>
      </c>
      <c r="AG94" s="1384">
        <f>AG93/AB93-1</f>
        <v/>
      </c>
      <c r="AH94" s="1384">
        <f>AH93/AC93-1</f>
        <v/>
      </c>
      <c r="AI94" s="1384">
        <f>AI93/AD93-1</f>
        <v/>
      </c>
      <c r="AJ94" s="1382">
        <f>AJ93/AE93-1</f>
        <v/>
      </c>
      <c r="AK94" s="1384">
        <f>AK93/AF93-1</f>
        <v/>
      </c>
      <c r="AL94" s="1384">
        <f>AL93/AG93-1</f>
        <v/>
      </c>
      <c r="AM94" s="1384">
        <f>AM93/AH93-1</f>
        <v/>
      </c>
      <c r="AN94" s="1384">
        <f>AN93/AI93-1</f>
        <v/>
      </c>
      <c r="AO94" s="1382">
        <f>AO93/AJ93-1</f>
        <v/>
      </c>
      <c r="AP94" s="1384">
        <f>AP93/AK93-1</f>
        <v/>
      </c>
      <c r="AQ94" s="1384">
        <f>AQ93/AL93-1</f>
        <v/>
      </c>
      <c r="AR94" s="1384">
        <f>AR93/AM93-1</f>
        <v/>
      </c>
      <c r="AS94" s="1384">
        <f>AS93/AN93-1</f>
        <v/>
      </c>
      <c r="AT94" s="1382">
        <f>AT93/AO93-1</f>
        <v/>
      </c>
      <c r="AU94" s="1384">
        <f>AU93/AP93-1</f>
        <v/>
      </c>
      <c r="AV94" s="1384">
        <f>AV93/AQ93-1</f>
        <v/>
      </c>
      <c r="AW94" s="1384">
        <f>AW93/AR93-1</f>
        <v/>
      </c>
      <c r="AX94" s="1384">
        <f>AX93/AS93-1</f>
        <v/>
      </c>
      <c r="AY94" s="1382">
        <f>AY93/AT93-1</f>
        <v/>
      </c>
      <c r="AZ94" s="1384">
        <f>AZ93/AU93-1</f>
        <v/>
      </c>
      <c r="BA94" s="1384">
        <f>BA93/AV93-1</f>
        <v/>
      </c>
      <c r="BB94" s="1384">
        <f>BB93/AW93-1</f>
        <v/>
      </c>
      <c r="BC94" s="1384">
        <f>BC93/AX93-1</f>
        <v/>
      </c>
      <c r="BD94" s="1382">
        <f>BD93/AY93-1</f>
        <v/>
      </c>
      <c r="BE94" s="1384">
        <f>BE93/AZ93-1</f>
        <v/>
      </c>
      <c r="BF94" s="1384">
        <f>BF93/BA93-1</f>
        <v/>
      </c>
      <c r="BG94" s="1384">
        <f>BG93/BB93-1</f>
        <v/>
      </c>
      <c r="BH94" s="1384">
        <f>BH93/BC93-1</f>
        <v/>
      </c>
      <c r="BI94" s="1382">
        <f>BI93/BD93-1</f>
        <v/>
      </c>
      <c r="BJ94" s="1384">
        <f>BJ93/BE93-1</f>
        <v/>
      </c>
      <c r="BK94" s="1384">
        <f>BK93/BF93-1</f>
        <v/>
      </c>
      <c r="BL94" s="1384">
        <f>BL93/BG93-1</f>
        <v/>
      </c>
      <c r="BM94" s="1384">
        <f>BM93/BH93-1</f>
        <v/>
      </c>
      <c r="BN94" s="1382">
        <f>BN93/BI93-1</f>
        <v/>
      </c>
      <c r="BO94" s="1384">
        <f>BO93/BJ93-1</f>
        <v/>
      </c>
      <c r="BP94" s="1384">
        <f>BP93/BK93-1</f>
        <v/>
      </c>
      <c r="BQ94" s="1386">
        <f>BQ93/BL93-1</f>
        <v/>
      </c>
      <c r="BR94" s="1384">
        <f>BR93/BM93-1</f>
        <v/>
      </c>
      <c r="BS94" s="1382">
        <f>BS93/BN93-1</f>
        <v/>
      </c>
      <c r="BT94" s="1384">
        <f>BT93/BO93-1</f>
        <v/>
      </c>
      <c r="BU94" s="1384">
        <f>BU93/BP93-1</f>
        <v/>
      </c>
      <c r="BV94" s="1384">
        <f>BV93/BQ93-1</f>
        <v/>
      </c>
      <c r="BW94" s="1384">
        <f>BW93/BR93-1</f>
        <v/>
      </c>
      <c r="BX94" s="1382">
        <f>BX93/BS93-1</f>
        <v/>
      </c>
      <c r="BY94" s="1382">
        <f>BY93/BX93-1</f>
        <v/>
      </c>
      <c r="BZ94" s="1382">
        <f>BZ93/BY93-1</f>
        <v/>
      </c>
      <c r="CA94" s="1382">
        <f>CA93/BZ93-1</f>
        <v/>
      </c>
      <c r="CB94" s="1375" t="n"/>
    </row>
    <row r="95" hidden="1" outlineLevel="1" ht="14.4" customFormat="1" customHeight="1" s="1460">
      <c r="A95" s="1492" t="inlineStr">
        <is>
          <t>GAAP Operating Income margin, %</t>
        </is>
      </c>
      <c r="B95" s="1462" t="n"/>
      <c r="C95" s="1463">
        <f>C93/C34</f>
        <v/>
      </c>
      <c r="D95" s="1463">
        <f>D93/D34</f>
        <v/>
      </c>
      <c r="E95" s="1463">
        <f>E93/E34</f>
        <v/>
      </c>
      <c r="F95" s="1463">
        <f>F93/F34</f>
        <v/>
      </c>
      <c r="G95" s="1466">
        <f>G93/G34</f>
        <v/>
      </c>
      <c r="H95" s="1466">
        <f>H93/H34</f>
        <v/>
      </c>
      <c r="I95" s="1466">
        <f>I93/I34</f>
        <v/>
      </c>
      <c r="J95" s="1466">
        <f>J93/J34</f>
        <v/>
      </c>
      <c r="K95" s="1463">
        <f>K93/K34</f>
        <v/>
      </c>
      <c r="L95" s="1466">
        <f>L93/L34</f>
        <v/>
      </c>
      <c r="M95" s="1466">
        <f>M93/M34</f>
        <v/>
      </c>
      <c r="N95" s="1466">
        <f>N93/N34</f>
        <v/>
      </c>
      <c r="O95" s="1466">
        <f>O93/O34</f>
        <v/>
      </c>
      <c r="P95" s="1463">
        <f>P93/P34</f>
        <v/>
      </c>
      <c r="Q95" s="1466">
        <f>Q93/Q34</f>
        <v/>
      </c>
      <c r="R95" s="1466">
        <f>R93/R34</f>
        <v/>
      </c>
      <c r="S95" s="1466">
        <f>S93/S34</f>
        <v/>
      </c>
      <c r="T95" s="1466">
        <f>T93/T34</f>
        <v/>
      </c>
      <c r="U95" s="1463">
        <f>U93/U34</f>
        <v/>
      </c>
      <c r="V95" s="1466">
        <f>V93/V34</f>
        <v/>
      </c>
      <c r="W95" s="1466">
        <f>W93/W34</f>
        <v/>
      </c>
      <c r="X95" s="1466">
        <f>X93/X34</f>
        <v/>
      </c>
      <c r="Y95" s="1466">
        <f>Y93/Y34</f>
        <v/>
      </c>
      <c r="Z95" s="1463">
        <f>Z93/Z34</f>
        <v/>
      </c>
      <c r="AA95" s="1466">
        <f>AA93/AA34</f>
        <v/>
      </c>
      <c r="AB95" s="1466">
        <f>AB93/AB34</f>
        <v/>
      </c>
      <c r="AC95" s="1466">
        <f>AC93/AC34</f>
        <v/>
      </c>
      <c r="AD95" s="1466">
        <f>AD93/AD34</f>
        <v/>
      </c>
      <c r="AE95" s="1463">
        <f>AE93/AE34</f>
        <v/>
      </c>
      <c r="AF95" s="1466">
        <f>AF93/AF34</f>
        <v/>
      </c>
      <c r="AG95" s="1466">
        <f>AG93/AG34</f>
        <v/>
      </c>
      <c r="AH95" s="1466">
        <f>AH93/AH34</f>
        <v/>
      </c>
      <c r="AI95" s="1466">
        <f>AI93/AI34</f>
        <v/>
      </c>
      <c r="AJ95" s="1463">
        <f>AJ93/AJ34</f>
        <v/>
      </c>
      <c r="AK95" s="1466">
        <f>AK93/AK34</f>
        <v/>
      </c>
      <c r="AL95" s="1466">
        <f>AL93/AL34</f>
        <v/>
      </c>
      <c r="AM95" s="1466">
        <f>AM93/AM34</f>
        <v/>
      </c>
      <c r="AN95" s="1466">
        <f>AN93/AN34</f>
        <v/>
      </c>
      <c r="AO95" s="1463">
        <f>AO93/AO34</f>
        <v/>
      </c>
      <c r="AP95" s="1466">
        <f>AP93/AP34</f>
        <v/>
      </c>
      <c r="AQ95" s="1466">
        <f>AQ93/AQ34</f>
        <v/>
      </c>
      <c r="AR95" s="1466">
        <f>AR93/AR34</f>
        <v/>
      </c>
      <c r="AS95" s="1466">
        <f>AS93/AS34</f>
        <v/>
      </c>
      <c r="AT95" s="1463">
        <f>AT93/AT34</f>
        <v/>
      </c>
      <c r="AU95" s="1466">
        <f>AU93/AU34</f>
        <v/>
      </c>
      <c r="AV95" s="1466">
        <f>AV93/AV34</f>
        <v/>
      </c>
      <c r="AW95" s="1466">
        <f>AW93/AW34</f>
        <v/>
      </c>
      <c r="AX95" s="1466">
        <f>AX93/AX34</f>
        <v/>
      </c>
      <c r="AY95" s="1463">
        <f>AY93/AY34</f>
        <v/>
      </c>
      <c r="AZ95" s="1466">
        <f>AZ93/AZ34</f>
        <v/>
      </c>
      <c r="BA95" s="1466">
        <f>BA93/BA34</f>
        <v/>
      </c>
      <c r="BB95" s="1466">
        <f>BB93/BB34</f>
        <v/>
      </c>
      <c r="BC95" s="1466">
        <f>BC93/BC34</f>
        <v/>
      </c>
      <c r="BD95" s="1463">
        <f>BD93/BD34</f>
        <v/>
      </c>
      <c r="BE95" s="1466">
        <f>BE93/BE34</f>
        <v/>
      </c>
      <c r="BF95" s="1466">
        <f>BF93/BF34</f>
        <v/>
      </c>
      <c r="BG95" s="1466">
        <f>BG93/BG34</f>
        <v/>
      </c>
      <c r="BH95" s="1466">
        <f>BH93/BH34</f>
        <v/>
      </c>
      <c r="BI95" s="1463">
        <f>BI93/BI34</f>
        <v/>
      </c>
      <c r="BJ95" s="1466">
        <f>BJ93/BJ34</f>
        <v/>
      </c>
      <c r="BK95" s="1466">
        <f>BK93/BK34</f>
        <v/>
      </c>
      <c r="BL95" s="1466">
        <f>BL93/BL34</f>
        <v/>
      </c>
      <c r="BM95" s="1466">
        <f>BM93/BM34</f>
        <v/>
      </c>
      <c r="BN95" s="1463">
        <f>BN93/BN34</f>
        <v/>
      </c>
      <c r="BO95" s="1466">
        <f>BO93/BO34</f>
        <v/>
      </c>
      <c r="BP95" s="1466">
        <f>BP93/BP34</f>
        <v/>
      </c>
      <c r="BQ95" s="1491">
        <f>BQ93/BQ34</f>
        <v/>
      </c>
      <c r="BR95" s="1466">
        <f>BR93/BR34</f>
        <v/>
      </c>
      <c r="BS95" s="1463">
        <f>BS93/BS34</f>
        <v/>
      </c>
      <c r="BT95" s="1466">
        <f>BT93/BT34</f>
        <v/>
      </c>
      <c r="BU95" s="1466">
        <f>BU93/BU34</f>
        <v/>
      </c>
      <c r="BV95" s="1466">
        <f>BV93/BV34</f>
        <v/>
      </c>
      <c r="BW95" s="1466">
        <f>BW93/BW34</f>
        <v/>
      </c>
      <c r="BX95" s="1463">
        <f>BX93/BX34</f>
        <v/>
      </c>
      <c r="BY95" s="1463">
        <f>BY93/BY34</f>
        <v/>
      </c>
      <c r="BZ95" s="1463">
        <f>BZ93/BZ34</f>
        <v/>
      </c>
      <c r="CA95" s="1463">
        <f>CA93/CA34</f>
        <v/>
      </c>
      <c r="CB95" s="1465" t="n"/>
    </row>
    <row r="96" hidden="1" outlineLevel="1" ht="14.4" customFormat="1" customHeight="1" s="1460">
      <c r="A96" s="1486" t="inlineStr">
        <is>
          <t>Y/Y GAAP Operating Income margin improvement, bps</t>
        </is>
      </c>
      <c r="B96" s="1462" t="n"/>
      <c r="C96" s="1469" t="n"/>
      <c r="D96" s="1469">
        <f>(D95-C95)*10000</f>
        <v/>
      </c>
      <c r="E96" s="1469">
        <f>(E95-D95)*10000</f>
        <v/>
      </c>
      <c r="F96" s="1469">
        <f>(F95-E95)*10000</f>
        <v/>
      </c>
      <c r="G96" s="1471" t="n"/>
      <c r="H96" s="1471" t="n"/>
      <c r="I96" s="1471" t="n"/>
      <c r="J96" s="1471" t="n"/>
      <c r="K96" s="1469">
        <f>(K95-F95)*10000</f>
        <v/>
      </c>
      <c r="L96" s="1471">
        <f>(L95-G95)*10000</f>
        <v/>
      </c>
      <c r="M96" s="1471">
        <f>(M95-H95)*10000</f>
        <v/>
      </c>
      <c r="N96" s="1471">
        <f>(N95-I95)*10000</f>
        <v/>
      </c>
      <c r="O96" s="1471">
        <f>(O95-J95)*10000</f>
        <v/>
      </c>
      <c r="P96" s="1469">
        <f>(P95-K95)*10000</f>
        <v/>
      </c>
      <c r="Q96" s="1471">
        <f>(Q95-L95)*10000</f>
        <v/>
      </c>
      <c r="R96" s="1471">
        <f>(R95-M95)*10000</f>
        <v/>
      </c>
      <c r="S96" s="1471">
        <f>(S95-N95)*10000</f>
        <v/>
      </c>
      <c r="T96" s="1471">
        <f>(T95-O95)*10000</f>
        <v/>
      </c>
      <c r="U96" s="1469">
        <f>(U95-P95)*10000</f>
        <v/>
      </c>
      <c r="V96" s="1471">
        <f>(V95-Q95)*10000</f>
        <v/>
      </c>
      <c r="W96" s="1471">
        <f>(W95-R95)*10000</f>
        <v/>
      </c>
      <c r="X96" s="1471">
        <f>(X95-S95)*10000</f>
        <v/>
      </c>
      <c r="Y96" s="1471">
        <f>(Y95-T95)*10000</f>
        <v/>
      </c>
      <c r="Z96" s="1469">
        <f>(Z95-U95)*10000</f>
        <v/>
      </c>
      <c r="AA96" s="1471">
        <f>(AA95-V95)*10000</f>
        <v/>
      </c>
      <c r="AB96" s="1471">
        <f>(AB95-W95)*10000</f>
        <v/>
      </c>
      <c r="AC96" s="1471">
        <f>(AC95-X95)*10000</f>
        <v/>
      </c>
      <c r="AD96" s="1471">
        <f>(AD95-Y95)*10000</f>
        <v/>
      </c>
      <c r="AE96" s="1469">
        <f>(AE95-Z95)*10000</f>
        <v/>
      </c>
      <c r="AF96" s="1471">
        <f>(AF95-AA95)*10000</f>
        <v/>
      </c>
      <c r="AG96" s="1471">
        <f>(AG95-AB95)*10000</f>
        <v/>
      </c>
      <c r="AH96" s="1471">
        <f>(AH95-AC95)*10000</f>
        <v/>
      </c>
      <c r="AI96" s="1471">
        <f>(AI95-AD95)*10000</f>
        <v/>
      </c>
      <c r="AJ96" s="1469">
        <f>(AJ95-AE95)*10000</f>
        <v/>
      </c>
      <c r="AK96" s="1471">
        <f>(AK95-AF95)*10000</f>
        <v/>
      </c>
      <c r="AL96" s="1471">
        <f>(AL95-AG95)*10000</f>
        <v/>
      </c>
      <c r="AM96" s="1471">
        <f>(AM95-AH95)*10000</f>
        <v/>
      </c>
      <c r="AN96" s="1471">
        <f>(AN95-AI95)*10000</f>
        <v/>
      </c>
      <c r="AO96" s="1469">
        <f>(AO95-AJ95)*10000</f>
        <v/>
      </c>
      <c r="AP96" s="1471">
        <f>(AP95-AK95)*10000</f>
        <v/>
      </c>
      <c r="AQ96" s="1471">
        <f>(AQ95-AL95)*10000</f>
        <v/>
      </c>
      <c r="AR96" s="1471">
        <f>(AR95-AM95)*10000</f>
        <v/>
      </c>
      <c r="AS96" s="1471">
        <f>(AS95-AN95)*10000</f>
        <v/>
      </c>
      <c r="AT96" s="1469">
        <f>(AT95-AO95)*10000</f>
        <v/>
      </c>
      <c r="AU96" s="1471">
        <f>(AU95-AP95)*10000</f>
        <v/>
      </c>
      <c r="AV96" s="1471">
        <f>(AV95-AQ95)*10000</f>
        <v/>
      </c>
      <c r="AW96" s="1471">
        <f>(AW95-AR95)*10000</f>
        <v/>
      </c>
      <c r="AX96" s="1471">
        <f>(AX95-AS95)*10000</f>
        <v/>
      </c>
      <c r="AY96" s="1469">
        <f>(AY95-AT95)*10000</f>
        <v/>
      </c>
      <c r="AZ96" s="1471">
        <f>(AZ95-AU95)*10000</f>
        <v/>
      </c>
      <c r="BA96" s="1471">
        <f>(BA95-AV95)*10000</f>
        <v/>
      </c>
      <c r="BB96" s="1471">
        <f>(BB95-AW95)*10000</f>
        <v/>
      </c>
      <c r="BC96" s="1471">
        <f>(BC95-AX95)*10000</f>
        <v/>
      </c>
      <c r="BD96" s="1469">
        <f>(BD95-AY95)*10000</f>
        <v/>
      </c>
      <c r="BE96" s="1471">
        <f>(BE95-AZ95)*10000</f>
        <v/>
      </c>
      <c r="BF96" s="1471">
        <f>(BF95-BA95)*10000</f>
        <v/>
      </c>
      <c r="BG96" s="1471">
        <f>(BG95-BB95)*10000</f>
        <v/>
      </c>
      <c r="BH96" s="1471">
        <f>(BH95-BC95)*10000</f>
        <v/>
      </c>
      <c r="BI96" s="1469">
        <f>(BI95-BD95)*10000</f>
        <v/>
      </c>
      <c r="BJ96" s="1471">
        <f>(BJ95-BE95)*10000</f>
        <v/>
      </c>
      <c r="BK96" s="1471">
        <f>(BK95-BF95)*10000</f>
        <v/>
      </c>
      <c r="BL96" s="1471">
        <f>(BL95-BG95)*10000</f>
        <v/>
      </c>
      <c r="BM96" s="1471">
        <f>(BM95-BH95)*10000</f>
        <v/>
      </c>
      <c r="BN96" s="1469">
        <f>(BN95-BI95)*10000</f>
        <v/>
      </c>
      <c r="BO96" s="1471">
        <f>(BO95-BJ95)*10000</f>
        <v/>
      </c>
      <c r="BP96" s="1471">
        <f>(BP95-BK95)*10000</f>
        <v/>
      </c>
      <c r="BQ96" s="1487">
        <f>(BQ95-BL95)*10000</f>
        <v/>
      </c>
      <c r="BR96" s="1471">
        <f>(BR95-BM95)*10000</f>
        <v/>
      </c>
      <c r="BS96" s="1469">
        <f>(BS95-BN95)*10000</f>
        <v/>
      </c>
      <c r="BT96" s="1471">
        <f>(BT95-BO95)*10000</f>
        <v/>
      </c>
      <c r="BU96" s="1471">
        <f>(BU95-BP95)*10000</f>
        <v/>
      </c>
      <c r="BV96" s="1471">
        <f>(BV95-BQ95)*10000</f>
        <v/>
      </c>
      <c r="BW96" s="1471">
        <f>(BW95-BR95)*10000</f>
        <v/>
      </c>
      <c r="BX96" s="1469">
        <f>(BX95-BS95)*10000</f>
        <v/>
      </c>
      <c r="BY96" s="1469">
        <f>(BY95-BX95)*10000</f>
        <v/>
      </c>
      <c r="BZ96" s="1469">
        <f>(BZ95-BY95)*10000</f>
        <v/>
      </c>
      <c r="CA96" s="1469">
        <f>(CA95-BZ95)*10000</f>
        <v/>
      </c>
      <c r="CB96" s="1465" t="n"/>
    </row>
    <row r="97" collapsed="1" ht="14.4" customFormat="1" customHeight="1" s="1372">
      <c r="A97" s="1500" t="n"/>
      <c r="B97" s="1448" t="n"/>
      <c r="C97" s="1449" t="n"/>
      <c r="D97" s="1449" t="n"/>
      <c r="E97" s="1449" t="n"/>
      <c r="F97" s="1449" t="n"/>
      <c r="G97" s="1450" t="n"/>
      <c r="H97" s="1450" t="n"/>
      <c r="I97" s="1450" t="n"/>
      <c r="J97" s="1450" t="n"/>
      <c r="K97" s="1449" t="n"/>
      <c r="L97" s="1450" t="n"/>
      <c r="M97" s="1450" t="n"/>
      <c r="N97" s="1450" t="n"/>
      <c r="O97" s="1450" t="n"/>
      <c r="P97" s="1449" t="n"/>
      <c r="Q97" s="1450" t="n"/>
      <c r="R97" s="1450" t="n"/>
      <c r="S97" s="1450" t="n"/>
      <c r="T97" s="1450" t="n"/>
      <c r="U97" s="1449" t="n"/>
      <c r="V97" s="1450" t="n"/>
      <c r="W97" s="1450" t="n"/>
      <c r="X97" s="1450" t="n"/>
      <c r="Y97" s="1450" t="n"/>
      <c r="Z97" s="1449" t="n"/>
      <c r="AA97" s="1450" t="n"/>
      <c r="AB97" s="1450" t="n"/>
      <c r="AC97" s="1450" t="n"/>
      <c r="AD97" s="1450" t="n"/>
      <c r="AE97" s="1449" t="n"/>
      <c r="AF97" s="1450" t="n"/>
      <c r="AG97" s="1450" t="n"/>
      <c r="AH97" s="1450" t="n"/>
      <c r="AI97" s="1450" t="n"/>
      <c r="AJ97" s="1449" t="n"/>
      <c r="AK97" s="1450" t="n"/>
      <c r="AL97" s="1450" t="n"/>
      <c r="AM97" s="1450" t="n"/>
      <c r="AN97" s="1450" t="n"/>
      <c r="AO97" s="1449" t="n"/>
      <c r="AP97" s="1450" t="n"/>
      <c r="AQ97" s="1450" t="n"/>
      <c r="AR97" s="1450" t="n"/>
      <c r="AS97" s="1450" t="n"/>
      <c r="AT97" s="1449" t="n"/>
      <c r="AU97" s="1450" t="n"/>
      <c r="AV97" s="1450" t="n"/>
      <c r="AW97" s="1450" t="n"/>
      <c r="AX97" s="1450" t="n"/>
      <c r="AY97" s="1449" t="n"/>
      <c r="AZ97" s="1450" t="n"/>
      <c r="BA97" s="1450" t="n"/>
      <c r="BB97" s="1450" t="n"/>
      <c r="BC97" s="1450" t="n"/>
      <c r="BD97" s="1449" t="n"/>
      <c r="BE97" s="1450" t="n"/>
      <c r="BF97" s="1450" t="n"/>
      <c r="BG97" s="1450" t="n"/>
      <c r="BH97" s="1450" t="n"/>
      <c r="BI97" s="1449" t="n"/>
      <c r="BJ97" s="1450" t="n"/>
      <c r="BK97" s="1450" t="n"/>
      <c r="BL97" s="1450" t="n"/>
      <c r="BM97" s="1450" t="n"/>
      <c r="BN97" s="1449" t="n"/>
      <c r="BO97" s="1450" t="n"/>
      <c r="BP97" s="1450" t="n"/>
      <c r="BQ97" s="1451" t="n"/>
      <c r="BR97" s="1450" t="n"/>
      <c r="BS97" s="1449" t="n"/>
      <c r="BT97" s="1450" t="n"/>
      <c r="BU97" s="1450" t="n"/>
      <c r="BV97" s="1450" t="n"/>
      <c r="BW97" s="1450" t="n"/>
      <c r="BX97" s="1449" t="n"/>
      <c r="BY97" s="1449" t="n"/>
      <c r="BZ97" s="1449" t="n"/>
      <c r="CA97" s="1449" t="n"/>
      <c r="CB97" s="1375" t="n"/>
    </row>
    <row r="98" ht="14.4" customFormat="1" customHeight="1" s="1359">
      <c r="A98" s="1478" t="inlineStr">
        <is>
          <t>Other Non-GAAP Operating Items, mm</t>
        </is>
      </c>
      <c r="B98" s="1454" t="n"/>
      <c r="C98" s="1455" t="n"/>
      <c r="D98" s="1455">
        <f>D477</f>
        <v/>
      </c>
      <c r="E98" s="1455">
        <f>E477</f>
        <v/>
      </c>
      <c r="F98" s="1455">
        <f>F477</f>
        <v/>
      </c>
      <c r="G98" s="1456">
        <f>G477</f>
        <v/>
      </c>
      <c r="H98" s="1456">
        <f>H477</f>
        <v/>
      </c>
      <c r="I98" s="1456">
        <f>I477</f>
        <v/>
      </c>
      <c r="J98" s="1456">
        <f>J477</f>
        <v/>
      </c>
      <c r="K98" s="1455">
        <f>K477</f>
        <v/>
      </c>
      <c r="L98" s="1456">
        <f>L477</f>
        <v/>
      </c>
      <c r="M98" s="1456">
        <f>M477</f>
        <v/>
      </c>
      <c r="N98" s="1456">
        <f>N477</f>
        <v/>
      </c>
      <c r="O98" s="1456">
        <f>O477</f>
        <v/>
      </c>
      <c r="P98" s="1455">
        <f>P477</f>
        <v/>
      </c>
      <c r="Q98" s="1456">
        <f>Q477</f>
        <v/>
      </c>
      <c r="R98" s="1456">
        <f>R477</f>
        <v/>
      </c>
      <c r="S98" s="1456">
        <f>S477</f>
        <v/>
      </c>
      <c r="T98" s="1456">
        <f>T477</f>
        <v/>
      </c>
      <c r="U98" s="1455">
        <f>U477</f>
        <v/>
      </c>
      <c r="V98" s="1456">
        <f>V477</f>
        <v/>
      </c>
      <c r="W98" s="1456">
        <f>W477</f>
        <v/>
      </c>
      <c r="X98" s="1456">
        <f>X477</f>
        <v/>
      </c>
      <c r="Y98" s="1456">
        <f>Y477</f>
        <v/>
      </c>
      <c r="Z98" s="1455">
        <f>Z477</f>
        <v/>
      </c>
      <c r="AA98" s="1456">
        <f>AA477</f>
        <v/>
      </c>
      <c r="AB98" s="1456">
        <f>AB477</f>
        <v/>
      </c>
      <c r="AC98" s="1456">
        <f>AC477</f>
        <v/>
      </c>
      <c r="AD98" s="1456">
        <f>AD477</f>
        <v/>
      </c>
      <c r="AE98" s="1455">
        <f>AE477</f>
        <v/>
      </c>
      <c r="AF98" s="1456">
        <f>AF477</f>
        <v/>
      </c>
      <c r="AG98" s="1456">
        <f>AG477</f>
        <v/>
      </c>
      <c r="AH98" s="1456">
        <f>AH477</f>
        <v/>
      </c>
      <c r="AI98" s="1456">
        <f>AI477</f>
        <v/>
      </c>
      <c r="AJ98" s="1455">
        <f>AJ477</f>
        <v/>
      </c>
      <c r="AK98" s="1456">
        <f>AK477</f>
        <v/>
      </c>
      <c r="AL98" s="1456">
        <f>AL477</f>
        <v/>
      </c>
      <c r="AM98" s="1456">
        <f>AM477</f>
        <v/>
      </c>
      <c r="AN98" s="1456">
        <f>AN477</f>
        <v/>
      </c>
      <c r="AO98" s="1455">
        <f>AO477</f>
        <v/>
      </c>
      <c r="AP98" s="1456">
        <f>AP477</f>
        <v/>
      </c>
      <c r="AQ98" s="1456">
        <f>AQ477</f>
        <v/>
      </c>
      <c r="AR98" s="1456">
        <f>AR477</f>
        <v/>
      </c>
      <c r="AS98" s="1456">
        <f>AS477</f>
        <v/>
      </c>
      <c r="AT98" s="1455">
        <f>AT477</f>
        <v/>
      </c>
      <c r="AU98" s="1456">
        <f>AU477</f>
        <v/>
      </c>
      <c r="AV98" s="1456">
        <f>AV477</f>
        <v/>
      </c>
      <c r="AW98" s="1456">
        <f>AW477</f>
        <v/>
      </c>
      <c r="AX98" s="1456">
        <f>AX477</f>
        <v/>
      </c>
      <c r="AY98" s="1455">
        <f>AY477</f>
        <v/>
      </c>
      <c r="AZ98" s="1456">
        <f>AZ477</f>
        <v/>
      </c>
      <c r="BA98" s="1456">
        <f>BA477</f>
        <v/>
      </c>
      <c r="BB98" s="1456">
        <f>BB477</f>
        <v/>
      </c>
      <c r="BC98" s="1456">
        <f>BC477</f>
        <v/>
      </c>
      <c r="BD98" s="1455">
        <f>BD477</f>
        <v/>
      </c>
      <c r="BE98" s="1456">
        <f>BE477</f>
        <v/>
      </c>
      <c r="BF98" s="1456">
        <f>BF477</f>
        <v/>
      </c>
      <c r="BG98" s="1456">
        <f>BG477</f>
        <v/>
      </c>
      <c r="BH98" s="1456">
        <f>BH477</f>
        <v/>
      </c>
      <c r="BI98" s="1455">
        <f>BI477</f>
        <v/>
      </c>
      <c r="BJ98" s="1456">
        <f>BJ477</f>
        <v/>
      </c>
      <c r="BK98" s="1456">
        <f>BK477</f>
        <v/>
      </c>
      <c r="BL98" s="1456">
        <f>BL477</f>
        <v/>
      </c>
      <c r="BM98" s="1456">
        <f>BM477</f>
        <v/>
      </c>
      <c r="BN98" s="1455">
        <f>BN477</f>
        <v/>
      </c>
      <c r="BO98" s="1456">
        <f>BO477</f>
        <v/>
      </c>
      <c r="BP98" s="1456">
        <f>BP477</f>
        <v/>
      </c>
      <c r="BQ98" s="1457">
        <f>BQ477</f>
        <v/>
      </c>
      <c r="BR98" s="1479" t="n">
        <v>0</v>
      </c>
      <c r="BS98" s="1455">
        <f>SUM(BO98,BP98,BQ98,BR98)</f>
        <v/>
      </c>
      <c r="BT98" s="1479" t="n">
        <v>0</v>
      </c>
      <c r="BU98" s="1479" t="n">
        <v>0</v>
      </c>
      <c r="BV98" s="1479" t="n">
        <v>0</v>
      </c>
      <c r="BW98" s="1479" t="n">
        <v>0</v>
      </c>
      <c r="BX98" s="1455">
        <f>SUM(BT98,BU98,BV98,BW98)</f>
        <v/>
      </c>
      <c r="BY98" s="1480" t="n">
        <v>0</v>
      </c>
      <c r="BZ98" s="1480" t="n">
        <v>0</v>
      </c>
      <c r="CA98" s="1480" t="n">
        <v>0</v>
      </c>
      <c r="CB98" s="1364" t="n"/>
    </row>
    <row r="99" ht="14.4" customFormat="1" customHeight="1" s="1372">
      <c r="A99" s="1447" t="inlineStr">
        <is>
          <t>Non-GAAP Operating Income, mm</t>
        </is>
      </c>
      <c r="B99" s="1448" t="n"/>
      <c r="C99" s="1449" t="n"/>
      <c r="D99" s="1449">
        <f>D45-D59-D72-D85-D98</f>
        <v/>
      </c>
      <c r="E99" s="1449">
        <f>E45-E59-E72-E85-E98</f>
        <v/>
      </c>
      <c r="F99" s="1449">
        <f>F45-F59-F72-F85-F98</f>
        <v/>
      </c>
      <c r="G99" s="1450">
        <f>G45-G59-G72-G85-G98</f>
        <v/>
      </c>
      <c r="H99" s="1450">
        <f>H45-H59-H72-H85-H98</f>
        <v/>
      </c>
      <c r="I99" s="1450">
        <f>I45-I59-I72-I85-I98</f>
        <v/>
      </c>
      <c r="J99" s="1450">
        <f>J45-J59-J72-J85-J98</f>
        <v/>
      </c>
      <c r="K99" s="1449">
        <f>K45-K59-K72-K85-K98</f>
        <v/>
      </c>
      <c r="L99" s="1450">
        <f>L45-L59-L72-L85-L98</f>
        <v/>
      </c>
      <c r="M99" s="1450">
        <f>M45-M59-M72-M85-M98</f>
        <v/>
      </c>
      <c r="N99" s="1450">
        <f>N45-N59-N72-N85-N98</f>
        <v/>
      </c>
      <c r="O99" s="1450">
        <f>O45-O59-O72-O85-O98</f>
        <v/>
      </c>
      <c r="P99" s="1449">
        <f>P45-P59-P72-P85-P98</f>
        <v/>
      </c>
      <c r="Q99" s="1450">
        <f>Q45-Q59-Q72-Q85-Q98</f>
        <v/>
      </c>
      <c r="R99" s="1450">
        <f>R45-R59-R72-R85-R98</f>
        <v/>
      </c>
      <c r="S99" s="1450">
        <f>S45-S59-S72-S85-S98</f>
        <v/>
      </c>
      <c r="T99" s="1450">
        <f>T45-T59-T72-T85-T98</f>
        <v/>
      </c>
      <c r="U99" s="1449">
        <f>U45-U59-U72-U85-U98</f>
        <v/>
      </c>
      <c r="V99" s="1450">
        <f>V45-V59-V72-V85-V98</f>
        <v/>
      </c>
      <c r="W99" s="1450">
        <f>W45-W59-W72-W85-W98</f>
        <v/>
      </c>
      <c r="X99" s="1450">
        <f>X45-X59-X72-X85-X98</f>
        <v/>
      </c>
      <c r="Y99" s="1450">
        <f>Y45-Y59-Y72-Y85-Y98</f>
        <v/>
      </c>
      <c r="Z99" s="1449">
        <f>Z45-Z59-Z72-Z85-Z98</f>
        <v/>
      </c>
      <c r="AA99" s="1450">
        <f>AA45-AA59-AA72-AA85-AA98</f>
        <v/>
      </c>
      <c r="AB99" s="1450">
        <f>AB45-AB59-AB72-AB85-AB98</f>
        <v/>
      </c>
      <c r="AC99" s="1450">
        <f>AC45-AC59-AC72-AC85-AC98</f>
        <v/>
      </c>
      <c r="AD99" s="1450">
        <f>AD45-AD59-AD72-AD85-AD98</f>
        <v/>
      </c>
      <c r="AE99" s="1449">
        <f>AE45-AE59-AE72-AE85-AE98</f>
        <v/>
      </c>
      <c r="AF99" s="1450">
        <f>AF45-AF59-AF72-AF85-AF98</f>
        <v/>
      </c>
      <c r="AG99" s="1450">
        <f>AG45-AG59-AG72-AG85-AG98</f>
        <v/>
      </c>
      <c r="AH99" s="1450">
        <f>AH45-AH59-AH72-AH85-AH98</f>
        <v/>
      </c>
      <c r="AI99" s="1450">
        <f>AI45-AI59-AI72-AI85-AI98</f>
        <v/>
      </c>
      <c r="AJ99" s="1449">
        <f>AJ45-AJ59-AJ72-AJ85-AJ98</f>
        <v/>
      </c>
      <c r="AK99" s="1450">
        <f>AK45-AK59-AK72-AK85-AK98</f>
        <v/>
      </c>
      <c r="AL99" s="1450">
        <f>AL45-AL59-AL72-AL85-AL98</f>
        <v/>
      </c>
      <c r="AM99" s="1450">
        <f>AM45-AM59-AM72-AM85-AM98</f>
        <v/>
      </c>
      <c r="AN99" s="1450">
        <f>AN45-AN59-AN72-AN85-AN98</f>
        <v/>
      </c>
      <c r="AO99" s="1449">
        <f>AO45-AO59-AO72-AO85-AO98</f>
        <v/>
      </c>
      <c r="AP99" s="1450">
        <f>AP45-AP59-AP72-AP85-AP98</f>
        <v/>
      </c>
      <c r="AQ99" s="1450">
        <f>AQ45-AQ59-AQ72-AQ85-AQ98</f>
        <v/>
      </c>
      <c r="AR99" s="1450">
        <f>AR45-AR59-AR72-AR85-AR98</f>
        <v/>
      </c>
      <c r="AS99" s="1450">
        <f>AS45-AS59-AS72-AS85-AS98</f>
        <v/>
      </c>
      <c r="AT99" s="1449">
        <f>AT45-AT59-AT72-AT85-AT98</f>
        <v/>
      </c>
      <c r="AU99" s="1450">
        <f>AU45-AU59-AU72-AU85-AU98</f>
        <v/>
      </c>
      <c r="AV99" s="1450">
        <f>AV45-AV59-AV72-AV85-AV98</f>
        <v/>
      </c>
      <c r="AW99" s="1450">
        <f>AW45-AW59-AW72-AW85-AW98</f>
        <v/>
      </c>
      <c r="AX99" s="1450">
        <f>AX45-AX59-AX72-AX85-AX98</f>
        <v/>
      </c>
      <c r="AY99" s="1449">
        <f>AY45-AY59-AY72-AY85-AY98</f>
        <v/>
      </c>
      <c r="AZ99" s="1450">
        <f>AZ45-AZ59-AZ72-AZ85-AZ98</f>
        <v/>
      </c>
      <c r="BA99" s="1450">
        <f>BA45-BA59-BA72-BA85-BA98</f>
        <v/>
      </c>
      <c r="BB99" s="1450">
        <f>BB45-BB59-BB72-BB85-BB98</f>
        <v/>
      </c>
      <c r="BC99" s="1450">
        <f>BC45-BC59-BC72-BC85-BC98</f>
        <v/>
      </c>
      <c r="BD99" s="1449">
        <f>BD45-BD59-BD72-BD85-BD98</f>
        <v/>
      </c>
      <c r="BE99" s="1450">
        <f>BE45-BE59-BE72-BE85-BE98</f>
        <v/>
      </c>
      <c r="BF99" s="1450">
        <f>BF45-BF59-BF72-BF85-BF98</f>
        <v/>
      </c>
      <c r="BG99" s="1450">
        <f>BG45-BG59-BG72-BG85-BG98</f>
        <v/>
      </c>
      <c r="BH99" s="1450">
        <f>BH45-BH59-BH72-BH85-BH98</f>
        <v/>
      </c>
      <c r="BI99" s="1449">
        <f>BI45-BI59-BI72-BI85-BI98</f>
        <v/>
      </c>
      <c r="BJ99" s="1450">
        <f>BJ45-BJ59-BJ72-BJ85-BJ98</f>
        <v/>
      </c>
      <c r="BK99" s="1450">
        <f>BK45-BK59-BK72-BK85-BK98</f>
        <v/>
      </c>
      <c r="BL99" s="1450">
        <f>BL45-BL59-BL72-BL85-BL98</f>
        <v/>
      </c>
      <c r="BM99" s="1450">
        <f>BM45-BM59-BM72-BM85-BM98</f>
        <v/>
      </c>
      <c r="BN99" s="1449">
        <f>BN45-BN59-BN72-BN85-BN98</f>
        <v/>
      </c>
      <c r="BO99" s="1450">
        <f>BO45-BO59-BO72-BO85-BO98</f>
        <v/>
      </c>
      <c r="BP99" s="1450">
        <f>BP45-BP59-BP72-BP85-BP98</f>
        <v/>
      </c>
      <c r="BQ99" s="1451">
        <f>BQ45-BQ59-BQ72-BQ85-BQ98</f>
        <v/>
      </c>
      <c r="BR99" s="1450">
        <f>BR45-BR59-BR72-BR85-BR98</f>
        <v/>
      </c>
      <c r="BS99" s="1449">
        <f>BS45-BS59-BS72-BS85-BS98</f>
        <v/>
      </c>
      <c r="BT99" s="1450">
        <f>BT45-BT59-BT72-BT85-BT98</f>
        <v/>
      </c>
      <c r="BU99" s="1450">
        <f>BU45-BU59-BU72-BU85-BU98</f>
        <v/>
      </c>
      <c r="BV99" s="1450">
        <f>BV45-BV59-BV72-BV85-BV98</f>
        <v/>
      </c>
      <c r="BW99" s="1450">
        <f>BW45-BW59-BW72-BW85-BW98</f>
        <v/>
      </c>
      <c r="BX99" s="1449">
        <f>BX45-BX59-BX72-BX85-BX98</f>
        <v/>
      </c>
      <c r="BY99" s="1449">
        <f>BY45-BY59-BY72-BY85-BY98</f>
        <v/>
      </c>
      <c r="BZ99" s="1449">
        <f>BZ45-BZ59-BZ72-BZ85-BZ98</f>
        <v/>
      </c>
      <c r="CA99" s="1449">
        <f>CA45-CA59-CA72-CA85-CA98</f>
        <v/>
      </c>
      <c r="CB99" s="1375" t="n"/>
    </row>
    <row r="100" ht="14.4" customFormat="1" customHeight="1" s="1407">
      <c r="A100" s="1415">
        <f>A479</f>
        <v/>
      </c>
      <c r="B100" s="1381" t="n"/>
      <c r="C100" s="1409" t="n"/>
      <c r="D100" s="1409" t="n"/>
      <c r="E100" s="1409" t="n"/>
      <c r="F100" s="1409" t="n"/>
      <c r="G100" s="1410" t="n"/>
      <c r="H100" s="1410" t="n"/>
      <c r="I100" s="1410" t="n"/>
      <c r="J100" s="1410" t="n"/>
      <c r="K100" s="1409" t="n"/>
      <c r="L100" s="1410" t="n"/>
      <c r="M100" s="1410" t="n"/>
      <c r="N100" s="1410" t="n"/>
      <c r="O100" s="1410" t="n"/>
      <c r="P100" s="1409" t="n"/>
      <c r="Q100" s="1410" t="n"/>
      <c r="R100" s="1410" t="n"/>
      <c r="S100" s="1410" t="n"/>
      <c r="T100" s="1410" t="n"/>
      <c r="U100" s="1409" t="n"/>
      <c r="V100" s="1410" t="n"/>
      <c r="W100" s="1410" t="n"/>
      <c r="X100" s="1410" t="n"/>
      <c r="Y100" s="1410" t="n"/>
      <c r="Z100" s="1409" t="n"/>
      <c r="AA100" s="1410" t="n"/>
      <c r="AB100" s="1410" t="n"/>
      <c r="AC100" s="1410" t="n"/>
      <c r="AD100" s="1410" t="n"/>
      <c r="AE100" s="1409" t="n"/>
      <c r="AF100" s="1410" t="n"/>
      <c r="AG100" s="1410" t="n"/>
      <c r="AH100" s="1410" t="n"/>
      <c r="AI100" s="1410" t="n"/>
      <c r="AJ100" s="1409" t="n"/>
      <c r="AK100" s="1410" t="n"/>
      <c r="AL100" s="1410" t="n"/>
      <c r="AM100" s="1410" t="n"/>
      <c r="AN100" s="1410" t="n"/>
      <c r="AO100" s="1409" t="n"/>
      <c r="AP100" s="1410" t="n"/>
      <c r="AQ100" s="1410" t="n"/>
      <c r="AR100" s="1410" t="n"/>
      <c r="AS100" s="1410" t="n"/>
      <c r="AT100" s="1409" t="n"/>
      <c r="AU100" s="1410" t="n"/>
      <c r="AV100" s="1410" t="n"/>
      <c r="AW100" s="1410" t="n"/>
      <c r="AX100" s="1410" t="n"/>
      <c r="AY100" s="1409" t="n"/>
      <c r="AZ100" s="1410" t="n"/>
      <c r="BA100" s="1410" t="n"/>
      <c r="BB100" s="1410" t="n"/>
      <c r="BC100" s="1410" t="n"/>
      <c r="BD100" s="1409" t="n"/>
      <c r="BE100" s="1410" t="n"/>
      <c r="BF100" s="1410" t="n"/>
      <c r="BG100" s="1410" t="n"/>
      <c r="BH100" s="1410" t="n"/>
      <c r="BI100" s="1409" t="n"/>
      <c r="BJ100" s="1410" t="n"/>
      <c r="BK100" s="1410" t="n"/>
      <c r="BL100" s="1410" t="n"/>
      <c r="BM100" s="1410" t="n"/>
      <c r="BN100" s="1409" t="n"/>
      <c r="BO100" s="1410" t="n"/>
      <c r="BP100" s="1410" t="n"/>
      <c r="BQ100" s="1411" t="n"/>
      <c r="BR100" s="1412">
        <f>BR479</f>
        <v/>
      </c>
      <c r="BS100" s="1413">
        <f>BS479</f>
        <v/>
      </c>
      <c r="BT100" s="1412">
        <f>BT479</f>
        <v/>
      </c>
      <c r="BU100" s="1412">
        <f>BU479</f>
        <v/>
      </c>
      <c r="BV100" s="1412">
        <f>BV479</f>
        <v/>
      </c>
      <c r="BW100" s="1412">
        <f>BW479</f>
        <v/>
      </c>
      <c r="BX100" s="1413">
        <f>BX479</f>
        <v/>
      </c>
      <c r="BY100" s="1413">
        <f>BY479</f>
        <v/>
      </c>
      <c r="BZ100" s="1413">
        <f>BZ479</f>
        <v/>
      </c>
      <c r="CA100" s="1413">
        <f>CA479</f>
        <v/>
      </c>
      <c r="CB100" s="1414" t="n"/>
    </row>
    <row r="101" ht="14.4" customFormat="1" customHeight="1" s="1372">
      <c r="A101" s="1415" t="inlineStr">
        <is>
          <t>Y/Y Non-GAAP Operating Income growth, %</t>
        </is>
      </c>
      <c r="B101" s="1381" t="n"/>
      <c r="C101" s="1382" t="n"/>
      <c r="D101" s="1382" t="n"/>
      <c r="E101" s="1382">
        <f>E99/D99-1</f>
        <v/>
      </c>
      <c r="F101" s="1382">
        <f>F99/E99-1</f>
        <v/>
      </c>
      <c r="G101" s="1384" t="n"/>
      <c r="H101" s="1384" t="n"/>
      <c r="I101" s="1384" t="n"/>
      <c r="J101" s="1384" t="n"/>
      <c r="K101" s="1382">
        <f>K99/F99-1</f>
        <v/>
      </c>
      <c r="L101" s="1384">
        <f>L99/G99-1</f>
        <v/>
      </c>
      <c r="M101" s="1384">
        <f>M99/H99-1</f>
        <v/>
      </c>
      <c r="N101" s="1384">
        <f>N99/I99-1</f>
        <v/>
      </c>
      <c r="O101" s="1384">
        <f>O99/J99-1</f>
        <v/>
      </c>
      <c r="P101" s="1382">
        <f>P99/K99-1</f>
        <v/>
      </c>
      <c r="Q101" s="1384">
        <f>Q99/L99-1</f>
        <v/>
      </c>
      <c r="R101" s="1384">
        <f>R99/M99-1</f>
        <v/>
      </c>
      <c r="S101" s="1384">
        <f>S99/N99-1</f>
        <v/>
      </c>
      <c r="T101" s="1384">
        <f>T99/O99-1</f>
        <v/>
      </c>
      <c r="U101" s="1382">
        <f>U99/P99-1</f>
        <v/>
      </c>
      <c r="V101" s="1384">
        <f>V99/Q99-1</f>
        <v/>
      </c>
      <c r="W101" s="1384">
        <f>W99/R99-1</f>
        <v/>
      </c>
      <c r="X101" s="1384">
        <f>X99/S99-1</f>
        <v/>
      </c>
      <c r="Y101" s="1384">
        <f>Y99/T99-1</f>
        <v/>
      </c>
      <c r="Z101" s="1382">
        <f>Z99/U99-1</f>
        <v/>
      </c>
      <c r="AA101" s="1384">
        <f>AA99/V99-1</f>
        <v/>
      </c>
      <c r="AB101" s="1384">
        <f>AB99/W99-1</f>
        <v/>
      </c>
      <c r="AC101" s="1384">
        <f>AC99/X99-1</f>
        <v/>
      </c>
      <c r="AD101" s="1384">
        <f>AD99/Y99-1</f>
        <v/>
      </c>
      <c r="AE101" s="1382">
        <f>AE99/Z99-1</f>
        <v/>
      </c>
      <c r="AF101" s="1384">
        <f>AF99/AA99-1</f>
        <v/>
      </c>
      <c r="AG101" s="1384">
        <f>AG99/AB99-1</f>
        <v/>
      </c>
      <c r="AH101" s="1384">
        <f>AH99/AC99-1</f>
        <v/>
      </c>
      <c r="AI101" s="1384">
        <f>AI99/AD99-1</f>
        <v/>
      </c>
      <c r="AJ101" s="1382">
        <f>AJ99/AE99-1</f>
        <v/>
      </c>
      <c r="AK101" s="1384">
        <f>AK99/AF99-1</f>
        <v/>
      </c>
      <c r="AL101" s="1384">
        <f>AL99/AG99-1</f>
        <v/>
      </c>
      <c r="AM101" s="1384">
        <f>AM99/AH99-1</f>
        <v/>
      </c>
      <c r="AN101" s="1384">
        <f>AN99/AI99-1</f>
        <v/>
      </c>
      <c r="AO101" s="1382">
        <f>AO99/AJ99-1</f>
        <v/>
      </c>
      <c r="AP101" s="1384">
        <f>AP99/AK99-1</f>
        <v/>
      </c>
      <c r="AQ101" s="1384">
        <f>AQ99/AL99-1</f>
        <v/>
      </c>
      <c r="AR101" s="1384">
        <f>AR99/AM99-1</f>
        <v/>
      </c>
      <c r="AS101" s="1384">
        <f>AS99/AN99-1</f>
        <v/>
      </c>
      <c r="AT101" s="1382">
        <f>AT99/AO99-1</f>
        <v/>
      </c>
      <c r="AU101" s="1384">
        <f>AU99/AP99-1</f>
        <v/>
      </c>
      <c r="AV101" s="1384">
        <f>AV99/AQ99-1</f>
        <v/>
      </c>
      <c r="AW101" s="1384">
        <f>AW99/AR99-1</f>
        <v/>
      </c>
      <c r="AX101" s="1384">
        <f>AX99/AS99-1</f>
        <v/>
      </c>
      <c r="AY101" s="1382">
        <f>AY99/AT99-1</f>
        <v/>
      </c>
      <c r="AZ101" s="1384">
        <f>AZ99/AU99-1</f>
        <v/>
      </c>
      <c r="BA101" s="1384">
        <f>BA99/AV99-1</f>
        <v/>
      </c>
      <c r="BB101" s="1384">
        <f>BB99/AW99-1</f>
        <v/>
      </c>
      <c r="BC101" s="1384">
        <f>BC99/AX99-1</f>
        <v/>
      </c>
      <c r="BD101" s="1382">
        <f>BD99/AY99-1</f>
        <v/>
      </c>
      <c r="BE101" s="1384">
        <f>BE99/AZ99-1</f>
        <v/>
      </c>
      <c r="BF101" s="1384">
        <f>BF99/BA99-1</f>
        <v/>
      </c>
      <c r="BG101" s="1384">
        <f>BG99/BB99-1</f>
        <v/>
      </c>
      <c r="BH101" s="1384">
        <f>BH99/BC99-1</f>
        <v/>
      </c>
      <c r="BI101" s="1382">
        <f>BI99/BD99-1</f>
        <v/>
      </c>
      <c r="BJ101" s="1384">
        <f>BJ99/BE99-1</f>
        <v/>
      </c>
      <c r="BK101" s="1384">
        <f>BK99/BF99-1</f>
        <v/>
      </c>
      <c r="BL101" s="1384">
        <f>BL99/BG99-1</f>
        <v/>
      </c>
      <c r="BM101" s="1384">
        <f>BM99/BH99-1</f>
        <v/>
      </c>
      <c r="BN101" s="1382">
        <f>BN99/BI99-1</f>
        <v/>
      </c>
      <c r="BO101" s="1384">
        <f>BO99/BJ99-1</f>
        <v/>
      </c>
      <c r="BP101" s="1384">
        <f>BP99/BK99-1</f>
        <v/>
      </c>
      <c r="BQ101" s="1386">
        <f>BQ99/BL99-1</f>
        <v/>
      </c>
      <c r="BR101" s="1384">
        <f>BR99/BM99-1</f>
        <v/>
      </c>
      <c r="BS101" s="1382">
        <f>BS99/BN99-1</f>
        <v/>
      </c>
      <c r="BT101" s="1384">
        <f>BT99/BO99-1</f>
        <v/>
      </c>
      <c r="BU101" s="1384">
        <f>BU99/BP99-1</f>
        <v/>
      </c>
      <c r="BV101" s="1384">
        <f>BV99/BQ99-1</f>
        <v/>
      </c>
      <c r="BW101" s="1384">
        <f>BW99/BR99-1</f>
        <v/>
      </c>
      <c r="BX101" s="1382">
        <f>BX99/BS99-1</f>
        <v/>
      </c>
      <c r="BY101" s="1382">
        <f>BY99/BX99-1</f>
        <v/>
      </c>
      <c r="BZ101" s="1382">
        <f>BZ99/BY99-1</f>
        <v/>
      </c>
      <c r="CA101" s="1382">
        <f>CA99/BZ99-1</f>
        <v/>
      </c>
      <c r="CB101" s="1375" t="n"/>
    </row>
    <row r="102" ht="14.4" customFormat="1" customHeight="1" s="1460">
      <c r="A102" s="1492" t="inlineStr">
        <is>
          <t>Non-GAAP Operating Income margin, %</t>
        </is>
      </c>
      <c r="B102" s="1462" t="n"/>
      <c r="C102" s="1463" t="n"/>
      <c r="D102" s="1463">
        <f>D99/D34</f>
        <v/>
      </c>
      <c r="E102" s="1463">
        <f>E99/E34</f>
        <v/>
      </c>
      <c r="F102" s="1463">
        <f>F99/F34</f>
        <v/>
      </c>
      <c r="G102" s="1466">
        <f>G99/G34</f>
        <v/>
      </c>
      <c r="H102" s="1466">
        <f>H99/H34</f>
        <v/>
      </c>
      <c r="I102" s="1466">
        <f>I99/I34</f>
        <v/>
      </c>
      <c r="J102" s="1466">
        <f>J99/J34</f>
        <v/>
      </c>
      <c r="K102" s="1463">
        <f>K99/K34</f>
        <v/>
      </c>
      <c r="L102" s="1466">
        <f>L99/L34</f>
        <v/>
      </c>
      <c r="M102" s="1466">
        <f>M99/M34</f>
        <v/>
      </c>
      <c r="N102" s="1466">
        <f>N99/N34</f>
        <v/>
      </c>
      <c r="O102" s="1466">
        <f>O99/O34</f>
        <v/>
      </c>
      <c r="P102" s="1463">
        <f>P99/P34</f>
        <v/>
      </c>
      <c r="Q102" s="1466">
        <f>Q99/Q34</f>
        <v/>
      </c>
      <c r="R102" s="1466">
        <f>R99/R34</f>
        <v/>
      </c>
      <c r="S102" s="1466">
        <f>S99/S34</f>
        <v/>
      </c>
      <c r="T102" s="1466">
        <f>T99/T34</f>
        <v/>
      </c>
      <c r="U102" s="1463">
        <f>U99/U34</f>
        <v/>
      </c>
      <c r="V102" s="1466">
        <f>V99/V34</f>
        <v/>
      </c>
      <c r="W102" s="1466">
        <f>W99/W34</f>
        <v/>
      </c>
      <c r="X102" s="1466">
        <f>X99/X34</f>
        <v/>
      </c>
      <c r="Y102" s="1466">
        <f>Y99/Y34</f>
        <v/>
      </c>
      <c r="Z102" s="1463">
        <f>Z99/Z34</f>
        <v/>
      </c>
      <c r="AA102" s="1466">
        <f>AA99/AA34</f>
        <v/>
      </c>
      <c r="AB102" s="1466">
        <f>AB99/AB34</f>
        <v/>
      </c>
      <c r="AC102" s="1466">
        <f>AC99/AC34</f>
        <v/>
      </c>
      <c r="AD102" s="1466">
        <f>AD99/AD34</f>
        <v/>
      </c>
      <c r="AE102" s="1463">
        <f>AE99/AE34</f>
        <v/>
      </c>
      <c r="AF102" s="1466">
        <f>AF99/AF34</f>
        <v/>
      </c>
      <c r="AG102" s="1466">
        <f>AG99/AG34</f>
        <v/>
      </c>
      <c r="AH102" s="1466">
        <f>AH99/AH34</f>
        <v/>
      </c>
      <c r="AI102" s="1466">
        <f>AI99/AI34</f>
        <v/>
      </c>
      <c r="AJ102" s="1463">
        <f>AJ99/AJ34</f>
        <v/>
      </c>
      <c r="AK102" s="1466">
        <f>AK99/AK34</f>
        <v/>
      </c>
      <c r="AL102" s="1466">
        <f>AL99/AL34</f>
        <v/>
      </c>
      <c r="AM102" s="1466">
        <f>AM99/AM34</f>
        <v/>
      </c>
      <c r="AN102" s="1466">
        <f>AN99/AN34</f>
        <v/>
      </c>
      <c r="AO102" s="1463">
        <f>AO99/AO34</f>
        <v/>
      </c>
      <c r="AP102" s="1466">
        <f>AP99/AP34</f>
        <v/>
      </c>
      <c r="AQ102" s="1466">
        <f>AQ99/AQ34</f>
        <v/>
      </c>
      <c r="AR102" s="1466">
        <f>AR99/AR34</f>
        <v/>
      </c>
      <c r="AS102" s="1466">
        <f>AS99/AS34</f>
        <v/>
      </c>
      <c r="AT102" s="1463">
        <f>AT99/AT34</f>
        <v/>
      </c>
      <c r="AU102" s="1466">
        <f>AU99/AU34</f>
        <v/>
      </c>
      <c r="AV102" s="1466">
        <f>AV99/AV34</f>
        <v/>
      </c>
      <c r="AW102" s="1466">
        <f>AW99/AW34</f>
        <v/>
      </c>
      <c r="AX102" s="1466">
        <f>AX99/AX34</f>
        <v/>
      </c>
      <c r="AY102" s="1463">
        <f>AY99/AY34</f>
        <v/>
      </c>
      <c r="AZ102" s="1466">
        <f>AZ99/AZ34</f>
        <v/>
      </c>
      <c r="BA102" s="1466">
        <f>BA99/BA34</f>
        <v/>
      </c>
      <c r="BB102" s="1466">
        <f>BB99/BB34</f>
        <v/>
      </c>
      <c r="BC102" s="1466">
        <f>BC99/BC34</f>
        <v/>
      </c>
      <c r="BD102" s="1463">
        <f>BD99/BD34</f>
        <v/>
      </c>
      <c r="BE102" s="1466">
        <f>BE99/BE34</f>
        <v/>
      </c>
      <c r="BF102" s="1466">
        <f>BF99/BF34</f>
        <v/>
      </c>
      <c r="BG102" s="1466">
        <f>BG99/BG34</f>
        <v/>
      </c>
      <c r="BH102" s="1466">
        <f>BH99/BH34</f>
        <v/>
      </c>
      <c r="BI102" s="1463">
        <f>BI99/BI34</f>
        <v/>
      </c>
      <c r="BJ102" s="1466">
        <f>BJ99/BJ34</f>
        <v/>
      </c>
      <c r="BK102" s="1466">
        <f>BK99/BK34</f>
        <v/>
      </c>
      <c r="BL102" s="1466">
        <f>BL99/BL34</f>
        <v/>
      </c>
      <c r="BM102" s="1466">
        <f>BM99/BM34</f>
        <v/>
      </c>
      <c r="BN102" s="1463">
        <f>BN99/BN34</f>
        <v/>
      </c>
      <c r="BO102" s="1466">
        <f>BO99/BO34</f>
        <v/>
      </c>
      <c r="BP102" s="1466">
        <f>BP99/BP34</f>
        <v/>
      </c>
      <c r="BQ102" s="1491">
        <f>BQ99/BQ34</f>
        <v/>
      </c>
      <c r="BR102" s="1466">
        <f>BR99/BR34</f>
        <v/>
      </c>
      <c r="BS102" s="1463">
        <f>BS99/BS34</f>
        <v/>
      </c>
      <c r="BT102" s="1466">
        <f>BT99/BT34</f>
        <v/>
      </c>
      <c r="BU102" s="1466">
        <f>BU99/BU34</f>
        <v/>
      </c>
      <c r="BV102" s="1466">
        <f>BV99/BV34</f>
        <v/>
      </c>
      <c r="BW102" s="1466">
        <f>BW99/BW34</f>
        <v/>
      </c>
      <c r="BX102" s="1463">
        <f>BX99/BX34</f>
        <v/>
      </c>
      <c r="BY102" s="1463">
        <f>BY99/BY34</f>
        <v/>
      </c>
      <c r="BZ102" s="1463">
        <f>BZ99/BZ34</f>
        <v/>
      </c>
      <c r="CA102" s="1463">
        <f>CA99/CA34</f>
        <v/>
      </c>
      <c r="CB102" s="1465" t="n"/>
    </row>
    <row r="103" ht="14.4" customFormat="1" customHeight="1" s="1475">
      <c r="A103" s="1501">
        <f>A335</f>
        <v/>
      </c>
      <c r="B103" s="1477" t="n"/>
      <c r="C103" s="1382" t="n"/>
      <c r="D103" s="1382" t="n"/>
      <c r="E103" s="1382" t="n"/>
      <c r="F103" s="1382" t="n"/>
      <c r="G103" s="1384" t="n"/>
      <c r="H103" s="1384" t="n"/>
      <c r="I103" s="1384" t="n"/>
      <c r="J103" s="1384" t="n"/>
      <c r="K103" s="1382" t="n"/>
      <c r="L103" s="1384" t="n"/>
      <c r="M103" s="1384" t="n"/>
      <c r="N103" s="1384" t="n"/>
      <c r="O103" s="1384" t="n"/>
      <c r="P103" s="1382" t="n"/>
      <c r="Q103" s="1384" t="n"/>
      <c r="R103" s="1384" t="n"/>
      <c r="S103" s="1384" t="n"/>
      <c r="T103" s="1384" t="n"/>
      <c r="U103" s="1382" t="n"/>
      <c r="V103" s="1384" t="n"/>
      <c r="W103" s="1384" t="n"/>
      <c r="X103" s="1384" t="n"/>
      <c r="Y103" s="1384" t="n"/>
      <c r="Z103" s="1382" t="n"/>
      <c r="AA103" s="1384" t="n"/>
      <c r="AB103" s="1384" t="n"/>
      <c r="AC103" s="1384" t="n"/>
      <c r="AD103" s="1384" t="n"/>
      <c r="AE103" s="1382" t="n"/>
      <c r="AF103" s="1384" t="n"/>
      <c r="AG103" s="1384" t="n"/>
      <c r="AH103" s="1384" t="n"/>
      <c r="AI103" s="1384" t="n"/>
      <c r="AJ103" s="1382" t="n"/>
      <c r="AK103" s="1384" t="n"/>
      <c r="AL103" s="1384" t="n"/>
      <c r="AM103" s="1384" t="n"/>
      <c r="AN103" s="1384" t="n"/>
      <c r="AO103" s="1382" t="n"/>
      <c r="AP103" s="1384" t="n"/>
      <c r="AQ103" s="1384" t="n"/>
      <c r="AR103" s="1384" t="n"/>
      <c r="AS103" s="1384" t="n"/>
      <c r="AT103" s="1382" t="n"/>
      <c r="AU103" s="1384" t="n"/>
      <c r="AV103" s="1384" t="n"/>
      <c r="AW103" s="1384" t="n"/>
      <c r="AX103" s="1384" t="n"/>
      <c r="AY103" s="1382" t="n"/>
      <c r="AZ103" s="1384" t="n"/>
      <c r="BA103" s="1384" t="n"/>
      <c r="BB103" s="1384" t="n"/>
      <c r="BC103" s="1384" t="n"/>
      <c r="BD103" s="1382" t="n"/>
      <c r="BE103" s="1384" t="n"/>
      <c r="BF103" s="1384" t="n"/>
      <c r="BG103" s="1384" t="n"/>
      <c r="BH103" s="1384" t="n"/>
      <c r="BI103" s="1382" t="n"/>
      <c r="BJ103" s="1384" t="n"/>
      <c r="BK103" s="1384" t="n"/>
      <c r="BL103" s="1384" t="n"/>
      <c r="BM103" s="1384" t="n"/>
      <c r="BN103" s="1382" t="n"/>
      <c r="BO103" s="1384" t="n"/>
      <c r="BP103" s="1384" t="n"/>
      <c r="BQ103" s="1386" t="n"/>
      <c r="BR103" s="1483">
        <f>BR335</f>
        <v/>
      </c>
      <c r="BS103" s="1484">
        <f>BS335</f>
        <v/>
      </c>
      <c r="BT103" s="1483">
        <f>BT335</f>
        <v/>
      </c>
      <c r="BU103" s="1483">
        <f>BU335</f>
        <v/>
      </c>
      <c r="BV103" s="1483">
        <f>BV335</f>
        <v/>
      </c>
      <c r="BW103" s="1483">
        <f>BW335</f>
        <v/>
      </c>
      <c r="BX103" s="1484">
        <f>BX335</f>
        <v/>
      </c>
      <c r="BY103" s="1484">
        <f>BY335</f>
        <v/>
      </c>
      <c r="BZ103" s="1484">
        <f>BZ335</f>
        <v/>
      </c>
      <c r="CA103" s="1484">
        <f>CA335</f>
        <v/>
      </c>
      <c r="CB103" s="1385" t="n"/>
    </row>
    <row r="104" ht="14.4" customFormat="1" customHeight="1" s="1460">
      <c r="A104" s="1486" t="inlineStr">
        <is>
          <t>Y/Y Non-GAAP Operating Income margin improvement, bps</t>
        </is>
      </c>
      <c r="B104" s="1462" t="n"/>
      <c r="C104" s="1469" t="n"/>
      <c r="D104" s="1469" t="n"/>
      <c r="E104" s="1469">
        <f>(E102-D102)*10000</f>
        <v/>
      </c>
      <c r="F104" s="1469">
        <f>(F102-E102)*10000</f>
        <v/>
      </c>
      <c r="G104" s="1471" t="n"/>
      <c r="H104" s="1471" t="n"/>
      <c r="I104" s="1471" t="n"/>
      <c r="J104" s="1471" t="n"/>
      <c r="K104" s="1469">
        <f>(K102-F102)*10000</f>
        <v/>
      </c>
      <c r="L104" s="1471">
        <f>(L102-G102)*10000</f>
        <v/>
      </c>
      <c r="M104" s="1471">
        <f>(M102-H102)*10000</f>
        <v/>
      </c>
      <c r="N104" s="1471">
        <f>(N102-I102)*10000</f>
        <v/>
      </c>
      <c r="O104" s="1471">
        <f>(O102-J102)*10000</f>
        <v/>
      </c>
      <c r="P104" s="1469">
        <f>(P102-K102)*10000</f>
        <v/>
      </c>
      <c r="Q104" s="1471">
        <f>(Q102-L102)*10000</f>
        <v/>
      </c>
      <c r="R104" s="1471">
        <f>(R102-M102)*10000</f>
        <v/>
      </c>
      <c r="S104" s="1471">
        <f>(S102-N102)*10000</f>
        <v/>
      </c>
      <c r="T104" s="1471">
        <f>(T102-O102)*10000</f>
        <v/>
      </c>
      <c r="U104" s="1469">
        <f>(U102-P102)*10000</f>
        <v/>
      </c>
      <c r="V104" s="1471">
        <f>(V102-Q102)*10000</f>
        <v/>
      </c>
      <c r="W104" s="1471">
        <f>(W102-R102)*10000</f>
        <v/>
      </c>
      <c r="X104" s="1471">
        <f>(X102-S102)*10000</f>
        <v/>
      </c>
      <c r="Y104" s="1471">
        <f>(Y102-T102)*10000</f>
        <v/>
      </c>
      <c r="Z104" s="1469">
        <f>(Z102-U102)*10000</f>
        <v/>
      </c>
      <c r="AA104" s="1471">
        <f>(AA102-V102)*10000</f>
        <v/>
      </c>
      <c r="AB104" s="1471">
        <f>(AB102-W102)*10000</f>
        <v/>
      </c>
      <c r="AC104" s="1471">
        <f>(AC102-X102)*10000</f>
        <v/>
      </c>
      <c r="AD104" s="1471">
        <f>(AD102-Y102)*10000</f>
        <v/>
      </c>
      <c r="AE104" s="1469">
        <f>(AE102-Z102)*10000</f>
        <v/>
      </c>
      <c r="AF104" s="1471">
        <f>(AF102-AA102)*10000</f>
        <v/>
      </c>
      <c r="AG104" s="1471">
        <f>(AG102-AB102)*10000</f>
        <v/>
      </c>
      <c r="AH104" s="1471">
        <f>(AH102-AC102)*10000</f>
        <v/>
      </c>
      <c r="AI104" s="1471">
        <f>(AI102-AD102)*10000</f>
        <v/>
      </c>
      <c r="AJ104" s="1469">
        <f>(AJ102-AE102)*10000</f>
        <v/>
      </c>
      <c r="AK104" s="1471">
        <f>(AK102-AF102)*10000</f>
        <v/>
      </c>
      <c r="AL104" s="1471">
        <f>(AL102-AG102)*10000</f>
        <v/>
      </c>
      <c r="AM104" s="1471">
        <f>(AM102-AH102)*10000</f>
        <v/>
      </c>
      <c r="AN104" s="1471">
        <f>(AN102-AI102)*10000</f>
        <v/>
      </c>
      <c r="AO104" s="1469">
        <f>(AO102-AJ102)*10000</f>
        <v/>
      </c>
      <c r="AP104" s="1471">
        <f>(AP102-AK102)*10000</f>
        <v/>
      </c>
      <c r="AQ104" s="1471">
        <f>(AQ102-AL102)*10000</f>
        <v/>
      </c>
      <c r="AR104" s="1471">
        <f>(AR102-AM102)*10000</f>
        <v/>
      </c>
      <c r="AS104" s="1471">
        <f>(AS102-AN102)*10000</f>
        <v/>
      </c>
      <c r="AT104" s="1469">
        <f>(AT102-AO102)*10000</f>
        <v/>
      </c>
      <c r="AU104" s="1471">
        <f>(AU102-AP102)*10000</f>
        <v/>
      </c>
      <c r="AV104" s="1471">
        <f>(AV102-AQ102)*10000</f>
        <v/>
      </c>
      <c r="AW104" s="1471">
        <f>(AW102-AR102)*10000</f>
        <v/>
      </c>
      <c r="AX104" s="1471">
        <f>(AX102-AS102)*10000</f>
        <v/>
      </c>
      <c r="AY104" s="1469">
        <f>(AY102-AT102)*10000</f>
        <v/>
      </c>
      <c r="AZ104" s="1471">
        <f>(AZ102-AU102)*10000</f>
        <v/>
      </c>
      <c r="BA104" s="1471">
        <f>(BA102-AV102)*10000</f>
        <v/>
      </c>
      <c r="BB104" s="1471">
        <f>(BB102-AW102)*10000</f>
        <v/>
      </c>
      <c r="BC104" s="1471">
        <f>(BC102-AX102)*10000</f>
        <v/>
      </c>
      <c r="BD104" s="1469">
        <f>(BD102-AY102)*10000</f>
        <v/>
      </c>
      <c r="BE104" s="1471">
        <f>(BE102-AZ102)*10000</f>
        <v/>
      </c>
      <c r="BF104" s="1471">
        <f>(BF102-BA102)*10000</f>
        <v/>
      </c>
      <c r="BG104" s="1471">
        <f>(BG102-BB102)*10000</f>
        <v/>
      </c>
      <c r="BH104" s="1471">
        <f>(BH102-BC102)*10000</f>
        <v/>
      </c>
      <c r="BI104" s="1469">
        <f>(BI102-BD102)*10000</f>
        <v/>
      </c>
      <c r="BJ104" s="1471">
        <f>(BJ102-BE102)*10000</f>
        <v/>
      </c>
      <c r="BK104" s="1471">
        <f>(BK102-BF102)*10000</f>
        <v/>
      </c>
      <c r="BL104" s="1471">
        <f>(BL102-BG102)*10000</f>
        <v/>
      </c>
      <c r="BM104" s="1471">
        <f>(BM102-BH102)*10000</f>
        <v/>
      </c>
      <c r="BN104" s="1469">
        <f>(BN102-BI102)*10000</f>
        <v/>
      </c>
      <c r="BO104" s="1471">
        <f>(BO102-BJ102)*10000</f>
        <v/>
      </c>
      <c r="BP104" s="1471">
        <f>(BP102-BK102)*10000</f>
        <v/>
      </c>
      <c r="BQ104" s="1487">
        <f>(BQ102-BL102)*10000</f>
        <v/>
      </c>
      <c r="BR104" s="1471">
        <f>(BR102-BM102)*10000</f>
        <v/>
      </c>
      <c r="BS104" s="1469">
        <f>(BS102-BN102)*10000</f>
        <v/>
      </c>
      <c r="BT104" s="1471">
        <f>(BT102-BO102)*10000</f>
        <v/>
      </c>
      <c r="BU104" s="1471">
        <f>(BU102-BP102)*10000</f>
        <v/>
      </c>
      <c r="BV104" s="1471">
        <f>(BV102-BQ102)*10000</f>
        <v/>
      </c>
      <c r="BW104" s="1471">
        <f>(BW102-BR102)*10000</f>
        <v/>
      </c>
      <c r="BX104" s="1469">
        <f>(BX102-BS102)*10000</f>
        <v/>
      </c>
      <c r="BY104" s="1469">
        <f>(BY102-BX102)*10000</f>
        <v/>
      </c>
      <c r="BZ104" s="1469">
        <f>(BZ102-BY102)*10000</f>
        <v/>
      </c>
      <c r="CA104" s="1469">
        <f>(CA102-BZ102)*10000</f>
        <v/>
      </c>
      <c r="CB104" s="1465" t="n"/>
    </row>
    <row r="105" ht="14.4" customFormat="1" customHeight="1" s="1372">
      <c r="A105" s="1447" t="n"/>
      <c r="B105" s="1448" t="n"/>
      <c r="C105" s="1449" t="n"/>
      <c r="D105" s="1449" t="n"/>
      <c r="E105" s="1449" t="n"/>
      <c r="F105" s="1449" t="n"/>
      <c r="G105" s="1450" t="n"/>
      <c r="H105" s="1450" t="n"/>
      <c r="I105" s="1450" t="n"/>
      <c r="J105" s="1450" t="n"/>
      <c r="K105" s="1449" t="n"/>
      <c r="L105" s="1450" t="n"/>
      <c r="M105" s="1450" t="n"/>
      <c r="N105" s="1450" t="n"/>
      <c r="O105" s="1450" t="n"/>
      <c r="P105" s="1449" t="n"/>
      <c r="Q105" s="1450" t="n"/>
      <c r="R105" s="1450" t="n"/>
      <c r="S105" s="1450" t="n"/>
      <c r="T105" s="1450" t="n"/>
      <c r="U105" s="1449" t="n"/>
      <c r="V105" s="1450" t="n"/>
      <c r="W105" s="1450" t="n"/>
      <c r="X105" s="1450" t="n"/>
      <c r="Y105" s="1450" t="n"/>
      <c r="Z105" s="1449" t="n"/>
      <c r="AA105" s="1450" t="n"/>
      <c r="AB105" s="1450" t="n"/>
      <c r="AC105" s="1450" t="n"/>
      <c r="AD105" s="1450" t="n"/>
      <c r="AE105" s="1449" t="n"/>
      <c r="AF105" s="1450" t="n"/>
      <c r="AG105" s="1450" t="n"/>
      <c r="AH105" s="1450" t="n"/>
      <c r="AI105" s="1450" t="n"/>
      <c r="AJ105" s="1449" t="n"/>
      <c r="AK105" s="1450" t="n"/>
      <c r="AL105" s="1450" t="n"/>
      <c r="AM105" s="1450" t="n"/>
      <c r="AN105" s="1450" t="n"/>
      <c r="AO105" s="1449" t="n"/>
      <c r="AP105" s="1450" t="n"/>
      <c r="AQ105" s="1450" t="n"/>
      <c r="AR105" s="1450" t="n"/>
      <c r="AS105" s="1450" t="n"/>
      <c r="AT105" s="1449" t="n"/>
      <c r="AU105" s="1450" t="n"/>
      <c r="AV105" s="1450" t="n"/>
      <c r="AW105" s="1450" t="n"/>
      <c r="AX105" s="1450" t="n"/>
      <c r="AY105" s="1449" t="n"/>
      <c r="AZ105" s="1450" t="n"/>
      <c r="BA105" s="1450" t="n"/>
      <c r="BB105" s="1450" t="n"/>
      <c r="BC105" s="1450" t="n"/>
      <c r="BD105" s="1449" t="n"/>
      <c r="BE105" s="1450" t="n"/>
      <c r="BF105" s="1450" t="n"/>
      <c r="BG105" s="1450" t="n"/>
      <c r="BH105" s="1450" t="n"/>
      <c r="BI105" s="1449" t="n"/>
      <c r="BJ105" s="1450" t="n"/>
      <c r="BK105" s="1450" t="n"/>
      <c r="BL105" s="1450" t="n"/>
      <c r="BM105" s="1450" t="n"/>
      <c r="BN105" s="1449" t="n"/>
      <c r="BO105" s="1450" t="n"/>
      <c r="BP105" s="1450" t="n"/>
      <c r="BQ105" s="1451" t="n"/>
      <c r="BR105" s="1450" t="n"/>
      <c r="BS105" s="1449" t="n"/>
      <c r="BT105" s="1450" t="n"/>
      <c r="BU105" s="1450" t="n"/>
      <c r="BV105" s="1450" t="n"/>
      <c r="BW105" s="1450" t="n"/>
      <c r="BX105" s="1449" t="n"/>
      <c r="BY105" s="1449" t="n"/>
      <c r="BZ105" s="1449" t="n"/>
      <c r="CA105" s="1449" t="n"/>
      <c r="CB105" s="1375" t="n"/>
    </row>
    <row r="106" ht="14.4" customFormat="1" customHeight="1" s="1372">
      <c r="A106" s="1373" t="inlineStr">
        <is>
          <t>Key Metrics - Y/Y Cost Granularity (FS)</t>
        </is>
      </c>
      <c r="B106" s="1373" t="n"/>
      <c r="C106" s="1373" t="n"/>
      <c r="D106" s="1373" t="n"/>
      <c r="E106" s="1373" t="n"/>
      <c r="F106" s="1373" t="n"/>
      <c r="G106" s="1373" t="n"/>
      <c r="H106" s="1373" t="n"/>
      <c r="I106" s="1373" t="n"/>
      <c r="J106" s="1373" t="n"/>
      <c r="K106" s="1373" t="n"/>
      <c r="L106" s="1373" t="n"/>
      <c r="M106" s="1373" t="n"/>
      <c r="N106" s="1373" t="n"/>
      <c r="O106" s="1373" t="n"/>
      <c r="P106" s="1373" t="n"/>
      <c r="Q106" s="1373" t="n"/>
      <c r="R106" s="1373" t="n"/>
      <c r="S106" s="1373" t="n"/>
      <c r="T106" s="1373" t="n"/>
      <c r="U106" s="1373" t="n"/>
      <c r="V106" s="1373" t="n"/>
      <c r="W106" s="1373" t="n"/>
      <c r="X106" s="1373" t="n"/>
      <c r="Y106" s="1373" t="n"/>
      <c r="Z106" s="1373" t="n"/>
      <c r="AA106" s="1373" t="n"/>
      <c r="AB106" s="1373" t="n"/>
      <c r="AC106" s="1373" t="n"/>
      <c r="AD106" s="1373" t="n"/>
      <c r="AE106" s="1373" t="n"/>
      <c r="AF106" s="1373" t="n"/>
      <c r="AG106" s="1373" t="n"/>
      <c r="AH106" s="1373" t="n"/>
      <c r="AI106" s="1373" t="n"/>
      <c r="AJ106" s="1373" t="n"/>
      <c r="AK106" s="1373" t="n"/>
      <c r="AL106" s="1373" t="n"/>
      <c r="AM106" s="1373" t="n"/>
      <c r="AN106" s="1373" t="n"/>
      <c r="AO106" s="1373" t="n"/>
      <c r="AP106" s="1373" t="n"/>
      <c r="AQ106" s="1373" t="n"/>
      <c r="AR106" s="1373" t="n"/>
      <c r="AS106" s="1373" t="n"/>
      <c r="AT106" s="1373" t="n"/>
      <c r="AU106" s="1373" t="n"/>
      <c r="AV106" s="1373" t="n"/>
      <c r="AW106" s="1373" t="n"/>
      <c r="AX106" s="1373" t="n"/>
      <c r="AY106" s="1373" t="n"/>
      <c r="AZ106" s="1373" t="n"/>
      <c r="BA106" s="1373" t="n"/>
      <c r="BB106" s="1373" t="n"/>
      <c r="BC106" s="1373" t="n"/>
      <c r="BD106" s="1373" t="n"/>
      <c r="BE106" s="1373" t="n"/>
      <c r="BF106" s="1373" t="n"/>
      <c r="BG106" s="1373" t="n"/>
      <c r="BH106" s="1373" t="n"/>
      <c r="BI106" s="1373" t="n"/>
      <c r="BJ106" s="1373" t="n"/>
      <c r="BK106" s="1373" t="n"/>
      <c r="BL106" s="1373" t="n"/>
      <c r="BM106" s="1373" t="n"/>
      <c r="BN106" s="1373" t="n"/>
      <c r="BO106" s="1373" t="n"/>
      <c r="BP106" s="1373" t="n"/>
      <c r="BQ106" s="1374" t="n"/>
      <c r="BR106" s="1373" t="n"/>
      <c r="BS106" s="1373" t="n"/>
      <c r="BT106" s="1373" t="n"/>
      <c r="BU106" s="1373" t="n"/>
      <c r="BV106" s="1373" t="n"/>
      <c r="BW106" s="1373" t="n"/>
      <c r="BX106" s="1373" t="n"/>
      <c r="BY106" s="1373" t="n"/>
      <c r="BZ106" s="1373" t="n"/>
      <c r="CA106" s="1373" t="n"/>
      <c r="CB106" s="1375" t="n"/>
    </row>
    <row r="107" hidden="1" outlineLevel="1" ht="14.4" customFormat="1" customHeight="1" s="1372">
      <c r="A107" s="1447" t="inlineStr">
        <is>
          <t>Previous Cost of product and maintenance, mm</t>
        </is>
      </c>
      <c r="B107" s="1448" t="n"/>
      <c r="C107" s="1449" t="n"/>
      <c r="D107" s="1449" t="n"/>
      <c r="E107" s="1449" t="n"/>
      <c r="F107" s="1449" t="n"/>
      <c r="G107" s="1450" t="n"/>
      <c r="H107" s="1450" t="n"/>
      <c r="I107" s="1450" t="n"/>
      <c r="J107" s="1450" t="n"/>
      <c r="K107" s="1449" t="n"/>
      <c r="L107" s="1450" t="n"/>
      <c r="M107" s="1450" t="n"/>
      <c r="N107" s="1450" t="n"/>
      <c r="O107" s="1450" t="n"/>
      <c r="P107" s="1449">
        <f>K343</f>
        <v/>
      </c>
      <c r="Q107" s="1450" t="n"/>
      <c r="R107" s="1450" t="n"/>
      <c r="S107" s="1450" t="n"/>
      <c r="T107" s="1450" t="n"/>
      <c r="U107" s="1449">
        <f>P343</f>
        <v/>
      </c>
      <c r="V107" s="1450">
        <f>Q343</f>
        <v/>
      </c>
      <c r="W107" s="1450">
        <f>R343</f>
        <v/>
      </c>
      <c r="X107" s="1450">
        <f>S343</f>
        <v/>
      </c>
      <c r="Y107" s="1450">
        <f>T343</f>
        <v/>
      </c>
      <c r="Z107" s="1449">
        <f>U343</f>
        <v/>
      </c>
      <c r="AA107" s="1450">
        <f>V343</f>
        <v/>
      </c>
      <c r="AB107" s="1450">
        <f>W343</f>
        <v/>
      </c>
      <c r="AC107" s="1450">
        <f>X343</f>
        <v/>
      </c>
      <c r="AD107" s="1450">
        <f>Y343</f>
        <v/>
      </c>
      <c r="AE107" s="1449">
        <f>Z343</f>
        <v/>
      </c>
      <c r="AF107" s="1450">
        <f>AA343</f>
        <v/>
      </c>
      <c r="AG107" s="1450">
        <f>AB343</f>
        <v/>
      </c>
      <c r="AH107" s="1450">
        <f>AC343</f>
        <v/>
      </c>
      <c r="AI107" s="1450">
        <f>AD343</f>
        <v/>
      </c>
      <c r="AJ107" s="1449">
        <f>AE343</f>
        <v/>
      </c>
      <c r="AK107" s="1450">
        <f>AF343</f>
        <v/>
      </c>
      <c r="AL107" s="1450">
        <f>AG343</f>
        <v/>
      </c>
      <c r="AM107" s="1450">
        <f>AH343</f>
        <v/>
      </c>
      <c r="AN107" s="1450" t="n"/>
      <c r="AO107" s="1449">
        <f>AJ343</f>
        <v/>
      </c>
      <c r="AP107" s="1450">
        <f>AK343</f>
        <v/>
      </c>
      <c r="AQ107" s="1450">
        <f>AL343</f>
        <v/>
      </c>
      <c r="AR107" s="1450">
        <f>AM343</f>
        <v/>
      </c>
      <c r="AS107" s="1450" t="n"/>
      <c r="AT107" s="1449">
        <f>AO343</f>
        <v/>
      </c>
      <c r="AU107" s="1450">
        <f>AP343</f>
        <v/>
      </c>
      <c r="AV107" s="1450">
        <f>AQ343</f>
        <v/>
      </c>
      <c r="AW107" s="1450">
        <f>AR343</f>
        <v/>
      </c>
      <c r="AX107" s="1450" t="n"/>
      <c r="AY107" s="1449">
        <f>AT343</f>
        <v/>
      </c>
      <c r="AZ107" s="1450">
        <f>AU343</f>
        <v/>
      </c>
      <c r="BA107" s="1450">
        <f>AV343</f>
        <v/>
      </c>
      <c r="BB107" s="1450">
        <f>AW343</f>
        <v/>
      </c>
      <c r="BC107" s="1450" t="n"/>
      <c r="BD107" s="1449">
        <f>AY343</f>
        <v/>
      </c>
      <c r="BE107" s="1450">
        <f>AZ343</f>
        <v/>
      </c>
      <c r="BF107" s="1450">
        <f>BA343</f>
        <v/>
      </c>
      <c r="BG107" s="1450">
        <f>BB343</f>
        <v/>
      </c>
      <c r="BH107" s="1450" t="n"/>
      <c r="BI107" s="1449">
        <f>BD343</f>
        <v/>
      </c>
      <c r="BJ107" s="1450">
        <f>BE343</f>
        <v/>
      </c>
      <c r="BK107" s="1450">
        <f>BF343</f>
        <v/>
      </c>
      <c r="BL107" s="1450">
        <f>BG343</f>
        <v/>
      </c>
      <c r="BM107" s="1450" t="n"/>
      <c r="BN107" s="1449">
        <f>BI343</f>
        <v/>
      </c>
      <c r="BO107" s="1450">
        <f>BJ343</f>
        <v/>
      </c>
      <c r="BP107" s="1450">
        <f>BK343</f>
        <v/>
      </c>
      <c r="BQ107" s="1451">
        <f>BL343</f>
        <v/>
      </c>
      <c r="BR107" s="1450" t="n"/>
      <c r="BS107" s="1449" t="n"/>
      <c r="BT107" s="1450" t="n"/>
      <c r="BU107" s="1450" t="n"/>
      <c r="BV107" s="1450" t="n"/>
      <c r="BW107" s="1450" t="n"/>
      <c r="BX107" s="1449" t="n"/>
      <c r="BY107" s="1449" t="n"/>
      <c r="BZ107" s="1449" t="n"/>
      <c r="CA107" s="1449" t="n"/>
      <c r="CB107" s="1375" t="n"/>
    </row>
    <row r="108" hidden="1" outlineLevel="1" ht="14.4" customFormat="1" customHeight="1" s="1359">
      <c r="A108" s="1474" t="inlineStr">
        <is>
          <t>COPM - Change in emulation and prototyping hardware costs, mm</t>
        </is>
      </c>
      <c r="B108" s="1377" t="n"/>
      <c r="C108" s="1379" t="n"/>
      <c r="D108" s="1379" t="n"/>
      <c r="E108" s="1379" t="n"/>
      <c r="F108" s="1379" t="n"/>
      <c r="G108" s="1361" t="n"/>
      <c r="H108" s="1361" t="n"/>
      <c r="I108" s="1361" t="n"/>
      <c r="J108" s="1361" t="n"/>
      <c r="K108" s="1379" t="n"/>
      <c r="L108" s="1361" t="n"/>
      <c r="M108" s="1361" t="n"/>
      <c r="N108" s="1361" t="n"/>
      <c r="O108" s="1361" t="n"/>
      <c r="P108" s="1494" t="n">
        <v>10.2</v>
      </c>
      <c r="Q108" s="1361" t="n"/>
      <c r="R108" s="1361" t="n"/>
      <c r="S108" s="1361" t="n"/>
      <c r="T108" s="1361" t="n"/>
      <c r="U108" s="1494" t="n">
        <v>-5.1</v>
      </c>
      <c r="V108" s="1493" t="n">
        <v>2</v>
      </c>
      <c r="W108" s="1493" t="n">
        <v>10.5</v>
      </c>
      <c r="X108" s="1493" t="n">
        <v>-2.1</v>
      </c>
      <c r="Y108" s="1361">
        <f>Z108-SUM(V108,W108,X108)</f>
        <v/>
      </c>
      <c r="Z108" s="1494" t="n">
        <v>28</v>
      </c>
      <c r="AA108" s="1361" t="n"/>
      <c r="AB108" s="1493" t="n">
        <v>-2.7</v>
      </c>
      <c r="AC108" s="1493" t="n">
        <v>-3.5</v>
      </c>
      <c r="AD108" s="1361">
        <f>AE108-SUM(AA108,AB108,AC108)</f>
        <v/>
      </c>
      <c r="AE108" s="1494" t="n">
        <v>-22.9</v>
      </c>
      <c r="AF108" s="1493" t="n">
        <v>-1.8</v>
      </c>
      <c r="AG108" s="1493" t="n">
        <v>1.7</v>
      </c>
      <c r="AH108" s="1493" t="n">
        <v>2</v>
      </c>
      <c r="AI108" s="1361">
        <f>AJ108-SUM(AF108,AG108,AH108)</f>
        <v/>
      </c>
      <c r="AJ108" s="1494" t="n">
        <v>17.7</v>
      </c>
      <c r="AK108" s="1493" t="n">
        <v>8.699999999999999</v>
      </c>
      <c r="AL108" s="1493" t="n">
        <v>1.4</v>
      </c>
      <c r="AM108" s="1493" t="n">
        <v>4.3</v>
      </c>
      <c r="AN108" s="1361" t="n"/>
      <c r="AO108" s="1494" t="n">
        <v>12.6</v>
      </c>
      <c r="AP108" s="1493" t="n">
        <v>3.5</v>
      </c>
      <c r="AQ108" s="1493" t="n">
        <v>12</v>
      </c>
      <c r="AR108" s="1493" t="n">
        <v>21.7</v>
      </c>
      <c r="AS108" s="1361" t="n"/>
      <c r="AT108" s="1494" t="n">
        <v>34.1</v>
      </c>
      <c r="AU108" s="1493" t="n">
        <v>8.5</v>
      </c>
      <c r="AV108" s="1493" t="n">
        <v>-1.8</v>
      </c>
      <c r="AW108" s="1493" t="n">
        <v>-12.8</v>
      </c>
      <c r="AX108" s="1361" t="n"/>
      <c r="AY108" s="1494" t="n">
        <v>-12.3</v>
      </c>
      <c r="AZ108" s="1493" t="n">
        <v>7.1</v>
      </c>
      <c r="BA108" s="1493" t="n">
        <v>14.8</v>
      </c>
      <c r="BB108" s="1493" t="n">
        <v>10.3</v>
      </c>
      <c r="BC108" s="1361" t="n"/>
      <c r="BD108" s="1494" t="n">
        <v>51.6</v>
      </c>
      <c r="BE108" s="1493" t="n">
        <v>25.2</v>
      </c>
      <c r="BF108" s="1493" t="n">
        <v>2.5</v>
      </c>
      <c r="BG108" s="1493" t="n">
        <v>20.1</v>
      </c>
      <c r="BH108" s="1361" t="n"/>
      <c r="BI108" s="1494" t="n">
        <v>49.1</v>
      </c>
      <c r="BJ108" s="1493" t="n">
        <v>-26.2</v>
      </c>
      <c r="BK108" s="1493" t="n">
        <v>17</v>
      </c>
      <c r="BL108" s="1493" t="n">
        <v>12.8</v>
      </c>
      <c r="BM108" s="1361" t="n"/>
      <c r="BN108" s="1494" t="n">
        <v>80.09999999999999</v>
      </c>
      <c r="BO108" s="1493" t="n">
        <v>30.1</v>
      </c>
      <c r="BP108" s="1493" t="n">
        <v>36.9</v>
      </c>
      <c r="BQ108" s="1502" t="n">
        <v>8.6</v>
      </c>
      <c r="BR108" s="1361" t="n"/>
      <c r="BS108" s="1379" t="n"/>
      <c r="BT108" s="1361" t="n"/>
      <c r="BU108" s="1361" t="n"/>
      <c r="BV108" s="1361" t="n"/>
      <c r="BW108" s="1361" t="n"/>
      <c r="BX108" s="1379" t="n"/>
      <c r="BY108" s="1379" t="n"/>
      <c r="BZ108" s="1379" t="n"/>
      <c r="CA108" s="1379" t="n"/>
      <c r="CB108" s="1364" t="n"/>
    </row>
    <row r="109" hidden="1" outlineLevel="1" ht="14.4" customFormat="1" customHeight="1" s="1359">
      <c r="A109" s="1474" t="inlineStr">
        <is>
          <t>COPM - Professional services, mm</t>
        </is>
      </c>
      <c r="B109" s="1377" t="n"/>
      <c r="C109" s="1379" t="n"/>
      <c r="D109" s="1379" t="n"/>
      <c r="E109" s="1379" t="n"/>
      <c r="F109" s="1379" t="n"/>
      <c r="G109" s="1361" t="n"/>
      <c r="H109" s="1361" t="n"/>
      <c r="I109" s="1361" t="n"/>
      <c r="J109" s="1361" t="n"/>
      <c r="K109" s="1379" t="n"/>
      <c r="L109" s="1361" t="n"/>
      <c r="M109" s="1361" t="n"/>
      <c r="N109" s="1361" t="n"/>
      <c r="O109" s="1361" t="n"/>
      <c r="P109" s="1379" t="n"/>
      <c r="Q109" s="1361" t="n"/>
      <c r="R109" s="1361" t="n"/>
      <c r="S109" s="1361" t="n"/>
      <c r="T109" s="1361" t="n"/>
      <c r="U109" s="1379" t="n"/>
      <c r="V109" s="1361" t="n"/>
      <c r="W109" s="1361" t="n"/>
      <c r="X109" s="1361" t="n"/>
      <c r="Y109" s="1361" t="n"/>
      <c r="Z109" s="1379" t="n"/>
      <c r="AA109" s="1361" t="n"/>
      <c r="AB109" s="1361" t="n"/>
      <c r="AC109" s="1361" t="n"/>
      <c r="AD109" s="1361" t="n"/>
      <c r="AE109" s="1379" t="n"/>
      <c r="AF109" s="1361" t="n"/>
      <c r="AG109" s="1361" t="n"/>
      <c r="AH109" s="1361" t="n"/>
      <c r="AI109" s="1361" t="n"/>
      <c r="AJ109" s="1379" t="n"/>
      <c r="AK109" s="1361" t="n"/>
      <c r="AL109" s="1361" t="n"/>
      <c r="AM109" s="1361" t="n"/>
      <c r="AN109" s="1361" t="n"/>
      <c r="AO109" s="1379" t="n"/>
      <c r="AP109" s="1361" t="n"/>
      <c r="AQ109" s="1361" t="n"/>
      <c r="AR109" s="1361" t="n"/>
      <c r="AS109" s="1361" t="n"/>
      <c r="AT109" s="1494" t="n">
        <v>2.5</v>
      </c>
      <c r="AU109" s="1361" t="n"/>
      <c r="AV109" s="1361" t="n"/>
      <c r="AW109" s="1361" t="n"/>
      <c r="AX109" s="1361" t="n"/>
      <c r="AY109" s="1379" t="n"/>
      <c r="AZ109" s="1361" t="n"/>
      <c r="BA109" s="1361" t="n"/>
      <c r="BB109" s="1361" t="n"/>
      <c r="BC109" s="1361" t="n"/>
      <c r="BD109" s="1379" t="n"/>
      <c r="BE109" s="1361" t="n"/>
      <c r="BF109" s="1361" t="n"/>
      <c r="BG109" s="1361" t="n"/>
      <c r="BH109" s="1361" t="n"/>
      <c r="BI109" s="1379" t="n"/>
      <c r="BJ109" s="1361" t="n"/>
      <c r="BK109" s="1361" t="n"/>
      <c r="BL109" s="1361" t="n"/>
      <c r="BM109" s="1361" t="n"/>
      <c r="BN109" s="1379" t="n"/>
      <c r="BO109" s="1361" t="n"/>
      <c r="BP109" s="1361" t="n"/>
      <c r="BQ109" s="1363" t="n"/>
      <c r="BR109" s="1361" t="n"/>
      <c r="BS109" s="1379" t="n"/>
      <c r="BT109" s="1361" t="n"/>
      <c r="BU109" s="1361" t="n"/>
      <c r="BV109" s="1361" t="n"/>
      <c r="BW109" s="1361" t="n"/>
      <c r="BX109" s="1379" t="n"/>
      <c r="BY109" s="1379" t="n"/>
      <c r="BZ109" s="1379" t="n"/>
      <c r="CA109" s="1379" t="n"/>
      <c r="CB109" s="1364" t="n"/>
    </row>
    <row r="110" hidden="1" outlineLevel="1" ht="14.4" customFormat="1" customHeight="1" s="1359">
      <c r="A110" s="1474" t="inlineStr">
        <is>
          <t>COPM - Change in salary, benefits and other employee-related costs, mm</t>
        </is>
      </c>
      <c r="B110" s="1377" t="n"/>
      <c r="C110" s="1379" t="n"/>
      <c r="D110" s="1379" t="n"/>
      <c r="E110" s="1379" t="n"/>
      <c r="F110" s="1379" t="n"/>
      <c r="G110" s="1361" t="n"/>
      <c r="H110" s="1361" t="n"/>
      <c r="I110" s="1361" t="n"/>
      <c r="J110" s="1361" t="n"/>
      <c r="K110" s="1379" t="n"/>
      <c r="L110" s="1361" t="n"/>
      <c r="M110" s="1361" t="n"/>
      <c r="N110" s="1361" t="n"/>
      <c r="O110" s="1361" t="n"/>
      <c r="P110" s="1494" t="n">
        <v>1.5</v>
      </c>
      <c r="Q110" s="1361" t="n"/>
      <c r="R110" s="1361" t="n"/>
      <c r="S110" s="1361" t="n"/>
      <c r="T110" s="1361" t="n"/>
      <c r="U110" s="1379" t="n"/>
      <c r="V110" s="1361" t="n"/>
      <c r="W110" s="1361" t="n"/>
      <c r="X110" s="1361" t="n"/>
      <c r="Y110" s="1361">
        <f>Z110-SUM(V110,W110,X110)</f>
        <v/>
      </c>
      <c r="Z110" s="1379" t="n"/>
      <c r="AA110" s="1493" t="n">
        <v>-1.4</v>
      </c>
      <c r="AB110" s="1493" t="n">
        <v>-1.5</v>
      </c>
      <c r="AC110" s="1493" t="n">
        <v>-0.4</v>
      </c>
      <c r="AD110" s="1361">
        <f>AE110-SUM(AA110,AB110,AC110)</f>
        <v/>
      </c>
      <c r="AE110" s="1379" t="n"/>
      <c r="AF110" s="1361" t="n"/>
      <c r="AG110" s="1361" t="n"/>
      <c r="AH110" s="1361" t="n"/>
      <c r="AI110" s="1361" t="n"/>
      <c r="AJ110" s="1379" t="n"/>
      <c r="AK110" s="1361" t="n"/>
      <c r="AL110" s="1361" t="n"/>
      <c r="AM110" s="1361" t="n"/>
      <c r="AN110" s="1361" t="n"/>
      <c r="AO110" s="1494" t="n">
        <v>3.6</v>
      </c>
      <c r="AP110" s="1361" t="n"/>
      <c r="AQ110" s="1361" t="n"/>
      <c r="AR110" s="1361" t="n"/>
      <c r="AS110" s="1361" t="n"/>
      <c r="AT110" s="1494" t="n">
        <v>1.8</v>
      </c>
      <c r="AU110" s="1361" t="n"/>
      <c r="AV110" s="1361" t="n"/>
      <c r="AW110" s="1493" t="n">
        <v>1.5</v>
      </c>
      <c r="AX110" s="1361" t="n"/>
      <c r="AY110" s="1494" t="n">
        <v>2.6</v>
      </c>
      <c r="AZ110" s="1361" t="n"/>
      <c r="BA110" s="1361" t="n"/>
      <c r="BB110" s="1361" t="n"/>
      <c r="BC110" s="1361" t="n"/>
      <c r="BD110" s="1494" t="n">
        <v>4.9</v>
      </c>
      <c r="BE110" s="1493" t="n">
        <v>2.6</v>
      </c>
      <c r="BF110" s="1493" t="n">
        <v>1.9</v>
      </c>
      <c r="BG110" s="1493" t="n">
        <v>1</v>
      </c>
      <c r="BH110" s="1361" t="n"/>
      <c r="BI110" s="1494" t="n">
        <v>4.4</v>
      </c>
      <c r="BJ110" s="1361" t="n"/>
      <c r="BK110" s="1361" t="n"/>
      <c r="BL110" s="1361" t="n"/>
      <c r="BM110" s="1361" t="n"/>
      <c r="BN110" s="1494" t="n">
        <v>4.9</v>
      </c>
      <c r="BO110" s="1361" t="n"/>
      <c r="BP110" s="1493" t="n">
        <v>5.1</v>
      </c>
      <c r="BQ110" s="1502" t="n">
        <v>0.1</v>
      </c>
      <c r="BR110" s="1361" t="n"/>
      <c r="BS110" s="1379" t="n"/>
      <c r="BT110" s="1361" t="n"/>
      <c r="BU110" s="1361" t="n"/>
      <c r="BV110" s="1361" t="n"/>
      <c r="BW110" s="1361" t="n"/>
      <c r="BX110" s="1379" t="n"/>
      <c r="BY110" s="1379" t="n"/>
      <c r="BZ110" s="1379" t="n"/>
      <c r="CA110" s="1379" t="n"/>
      <c r="CB110" s="1364" t="n"/>
    </row>
    <row r="111" hidden="1" outlineLevel="1" ht="14.4" customFormat="1" customHeight="1" s="1359">
      <c r="A111" s="1474" t="inlineStr">
        <is>
          <t>COPM - Change amortization of acquired intangibles, mm</t>
        </is>
      </c>
      <c r="B111" s="1377" t="n"/>
      <c r="C111" s="1379" t="n"/>
      <c r="D111" s="1379" t="n"/>
      <c r="E111" s="1379" t="n"/>
      <c r="F111" s="1379" t="n"/>
      <c r="G111" s="1361" t="n"/>
      <c r="H111" s="1361" t="n"/>
      <c r="I111" s="1361" t="n"/>
      <c r="J111" s="1361" t="n"/>
      <c r="K111" s="1379" t="n"/>
      <c r="L111" s="1361" t="n"/>
      <c r="M111" s="1361" t="n"/>
      <c r="N111" s="1361" t="n"/>
      <c r="O111" s="1361" t="n"/>
      <c r="P111" s="1494" t="n">
        <v>12.9</v>
      </c>
      <c r="Q111" s="1361" t="n"/>
      <c r="R111" s="1361" t="n"/>
      <c r="S111" s="1361" t="n"/>
      <c r="T111" s="1361" t="n"/>
      <c r="U111" s="1494" t="n">
        <v>3.6</v>
      </c>
      <c r="V111" s="1493" t="n">
        <v>0.5</v>
      </c>
      <c r="W111" s="1493" t="n">
        <v>0.4</v>
      </c>
      <c r="X111" s="1493" t="n">
        <v>0.5</v>
      </c>
      <c r="Y111" s="1361">
        <f>Z111-SUM(V111,W111,X111)</f>
        <v/>
      </c>
      <c r="Z111" s="1494" t="n">
        <v>1.9</v>
      </c>
      <c r="AA111" s="1493" t="n">
        <v>-0.1</v>
      </c>
      <c r="AB111" s="1493" t="n">
        <v>0.4</v>
      </c>
      <c r="AC111" s="1493" t="n">
        <v>-0.4</v>
      </c>
      <c r="AD111" s="1361">
        <f>AE111-SUM(AA111,AB111,AC111)</f>
        <v/>
      </c>
      <c r="AE111" s="1494" t="n">
        <v>-0.6</v>
      </c>
      <c r="AF111" s="1493" t="n">
        <v>-0.3</v>
      </c>
      <c r="AG111" s="1493" t="n">
        <v>-0.9</v>
      </c>
      <c r="AH111" s="1493" t="n">
        <v>-0.7</v>
      </c>
      <c r="AI111" s="1361">
        <f>AJ111-SUM(AF111,AG111,AH111)</f>
        <v/>
      </c>
      <c r="AJ111" s="1494" t="n">
        <v>-2.6</v>
      </c>
      <c r="AK111" s="1493" t="n">
        <v>-0.4</v>
      </c>
      <c r="AL111" s="1493" t="n">
        <v>1.3</v>
      </c>
      <c r="AM111" s="1493" t="n">
        <v>0.4</v>
      </c>
      <c r="AN111" s="1361" t="n"/>
      <c r="AO111" s="1494" t="n">
        <v>1.8</v>
      </c>
      <c r="AP111" s="1493" t="n">
        <v>1</v>
      </c>
      <c r="AQ111" s="1493" t="n">
        <v>0.2</v>
      </c>
      <c r="AR111" s="1493">
        <f>11.4-9.9</f>
        <v/>
      </c>
      <c r="AS111" s="1361" t="n"/>
      <c r="AT111" s="1379" t="n"/>
      <c r="AU111" s="1493">
        <f>11.8-10.9</f>
        <v/>
      </c>
      <c r="AV111" s="1493">
        <f>12.2-11.5</f>
        <v/>
      </c>
      <c r="AW111" s="1493" t="n">
        <v>0.4</v>
      </c>
      <c r="AX111" s="1361" t="n"/>
      <c r="AY111" s="1494" t="n">
        <v>1.4</v>
      </c>
      <c r="AZ111" s="1493" t="n">
        <v>0.2</v>
      </c>
      <c r="BA111" s="1493" t="n">
        <v>-2.1</v>
      </c>
      <c r="BB111" s="1493" t="n">
        <v>-2.9</v>
      </c>
      <c r="BC111" s="1361" t="n"/>
      <c r="BD111" s="1494" t="n">
        <v>-6.3</v>
      </c>
      <c r="BE111" s="1361" t="n"/>
      <c r="BF111" s="1493" t="n">
        <v>0.5</v>
      </c>
      <c r="BG111" s="1361" t="n"/>
      <c r="BH111" s="1361" t="n"/>
      <c r="BI111" s="1494" t="n">
        <v>2.5</v>
      </c>
      <c r="BJ111" s="1493" t="n">
        <v>1</v>
      </c>
      <c r="BK111" s="1493" t="n">
        <v>2.9</v>
      </c>
      <c r="BL111" s="1493" t="n">
        <v>6.6</v>
      </c>
      <c r="BM111" s="1361" t="n"/>
      <c r="BN111" s="1494" t="n">
        <v>16.3</v>
      </c>
      <c r="BO111" s="1493" t="n">
        <v>5.2</v>
      </c>
      <c r="BP111" s="1361" t="n"/>
      <c r="BQ111" s="1363" t="n"/>
      <c r="BR111" s="1361" t="n"/>
      <c r="BS111" s="1379" t="n"/>
      <c r="BT111" s="1361" t="n"/>
      <c r="BU111" s="1361" t="n"/>
      <c r="BV111" s="1361" t="n"/>
      <c r="BW111" s="1361" t="n"/>
      <c r="BX111" s="1379" t="n"/>
      <c r="BY111" s="1379" t="n"/>
      <c r="BZ111" s="1379" t="n"/>
      <c r="CA111" s="1379" t="n"/>
      <c r="CB111" s="1364" t="n"/>
    </row>
    <row r="112" hidden="1" outlineLevel="1" ht="14.4" customFormat="1" customHeight="1" s="1359">
      <c r="A112" s="1474" t="inlineStr">
        <is>
          <t>COPM - Change in product and maintenance-related costs, mm</t>
        </is>
      </c>
      <c r="B112" s="1377" t="n"/>
      <c r="C112" s="1379" t="n"/>
      <c r="D112" s="1379" t="n"/>
      <c r="E112" s="1379" t="n"/>
      <c r="F112" s="1379" t="n"/>
      <c r="G112" s="1361" t="n"/>
      <c r="H112" s="1361" t="n"/>
      <c r="I112" s="1361" t="n"/>
      <c r="J112" s="1361" t="n"/>
      <c r="K112" s="1379" t="n"/>
      <c r="L112" s="1361" t="n"/>
      <c r="M112" s="1361" t="n"/>
      <c r="N112" s="1361" t="n"/>
      <c r="O112" s="1361" t="n"/>
      <c r="P112" s="1379" t="n"/>
      <c r="Q112" s="1361" t="n"/>
      <c r="R112" s="1361" t="n"/>
      <c r="S112" s="1361" t="n"/>
      <c r="T112" s="1361" t="n"/>
      <c r="U112" s="1379" t="n"/>
      <c r="V112" s="1361" t="n"/>
      <c r="W112" s="1361" t="n"/>
      <c r="X112" s="1361" t="n"/>
      <c r="Y112" s="1361" t="n"/>
      <c r="Z112" s="1379" t="n"/>
      <c r="AA112" s="1361" t="n"/>
      <c r="AB112" s="1361" t="n"/>
      <c r="AC112" s="1361" t="n"/>
      <c r="AD112" s="1361" t="n"/>
      <c r="AE112" s="1379" t="n"/>
      <c r="AF112" s="1361" t="n"/>
      <c r="AG112" s="1361" t="n"/>
      <c r="AH112" s="1361" t="n"/>
      <c r="AI112" s="1361" t="n"/>
      <c r="AJ112" s="1379" t="n"/>
      <c r="AK112" s="1361" t="n"/>
      <c r="AL112" s="1361" t="n"/>
      <c r="AM112" s="1361" t="n"/>
      <c r="AN112" s="1361" t="n"/>
      <c r="AO112" s="1379" t="n"/>
      <c r="AP112" s="1361" t="n"/>
      <c r="AQ112" s="1361" t="n"/>
      <c r="AR112" s="1361" t="n"/>
      <c r="AS112" s="1361" t="n"/>
      <c r="AT112" s="1379" t="n"/>
      <c r="AU112" s="1361" t="n"/>
      <c r="AV112" s="1361" t="n"/>
      <c r="AW112" s="1361" t="n"/>
      <c r="AX112" s="1361" t="n"/>
      <c r="AY112" s="1379" t="n"/>
      <c r="AZ112" s="1361" t="n"/>
      <c r="BA112" s="1361" t="n"/>
      <c r="BB112" s="1361" t="n"/>
      <c r="BC112" s="1361" t="n"/>
      <c r="BD112" s="1379" t="n"/>
      <c r="BE112" s="1361" t="n"/>
      <c r="BF112" s="1361" t="n"/>
      <c r="BG112" s="1361" t="n"/>
      <c r="BH112" s="1361" t="n"/>
      <c r="BI112" s="1379" t="n"/>
      <c r="BJ112" s="1361" t="n"/>
      <c r="BK112" s="1361" t="n"/>
      <c r="BL112" s="1361" t="n"/>
      <c r="BM112" s="1361" t="n"/>
      <c r="BN112" s="1379" t="n"/>
      <c r="BO112" s="1361" t="n"/>
      <c r="BP112" s="1361" t="n"/>
      <c r="BQ112" s="1363" t="n"/>
      <c r="BR112" s="1361" t="n"/>
      <c r="BS112" s="1379" t="n"/>
      <c r="BT112" s="1361" t="n"/>
      <c r="BU112" s="1361" t="n"/>
      <c r="BV112" s="1361" t="n"/>
      <c r="BW112" s="1361" t="n"/>
      <c r="BX112" s="1379" t="n"/>
      <c r="BY112" s="1379" t="n"/>
      <c r="BZ112" s="1379" t="n"/>
      <c r="CA112" s="1379" t="n"/>
      <c r="CB112" s="1364" t="n"/>
    </row>
    <row r="113" hidden="1" outlineLevel="1" ht="14.4" customFormat="1" customHeight="1" s="1359">
      <c r="A113" s="1478" t="inlineStr">
        <is>
          <t>COPM - Change in other items, mm</t>
        </is>
      </c>
      <c r="B113" s="1454" t="n"/>
      <c r="C113" s="1455" t="n"/>
      <c r="D113" s="1455" t="n"/>
      <c r="E113" s="1455" t="n"/>
      <c r="F113" s="1455" t="n"/>
      <c r="G113" s="1456" t="n"/>
      <c r="H113" s="1456" t="n"/>
      <c r="I113" s="1456" t="n"/>
      <c r="J113" s="1456" t="n"/>
      <c r="K113" s="1455" t="n"/>
      <c r="L113" s="1456" t="n"/>
      <c r="M113" s="1456" t="n"/>
      <c r="N113" s="1456" t="n"/>
      <c r="O113" s="1456" t="n"/>
      <c r="P113" s="1480" t="n">
        <v>-0.5</v>
      </c>
      <c r="Q113" s="1456" t="n"/>
      <c r="R113" s="1456" t="n"/>
      <c r="S113" s="1456" t="n"/>
      <c r="T113" s="1456" t="n"/>
      <c r="U113" s="1480" t="n">
        <v>0.9</v>
      </c>
      <c r="V113" s="1479" t="n">
        <v>-0.4</v>
      </c>
      <c r="W113" s="1479" t="n">
        <v>0.4</v>
      </c>
      <c r="X113" s="1479" t="n">
        <v>-0.9</v>
      </c>
      <c r="Y113" s="1456">
        <f>Z113-SUM(V113,W113,X113)</f>
        <v/>
      </c>
      <c r="Z113" s="1480" t="n">
        <v>-2.3</v>
      </c>
      <c r="AA113" s="1479" t="n">
        <v>1</v>
      </c>
      <c r="AB113" s="1479" t="n">
        <v>-0.4</v>
      </c>
      <c r="AC113" s="1479" t="n">
        <v>0.4</v>
      </c>
      <c r="AD113" s="1456">
        <f>AE113-SUM(AA113,AB113,AC113)-0.1</f>
        <v/>
      </c>
      <c r="AE113" s="1480" t="n">
        <v>-3.1</v>
      </c>
      <c r="AF113" s="1479" t="n">
        <v>0.1</v>
      </c>
      <c r="AG113" s="1479" t="n">
        <v>0.5</v>
      </c>
      <c r="AH113" s="1479" t="n">
        <v>0.3</v>
      </c>
      <c r="AI113" s="1456">
        <f>AJ113-SUM(AF113,AG113,AH113)</f>
        <v/>
      </c>
      <c r="AJ113" s="1480" t="n">
        <v>1.2</v>
      </c>
      <c r="AK113" s="1479" t="n">
        <v>0.5</v>
      </c>
      <c r="AL113" s="1479" t="n">
        <v>0.6</v>
      </c>
      <c r="AM113" s="1479" t="n">
        <v>0.6</v>
      </c>
      <c r="AN113" s="1456" t="n"/>
      <c r="AO113" s="1480" t="n">
        <v>-1.9</v>
      </c>
      <c r="AP113" s="1479" t="n">
        <v>0.4</v>
      </c>
      <c r="AQ113" s="1479" t="n">
        <v>0.1</v>
      </c>
      <c r="AR113" s="1479" t="n">
        <v>-0.1</v>
      </c>
      <c r="AS113" s="1456" t="n"/>
      <c r="AT113" s="1480" t="n">
        <v>-1.7</v>
      </c>
      <c r="AU113" s="1479" t="n">
        <v>0.1</v>
      </c>
      <c r="AV113" s="1479" t="n">
        <v>1.2</v>
      </c>
      <c r="AW113" s="1456">
        <f>AW114-SUM(AW107:AW112)</f>
        <v/>
      </c>
      <c r="AX113" s="1456" t="n"/>
      <c r="AY113" s="1455">
        <f>AY114-SUM(AY107:AY112)</f>
        <v/>
      </c>
      <c r="AZ113" s="1479" t="n">
        <v>0.6</v>
      </c>
      <c r="BA113" s="1456">
        <f>BA114-SUM(BA107:BA112)</f>
        <v/>
      </c>
      <c r="BB113" s="1456">
        <f>BB114-SUM(BB107:BB112)</f>
        <v/>
      </c>
      <c r="BC113" s="1456" t="n"/>
      <c r="BD113" s="1455">
        <f>BD114-SUM(BD107:BD112)</f>
        <v/>
      </c>
      <c r="BE113" s="1456">
        <f>BE114-SUM(BE107:BE112)</f>
        <v/>
      </c>
      <c r="BF113" s="1456">
        <f>BF114-SUM(BF107:BF112)</f>
        <v/>
      </c>
      <c r="BG113" s="1456">
        <f>BG114-SUM(BG107:BG112)</f>
        <v/>
      </c>
      <c r="BH113" s="1456" t="n"/>
      <c r="BI113" s="1455">
        <f>BI114-SUM(BI107:BI112)</f>
        <v/>
      </c>
      <c r="BJ113" s="1456">
        <f>BJ114-SUM(BJ107:BJ112)</f>
        <v/>
      </c>
      <c r="BK113" s="1456">
        <f>BK114-SUM(BK107:BK112)</f>
        <v/>
      </c>
      <c r="BL113" s="1456">
        <f>BL114-SUM(BL107:BL112)</f>
        <v/>
      </c>
      <c r="BM113" s="1456" t="n"/>
      <c r="BN113" s="1455">
        <f>BN114-SUM(BN107:BN112)</f>
        <v/>
      </c>
      <c r="BO113" s="1456">
        <f>BO114-SUM(BO107:BO112)</f>
        <v/>
      </c>
      <c r="BP113" s="1456">
        <f>BP114-SUM(BP107:BP112)</f>
        <v/>
      </c>
      <c r="BQ113" s="1457">
        <f>BQ114-SUM(BQ107:BQ112)</f>
        <v/>
      </c>
      <c r="BR113" s="1456" t="n"/>
      <c r="BS113" s="1455" t="n"/>
      <c r="BT113" s="1456" t="n"/>
      <c r="BU113" s="1456" t="n"/>
      <c r="BV113" s="1456" t="n"/>
      <c r="BW113" s="1456" t="n"/>
      <c r="BX113" s="1455" t="n"/>
      <c r="BY113" s="1455" t="n"/>
      <c r="BZ113" s="1455" t="n"/>
      <c r="CA113" s="1455" t="n"/>
      <c r="CB113" s="1364" t="n"/>
    </row>
    <row r="114" hidden="1" outlineLevel="1" ht="14.4" customFormat="1" customHeight="1" s="1372">
      <c r="A114" s="1447" t="inlineStr">
        <is>
          <t>Current Cost of product and maintenance, mm</t>
        </is>
      </c>
      <c r="B114" s="1448" t="n"/>
      <c r="C114" s="1449" t="n"/>
      <c r="D114" s="1449" t="n"/>
      <c r="E114" s="1449" t="n"/>
      <c r="F114" s="1449" t="n"/>
      <c r="G114" s="1450" t="n"/>
      <c r="H114" s="1450" t="n"/>
      <c r="I114" s="1450" t="n"/>
      <c r="J114" s="1450" t="n"/>
      <c r="K114" s="1449" t="n"/>
      <c r="L114" s="1450" t="n"/>
      <c r="M114" s="1450" t="n"/>
      <c r="N114" s="1450" t="n"/>
      <c r="O114" s="1450" t="n"/>
      <c r="P114" s="1449">
        <f>P343</f>
        <v/>
      </c>
      <c r="Q114" s="1450" t="n"/>
      <c r="R114" s="1450" t="n"/>
      <c r="S114" s="1450" t="n"/>
      <c r="T114" s="1450" t="n"/>
      <c r="U114" s="1449">
        <f>U343</f>
        <v/>
      </c>
      <c r="V114" s="1450">
        <f>V343</f>
        <v/>
      </c>
      <c r="W114" s="1450">
        <f>W343</f>
        <v/>
      </c>
      <c r="X114" s="1450">
        <f>X343</f>
        <v/>
      </c>
      <c r="Y114" s="1450">
        <f>Y343</f>
        <v/>
      </c>
      <c r="Z114" s="1449">
        <f>Z343</f>
        <v/>
      </c>
      <c r="AA114" s="1450">
        <f>AA343</f>
        <v/>
      </c>
      <c r="AB114" s="1450">
        <f>AB343</f>
        <v/>
      </c>
      <c r="AC114" s="1450">
        <f>AC343</f>
        <v/>
      </c>
      <c r="AD114" s="1450">
        <f>AD343</f>
        <v/>
      </c>
      <c r="AE114" s="1449">
        <f>AE343</f>
        <v/>
      </c>
      <c r="AF114" s="1450">
        <f>AF343</f>
        <v/>
      </c>
      <c r="AG114" s="1450">
        <f>AG343</f>
        <v/>
      </c>
      <c r="AH114" s="1450">
        <f>AH343</f>
        <v/>
      </c>
      <c r="AI114" s="1450">
        <f>AI343</f>
        <v/>
      </c>
      <c r="AJ114" s="1449">
        <f>AJ343</f>
        <v/>
      </c>
      <c r="AK114" s="1450">
        <f>AK343</f>
        <v/>
      </c>
      <c r="AL114" s="1450">
        <f>AL343</f>
        <v/>
      </c>
      <c r="AM114" s="1450">
        <f>AM343</f>
        <v/>
      </c>
      <c r="AN114" s="1450" t="n"/>
      <c r="AO114" s="1449">
        <f>AO343</f>
        <v/>
      </c>
      <c r="AP114" s="1450">
        <f>AP343</f>
        <v/>
      </c>
      <c r="AQ114" s="1450">
        <f>AQ343</f>
        <v/>
      </c>
      <c r="AR114" s="1450">
        <f>AR343</f>
        <v/>
      </c>
      <c r="AS114" s="1450" t="n"/>
      <c r="AT114" s="1449">
        <f>AT343</f>
        <v/>
      </c>
      <c r="AU114" s="1450">
        <f>AU343</f>
        <v/>
      </c>
      <c r="AV114" s="1450">
        <f>AV343</f>
        <v/>
      </c>
      <c r="AW114" s="1450">
        <f>AW343</f>
        <v/>
      </c>
      <c r="AX114" s="1450" t="n"/>
      <c r="AY114" s="1449">
        <f>AY343</f>
        <v/>
      </c>
      <c r="AZ114" s="1450">
        <f>AZ343</f>
        <v/>
      </c>
      <c r="BA114" s="1450">
        <f>BA343</f>
        <v/>
      </c>
      <c r="BB114" s="1450">
        <f>BB343</f>
        <v/>
      </c>
      <c r="BC114" s="1450" t="n"/>
      <c r="BD114" s="1449">
        <f>BD343</f>
        <v/>
      </c>
      <c r="BE114" s="1450">
        <f>BE343</f>
        <v/>
      </c>
      <c r="BF114" s="1450">
        <f>BF343</f>
        <v/>
      </c>
      <c r="BG114" s="1450">
        <f>BG343</f>
        <v/>
      </c>
      <c r="BH114" s="1450" t="n"/>
      <c r="BI114" s="1449">
        <f>BI343</f>
        <v/>
      </c>
      <c r="BJ114" s="1450">
        <f>BJ343</f>
        <v/>
      </c>
      <c r="BK114" s="1450">
        <f>BK343</f>
        <v/>
      </c>
      <c r="BL114" s="1450">
        <f>BL343</f>
        <v/>
      </c>
      <c r="BM114" s="1450" t="n"/>
      <c r="BN114" s="1449">
        <f>BN343</f>
        <v/>
      </c>
      <c r="BO114" s="1450">
        <f>BO343</f>
        <v/>
      </c>
      <c r="BP114" s="1450">
        <f>BP343</f>
        <v/>
      </c>
      <c r="BQ114" s="1451">
        <f>BQ343</f>
        <v/>
      </c>
      <c r="BR114" s="1450" t="n"/>
      <c r="BS114" s="1449" t="n"/>
      <c r="BT114" s="1450" t="n"/>
      <c r="BU114" s="1450" t="n"/>
      <c r="BV114" s="1450" t="n"/>
      <c r="BW114" s="1450" t="n"/>
      <c r="BX114" s="1449" t="n"/>
      <c r="BY114" s="1449" t="n"/>
      <c r="BZ114" s="1449" t="n"/>
      <c r="CA114" s="1449" t="n"/>
      <c r="CB114" s="1375" t="n"/>
    </row>
    <row r="115" hidden="1" outlineLevel="1" ht="14.4" customFormat="1" customHeight="1" s="1359">
      <c r="A115" s="1503" t="n"/>
      <c r="B115" s="1377" t="n"/>
      <c r="C115" s="1379" t="n"/>
      <c r="D115" s="1379" t="n"/>
      <c r="E115" s="1379" t="n"/>
      <c r="F115" s="1379" t="n"/>
      <c r="G115" s="1361" t="n"/>
      <c r="H115" s="1361" t="n"/>
      <c r="I115" s="1361" t="n"/>
      <c r="J115" s="1361" t="n"/>
      <c r="K115" s="1379" t="n"/>
      <c r="L115" s="1361" t="n"/>
      <c r="M115" s="1361" t="n"/>
      <c r="N115" s="1361" t="n"/>
      <c r="O115" s="1361" t="n"/>
      <c r="P115" s="1379" t="n"/>
      <c r="Q115" s="1361" t="n"/>
      <c r="R115" s="1361" t="n"/>
      <c r="S115" s="1361" t="n"/>
      <c r="T115" s="1361" t="n"/>
      <c r="U115" s="1379" t="n"/>
      <c r="V115" s="1361" t="n"/>
      <c r="W115" s="1361" t="n"/>
      <c r="X115" s="1361" t="n"/>
      <c r="Y115" s="1361" t="n"/>
      <c r="Z115" s="1379" t="n"/>
      <c r="AA115" s="1361" t="n"/>
      <c r="AB115" s="1361" t="n"/>
      <c r="AC115" s="1361" t="n"/>
      <c r="AD115" s="1361" t="n"/>
      <c r="AE115" s="1379" t="n"/>
      <c r="AF115" s="1361" t="n"/>
      <c r="AG115" s="1361" t="n"/>
      <c r="AH115" s="1361" t="n"/>
      <c r="AI115" s="1361" t="n"/>
      <c r="AJ115" s="1379" t="n"/>
      <c r="AK115" s="1361" t="n"/>
      <c r="AL115" s="1361" t="n"/>
      <c r="AM115" s="1361" t="n"/>
      <c r="AN115" s="1361" t="n"/>
      <c r="AO115" s="1379" t="n"/>
      <c r="AP115" s="1361" t="n"/>
      <c r="AQ115" s="1361" t="n"/>
      <c r="AR115" s="1361" t="n"/>
      <c r="AS115" s="1361" t="n"/>
      <c r="AT115" s="1379" t="n"/>
      <c r="AU115" s="1361" t="n"/>
      <c r="AV115" s="1361" t="n"/>
      <c r="AW115" s="1361" t="n"/>
      <c r="AX115" s="1361" t="n"/>
      <c r="AY115" s="1379" t="n"/>
      <c r="AZ115" s="1361" t="n"/>
      <c r="BA115" s="1361" t="n"/>
      <c r="BB115" s="1361" t="n"/>
      <c r="BC115" s="1361" t="n"/>
      <c r="BD115" s="1379" t="n"/>
      <c r="BE115" s="1361" t="n"/>
      <c r="BF115" s="1361" t="n"/>
      <c r="BG115" s="1361" t="n"/>
      <c r="BH115" s="1361" t="n"/>
      <c r="BI115" s="1379" t="n"/>
      <c r="BJ115" s="1361" t="n"/>
      <c r="BK115" s="1361" t="n"/>
      <c r="BL115" s="1361" t="n"/>
      <c r="BM115" s="1361" t="n"/>
      <c r="BN115" s="1379" t="n"/>
      <c r="BO115" s="1361" t="n"/>
      <c r="BP115" s="1361" t="n"/>
      <c r="BQ115" s="1363" t="n"/>
      <c r="BR115" s="1361" t="n"/>
      <c r="BS115" s="1379" t="n"/>
      <c r="BT115" s="1361" t="n"/>
      <c r="BU115" s="1361" t="n"/>
      <c r="BV115" s="1361" t="n"/>
      <c r="BW115" s="1361" t="n"/>
      <c r="BX115" s="1379" t="n"/>
      <c r="BY115" s="1379" t="n"/>
      <c r="BZ115" s="1379" t="n"/>
      <c r="CA115" s="1379" t="n"/>
      <c r="CB115" s="1364" t="n"/>
    </row>
    <row r="116" hidden="1" outlineLevel="1" ht="14.4" customFormat="1" customHeight="1" s="1372">
      <c r="A116" s="1447" t="inlineStr">
        <is>
          <t>Previous Marketing and sales, mm</t>
        </is>
      </c>
      <c r="B116" s="1448" t="n"/>
      <c r="C116" s="1449" t="n"/>
      <c r="D116" s="1449" t="n"/>
      <c r="E116" s="1449" t="n"/>
      <c r="F116" s="1449" t="n"/>
      <c r="G116" s="1450" t="n"/>
      <c r="H116" s="1450" t="n"/>
      <c r="I116" s="1450" t="n"/>
      <c r="J116" s="1450" t="n"/>
      <c r="K116" s="1449" t="n"/>
      <c r="L116" s="1450" t="n"/>
      <c r="M116" s="1450" t="n"/>
      <c r="N116" s="1450" t="n"/>
      <c r="O116" s="1450" t="n"/>
      <c r="P116" s="1449">
        <f>K348</f>
        <v/>
      </c>
      <c r="Q116" s="1450" t="n"/>
      <c r="R116" s="1450" t="n"/>
      <c r="S116" s="1450" t="n"/>
      <c r="T116" s="1450" t="n"/>
      <c r="U116" s="1449">
        <f>P348</f>
        <v/>
      </c>
      <c r="V116" s="1450">
        <f>Q348</f>
        <v/>
      </c>
      <c r="W116" s="1450">
        <f>R348</f>
        <v/>
      </c>
      <c r="X116" s="1450">
        <f>S348</f>
        <v/>
      </c>
      <c r="Y116" s="1450">
        <f>T348</f>
        <v/>
      </c>
      <c r="Z116" s="1449">
        <f>U348</f>
        <v/>
      </c>
      <c r="AA116" s="1450">
        <f>V348</f>
        <v/>
      </c>
      <c r="AB116" s="1450">
        <f>W348</f>
        <v/>
      </c>
      <c r="AC116" s="1450">
        <f>X348</f>
        <v/>
      </c>
      <c r="AD116" s="1450">
        <f>Y348</f>
        <v/>
      </c>
      <c r="AE116" s="1449">
        <f>Z348</f>
        <v/>
      </c>
      <c r="AF116" s="1450">
        <f>AA348</f>
        <v/>
      </c>
      <c r="AG116" s="1450">
        <f>AB348</f>
        <v/>
      </c>
      <c r="AH116" s="1450">
        <f>AC348</f>
        <v/>
      </c>
      <c r="AI116" s="1450">
        <f>AD348</f>
        <v/>
      </c>
      <c r="AJ116" s="1449">
        <f>AE348</f>
        <v/>
      </c>
      <c r="AK116" s="1450">
        <f>AF348</f>
        <v/>
      </c>
      <c r="AL116" s="1450">
        <f>AG348</f>
        <v/>
      </c>
      <c r="AM116" s="1450">
        <f>AH348</f>
        <v/>
      </c>
      <c r="AN116" s="1450" t="n"/>
      <c r="AO116" s="1449">
        <f>AJ348</f>
        <v/>
      </c>
      <c r="AP116" s="1450">
        <f>AK348</f>
        <v/>
      </c>
      <c r="AQ116" s="1450">
        <f>AL348</f>
        <v/>
      </c>
      <c r="AR116" s="1450">
        <f>AM348</f>
        <v/>
      </c>
      <c r="AS116" s="1450" t="n"/>
      <c r="AT116" s="1449">
        <f>AO348</f>
        <v/>
      </c>
      <c r="AU116" s="1450">
        <f>AP348</f>
        <v/>
      </c>
      <c r="AV116" s="1450">
        <f>AQ348</f>
        <v/>
      </c>
      <c r="AW116" s="1450">
        <f>AR348</f>
        <v/>
      </c>
      <c r="AX116" s="1450" t="n"/>
      <c r="AY116" s="1449">
        <f>AT348</f>
        <v/>
      </c>
      <c r="AZ116" s="1450">
        <f>AU348</f>
        <v/>
      </c>
      <c r="BA116" s="1450">
        <f>AV348</f>
        <v/>
      </c>
      <c r="BB116" s="1450">
        <f>AW348</f>
        <v/>
      </c>
      <c r="BC116" s="1450" t="n"/>
      <c r="BD116" s="1449">
        <f>AY348</f>
        <v/>
      </c>
      <c r="BE116" s="1450">
        <f>AZ348</f>
        <v/>
      </c>
      <c r="BF116" s="1450">
        <f>BA348</f>
        <v/>
      </c>
      <c r="BG116" s="1450">
        <f>BB348</f>
        <v/>
      </c>
      <c r="BH116" s="1450" t="n"/>
      <c r="BI116" s="1449">
        <f>BD348</f>
        <v/>
      </c>
      <c r="BJ116" s="1450">
        <f>BE348</f>
        <v/>
      </c>
      <c r="BK116" s="1450">
        <f>BF348</f>
        <v/>
      </c>
      <c r="BL116" s="1450">
        <f>BG348</f>
        <v/>
      </c>
      <c r="BM116" s="1450" t="n"/>
      <c r="BN116" s="1449">
        <f>BI348</f>
        <v/>
      </c>
      <c r="BO116" s="1450">
        <f>BJ348</f>
        <v/>
      </c>
      <c r="BP116" s="1450">
        <f>BK348</f>
        <v/>
      </c>
      <c r="BQ116" s="1451">
        <f>BL348</f>
        <v/>
      </c>
      <c r="BR116" s="1450" t="n"/>
      <c r="BS116" s="1449" t="n"/>
      <c r="BT116" s="1450" t="n"/>
      <c r="BU116" s="1450" t="n"/>
      <c r="BV116" s="1450" t="n"/>
      <c r="BW116" s="1450" t="n"/>
      <c r="BX116" s="1449" t="n"/>
      <c r="BY116" s="1449" t="n"/>
      <c r="BZ116" s="1449" t="n"/>
      <c r="CA116" s="1449" t="n"/>
      <c r="CB116" s="1375" t="n"/>
    </row>
    <row r="117" hidden="1" outlineLevel="1" ht="14.4" customFormat="1" customHeight="1" s="1359">
      <c r="A117" s="1474" t="inlineStr">
        <is>
          <t>M&amp;S - Change in salary, benefits and other employee-related costs, mm</t>
        </is>
      </c>
      <c r="B117" s="1377" t="n"/>
      <c r="C117" s="1379" t="n"/>
      <c r="D117" s="1379" t="n"/>
      <c r="E117" s="1379" t="n"/>
      <c r="F117" s="1379" t="n"/>
      <c r="G117" s="1361" t="n"/>
      <c r="H117" s="1361" t="n"/>
      <c r="I117" s="1361" t="n"/>
      <c r="J117" s="1361" t="n"/>
      <c r="K117" s="1379" t="n"/>
      <c r="L117" s="1361" t="n"/>
      <c r="M117" s="1361" t="n"/>
      <c r="N117" s="1361" t="n"/>
      <c r="O117" s="1361" t="n"/>
      <c r="P117" s="1494" t="n">
        <v>19.1</v>
      </c>
      <c r="Q117" s="1361" t="n"/>
      <c r="R117" s="1361" t="n"/>
      <c r="S117" s="1361" t="n"/>
      <c r="T117" s="1361" t="n"/>
      <c r="U117" s="1494" t="n">
        <v>0.9</v>
      </c>
      <c r="V117" s="1361" t="n"/>
      <c r="W117" s="1493" t="n">
        <v>3</v>
      </c>
      <c r="X117" s="1493" t="n">
        <v>-3.3</v>
      </c>
      <c r="Y117" s="1361">
        <f>Z117-SUM(V117,W117,X117)</f>
        <v/>
      </c>
      <c r="Z117" s="1494" t="n">
        <v>-6.3</v>
      </c>
      <c r="AA117" s="1493" t="n">
        <v>2.9</v>
      </c>
      <c r="AB117" s="1493" t="n">
        <v>1.8</v>
      </c>
      <c r="AC117" s="1493" t="n">
        <v>6.4</v>
      </c>
      <c r="AD117" s="1361">
        <f>AE117-SUM(AA117,AB117,AC117)</f>
        <v/>
      </c>
      <c r="AE117" s="1494" t="n">
        <v>18.5</v>
      </c>
      <c r="AF117" s="1493" t="n">
        <v>3.1</v>
      </c>
      <c r="AG117" s="1493" t="n">
        <v>2.9</v>
      </c>
      <c r="AH117" s="1493" t="n">
        <v>1.7</v>
      </c>
      <c r="AI117" s="1361">
        <f>AJ117-SUM(AF117,AG117,AH117)</f>
        <v/>
      </c>
      <c r="AJ117" s="1494" t="n">
        <v>9</v>
      </c>
      <c r="AK117" s="1493" t="n">
        <v>6.2</v>
      </c>
      <c r="AL117" s="1493" t="n">
        <v>4</v>
      </c>
      <c r="AM117" s="1493" t="n">
        <v>8.699999999999999</v>
      </c>
      <c r="AN117" s="1361" t="n"/>
      <c r="AO117" s="1494" t="n">
        <v>30.6</v>
      </c>
      <c r="AP117" s="1493" t="n">
        <v>6.7</v>
      </c>
      <c r="AQ117" s="1493" t="n">
        <v>8.4</v>
      </c>
      <c r="AR117" s="1493" t="n">
        <v>7.9</v>
      </c>
      <c r="AS117" s="1361" t="n"/>
      <c r="AT117" s="1494" t="n">
        <v>41.7</v>
      </c>
      <c r="AU117" s="1493" t="n">
        <v>9.9</v>
      </c>
      <c r="AV117" s="1493" t="n">
        <v>8.5</v>
      </c>
      <c r="AW117" s="1493" t="n">
        <v>16.1</v>
      </c>
      <c r="AX117" s="1361" t="n"/>
      <c r="AY117" s="1494" t="n">
        <v>35.2</v>
      </c>
      <c r="AZ117" s="1493" t="n">
        <v>6.1</v>
      </c>
      <c r="BA117" s="1493" t="n">
        <v>3.2</v>
      </c>
      <c r="BB117" s="1493" t="n">
        <v>0.3</v>
      </c>
      <c r="BC117" s="1361" t="n"/>
      <c r="BD117" s="1494" t="n">
        <v>24</v>
      </c>
      <c r="BE117" s="1493" t="n">
        <v>13.7</v>
      </c>
      <c r="BF117" s="1493" t="n">
        <v>15.9</v>
      </c>
      <c r="BG117" s="1493" t="n">
        <v>15.2</v>
      </c>
      <c r="BH117" s="1361" t="n"/>
      <c r="BI117" s="1494" t="n">
        <v>49.4</v>
      </c>
      <c r="BJ117" s="1493" t="n">
        <v>10.5</v>
      </c>
      <c r="BK117" s="1493" t="n">
        <v>12.7</v>
      </c>
      <c r="BL117" s="1493" t="n">
        <v>9.6</v>
      </c>
      <c r="BM117" s="1361" t="n"/>
      <c r="BN117" s="1494" t="n">
        <v>48.2</v>
      </c>
      <c r="BO117" s="1493" t="n">
        <v>15.1</v>
      </c>
      <c r="BP117" s="1493" t="n">
        <v>8.1</v>
      </c>
      <c r="BQ117" s="1502" t="n">
        <v>1.2</v>
      </c>
      <c r="BR117" s="1361" t="n"/>
      <c r="BS117" s="1379" t="n"/>
      <c r="BT117" s="1361" t="n"/>
      <c r="BU117" s="1361" t="n"/>
      <c r="BV117" s="1361" t="n"/>
      <c r="BW117" s="1361" t="n"/>
      <c r="BX117" s="1379" t="n"/>
      <c r="BY117" s="1379" t="n"/>
      <c r="BZ117" s="1379" t="n"/>
      <c r="CA117" s="1379" t="n"/>
      <c r="CB117" s="1364" t="n"/>
    </row>
    <row r="118" hidden="1" outlineLevel="1" ht="14.4" customFormat="1" customHeight="1" s="1359">
      <c r="A118" s="1474" t="inlineStr">
        <is>
          <t>M&amp;S - Change in voluntary retirement program, mm</t>
        </is>
      </c>
      <c r="B118" s="1377" t="n"/>
      <c r="C118" s="1379" t="n"/>
      <c r="D118" s="1379" t="n"/>
      <c r="E118" s="1379" t="n"/>
      <c r="F118" s="1379" t="n"/>
      <c r="G118" s="1361" t="n"/>
      <c r="H118" s="1361" t="n"/>
      <c r="I118" s="1361" t="n"/>
      <c r="J118" s="1361" t="n"/>
      <c r="K118" s="1379" t="n"/>
      <c r="L118" s="1361" t="n"/>
      <c r="M118" s="1361" t="n"/>
      <c r="N118" s="1361" t="n"/>
      <c r="O118" s="1361" t="n"/>
      <c r="P118" s="1379" t="n"/>
      <c r="Q118" s="1361" t="n"/>
      <c r="R118" s="1361" t="n"/>
      <c r="S118" s="1361" t="n"/>
      <c r="T118" s="1361" t="n"/>
      <c r="U118" s="1379" t="n"/>
      <c r="V118" s="1361" t="n"/>
      <c r="W118" s="1361" t="n"/>
      <c r="X118" s="1361" t="n"/>
      <c r="Y118" s="1361" t="n"/>
      <c r="Z118" s="1379" t="n"/>
      <c r="AA118" s="1361" t="n"/>
      <c r="AB118" s="1361" t="n"/>
      <c r="AC118" s="1361" t="n"/>
      <c r="AD118" s="1361" t="n"/>
      <c r="AE118" s="1379" t="n"/>
      <c r="AF118" s="1361" t="n"/>
      <c r="AG118" s="1361" t="n"/>
      <c r="AH118" s="1361" t="n"/>
      <c r="AI118" s="1361" t="n"/>
      <c r="AJ118" s="1379" t="n"/>
      <c r="AK118" s="1361" t="n"/>
      <c r="AL118" s="1361" t="n"/>
      <c r="AM118" s="1361" t="n"/>
      <c r="AN118" s="1361" t="n"/>
      <c r="AO118" s="1379" t="n"/>
      <c r="AP118" s="1361" t="n"/>
      <c r="AQ118" s="1361" t="n"/>
      <c r="AR118" s="1361" t="n"/>
      <c r="AS118" s="1361" t="n"/>
      <c r="AT118" s="1379" t="n"/>
      <c r="AU118" s="1361" t="n"/>
      <c r="AV118" s="1493" t="n">
        <v>6.7</v>
      </c>
      <c r="AW118" s="1361" t="n"/>
      <c r="AX118" s="1361" t="n"/>
      <c r="AY118" s="1494" t="n">
        <v>6.7</v>
      </c>
      <c r="AZ118" s="1361" t="n"/>
      <c r="BA118" s="1493" t="n">
        <v>-6.7</v>
      </c>
      <c r="BB118" s="1361" t="n"/>
      <c r="BC118" s="1361" t="n"/>
      <c r="BD118" s="1494" t="n">
        <v>-6.7</v>
      </c>
      <c r="BE118" s="1361" t="n"/>
      <c r="BF118" s="1361" t="n"/>
      <c r="BG118" s="1361" t="n"/>
      <c r="BH118" s="1361" t="n"/>
      <c r="BI118" s="1379" t="n"/>
      <c r="BJ118" s="1361" t="n"/>
      <c r="BK118" s="1361" t="n"/>
      <c r="BL118" s="1361" t="n"/>
      <c r="BM118" s="1361" t="n"/>
      <c r="BN118" s="1379" t="n"/>
      <c r="BO118" s="1361" t="n"/>
      <c r="BP118" s="1361" t="n"/>
      <c r="BQ118" s="1363" t="n"/>
      <c r="BR118" s="1361" t="n"/>
      <c r="BS118" s="1379" t="n"/>
      <c r="BT118" s="1361" t="n"/>
      <c r="BU118" s="1361" t="n"/>
      <c r="BV118" s="1361" t="n"/>
      <c r="BW118" s="1361" t="n"/>
      <c r="BX118" s="1379" t="n"/>
      <c r="BY118" s="1379" t="n"/>
      <c r="BZ118" s="1379" t="n"/>
      <c r="CA118" s="1379" t="n"/>
      <c r="CB118" s="1364" t="n"/>
    </row>
    <row r="119" hidden="1" outlineLevel="1" ht="14.4" customFormat="1" customHeight="1" s="1359">
      <c r="A119" s="1474" t="inlineStr">
        <is>
          <t>M&amp;S - Change in home office-related expenses, mm</t>
        </is>
      </c>
      <c r="B119" s="1377" t="n"/>
      <c r="C119" s="1379" t="n"/>
      <c r="D119" s="1379" t="n"/>
      <c r="E119" s="1379" t="n"/>
      <c r="F119" s="1379" t="n"/>
      <c r="G119" s="1361" t="n"/>
      <c r="H119" s="1361" t="n"/>
      <c r="I119" s="1361" t="n"/>
      <c r="J119" s="1361" t="n"/>
      <c r="K119" s="1379" t="n"/>
      <c r="L119" s="1361" t="n"/>
      <c r="M119" s="1361" t="n"/>
      <c r="N119" s="1361" t="n"/>
      <c r="O119" s="1361" t="n"/>
      <c r="P119" s="1379" t="n"/>
      <c r="Q119" s="1361" t="n"/>
      <c r="R119" s="1361" t="n"/>
      <c r="S119" s="1361" t="n"/>
      <c r="T119" s="1361" t="n"/>
      <c r="U119" s="1379" t="n"/>
      <c r="V119" s="1361" t="n"/>
      <c r="W119" s="1361" t="n"/>
      <c r="X119" s="1361" t="n"/>
      <c r="Y119" s="1361" t="n"/>
      <c r="Z119" s="1379" t="n"/>
      <c r="AA119" s="1361" t="n"/>
      <c r="AB119" s="1361" t="n"/>
      <c r="AC119" s="1361" t="n"/>
      <c r="AD119" s="1361" t="n"/>
      <c r="AE119" s="1379" t="n"/>
      <c r="AF119" s="1361" t="n"/>
      <c r="AG119" s="1361" t="n"/>
      <c r="AH119" s="1361" t="n"/>
      <c r="AI119" s="1361" t="n"/>
      <c r="AJ119" s="1379" t="n"/>
      <c r="AK119" s="1361" t="n"/>
      <c r="AL119" s="1361" t="n"/>
      <c r="AM119" s="1361" t="n"/>
      <c r="AN119" s="1361" t="n"/>
      <c r="AO119" s="1379" t="n"/>
      <c r="AP119" s="1361" t="n"/>
      <c r="AQ119" s="1493" t="n">
        <v>2</v>
      </c>
      <c r="AR119" s="1361" t="n"/>
      <c r="AS119" s="1361" t="n"/>
      <c r="AT119" s="1494" t="n">
        <v>2</v>
      </c>
      <c r="AU119" s="1361" t="n"/>
      <c r="AV119" s="1493" t="n">
        <v>-2</v>
      </c>
      <c r="AW119" s="1361" t="n"/>
      <c r="AX119" s="1361" t="n"/>
      <c r="AY119" s="1494" t="n">
        <v>-2</v>
      </c>
      <c r="AZ119" s="1361" t="n"/>
      <c r="BA119" s="1361" t="n"/>
      <c r="BB119" s="1361" t="n"/>
      <c r="BC119" s="1361" t="n"/>
      <c r="BD119" s="1379" t="n"/>
      <c r="BE119" s="1361" t="n"/>
      <c r="BF119" s="1361" t="n"/>
      <c r="BG119" s="1361" t="n"/>
      <c r="BH119" s="1361" t="n"/>
      <c r="BI119" s="1379" t="n"/>
      <c r="BJ119" s="1361" t="n"/>
      <c r="BK119" s="1361" t="n"/>
      <c r="BL119" s="1361" t="n"/>
      <c r="BM119" s="1361" t="n"/>
      <c r="BN119" s="1379" t="n"/>
      <c r="BO119" s="1361" t="n"/>
      <c r="BP119" s="1361" t="n"/>
      <c r="BQ119" s="1363" t="n"/>
      <c r="BR119" s="1361" t="n"/>
      <c r="BS119" s="1379" t="n"/>
      <c r="BT119" s="1361" t="n"/>
      <c r="BU119" s="1361" t="n"/>
      <c r="BV119" s="1361" t="n"/>
      <c r="BW119" s="1361" t="n"/>
      <c r="BX119" s="1379" t="n"/>
      <c r="BY119" s="1379" t="n"/>
      <c r="BZ119" s="1379" t="n"/>
      <c r="CA119" s="1379" t="n"/>
      <c r="CB119" s="1364" t="n"/>
    </row>
    <row r="120" hidden="1" outlineLevel="1" ht="14.4" customFormat="1" customHeight="1" s="1359">
      <c r="A120" s="1474" t="inlineStr">
        <is>
          <t>M&amp;S - Change in stock-based compensation, mm</t>
        </is>
      </c>
      <c r="B120" s="1377" t="n"/>
      <c r="C120" s="1379" t="n"/>
      <c r="D120" s="1379" t="n"/>
      <c r="E120" s="1379" t="n"/>
      <c r="F120" s="1379" t="n"/>
      <c r="G120" s="1361" t="n"/>
      <c r="H120" s="1361" t="n"/>
      <c r="I120" s="1361" t="n"/>
      <c r="J120" s="1361" t="n"/>
      <c r="K120" s="1379" t="n"/>
      <c r="L120" s="1361" t="n"/>
      <c r="M120" s="1361" t="n"/>
      <c r="N120" s="1361" t="n"/>
      <c r="O120" s="1361" t="n"/>
      <c r="P120" s="1494" t="n">
        <v>4.9</v>
      </c>
      <c r="Q120" s="1361" t="n"/>
      <c r="R120" s="1361" t="n"/>
      <c r="S120" s="1361" t="n"/>
      <c r="T120" s="1361" t="n"/>
      <c r="U120" s="1494" t="n">
        <v>1.1</v>
      </c>
      <c r="V120" s="1361" t="n"/>
      <c r="W120" s="1361" t="n"/>
      <c r="X120" s="1361" t="n"/>
      <c r="Y120" s="1361">
        <f>Z120-SUM(V120,W120,X120)</f>
        <v/>
      </c>
      <c r="Z120" s="1379" t="n"/>
      <c r="AA120" s="1361" t="n"/>
      <c r="AB120" s="1493" t="n">
        <v>0.9</v>
      </c>
      <c r="AC120" s="1493" t="n">
        <v>1.4</v>
      </c>
      <c r="AD120" s="1361">
        <f>AE120-SUM(AA120,AB120,AC120)</f>
        <v/>
      </c>
      <c r="AE120" s="1494" t="n">
        <v>4.1</v>
      </c>
      <c r="AF120" s="1493" t="n">
        <v>1.6</v>
      </c>
      <c r="AG120" s="1493" t="n">
        <v>2</v>
      </c>
      <c r="AH120" s="1493" t="n">
        <v>2.1</v>
      </c>
      <c r="AI120" s="1361">
        <f>AJ120-SUM(AF120,AG120,AH120)</f>
        <v/>
      </c>
      <c r="AJ120" s="1494" t="n">
        <v>7.8</v>
      </c>
      <c r="AK120" s="1493" t="n">
        <v>1.5</v>
      </c>
      <c r="AL120" s="1493" t="n">
        <v>1.2</v>
      </c>
      <c r="AM120" s="1493" t="n">
        <v>0.9</v>
      </c>
      <c r="AN120" s="1361" t="n"/>
      <c r="AO120" s="1494" t="n">
        <v>4.4</v>
      </c>
      <c r="AP120" s="1493" t="n">
        <v>0.9</v>
      </c>
      <c r="AQ120" s="1493" t="n">
        <v>0.6</v>
      </c>
      <c r="AR120" s="1361" t="n"/>
      <c r="AS120" s="1361" t="n"/>
      <c r="AT120" s="1494" t="n">
        <v>3</v>
      </c>
      <c r="AU120" s="1493" t="n">
        <v>1.2</v>
      </c>
      <c r="AV120" s="1493" t="n">
        <v>0.2</v>
      </c>
      <c r="AW120" s="1493" t="n">
        <v>1.1</v>
      </c>
      <c r="AX120" s="1361" t="n"/>
      <c r="AY120" s="1379" t="n"/>
      <c r="AZ120" s="1361" t="n"/>
      <c r="BA120" s="1493" t="n">
        <v>2.6</v>
      </c>
      <c r="BB120" s="1493" t="n">
        <v>4.2</v>
      </c>
      <c r="BC120" s="1361" t="n"/>
      <c r="BD120" s="1494" t="n">
        <v>11.5</v>
      </c>
      <c r="BE120" s="1493" t="n">
        <v>3.3</v>
      </c>
      <c r="BF120" s="1493" t="n">
        <v>2.8</v>
      </c>
      <c r="BG120" s="1493" t="n">
        <v>3.1</v>
      </c>
      <c r="BH120" s="1361" t="n"/>
      <c r="BI120" s="1494" t="n">
        <v>11.5</v>
      </c>
      <c r="BJ120" s="1493" t="n">
        <v>2.7</v>
      </c>
      <c r="BK120" s="1493" t="n">
        <v>0.3</v>
      </c>
      <c r="BL120" s="1493" t="n">
        <v>3.6</v>
      </c>
      <c r="BM120" s="1361" t="n"/>
      <c r="BN120" s="1494" t="n">
        <v>10.9</v>
      </c>
      <c r="BO120" s="1493" t="n">
        <v>3.8</v>
      </c>
      <c r="BP120" s="1493" t="n">
        <v>6.9</v>
      </c>
      <c r="BQ120" s="1502" t="n">
        <v>0.1</v>
      </c>
      <c r="BR120" s="1361" t="n"/>
      <c r="BS120" s="1379" t="n"/>
      <c r="BT120" s="1361" t="n"/>
      <c r="BU120" s="1361" t="n"/>
      <c r="BV120" s="1361" t="n"/>
      <c r="BW120" s="1361" t="n"/>
      <c r="BX120" s="1379" t="n"/>
      <c r="BY120" s="1379" t="n"/>
      <c r="BZ120" s="1379" t="n"/>
      <c r="CA120" s="1379" t="n"/>
      <c r="CB120" s="1364" t="n"/>
    </row>
    <row r="121" hidden="1" outlineLevel="1" ht="14.4" customFormat="1" customHeight="1" s="1359">
      <c r="A121" s="1474" t="inlineStr">
        <is>
          <t>M&amp;S - Change in marketing programs, mm</t>
        </is>
      </c>
      <c r="B121" s="1377" t="n"/>
      <c r="C121" s="1379" t="n"/>
      <c r="D121" s="1379" t="n"/>
      <c r="E121" s="1379" t="n"/>
      <c r="F121" s="1379" t="n"/>
      <c r="G121" s="1361" t="n"/>
      <c r="H121" s="1361" t="n"/>
      <c r="I121" s="1361" t="n"/>
      <c r="J121" s="1361" t="n"/>
      <c r="K121" s="1379" t="n"/>
      <c r="L121" s="1361" t="n"/>
      <c r="M121" s="1361" t="n"/>
      <c r="N121" s="1361" t="n"/>
      <c r="O121" s="1361" t="n"/>
      <c r="P121" s="1379" t="n"/>
      <c r="Q121" s="1361" t="n"/>
      <c r="R121" s="1361" t="n"/>
      <c r="S121" s="1361" t="n"/>
      <c r="T121" s="1361" t="n"/>
      <c r="U121" s="1379" t="n"/>
      <c r="V121" s="1361" t="n"/>
      <c r="W121" s="1361" t="n"/>
      <c r="X121" s="1361" t="n"/>
      <c r="Y121" s="1361" t="n"/>
      <c r="Z121" s="1379" t="n"/>
      <c r="AA121" s="1361" t="n"/>
      <c r="AB121" s="1361" t="n"/>
      <c r="AC121" s="1361" t="n"/>
      <c r="AD121" s="1361" t="n"/>
      <c r="AE121" s="1379" t="n"/>
      <c r="AF121" s="1361" t="n"/>
      <c r="AG121" s="1361" t="n"/>
      <c r="AH121" s="1361" t="n"/>
      <c r="AI121" s="1361" t="n"/>
      <c r="AJ121" s="1379" t="n"/>
      <c r="AK121" s="1361" t="n"/>
      <c r="AL121" s="1361" t="n"/>
      <c r="AM121" s="1361" t="n"/>
      <c r="AN121" s="1361" t="n"/>
      <c r="AO121" s="1379" t="n"/>
      <c r="AP121" s="1361" t="n"/>
      <c r="AQ121" s="1493" t="n">
        <v>-2.2</v>
      </c>
      <c r="AR121" s="1493" t="n">
        <v>-0.3</v>
      </c>
      <c r="AS121" s="1361" t="n"/>
      <c r="AT121" s="1379" t="n"/>
      <c r="AU121" s="1493" t="n">
        <v>-2.6</v>
      </c>
      <c r="AV121" s="1493" t="n">
        <v>0.5</v>
      </c>
      <c r="AW121" s="1493" t="n">
        <v>-0.3</v>
      </c>
      <c r="AX121" s="1361" t="n"/>
      <c r="AY121" s="1379" t="n"/>
      <c r="AZ121" s="1361" t="n"/>
      <c r="BA121" s="1493" t="n">
        <v>3.2</v>
      </c>
      <c r="BB121" s="1493" t="n">
        <v>3.6</v>
      </c>
      <c r="BC121" s="1361" t="n"/>
      <c r="BD121" s="1494" t="n">
        <v>9.9</v>
      </c>
      <c r="BE121" s="1493" t="n">
        <v>5.2</v>
      </c>
      <c r="BF121" s="1493" t="n">
        <v>2.4</v>
      </c>
      <c r="BG121" s="1493" t="n">
        <v>0.4</v>
      </c>
      <c r="BH121" s="1361" t="n"/>
      <c r="BI121" s="1494" t="n">
        <v>8.5</v>
      </c>
      <c r="BJ121" s="1493" t="n">
        <v>-2.2</v>
      </c>
      <c r="BK121" s="1361" t="n"/>
      <c r="BL121" s="1493" t="n">
        <v>-1</v>
      </c>
      <c r="BM121" s="1361" t="n"/>
      <c r="BN121" s="1379" t="n"/>
      <c r="BO121" s="1493" t="n">
        <v>1.4</v>
      </c>
      <c r="BP121" s="1361" t="n"/>
      <c r="BQ121" s="1363" t="n"/>
      <c r="BR121" s="1361" t="n"/>
      <c r="BS121" s="1379" t="n"/>
      <c r="BT121" s="1361" t="n"/>
      <c r="BU121" s="1361" t="n"/>
      <c r="BV121" s="1361" t="n"/>
      <c r="BW121" s="1361" t="n"/>
      <c r="BX121" s="1379" t="n"/>
      <c r="BY121" s="1379" t="n"/>
      <c r="BZ121" s="1379" t="n"/>
      <c r="CA121" s="1379" t="n"/>
      <c r="CB121" s="1364" t="n"/>
    </row>
    <row r="122" hidden="1" outlineLevel="1" ht="14.4" customFormat="1" customHeight="1" s="1359">
      <c r="A122" s="1474" t="inlineStr">
        <is>
          <t>M&amp;S - Change in travel and sales support, mm</t>
        </is>
      </c>
      <c r="B122" s="1377" t="n"/>
      <c r="C122" s="1379" t="n"/>
      <c r="D122" s="1379" t="n"/>
      <c r="E122" s="1379" t="n"/>
      <c r="F122" s="1379" t="n"/>
      <c r="G122" s="1361" t="n"/>
      <c r="H122" s="1361" t="n"/>
      <c r="I122" s="1361" t="n"/>
      <c r="J122" s="1361" t="n"/>
      <c r="K122" s="1379" t="n"/>
      <c r="L122" s="1361" t="n"/>
      <c r="M122" s="1361" t="n"/>
      <c r="N122" s="1361" t="n"/>
      <c r="O122" s="1361" t="n"/>
      <c r="P122" s="1379" t="n"/>
      <c r="Q122" s="1361" t="n"/>
      <c r="R122" s="1361" t="n"/>
      <c r="S122" s="1361" t="n"/>
      <c r="T122" s="1361" t="n"/>
      <c r="U122" s="1379" t="n"/>
      <c r="V122" s="1361" t="n"/>
      <c r="W122" s="1361" t="n"/>
      <c r="X122" s="1361" t="n"/>
      <c r="Y122" s="1361">
        <f>Z122-SUM(V122,W122,X122)</f>
        <v/>
      </c>
      <c r="Z122" s="1379" t="n"/>
      <c r="AA122" s="1361" t="n"/>
      <c r="AB122" s="1361" t="n"/>
      <c r="AC122" s="1361" t="n"/>
      <c r="AD122" s="1361">
        <f>AE122-SUM(AA122,AB122,AC122)</f>
        <v/>
      </c>
      <c r="AE122" s="1379" t="n"/>
      <c r="AF122" s="1361" t="n"/>
      <c r="AG122" s="1361" t="n"/>
      <c r="AH122" s="1361" t="n"/>
      <c r="AI122" s="1361">
        <f>AJ122-SUM(AF122,AG122,AH122)</f>
        <v/>
      </c>
      <c r="AJ122" s="1379" t="n"/>
      <c r="AK122" s="1361" t="n"/>
      <c r="AL122" s="1361" t="n"/>
      <c r="AM122" s="1493" t="n">
        <v>1</v>
      </c>
      <c r="AN122" s="1361" t="n"/>
      <c r="AO122" s="1494" t="n">
        <v>2.8</v>
      </c>
      <c r="AP122" s="1361" t="n"/>
      <c r="AQ122" s="1493" t="n">
        <v>-5</v>
      </c>
      <c r="AR122" s="1493" t="n">
        <v>-4</v>
      </c>
      <c r="AS122" s="1361" t="n"/>
      <c r="AT122" s="1494" t="n">
        <v>-13</v>
      </c>
      <c r="AU122" s="1493" t="n">
        <v>-2.5</v>
      </c>
      <c r="AV122" s="1493" t="n">
        <v>0.6</v>
      </c>
      <c r="AW122" s="1361" t="n"/>
      <c r="AX122" s="1361" t="n"/>
      <c r="AY122" s="1379" t="n"/>
      <c r="AZ122" s="1361" t="n"/>
      <c r="BA122" s="1361" t="n"/>
      <c r="BB122" s="1493" t="n">
        <v>1.3</v>
      </c>
      <c r="BC122" s="1361" t="n"/>
      <c r="BD122" s="1494" t="n">
        <v>3.3</v>
      </c>
      <c r="BE122" s="1493" t="n">
        <v>2.1</v>
      </c>
      <c r="BF122" s="1493" t="n">
        <v>2.4</v>
      </c>
      <c r="BG122" s="1493" t="n">
        <v>1.2</v>
      </c>
      <c r="BH122" s="1361" t="n"/>
      <c r="BI122" s="1494" t="n">
        <v>6.6</v>
      </c>
      <c r="BJ122" s="1361" t="n"/>
      <c r="BK122" s="1361" t="n"/>
      <c r="BL122" s="1361" t="n"/>
      <c r="BM122" s="1361" t="n"/>
      <c r="BN122" s="1379" t="n"/>
      <c r="BO122" s="1361" t="n"/>
      <c r="BP122" s="1361" t="n"/>
      <c r="BQ122" s="1363" t="n"/>
      <c r="BR122" s="1361" t="n"/>
      <c r="BS122" s="1379" t="n"/>
      <c r="BT122" s="1361" t="n"/>
      <c r="BU122" s="1361" t="n"/>
      <c r="BV122" s="1361" t="n"/>
      <c r="BW122" s="1361" t="n"/>
      <c r="BX122" s="1379" t="n"/>
      <c r="BY122" s="1379" t="n"/>
      <c r="BZ122" s="1379" t="n"/>
      <c r="CA122" s="1379" t="n"/>
      <c r="CB122" s="1364" t="n"/>
    </row>
    <row r="123" hidden="1" outlineLevel="1" ht="14.4" customFormat="1" customHeight="1" s="1359">
      <c r="A123" s="1474" t="inlineStr">
        <is>
          <t>M&amp;S - Change in professional services, mm</t>
        </is>
      </c>
      <c r="B123" s="1377" t="n"/>
      <c r="C123" s="1379" t="n"/>
      <c r="D123" s="1379" t="n"/>
      <c r="E123" s="1379" t="n"/>
      <c r="F123" s="1379" t="n"/>
      <c r="G123" s="1361" t="n"/>
      <c r="H123" s="1361" t="n"/>
      <c r="I123" s="1361" t="n"/>
      <c r="J123" s="1361" t="n"/>
      <c r="K123" s="1379" t="n"/>
      <c r="L123" s="1361" t="n"/>
      <c r="M123" s="1361" t="n"/>
      <c r="N123" s="1361" t="n"/>
      <c r="O123" s="1361" t="n"/>
      <c r="P123" s="1494" t="n">
        <v>-1.8</v>
      </c>
      <c r="Q123" s="1361" t="n"/>
      <c r="R123" s="1361" t="n"/>
      <c r="S123" s="1361" t="n"/>
      <c r="T123" s="1361" t="n"/>
      <c r="U123" s="1379" t="n"/>
      <c r="V123" s="1361" t="n"/>
      <c r="W123" s="1361" t="n"/>
      <c r="X123" s="1493" t="n">
        <v>-1.7</v>
      </c>
      <c r="Y123" s="1361">
        <f>Z123-SUM(V123,W123,X123)</f>
        <v/>
      </c>
      <c r="Z123" s="1494" t="n">
        <v>-2.7</v>
      </c>
      <c r="AA123" s="1361" t="n"/>
      <c r="AB123" s="1361" t="n"/>
      <c r="AC123" s="1493" t="n">
        <v>-1.4</v>
      </c>
      <c r="AD123" s="1361">
        <f>AE123-SUM(AA123,AB123,AC123)</f>
        <v/>
      </c>
      <c r="AE123" s="1494" t="n">
        <v>-1.6</v>
      </c>
      <c r="AF123" s="1361" t="n"/>
      <c r="AG123" s="1493" t="n">
        <v>0.2</v>
      </c>
      <c r="AH123" s="1493" t="n">
        <v>1.3</v>
      </c>
      <c r="AI123" s="1361">
        <f>AJ123-SUM(AF123,AG123,AH123)</f>
        <v/>
      </c>
      <c r="AJ123" s="1494" t="n">
        <v>2.2</v>
      </c>
      <c r="AK123" s="1361" t="n"/>
      <c r="AL123" s="1361" t="n"/>
      <c r="AM123" s="1361" t="n"/>
      <c r="AN123" s="1361" t="n"/>
      <c r="AO123" s="1379" t="n"/>
      <c r="AP123" s="1361" t="n"/>
      <c r="AQ123" s="1361" t="n"/>
      <c r="AR123" s="1361" t="n"/>
      <c r="AS123" s="1361" t="n"/>
      <c r="AT123" s="1379" t="n"/>
      <c r="AU123" s="1361" t="n"/>
      <c r="AV123" s="1493" t="n">
        <v>0.2</v>
      </c>
      <c r="AW123" s="1493" t="n">
        <v>1</v>
      </c>
      <c r="AX123" s="1361" t="n"/>
      <c r="AY123" s="1494" t="n">
        <v>3.8</v>
      </c>
      <c r="AZ123" s="1361" t="n"/>
      <c r="BA123" s="1361" t="n"/>
      <c r="BB123" s="1361" t="n"/>
      <c r="BC123" s="1361" t="n"/>
      <c r="BD123" s="1494" t="n">
        <v>-3.2</v>
      </c>
      <c r="BE123" s="1361" t="n"/>
      <c r="BF123" s="1361" t="n"/>
      <c r="BG123" s="1361" t="n"/>
      <c r="BH123" s="1361" t="n"/>
      <c r="BI123" s="1379" t="n"/>
      <c r="BJ123" s="1361" t="n"/>
      <c r="BK123" s="1493" t="n">
        <v>2.9</v>
      </c>
      <c r="BL123" s="1493" t="n">
        <v>1.6</v>
      </c>
      <c r="BM123" s="1361" t="n"/>
      <c r="BN123" s="1379" t="n"/>
      <c r="BO123" s="1361" t="n"/>
      <c r="BP123" s="1361" t="n"/>
      <c r="BQ123" s="1363" t="n"/>
      <c r="BR123" s="1361" t="n"/>
      <c r="BS123" s="1379" t="n"/>
      <c r="BT123" s="1361" t="n"/>
      <c r="BU123" s="1361" t="n"/>
      <c r="BV123" s="1361" t="n"/>
      <c r="BW123" s="1361" t="n"/>
      <c r="BX123" s="1379" t="n"/>
      <c r="BY123" s="1379" t="n"/>
      <c r="BZ123" s="1379" t="n"/>
      <c r="CA123" s="1379" t="n"/>
      <c r="CB123" s="1364" t="n"/>
    </row>
    <row r="124" hidden="1" outlineLevel="1" ht="14.4" customFormat="1" customHeight="1" s="1359">
      <c r="A124" s="1474" t="inlineStr">
        <is>
          <t>M&amp;S - Change in facilities and other infrastructure costs, mm</t>
        </is>
      </c>
      <c r="B124" s="1377" t="n"/>
      <c r="C124" s="1379" t="n"/>
      <c r="D124" s="1379" t="n"/>
      <c r="E124" s="1379" t="n"/>
      <c r="F124" s="1379" t="n"/>
      <c r="G124" s="1361" t="n"/>
      <c r="H124" s="1361" t="n"/>
      <c r="I124" s="1361" t="n"/>
      <c r="J124" s="1361" t="n"/>
      <c r="K124" s="1379" t="n"/>
      <c r="L124" s="1361" t="n"/>
      <c r="M124" s="1361" t="n"/>
      <c r="N124" s="1361" t="n"/>
      <c r="O124" s="1361" t="n"/>
      <c r="P124" s="1494" t="n">
        <v>-1.6</v>
      </c>
      <c r="Q124" s="1361" t="n"/>
      <c r="R124" s="1361" t="n"/>
      <c r="S124" s="1361" t="n"/>
      <c r="T124" s="1361" t="n"/>
      <c r="U124" s="1379" t="n"/>
      <c r="V124" s="1361" t="n"/>
      <c r="W124" s="1361" t="n"/>
      <c r="X124" s="1361" t="n"/>
      <c r="Y124" s="1361">
        <f>Z124-SUM(V124,W124,X124)</f>
        <v/>
      </c>
      <c r="Z124" s="1379" t="n"/>
      <c r="AA124" s="1361" t="n"/>
      <c r="AB124" s="1493" t="n">
        <v>1.4</v>
      </c>
      <c r="AC124" s="1493" t="n">
        <v>2</v>
      </c>
      <c r="AD124" s="1361">
        <f>AE124-SUM(AA124,AB124,AC124)</f>
        <v/>
      </c>
      <c r="AE124" s="1494" t="n">
        <v>4.8</v>
      </c>
      <c r="AF124" s="1361" t="n"/>
      <c r="AG124" s="1361" t="n"/>
      <c r="AH124" s="1361" t="n"/>
      <c r="AI124" s="1361">
        <f>AJ124-SUM(AF124,AG124,AH124)</f>
        <v/>
      </c>
      <c r="AJ124" s="1494" t="n">
        <v>0.8</v>
      </c>
      <c r="AK124" s="1361" t="n"/>
      <c r="AL124" s="1361" t="n"/>
      <c r="AM124" s="1493" t="n">
        <v>1.3</v>
      </c>
      <c r="AN124" s="1361" t="n"/>
      <c r="AO124" s="1494" t="n">
        <v>2.4</v>
      </c>
      <c r="AP124" s="1493" t="n">
        <v>1</v>
      </c>
      <c r="AQ124" s="1361" t="n"/>
      <c r="AR124" s="1361" t="n"/>
      <c r="AS124" s="1361" t="n"/>
      <c r="AT124" s="1379" t="n"/>
      <c r="AU124" s="1361" t="n"/>
      <c r="AV124" s="1361" t="n"/>
      <c r="AW124" s="1361" t="n"/>
      <c r="AX124" s="1361" t="n"/>
      <c r="AY124" s="1379" t="n"/>
      <c r="AZ124" s="1361" t="n"/>
      <c r="BA124" s="1361" t="n"/>
      <c r="BB124" s="1361" t="n"/>
      <c r="BC124" s="1361" t="n"/>
      <c r="BD124" s="1494" t="n">
        <v>3.9</v>
      </c>
      <c r="BE124" s="1493" t="n">
        <v>1.8</v>
      </c>
      <c r="BF124" s="1493" t="n">
        <v>2.7</v>
      </c>
      <c r="BG124" s="1493" t="n">
        <v>2.3</v>
      </c>
      <c r="BH124" s="1361" t="n"/>
      <c r="BI124" s="1494" t="n">
        <v>8.800000000000001</v>
      </c>
      <c r="BJ124" s="1493" t="n">
        <v>2.1</v>
      </c>
      <c r="BK124" s="1493" t="n">
        <v>2.1</v>
      </c>
      <c r="BL124" s="1493" t="n">
        <v>1.1</v>
      </c>
      <c r="BM124" s="1361" t="n"/>
      <c r="BN124" s="1494" t="n">
        <v>6.7</v>
      </c>
      <c r="BO124" s="1361" t="n"/>
      <c r="BP124" s="1361" t="n"/>
      <c r="BQ124" s="1363" t="n"/>
      <c r="BR124" s="1361" t="n"/>
      <c r="BS124" s="1379" t="n"/>
      <c r="BT124" s="1361" t="n"/>
      <c r="BU124" s="1361" t="n"/>
      <c r="BV124" s="1361" t="n"/>
      <c r="BW124" s="1361" t="n"/>
      <c r="BX124" s="1379" t="n"/>
      <c r="BY124" s="1379" t="n"/>
      <c r="BZ124" s="1379" t="n"/>
      <c r="CA124" s="1379" t="n"/>
      <c r="CB124" s="1364" t="n"/>
    </row>
    <row r="125" hidden="1" outlineLevel="1" ht="14.4" customFormat="1" customHeight="1" s="1359">
      <c r="A125" s="1478" t="inlineStr">
        <is>
          <t>M&amp;S - Change in other items, mm</t>
        </is>
      </c>
      <c r="B125" s="1454" t="n"/>
      <c r="C125" s="1455" t="n"/>
      <c r="D125" s="1455" t="n"/>
      <c r="E125" s="1455" t="n"/>
      <c r="F125" s="1455" t="n"/>
      <c r="G125" s="1456" t="n"/>
      <c r="H125" s="1456" t="n"/>
      <c r="I125" s="1456" t="n"/>
      <c r="J125" s="1456" t="n"/>
      <c r="K125" s="1455" t="n"/>
      <c r="L125" s="1456" t="n"/>
      <c r="M125" s="1456" t="n"/>
      <c r="N125" s="1456" t="n"/>
      <c r="O125" s="1456" t="n"/>
      <c r="P125" s="1480" t="n">
        <v>0.9</v>
      </c>
      <c r="Q125" s="1456" t="n"/>
      <c r="R125" s="1456" t="n"/>
      <c r="S125" s="1456" t="n"/>
      <c r="T125" s="1456" t="n"/>
      <c r="U125" s="1480" t="n">
        <v>0.7</v>
      </c>
      <c r="V125" s="1456">
        <f>ROUND(V126,1)-ROUND(V116,1)</f>
        <v/>
      </c>
      <c r="W125" s="1479" t="n">
        <v>1.4</v>
      </c>
      <c r="X125" s="1479" t="n">
        <v>-0.2</v>
      </c>
      <c r="Y125" s="1456">
        <f>Z125-SUM(V125,W125,X125)-0.2</f>
        <v/>
      </c>
      <c r="Z125" s="1480" t="n">
        <v>1.8</v>
      </c>
      <c r="AA125" s="1479" t="n">
        <v>1.2</v>
      </c>
      <c r="AB125" s="1479" t="n">
        <v>-1.3</v>
      </c>
      <c r="AC125" s="1479" t="n">
        <v>-0.9</v>
      </c>
      <c r="AD125" s="1456">
        <f>AE125-SUM(AA125,AB125,AC125)</f>
        <v/>
      </c>
      <c r="AE125" s="1480" t="n">
        <v>-1.8</v>
      </c>
      <c r="AF125" s="1479" t="n">
        <v>1.1</v>
      </c>
      <c r="AG125" s="1479" t="n">
        <v>0.3</v>
      </c>
      <c r="AH125" s="1479" t="n">
        <v>-0.8</v>
      </c>
      <c r="AI125" s="1456">
        <f>AJ125-SUM(AF125,AG125,AH125)-0.1</f>
        <v/>
      </c>
      <c r="AJ125" s="1480" t="n">
        <v>0.7</v>
      </c>
      <c r="AK125" s="1456" t="n"/>
      <c r="AL125" s="1479" t="n">
        <v>1.7</v>
      </c>
      <c r="AM125" s="1479" t="n">
        <v>0.9</v>
      </c>
      <c r="AN125" s="1456" t="n"/>
      <c r="AO125" s="1480" t="n">
        <v>1.8</v>
      </c>
      <c r="AP125" s="1479" t="n">
        <v>0.3</v>
      </c>
      <c r="AQ125" s="1479" t="n">
        <v>0.5</v>
      </c>
      <c r="AR125" s="1479" t="n">
        <v>-1.3</v>
      </c>
      <c r="AS125" s="1456" t="n"/>
      <c r="AT125" s="1480" t="n">
        <v>1.1</v>
      </c>
      <c r="AU125" s="1479" t="n">
        <v>1.1</v>
      </c>
      <c r="AV125" s="1479" t="n">
        <v>0.8</v>
      </c>
      <c r="AW125" s="1456">
        <f>AW126-SUM(AW116:AW124)</f>
        <v/>
      </c>
      <c r="AX125" s="1456" t="n"/>
      <c r="AY125" s="1455">
        <f>AY126-SUM(AY116:AY124)</f>
        <v/>
      </c>
      <c r="AZ125" s="1479" t="n">
        <v>1.3</v>
      </c>
      <c r="BA125" s="1456">
        <f>BA126-SUM(BA116:BA124)</f>
        <v/>
      </c>
      <c r="BB125" s="1456">
        <f>BB126-SUM(BB116:BB124)</f>
        <v/>
      </c>
      <c r="BC125" s="1456" t="n"/>
      <c r="BD125" s="1455">
        <f>BD126-SUM(BD116:BD124)</f>
        <v/>
      </c>
      <c r="BE125" s="1456">
        <f>BE126-SUM(BE116:BE124)</f>
        <v/>
      </c>
      <c r="BF125" s="1456">
        <f>BF126-SUM(BF116:BF124)</f>
        <v/>
      </c>
      <c r="BG125" s="1456">
        <f>BG126-SUM(BG116:BG124)</f>
        <v/>
      </c>
      <c r="BH125" s="1456" t="n"/>
      <c r="BI125" s="1455">
        <f>BI126-SUM(BI116:BI124)</f>
        <v/>
      </c>
      <c r="BJ125" s="1456">
        <f>BJ126-SUM(BJ116:BJ124)</f>
        <v/>
      </c>
      <c r="BK125" s="1456">
        <f>BK126-SUM(BK116:BK124)</f>
        <v/>
      </c>
      <c r="BL125" s="1456">
        <f>BL126-SUM(BL116:BL124)</f>
        <v/>
      </c>
      <c r="BM125" s="1456" t="n"/>
      <c r="BN125" s="1455">
        <f>BN126-SUM(BN116:BN124)</f>
        <v/>
      </c>
      <c r="BO125" s="1456">
        <f>BO126-SUM(BO116:BO124)</f>
        <v/>
      </c>
      <c r="BP125" s="1456">
        <f>BP126-SUM(BP116:BP124)</f>
        <v/>
      </c>
      <c r="BQ125" s="1457">
        <f>BQ126-SUM(BQ116:BQ124)</f>
        <v/>
      </c>
      <c r="BR125" s="1456" t="n"/>
      <c r="BS125" s="1455" t="n"/>
      <c r="BT125" s="1456" t="n"/>
      <c r="BU125" s="1456" t="n"/>
      <c r="BV125" s="1456" t="n"/>
      <c r="BW125" s="1456" t="n"/>
      <c r="BX125" s="1455" t="n"/>
      <c r="BY125" s="1455" t="n"/>
      <c r="BZ125" s="1455" t="n"/>
      <c r="CA125" s="1455" t="n"/>
      <c r="CB125" s="1364" t="n"/>
    </row>
    <row r="126" hidden="1" outlineLevel="1" ht="14.4" customFormat="1" customHeight="1" s="1372">
      <c r="A126" s="1447" t="inlineStr">
        <is>
          <t>Current Marketing and sales, mm</t>
        </is>
      </c>
      <c r="B126" s="1448" t="n"/>
      <c r="C126" s="1449" t="n"/>
      <c r="D126" s="1449" t="n"/>
      <c r="E126" s="1449" t="n"/>
      <c r="F126" s="1449" t="n"/>
      <c r="G126" s="1450" t="n"/>
      <c r="H126" s="1450" t="n"/>
      <c r="I126" s="1450" t="n"/>
      <c r="J126" s="1450" t="n"/>
      <c r="K126" s="1449" t="n"/>
      <c r="L126" s="1450" t="n"/>
      <c r="M126" s="1450" t="n"/>
      <c r="N126" s="1450" t="n"/>
      <c r="O126" s="1450" t="n"/>
      <c r="P126" s="1449">
        <f>P348</f>
        <v/>
      </c>
      <c r="Q126" s="1450" t="n"/>
      <c r="R126" s="1450" t="n"/>
      <c r="S126" s="1450" t="n"/>
      <c r="T126" s="1450" t="n"/>
      <c r="U126" s="1449">
        <f>U348</f>
        <v/>
      </c>
      <c r="V126" s="1450">
        <f>V348</f>
        <v/>
      </c>
      <c r="W126" s="1450">
        <f>W348</f>
        <v/>
      </c>
      <c r="X126" s="1450">
        <f>X348</f>
        <v/>
      </c>
      <c r="Y126" s="1450">
        <f>Y348</f>
        <v/>
      </c>
      <c r="Z126" s="1449">
        <f>Z348</f>
        <v/>
      </c>
      <c r="AA126" s="1450">
        <f>AA348</f>
        <v/>
      </c>
      <c r="AB126" s="1450">
        <f>AB348</f>
        <v/>
      </c>
      <c r="AC126" s="1450">
        <f>AC348</f>
        <v/>
      </c>
      <c r="AD126" s="1450">
        <f>AD348</f>
        <v/>
      </c>
      <c r="AE126" s="1449">
        <f>AE348</f>
        <v/>
      </c>
      <c r="AF126" s="1450">
        <f>AF348</f>
        <v/>
      </c>
      <c r="AG126" s="1450">
        <f>AG348</f>
        <v/>
      </c>
      <c r="AH126" s="1450">
        <f>AH348</f>
        <v/>
      </c>
      <c r="AI126" s="1450">
        <f>AI348</f>
        <v/>
      </c>
      <c r="AJ126" s="1449">
        <f>AJ348</f>
        <v/>
      </c>
      <c r="AK126" s="1450">
        <f>AK348</f>
        <v/>
      </c>
      <c r="AL126" s="1450">
        <f>AL348</f>
        <v/>
      </c>
      <c r="AM126" s="1450">
        <f>AM348</f>
        <v/>
      </c>
      <c r="AN126" s="1450" t="n"/>
      <c r="AO126" s="1449">
        <f>AO348</f>
        <v/>
      </c>
      <c r="AP126" s="1450">
        <f>AP348</f>
        <v/>
      </c>
      <c r="AQ126" s="1450">
        <f>AQ348</f>
        <v/>
      </c>
      <c r="AR126" s="1450">
        <f>AR348</f>
        <v/>
      </c>
      <c r="AS126" s="1450" t="n"/>
      <c r="AT126" s="1449">
        <f>AT348</f>
        <v/>
      </c>
      <c r="AU126" s="1450">
        <f>AU348</f>
        <v/>
      </c>
      <c r="AV126" s="1450">
        <f>AV348</f>
        <v/>
      </c>
      <c r="AW126" s="1450">
        <f>AW348</f>
        <v/>
      </c>
      <c r="AX126" s="1450" t="n"/>
      <c r="AY126" s="1449">
        <f>AY348</f>
        <v/>
      </c>
      <c r="AZ126" s="1450">
        <f>AZ348</f>
        <v/>
      </c>
      <c r="BA126" s="1450">
        <f>BA348</f>
        <v/>
      </c>
      <c r="BB126" s="1450">
        <f>BB348</f>
        <v/>
      </c>
      <c r="BC126" s="1450" t="n"/>
      <c r="BD126" s="1449">
        <f>BD348</f>
        <v/>
      </c>
      <c r="BE126" s="1450">
        <f>BE348</f>
        <v/>
      </c>
      <c r="BF126" s="1450">
        <f>BF348</f>
        <v/>
      </c>
      <c r="BG126" s="1450">
        <f>BG348</f>
        <v/>
      </c>
      <c r="BH126" s="1450" t="n"/>
      <c r="BI126" s="1449">
        <f>BI348</f>
        <v/>
      </c>
      <c r="BJ126" s="1450">
        <f>BJ348</f>
        <v/>
      </c>
      <c r="BK126" s="1450">
        <f>BK348</f>
        <v/>
      </c>
      <c r="BL126" s="1450">
        <f>BL348</f>
        <v/>
      </c>
      <c r="BM126" s="1450" t="n"/>
      <c r="BN126" s="1449">
        <f>BN348</f>
        <v/>
      </c>
      <c r="BO126" s="1450">
        <f>BO348</f>
        <v/>
      </c>
      <c r="BP126" s="1450">
        <f>BP348</f>
        <v/>
      </c>
      <c r="BQ126" s="1451">
        <f>BQ348</f>
        <v/>
      </c>
      <c r="BR126" s="1450" t="n"/>
      <c r="BS126" s="1449" t="n"/>
      <c r="BT126" s="1450" t="n"/>
      <c r="BU126" s="1450" t="n"/>
      <c r="BV126" s="1450" t="n"/>
      <c r="BW126" s="1450" t="n"/>
      <c r="BX126" s="1449" t="n"/>
      <c r="BY126" s="1449" t="n"/>
      <c r="BZ126" s="1449" t="n"/>
      <c r="CA126" s="1449" t="n"/>
      <c r="CB126" s="1375" t="n"/>
    </row>
    <row r="127" hidden="1" outlineLevel="1" ht="14.4" customFormat="1" customHeight="1" s="1359">
      <c r="A127" s="1503" t="n"/>
      <c r="B127" s="1377" t="n"/>
      <c r="C127" s="1379" t="n"/>
      <c r="D127" s="1379" t="n"/>
      <c r="E127" s="1379" t="n"/>
      <c r="F127" s="1379" t="n"/>
      <c r="G127" s="1361" t="n"/>
      <c r="H127" s="1361" t="n"/>
      <c r="I127" s="1361" t="n"/>
      <c r="J127" s="1361" t="n"/>
      <c r="K127" s="1379" t="n"/>
      <c r="L127" s="1361" t="n"/>
      <c r="M127" s="1361" t="n"/>
      <c r="N127" s="1361" t="n"/>
      <c r="O127" s="1361" t="n"/>
      <c r="P127" s="1379" t="n"/>
      <c r="Q127" s="1361" t="n"/>
      <c r="R127" s="1361" t="n"/>
      <c r="S127" s="1361" t="n"/>
      <c r="T127" s="1361" t="n"/>
      <c r="U127" s="1379" t="n"/>
      <c r="V127" s="1361" t="n"/>
      <c r="W127" s="1361" t="n"/>
      <c r="X127" s="1361" t="n"/>
      <c r="Y127" s="1361" t="n"/>
      <c r="Z127" s="1379" t="n"/>
      <c r="AA127" s="1361" t="n"/>
      <c r="AB127" s="1361" t="n"/>
      <c r="AC127" s="1361" t="n"/>
      <c r="AD127" s="1361" t="n"/>
      <c r="AE127" s="1379" t="n"/>
      <c r="AF127" s="1361" t="n"/>
      <c r="AG127" s="1361" t="n"/>
      <c r="AH127" s="1361" t="n"/>
      <c r="AI127" s="1361" t="n"/>
      <c r="AJ127" s="1379" t="n"/>
      <c r="AK127" s="1361" t="n"/>
      <c r="AL127" s="1361" t="n"/>
      <c r="AM127" s="1361" t="n"/>
      <c r="AN127" s="1361" t="n"/>
      <c r="AO127" s="1379" t="n"/>
      <c r="AP127" s="1361" t="n"/>
      <c r="AQ127" s="1361" t="n"/>
      <c r="AR127" s="1361" t="n"/>
      <c r="AS127" s="1361" t="n"/>
      <c r="AT127" s="1379" t="n"/>
      <c r="AU127" s="1361" t="n"/>
      <c r="AV127" s="1361" t="n"/>
      <c r="AW127" s="1361" t="n"/>
      <c r="AX127" s="1361" t="n"/>
      <c r="AY127" s="1379" t="n"/>
      <c r="AZ127" s="1361" t="n"/>
      <c r="BA127" s="1361" t="n"/>
      <c r="BB127" s="1361" t="n"/>
      <c r="BC127" s="1361" t="n"/>
      <c r="BD127" s="1379" t="n"/>
      <c r="BE127" s="1361" t="n"/>
      <c r="BF127" s="1361" t="n"/>
      <c r="BG127" s="1361" t="n"/>
      <c r="BH127" s="1361" t="n"/>
      <c r="BI127" s="1379" t="n"/>
      <c r="BJ127" s="1361" t="n"/>
      <c r="BK127" s="1361" t="n"/>
      <c r="BL127" s="1361" t="n"/>
      <c r="BM127" s="1361" t="n"/>
      <c r="BN127" s="1379" t="n"/>
      <c r="BO127" s="1361" t="n"/>
      <c r="BP127" s="1361" t="n"/>
      <c r="BQ127" s="1363" t="n"/>
      <c r="BR127" s="1361" t="n"/>
      <c r="BS127" s="1379" t="n"/>
      <c r="BT127" s="1361" t="n"/>
      <c r="BU127" s="1361" t="n"/>
      <c r="BV127" s="1361" t="n"/>
      <c r="BW127" s="1361" t="n"/>
      <c r="BX127" s="1379" t="n"/>
      <c r="BY127" s="1379" t="n"/>
      <c r="BZ127" s="1379" t="n"/>
      <c r="CA127" s="1379" t="n"/>
      <c r="CB127" s="1364" t="n"/>
    </row>
    <row r="128" hidden="1" outlineLevel="1" ht="14.4" customFormat="1" customHeight="1" s="1372">
      <c r="A128" s="1447" t="inlineStr">
        <is>
          <t>Previous R&amp;D, mm</t>
        </is>
      </c>
      <c r="B128" s="1448" t="n"/>
      <c r="C128" s="1449" t="n"/>
      <c r="D128" s="1449" t="n"/>
      <c r="E128" s="1449" t="n"/>
      <c r="F128" s="1449" t="n"/>
      <c r="G128" s="1450" t="n"/>
      <c r="H128" s="1450" t="n"/>
      <c r="I128" s="1450" t="n"/>
      <c r="J128" s="1450" t="n"/>
      <c r="K128" s="1449" t="n"/>
      <c r="L128" s="1450" t="n"/>
      <c r="M128" s="1450" t="n"/>
      <c r="N128" s="1450" t="n"/>
      <c r="O128" s="1450" t="n"/>
      <c r="P128" s="1449">
        <f>K349</f>
        <v/>
      </c>
      <c r="Q128" s="1450" t="n"/>
      <c r="R128" s="1450" t="n"/>
      <c r="S128" s="1450" t="n"/>
      <c r="T128" s="1450" t="n"/>
      <c r="U128" s="1449">
        <f>P349</f>
        <v/>
      </c>
      <c r="V128" s="1450">
        <f>Q349</f>
        <v/>
      </c>
      <c r="W128" s="1450">
        <f>R349</f>
        <v/>
      </c>
      <c r="X128" s="1450">
        <f>S349</f>
        <v/>
      </c>
      <c r="Y128" s="1450">
        <f>T349</f>
        <v/>
      </c>
      <c r="Z128" s="1449">
        <f>U349</f>
        <v/>
      </c>
      <c r="AA128" s="1450">
        <f>V349</f>
        <v/>
      </c>
      <c r="AB128" s="1450">
        <f>W349</f>
        <v/>
      </c>
      <c r="AC128" s="1450">
        <f>X349</f>
        <v/>
      </c>
      <c r="AD128" s="1450">
        <f>Y349</f>
        <v/>
      </c>
      <c r="AE128" s="1449">
        <f>Z349</f>
        <v/>
      </c>
      <c r="AF128" s="1450">
        <f>AA349</f>
        <v/>
      </c>
      <c r="AG128" s="1450">
        <f>AB349</f>
        <v/>
      </c>
      <c r="AH128" s="1450">
        <f>AC349</f>
        <v/>
      </c>
      <c r="AI128" s="1450">
        <f>AD349</f>
        <v/>
      </c>
      <c r="AJ128" s="1449">
        <f>AE349</f>
        <v/>
      </c>
      <c r="AK128" s="1450">
        <f>AF349</f>
        <v/>
      </c>
      <c r="AL128" s="1450">
        <f>AG349</f>
        <v/>
      </c>
      <c r="AM128" s="1450">
        <f>AH349</f>
        <v/>
      </c>
      <c r="AN128" s="1450" t="n"/>
      <c r="AO128" s="1449">
        <f>AJ349</f>
        <v/>
      </c>
      <c r="AP128" s="1450">
        <f>AK349</f>
        <v/>
      </c>
      <c r="AQ128" s="1450">
        <f>AL349</f>
        <v/>
      </c>
      <c r="AR128" s="1450">
        <f>AM349</f>
        <v/>
      </c>
      <c r="AS128" s="1450" t="n"/>
      <c r="AT128" s="1449">
        <f>AO349</f>
        <v/>
      </c>
      <c r="AU128" s="1450">
        <f>AP349</f>
        <v/>
      </c>
      <c r="AV128" s="1450">
        <f>AQ349</f>
        <v/>
      </c>
      <c r="AW128" s="1450">
        <f>AR349</f>
        <v/>
      </c>
      <c r="AX128" s="1450" t="n"/>
      <c r="AY128" s="1449">
        <f>AT349</f>
        <v/>
      </c>
      <c r="AZ128" s="1450">
        <f>AU349</f>
        <v/>
      </c>
      <c r="BA128" s="1450">
        <f>AV349</f>
        <v/>
      </c>
      <c r="BB128" s="1450">
        <f>AW349</f>
        <v/>
      </c>
      <c r="BC128" s="1450" t="n"/>
      <c r="BD128" s="1449">
        <f>AY349</f>
        <v/>
      </c>
      <c r="BE128" s="1450">
        <f>AZ349</f>
        <v/>
      </c>
      <c r="BF128" s="1450">
        <f>BA349</f>
        <v/>
      </c>
      <c r="BG128" s="1450">
        <f>BB349</f>
        <v/>
      </c>
      <c r="BH128" s="1450" t="n"/>
      <c r="BI128" s="1449">
        <f>BD349</f>
        <v/>
      </c>
      <c r="BJ128" s="1450">
        <f>BE349</f>
        <v/>
      </c>
      <c r="BK128" s="1450">
        <f>BF349</f>
        <v/>
      </c>
      <c r="BL128" s="1450">
        <f>BG349</f>
        <v/>
      </c>
      <c r="BM128" s="1450" t="n"/>
      <c r="BN128" s="1449">
        <f>BI349</f>
        <v/>
      </c>
      <c r="BO128" s="1450">
        <f>BJ349</f>
        <v/>
      </c>
      <c r="BP128" s="1450">
        <f>BK349</f>
        <v/>
      </c>
      <c r="BQ128" s="1451">
        <f>BL349</f>
        <v/>
      </c>
      <c r="BR128" s="1450" t="n"/>
      <c r="BS128" s="1449" t="n"/>
      <c r="BT128" s="1450" t="n"/>
      <c r="BU128" s="1450" t="n"/>
      <c r="BV128" s="1450" t="n"/>
      <c r="BW128" s="1450" t="n"/>
      <c r="BX128" s="1449" t="n"/>
      <c r="BY128" s="1449" t="n"/>
      <c r="BZ128" s="1449" t="n"/>
      <c r="CA128" s="1449" t="n"/>
      <c r="CB128" s="1375" t="n"/>
    </row>
    <row r="129" hidden="1" outlineLevel="1" ht="14.4" customFormat="1" customHeight="1" s="1359">
      <c r="A129" s="1474" t="inlineStr">
        <is>
          <t>R&amp;D - Change in salary, benefits and other employee-related costs, mm</t>
        </is>
      </c>
      <c r="B129" s="1377" t="n"/>
      <c r="C129" s="1379" t="n"/>
      <c r="D129" s="1379" t="n"/>
      <c r="E129" s="1379" t="n"/>
      <c r="F129" s="1379" t="n"/>
      <c r="G129" s="1361" t="n"/>
      <c r="H129" s="1361" t="n"/>
      <c r="I129" s="1361" t="n"/>
      <c r="J129" s="1361" t="n"/>
      <c r="K129" s="1379" t="n"/>
      <c r="L129" s="1361" t="n"/>
      <c r="M129" s="1361" t="n"/>
      <c r="N129" s="1361" t="n"/>
      <c r="O129" s="1361" t="n"/>
      <c r="P129" s="1494" t="n">
        <v>40.1</v>
      </c>
      <c r="Q129" s="1361" t="n"/>
      <c r="R129" s="1361" t="n"/>
      <c r="S129" s="1361" t="n"/>
      <c r="T129" s="1361" t="n"/>
      <c r="U129" s="1494" t="n">
        <v>6.6</v>
      </c>
      <c r="V129" s="1493" t="n">
        <v>14.5</v>
      </c>
      <c r="W129" s="1493" t="n">
        <v>20</v>
      </c>
      <c r="X129" s="1493" t="n">
        <v>25.8</v>
      </c>
      <c r="Y129" s="1361">
        <f>Z129-SUM(V129,W129,X129)</f>
        <v/>
      </c>
      <c r="Z129" s="1494" t="n">
        <v>75.7</v>
      </c>
      <c r="AA129" s="1493" t="n">
        <v>15.5</v>
      </c>
      <c r="AB129" s="1493" t="n">
        <v>9.699999999999999</v>
      </c>
      <c r="AC129" s="1493" t="n">
        <v>6.7</v>
      </c>
      <c r="AD129" s="1361">
        <f>AE129-SUM(AA129,AB129,AC129)</f>
        <v/>
      </c>
      <c r="AE129" s="1494" t="n">
        <v>44.4</v>
      </c>
      <c r="AF129" s="1493" t="n">
        <v>15</v>
      </c>
      <c r="AG129" s="1493" t="n">
        <v>13.9</v>
      </c>
      <c r="AH129" s="1493" t="n">
        <v>15</v>
      </c>
      <c r="AI129" s="1361">
        <f>AJ129-SUM(AF129,AG129,AH129)</f>
        <v/>
      </c>
      <c r="AJ129" s="1494" t="n">
        <v>52.5</v>
      </c>
      <c r="AK129" s="1493" t="n">
        <v>3.7</v>
      </c>
      <c r="AL129" s="1493" t="n">
        <v>6.5</v>
      </c>
      <c r="AM129" s="1493" t="n">
        <v>12.8</v>
      </c>
      <c r="AN129" s="1361" t="n"/>
      <c r="AO129" s="1494" t="n">
        <v>33.6</v>
      </c>
      <c r="AP129" s="1493" t="n">
        <v>11.2</v>
      </c>
      <c r="AQ129" s="1493" t="n">
        <v>16.5</v>
      </c>
      <c r="AR129" s="1493" t="n">
        <v>16.5</v>
      </c>
      <c r="AS129" s="1361" t="n"/>
      <c r="AT129" s="1494" t="n">
        <v>95.7</v>
      </c>
      <c r="AU129" s="1493" t="n">
        <v>25.7</v>
      </c>
      <c r="AV129" s="1493" t="n">
        <v>22.5</v>
      </c>
      <c r="AW129" s="1493" t="n">
        <v>28.4</v>
      </c>
      <c r="AX129" s="1361" t="n"/>
      <c r="AY129" s="1494" t="n">
        <v>75.90000000000001</v>
      </c>
      <c r="AZ129" s="1493" t="n">
        <v>13.8</v>
      </c>
      <c r="BA129" s="1493" t="n">
        <v>4.6</v>
      </c>
      <c r="BB129" s="1493" t="n">
        <v>16.6</v>
      </c>
      <c r="BC129" s="1361" t="n"/>
      <c r="BD129" s="1494" t="n">
        <v>76.59999999999999</v>
      </c>
      <c r="BE129" s="1493" t="n">
        <v>41.6</v>
      </c>
      <c r="BF129" s="1493" t="n">
        <v>51.3</v>
      </c>
      <c r="BG129" s="1493" t="n">
        <v>26.6</v>
      </c>
      <c r="BH129" s="1361" t="n"/>
      <c r="BI129" s="1494" t="n">
        <v>121.9</v>
      </c>
      <c r="BJ129" s="1493" t="n">
        <v>13.4</v>
      </c>
      <c r="BK129" s="1493" t="n">
        <v>2.1</v>
      </c>
      <c r="BL129" s="1493" t="n">
        <v>20.6</v>
      </c>
      <c r="BM129" s="1361" t="n"/>
      <c r="BN129" s="1494" t="n">
        <v>49.1</v>
      </c>
      <c r="BO129" s="1493" t="n">
        <v>43.1</v>
      </c>
      <c r="BP129" s="1493" t="n">
        <v>43.3</v>
      </c>
      <c r="BQ129" s="1502" t="n">
        <v>11.2</v>
      </c>
      <c r="BR129" s="1361" t="n"/>
      <c r="BS129" s="1379" t="n"/>
      <c r="BT129" s="1361" t="n"/>
      <c r="BU129" s="1361" t="n"/>
      <c r="BV129" s="1361" t="n"/>
      <c r="BW129" s="1361" t="n"/>
      <c r="BX129" s="1379" t="n"/>
      <c r="BY129" s="1379" t="n"/>
      <c r="BZ129" s="1379" t="n"/>
      <c r="CA129" s="1379" t="n"/>
      <c r="CB129" s="1364" t="n"/>
    </row>
    <row r="130" hidden="1" outlineLevel="1" ht="14.4" customFormat="1" customHeight="1" s="1359">
      <c r="A130" s="1474" t="inlineStr">
        <is>
          <t>R&amp;D - Change in voluntary retirement program, mm</t>
        </is>
      </c>
      <c r="B130" s="1377" t="n"/>
      <c r="C130" s="1379" t="n"/>
      <c r="D130" s="1379" t="n"/>
      <c r="E130" s="1379" t="n"/>
      <c r="F130" s="1379" t="n"/>
      <c r="G130" s="1361" t="n"/>
      <c r="H130" s="1361" t="n"/>
      <c r="I130" s="1361" t="n"/>
      <c r="J130" s="1361" t="n"/>
      <c r="K130" s="1379" t="n"/>
      <c r="L130" s="1361" t="n"/>
      <c r="M130" s="1361" t="n"/>
      <c r="N130" s="1361" t="n"/>
      <c r="O130" s="1361" t="n"/>
      <c r="P130" s="1379" t="n"/>
      <c r="Q130" s="1361" t="n"/>
      <c r="R130" s="1361" t="n"/>
      <c r="S130" s="1361" t="n"/>
      <c r="T130" s="1361" t="n"/>
      <c r="U130" s="1379" t="n"/>
      <c r="V130" s="1361" t="n"/>
      <c r="W130" s="1361" t="n"/>
      <c r="X130" s="1361" t="n"/>
      <c r="Y130" s="1361" t="n"/>
      <c r="Z130" s="1379" t="n"/>
      <c r="AA130" s="1361" t="n"/>
      <c r="AB130" s="1361" t="n"/>
      <c r="AC130" s="1361" t="n"/>
      <c r="AD130" s="1361" t="n"/>
      <c r="AE130" s="1379" t="n"/>
      <c r="AF130" s="1361" t="n"/>
      <c r="AG130" s="1361" t="n"/>
      <c r="AH130" s="1361" t="n"/>
      <c r="AI130" s="1361" t="n"/>
      <c r="AJ130" s="1379" t="n"/>
      <c r="AK130" s="1361" t="n"/>
      <c r="AL130" s="1361" t="n"/>
      <c r="AM130" s="1361" t="n"/>
      <c r="AN130" s="1361" t="n"/>
      <c r="AO130" s="1379" t="n"/>
      <c r="AP130" s="1361" t="n"/>
      <c r="AQ130" s="1361" t="n"/>
      <c r="AR130" s="1361" t="n"/>
      <c r="AS130" s="1361" t="n"/>
      <c r="AT130" s="1379" t="n"/>
      <c r="AU130" s="1361" t="n"/>
      <c r="AV130" s="1493" t="n">
        <v>14.7</v>
      </c>
      <c r="AW130" s="1361" t="n"/>
      <c r="AX130" s="1361" t="n"/>
      <c r="AY130" s="1494" t="n">
        <v>14.7</v>
      </c>
      <c r="AZ130" s="1361" t="n"/>
      <c r="BA130" s="1493" t="n">
        <v>-14.7</v>
      </c>
      <c r="BB130" s="1361" t="n"/>
      <c r="BC130" s="1361" t="n"/>
      <c r="BD130" s="1494" t="n">
        <v>-14.7</v>
      </c>
      <c r="BE130" s="1361" t="n"/>
      <c r="BF130" s="1361" t="n"/>
      <c r="BG130" s="1361" t="n"/>
      <c r="BH130" s="1361" t="n"/>
      <c r="BI130" s="1379" t="n"/>
      <c r="BJ130" s="1361" t="n"/>
      <c r="BK130" s="1361" t="n"/>
      <c r="BL130" s="1361" t="n"/>
      <c r="BM130" s="1361" t="n"/>
      <c r="BN130" s="1379" t="n"/>
      <c r="BO130" s="1361" t="n"/>
      <c r="BP130" s="1361" t="n"/>
      <c r="BQ130" s="1363" t="n"/>
      <c r="BR130" s="1361" t="n"/>
      <c r="BS130" s="1379" t="n"/>
      <c r="BT130" s="1361" t="n"/>
      <c r="BU130" s="1361" t="n"/>
      <c r="BV130" s="1361" t="n"/>
      <c r="BW130" s="1361" t="n"/>
      <c r="BX130" s="1379" t="n"/>
      <c r="BY130" s="1379" t="n"/>
      <c r="BZ130" s="1379" t="n"/>
      <c r="CA130" s="1379" t="n"/>
      <c r="CB130" s="1364" t="n"/>
    </row>
    <row r="131" hidden="1" outlineLevel="1" ht="14.4" customFormat="1" customHeight="1" s="1359">
      <c r="A131" s="1474" t="inlineStr">
        <is>
          <t>R&amp;D - Change in home office-related expenses, mm</t>
        </is>
      </c>
      <c r="B131" s="1377" t="n"/>
      <c r="C131" s="1379" t="n"/>
      <c r="D131" s="1379" t="n"/>
      <c r="E131" s="1379" t="n"/>
      <c r="F131" s="1379" t="n"/>
      <c r="G131" s="1361" t="n"/>
      <c r="H131" s="1361" t="n"/>
      <c r="I131" s="1361" t="n"/>
      <c r="J131" s="1361" t="n"/>
      <c r="K131" s="1379" t="n"/>
      <c r="L131" s="1361" t="n"/>
      <c r="M131" s="1361" t="n"/>
      <c r="N131" s="1361" t="n"/>
      <c r="O131" s="1361" t="n"/>
      <c r="P131" s="1379" t="n"/>
      <c r="Q131" s="1361" t="n"/>
      <c r="R131" s="1361" t="n"/>
      <c r="S131" s="1361" t="n"/>
      <c r="T131" s="1361" t="n"/>
      <c r="U131" s="1379" t="n"/>
      <c r="V131" s="1361" t="n"/>
      <c r="W131" s="1361" t="n"/>
      <c r="X131" s="1361" t="n"/>
      <c r="Y131" s="1361" t="n"/>
      <c r="Z131" s="1379" t="n"/>
      <c r="AA131" s="1361" t="n"/>
      <c r="AB131" s="1361" t="n"/>
      <c r="AC131" s="1361" t="n"/>
      <c r="AD131" s="1361" t="n"/>
      <c r="AE131" s="1379" t="n"/>
      <c r="AF131" s="1361" t="n"/>
      <c r="AG131" s="1361" t="n"/>
      <c r="AH131" s="1361" t="n"/>
      <c r="AI131" s="1361" t="n"/>
      <c r="AJ131" s="1379" t="n"/>
      <c r="AK131" s="1361" t="n"/>
      <c r="AL131" s="1361" t="n"/>
      <c r="AM131" s="1361" t="n"/>
      <c r="AN131" s="1361" t="n"/>
      <c r="AO131" s="1379" t="n"/>
      <c r="AP131" s="1361" t="n"/>
      <c r="AQ131" s="1493" t="n">
        <v>5.3</v>
      </c>
      <c r="AR131" s="1361" t="n"/>
      <c r="AS131" s="1361" t="n"/>
      <c r="AT131" s="1494" t="n">
        <v>5.3</v>
      </c>
      <c r="AU131" s="1361" t="n"/>
      <c r="AV131" s="1493" t="n">
        <v>-5.3</v>
      </c>
      <c r="AW131" s="1361" t="n"/>
      <c r="AX131" s="1361" t="n"/>
      <c r="AY131" s="1494" t="n">
        <v>-5.3</v>
      </c>
      <c r="AZ131" s="1361" t="n"/>
      <c r="BA131" s="1361" t="n"/>
      <c r="BB131" s="1361" t="n"/>
      <c r="BC131" s="1361" t="n"/>
      <c r="BD131" s="1379" t="n"/>
      <c r="BE131" s="1361" t="n"/>
      <c r="BF131" s="1361" t="n"/>
      <c r="BG131" s="1361" t="n"/>
      <c r="BH131" s="1361" t="n"/>
      <c r="BI131" s="1379" t="n"/>
      <c r="BJ131" s="1361" t="n"/>
      <c r="BK131" s="1361" t="n"/>
      <c r="BL131" s="1361" t="n"/>
      <c r="BM131" s="1361" t="n"/>
      <c r="BN131" s="1379" t="n"/>
      <c r="BO131" s="1361" t="n"/>
      <c r="BP131" s="1361" t="n"/>
      <c r="BQ131" s="1363" t="n"/>
      <c r="BR131" s="1361" t="n"/>
      <c r="BS131" s="1379" t="n"/>
      <c r="BT131" s="1361" t="n"/>
      <c r="BU131" s="1361" t="n"/>
      <c r="BV131" s="1361" t="n"/>
      <c r="BW131" s="1361" t="n"/>
      <c r="BX131" s="1379" t="n"/>
      <c r="BY131" s="1379" t="n"/>
      <c r="BZ131" s="1379" t="n"/>
      <c r="CA131" s="1379" t="n"/>
      <c r="CB131" s="1364" t="n"/>
    </row>
    <row r="132" hidden="1" outlineLevel="1" ht="14.4" customFormat="1" customHeight="1" s="1359">
      <c r="A132" s="1474" t="inlineStr">
        <is>
          <t>R&amp;D - Change in stock-based compensation, mm</t>
        </is>
      </c>
      <c r="B132" s="1377" t="n"/>
      <c r="C132" s="1379" t="n"/>
      <c r="D132" s="1379" t="n"/>
      <c r="E132" s="1379" t="n"/>
      <c r="F132" s="1379" t="n"/>
      <c r="G132" s="1361" t="n"/>
      <c r="H132" s="1361" t="n"/>
      <c r="I132" s="1361" t="n"/>
      <c r="J132" s="1361" t="n"/>
      <c r="K132" s="1379" t="n"/>
      <c r="L132" s="1361" t="n"/>
      <c r="M132" s="1361" t="n"/>
      <c r="N132" s="1361" t="n"/>
      <c r="O132" s="1361" t="n"/>
      <c r="P132" s="1494" t="n">
        <v>10.2</v>
      </c>
      <c r="Q132" s="1361" t="n"/>
      <c r="R132" s="1361" t="n"/>
      <c r="S132" s="1361" t="n"/>
      <c r="T132" s="1361" t="n"/>
      <c r="U132" s="1494" t="n">
        <v>6.6</v>
      </c>
      <c r="V132" s="1493" t="n">
        <v>2.5</v>
      </c>
      <c r="W132" s="1493" t="n">
        <v>3.1</v>
      </c>
      <c r="X132" s="1493" t="n">
        <v>5.2</v>
      </c>
      <c r="Y132" s="1361">
        <f>Z132-SUM(V132,W132,X132)</f>
        <v/>
      </c>
      <c r="Z132" s="1494" t="n">
        <v>14.3</v>
      </c>
      <c r="AA132" s="1493" t="n">
        <v>1.6</v>
      </c>
      <c r="AB132" s="1493" t="n">
        <v>3.5</v>
      </c>
      <c r="AC132" s="1493" t="n">
        <v>3.8</v>
      </c>
      <c r="AD132" s="1361">
        <f>AE132-SUM(AA132,AB132,AC132)</f>
        <v/>
      </c>
      <c r="AE132" s="1494" t="n">
        <v>13.2</v>
      </c>
      <c r="AF132" s="1493" t="n">
        <v>7.8</v>
      </c>
      <c r="AG132" s="1493" t="n">
        <v>7.1</v>
      </c>
      <c r="AH132" s="1493" t="n">
        <v>6.9</v>
      </c>
      <c r="AI132" s="1361">
        <f>AJ132-SUM(AF132,AG132,AH132)</f>
        <v/>
      </c>
      <c r="AJ132" s="1494" t="n">
        <v>27.1</v>
      </c>
      <c r="AK132" s="1493" t="n">
        <v>1.1</v>
      </c>
      <c r="AL132" s="1493" t="n">
        <v>2.6</v>
      </c>
      <c r="AM132" s="1493" t="n">
        <v>1.8</v>
      </c>
      <c r="AN132" s="1361" t="n"/>
      <c r="AO132" s="1494" t="n">
        <v>10.3</v>
      </c>
      <c r="AP132" s="1493" t="n">
        <v>2.4</v>
      </c>
      <c r="AQ132" s="1493" t="n">
        <v>2</v>
      </c>
      <c r="AR132" s="1493" t="n">
        <v>-1.8</v>
      </c>
      <c r="AS132" s="1361" t="n"/>
      <c r="AT132" s="1494" t="n">
        <v>10.3</v>
      </c>
      <c r="AU132" s="1493" t="n">
        <v>3.5</v>
      </c>
      <c r="AV132" s="1493" t="n">
        <v>1.6</v>
      </c>
      <c r="AW132" s="1493" t="n">
        <v>4.3</v>
      </c>
      <c r="AX132" s="1361" t="n"/>
      <c r="AY132" s="1494" t="n">
        <v>6.2</v>
      </c>
      <c r="AZ132" s="1493" t="n">
        <v>2.3</v>
      </c>
      <c r="BA132" s="1493" t="n">
        <v>5.8</v>
      </c>
      <c r="BB132" s="1493" t="n">
        <v>10.4</v>
      </c>
      <c r="BC132" s="1361" t="n"/>
      <c r="BD132" s="1494" t="n">
        <v>27.7</v>
      </c>
      <c r="BE132" s="1493" t="n">
        <v>9.199999999999999</v>
      </c>
      <c r="BF132" s="1493" t="n">
        <v>7.7</v>
      </c>
      <c r="BG132" s="1493" t="n">
        <v>9.699999999999999</v>
      </c>
      <c r="BH132" s="1361" t="n"/>
      <c r="BI132" s="1494" t="n">
        <v>35.8</v>
      </c>
      <c r="BJ132" s="1493" t="n">
        <v>9.300000000000001</v>
      </c>
      <c r="BK132" s="1493" t="n">
        <v>9.699999999999999</v>
      </c>
      <c r="BL132" s="1493" t="n">
        <v>14.8</v>
      </c>
      <c r="BM132" s="1361" t="n"/>
      <c r="BN132" s="1494" t="n">
        <v>47</v>
      </c>
      <c r="BO132" s="1493" t="n">
        <v>13.5</v>
      </c>
      <c r="BP132" s="1493" t="n">
        <v>18.7</v>
      </c>
      <c r="BQ132" s="1502" t="n">
        <v>2.3</v>
      </c>
      <c r="BR132" s="1361" t="n"/>
      <c r="BS132" s="1379" t="n"/>
      <c r="BT132" s="1361" t="n"/>
      <c r="BU132" s="1361" t="n"/>
      <c r="BV132" s="1361" t="n"/>
      <c r="BW132" s="1361" t="n"/>
      <c r="BX132" s="1379" t="n"/>
      <c r="BY132" s="1379" t="n"/>
      <c r="BZ132" s="1379" t="n"/>
      <c r="CA132" s="1379" t="n"/>
      <c r="CB132" s="1364" t="n"/>
    </row>
    <row r="133" hidden="1" outlineLevel="1" ht="14.4" customFormat="1" customHeight="1" s="1359">
      <c r="A133" s="1474" t="inlineStr">
        <is>
          <t>R&amp;D - Change in product development costs, mm</t>
        </is>
      </c>
      <c r="B133" s="1377" t="n"/>
      <c r="C133" s="1379" t="n"/>
      <c r="D133" s="1379" t="n"/>
      <c r="E133" s="1379" t="n"/>
      <c r="F133" s="1379" t="n"/>
      <c r="G133" s="1361" t="n"/>
      <c r="H133" s="1361" t="n"/>
      <c r="I133" s="1361" t="n"/>
      <c r="J133" s="1361" t="n"/>
      <c r="K133" s="1379" t="n"/>
      <c r="L133" s="1361" t="n"/>
      <c r="M133" s="1361" t="n"/>
      <c r="N133" s="1361" t="n"/>
      <c r="O133" s="1361" t="n"/>
      <c r="P133" s="1379" t="n"/>
      <c r="Q133" s="1361" t="n"/>
      <c r="R133" s="1361" t="n"/>
      <c r="S133" s="1361" t="n"/>
      <c r="T133" s="1361" t="n"/>
      <c r="U133" s="1379" t="n"/>
      <c r="V133" s="1361" t="n"/>
      <c r="W133" s="1361" t="n"/>
      <c r="X133" s="1361" t="n"/>
      <c r="Y133" s="1361">
        <f>Z133-SUM(V133,W133,X133)</f>
        <v/>
      </c>
      <c r="Z133" s="1379" t="n"/>
      <c r="AA133" s="1361" t="n"/>
      <c r="AB133" s="1361" t="n"/>
      <c r="AC133" s="1361" t="n"/>
      <c r="AD133" s="1361">
        <f>AE133-SUM(AA133,AB133,AC133)</f>
        <v/>
      </c>
      <c r="AE133" s="1379" t="n"/>
      <c r="AF133" s="1361" t="n"/>
      <c r="AG133" s="1361" t="n"/>
      <c r="AH133" s="1361" t="n"/>
      <c r="AI133" s="1361">
        <f>AJ133-SUM(AF133,AG133,AH133)</f>
        <v/>
      </c>
      <c r="AJ133" s="1379" t="n"/>
      <c r="AK133" s="1361" t="n"/>
      <c r="AL133" s="1493" t="n">
        <v>3</v>
      </c>
      <c r="AM133" s="1493" t="n">
        <v>0.5</v>
      </c>
      <c r="AN133" s="1361" t="n"/>
      <c r="AO133" s="1494" t="n">
        <v>3.3</v>
      </c>
      <c r="AP133" s="1361" t="n"/>
      <c r="AQ133" s="1493" t="n">
        <v>3.3</v>
      </c>
      <c r="AR133" s="1493" t="n">
        <v>1.2</v>
      </c>
      <c r="AS133" s="1361" t="n"/>
      <c r="AT133" s="1494" t="n">
        <v>3.7</v>
      </c>
      <c r="AU133" s="1361" t="n"/>
      <c r="AV133" s="1493" t="n">
        <v>-3.2</v>
      </c>
      <c r="AW133" s="1493" t="n">
        <v>-1.1</v>
      </c>
      <c r="AX133" s="1361" t="n"/>
      <c r="AY133" s="1379" t="n"/>
      <c r="AZ133" s="1361" t="n"/>
      <c r="BA133" s="1361" t="n"/>
      <c r="BB133" s="1361" t="n"/>
      <c r="BC133" s="1361" t="n"/>
      <c r="BD133" s="1379" t="n"/>
      <c r="BE133" s="1361" t="n"/>
      <c r="BF133" s="1361" t="n"/>
      <c r="BG133" s="1361" t="n"/>
      <c r="BH133" s="1361" t="n"/>
      <c r="BI133" s="1379" t="n"/>
      <c r="BJ133" s="1361" t="n"/>
      <c r="BK133" s="1361" t="n"/>
      <c r="BL133" s="1361" t="n"/>
      <c r="BM133" s="1361" t="n"/>
      <c r="BN133" s="1379" t="n"/>
      <c r="BO133" s="1361" t="n"/>
      <c r="BP133" s="1361" t="n"/>
      <c r="BQ133" s="1363" t="n"/>
      <c r="BR133" s="1361" t="n"/>
      <c r="BS133" s="1379" t="n"/>
      <c r="BT133" s="1361" t="n"/>
      <c r="BU133" s="1361" t="n"/>
      <c r="BV133" s="1361" t="n"/>
      <c r="BW133" s="1361" t="n"/>
      <c r="BX133" s="1379" t="n"/>
      <c r="BY133" s="1379" t="n"/>
      <c r="BZ133" s="1379" t="n"/>
      <c r="CA133" s="1379" t="n"/>
      <c r="CB133" s="1364" t="n"/>
    </row>
    <row r="134" hidden="1" outlineLevel="1" ht="14.4" customFormat="1" customHeight="1" s="1359">
      <c r="A134" s="1474" t="inlineStr">
        <is>
          <t>R&amp;D - Change in depreciation, mm</t>
        </is>
      </c>
      <c r="B134" s="1377" t="n"/>
      <c r="C134" s="1379" t="n"/>
      <c r="D134" s="1379" t="n"/>
      <c r="E134" s="1379" t="n"/>
      <c r="F134" s="1379" t="n"/>
      <c r="G134" s="1361" t="n"/>
      <c r="H134" s="1361" t="n"/>
      <c r="I134" s="1361" t="n"/>
      <c r="J134" s="1361" t="n"/>
      <c r="K134" s="1379" t="n"/>
      <c r="L134" s="1361" t="n"/>
      <c r="M134" s="1361" t="n"/>
      <c r="N134" s="1361" t="n"/>
      <c r="O134" s="1361" t="n"/>
      <c r="P134" s="1494" t="n">
        <v>2</v>
      </c>
      <c r="Q134" s="1361" t="n"/>
      <c r="R134" s="1361" t="n"/>
      <c r="S134" s="1361" t="n"/>
      <c r="T134" s="1361" t="n"/>
      <c r="U134" s="1379" t="n"/>
      <c r="V134" s="1361" t="n"/>
      <c r="W134" s="1361" t="n"/>
      <c r="X134" s="1361" t="n"/>
      <c r="Y134" s="1361">
        <f>Z134-SUM(V134,W134,X134)</f>
        <v/>
      </c>
      <c r="Z134" s="1379" t="n"/>
      <c r="AA134" s="1361" t="n"/>
      <c r="AB134" s="1361" t="n"/>
      <c r="AC134" s="1361" t="n"/>
      <c r="AD134" s="1361">
        <f>AE134-SUM(AA134,AB134,AC134)</f>
        <v/>
      </c>
      <c r="AE134" s="1379" t="n"/>
      <c r="AF134" s="1361" t="n"/>
      <c r="AG134" s="1361" t="n"/>
      <c r="AH134" s="1361" t="n"/>
      <c r="AI134" s="1361">
        <f>AJ134-SUM(AF134,AG134,AH134)</f>
        <v/>
      </c>
      <c r="AJ134" s="1494" t="n">
        <v>2.7</v>
      </c>
      <c r="AK134" s="1493" t="n">
        <v>1.1</v>
      </c>
      <c r="AL134" s="1361" t="n"/>
      <c r="AM134" s="1493" t="n">
        <v>0.7</v>
      </c>
      <c r="AN134" s="1361" t="n"/>
      <c r="AO134" s="1494" t="n">
        <v>4.3</v>
      </c>
      <c r="AP134" s="1493" t="n">
        <v>1.2</v>
      </c>
      <c r="AQ134" s="1361" t="n"/>
      <c r="AR134" s="1361" t="n"/>
      <c r="AS134" s="1361" t="n"/>
      <c r="AT134" s="1379" t="n"/>
      <c r="AU134" s="1361" t="n"/>
      <c r="AV134" s="1361" t="n"/>
      <c r="AW134" s="1361" t="n"/>
      <c r="AX134" s="1361" t="n"/>
      <c r="AY134" s="1379" t="n"/>
      <c r="AZ134" s="1361" t="n"/>
      <c r="BA134" s="1361" t="n"/>
      <c r="BB134" s="1361" t="n"/>
      <c r="BC134" s="1361" t="n"/>
      <c r="BD134" s="1379" t="n"/>
      <c r="BE134" s="1361" t="n"/>
      <c r="BF134" s="1361" t="n"/>
      <c r="BG134" s="1361" t="n"/>
      <c r="BH134" s="1361" t="n"/>
      <c r="BI134" s="1379" t="n"/>
      <c r="BJ134" s="1361" t="n"/>
      <c r="BK134" s="1361" t="n"/>
      <c r="BL134" s="1361" t="n"/>
      <c r="BM134" s="1361" t="n"/>
      <c r="BN134" s="1379" t="n"/>
      <c r="BO134" s="1361" t="n"/>
      <c r="BP134" s="1361" t="n"/>
      <c r="BQ134" s="1363" t="n"/>
      <c r="BR134" s="1361" t="n"/>
      <c r="BS134" s="1379" t="n"/>
      <c r="BT134" s="1361" t="n"/>
      <c r="BU134" s="1361" t="n"/>
      <c r="BV134" s="1361" t="n"/>
      <c r="BW134" s="1361" t="n"/>
      <c r="BX134" s="1379" t="n"/>
      <c r="BY134" s="1379" t="n"/>
      <c r="BZ134" s="1379" t="n"/>
      <c r="CA134" s="1379" t="n"/>
      <c r="CB134" s="1364" t="n"/>
    </row>
    <row r="135" hidden="1" outlineLevel="1" ht="14.4" customFormat="1" customHeight="1" s="1359">
      <c r="A135" s="1474" t="inlineStr">
        <is>
          <t>R&amp;D - Change in facilities and other infrastructure costs, mm</t>
        </is>
      </c>
      <c r="B135" s="1377" t="n"/>
      <c r="C135" s="1379" t="n"/>
      <c r="D135" s="1379" t="n"/>
      <c r="E135" s="1379" t="n"/>
      <c r="F135" s="1379" t="n"/>
      <c r="G135" s="1361" t="n"/>
      <c r="H135" s="1361" t="n"/>
      <c r="I135" s="1361" t="n"/>
      <c r="J135" s="1361" t="n"/>
      <c r="K135" s="1379" t="n"/>
      <c r="L135" s="1361" t="n"/>
      <c r="M135" s="1361" t="n"/>
      <c r="N135" s="1361" t="n"/>
      <c r="O135" s="1361" t="n"/>
      <c r="P135" s="1494" t="n">
        <v>1.9</v>
      </c>
      <c r="Q135" s="1361" t="n"/>
      <c r="R135" s="1361" t="n"/>
      <c r="S135" s="1361" t="n"/>
      <c r="T135" s="1361" t="n"/>
      <c r="U135" s="1494" t="n">
        <v>8.9</v>
      </c>
      <c r="V135" s="1493" t="n">
        <v>2.4</v>
      </c>
      <c r="W135" s="1493" t="n">
        <v>1.8</v>
      </c>
      <c r="X135" s="1493" t="n">
        <v>3</v>
      </c>
      <c r="Y135" s="1361">
        <f>Z135-SUM(V135,W135,X135)</f>
        <v/>
      </c>
      <c r="Z135" s="1494" t="n">
        <v>9.9</v>
      </c>
      <c r="AA135" s="1493" t="n">
        <v>1.8</v>
      </c>
      <c r="AB135" s="1493" t="n">
        <v>2.4</v>
      </c>
      <c r="AC135" s="1493" t="n">
        <v>3.2</v>
      </c>
      <c r="AD135" s="1361">
        <f>AE135-SUM(AA135,AB135,AC135)</f>
        <v/>
      </c>
      <c r="AE135" s="1494" t="n">
        <v>9.800000000000001</v>
      </c>
      <c r="AF135" s="1493" t="n">
        <v>1.3</v>
      </c>
      <c r="AG135" s="1493" t="n">
        <v>0.2</v>
      </c>
      <c r="AH135" s="1493" t="n">
        <v>-3</v>
      </c>
      <c r="AI135" s="1361">
        <f>AJ135-SUM(AF135,AG135,AH135)</f>
        <v/>
      </c>
      <c r="AJ135" s="1494" t="n">
        <v>0.4</v>
      </c>
      <c r="AK135" s="1493" t="n">
        <v>-1.5</v>
      </c>
      <c r="AL135" s="1493" t="n">
        <v>-0.6</v>
      </c>
      <c r="AM135" s="1493" t="n">
        <v>0.4</v>
      </c>
      <c r="AN135" s="1361" t="n"/>
      <c r="AO135" s="1379" t="n"/>
      <c r="AP135" s="1361" t="n"/>
      <c r="AQ135" s="1493" t="n">
        <v>-4.9</v>
      </c>
      <c r="AR135" s="1493" t="n">
        <v>-2.1</v>
      </c>
      <c r="AS135" s="1361" t="n"/>
      <c r="AT135" s="1494" t="n">
        <v>-2.2</v>
      </c>
      <c r="AU135" s="1493" t="n">
        <v>1.1</v>
      </c>
      <c r="AV135" s="1493" t="n">
        <v>3</v>
      </c>
      <c r="AW135" s="1493" t="n">
        <v>6.2</v>
      </c>
      <c r="AX135" s="1361" t="n"/>
      <c r="AY135" s="1494" t="n">
        <v>7.7</v>
      </c>
      <c r="AZ135" s="1493" t="n">
        <v>2</v>
      </c>
      <c r="BA135" s="1493" t="n">
        <v>1.8</v>
      </c>
      <c r="BB135" s="1493" t="n">
        <v>3.4</v>
      </c>
      <c r="BC135" s="1361" t="n"/>
      <c r="BD135" s="1494" t="n">
        <v>11.5</v>
      </c>
      <c r="BE135" s="1493" t="n">
        <v>4.2</v>
      </c>
      <c r="BF135" s="1493" t="n">
        <v>5.5</v>
      </c>
      <c r="BG135" s="1493" t="n">
        <v>4.6</v>
      </c>
      <c r="BH135" s="1361" t="n"/>
      <c r="BI135" s="1494" t="n">
        <v>17.2</v>
      </c>
      <c r="BJ135" s="1493" t="n">
        <v>4.3</v>
      </c>
      <c r="BK135" s="1493" t="n">
        <v>4</v>
      </c>
      <c r="BL135" s="1493" t="n">
        <v>4.2</v>
      </c>
      <c r="BM135" s="1361" t="n"/>
      <c r="BN135" s="1494" t="n">
        <v>8.4</v>
      </c>
      <c r="BO135" s="1493" t="n">
        <v>4.5</v>
      </c>
      <c r="BP135" s="1493" t="n">
        <v>4.7</v>
      </c>
      <c r="BQ135" s="1502" t="n">
        <v>3.6</v>
      </c>
      <c r="BR135" s="1361" t="n"/>
      <c r="BS135" s="1379" t="n"/>
      <c r="BT135" s="1361" t="n"/>
      <c r="BU135" s="1361" t="n"/>
      <c r="BV135" s="1361" t="n"/>
      <c r="BW135" s="1361" t="n"/>
      <c r="BX135" s="1379" t="n"/>
      <c r="BY135" s="1379" t="n"/>
      <c r="BZ135" s="1379" t="n"/>
      <c r="CA135" s="1379" t="n"/>
      <c r="CB135" s="1364" t="n"/>
    </row>
    <row r="136" hidden="1" outlineLevel="1" ht="14.4" customFormat="1" customHeight="1" s="1359">
      <c r="A136" s="1474" t="inlineStr">
        <is>
          <t>R&amp;D - Change in materials and other pre-production costs, mm</t>
        </is>
      </c>
      <c r="B136" s="1377" t="n"/>
      <c r="C136" s="1379" t="n"/>
      <c r="D136" s="1379" t="n"/>
      <c r="E136" s="1379" t="n"/>
      <c r="F136" s="1379" t="n"/>
      <c r="G136" s="1361" t="n"/>
      <c r="H136" s="1361" t="n"/>
      <c r="I136" s="1361" t="n"/>
      <c r="J136" s="1361" t="n"/>
      <c r="K136" s="1379" t="n"/>
      <c r="L136" s="1361" t="n"/>
      <c r="M136" s="1361" t="n"/>
      <c r="N136" s="1361" t="n"/>
      <c r="O136" s="1361" t="n"/>
      <c r="P136" s="1379" t="n"/>
      <c r="Q136" s="1361" t="n"/>
      <c r="R136" s="1361" t="n"/>
      <c r="S136" s="1361" t="n"/>
      <c r="T136" s="1361" t="n"/>
      <c r="U136" s="1494" t="n">
        <v>10</v>
      </c>
      <c r="V136" s="1493" t="n">
        <v>-3.9</v>
      </c>
      <c r="W136" s="1493" t="n">
        <v>-1.9</v>
      </c>
      <c r="X136" s="1493" t="n">
        <v>1.5</v>
      </c>
      <c r="Y136" s="1361">
        <f>Z136-SUM(V136,W136,X136)</f>
        <v/>
      </c>
      <c r="Z136" s="1494" t="n">
        <v>-6.7</v>
      </c>
      <c r="AA136" s="1361" t="n"/>
      <c r="AB136" s="1493" t="n">
        <v>-1.3</v>
      </c>
      <c r="AC136" s="1493" t="n">
        <v>1.1</v>
      </c>
      <c r="AD136" s="1361">
        <f>AE136-SUM(AA136,AB136,AC136)</f>
        <v/>
      </c>
      <c r="AE136" s="1494" t="n">
        <v>0.3</v>
      </c>
      <c r="AF136" s="1361" t="n"/>
      <c r="AG136" s="1493" t="n">
        <v>1.2</v>
      </c>
      <c r="AH136" s="1493" t="n">
        <v>-2.6</v>
      </c>
      <c r="AI136" s="1361">
        <f>AJ136-SUM(AF136,AG136,AH136)</f>
        <v/>
      </c>
      <c r="AJ136" s="1494" t="n">
        <v>-1.9</v>
      </c>
      <c r="AK136" s="1361" t="n"/>
      <c r="AL136" s="1361" t="n"/>
      <c r="AM136" s="1361" t="n"/>
      <c r="AN136" s="1361" t="n"/>
      <c r="AO136" s="1379" t="n"/>
      <c r="AP136" s="1361" t="n"/>
      <c r="AQ136" s="1361" t="n"/>
      <c r="AR136" s="1361" t="n"/>
      <c r="AS136" s="1361" t="n"/>
      <c r="AT136" s="1379" t="n"/>
      <c r="AU136" s="1361" t="n"/>
      <c r="AV136" s="1361" t="n"/>
      <c r="AW136" s="1361" t="n"/>
      <c r="AX136" s="1361" t="n"/>
      <c r="AY136" s="1379" t="n"/>
      <c r="AZ136" s="1361" t="n"/>
      <c r="BA136" s="1361" t="n"/>
      <c r="BB136" s="1361" t="n"/>
      <c r="BC136" s="1361" t="n"/>
      <c r="BD136" s="1379" t="n"/>
      <c r="BE136" s="1361" t="n"/>
      <c r="BF136" s="1493" t="n">
        <v>1.3</v>
      </c>
      <c r="BG136" s="1493" t="n">
        <v>2.1</v>
      </c>
      <c r="BH136" s="1361" t="n"/>
      <c r="BI136" s="1494" t="n">
        <v>6.6</v>
      </c>
      <c r="BJ136" s="1361" t="n"/>
      <c r="BK136" s="1361" t="n"/>
      <c r="BL136" s="1361" t="n"/>
      <c r="BM136" s="1361" t="n"/>
      <c r="BN136" s="1379" t="n"/>
      <c r="BO136" s="1361" t="n"/>
      <c r="BP136" s="1361" t="n"/>
      <c r="BQ136" s="1363" t="n"/>
      <c r="BR136" s="1361" t="n"/>
      <c r="BS136" s="1379" t="n"/>
      <c r="BT136" s="1361" t="n"/>
      <c r="BU136" s="1361" t="n"/>
      <c r="BV136" s="1361" t="n"/>
      <c r="BW136" s="1361" t="n"/>
      <c r="BX136" s="1379" t="n"/>
      <c r="BY136" s="1379" t="n"/>
      <c r="BZ136" s="1379" t="n"/>
      <c r="CA136" s="1379" t="n"/>
      <c r="CB136" s="1364" t="n"/>
    </row>
    <row r="137" hidden="1" outlineLevel="1" ht="14.4" customFormat="1" customHeight="1" s="1359">
      <c r="A137" s="1474" t="inlineStr">
        <is>
          <t>R&amp;D - Change in software license and maintenance costs, mm</t>
        </is>
      </c>
      <c r="B137" s="1377" t="n"/>
      <c r="C137" s="1379" t="n"/>
      <c r="D137" s="1379" t="n"/>
      <c r="E137" s="1379" t="n"/>
      <c r="F137" s="1379" t="n"/>
      <c r="G137" s="1361" t="n"/>
      <c r="H137" s="1361" t="n"/>
      <c r="I137" s="1361" t="n"/>
      <c r="J137" s="1361" t="n"/>
      <c r="K137" s="1379" t="n"/>
      <c r="L137" s="1361" t="n"/>
      <c r="M137" s="1361" t="n"/>
      <c r="N137" s="1361" t="n"/>
      <c r="O137" s="1361" t="n"/>
      <c r="P137" s="1494" t="n">
        <v>2.4</v>
      </c>
      <c r="Q137" s="1361" t="n"/>
      <c r="R137" s="1361" t="n"/>
      <c r="S137" s="1361" t="n"/>
      <c r="T137" s="1361" t="n"/>
      <c r="U137" s="1494" t="n">
        <v>5.4</v>
      </c>
      <c r="V137" s="1361" t="n"/>
      <c r="W137" s="1361" t="n"/>
      <c r="X137" s="1361" t="n"/>
      <c r="Y137" s="1361">
        <f>Z137-SUM(V137,W137,X137)</f>
        <v/>
      </c>
      <c r="Z137" s="1494" t="n">
        <v>-0.5</v>
      </c>
      <c r="AA137" s="1361" t="n"/>
      <c r="AB137" s="1361" t="n"/>
      <c r="AC137" s="1361" t="n"/>
      <c r="AD137" s="1361">
        <f>AE137-SUM(AA137,AB137,AC137)</f>
        <v/>
      </c>
      <c r="AE137" s="1379" t="n"/>
      <c r="AF137" s="1361" t="n"/>
      <c r="AG137" s="1361" t="n"/>
      <c r="AH137" s="1361" t="n"/>
      <c r="AI137" s="1361">
        <f>AJ137-SUM(AF137,AG137,AH137)</f>
        <v/>
      </c>
      <c r="AJ137" s="1494" t="n">
        <v>-1.7</v>
      </c>
      <c r="AK137" s="1361" t="n"/>
      <c r="AL137" s="1361" t="n"/>
      <c r="AM137" s="1361" t="n"/>
      <c r="AN137" s="1361" t="n"/>
      <c r="AO137" s="1379" t="n"/>
      <c r="AP137" s="1361" t="n"/>
      <c r="AQ137" s="1361" t="n"/>
      <c r="AR137" s="1361" t="n"/>
      <c r="AS137" s="1361" t="n"/>
      <c r="AT137" s="1379" t="n"/>
      <c r="AU137" s="1361" t="n"/>
      <c r="AV137" s="1361" t="n"/>
      <c r="AW137" s="1361" t="n"/>
      <c r="AX137" s="1361" t="n"/>
      <c r="AY137" s="1379" t="n"/>
      <c r="AZ137" s="1361" t="n"/>
      <c r="BA137" s="1361" t="n"/>
      <c r="BB137" s="1361" t="n"/>
      <c r="BC137" s="1361" t="n"/>
      <c r="BD137" s="1379" t="n"/>
      <c r="BE137" s="1361" t="n"/>
      <c r="BF137" s="1361" t="n"/>
      <c r="BG137" s="1361" t="n"/>
      <c r="BH137" s="1361" t="n"/>
      <c r="BI137" s="1379" t="n"/>
      <c r="BJ137" s="1361" t="n"/>
      <c r="BK137" s="1361" t="n"/>
      <c r="BL137" s="1361" t="n"/>
      <c r="BM137" s="1361" t="n"/>
      <c r="BN137" s="1379" t="n"/>
      <c r="BO137" s="1361" t="n"/>
      <c r="BP137" s="1361" t="n"/>
      <c r="BQ137" s="1363" t="n"/>
      <c r="BR137" s="1361" t="n"/>
      <c r="BS137" s="1379" t="n"/>
      <c r="BT137" s="1361" t="n"/>
      <c r="BU137" s="1361" t="n"/>
      <c r="BV137" s="1361" t="n"/>
      <c r="BW137" s="1361" t="n"/>
      <c r="BX137" s="1379" t="n"/>
      <c r="BY137" s="1379" t="n"/>
      <c r="BZ137" s="1379" t="n"/>
      <c r="CA137" s="1379" t="n"/>
      <c r="CB137" s="1364" t="n"/>
    </row>
    <row r="138" hidden="1" outlineLevel="1" ht="14.4" customFormat="1" customHeight="1" s="1359">
      <c r="A138" s="1474" t="inlineStr">
        <is>
          <t>R&amp;D - Change in professional services, mm</t>
        </is>
      </c>
      <c r="B138" s="1377" t="n"/>
      <c r="C138" s="1379" t="n"/>
      <c r="D138" s="1379" t="n"/>
      <c r="E138" s="1379" t="n"/>
      <c r="F138" s="1379" t="n"/>
      <c r="G138" s="1361" t="n"/>
      <c r="H138" s="1361" t="n"/>
      <c r="I138" s="1361" t="n"/>
      <c r="J138" s="1361" t="n"/>
      <c r="K138" s="1379" t="n"/>
      <c r="L138" s="1361" t="n"/>
      <c r="M138" s="1361" t="n"/>
      <c r="N138" s="1361" t="n"/>
      <c r="O138" s="1361" t="n"/>
      <c r="P138" s="1494" t="n">
        <v>4.4</v>
      </c>
      <c r="Q138" s="1361" t="n"/>
      <c r="R138" s="1361" t="n"/>
      <c r="S138" s="1361" t="n"/>
      <c r="T138" s="1361" t="n"/>
      <c r="U138" s="1494" t="n">
        <v>2.4</v>
      </c>
      <c r="V138" s="1361" t="n"/>
      <c r="W138" s="1361" t="n"/>
      <c r="X138" s="1361" t="n"/>
      <c r="Y138" s="1361">
        <f>Z138-SUM(V138,W138,X138)</f>
        <v/>
      </c>
      <c r="Z138" s="1494" t="n">
        <v>-0.7</v>
      </c>
      <c r="AA138" s="1361" t="n"/>
      <c r="AB138" s="1361" t="n"/>
      <c r="AC138" s="1361" t="n"/>
      <c r="AD138" s="1361">
        <f>AE138-SUM(AA138,AB138,AC138)</f>
        <v/>
      </c>
      <c r="AE138" s="1494" t="n">
        <v>3.2</v>
      </c>
      <c r="AF138" s="1361" t="n"/>
      <c r="AG138" s="1361" t="n"/>
      <c r="AH138" s="1361" t="n"/>
      <c r="AI138" s="1361">
        <f>AJ138-SUM(AF138,AG138,AH138)</f>
        <v/>
      </c>
      <c r="AJ138" s="1494" t="n">
        <v>-0.1</v>
      </c>
      <c r="AK138" s="1361" t="n"/>
      <c r="AL138" s="1361" t="n"/>
      <c r="AM138" s="1361" t="n"/>
      <c r="AN138" s="1361" t="n"/>
      <c r="AO138" s="1379" t="n"/>
      <c r="AP138" s="1493" t="n">
        <v>-1.2</v>
      </c>
      <c r="AQ138" s="1361" t="n"/>
      <c r="AR138" s="1493" t="n">
        <v>-0.9</v>
      </c>
      <c r="AS138" s="1361" t="n"/>
      <c r="AT138" s="1494" t="n">
        <v>-2.8</v>
      </c>
      <c r="AU138" s="1361" t="n"/>
      <c r="AV138" s="1361" t="n"/>
      <c r="AW138" s="1493" t="n">
        <v>0.4</v>
      </c>
      <c r="AX138" s="1361" t="n"/>
      <c r="AY138" s="1494" t="n">
        <v>2.7</v>
      </c>
      <c r="AZ138" s="1493" t="n">
        <v>2.1</v>
      </c>
      <c r="BA138" s="1493" t="n">
        <v>2.3</v>
      </c>
      <c r="BB138" s="1493" t="n">
        <v>2.6</v>
      </c>
      <c r="BC138" s="1361" t="n"/>
      <c r="BD138" s="1494" t="n">
        <v>9.300000000000001</v>
      </c>
      <c r="BE138" s="1361" t="n"/>
      <c r="BF138" s="1493" t="n">
        <v>1.7</v>
      </c>
      <c r="BG138" s="1493" t="n">
        <v>2.2</v>
      </c>
      <c r="BH138" s="1361" t="n"/>
      <c r="BI138" s="1494" t="n">
        <v>6.4</v>
      </c>
      <c r="BJ138" s="1361" t="n"/>
      <c r="BK138" s="1493" t="n">
        <v>1.6</v>
      </c>
      <c r="BL138" s="1493" t="n">
        <v>1.9</v>
      </c>
      <c r="BM138" s="1361" t="n"/>
      <c r="BN138" s="1494" t="n">
        <v>5</v>
      </c>
      <c r="BO138" s="1361" t="n"/>
      <c r="BP138" s="1361" t="n"/>
      <c r="BQ138" s="1363" t="n"/>
      <c r="BR138" s="1361" t="n"/>
      <c r="BS138" s="1379" t="n"/>
      <c r="BT138" s="1361" t="n"/>
      <c r="BU138" s="1361" t="n"/>
      <c r="BV138" s="1361" t="n"/>
      <c r="BW138" s="1361" t="n"/>
      <c r="BX138" s="1379" t="n"/>
      <c r="BY138" s="1379" t="n"/>
      <c r="BZ138" s="1379" t="n"/>
      <c r="CA138" s="1379" t="n"/>
      <c r="CB138" s="1364" t="n"/>
    </row>
    <row r="139" hidden="1" outlineLevel="1" ht="14.4" customFormat="1" customHeight="1" s="1359">
      <c r="A139" s="1474" t="inlineStr">
        <is>
          <t>R&amp;D - Change in travel and professional development, mm</t>
        </is>
      </c>
      <c r="B139" s="1377" t="n"/>
      <c r="C139" s="1379" t="n"/>
      <c r="D139" s="1379" t="n"/>
      <c r="E139" s="1379" t="n"/>
      <c r="F139" s="1379" t="n"/>
      <c r="G139" s="1361" t="n"/>
      <c r="H139" s="1361" t="n"/>
      <c r="I139" s="1361" t="n"/>
      <c r="J139" s="1361" t="n"/>
      <c r="K139" s="1379" t="n"/>
      <c r="L139" s="1361" t="n"/>
      <c r="M139" s="1361" t="n"/>
      <c r="N139" s="1361" t="n"/>
      <c r="O139" s="1361" t="n"/>
      <c r="P139" s="1379" t="n"/>
      <c r="Q139" s="1361" t="n"/>
      <c r="R139" s="1361" t="n"/>
      <c r="S139" s="1361" t="n"/>
      <c r="T139" s="1361" t="n"/>
      <c r="U139" s="1379" t="n"/>
      <c r="V139" s="1361" t="n"/>
      <c r="W139" s="1361" t="n"/>
      <c r="X139" s="1493" t="n">
        <v>0.7</v>
      </c>
      <c r="Y139" s="1361">
        <f>Z139-SUM(V139,W139,X139)</f>
        <v/>
      </c>
      <c r="Z139" s="1494" t="n">
        <v>3.2</v>
      </c>
      <c r="AA139" s="1361" t="n"/>
      <c r="AB139" s="1361" t="n"/>
      <c r="AC139" s="1361" t="n"/>
      <c r="AD139" s="1361">
        <f>AE139-SUM(AA139,AB139,AC139)</f>
        <v/>
      </c>
      <c r="AE139" s="1494" t="n">
        <v>-1.4</v>
      </c>
      <c r="AF139" s="1361" t="n"/>
      <c r="AG139" s="1361" t="n"/>
      <c r="AH139" s="1361" t="n"/>
      <c r="AI139" s="1361">
        <f>AJ139-SUM(AF139,AG139,AH139)</f>
        <v/>
      </c>
      <c r="AJ139" s="1379" t="n"/>
      <c r="AK139" s="1361" t="n"/>
      <c r="AL139" s="1361" t="n"/>
      <c r="AM139" s="1361" t="n"/>
      <c r="AN139" s="1361" t="n"/>
      <c r="AO139" s="1379" t="n"/>
      <c r="AP139" s="1361" t="n"/>
      <c r="AQ139" s="1493" t="n">
        <v>-4.1</v>
      </c>
      <c r="AR139" s="1493" t="n">
        <v>-3.5</v>
      </c>
      <c r="AS139" s="1361" t="n"/>
      <c r="AT139" s="1494" t="n">
        <v>-11.8</v>
      </c>
      <c r="AU139" s="1493" t="n">
        <v>-2</v>
      </c>
      <c r="AV139" s="1361" t="n"/>
      <c r="AW139" s="1361" t="n"/>
      <c r="AX139" s="1361" t="n"/>
      <c r="AY139" s="1379" t="n"/>
      <c r="AZ139" s="1361" t="n"/>
      <c r="BA139" s="1361" t="n"/>
      <c r="BB139" s="1493" t="n">
        <v>1.8</v>
      </c>
      <c r="BC139" s="1361" t="n"/>
      <c r="BD139" s="1494" t="n">
        <v>5.2</v>
      </c>
      <c r="BE139" s="1493" t="n">
        <v>1.9</v>
      </c>
      <c r="BF139" s="1493" t="n">
        <v>1.5</v>
      </c>
      <c r="BG139" s="1493" t="n">
        <v>0.6</v>
      </c>
      <c r="BH139" s="1361" t="n"/>
      <c r="BI139" s="1379" t="n"/>
      <c r="BJ139" s="1361" t="n"/>
      <c r="BK139" s="1361" t="n"/>
      <c r="BL139" s="1361" t="n"/>
      <c r="BM139" s="1361" t="n"/>
      <c r="BN139" s="1379" t="n"/>
      <c r="BO139" s="1361" t="n"/>
      <c r="BP139" s="1361" t="n"/>
      <c r="BQ139" s="1363" t="n"/>
      <c r="BR139" s="1361" t="n"/>
      <c r="BS139" s="1379" t="n"/>
      <c r="BT139" s="1361" t="n"/>
      <c r="BU139" s="1361" t="n"/>
      <c r="BV139" s="1361" t="n"/>
      <c r="BW139" s="1361" t="n"/>
      <c r="BX139" s="1379" t="n"/>
      <c r="BY139" s="1379" t="n"/>
      <c r="BZ139" s="1379" t="n"/>
      <c r="CA139" s="1379" t="n"/>
      <c r="CB139" s="1364" t="n"/>
    </row>
    <row r="140" hidden="1" outlineLevel="1" ht="14.4" customFormat="1" customHeight="1" s="1359">
      <c r="A140" s="1474" t="inlineStr">
        <is>
          <t>R&amp;D - Change in severance and other termination costs, mm</t>
        </is>
      </c>
      <c r="B140" s="1377" t="n"/>
      <c r="C140" s="1379" t="n"/>
      <c r="D140" s="1379" t="n"/>
      <c r="E140" s="1379" t="n"/>
      <c r="F140" s="1379" t="n"/>
      <c r="G140" s="1361" t="n"/>
      <c r="H140" s="1361" t="n"/>
      <c r="I140" s="1361" t="n"/>
      <c r="J140" s="1361" t="n"/>
      <c r="K140" s="1379" t="n"/>
      <c r="L140" s="1361" t="n"/>
      <c r="M140" s="1361" t="n"/>
      <c r="N140" s="1361" t="n"/>
      <c r="O140" s="1361" t="n"/>
      <c r="P140" s="1494" t="n">
        <v>5.9</v>
      </c>
      <c r="Q140" s="1361" t="n"/>
      <c r="R140" s="1361" t="n"/>
      <c r="S140" s="1361" t="n"/>
      <c r="T140" s="1361" t="n"/>
      <c r="U140" s="1494" t="n">
        <v>-5.9</v>
      </c>
      <c r="V140" s="1361" t="n"/>
      <c r="W140" s="1361" t="n"/>
      <c r="X140" s="1361" t="n"/>
      <c r="Y140" s="1361">
        <f>Z140-SUM(V140,W140,X140)</f>
        <v/>
      </c>
      <c r="Z140" s="1379" t="n"/>
      <c r="AA140" s="1361" t="n"/>
      <c r="AB140" s="1361" t="n"/>
      <c r="AC140" s="1361" t="n"/>
      <c r="AD140" s="1361">
        <f>AE140-SUM(AA140,AB140,AC140)</f>
        <v/>
      </c>
      <c r="AE140" s="1379" t="n"/>
      <c r="AF140" s="1361" t="n"/>
      <c r="AG140" s="1361" t="n"/>
      <c r="AH140" s="1361" t="n"/>
      <c r="AI140" s="1361">
        <f>AJ140-SUM(AF140,AG140,AH140)</f>
        <v/>
      </c>
      <c r="AJ140" s="1379" t="n"/>
      <c r="AK140" s="1361" t="n"/>
      <c r="AL140" s="1361" t="n"/>
      <c r="AM140" s="1361" t="n"/>
      <c r="AN140" s="1361" t="n"/>
      <c r="AO140" s="1379" t="n"/>
      <c r="AP140" s="1361" t="n"/>
      <c r="AQ140" s="1361" t="n"/>
      <c r="AR140" s="1361" t="n"/>
      <c r="AS140" s="1361" t="n"/>
      <c r="AT140" s="1379" t="n"/>
      <c r="AU140" s="1361" t="n"/>
      <c r="AV140" s="1361" t="n"/>
      <c r="AW140" s="1361" t="n"/>
      <c r="AX140" s="1361" t="n"/>
      <c r="AY140" s="1379" t="n"/>
      <c r="AZ140" s="1361" t="n"/>
      <c r="BA140" s="1361" t="n"/>
      <c r="BB140" s="1361" t="n"/>
      <c r="BC140" s="1361" t="n"/>
      <c r="BD140" s="1379" t="n"/>
      <c r="BE140" s="1361" t="n"/>
      <c r="BF140" s="1361" t="n"/>
      <c r="BG140" s="1361" t="n"/>
      <c r="BH140" s="1361" t="n"/>
      <c r="BI140" s="1379" t="n"/>
      <c r="BJ140" s="1361" t="n"/>
      <c r="BK140" s="1361" t="n"/>
      <c r="BL140" s="1361" t="n"/>
      <c r="BM140" s="1361" t="n"/>
      <c r="BN140" s="1379" t="n"/>
      <c r="BO140" s="1361" t="n"/>
      <c r="BP140" s="1361" t="n"/>
      <c r="BQ140" s="1363" t="n"/>
      <c r="BR140" s="1361" t="n"/>
      <c r="BS140" s="1379" t="n"/>
      <c r="BT140" s="1361" t="n"/>
      <c r="BU140" s="1361" t="n"/>
      <c r="BV140" s="1361" t="n"/>
      <c r="BW140" s="1361" t="n"/>
      <c r="BX140" s="1379" t="n"/>
      <c r="BY140" s="1379" t="n"/>
      <c r="BZ140" s="1379" t="n"/>
      <c r="CA140" s="1379" t="n"/>
      <c r="CB140" s="1364" t="n"/>
    </row>
    <row r="141" hidden="1" outlineLevel="1" ht="14.4" customFormat="1" customHeight="1" s="1359">
      <c r="A141" s="1478" t="inlineStr">
        <is>
          <t>R&amp;D - Change in other items, mm</t>
        </is>
      </c>
      <c r="B141" s="1454" t="n"/>
      <c r="C141" s="1455" t="n"/>
      <c r="D141" s="1455" t="n"/>
      <c r="E141" s="1455" t="n"/>
      <c r="F141" s="1455" t="n"/>
      <c r="G141" s="1456" t="n"/>
      <c r="H141" s="1456" t="n"/>
      <c r="I141" s="1456" t="n"/>
      <c r="J141" s="1456" t="n"/>
      <c r="K141" s="1455" t="n"/>
      <c r="L141" s="1456" t="n"/>
      <c r="M141" s="1456" t="n"/>
      <c r="N141" s="1456" t="n"/>
      <c r="O141" s="1456" t="n"/>
      <c r="P141" s="1480" t="n">
        <v>2.1</v>
      </c>
      <c r="Q141" s="1456" t="n"/>
      <c r="R141" s="1456" t="n"/>
      <c r="S141" s="1456" t="n"/>
      <c r="T141" s="1456" t="n"/>
      <c r="U141" s="1480" t="n">
        <v>0.6</v>
      </c>
      <c r="V141" s="1479" t="n">
        <v>1.4</v>
      </c>
      <c r="W141" s="1479" t="n">
        <v>1.4</v>
      </c>
      <c r="X141" s="1479" t="n">
        <v>0.7</v>
      </c>
      <c r="Y141" s="1456">
        <f>Z141-SUM(V141,W141,X141)</f>
        <v/>
      </c>
      <c r="Z141" s="1480" t="n">
        <v>2.5</v>
      </c>
      <c r="AA141" s="1479" t="n">
        <v>-0.5</v>
      </c>
      <c r="AB141" s="1479" t="n">
        <v>-0.8</v>
      </c>
      <c r="AC141" s="1479" t="n">
        <v>0.3</v>
      </c>
      <c r="AD141" s="1456">
        <f>AE141-SUM(AA141,AB141,AC141)+0.1</f>
        <v/>
      </c>
      <c r="AE141" s="1480" t="n">
        <v>-0.6</v>
      </c>
      <c r="AF141" s="1479" t="n">
        <v>1.8</v>
      </c>
      <c r="AG141" s="1479" t="n">
        <v>0.8</v>
      </c>
      <c r="AH141" s="1479" t="n">
        <v>0.3</v>
      </c>
      <c r="AI141" s="1456">
        <f>AJ141-SUM(AF141,AG141,AH141)-0.1</f>
        <v/>
      </c>
      <c r="AJ141" s="1480" t="n">
        <v>1.6</v>
      </c>
      <c r="AK141" s="1479" t="n">
        <v>-0.4</v>
      </c>
      <c r="AL141" s="1479" t="n">
        <v>1.2</v>
      </c>
      <c r="AM141" s="1479" t="n">
        <v>1.1</v>
      </c>
      <c r="AN141" s="1456" t="n"/>
      <c r="AO141" s="1480" t="n">
        <v>-0.4</v>
      </c>
      <c r="AP141" s="1479" t="n">
        <v>-0.1</v>
      </c>
      <c r="AQ141" s="1479" t="n">
        <v>0.9</v>
      </c>
      <c r="AR141" s="1479" t="n">
        <v>1</v>
      </c>
      <c r="AS141" s="1456" t="n"/>
      <c r="AT141" s="1480" t="n">
        <v>-0.4</v>
      </c>
      <c r="AU141" s="1479" t="n">
        <v>1</v>
      </c>
      <c r="AV141" s="1479" t="n">
        <v>1.1</v>
      </c>
      <c r="AW141" s="1456">
        <f>AW142-SUM(AW128:AW140)</f>
        <v/>
      </c>
      <c r="AX141" s="1456" t="n"/>
      <c r="AY141" s="1455">
        <f>AY142-SUM(AY128:AY140)</f>
        <v/>
      </c>
      <c r="AZ141" s="1479" t="n">
        <v>-0.3</v>
      </c>
      <c r="BA141" s="1456">
        <f>BA142-SUM(BA128:BA140)</f>
        <v/>
      </c>
      <c r="BB141" s="1456">
        <f>BB142-SUM(BB128:BB140)</f>
        <v/>
      </c>
      <c r="BC141" s="1456" t="n"/>
      <c r="BD141" s="1455">
        <f>BD142-SUM(BD128:BD140)</f>
        <v/>
      </c>
      <c r="BE141" s="1456">
        <f>BE142-SUM(BE128:BE140)</f>
        <v/>
      </c>
      <c r="BF141" s="1456">
        <f>BF142-SUM(BF128:BF140)</f>
        <v/>
      </c>
      <c r="BG141" s="1456">
        <f>BG142-SUM(BG128:BG140)</f>
        <v/>
      </c>
      <c r="BH141" s="1456" t="n"/>
      <c r="BI141" s="1455">
        <f>BI142-SUM(BI128:BI140)</f>
        <v/>
      </c>
      <c r="BJ141" s="1456">
        <f>BJ142-SUM(BJ128:BJ140)</f>
        <v/>
      </c>
      <c r="BK141" s="1456">
        <f>BK142-SUM(BK128:BK140)</f>
        <v/>
      </c>
      <c r="BL141" s="1456">
        <f>BL142-SUM(BL128:BL140)</f>
        <v/>
      </c>
      <c r="BM141" s="1456" t="n"/>
      <c r="BN141" s="1455">
        <f>BN142-SUM(BN128:BN140)</f>
        <v/>
      </c>
      <c r="BO141" s="1456">
        <f>BO142-SUM(BO128:BO140)</f>
        <v/>
      </c>
      <c r="BP141" s="1456">
        <f>BP142-SUM(BP128:BP140)</f>
        <v/>
      </c>
      <c r="BQ141" s="1457">
        <f>BQ142-SUM(BQ128:BQ140)</f>
        <v/>
      </c>
      <c r="BR141" s="1456" t="n"/>
      <c r="BS141" s="1455" t="n"/>
      <c r="BT141" s="1456" t="n"/>
      <c r="BU141" s="1456" t="n"/>
      <c r="BV141" s="1456" t="n"/>
      <c r="BW141" s="1456" t="n"/>
      <c r="BX141" s="1455" t="n"/>
      <c r="BY141" s="1455" t="n"/>
      <c r="BZ141" s="1455" t="n"/>
      <c r="CA141" s="1455" t="n"/>
      <c r="CB141" s="1364" t="n"/>
    </row>
    <row r="142" hidden="1" outlineLevel="1" ht="14.4" customFormat="1" customHeight="1" s="1372">
      <c r="A142" s="1447" t="inlineStr">
        <is>
          <t>Current R&amp;D, mm</t>
        </is>
      </c>
      <c r="B142" s="1448" t="n"/>
      <c r="C142" s="1449" t="n"/>
      <c r="D142" s="1449" t="n"/>
      <c r="E142" s="1449" t="n"/>
      <c r="F142" s="1449" t="n"/>
      <c r="G142" s="1450" t="n"/>
      <c r="H142" s="1450" t="n"/>
      <c r="I142" s="1450" t="n"/>
      <c r="J142" s="1450" t="n"/>
      <c r="K142" s="1449" t="n"/>
      <c r="L142" s="1450" t="n"/>
      <c r="M142" s="1450" t="n"/>
      <c r="N142" s="1450" t="n"/>
      <c r="O142" s="1450" t="n"/>
      <c r="P142" s="1449">
        <f>P349</f>
        <v/>
      </c>
      <c r="Q142" s="1450" t="n"/>
      <c r="R142" s="1450" t="n"/>
      <c r="S142" s="1450" t="n"/>
      <c r="T142" s="1450" t="n"/>
      <c r="U142" s="1449">
        <f>U349</f>
        <v/>
      </c>
      <c r="V142" s="1450">
        <f>V349</f>
        <v/>
      </c>
      <c r="W142" s="1450">
        <f>W349</f>
        <v/>
      </c>
      <c r="X142" s="1450">
        <f>X349</f>
        <v/>
      </c>
      <c r="Y142" s="1450">
        <f>Y349</f>
        <v/>
      </c>
      <c r="Z142" s="1449">
        <f>Z349</f>
        <v/>
      </c>
      <c r="AA142" s="1450">
        <f>AA349</f>
        <v/>
      </c>
      <c r="AB142" s="1450">
        <f>AB349</f>
        <v/>
      </c>
      <c r="AC142" s="1450">
        <f>AC349</f>
        <v/>
      </c>
      <c r="AD142" s="1450">
        <f>AD349</f>
        <v/>
      </c>
      <c r="AE142" s="1449">
        <f>AE349</f>
        <v/>
      </c>
      <c r="AF142" s="1450">
        <f>AF349</f>
        <v/>
      </c>
      <c r="AG142" s="1450">
        <f>AG349</f>
        <v/>
      </c>
      <c r="AH142" s="1450">
        <f>AH349</f>
        <v/>
      </c>
      <c r="AI142" s="1450">
        <f>AI349</f>
        <v/>
      </c>
      <c r="AJ142" s="1449">
        <f>AJ349</f>
        <v/>
      </c>
      <c r="AK142" s="1450">
        <f>AK349</f>
        <v/>
      </c>
      <c r="AL142" s="1450">
        <f>AL349</f>
        <v/>
      </c>
      <c r="AM142" s="1450">
        <f>AM349</f>
        <v/>
      </c>
      <c r="AN142" s="1450" t="n"/>
      <c r="AO142" s="1449">
        <f>AO349</f>
        <v/>
      </c>
      <c r="AP142" s="1450">
        <f>AP349</f>
        <v/>
      </c>
      <c r="AQ142" s="1450">
        <f>AQ349</f>
        <v/>
      </c>
      <c r="AR142" s="1450">
        <f>AR349</f>
        <v/>
      </c>
      <c r="AS142" s="1450" t="n"/>
      <c r="AT142" s="1449">
        <f>AT349</f>
        <v/>
      </c>
      <c r="AU142" s="1450">
        <f>AU349</f>
        <v/>
      </c>
      <c r="AV142" s="1450">
        <f>AV349</f>
        <v/>
      </c>
      <c r="AW142" s="1450">
        <f>AW349</f>
        <v/>
      </c>
      <c r="AX142" s="1450" t="n"/>
      <c r="AY142" s="1449">
        <f>AY349</f>
        <v/>
      </c>
      <c r="AZ142" s="1450">
        <f>AZ349</f>
        <v/>
      </c>
      <c r="BA142" s="1450">
        <f>BA349</f>
        <v/>
      </c>
      <c r="BB142" s="1450">
        <f>BB349</f>
        <v/>
      </c>
      <c r="BC142" s="1450" t="n"/>
      <c r="BD142" s="1449">
        <f>BD349</f>
        <v/>
      </c>
      <c r="BE142" s="1450">
        <f>BE349</f>
        <v/>
      </c>
      <c r="BF142" s="1450">
        <f>BF349</f>
        <v/>
      </c>
      <c r="BG142" s="1450">
        <f>BG349</f>
        <v/>
      </c>
      <c r="BH142" s="1450" t="n"/>
      <c r="BI142" s="1449">
        <f>BI349</f>
        <v/>
      </c>
      <c r="BJ142" s="1450">
        <f>BJ349</f>
        <v/>
      </c>
      <c r="BK142" s="1450">
        <f>BK349</f>
        <v/>
      </c>
      <c r="BL142" s="1450">
        <f>BL349</f>
        <v/>
      </c>
      <c r="BM142" s="1450" t="n"/>
      <c r="BN142" s="1449">
        <f>BN349</f>
        <v/>
      </c>
      <c r="BO142" s="1450">
        <f>BO349</f>
        <v/>
      </c>
      <c r="BP142" s="1450">
        <f>BP349</f>
        <v/>
      </c>
      <c r="BQ142" s="1451">
        <f>BQ349</f>
        <v/>
      </c>
      <c r="BR142" s="1450" t="n"/>
      <c r="BS142" s="1449" t="n"/>
      <c r="BT142" s="1450" t="n"/>
      <c r="BU142" s="1450" t="n"/>
      <c r="BV142" s="1450" t="n"/>
      <c r="BW142" s="1450" t="n"/>
      <c r="BX142" s="1449" t="n"/>
      <c r="BY142" s="1449" t="n"/>
      <c r="BZ142" s="1449" t="n"/>
      <c r="CA142" s="1449" t="n"/>
      <c r="CB142" s="1375" t="n"/>
    </row>
    <row r="143" hidden="1" outlineLevel="1" ht="14.4" customFormat="1" customHeight="1" s="1359">
      <c r="A143" s="1503" t="n"/>
      <c r="B143" s="1377" t="n"/>
      <c r="C143" s="1379" t="n"/>
      <c r="D143" s="1379" t="n"/>
      <c r="E143" s="1379" t="n"/>
      <c r="F143" s="1379" t="n"/>
      <c r="G143" s="1361" t="n"/>
      <c r="H143" s="1361" t="n"/>
      <c r="I143" s="1361" t="n"/>
      <c r="J143" s="1361" t="n"/>
      <c r="K143" s="1379" t="n"/>
      <c r="L143" s="1361" t="n"/>
      <c r="M143" s="1361" t="n"/>
      <c r="N143" s="1361" t="n"/>
      <c r="O143" s="1361" t="n"/>
      <c r="P143" s="1379" t="n"/>
      <c r="Q143" s="1361" t="n"/>
      <c r="R143" s="1361" t="n"/>
      <c r="S143" s="1361" t="n"/>
      <c r="T143" s="1361" t="n"/>
      <c r="U143" s="1379" t="n"/>
      <c r="V143" s="1361" t="n"/>
      <c r="W143" s="1361" t="n"/>
      <c r="X143" s="1361" t="n"/>
      <c r="Y143" s="1361" t="n"/>
      <c r="Z143" s="1379" t="n"/>
      <c r="AA143" s="1361" t="n"/>
      <c r="AB143" s="1361" t="n"/>
      <c r="AC143" s="1361" t="n"/>
      <c r="AD143" s="1361" t="n"/>
      <c r="AE143" s="1379" t="n"/>
      <c r="AF143" s="1361" t="n"/>
      <c r="AG143" s="1361" t="n"/>
      <c r="AH143" s="1361" t="n"/>
      <c r="AI143" s="1361" t="n"/>
      <c r="AJ143" s="1379" t="n"/>
      <c r="AK143" s="1361" t="n"/>
      <c r="AL143" s="1361" t="n"/>
      <c r="AM143" s="1361" t="n"/>
      <c r="AN143" s="1361" t="n"/>
      <c r="AO143" s="1379" t="n"/>
      <c r="AP143" s="1361" t="n"/>
      <c r="AQ143" s="1361" t="n"/>
      <c r="AR143" s="1361" t="n"/>
      <c r="AS143" s="1361" t="n"/>
      <c r="AT143" s="1379" t="n"/>
      <c r="AU143" s="1361" t="n"/>
      <c r="AV143" s="1361" t="n"/>
      <c r="AW143" s="1361" t="n"/>
      <c r="AX143" s="1361" t="n"/>
      <c r="AY143" s="1379" t="n"/>
      <c r="AZ143" s="1361" t="n"/>
      <c r="BA143" s="1361" t="n"/>
      <c r="BB143" s="1361" t="n"/>
      <c r="BC143" s="1361" t="n"/>
      <c r="BD143" s="1379" t="n"/>
      <c r="BE143" s="1361" t="n"/>
      <c r="BF143" s="1361" t="n"/>
      <c r="BG143" s="1361" t="n"/>
      <c r="BH143" s="1361" t="n"/>
      <c r="BI143" s="1379" t="n"/>
      <c r="BJ143" s="1361" t="n"/>
      <c r="BK143" s="1361" t="n"/>
      <c r="BL143" s="1361" t="n"/>
      <c r="BM143" s="1361" t="n"/>
      <c r="BN143" s="1379" t="n"/>
      <c r="BO143" s="1361" t="n"/>
      <c r="BP143" s="1361" t="n"/>
      <c r="BQ143" s="1363" t="n"/>
      <c r="BR143" s="1361" t="n"/>
      <c r="BS143" s="1379" t="n"/>
      <c r="BT143" s="1361" t="n"/>
      <c r="BU143" s="1361" t="n"/>
      <c r="BV143" s="1361" t="n"/>
      <c r="BW143" s="1361" t="n"/>
      <c r="BX143" s="1379" t="n"/>
      <c r="BY143" s="1379" t="n"/>
      <c r="BZ143" s="1379" t="n"/>
      <c r="CA143" s="1379" t="n"/>
      <c r="CB143" s="1364" t="n"/>
    </row>
    <row r="144" hidden="1" outlineLevel="1" ht="14.4" customFormat="1" customHeight="1" s="1372">
      <c r="A144" s="1447" t="inlineStr">
        <is>
          <t>Previous G&amp;A, mm</t>
        </is>
      </c>
      <c r="B144" s="1448" t="n"/>
      <c r="C144" s="1449" t="n"/>
      <c r="D144" s="1449" t="n"/>
      <c r="E144" s="1449" t="n"/>
      <c r="F144" s="1449" t="n"/>
      <c r="G144" s="1450" t="n"/>
      <c r="H144" s="1450" t="n"/>
      <c r="I144" s="1450" t="n"/>
      <c r="J144" s="1450" t="n"/>
      <c r="K144" s="1449" t="n"/>
      <c r="L144" s="1450" t="n"/>
      <c r="M144" s="1450" t="n"/>
      <c r="N144" s="1450" t="n"/>
      <c r="O144" s="1450" t="n"/>
      <c r="P144" s="1449">
        <f>K350</f>
        <v/>
      </c>
      <c r="Q144" s="1450" t="n"/>
      <c r="R144" s="1450" t="n"/>
      <c r="S144" s="1450" t="n"/>
      <c r="T144" s="1450" t="n"/>
      <c r="U144" s="1449">
        <f>P350</f>
        <v/>
      </c>
      <c r="V144" s="1450">
        <f>Q350</f>
        <v/>
      </c>
      <c r="W144" s="1450">
        <f>R350</f>
        <v/>
      </c>
      <c r="X144" s="1450">
        <f>S350</f>
        <v/>
      </c>
      <c r="Y144" s="1450">
        <f>T350</f>
        <v/>
      </c>
      <c r="Z144" s="1449">
        <f>U350</f>
        <v/>
      </c>
      <c r="AA144" s="1450">
        <f>V350</f>
        <v/>
      </c>
      <c r="AB144" s="1450">
        <f>W350</f>
        <v/>
      </c>
      <c r="AC144" s="1450">
        <f>X350</f>
        <v/>
      </c>
      <c r="AD144" s="1450">
        <f>Y350</f>
        <v/>
      </c>
      <c r="AE144" s="1449">
        <f>Z350</f>
        <v/>
      </c>
      <c r="AF144" s="1450">
        <f>AA350</f>
        <v/>
      </c>
      <c r="AG144" s="1450">
        <f>AB350</f>
        <v/>
      </c>
      <c r="AH144" s="1450">
        <f>AC350</f>
        <v/>
      </c>
      <c r="AI144" s="1450">
        <f>AD350</f>
        <v/>
      </c>
      <c r="AJ144" s="1449">
        <f>AE350</f>
        <v/>
      </c>
      <c r="AK144" s="1450">
        <f>AF350</f>
        <v/>
      </c>
      <c r="AL144" s="1450">
        <f>AG350</f>
        <v/>
      </c>
      <c r="AM144" s="1450">
        <f>AH350</f>
        <v/>
      </c>
      <c r="AN144" s="1450" t="n"/>
      <c r="AO144" s="1449">
        <f>AJ350</f>
        <v/>
      </c>
      <c r="AP144" s="1450">
        <f>AK350</f>
        <v/>
      </c>
      <c r="AQ144" s="1450">
        <f>AL350</f>
        <v/>
      </c>
      <c r="AR144" s="1450">
        <f>AM350</f>
        <v/>
      </c>
      <c r="AS144" s="1450" t="n"/>
      <c r="AT144" s="1449">
        <f>AO350</f>
        <v/>
      </c>
      <c r="AU144" s="1450">
        <f>AP350</f>
        <v/>
      </c>
      <c r="AV144" s="1450">
        <f>AQ350</f>
        <v/>
      </c>
      <c r="AW144" s="1450">
        <f>AR350</f>
        <v/>
      </c>
      <c r="AX144" s="1450" t="n"/>
      <c r="AY144" s="1449">
        <f>AT350</f>
        <v/>
      </c>
      <c r="AZ144" s="1450">
        <f>AU350</f>
        <v/>
      </c>
      <c r="BA144" s="1450">
        <f>AV350</f>
        <v/>
      </c>
      <c r="BB144" s="1450">
        <f>AW350</f>
        <v/>
      </c>
      <c r="BC144" s="1450" t="n"/>
      <c r="BD144" s="1449">
        <f>AY350</f>
        <v/>
      </c>
      <c r="BE144" s="1450">
        <f>AZ350</f>
        <v/>
      </c>
      <c r="BF144" s="1450">
        <f>BA350</f>
        <v/>
      </c>
      <c r="BG144" s="1450">
        <f>BB350</f>
        <v/>
      </c>
      <c r="BH144" s="1450" t="n"/>
      <c r="BI144" s="1449">
        <f>BD350</f>
        <v/>
      </c>
      <c r="BJ144" s="1450">
        <f>BE350</f>
        <v/>
      </c>
      <c r="BK144" s="1450">
        <f>BF350</f>
        <v/>
      </c>
      <c r="BL144" s="1450">
        <f>BG350</f>
        <v/>
      </c>
      <c r="BM144" s="1450" t="n"/>
      <c r="BN144" s="1449">
        <f>BI350</f>
        <v/>
      </c>
      <c r="BO144" s="1450">
        <f>BJ350</f>
        <v/>
      </c>
      <c r="BP144" s="1450">
        <f>BK350</f>
        <v/>
      </c>
      <c r="BQ144" s="1451">
        <f>BL350</f>
        <v/>
      </c>
      <c r="BR144" s="1450" t="n"/>
      <c r="BS144" s="1449" t="n"/>
      <c r="BT144" s="1450" t="n"/>
      <c r="BU144" s="1450" t="n"/>
      <c r="BV144" s="1450" t="n"/>
      <c r="BW144" s="1450" t="n"/>
      <c r="BX144" s="1449" t="n"/>
      <c r="BY144" s="1449" t="n"/>
      <c r="BZ144" s="1449" t="n"/>
      <c r="CA144" s="1449" t="n"/>
      <c r="CB144" s="1375" t="n"/>
    </row>
    <row r="145" hidden="1" outlineLevel="1" ht="14.4" customFormat="1" customHeight="1" s="1359">
      <c r="A145" s="1474" t="inlineStr">
        <is>
          <t>G&amp;A - Change in salary, benefits and other employee-related costs, mm</t>
        </is>
      </c>
      <c r="B145" s="1377" t="n"/>
      <c r="C145" s="1379" t="n"/>
      <c r="D145" s="1379" t="n"/>
      <c r="E145" s="1379" t="n"/>
      <c r="F145" s="1379" t="n"/>
      <c r="G145" s="1361" t="n"/>
      <c r="H145" s="1361" t="n"/>
      <c r="I145" s="1361" t="n"/>
      <c r="J145" s="1361" t="n"/>
      <c r="K145" s="1379" t="n"/>
      <c r="L145" s="1361" t="n"/>
      <c r="M145" s="1361" t="n"/>
      <c r="N145" s="1361" t="n"/>
      <c r="O145" s="1361" t="n"/>
      <c r="P145" s="1494" t="n">
        <v>-6</v>
      </c>
      <c r="Q145" s="1361" t="n"/>
      <c r="R145" s="1361" t="n"/>
      <c r="S145" s="1361" t="n"/>
      <c r="T145" s="1361" t="n"/>
      <c r="U145" s="1494" t="n">
        <v>-0.6</v>
      </c>
      <c r="V145" s="1361" t="n"/>
      <c r="W145" s="1493" t="n">
        <v>1.5</v>
      </c>
      <c r="X145" s="1493" t="n">
        <v>2</v>
      </c>
      <c r="Y145" s="1361">
        <f>Z145-SUM(V145,W145,X145)</f>
        <v/>
      </c>
      <c r="Z145" s="1494" t="n">
        <v>4.9</v>
      </c>
      <c r="AA145" s="1493" t="n">
        <v>1.2</v>
      </c>
      <c r="AB145" s="1493" t="n">
        <v>0.5</v>
      </c>
      <c r="AC145" s="1493" t="n">
        <v>1</v>
      </c>
      <c r="AD145" s="1361">
        <f>AE145-SUM(AA145,AB145,AC145)</f>
        <v/>
      </c>
      <c r="AE145" s="1494" t="n">
        <v>3.3</v>
      </c>
      <c r="AF145" s="1361" t="n"/>
      <c r="AG145" s="1493" t="n">
        <v>-0.8</v>
      </c>
      <c r="AH145" s="1493" t="n">
        <v>-1.4</v>
      </c>
      <c r="AI145" s="1361">
        <f>AJ145-SUM(AF145,AG145,AH145)</f>
        <v/>
      </c>
      <c r="AJ145" s="1494" t="n">
        <v>-4.6</v>
      </c>
      <c r="AK145" s="1361" t="n"/>
      <c r="AL145" s="1361" t="n"/>
      <c r="AM145" s="1361" t="n"/>
      <c r="AN145" s="1361" t="n"/>
      <c r="AO145" s="1379" t="n"/>
      <c r="AP145" s="1361" t="n"/>
      <c r="AQ145" s="1493" t="n">
        <v>1.5</v>
      </c>
      <c r="AR145" s="1493" t="n">
        <v>1.3</v>
      </c>
      <c r="AS145" s="1361" t="n"/>
      <c r="AT145" s="1494" t="n">
        <v>6.5</v>
      </c>
      <c r="AU145" s="1493" t="n">
        <v>3.5</v>
      </c>
      <c r="AV145" s="1493" t="n">
        <v>0.3</v>
      </c>
      <c r="AW145" s="1493" t="n">
        <v>2.6</v>
      </c>
      <c r="AX145" s="1361" t="n"/>
      <c r="AY145" s="1494" t="n">
        <v>5.9</v>
      </c>
      <c r="AZ145" s="1361" t="n"/>
      <c r="BA145" s="1493" t="n">
        <v>1.7</v>
      </c>
      <c r="BB145" s="1493" t="n">
        <v>1.8</v>
      </c>
      <c r="BC145" s="1361" t="n"/>
      <c r="BD145" s="1494" t="n">
        <v>8.5</v>
      </c>
      <c r="BE145" s="1493" t="n">
        <v>4.8</v>
      </c>
      <c r="BF145" s="1493" t="n">
        <v>7.9</v>
      </c>
      <c r="BG145" s="1493" t="n">
        <v>3.2</v>
      </c>
      <c r="BH145" s="1361" t="n"/>
      <c r="BI145" s="1494" t="n">
        <v>10.6</v>
      </c>
      <c r="BJ145" s="1493" t="n">
        <v>3.1</v>
      </c>
      <c r="BK145" s="1493" t="n">
        <v>-0.9</v>
      </c>
      <c r="BL145" s="1493" t="n">
        <v>7.8</v>
      </c>
      <c r="BM145" s="1361" t="n"/>
      <c r="BN145" s="1494" t="n">
        <v>12.8</v>
      </c>
      <c r="BO145" s="1361" t="n"/>
      <c r="BP145" s="1493" t="n">
        <v>5.2</v>
      </c>
      <c r="BQ145" s="1502" t="n">
        <v>-3</v>
      </c>
      <c r="BR145" s="1361" t="n"/>
      <c r="BS145" s="1379" t="n"/>
      <c r="BT145" s="1361" t="n"/>
      <c r="BU145" s="1361" t="n"/>
      <c r="BV145" s="1361" t="n"/>
      <c r="BW145" s="1361" t="n"/>
      <c r="BX145" s="1379" t="n"/>
      <c r="BY145" s="1379" t="n"/>
      <c r="BZ145" s="1379" t="n"/>
      <c r="CA145" s="1379" t="n"/>
      <c r="CB145" s="1364" t="n"/>
    </row>
    <row r="146" hidden="1" outlineLevel="1" ht="14.4" customFormat="1" customHeight="1" s="1359">
      <c r="A146" s="1474" t="inlineStr">
        <is>
          <t>G&amp;A - Change in contributions to non-profit organizations, mm</t>
        </is>
      </c>
      <c r="B146" s="1377" t="n"/>
      <c r="C146" s="1379" t="n"/>
      <c r="D146" s="1379" t="n"/>
      <c r="E146" s="1379" t="n"/>
      <c r="F146" s="1379" t="n"/>
      <c r="G146" s="1361" t="n"/>
      <c r="H146" s="1361" t="n"/>
      <c r="I146" s="1361" t="n"/>
      <c r="J146" s="1361" t="n"/>
      <c r="K146" s="1379" t="n"/>
      <c r="L146" s="1361" t="n"/>
      <c r="M146" s="1361" t="n"/>
      <c r="N146" s="1361" t="n"/>
      <c r="O146" s="1361" t="n"/>
      <c r="P146" s="1379" t="n"/>
      <c r="Q146" s="1361" t="n"/>
      <c r="R146" s="1361" t="n"/>
      <c r="S146" s="1361" t="n"/>
      <c r="T146" s="1361" t="n"/>
      <c r="U146" s="1379" t="n"/>
      <c r="V146" s="1361" t="n"/>
      <c r="W146" s="1361" t="n"/>
      <c r="X146" s="1361" t="n"/>
      <c r="Y146" s="1361" t="n"/>
      <c r="Z146" s="1379" t="n"/>
      <c r="AA146" s="1361" t="n"/>
      <c r="AB146" s="1361" t="n"/>
      <c r="AC146" s="1361" t="n"/>
      <c r="AD146" s="1361" t="n"/>
      <c r="AE146" s="1379" t="n"/>
      <c r="AF146" s="1361" t="n"/>
      <c r="AG146" s="1361" t="n"/>
      <c r="AH146" s="1361" t="n"/>
      <c r="AI146" s="1361" t="n"/>
      <c r="AJ146" s="1379" t="n"/>
      <c r="AK146" s="1361" t="n"/>
      <c r="AL146" s="1361" t="n"/>
      <c r="AM146" s="1361" t="n"/>
      <c r="AN146" s="1361" t="n"/>
      <c r="AO146" s="1379" t="n"/>
      <c r="AP146" s="1361" t="n"/>
      <c r="AQ146" s="1361" t="n"/>
      <c r="AR146" s="1361" t="n"/>
      <c r="AS146" s="1361" t="n"/>
      <c r="AT146" s="1379" t="n"/>
      <c r="AU146" s="1361" t="n"/>
      <c r="AV146" s="1361" t="n"/>
      <c r="AW146" s="1361" t="n"/>
      <c r="AX146" s="1361" t="n"/>
      <c r="AY146" s="1494" t="n">
        <v>15</v>
      </c>
      <c r="AZ146" s="1493" t="n">
        <v>3.5</v>
      </c>
      <c r="BA146" s="1493" t="n">
        <v>-0.2</v>
      </c>
      <c r="BB146" s="1493" t="n">
        <v>22</v>
      </c>
      <c r="BC146" s="1361" t="n"/>
      <c r="BD146" s="1494" t="n">
        <v>8.699999999999999</v>
      </c>
      <c r="BE146" s="1493" t="n">
        <v>-4</v>
      </c>
      <c r="BF146" s="1361" t="n"/>
      <c r="BG146" s="1493" t="n">
        <v>-25</v>
      </c>
      <c r="BH146" s="1361" t="n"/>
      <c r="BI146" s="1494" t="n">
        <v>-15.1</v>
      </c>
      <c r="BJ146" s="1361" t="n"/>
      <c r="BK146" s="1361" t="n"/>
      <c r="BL146" s="1361" t="n"/>
      <c r="BM146" s="1361" t="n"/>
      <c r="BN146" s="1494" t="n">
        <v>-14.7</v>
      </c>
      <c r="BO146" s="1361" t="n"/>
      <c r="BP146" s="1361" t="n"/>
      <c r="BQ146" s="1363" t="n"/>
      <c r="BR146" s="1361" t="n"/>
      <c r="BS146" s="1379" t="n"/>
      <c r="BT146" s="1361" t="n"/>
      <c r="BU146" s="1361" t="n"/>
      <c r="BV146" s="1361" t="n"/>
      <c r="BW146" s="1361" t="n"/>
      <c r="BX146" s="1379" t="n"/>
      <c r="BY146" s="1379" t="n"/>
      <c r="BZ146" s="1379" t="n"/>
      <c r="CA146" s="1379" t="n"/>
      <c r="CB146" s="1364" t="n"/>
    </row>
    <row r="147" hidden="1" outlineLevel="1" ht="14.4" customFormat="1" customHeight="1" s="1359">
      <c r="A147" s="1474" t="inlineStr">
        <is>
          <t>G&amp;A - Change in stock-based compensation, mm</t>
        </is>
      </c>
      <c r="B147" s="1377" t="n"/>
      <c r="C147" s="1379" t="n"/>
      <c r="D147" s="1379" t="n"/>
      <c r="E147" s="1379" t="n"/>
      <c r="F147" s="1379" t="n"/>
      <c r="G147" s="1361" t="n"/>
      <c r="H147" s="1361" t="n"/>
      <c r="I147" s="1361" t="n"/>
      <c r="J147" s="1361" t="n"/>
      <c r="K147" s="1379" t="n"/>
      <c r="L147" s="1361" t="n"/>
      <c r="M147" s="1361" t="n"/>
      <c r="N147" s="1361" t="n"/>
      <c r="O147" s="1361" t="n"/>
      <c r="P147" s="1379" t="n"/>
      <c r="Q147" s="1361" t="n"/>
      <c r="R147" s="1361" t="n"/>
      <c r="S147" s="1361" t="n"/>
      <c r="T147" s="1361" t="n"/>
      <c r="U147" s="1379" t="n"/>
      <c r="V147" s="1361" t="n"/>
      <c r="W147" s="1361" t="n"/>
      <c r="X147" s="1493" t="n">
        <v>0.7</v>
      </c>
      <c r="Y147" s="1361">
        <f>Z147-SUM(V147,W147,X147)</f>
        <v/>
      </c>
      <c r="Z147" s="1494" t="n">
        <v>2.6</v>
      </c>
      <c r="AA147" s="1361" t="n"/>
      <c r="AB147" s="1493" t="n">
        <v>0.5</v>
      </c>
      <c r="AC147" s="1493" t="n">
        <v>0.8</v>
      </c>
      <c r="AD147" s="1361">
        <f>AE147-SUM(AA147,AB147,AC147)</f>
        <v/>
      </c>
      <c r="AE147" s="1494" t="n">
        <v>3</v>
      </c>
      <c r="AF147" s="1361">
        <f>AF162-AF144</f>
        <v/>
      </c>
      <c r="AG147" s="1493" t="n">
        <v>1.1</v>
      </c>
      <c r="AH147" s="1493" t="n">
        <v>0.9</v>
      </c>
      <c r="AI147" s="1361">
        <f>AJ147-SUM(AF147,AG147,AH147)</f>
        <v/>
      </c>
      <c r="AJ147" s="1494" t="n">
        <v>1.8</v>
      </c>
      <c r="AK147" s="1493" t="n">
        <v>-0.9</v>
      </c>
      <c r="AL147" s="1361" t="n"/>
      <c r="AM147" s="1493" t="n">
        <v>-0.5</v>
      </c>
      <c r="AN147" s="1361" t="n"/>
      <c r="AO147" s="1379" t="n"/>
      <c r="AP147" s="1361" t="n"/>
      <c r="AQ147" s="1361" t="n"/>
      <c r="AR147" s="1361" t="n"/>
      <c r="AS147" s="1361" t="n"/>
      <c r="AT147" s="1494" t="n">
        <v>2</v>
      </c>
      <c r="AU147" s="1493" t="n">
        <v>1.1</v>
      </c>
      <c r="AV147" s="1493" t="n">
        <v>1.5</v>
      </c>
      <c r="AW147" s="1493" t="n">
        <v>1.5</v>
      </c>
      <c r="AX147" s="1361" t="n"/>
      <c r="AY147" s="1494" t="n">
        <v>4.5</v>
      </c>
      <c r="AZ147" s="1493" t="n">
        <v>4</v>
      </c>
      <c r="BA147" s="1493" t="n">
        <v>5.3</v>
      </c>
      <c r="BB147" s="1493" t="n">
        <v>5.8</v>
      </c>
      <c r="BC147" s="1361" t="n"/>
      <c r="BD147" s="1494" t="n">
        <v>20</v>
      </c>
      <c r="BE147" s="1493" t="n">
        <v>1.7</v>
      </c>
      <c r="BF147" s="1493" t="n">
        <v>1.5</v>
      </c>
      <c r="BG147" s="1493" t="n">
        <v>1.5</v>
      </c>
      <c r="BH147" s="1361" t="n"/>
      <c r="BI147" s="1494" t="n">
        <v>6.3</v>
      </c>
      <c r="BJ147" s="1361" t="n"/>
      <c r="BK147" s="1361" t="n"/>
      <c r="BL147" s="1361" t="n"/>
      <c r="BM147" s="1361" t="n"/>
      <c r="BN147" s="1494" t="n">
        <v>3.4</v>
      </c>
      <c r="BO147" s="1361" t="n"/>
      <c r="BP147" s="1493" t="n">
        <v>3.7</v>
      </c>
      <c r="BQ147" s="1502" t="n">
        <v>4.5</v>
      </c>
      <c r="BR147" s="1361" t="n"/>
      <c r="BS147" s="1379" t="n"/>
      <c r="BT147" s="1361" t="n"/>
      <c r="BU147" s="1361" t="n"/>
      <c r="BV147" s="1361" t="n"/>
      <c r="BW147" s="1361" t="n"/>
      <c r="BX147" s="1379" t="n"/>
      <c r="BY147" s="1379" t="n"/>
      <c r="BZ147" s="1379" t="n"/>
      <c r="CA147" s="1379" t="n"/>
      <c r="CB147" s="1364" t="n"/>
    </row>
    <row r="148" hidden="1" outlineLevel="1" ht="14.4" customFormat="1" customHeight="1" s="1359">
      <c r="A148" s="1474" t="inlineStr">
        <is>
          <t>G&amp;A - Change in voluntary retirement program, mm</t>
        </is>
      </c>
      <c r="B148" s="1377" t="n"/>
      <c r="C148" s="1379" t="n"/>
      <c r="D148" s="1379" t="n"/>
      <c r="E148" s="1379" t="n"/>
      <c r="F148" s="1379" t="n"/>
      <c r="G148" s="1361" t="n"/>
      <c r="H148" s="1361" t="n"/>
      <c r="I148" s="1361" t="n"/>
      <c r="J148" s="1361" t="n"/>
      <c r="K148" s="1379" t="n"/>
      <c r="L148" s="1361" t="n"/>
      <c r="M148" s="1361" t="n"/>
      <c r="N148" s="1361" t="n"/>
      <c r="O148" s="1361" t="n"/>
      <c r="P148" s="1379" t="n"/>
      <c r="Q148" s="1361" t="n"/>
      <c r="R148" s="1361" t="n"/>
      <c r="S148" s="1361" t="n"/>
      <c r="T148" s="1361" t="n"/>
      <c r="U148" s="1379" t="n"/>
      <c r="V148" s="1361" t="n"/>
      <c r="W148" s="1361" t="n"/>
      <c r="X148" s="1361" t="n"/>
      <c r="Y148" s="1361" t="n"/>
      <c r="Z148" s="1379" t="n"/>
      <c r="AA148" s="1361" t="n"/>
      <c r="AB148" s="1361" t="n"/>
      <c r="AC148" s="1361" t="n"/>
      <c r="AD148" s="1361" t="n"/>
      <c r="AE148" s="1379" t="n"/>
      <c r="AF148" s="1361" t="n"/>
      <c r="AG148" s="1361" t="n"/>
      <c r="AH148" s="1361" t="n"/>
      <c r="AI148" s="1361" t="n"/>
      <c r="AJ148" s="1379" t="n"/>
      <c r="AK148" s="1361" t="n"/>
      <c r="AL148" s="1361" t="n"/>
      <c r="AM148" s="1361" t="n"/>
      <c r="AN148" s="1361" t="n"/>
      <c r="AO148" s="1379" t="n"/>
      <c r="AP148" s="1361" t="n"/>
      <c r="AQ148" s="1361" t="n"/>
      <c r="AR148" s="1361" t="n"/>
      <c r="AS148" s="1361" t="n"/>
      <c r="AT148" s="1379" t="n"/>
      <c r="AU148" s="1361" t="n"/>
      <c r="AV148" s="1493" t="n">
        <v>2.3</v>
      </c>
      <c r="AW148" s="1361" t="n"/>
      <c r="AX148" s="1361" t="n"/>
      <c r="AY148" s="1494" t="n">
        <v>2.2</v>
      </c>
      <c r="AZ148" s="1361" t="n"/>
      <c r="BA148" s="1493" t="n">
        <v>-2.6</v>
      </c>
      <c r="BB148" s="1361" t="n"/>
      <c r="BC148" s="1361" t="n"/>
      <c r="BD148" s="1494" t="n">
        <v>-2.6</v>
      </c>
      <c r="BE148" s="1361" t="n"/>
      <c r="BF148" s="1361" t="n"/>
      <c r="BG148" s="1361" t="n"/>
      <c r="BH148" s="1361" t="n"/>
      <c r="BI148" s="1379" t="n"/>
      <c r="BJ148" s="1361" t="n"/>
      <c r="BK148" s="1361" t="n"/>
      <c r="BL148" s="1361" t="n"/>
      <c r="BM148" s="1361" t="n"/>
      <c r="BN148" s="1379" t="n"/>
      <c r="BO148" s="1361" t="n"/>
      <c r="BP148" s="1361" t="n"/>
      <c r="BQ148" s="1363" t="n"/>
      <c r="BR148" s="1361" t="n"/>
      <c r="BS148" s="1379" t="n"/>
      <c r="BT148" s="1361" t="n"/>
      <c r="BU148" s="1361" t="n"/>
      <c r="BV148" s="1361" t="n"/>
      <c r="BW148" s="1361" t="n"/>
      <c r="BX148" s="1379" t="n"/>
      <c r="BY148" s="1379" t="n"/>
      <c r="BZ148" s="1379" t="n"/>
      <c r="CA148" s="1379" t="n"/>
      <c r="CB148" s="1364" t="n"/>
    </row>
    <row r="149" hidden="1" outlineLevel="1" ht="14.4" customFormat="1" customHeight="1" s="1359">
      <c r="A149" s="1474" t="inlineStr">
        <is>
          <t>G&amp;A - Change in customs and other import related costs, mm</t>
        </is>
      </c>
      <c r="B149" s="1377" t="n"/>
      <c r="C149" s="1379" t="n"/>
      <c r="D149" s="1379" t="n"/>
      <c r="E149" s="1379" t="n"/>
      <c r="F149" s="1379" t="n"/>
      <c r="G149" s="1361" t="n"/>
      <c r="H149" s="1361" t="n"/>
      <c r="I149" s="1361" t="n"/>
      <c r="J149" s="1361" t="n"/>
      <c r="K149" s="1379" t="n"/>
      <c r="L149" s="1361" t="n"/>
      <c r="M149" s="1361" t="n"/>
      <c r="N149" s="1361" t="n"/>
      <c r="O149" s="1361" t="n"/>
      <c r="P149" s="1379" t="n"/>
      <c r="Q149" s="1361" t="n"/>
      <c r="R149" s="1361" t="n"/>
      <c r="S149" s="1361" t="n"/>
      <c r="T149" s="1361" t="n"/>
      <c r="U149" s="1379" t="n"/>
      <c r="V149" s="1361" t="n"/>
      <c r="W149" s="1361" t="n"/>
      <c r="X149" s="1361" t="n"/>
      <c r="Y149" s="1361" t="n"/>
      <c r="Z149" s="1379" t="n"/>
      <c r="AA149" s="1361" t="n"/>
      <c r="AB149" s="1361" t="n"/>
      <c r="AC149" s="1361" t="n"/>
      <c r="AD149" s="1361" t="n"/>
      <c r="AE149" s="1379" t="n"/>
      <c r="AF149" s="1361" t="n"/>
      <c r="AG149" s="1361" t="n"/>
      <c r="AH149" s="1361" t="n"/>
      <c r="AI149" s="1361" t="n"/>
      <c r="AJ149" s="1379" t="n"/>
      <c r="AK149" s="1361" t="n"/>
      <c r="AL149" s="1361" t="n"/>
      <c r="AM149" s="1361" t="n"/>
      <c r="AN149" s="1361" t="n"/>
      <c r="AO149" s="1379" t="n"/>
      <c r="AP149" s="1361" t="n"/>
      <c r="AQ149" s="1361" t="n"/>
      <c r="AR149" s="1361" t="n"/>
      <c r="AS149" s="1361" t="n"/>
      <c r="AT149" s="1379" t="n"/>
      <c r="AU149" s="1361" t="n"/>
      <c r="AV149" s="1493" t="n">
        <v>0.4</v>
      </c>
      <c r="AW149" s="1361" t="n"/>
      <c r="AX149" s="1361" t="n"/>
      <c r="AY149" s="1379" t="n"/>
      <c r="AZ149" s="1361" t="n"/>
      <c r="BA149" s="1361" t="n"/>
      <c r="BB149" s="1361" t="n"/>
      <c r="BC149" s="1361" t="n"/>
      <c r="BD149" s="1379" t="n"/>
      <c r="BE149" s="1361" t="n"/>
      <c r="BF149" s="1361" t="n"/>
      <c r="BG149" s="1361" t="n"/>
      <c r="BH149" s="1361" t="n"/>
      <c r="BI149" s="1379" t="n"/>
      <c r="BJ149" s="1361" t="n"/>
      <c r="BK149" s="1361" t="n"/>
      <c r="BL149" s="1361" t="n"/>
      <c r="BM149" s="1361" t="n"/>
      <c r="BN149" s="1379" t="n"/>
      <c r="BO149" s="1361" t="n"/>
      <c r="BP149" s="1361" t="n"/>
      <c r="BQ149" s="1363" t="n"/>
      <c r="BR149" s="1361" t="n"/>
      <c r="BS149" s="1379" t="n"/>
      <c r="BT149" s="1361" t="n"/>
      <c r="BU149" s="1361" t="n"/>
      <c r="BV149" s="1361" t="n"/>
      <c r="BW149" s="1361" t="n"/>
      <c r="BX149" s="1379" t="n"/>
      <c r="BY149" s="1379" t="n"/>
      <c r="BZ149" s="1379" t="n"/>
      <c r="CA149" s="1379" t="n"/>
      <c r="CB149" s="1364" t="n"/>
    </row>
    <row r="150" hidden="1" outlineLevel="1" ht="14.4" customFormat="1" customHeight="1" s="1359">
      <c r="A150" s="1474" t="inlineStr">
        <is>
          <t>G&amp;A - Change in bad debt, mm</t>
        </is>
      </c>
      <c r="B150" s="1377" t="n"/>
      <c r="C150" s="1379" t="n"/>
      <c r="D150" s="1379" t="n"/>
      <c r="E150" s="1379" t="n"/>
      <c r="F150" s="1379" t="n"/>
      <c r="G150" s="1361" t="n"/>
      <c r="H150" s="1361" t="n"/>
      <c r="I150" s="1361" t="n"/>
      <c r="J150" s="1361" t="n"/>
      <c r="K150" s="1379" t="n"/>
      <c r="L150" s="1361" t="n"/>
      <c r="M150" s="1361" t="n"/>
      <c r="N150" s="1361" t="n"/>
      <c r="O150" s="1361" t="n"/>
      <c r="P150" s="1379" t="n"/>
      <c r="Q150" s="1361" t="n"/>
      <c r="R150" s="1361" t="n"/>
      <c r="S150" s="1361" t="n"/>
      <c r="T150" s="1361" t="n"/>
      <c r="U150" s="1379" t="n"/>
      <c r="V150" s="1361" t="n"/>
      <c r="W150" s="1361" t="n"/>
      <c r="X150" s="1361" t="n"/>
      <c r="Y150" s="1361">
        <f>Z150-SUM(V150,W150,X150)</f>
        <v/>
      </c>
      <c r="Z150" s="1379" t="n"/>
      <c r="AA150" s="1361" t="n"/>
      <c r="AB150" s="1361" t="n"/>
      <c r="AC150" s="1493" t="n">
        <v>1.1</v>
      </c>
      <c r="AD150" s="1361">
        <f>AE150-SUM(AA150,AB150,AC150)</f>
        <v/>
      </c>
      <c r="AE150" s="1494" t="n">
        <v>2.3</v>
      </c>
      <c r="AF150" s="1361" t="n"/>
      <c r="AG150" s="1361" t="n"/>
      <c r="AH150" s="1493" t="n">
        <v>2.4</v>
      </c>
      <c r="AI150" s="1361">
        <f>AJ150-SUM(AF150,AG150,AH150)</f>
        <v/>
      </c>
      <c r="AJ150" s="1494" t="n">
        <v>2.5</v>
      </c>
      <c r="AK150" s="1493" t="n">
        <v>-1</v>
      </c>
      <c r="AL150" s="1493" t="n">
        <v>-0.7</v>
      </c>
      <c r="AM150" s="1493" t="n">
        <v>-3.5</v>
      </c>
      <c r="AN150" s="1361" t="n"/>
      <c r="AO150" s="1494" t="n">
        <v>-4.5</v>
      </c>
      <c r="AP150" s="1361" t="n"/>
      <c r="AQ150" s="1493" t="n">
        <v>1.2</v>
      </c>
      <c r="AR150" s="1493" t="n">
        <v>0.1</v>
      </c>
      <c r="AS150" s="1361" t="n"/>
      <c r="AT150" s="1379" t="n"/>
      <c r="AU150" s="1361" t="n"/>
      <c r="AV150" s="1361" t="n"/>
      <c r="AW150" s="1361" t="n"/>
      <c r="AX150" s="1361" t="n"/>
      <c r="AY150" s="1379" t="n"/>
      <c r="AZ150" s="1361" t="n"/>
      <c r="BA150" s="1361" t="n"/>
      <c r="BB150" s="1361" t="n"/>
      <c r="BC150" s="1361" t="n"/>
      <c r="BD150" s="1379" t="n"/>
      <c r="BE150" s="1361" t="n"/>
      <c r="BF150" s="1361" t="n"/>
      <c r="BG150" s="1361" t="n"/>
      <c r="BH150" s="1361" t="n"/>
      <c r="BI150" s="1379" t="n"/>
      <c r="BJ150" s="1361" t="n"/>
      <c r="BK150" s="1361" t="n"/>
      <c r="BL150" s="1361" t="n"/>
      <c r="BM150" s="1361" t="n"/>
      <c r="BN150" s="1379" t="n"/>
      <c r="BO150" s="1361" t="n"/>
      <c r="BP150" s="1361" t="n"/>
      <c r="BQ150" s="1363" t="n"/>
      <c r="BR150" s="1361" t="n"/>
      <c r="BS150" s="1379" t="n"/>
      <c r="BT150" s="1361" t="n"/>
      <c r="BU150" s="1361" t="n"/>
      <c r="BV150" s="1361" t="n"/>
      <c r="BW150" s="1361" t="n"/>
      <c r="BX150" s="1379" t="n"/>
      <c r="BY150" s="1379" t="n"/>
      <c r="BZ150" s="1379" t="n"/>
      <c r="CA150" s="1379" t="n"/>
      <c r="CB150" s="1364" t="n"/>
    </row>
    <row r="151" hidden="1" outlineLevel="1" ht="14.4" customFormat="1" customHeight="1" s="1359">
      <c r="A151" s="1474" t="inlineStr">
        <is>
          <t>G&amp;A - Change in facilities and other infrastructure costs, mm</t>
        </is>
      </c>
      <c r="B151" s="1377" t="n"/>
      <c r="C151" s="1379" t="n"/>
      <c r="D151" s="1379" t="n"/>
      <c r="E151" s="1379" t="n"/>
      <c r="F151" s="1379" t="n"/>
      <c r="G151" s="1361" t="n"/>
      <c r="H151" s="1361" t="n"/>
      <c r="I151" s="1361" t="n"/>
      <c r="J151" s="1361" t="n"/>
      <c r="K151" s="1379" t="n"/>
      <c r="L151" s="1361" t="n"/>
      <c r="M151" s="1361" t="n"/>
      <c r="N151" s="1361" t="n"/>
      <c r="O151" s="1361" t="n"/>
      <c r="P151" s="1494" t="n">
        <v>2.2</v>
      </c>
      <c r="Q151" s="1361" t="n"/>
      <c r="R151" s="1361" t="n"/>
      <c r="S151" s="1361" t="n"/>
      <c r="T151" s="1361" t="n"/>
      <c r="U151" s="1379" t="n"/>
      <c r="V151" s="1361" t="n"/>
      <c r="W151" s="1361" t="n"/>
      <c r="X151" s="1361" t="n"/>
      <c r="Y151" s="1361">
        <f>Z151-SUM(V151,W151,X151)</f>
        <v/>
      </c>
      <c r="Z151" s="1379" t="n"/>
      <c r="AA151" s="1361" t="n"/>
      <c r="AB151" s="1361" t="n"/>
      <c r="AC151" s="1361" t="n"/>
      <c r="AD151" s="1361">
        <f>AE151-SUM(AA151,AB151,AC151)</f>
        <v/>
      </c>
      <c r="AE151" s="1379" t="n"/>
      <c r="AF151" s="1361" t="n"/>
      <c r="AG151" s="1361" t="n"/>
      <c r="AH151" s="1361" t="n"/>
      <c r="AI151" s="1361">
        <f>AJ151-SUM(AF151,AG151,AH151)</f>
        <v/>
      </c>
      <c r="AJ151" s="1379" t="n"/>
      <c r="AK151" s="1493" t="n">
        <v>-0.7</v>
      </c>
      <c r="AL151" s="1493" t="n">
        <v>-0.5</v>
      </c>
      <c r="AM151" s="1493" t="n">
        <v>-0.4</v>
      </c>
      <c r="AN151" s="1361" t="n"/>
      <c r="AO151" s="1379" t="n"/>
      <c r="AP151" s="1361" t="n"/>
      <c r="AQ151" s="1361" t="n"/>
      <c r="AR151" s="1361" t="n"/>
      <c r="AS151" s="1361" t="n"/>
      <c r="AT151" s="1494" t="n">
        <v>2.6</v>
      </c>
      <c r="AU151" s="1361" t="n"/>
      <c r="AV151" s="1361" t="n"/>
      <c r="AW151" s="1361" t="n"/>
      <c r="AX151" s="1361" t="n"/>
      <c r="AY151" s="1379" t="n"/>
      <c r="AZ151" s="1361" t="n"/>
      <c r="BA151" s="1361" t="n"/>
      <c r="BB151" s="1361" t="n"/>
      <c r="BC151" s="1361" t="n"/>
      <c r="BD151" s="1379" t="n"/>
      <c r="BE151" s="1361" t="n"/>
      <c r="BF151" s="1361" t="n"/>
      <c r="BG151" s="1361" t="n"/>
      <c r="BH151" s="1361" t="n"/>
      <c r="BI151" s="1379" t="n"/>
      <c r="BJ151" s="1361" t="n"/>
      <c r="BK151" s="1361" t="n"/>
      <c r="BL151" s="1361" t="n"/>
      <c r="BM151" s="1361" t="n"/>
      <c r="BN151" s="1379" t="n"/>
      <c r="BO151" s="1361" t="n"/>
      <c r="BP151" s="1361" t="n"/>
      <c r="BQ151" s="1363" t="n"/>
      <c r="BR151" s="1361" t="n"/>
      <c r="BS151" s="1379" t="n"/>
      <c r="BT151" s="1361" t="n"/>
      <c r="BU151" s="1361" t="n"/>
      <c r="BV151" s="1361" t="n"/>
      <c r="BW151" s="1361" t="n"/>
      <c r="BX151" s="1379" t="n"/>
      <c r="BY151" s="1379" t="n"/>
      <c r="BZ151" s="1379" t="n"/>
      <c r="CA151" s="1379" t="n"/>
      <c r="CB151" s="1364" t="n"/>
    </row>
    <row r="152" hidden="1" outlineLevel="1" ht="14.4" customFormat="1" customHeight="1" s="1359">
      <c r="A152" s="1474" t="inlineStr">
        <is>
          <t>G&amp;A - Change in professional services, mm</t>
        </is>
      </c>
      <c r="B152" s="1377" t="n"/>
      <c r="C152" s="1379" t="n"/>
      <c r="D152" s="1379" t="n"/>
      <c r="E152" s="1379" t="n"/>
      <c r="F152" s="1379" t="n"/>
      <c r="G152" s="1361" t="n"/>
      <c r="H152" s="1361" t="n"/>
      <c r="I152" s="1361" t="n"/>
      <c r="J152" s="1361" t="n"/>
      <c r="K152" s="1379" t="n"/>
      <c r="L152" s="1361" t="n"/>
      <c r="M152" s="1361" t="n"/>
      <c r="N152" s="1361" t="n"/>
      <c r="O152" s="1361" t="n"/>
      <c r="P152" s="1494" t="n">
        <v>-0.5</v>
      </c>
      <c r="Q152" s="1361" t="n"/>
      <c r="R152" s="1361" t="n"/>
      <c r="S152" s="1361" t="n"/>
      <c r="T152" s="1361" t="n"/>
      <c r="U152" s="1494" t="n">
        <v>-5.5</v>
      </c>
      <c r="V152" s="1361" t="n"/>
      <c r="W152" s="1361" t="n"/>
      <c r="X152" s="1361" t="n"/>
      <c r="Y152" s="1361">
        <f>Z152-SUM(V152,W152,X152)</f>
        <v/>
      </c>
      <c r="Z152" s="1494" t="n">
        <v>0.5</v>
      </c>
      <c r="AA152" s="1493" t="n">
        <v>1.7</v>
      </c>
      <c r="AB152" s="1361" t="n"/>
      <c r="AC152" s="1493" t="n">
        <v>2.2</v>
      </c>
      <c r="AD152" s="1361">
        <f>AE152-SUM(AA152,AB152,AC152)</f>
        <v/>
      </c>
      <c r="AE152" s="1494" t="n">
        <v>4.4</v>
      </c>
      <c r="AF152" s="1361" t="n"/>
      <c r="AG152" s="1493" t="n">
        <v>2.3</v>
      </c>
      <c r="AH152" s="1493" t="n">
        <v>-3.5</v>
      </c>
      <c r="AI152" s="1361">
        <f>AJ152-SUM(AF152,AG152,AH152)</f>
        <v/>
      </c>
      <c r="AJ152" s="1494" t="n">
        <v>-1.9</v>
      </c>
      <c r="AK152" s="1361" t="n"/>
      <c r="AL152" s="1493" t="n">
        <v>-2.6</v>
      </c>
      <c r="AM152" s="1493" t="n">
        <v>2.5</v>
      </c>
      <c r="AN152" s="1361" t="n"/>
      <c r="AO152" s="1494" t="n">
        <v>4.5</v>
      </c>
      <c r="AP152" s="1493" t="n">
        <v>2.8</v>
      </c>
      <c r="AQ152" s="1493" t="n">
        <v>1.4</v>
      </c>
      <c r="AR152" s="1493" t="n">
        <v>0.2</v>
      </c>
      <c r="AS152" s="1361" t="n"/>
      <c r="AT152" s="1379" t="n"/>
      <c r="AU152" s="1361" t="n"/>
      <c r="AV152" s="1361" t="n"/>
      <c r="AW152" s="1361" t="n"/>
      <c r="AX152" s="1361" t="n"/>
      <c r="AY152" s="1494" t="n">
        <v>3.2</v>
      </c>
      <c r="AZ152" s="1361" t="n"/>
      <c r="BA152" s="1493" t="n">
        <v>10.7</v>
      </c>
      <c r="BB152" s="1493" t="n">
        <v>4.9</v>
      </c>
      <c r="BC152" s="1361" t="n"/>
      <c r="BD152" s="1494" t="n">
        <v>15.2</v>
      </c>
      <c r="BE152" s="1493" t="n">
        <v>5.9</v>
      </c>
      <c r="BF152" s="1493" t="n">
        <v>-12.3</v>
      </c>
      <c r="BG152" s="1493" t="n">
        <v>1.8</v>
      </c>
      <c r="BH152" s="1361" t="n"/>
      <c r="BI152" s="1379" t="n"/>
      <c r="BJ152" s="1493" t="n">
        <v>6.1</v>
      </c>
      <c r="BK152" s="1493" t="n">
        <v>9.300000000000001</v>
      </c>
      <c r="BL152" s="1493" t="n">
        <v>3.2</v>
      </c>
      <c r="BM152" s="1361" t="n"/>
      <c r="BN152" s="1494" t="n">
        <v>3.4</v>
      </c>
      <c r="BO152" s="1493" t="n">
        <v>-6.6</v>
      </c>
      <c r="BP152" s="1493" t="n">
        <v>-3</v>
      </c>
      <c r="BQ152" s="1502" t="n">
        <v>10.5</v>
      </c>
      <c r="BR152" s="1361" t="n"/>
      <c r="BS152" s="1379" t="n"/>
      <c r="BT152" s="1361" t="n"/>
      <c r="BU152" s="1361" t="n"/>
      <c r="BV152" s="1361" t="n"/>
      <c r="BW152" s="1361" t="n"/>
      <c r="BX152" s="1379" t="n"/>
      <c r="BY152" s="1379" t="n"/>
      <c r="BZ152" s="1379" t="n"/>
      <c r="CA152" s="1379" t="n"/>
      <c r="CB152" s="1364" t="n"/>
    </row>
    <row r="153" hidden="1" outlineLevel="1" ht="14.4" customFormat="1" customHeight="1" s="1359">
      <c r="A153" s="1474" t="inlineStr">
        <is>
          <t>G&amp;A - Change in legal fees and related costs, mm</t>
        </is>
      </c>
      <c r="B153" s="1377" t="n"/>
      <c r="C153" s="1379" t="n"/>
      <c r="D153" s="1379" t="n"/>
      <c r="E153" s="1379" t="n"/>
      <c r="F153" s="1379" t="n"/>
      <c r="G153" s="1361" t="n"/>
      <c r="H153" s="1361" t="n"/>
      <c r="I153" s="1361" t="n"/>
      <c r="J153" s="1361" t="n"/>
      <c r="K153" s="1379" t="n"/>
      <c r="L153" s="1361" t="n"/>
      <c r="M153" s="1361" t="n"/>
      <c r="N153" s="1361" t="n"/>
      <c r="O153" s="1361" t="n"/>
      <c r="P153" s="1379" t="n"/>
      <c r="Q153" s="1361" t="n"/>
      <c r="R153" s="1361" t="n"/>
      <c r="S153" s="1361" t="n"/>
      <c r="T153" s="1361" t="n"/>
      <c r="U153" s="1379" t="n"/>
      <c r="V153" s="1361" t="n"/>
      <c r="W153" s="1361" t="n"/>
      <c r="X153" s="1361" t="n"/>
      <c r="Y153" s="1361" t="n"/>
      <c r="Z153" s="1379" t="n"/>
      <c r="AA153" s="1361" t="n"/>
      <c r="AB153" s="1361" t="n"/>
      <c r="AC153" s="1361" t="n"/>
      <c r="AD153" s="1361" t="n"/>
      <c r="AE153" s="1379" t="n"/>
      <c r="AF153" s="1361" t="n"/>
      <c r="AG153" s="1361" t="n"/>
      <c r="AH153" s="1361" t="n"/>
      <c r="AI153" s="1361" t="n"/>
      <c r="AJ153" s="1379" t="n"/>
      <c r="AK153" s="1361" t="n"/>
      <c r="AL153" s="1361" t="n"/>
      <c r="AM153" s="1361" t="n"/>
      <c r="AN153" s="1361" t="n"/>
      <c r="AO153" s="1379" t="n"/>
      <c r="AP153" s="1361" t="n"/>
      <c r="AQ153" s="1361" t="n"/>
      <c r="AR153" s="1361" t="n"/>
      <c r="AS153" s="1361" t="n"/>
      <c r="AT153" s="1379" t="n"/>
      <c r="AU153" s="1361" t="n"/>
      <c r="AV153" s="1361" t="n"/>
      <c r="AW153" s="1361" t="n"/>
      <c r="AX153" s="1361" t="n"/>
      <c r="AY153" s="1379" t="n"/>
      <c r="AZ153" s="1361" t="n"/>
      <c r="BA153" s="1361" t="n"/>
      <c r="BB153" s="1361" t="n"/>
      <c r="BC153" s="1361" t="n"/>
      <c r="BD153" s="1494" t="n">
        <v>12.5</v>
      </c>
      <c r="BE153" s="1361" t="n"/>
      <c r="BF153" s="1361" t="n"/>
      <c r="BG153" s="1361" t="n"/>
      <c r="BH153" s="1361" t="n"/>
      <c r="BI153" s="1494" t="n">
        <v>-15.6</v>
      </c>
      <c r="BJ153" s="1361" t="n"/>
      <c r="BK153" s="1361" t="n"/>
      <c r="BL153" s="1361" t="n"/>
      <c r="BM153" s="1361" t="n"/>
      <c r="BN153" s="1494">
        <f>18.7+8.3</f>
        <v/>
      </c>
      <c r="BO153" s="1361" t="n"/>
      <c r="BP153" s="1361" t="n"/>
      <c r="BQ153" s="1363" t="n"/>
      <c r="BR153" s="1361" t="n"/>
      <c r="BS153" s="1379" t="n"/>
      <c r="BT153" s="1361" t="n"/>
      <c r="BU153" s="1361" t="n"/>
      <c r="BV153" s="1361" t="n"/>
      <c r="BW153" s="1361" t="n"/>
      <c r="BX153" s="1379" t="n"/>
      <c r="BY153" s="1379" t="n"/>
      <c r="BZ153" s="1379" t="n"/>
      <c r="CA153" s="1379" t="n"/>
      <c r="CB153" s="1364" t="n"/>
    </row>
    <row r="154" hidden="1" outlineLevel="1" ht="14.4" customFormat="1" customHeight="1" s="1359">
      <c r="A154" s="1474" t="inlineStr">
        <is>
          <t>G&amp;A - Change in university endowment, mm</t>
        </is>
      </c>
      <c r="B154" s="1377" t="n"/>
      <c r="C154" s="1379" t="n"/>
      <c r="D154" s="1379" t="n"/>
      <c r="E154" s="1379" t="n"/>
      <c r="F154" s="1379" t="n"/>
      <c r="G154" s="1361" t="n"/>
      <c r="H154" s="1361" t="n"/>
      <c r="I154" s="1361" t="n"/>
      <c r="J154" s="1361" t="n"/>
      <c r="K154" s="1379" t="n"/>
      <c r="L154" s="1361" t="n"/>
      <c r="M154" s="1361" t="n"/>
      <c r="N154" s="1361" t="n"/>
      <c r="O154" s="1361" t="n"/>
      <c r="P154" s="1379" t="n"/>
      <c r="Q154" s="1361" t="n"/>
      <c r="R154" s="1361" t="n"/>
      <c r="S154" s="1361" t="n"/>
      <c r="T154" s="1361" t="n"/>
      <c r="U154" s="1379" t="n"/>
      <c r="V154" s="1361" t="n"/>
      <c r="W154" s="1361" t="n"/>
      <c r="X154" s="1361" t="n"/>
      <c r="Y154" s="1361">
        <f>Z154-SUM(V154,W154,X154)</f>
        <v/>
      </c>
      <c r="Z154" s="1379" t="n"/>
      <c r="AA154" s="1361" t="n"/>
      <c r="AB154" s="1361" t="n"/>
      <c r="AC154" s="1361" t="n"/>
      <c r="AD154" s="1361">
        <f>AE154-SUM(AA154,AB154,AC154)</f>
        <v/>
      </c>
      <c r="AE154" s="1379" t="n"/>
      <c r="AF154" s="1361" t="n"/>
      <c r="AG154" s="1361" t="n"/>
      <c r="AH154" s="1361" t="n"/>
      <c r="AI154" s="1361">
        <f>AJ154-SUM(AF154,AG154,AH154)</f>
        <v/>
      </c>
      <c r="AJ154" s="1379" t="n"/>
      <c r="AK154" s="1361" t="n"/>
      <c r="AL154" s="1493" t="n">
        <v>3</v>
      </c>
      <c r="AM154" s="1361" t="n"/>
      <c r="AN154" s="1361" t="n"/>
      <c r="AO154" s="1494" t="n">
        <v>3</v>
      </c>
      <c r="AP154" s="1361" t="n"/>
      <c r="AQ154" s="1493" t="n">
        <v>-3</v>
      </c>
      <c r="AR154" s="1361" t="n"/>
      <c r="AS154" s="1361" t="n"/>
      <c r="AT154" s="1494" t="n">
        <v>2</v>
      </c>
      <c r="AU154" s="1361" t="n"/>
      <c r="AV154" s="1361" t="n"/>
      <c r="AW154" s="1493" t="n">
        <v>3</v>
      </c>
      <c r="AX154" s="1361" t="n"/>
      <c r="AY154" s="1379" t="n"/>
      <c r="AZ154" s="1361" t="n"/>
      <c r="BA154" s="1361" t="n"/>
      <c r="BB154" s="1361" t="n"/>
      <c r="BC154" s="1361" t="n"/>
      <c r="BD154" s="1379" t="n"/>
      <c r="BE154" s="1361" t="n"/>
      <c r="BF154" s="1361" t="n"/>
      <c r="BG154" s="1361" t="n"/>
      <c r="BH154" s="1361" t="n"/>
      <c r="BI154" s="1379" t="n"/>
      <c r="BJ154" s="1361" t="n"/>
      <c r="BK154" s="1361" t="n"/>
      <c r="BL154" s="1361" t="n"/>
      <c r="BM154" s="1361" t="n"/>
      <c r="BN154" s="1379" t="n"/>
      <c r="BO154" s="1361" t="n"/>
      <c r="BP154" s="1361" t="n"/>
      <c r="BQ154" s="1363" t="n"/>
      <c r="BR154" s="1361" t="n"/>
      <c r="BS154" s="1379" t="n"/>
      <c r="BT154" s="1361" t="n"/>
      <c r="BU154" s="1361" t="n"/>
      <c r="BV154" s="1361" t="n"/>
      <c r="BW154" s="1361" t="n"/>
      <c r="BX154" s="1379" t="n"/>
      <c r="BY154" s="1379" t="n"/>
      <c r="BZ154" s="1379" t="n"/>
      <c r="CA154" s="1379" t="n"/>
      <c r="CB154" s="1364" t="n"/>
    </row>
    <row r="155" hidden="1" outlineLevel="1" ht="14.4" customFormat="1" customHeight="1" s="1359">
      <c r="A155" s="1474" t="inlineStr">
        <is>
          <t>G&amp;A - Change in acquisition-related costs, mm</t>
        </is>
      </c>
      <c r="B155" s="1377" t="n"/>
      <c r="C155" s="1379" t="n"/>
      <c r="D155" s="1379" t="n"/>
      <c r="E155" s="1379" t="n"/>
      <c r="F155" s="1379" t="n"/>
      <c r="G155" s="1361" t="n"/>
      <c r="H155" s="1361" t="n"/>
      <c r="I155" s="1361" t="n"/>
      <c r="J155" s="1361" t="n"/>
      <c r="K155" s="1379" t="n"/>
      <c r="L155" s="1361" t="n"/>
      <c r="M155" s="1361" t="n"/>
      <c r="N155" s="1361" t="n"/>
      <c r="O155" s="1361" t="n"/>
      <c r="P155" s="1379" t="n"/>
      <c r="Q155" s="1361" t="n"/>
      <c r="R155" s="1361" t="n"/>
      <c r="S155" s="1361" t="n"/>
      <c r="T155" s="1361" t="n"/>
      <c r="U155" s="1379" t="n"/>
      <c r="V155" s="1361" t="n"/>
      <c r="W155" s="1493" t="n">
        <v>6.2</v>
      </c>
      <c r="X155" s="1361" t="n"/>
      <c r="Y155" s="1361">
        <f>Z155-SUM(V155,W155,X155)</f>
        <v/>
      </c>
      <c r="Z155" s="1494" t="n">
        <v>4.9</v>
      </c>
      <c r="AA155" s="1361" t="n"/>
      <c r="AB155" s="1493" t="n">
        <v>-5</v>
      </c>
      <c r="AC155" s="1361" t="n"/>
      <c r="AD155" s="1361">
        <f>AE155-SUM(AA155,AB155,AC155)</f>
        <v/>
      </c>
      <c r="AE155" s="1494" t="n">
        <v>-4.9</v>
      </c>
      <c r="AF155" s="1361" t="n"/>
      <c r="AG155" s="1361" t="n"/>
      <c r="AH155" s="1361" t="n"/>
      <c r="AI155" s="1361">
        <f>AJ155-SUM(AF155,AG155,AH155)</f>
        <v/>
      </c>
      <c r="AJ155" s="1379" t="n"/>
      <c r="AK155" s="1361" t="n"/>
      <c r="AL155" s="1361" t="n"/>
      <c r="AM155" s="1361" t="n"/>
      <c r="AN155" s="1361" t="n"/>
      <c r="AO155" s="1494" t="n">
        <v>2.2</v>
      </c>
      <c r="AP155" s="1361" t="n"/>
      <c r="AQ155" s="1361" t="n"/>
      <c r="AR155" s="1361" t="n"/>
      <c r="AS155" s="1361" t="n"/>
      <c r="AT155" s="1379" t="n"/>
      <c r="AU155" s="1361" t="n"/>
      <c r="AV155" s="1361" t="n"/>
      <c r="AW155" s="1361" t="n"/>
      <c r="AX155" s="1361" t="n"/>
      <c r="AY155" s="1379" t="n"/>
      <c r="AZ155" s="1361" t="n"/>
      <c r="BA155" s="1361" t="n"/>
      <c r="BB155" s="1361" t="n"/>
      <c r="BC155" s="1361" t="n"/>
      <c r="BD155" s="1379" t="n"/>
      <c r="BE155" s="1361" t="n"/>
      <c r="BF155" s="1361" t="n"/>
      <c r="BG155" s="1361" t="n"/>
      <c r="BH155" s="1361" t="n"/>
      <c r="BI155" s="1379" t="n"/>
      <c r="BJ155" s="1361" t="n"/>
      <c r="BK155" s="1361" t="n"/>
      <c r="BL155" s="1361" t="n"/>
      <c r="BM155" s="1361" t="n"/>
      <c r="BN155" s="1379" t="n"/>
      <c r="BO155" s="1361" t="n"/>
      <c r="BP155" s="1361" t="n"/>
      <c r="BQ155" s="1363" t="n"/>
      <c r="BR155" s="1361" t="n"/>
      <c r="BS155" s="1379" t="n"/>
      <c r="BT155" s="1361" t="n"/>
      <c r="BU155" s="1361" t="n"/>
      <c r="BV155" s="1361" t="n"/>
      <c r="BW155" s="1361" t="n"/>
      <c r="BX155" s="1379" t="n"/>
      <c r="BY155" s="1379" t="n"/>
      <c r="BZ155" s="1379" t="n"/>
      <c r="CA155" s="1379" t="n"/>
      <c r="CB155" s="1364" t="n"/>
    </row>
    <row r="156" hidden="1" outlineLevel="1" ht="14.4" customFormat="1" customHeight="1" s="1359">
      <c r="A156" s="1474" t="inlineStr">
        <is>
          <t>G&amp;A - Change in foreign business tax benefits, mm</t>
        </is>
      </c>
      <c r="B156" s="1377" t="n"/>
      <c r="C156" s="1379" t="n"/>
      <c r="D156" s="1379" t="n"/>
      <c r="E156" s="1379" t="n"/>
      <c r="F156" s="1379" t="n"/>
      <c r="G156" s="1361" t="n"/>
      <c r="H156" s="1361" t="n"/>
      <c r="I156" s="1361" t="n"/>
      <c r="J156" s="1361" t="n"/>
      <c r="K156" s="1379" t="n"/>
      <c r="L156" s="1361" t="n"/>
      <c r="M156" s="1361" t="n"/>
      <c r="N156" s="1361" t="n"/>
      <c r="O156" s="1361" t="n"/>
      <c r="P156" s="1494" t="n">
        <v>-4</v>
      </c>
      <c r="Q156" s="1361" t="n"/>
      <c r="R156" s="1361" t="n"/>
      <c r="S156" s="1361" t="n"/>
      <c r="T156" s="1361" t="n"/>
      <c r="U156" s="1379" t="n"/>
      <c r="V156" s="1361" t="n"/>
      <c r="W156" s="1361" t="n"/>
      <c r="X156" s="1361" t="n"/>
      <c r="Y156" s="1361">
        <f>Z156-SUM(V156,W156,X156)</f>
        <v/>
      </c>
      <c r="Z156" s="1379" t="n"/>
      <c r="AA156" s="1361" t="n"/>
      <c r="AB156" s="1361" t="n"/>
      <c r="AC156" s="1361" t="n"/>
      <c r="AD156" s="1361">
        <f>AE156-SUM(AA156,AB156,AC156)</f>
        <v/>
      </c>
      <c r="AE156" s="1379" t="n"/>
      <c r="AF156" s="1361" t="n"/>
      <c r="AG156" s="1361" t="n"/>
      <c r="AH156" s="1361" t="n"/>
      <c r="AI156" s="1361">
        <f>AJ156-SUM(AF156,AG156,AH156)</f>
        <v/>
      </c>
      <c r="AJ156" s="1379" t="n"/>
      <c r="AK156" s="1361" t="n"/>
      <c r="AL156" s="1361" t="n"/>
      <c r="AM156" s="1361" t="n"/>
      <c r="AN156" s="1361" t="n"/>
      <c r="AO156" s="1379" t="n"/>
      <c r="AP156" s="1361" t="n"/>
      <c r="AQ156" s="1361" t="n"/>
      <c r="AR156" s="1361" t="n"/>
      <c r="AS156" s="1361" t="n"/>
      <c r="AT156" s="1379" t="n"/>
      <c r="AU156" s="1361" t="n"/>
      <c r="AV156" s="1361" t="n"/>
      <c r="AW156" s="1361" t="n"/>
      <c r="AX156" s="1361" t="n"/>
      <c r="AY156" s="1379" t="n"/>
      <c r="AZ156" s="1361" t="n"/>
      <c r="BA156" s="1493" t="n">
        <v>-5.1</v>
      </c>
      <c r="BB156" s="1493" t="n">
        <v>-4</v>
      </c>
      <c r="BC156" s="1361" t="n"/>
      <c r="BD156" s="1494" t="n">
        <v>-13.5</v>
      </c>
      <c r="BE156" s="1493" t="n">
        <v>-5</v>
      </c>
      <c r="BF156" s="1493" t="n">
        <v>5.1</v>
      </c>
      <c r="BG156" s="1493" t="n">
        <v>4</v>
      </c>
      <c r="BH156" s="1361" t="n"/>
      <c r="BI156" s="1494" t="n">
        <v>8.5</v>
      </c>
      <c r="BJ156" s="1493" t="n">
        <v>5</v>
      </c>
      <c r="BK156" s="1361" t="n"/>
      <c r="BL156" s="1361" t="n"/>
      <c r="BM156" s="1361" t="n"/>
      <c r="BN156" s="1494" t="n">
        <v>5</v>
      </c>
      <c r="BO156" s="1361" t="n"/>
      <c r="BP156" s="1361" t="n"/>
      <c r="BQ156" s="1502" t="n">
        <v>-4.5</v>
      </c>
      <c r="BR156" s="1361" t="n"/>
      <c r="BS156" s="1379" t="n"/>
      <c r="BT156" s="1361" t="n"/>
      <c r="BU156" s="1361" t="n"/>
      <c r="BV156" s="1361" t="n"/>
      <c r="BW156" s="1361" t="n"/>
      <c r="BX156" s="1379" t="n"/>
      <c r="BY156" s="1379" t="n"/>
      <c r="BZ156" s="1379" t="n"/>
      <c r="CA156" s="1379" t="n"/>
      <c r="CB156" s="1364" t="n"/>
    </row>
    <row r="157" hidden="1" outlineLevel="1" ht="14.4" customFormat="1" customHeight="1" s="1359">
      <c r="A157" s="1474" t="inlineStr">
        <is>
          <t>G&amp;A - Change in travel, mm</t>
        </is>
      </c>
      <c r="B157" s="1377" t="n"/>
      <c r="C157" s="1379" t="n"/>
      <c r="D157" s="1379" t="n"/>
      <c r="E157" s="1379" t="n"/>
      <c r="F157" s="1379" t="n"/>
      <c r="G157" s="1361" t="n"/>
      <c r="H157" s="1361" t="n"/>
      <c r="I157" s="1361" t="n"/>
      <c r="J157" s="1361" t="n"/>
      <c r="K157" s="1379" t="n"/>
      <c r="L157" s="1361" t="n"/>
      <c r="M157" s="1361" t="n"/>
      <c r="N157" s="1361" t="n"/>
      <c r="O157" s="1361" t="n"/>
      <c r="P157" s="1379" t="n"/>
      <c r="Q157" s="1361" t="n"/>
      <c r="R157" s="1361" t="n"/>
      <c r="S157" s="1361" t="n"/>
      <c r="T157" s="1361" t="n"/>
      <c r="U157" s="1379" t="n"/>
      <c r="V157" s="1361" t="n"/>
      <c r="W157" s="1361" t="n"/>
      <c r="X157" s="1361" t="n"/>
      <c r="Y157" s="1361" t="n"/>
      <c r="Z157" s="1379" t="n"/>
      <c r="AA157" s="1361" t="n"/>
      <c r="AB157" s="1361" t="n"/>
      <c r="AC157" s="1361" t="n"/>
      <c r="AD157" s="1361" t="n"/>
      <c r="AE157" s="1379" t="n"/>
      <c r="AF157" s="1361" t="n"/>
      <c r="AG157" s="1361" t="n"/>
      <c r="AH157" s="1361" t="n"/>
      <c r="AI157" s="1361" t="n"/>
      <c r="AJ157" s="1379" t="n"/>
      <c r="AK157" s="1361" t="n"/>
      <c r="AL157" s="1361" t="n"/>
      <c r="AM157" s="1361" t="n"/>
      <c r="AN157" s="1361" t="n"/>
      <c r="AO157" s="1379" t="n"/>
      <c r="AP157" s="1361" t="n"/>
      <c r="AQ157" s="1361" t="n"/>
      <c r="AR157" s="1361" t="n"/>
      <c r="AS157" s="1361" t="n"/>
      <c r="AT157" s="1379" t="n"/>
      <c r="AU157" s="1361" t="n"/>
      <c r="AV157" s="1361" t="n"/>
      <c r="AW157" s="1361" t="n"/>
      <c r="AX157" s="1361" t="n"/>
      <c r="AY157" s="1379" t="n"/>
      <c r="AZ157" s="1361" t="n"/>
      <c r="BA157" s="1361" t="n"/>
      <c r="BB157" s="1361" t="n"/>
      <c r="BC157" s="1361" t="n"/>
      <c r="BD157" s="1379" t="n"/>
      <c r="BE157" s="1361" t="n"/>
      <c r="BF157" s="1493" t="n">
        <v>0.8</v>
      </c>
      <c r="BG157" s="1361" t="n"/>
      <c r="BH157" s="1361" t="n"/>
      <c r="BI157" s="1379" t="n"/>
      <c r="BJ157" s="1361" t="n"/>
      <c r="BK157" s="1361" t="n"/>
      <c r="BL157" s="1361" t="n"/>
      <c r="BM157" s="1361" t="n"/>
      <c r="BN157" s="1379" t="n"/>
      <c r="BO157" s="1361" t="n"/>
      <c r="BP157" s="1361" t="n"/>
      <c r="BQ157" s="1363" t="n"/>
      <c r="BR157" s="1361" t="n"/>
      <c r="BS157" s="1379" t="n"/>
      <c r="BT157" s="1361" t="n"/>
      <c r="BU157" s="1361" t="n"/>
      <c r="BV157" s="1361" t="n"/>
      <c r="BW157" s="1361" t="n"/>
      <c r="BX157" s="1379" t="n"/>
      <c r="BY157" s="1379" t="n"/>
      <c r="BZ157" s="1379" t="n"/>
      <c r="CA157" s="1379" t="n"/>
      <c r="CB157" s="1364" t="n"/>
    </row>
    <row r="158" hidden="1" outlineLevel="1" ht="14.4" customFormat="1" customHeight="1" s="1359">
      <c r="A158" s="1474" t="inlineStr">
        <is>
          <t>G&amp;A - Change in changes of fair value of contingent consideration, mm</t>
        </is>
      </c>
      <c r="B158" s="1377" t="n"/>
      <c r="C158" s="1379" t="n"/>
      <c r="D158" s="1379" t="n"/>
      <c r="E158" s="1379" t="n"/>
      <c r="F158" s="1379" t="n"/>
      <c r="G158" s="1361" t="n"/>
      <c r="H158" s="1361" t="n"/>
      <c r="I158" s="1361" t="n"/>
      <c r="J158" s="1361" t="n"/>
      <c r="K158" s="1379" t="n"/>
      <c r="L158" s="1361" t="n"/>
      <c r="M158" s="1361" t="n"/>
      <c r="N158" s="1361" t="n"/>
      <c r="O158" s="1361" t="n"/>
      <c r="P158" s="1494" t="n">
        <v>-2.3</v>
      </c>
      <c r="Q158" s="1361" t="n"/>
      <c r="R158" s="1361" t="n"/>
      <c r="S158" s="1361" t="n"/>
      <c r="T158" s="1361" t="n"/>
      <c r="U158" s="1379" t="n"/>
      <c r="V158" s="1361" t="n"/>
      <c r="W158" s="1361" t="n"/>
      <c r="X158" s="1361" t="n"/>
      <c r="Y158" s="1361">
        <f>Z158-SUM(V158,W158,X158)</f>
        <v/>
      </c>
      <c r="Z158" s="1379" t="n"/>
      <c r="AA158" s="1361" t="n"/>
      <c r="AB158" s="1361" t="n"/>
      <c r="AC158" s="1361" t="n"/>
      <c r="AD158" s="1361">
        <f>AE158-SUM(AA158,AB158,AC158)</f>
        <v/>
      </c>
      <c r="AE158" s="1379" t="n"/>
      <c r="AF158" s="1361" t="n"/>
      <c r="AG158" s="1361" t="n"/>
      <c r="AH158" s="1361" t="n"/>
      <c r="AI158" s="1361">
        <f>AJ158-SUM(AF158,AG158,AH158)</f>
        <v/>
      </c>
      <c r="AJ158" s="1379" t="n"/>
      <c r="AK158" s="1361" t="n"/>
      <c r="AL158" s="1361" t="n"/>
      <c r="AM158" s="1361" t="n"/>
      <c r="AN158" s="1361" t="n"/>
      <c r="AO158" s="1379" t="n"/>
      <c r="AP158" s="1361" t="n"/>
      <c r="AQ158" s="1361" t="n"/>
      <c r="AR158" s="1361" t="n"/>
      <c r="AS158" s="1361" t="n"/>
      <c r="AT158" s="1379" t="n"/>
      <c r="AU158" s="1361" t="n"/>
      <c r="AV158" s="1361" t="n"/>
      <c r="AW158" s="1361" t="n"/>
      <c r="AX158" s="1361" t="n"/>
      <c r="AY158" s="1379" t="n"/>
      <c r="AZ158" s="1361" t="n"/>
      <c r="BA158" s="1361" t="n"/>
      <c r="BB158" s="1361" t="n"/>
      <c r="BC158" s="1361" t="n"/>
      <c r="BD158" s="1379" t="n"/>
      <c r="BE158" s="1361" t="n"/>
      <c r="BF158" s="1361" t="n"/>
      <c r="BG158" s="1361" t="n"/>
      <c r="BH158" s="1361" t="n"/>
      <c r="BI158" s="1379" t="n"/>
      <c r="BJ158" s="1361" t="n"/>
      <c r="BK158" s="1361" t="n"/>
      <c r="BL158" s="1361" t="n"/>
      <c r="BM158" s="1361" t="n"/>
      <c r="BN158" s="1379" t="n"/>
      <c r="BO158" s="1361" t="n"/>
      <c r="BP158" s="1361" t="n"/>
      <c r="BQ158" s="1363" t="n"/>
      <c r="BR158" s="1361" t="n"/>
      <c r="BS158" s="1379" t="n"/>
      <c r="BT158" s="1361" t="n"/>
      <c r="BU158" s="1361" t="n"/>
      <c r="BV158" s="1361" t="n"/>
      <c r="BW158" s="1361" t="n"/>
      <c r="BX158" s="1379" t="n"/>
      <c r="BY158" s="1379" t="n"/>
      <c r="BZ158" s="1379" t="n"/>
      <c r="CA158" s="1379" t="n"/>
      <c r="CB158" s="1364" t="n"/>
    </row>
    <row r="159" hidden="1" outlineLevel="1" ht="14.4" customFormat="1" customHeight="1" s="1359">
      <c r="A159" s="1474" t="inlineStr">
        <is>
          <t>G&amp;A - Change in depreciation, mm</t>
        </is>
      </c>
      <c r="B159" s="1377" t="n"/>
      <c r="C159" s="1379" t="n"/>
      <c r="D159" s="1379" t="n"/>
      <c r="E159" s="1379" t="n"/>
      <c r="F159" s="1379" t="n"/>
      <c r="G159" s="1361" t="n"/>
      <c r="H159" s="1361" t="n"/>
      <c r="I159" s="1361" t="n"/>
      <c r="J159" s="1361" t="n"/>
      <c r="K159" s="1379" t="n"/>
      <c r="L159" s="1361" t="n"/>
      <c r="M159" s="1361" t="n"/>
      <c r="N159" s="1361" t="n"/>
      <c r="O159" s="1361" t="n"/>
      <c r="P159" s="1494" t="n">
        <v>-1.6</v>
      </c>
      <c r="Q159" s="1361" t="n"/>
      <c r="R159" s="1361" t="n"/>
      <c r="S159" s="1361" t="n"/>
      <c r="T159" s="1361" t="n"/>
      <c r="U159" s="1379" t="n"/>
      <c r="V159" s="1361" t="n"/>
      <c r="W159" s="1361" t="n"/>
      <c r="X159" s="1361" t="n"/>
      <c r="Y159" s="1361">
        <f>Z159-SUM(V159,W159,X159)</f>
        <v/>
      </c>
      <c r="Z159" s="1379" t="n"/>
      <c r="AA159" s="1361" t="n"/>
      <c r="AB159" s="1361" t="n"/>
      <c r="AC159" s="1361" t="n"/>
      <c r="AD159" s="1361">
        <f>AE159-SUM(AA159,AB159,AC159)</f>
        <v/>
      </c>
      <c r="AE159" s="1379" t="n"/>
      <c r="AF159" s="1361" t="n"/>
      <c r="AG159" s="1361" t="n"/>
      <c r="AH159" s="1361" t="n"/>
      <c r="AI159" s="1361">
        <f>AJ159-SUM(AF159,AG159,AH159)</f>
        <v/>
      </c>
      <c r="AJ159" s="1379" t="n"/>
      <c r="AK159" s="1361" t="n"/>
      <c r="AL159" s="1361" t="n"/>
      <c r="AM159" s="1361" t="n"/>
      <c r="AN159" s="1361" t="n"/>
      <c r="AO159" s="1379" t="n"/>
      <c r="AP159" s="1361" t="n"/>
      <c r="AQ159" s="1361" t="n"/>
      <c r="AR159" s="1361" t="n"/>
      <c r="AS159" s="1361" t="n"/>
      <c r="AT159" s="1379" t="n"/>
      <c r="AU159" s="1361" t="n"/>
      <c r="AV159" s="1361" t="n"/>
      <c r="AW159" s="1361" t="n"/>
      <c r="AX159" s="1361" t="n"/>
      <c r="AY159" s="1379" t="n"/>
      <c r="AZ159" s="1361" t="n"/>
      <c r="BA159" s="1361" t="n"/>
      <c r="BB159" s="1361" t="n"/>
      <c r="BC159" s="1361" t="n"/>
      <c r="BD159" s="1379" t="n"/>
      <c r="BE159" s="1361" t="n"/>
      <c r="BF159" s="1361" t="n"/>
      <c r="BG159" s="1361" t="n"/>
      <c r="BH159" s="1361" t="n"/>
      <c r="BI159" s="1379" t="n"/>
      <c r="BJ159" s="1361" t="n"/>
      <c r="BK159" s="1361" t="n"/>
      <c r="BL159" s="1361" t="n"/>
      <c r="BM159" s="1361" t="n"/>
      <c r="BN159" s="1379" t="n"/>
      <c r="BO159" s="1361" t="n"/>
      <c r="BP159" s="1361" t="n"/>
      <c r="BQ159" s="1363" t="n"/>
      <c r="BR159" s="1361" t="n"/>
      <c r="BS159" s="1379" t="n"/>
      <c r="BT159" s="1361" t="n"/>
      <c r="BU159" s="1361" t="n"/>
      <c r="BV159" s="1361" t="n"/>
      <c r="BW159" s="1361" t="n"/>
      <c r="BX159" s="1379" t="n"/>
      <c r="BY159" s="1379" t="n"/>
      <c r="BZ159" s="1379" t="n"/>
      <c r="CA159" s="1379" t="n"/>
      <c r="CB159" s="1364" t="n"/>
    </row>
    <row r="160" hidden="1" outlineLevel="1" ht="14.4" customFormat="1" customHeight="1" s="1359">
      <c r="A160" s="1474" t="inlineStr">
        <is>
          <t>G&amp;A - Change in software licenses and maintenance costs, mm</t>
        </is>
      </c>
      <c r="B160" s="1377" t="n"/>
      <c r="C160" s="1379" t="n"/>
      <c r="D160" s="1379" t="n"/>
      <c r="E160" s="1379" t="n"/>
      <c r="F160" s="1379" t="n"/>
      <c r="G160" s="1361" t="n"/>
      <c r="H160" s="1361" t="n"/>
      <c r="I160" s="1361" t="n"/>
      <c r="J160" s="1361" t="n"/>
      <c r="K160" s="1379" t="n"/>
      <c r="L160" s="1361" t="n"/>
      <c r="M160" s="1361" t="n"/>
      <c r="N160" s="1361" t="n"/>
      <c r="O160" s="1361" t="n"/>
      <c r="P160" s="1494" t="n">
        <v>2.5</v>
      </c>
      <c r="Q160" s="1361" t="n"/>
      <c r="R160" s="1361" t="n"/>
      <c r="S160" s="1361" t="n"/>
      <c r="T160" s="1361" t="n"/>
      <c r="U160" s="1379" t="n"/>
      <c r="V160" s="1361" t="n"/>
      <c r="W160" s="1361" t="n"/>
      <c r="X160" s="1361" t="n"/>
      <c r="Y160" s="1361">
        <f>Z160-SUM(V160,W160,X160)</f>
        <v/>
      </c>
      <c r="Z160" s="1379" t="n"/>
      <c r="AA160" s="1361" t="n"/>
      <c r="AB160" s="1361" t="n"/>
      <c r="AC160" s="1361" t="n"/>
      <c r="AD160" s="1361">
        <f>AE160-SUM(AA160,AB160,AC160)</f>
        <v/>
      </c>
      <c r="AE160" s="1379" t="n"/>
      <c r="AF160" s="1361" t="n"/>
      <c r="AG160" s="1361" t="n"/>
      <c r="AH160" s="1361" t="n"/>
      <c r="AI160" s="1361">
        <f>AJ160-SUM(AF160,AG160,AH160)</f>
        <v/>
      </c>
      <c r="AJ160" s="1379" t="n"/>
      <c r="AK160" s="1361" t="n"/>
      <c r="AL160" s="1361" t="n"/>
      <c r="AM160" s="1361" t="n"/>
      <c r="AN160" s="1361" t="n"/>
      <c r="AO160" s="1379" t="n"/>
      <c r="AP160" s="1361" t="n"/>
      <c r="AQ160" s="1361" t="n"/>
      <c r="AR160" s="1361" t="n"/>
      <c r="AS160" s="1361" t="n"/>
      <c r="AT160" s="1379" t="n"/>
      <c r="AU160" s="1361" t="n"/>
      <c r="AV160" s="1361" t="n"/>
      <c r="AW160" s="1361" t="n"/>
      <c r="AX160" s="1361" t="n"/>
      <c r="AY160" s="1379" t="n"/>
      <c r="AZ160" s="1361" t="n"/>
      <c r="BA160" s="1361" t="n"/>
      <c r="BB160" s="1361" t="n"/>
      <c r="BC160" s="1361" t="n"/>
      <c r="BD160" s="1379" t="n"/>
      <c r="BE160" s="1361" t="n"/>
      <c r="BF160" s="1361" t="n"/>
      <c r="BG160" s="1361" t="n"/>
      <c r="BH160" s="1361" t="n"/>
      <c r="BI160" s="1379" t="n"/>
      <c r="BJ160" s="1361" t="n"/>
      <c r="BK160" s="1361" t="n"/>
      <c r="BL160" s="1361" t="n"/>
      <c r="BM160" s="1361" t="n"/>
      <c r="BN160" s="1379" t="n"/>
      <c r="BO160" s="1361" t="n"/>
      <c r="BP160" s="1361" t="n"/>
      <c r="BQ160" s="1363" t="n"/>
      <c r="BR160" s="1361" t="n"/>
      <c r="BS160" s="1379" t="n"/>
      <c r="BT160" s="1361" t="n"/>
      <c r="BU160" s="1361" t="n"/>
      <c r="BV160" s="1361" t="n"/>
      <c r="BW160" s="1361" t="n"/>
      <c r="BX160" s="1379" t="n"/>
      <c r="BY160" s="1379" t="n"/>
      <c r="BZ160" s="1379" t="n"/>
      <c r="CA160" s="1379" t="n"/>
      <c r="CB160" s="1364" t="n"/>
    </row>
    <row r="161" hidden="1" outlineLevel="1" ht="14.4" customFormat="1" customHeight="1" s="1359">
      <c r="A161" s="1478" t="inlineStr">
        <is>
          <t>G&amp;A - Change in other items, mm</t>
        </is>
      </c>
      <c r="B161" s="1454" t="n"/>
      <c r="C161" s="1455" t="n"/>
      <c r="D161" s="1455" t="n"/>
      <c r="E161" s="1455" t="n"/>
      <c r="F161" s="1455" t="n"/>
      <c r="G161" s="1456" t="n"/>
      <c r="H161" s="1456" t="n"/>
      <c r="I161" s="1456" t="n"/>
      <c r="J161" s="1456" t="n"/>
      <c r="K161" s="1455" t="n"/>
      <c r="L161" s="1456" t="n"/>
      <c r="M161" s="1456" t="n"/>
      <c r="N161" s="1456" t="n"/>
      <c r="O161" s="1456" t="n"/>
      <c r="P161" s="1480" t="n">
        <v>2</v>
      </c>
      <c r="Q161" s="1456" t="n"/>
      <c r="R161" s="1456" t="n"/>
      <c r="S161" s="1456" t="n"/>
      <c r="T161" s="1456" t="n"/>
      <c r="U161" s="1480" t="n">
        <v>2.5</v>
      </c>
      <c r="V161" s="1456">
        <f>ROUND(V162,1)-ROUND(V144,1)</f>
        <v/>
      </c>
      <c r="W161" s="1479" t="n">
        <v>1.2</v>
      </c>
      <c r="X161" s="1479" t="n">
        <v>-0.4</v>
      </c>
      <c r="Y161" s="1456">
        <f>Z161-SUM(V161,W161,X161)</f>
        <v/>
      </c>
      <c r="Z161" s="1480" t="n">
        <v>2.2</v>
      </c>
      <c r="AA161" s="1479" t="n">
        <v>0.6</v>
      </c>
      <c r="AB161" s="1479" t="n">
        <v>0.4</v>
      </c>
      <c r="AC161" s="1479" t="n">
        <v>0.8</v>
      </c>
      <c r="AD161" s="1456">
        <f>AE161-SUM(AA161,AB161,AC161)</f>
        <v/>
      </c>
      <c r="AE161" s="1480" t="n">
        <v>1</v>
      </c>
      <c r="AF161" s="1456" t="n"/>
      <c r="AG161" s="1479" t="n">
        <v>-0.5</v>
      </c>
      <c r="AH161" s="1479" t="n">
        <v>-1.5</v>
      </c>
      <c r="AI161" s="1456">
        <f>AJ161-SUM(AF161,AG161,AH161)</f>
        <v/>
      </c>
      <c r="AJ161" s="1480" t="n">
        <v>1.4</v>
      </c>
      <c r="AK161" s="1479" t="n">
        <v>-0.6</v>
      </c>
      <c r="AL161" s="1479" t="n">
        <v>0.3</v>
      </c>
      <c r="AM161" s="1479" t="n">
        <v>1.9</v>
      </c>
      <c r="AN161" s="1456" t="n"/>
      <c r="AO161" s="1480" t="n">
        <v>1.2</v>
      </c>
      <c r="AP161" s="1479" t="n">
        <v>0.7</v>
      </c>
      <c r="AQ161" s="1479" t="n">
        <v>0.1</v>
      </c>
      <c r="AR161" s="1479" t="n">
        <v>1.1</v>
      </c>
      <c r="AS161" s="1456" t="n"/>
      <c r="AT161" s="1480" t="n">
        <v>1.5</v>
      </c>
      <c r="AU161" s="1479" t="n">
        <v>1.8</v>
      </c>
      <c r="AV161" s="1479" t="n">
        <v>0.2</v>
      </c>
      <c r="AW161" s="1456">
        <f>AW162-SUM(AW144:AW160)</f>
        <v/>
      </c>
      <c r="AX161" s="1456" t="n"/>
      <c r="AY161" s="1455">
        <f>AY162-SUM(AY144:AY160)</f>
        <v/>
      </c>
      <c r="AZ161" s="1479" t="n">
        <v>1.4</v>
      </c>
      <c r="BA161" s="1456">
        <f>BA162-SUM(BA144:BA160)</f>
        <v/>
      </c>
      <c r="BB161" s="1456">
        <f>BB162-SUM(BB144:BB160)</f>
        <v/>
      </c>
      <c r="BC161" s="1456" t="n"/>
      <c r="BD161" s="1455">
        <f>BD162-SUM(BD144:BD160)</f>
        <v/>
      </c>
      <c r="BE161" s="1456">
        <f>BE162-SUM(BE144:BE160)</f>
        <v/>
      </c>
      <c r="BF161" s="1456">
        <f>BF162-SUM(BF144:BF160)</f>
        <v/>
      </c>
      <c r="BG161" s="1456">
        <f>BG162-SUM(BG144:BG160)</f>
        <v/>
      </c>
      <c r="BH161" s="1456" t="n"/>
      <c r="BI161" s="1455">
        <f>BI162-SUM(BI144:BI160)</f>
        <v/>
      </c>
      <c r="BJ161" s="1456">
        <f>BJ162-SUM(BJ144:BJ160)</f>
        <v/>
      </c>
      <c r="BK161" s="1456">
        <f>BK162-SUM(BK144:BK160)</f>
        <v/>
      </c>
      <c r="BL161" s="1456">
        <f>BL162-SUM(BL144:BL160)</f>
        <v/>
      </c>
      <c r="BM161" s="1456" t="n"/>
      <c r="BN161" s="1455">
        <f>BN162-SUM(BN144:BN160)</f>
        <v/>
      </c>
      <c r="BO161" s="1456">
        <f>BO162-SUM(BO144:BO160)</f>
        <v/>
      </c>
      <c r="BP161" s="1456">
        <f>BP162-SUM(BP144:BP160)</f>
        <v/>
      </c>
      <c r="BQ161" s="1457">
        <f>BQ162-SUM(BQ144:BQ160)</f>
        <v/>
      </c>
      <c r="BR161" s="1456" t="n"/>
      <c r="BS161" s="1455" t="n"/>
      <c r="BT161" s="1456" t="n"/>
      <c r="BU161" s="1456" t="n"/>
      <c r="BV161" s="1456" t="n"/>
      <c r="BW161" s="1456" t="n"/>
      <c r="BX161" s="1455" t="n"/>
      <c r="BY161" s="1455" t="n"/>
      <c r="BZ161" s="1455" t="n"/>
      <c r="CA161" s="1455" t="n"/>
      <c r="CB161" s="1364" t="n"/>
    </row>
    <row r="162" hidden="1" outlineLevel="1" ht="14.4" customFormat="1" customHeight="1" s="1372">
      <c r="A162" s="1447" t="inlineStr">
        <is>
          <t>Current G&amp;A, mm</t>
        </is>
      </c>
      <c r="B162" s="1448" t="n"/>
      <c r="C162" s="1449" t="n"/>
      <c r="D162" s="1449" t="n"/>
      <c r="E162" s="1449" t="n"/>
      <c r="F162" s="1449" t="n"/>
      <c r="G162" s="1450" t="n"/>
      <c r="H162" s="1450" t="n"/>
      <c r="I162" s="1450" t="n"/>
      <c r="J162" s="1450" t="n"/>
      <c r="K162" s="1449" t="n"/>
      <c r="L162" s="1450" t="n"/>
      <c r="M162" s="1450" t="n"/>
      <c r="N162" s="1450" t="n"/>
      <c r="O162" s="1450" t="n"/>
      <c r="P162" s="1449">
        <f>P350</f>
        <v/>
      </c>
      <c r="Q162" s="1450" t="n"/>
      <c r="R162" s="1450" t="n"/>
      <c r="S162" s="1450" t="n"/>
      <c r="T162" s="1450" t="n"/>
      <c r="U162" s="1449">
        <f>U350</f>
        <v/>
      </c>
      <c r="V162" s="1450">
        <f>V350</f>
        <v/>
      </c>
      <c r="W162" s="1450">
        <f>W350</f>
        <v/>
      </c>
      <c r="X162" s="1450">
        <f>X350</f>
        <v/>
      </c>
      <c r="Y162" s="1450">
        <f>Y350</f>
        <v/>
      </c>
      <c r="Z162" s="1449">
        <f>Z350</f>
        <v/>
      </c>
      <c r="AA162" s="1450">
        <f>AA350</f>
        <v/>
      </c>
      <c r="AB162" s="1450">
        <f>AB350</f>
        <v/>
      </c>
      <c r="AC162" s="1450">
        <f>AC350</f>
        <v/>
      </c>
      <c r="AD162" s="1450">
        <f>AD350</f>
        <v/>
      </c>
      <c r="AE162" s="1449">
        <f>AE350</f>
        <v/>
      </c>
      <c r="AF162" s="1450">
        <f>AF350</f>
        <v/>
      </c>
      <c r="AG162" s="1450">
        <f>AG350</f>
        <v/>
      </c>
      <c r="AH162" s="1450">
        <f>AH350</f>
        <v/>
      </c>
      <c r="AI162" s="1450">
        <f>AI350</f>
        <v/>
      </c>
      <c r="AJ162" s="1449">
        <f>AJ350</f>
        <v/>
      </c>
      <c r="AK162" s="1450">
        <f>AK350</f>
        <v/>
      </c>
      <c r="AL162" s="1450">
        <f>AL350</f>
        <v/>
      </c>
      <c r="AM162" s="1450">
        <f>AM350</f>
        <v/>
      </c>
      <c r="AN162" s="1450" t="n"/>
      <c r="AO162" s="1449">
        <f>AO350</f>
        <v/>
      </c>
      <c r="AP162" s="1450">
        <f>AP350</f>
        <v/>
      </c>
      <c r="AQ162" s="1450">
        <f>AQ350</f>
        <v/>
      </c>
      <c r="AR162" s="1450">
        <f>AR350</f>
        <v/>
      </c>
      <c r="AS162" s="1450" t="n"/>
      <c r="AT162" s="1449">
        <f>AT350</f>
        <v/>
      </c>
      <c r="AU162" s="1450">
        <f>AU350</f>
        <v/>
      </c>
      <c r="AV162" s="1450">
        <f>AV350</f>
        <v/>
      </c>
      <c r="AW162" s="1450">
        <f>AW350</f>
        <v/>
      </c>
      <c r="AX162" s="1450" t="n"/>
      <c r="AY162" s="1449">
        <f>AY350</f>
        <v/>
      </c>
      <c r="AZ162" s="1450">
        <f>AZ350</f>
        <v/>
      </c>
      <c r="BA162" s="1450">
        <f>BA350</f>
        <v/>
      </c>
      <c r="BB162" s="1450">
        <f>BB350</f>
        <v/>
      </c>
      <c r="BC162" s="1450" t="n"/>
      <c r="BD162" s="1449">
        <f>BD350</f>
        <v/>
      </c>
      <c r="BE162" s="1450">
        <f>BE350</f>
        <v/>
      </c>
      <c r="BF162" s="1450">
        <f>BF350</f>
        <v/>
      </c>
      <c r="BG162" s="1450">
        <f>BG350</f>
        <v/>
      </c>
      <c r="BH162" s="1450" t="n"/>
      <c r="BI162" s="1449">
        <f>BI350</f>
        <v/>
      </c>
      <c r="BJ162" s="1450">
        <f>BJ350</f>
        <v/>
      </c>
      <c r="BK162" s="1450">
        <f>BK350</f>
        <v/>
      </c>
      <c r="BL162" s="1450">
        <f>BL350</f>
        <v/>
      </c>
      <c r="BM162" s="1450" t="n"/>
      <c r="BN162" s="1449">
        <f>BN350</f>
        <v/>
      </c>
      <c r="BO162" s="1450">
        <f>BO350</f>
        <v/>
      </c>
      <c r="BP162" s="1450">
        <f>BP350</f>
        <v/>
      </c>
      <c r="BQ162" s="1451">
        <f>BQ350</f>
        <v/>
      </c>
      <c r="BR162" s="1450" t="n"/>
      <c r="BS162" s="1449" t="n"/>
      <c r="BT162" s="1450" t="n"/>
      <c r="BU162" s="1450" t="n"/>
      <c r="BV162" s="1450" t="n"/>
      <c r="BW162" s="1450" t="n"/>
      <c r="BX162" s="1449" t="n"/>
      <c r="BY162" s="1449" t="n"/>
      <c r="BZ162" s="1449" t="n"/>
      <c r="CA162" s="1449" t="n"/>
      <c r="CB162" s="1375" t="n"/>
    </row>
    <row r="163" collapsed="1" ht="14.4" customFormat="1" customHeight="1" s="1372">
      <c r="A163" s="1447" t="n"/>
      <c r="B163" s="1448" t="n"/>
      <c r="C163" s="1449" t="n"/>
      <c r="D163" s="1449" t="n"/>
      <c r="E163" s="1449" t="n"/>
      <c r="F163" s="1449" t="n"/>
      <c r="G163" s="1450" t="n"/>
      <c r="H163" s="1450" t="n"/>
      <c r="I163" s="1450" t="n"/>
      <c r="J163" s="1450" t="n"/>
      <c r="K163" s="1449" t="n"/>
      <c r="L163" s="1450" t="n"/>
      <c r="M163" s="1450" t="n"/>
      <c r="N163" s="1450" t="n"/>
      <c r="O163" s="1450" t="n"/>
      <c r="P163" s="1449" t="n"/>
      <c r="Q163" s="1450" t="n"/>
      <c r="R163" s="1450" t="n"/>
      <c r="S163" s="1450" t="n"/>
      <c r="T163" s="1450" t="n"/>
      <c r="U163" s="1449" t="n"/>
      <c r="V163" s="1450" t="n"/>
      <c r="W163" s="1450" t="n"/>
      <c r="X163" s="1450" t="n"/>
      <c r="Y163" s="1450" t="n"/>
      <c r="Z163" s="1449" t="n"/>
      <c r="AA163" s="1450" t="n"/>
      <c r="AB163" s="1450" t="n"/>
      <c r="AC163" s="1450" t="n"/>
      <c r="AD163" s="1450" t="n"/>
      <c r="AE163" s="1449" t="n"/>
      <c r="AF163" s="1450" t="n"/>
      <c r="AG163" s="1450" t="n"/>
      <c r="AH163" s="1450" t="n"/>
      <c r="AI163" s="1450" t="n"/>
      <c r="AJ163" s="1449" t="n"/>
      <c r="AK163" s="1450" t="n"/>
      <c r="AL163" s="1450" t="n"/>
      <c r="AM163" s="1450" t="n"/>
      <c r="AN163" s="1450" t="n"/>
      <c r="AO163" s="1449" t="n"/>
      <c r="AP163" s="1450" t="n"/>
      <c r="AQ163" s="1450" t="n"/>
      <c r="AR163" s="1450" t="n"/>
      <c r="AS163" s="1450" t="n"/>
      <c r="AT163" s="1449" t="n"/>
      <c r="AU163" s="1450" t="n"/>
      <c r="AV163" s="1450" t="n"/>
      <c r="AW163" s="1450" t="n"/>
      <c r="AX163" s="1450" t="n"/>
      <c r="AY163" s="1449" t="n"/>
      <c r="AZ163" s="1450" t="n"/>
      <c r="BA163" s="1450" t="n"/>
      <c r="BB163" s="1450" t="n"/>
      <c r="BC163" s="1450" t="n"/>
      <c r="BD163" s="1449" t="n"/>
      <c r="BE163" s="1450" t="n"/>
      <c r="BF163" s="1450" t="n"/>
      <c r="BG163" s="1450" t="n"/>
      <c r="BH163" s="1450" t="n"/>
      <c r="BI163" s="1449" t="n"/>
      <c r="BJ163" s="1450" t="n"/>
      <c r="BK163" s="1450" t="n"/>
      <c r="BL163" s="1450" t="n"/>
      <c r="BM163" s="1450" t="n"/>
      <c r="BN163" s="1449" t="n"/>
      <c r="BO163" s="1450" t="n"/>
      <c r="BP163" s="1450" t="n"/>
      <c r="BQ163" s="1451" t="n"/>
      <c r="BR163" s="1450" t="n"/>
      <c r="BS163" s="1449" t="n"/>
      <c r="BT163" s="1450" t="n"/>
      <c r="BU163" s="1450" t="n"/>
      <c r="BV163" s="1450" t="n"/>
      <c r="BW163" s="1450" t="n"/>
      <c r="BX163" s="1449" t="n"/>
      <c r="BY163" s="1449" t="n"/>
      <c r="BZ163" s="1449" t="n"/>
      <c r="CA163" s="1449" t="n"/>
      <c r="CB163" s="1375" t="n"/>
    </row>
    <row r="164" ht="14.4" customFormat="1" customHeight="1" s="1504">
      <c r="A164" s="1505" t="inlineStr">
        <is>
          <t>D&amp;A and SBC Breakdown</t>
        </is>
      </c>
      <c r="B164" s="1505" t="n"/>
      <c r="C164" s="1505" t="n"/>
      <c r="D164" s="1505" t="n"/>
      <c r="E164" s="1505" t="n"/>
      <c r="F164" s="1505" t="n"/>
      <c r="G164" s="1505" t="n"/>
      <c r="H164" s="1505" t="n"/>
      <c r="I164" s="1505" t="n"/>
      <c r="J164" s="1505" t="n"/>
      <c r="K164" s="1505" t="n"/>
      <c r="L164" s="1505" t="n"/>
      <c r="M164" s="1505" t="n"/>
      <c r="N164" s="1505" t="n"/>
      <c r="O164" s="1505" t="n"/>
      <c r="P164" s="1505" t="n"/>
      <c r="Q164" s="1505" t="n"/>
      <c r="R164" s="1505" t="n"/>
      <c r="S164" s="1505" t="n"/>
      <c r="T164" s="1505" t="n"/>
      <c r="U164" s="1505" t="n"/>
      <c r="V164" s="1505" t="n"/>
      <c r="W164" s="1505" t="n"/>
      <c r="X164" s="1505" t="n"/>
      <c r="Y164" s="1505" t="n"/>
      <c r="Z164" s="1505" t="n"/>
      <c r="AA164" s="1505" t="n"/>
      <c r="AB164" s="1505" t="n"/>
      <c r="AC164" s="1505" t="n"/>
      <c r="AD164" s="1505" t="n"/>
      <c r="AE164" s="1505" t="n"/>
      <c r="AF164" s="1505" t="n"/>
      <c r="AG164" s="1505" t="n"/>
      <c r="AH164" s="1505" t="n"/>
      <c r="AI164" s="1505" t="n"/>
      <c r="AJ164" s="1505" t="n"/>
      <c r="AK164" s="1505" t="n"/>
      <c r="AL164" s="1505" t="n"/>
      <c r="AM164" s="1505" t="n"/>
      <c r="AN164" s="1505" t="n"/>
      <c r="AO164" s="1505" t="n"/>
      <c r="AP164" s="1505" t="n"/>
      <c r="AQ164" s="1505" t="n"/>
      <c r="AR164" s="1505" t="n"/>
      <c r="AS164" s="1505" t="n"/>
      <c r="AT164" s="1505" t="n"/>
      <c r="AU164" s="1505" t="n"/>
      <c r="AV164" s="1505" t="n"/>
      <c r="AW164" s="1505" t="n"/>
      <c r="AX164" s="1505" t="n"/>
      <c r="AY164" s="1505" t="n"/>
      <c r="AZ164" s="1505" t="n"/>
      <c r="BA164" s="1505" t="n"/>
      <c r="BB164" s="1505" t="n"/>
      <c r="BC164" s="1505" t="n"/>
      <c r="BD164" s="1505" t="n"/>
      <c r="BE164" s="1505" t="n"/>
      <c r="BF164" s="1505" t="n"/>
      <c r="BG164" s="1505" t="n"/>
      <c r="BH164" s="1505" t="n"/>
      <c r="BI164" s="1505" t="n"/>
      <c r="BJ164" s="1505" t="n"/>
      <c r="BK164" s="1505" t="n"/>
      <c r="BL164" s="1505" t="n"/>
      <c r="BM164" s="1505" t="n"/>
      <c r="BN164" s="1505" t="n"/>
      <c r="BO164" s="1505" t="n"/>
      <c r="BP164" s="1505" t="n"/>
      <c r="BQ164" s="1506" t="n"/>
      <c r="BR164" s="1505" t="n"/>
      <c r="BS164" s="1505" t="n"/>
      <c r="BT164" s="1505" t="n"/>
      <c r="BU164" s="1505" t="n"/>
      <c r="BV164" s="1505" t="n"/>
      <c r="BW164" s="1505" t="n"/>
      <c r="BX164" s="1505" t="n"/>
      <c r="BY164" s="1505" t="n"/>
      <c r="BZ164" s="1505" t="n"/>
      <c r="CA164" s="1505" t="n"/>
      <c r="CB164" s="1507" t="n"/>
    </row>
    <row r="165" hidden="1" outlineLevel="1" ht="14.4" customFormat="1" customHeight="1" s="1359">
      <c r="A165" s="1474" t="inlineStr">
        <is>
          <t>D&amp;A on PP&amp;E, mm</t>
        </is>
      </c>
      <c r="B165" s="1377" t="n"/>
      <c r="C165" s="1494" t="n">
        <v>69.40000000000001</v>
      </c>
      <c r="D165" s="1494" t="n">
        <v>61.7</v>
      </c>
      <c r="E165" s="1494" t="n">
        <v>55.3</v>
      </c>
      <c r="F165" s="1494" t="n">
        <v>55</v>
      </c>
      <c r="G165" s="1361">
        <f>$K$165/4</f>
        <v/>
      </c>
      <c r="H165" s="1361">
        <f>$K$165/4</f>
        <v/>
      </c>
      <c r="I165" s="1361">
        <f>$K$165/4</f>
        <v/>
      </c>
      <c r="J165" s="1361">
        <f>$K$165/4</f>
        <v/>
      </c>
      <c r="K165" s="1494" t="n">
        <v>49.5</v>
      </c>
      <c r="L165" s="1361">
        <f>$P$165/4</f>
        <v/>
      </c>
      <c r="M165" s="1361">
        <f>$P$165/4</f>
        <v/>
      </c>
      <c r="N165" s="1361">
        <f>$P$165/4</f>
        <v/>
      </c>
      <c r="O165" s="1361">
        <f>$P$165/4</f>
        <v/>
      </c>
      <c r="P165" s="1494" t="n">
        <v>49.2</v>
      </c>
      <c r="Q165" s="1361">
        <f>$U$165/4</f>
        <v/>
      </c>
      <c r="R165" s="1361">
        <f>$U$165/4</f>
        <v/>
      </c>
      <c r="S165" s="1361">
        <f>$U$165/4</f>
        <v/>
      </c>
      <c r="T165" s="1361">
        <f>$U$165/4</f>
        <v/>
      </c>
      <c r="U165" s="1494" t="n">
        <v>48.7</v>
      </c>
      <c r="V165" s="1361">
        <f>$Z$165/4</f>
        <v/>
      </c>
      <c r="W165" s="1361">
        <f>$Z$165/4</f>
        <v/>
      </c>
      <c r="X165" s="1493" t="n">
        <v>12</v>
      </c>
      <c r="Y165" s="1364">
        <f>Z165-X165-W165-V165</f>
        <v/>
      </c>
      <c r="Z165" s="1494" t="n">
        <v>52.7</v>
      </c>
      <c r="AA165" s="1361">
        <f>$AE$165/4</f>
        <v/>
      </c>
      <c r="AB165" s="1361">
        <f>$AE$165/4</f>
        <v/>
      </c>
      <c r="AC165" s="1361">
        <f>$AE$165/4</f>
        <v/>
      </c>
      <c r="AD165" s="1361">
        <f>$AE$165/4</f>
        <v/>
      </c>
      <c r="AE165" s="1494" t="n">
        <v>52.9</v>
      </c>
      <c r="AF165" s="1361">
        <f>$AJ$165/4</f>
        <v/>
      </c>
      <c r="AG165" s="1361">
        <f>$AJ$165/4</f>
        <v/>
      </c>
      <c r="AH165" s="1361">
        <f>$AJ$165/4</f>
        <v/>
      </c>
      <c r="AI165" s="1361">
        <f>$AJ$165/4</f>
        <v/>
      </c>
      <c r="AJ165" s="1494" t="n">
        <v>60.4</v>
      </c>
      <c r="AK165" s="1361">
        <f>$AO$165/4</f>
        <v/>
      </c>
      <c r="AL165" s="1361">
        <f>$AO$165/4</f>
        <v/>
      </c>
      <c r="AM165" s="1361">
        <f>$AO$165/4</f>
        <v/>
      </c>
      <c r="AN165" s="1361">
        <f>$AO$165/4</f>
        <v/>
      </c>
      <c r="AO165" s="1494" t="n">
        <v>63.3</v>
      </c>
      <c r="AP165" s="1361">
        <f>$AT$165/4</f>
        <v/>
      </c>
      <c r="AQ165" s="1361">
        <f>$AT$165/4</f>
        <v/>
      </c>
      <c r="AR165" s="1361">
        <f>$AT$165/4</f>
        <v/>
      </c>
      <c r="AS165" s="1361">
        <f>$AT$165/4</f>
        <v/>
      </c>
      <c r="AT165" s="1494" t="n">
        <v>67.59999999999999</v>
      </c>
      <c r="AU165" s="1361">
        <f>$AY$165/4</f>
        <v/>
      </c>
      <c r="AV165" s="1361">
        <f>$AY$165/4</f>
        <v/>
      </c>
      <c r="AW165" s="1361">
        <f>$AY$165/4</f>
        <v/>
      </c>
      <c r="AX165" s="1361">
        <f>$AY$165/4</f>
        <v/>
      </c>
      <c r="AY165" s="1494" t="n">
        <v>71.2</v>
      </c>
      <c r="AZ165" s="1361">
        <f>$BD$165/4</f>
        <v/>
      </c>
      <c r="BA165" s="1361">
        <f>$BD$165/4</f>
        <v/>
      </c>
      <c r="BB165" s="1361">
        <f>$BD$165/4</f>
        <v/>
      </c>
      <c r="BC165" s="1361">
        <f>$BD$165/4</f>
        <v/>
      </c>
      <c r="BD165" s="1494" t="n">
        <v>69.09999999999999</v>
      </c>
      <c r="BE165" s="1361">
        <f>$BI165/4</f>
        <v/>
      </c>
      <c r="BF165" s="1361">
        <f>$BI165/4</f>
        <v/>
      </c>
      <c r="BG165" s="1361">
        <f>$BI165/4</f>
        <v/>
      </c>
      <c r="BH165" s="1361">
        <f>$BI165/4</f>
        <v/>
      </c>
      <c r="BI165" s="1494" t="n">
        <v>78.40000000000001</v>
      </c>
      <c r="BJ165" s="1361">
        <f>$BN165/4</f>
        <v/>
      </c>
      <c r="BK165" s="1361">
        <f>$BN165/4</f>
        <v/>
      </c>
      <c r="BL165" s="1361">
        <f>$BN165/4</f>
        <v/>
      </c>
      <c r="BM165" s="1361">
        <f>$BN165/4</f>
        <v/>
      </c>
      <c r="BN165" s="1494" t="n">
        <v>96.90000000000001</v>
      </c>
      <c r="BO165" s="1493" t="n">
        <v>24</v>
      </c>
      <c r="BP165" s="1493" t="n">
        <v>25</v>
      </c>
      <c r="BQ165" s="1363">
        <f>BN165/4</f>
        <v/>
      </c>
      <c r="BR165" s="1361">
        <f>-BR1164</f>
        <v/>
      </c>
      <c r="BS165" s="1379">
        <f>SUM(BO165,BP165,BQ165,BR165)</f>
        <v/>
      </c>
      <c r="BT165" s="1361">
        <f>-BT1164</f>
        <v/>
      </c>
      <c r="BU165" s="1361">
        <f>-BU1164</f>
        <v/>
      </c>
      <c r="BV165" s="1361">
        <f>-BV1164</f>
        <v/>
      </c>
      <c r="BW165" s="1361">
        <f>-BW1164</f>
        <v/>
      </c>
      <c r="BX165" s="1379">
        <f>SUM(BT165,BU165,BV165,BW165)</f>
        <v/>
      </c>
      <c r="BY165" s="1379">
        <f>-BY1164</f>
        <v/>
      </c>
      <c r="BZ165" s="1379">
        <f>-BZ1164</f>
        <v/>
      </c>
      <c r="CA165" s="1379">
        <f>-CA1164</f>
        <v/>
      </c>
      <c r="CB165" s="1364" t="n"/>
    </row>
    <row r="166" hidden="1" outlineLevel="1" ht="14.4" customFormat="1" customHeight="1" s="1359">
      <c r="A166" s="1508" t="inlineStr">
        <is>
          <t>COGS Amortization of acquired intangible assets, mm</t>
        </is>
      </c>
      <c r="B166" s="1377" t="n"/>
      <c r="C166" s="1494">
        <f>4.341+4.18</f>
        <v/>
      </c>
      <c r="D166" s="1379">
        <f>-D393</f>
        <v/>
      </c>
      <c r="E166" s="1379">
        <f>-E393</f>
        <v/>
      </c>
      <c r="F166" s="1379">
        <f>-F393</f>
        <v/>
      </c>
      <c r="G166" s="1361">
        <f>-G393</f>
        <v/>
      </c>
      <c r="H166" s="1361">
        <f>-H393</f>
        <v/>
      </c>
      <c r="I166" s="1361">
        <f>-I393</f>
        <v/>
      </c>
      <c r="J166" s="1361">
        <f>-J393</f>
        <v/>
      </c>
      <c r="K166" s="1379">
        <f>-K393</f>
        <v/>
      </c>
      <c r="L166" s="1361">
        <f>-L393</f>
        <v/>
      </c>
      <c r="M166" s="1361">
        <f>-M393</f>
        <v/>
      </c>
      <c r="N166" s="1361">
        <f>-N393</f>
        <v/>
      </c>
      <c r="O166" s="1361">
        <f>-O393</f>
        <v/>
      </c>
      <c r="P166" s="1379">
        <f>-P393</f>
        <v/>
      </c>
      <c r="Q166" s="1361">
        <f>-Q393</f>
        <v/>
      </c>
      <c r="R166" s="1361">
        <f>-R393</f>
        <v/>
      </c>
      <c r="S166" s="1361">
        <f>-S393</f>
        <v/>
      </c>
      <c r="T166" s="1361">
        <f>-T393</f>
        <v/>
      </c>
      <c r="U166" s="1379">
        <f>-U393</f>
        <v/>
      </c>
      <c r="V166" s="1361">
        <f>-V393</f>
        <v/>
      </c>
      <c r="W166" s="1361">
        <f>-W393</f>
        <v/>
      </c>
      <c r="X166" s="1361">
        <f>-X393</f>
        <v/>
      </c>
      <c r="Y166" s="1361">
        <f>-Y393</f>
        <v/>
      </c>
      <c r="Z166" s="1379">
        <f>-Z393</f>
        <v/>
      </c>
      <c r="AA166" s="1361">
        <f>-AA393</f>
        <v/>
      </c>
      <c r="AB166" s="1361">
        <f>-AB393</f>
        <v/>
      </c>
      <c r="AC166" s="1361">
        <f>-AC393</f>
        <v/>
      </c>
      <c r="AD166" s="1361">
        <f>-AD393</f>
        <v/>
      </c>
      <c r="AE166" s="1379">
        <f>-AE393</f>
        <v/>
      </c>
      <c r="AF166" s="1361">
        <f>-AF393</f>
        <v/>
      </c>
      <c r="AG166" s="1361">
        <f>-AG393</f>
        <v/>
      </c>
      <c r="AH166" s="1361">
        <f>-AH393</f>
        <v/>
      </c>
      <c r="AI166" s="1361">
        <f>-AI393</f>
        <v/>
      </c>
      <c r="AJ166" s="1379">
        <f>-AJ393</f>
        <v/>
      </c>
      <c r="AK166" s="1361">
        <f>-AK393</f>
        <v/>
      </c>
      <c r="AL166" s="1361">
        <f>-AL393</f>
        <v/>
      </c>
      <c r="AM166" s="1361">
        <f>-AM393</f>
        <v/>
      </c>
      <c r="AN166" s="1361">
        <f>-AN393</f>
        <v/>
      </c>
      <c r="AO166" s="1379">
        <f>-AO393</f>
        <v/>
      </c>
      <c r="AP166" s="1361">
        <f>-AP393</f>
        <v/>
      </c>
      <c r="AQ166" s="1361">
        <f>-AQ393</f>
        <v/>
      </c>
      <c r="AR166" s="1361">
        <f>-AR393</f>
        <v/>
      </c>
      <c r="AS166" s="1361">
        <f>-AS393</f>
        <v/>
      </c>
      <c r="AT166" s="1379">
        <f>-AT393</f>
        <v/>
      </c>
      <c r="AU166" s="1361">
        <f>-AU393</f>
        <v/>
      </c>
      <c r="AV166" s="1361">
        <f>-AV393</f>
        <v/>
      </c>
      <c r="AW166" s="1361">
        <f>-AW393</f>
        <v/>
      </c>
      <c r="AX166" s="1361">
        <f>-AX393</f>
        <v/>
      </c>
      <c r="AY166" s="1379">
        <f>-AY393</f>
        <v/>
      </c>
      <c r="AZ166" s="1361">
        <f>-AZ393</f>
        <v/>
      </c>
      <c r="BA166" s="1361">
        <f>-BA393</f>
        <v/>
      </c>
      <c r="BB166" s="1361">
        <f>-BB393</f>
        <v/>
      </c>
      <c r="BC166" s="1361">
        <f>-BC393</f>
        <v/>
      </c>
      <c r="BD166" s="1379">
        <f>-BD393</f>
        <v/>
      </c>
      <c r="BE166" s="1361">
        <f>-BE393</f>
        <v/>
      </c>
      <c r="BF166" s="1361">
        <f>-BF393</f>
        <v/>
      </c>
      <c r="BG166" s="1361">
        <f>-BG393</f>
        <v/>
      </c>
      <c r="BH166" s="1361">
        <f>-BH393</f>
        <v/>
      </c>
      <c r="BI166" s="1379">
        <f>-BI393</f>
        <v/>
      </c>
      <c r="BJ166" s="1361">
        <f>-BJ393</f>
        <v/>
      </c>
      <c r="BK166" s="1361">
        <f>-BK393</f>
        <v/>
      </c>
      <c r="BL166" s="1361">
        <f>-BL393</f>
        <v/>
      </c>
      <c r="BM166" s="1361">
        <f>-BM393</f>
        <v/>
      </c>
      <c r="BN166" s="1379">
        <f>-BN393</f>
        <v/>
      </c>
      <c r="BO166" s="1361">
        <f>-BO393</f>
        <v/>
      </c>
      <c r="BP166" s="1361">
        <f>-BP393</f>
        <v/>
      </c>
      <c r="BQ166" s="1363">
        <f>-BQ393</f>
        <v/>
      </c>
      <c r="BR166" s="1361">
        <f>-BR1170*BR1175</f>
        <v/>
      </c>
      <c r="BS166" s="1379">
        <f>SUM(BO166,BP166,BQ166,BR166)</f>
        <v/>
      </c>
      <c r="BT166" s="1361">
        <f>-BT1170*BT1175</f>
        <v/>
      </c>
      <c r="BU166" s="1361">
        <f>-BU1170*BU1175</f>
        <v/>
      </c>
      <c r="BV166" s="1361">
        <f>-BV1170*BV1175</f>
        <v/>
      </c>
      <c r="BW166" s="1361">
        <f>-BW1170*BW1175</f>
        <v/>
      </c>
      <c r="BX166" s="1379">
        <f>SUM(BT166,BU166,BV166,BW166)</f>
        <v/>
      </c>
      <c r="BY166" s="1379">
        <f>-BY1170*BY1175</f>
        <v/>
      </c>
      <c r="BZ166" s="1379">
        <f>-BZ1170*BZ1175</f>
        <v/>
      </c>
      <c r="CA166" s="1379">
        <f>-CA1170*CA1175</f>
        <v/>
      </c>
      <c r="CB166" s="1364" t="n"/>
    </row>
    <row r="167" hidden="1" outlineLevel="1" ht="14.4" customFormat="1" customHeight="1" s="1359">
      <c r="A167" s="1509" t="inlineStr">
        <is>
          <t>Amortization of intangibles (incl. in OPEX), mm</t>
        </is>
      </c>
      <c r="B167" s="1454" t="n"/>
      <c r="C167" s="1455">
        <f>C351</f>
        <v/>
      </c>
      <c r="D167" s="1455">
        <f>D351</f>
        <v/>
      </c>
      <c r="E167" s="1455">
        <f>E351</f>
        <v/>
      </c>
      <c r="F167" s="1455">
        <f>F351</f>
        <v/>
      </c>
      <c r="G167" s="1456">
        <f>G351</f>
        <v/>
      </c>
      <c r="H167" s="1456">
        <f>H351</f>
        <v/>
      </c>
      <c r="I167" s="1456">
        <f>I351</f>
        <v/>
      </c>
      <c r="J167" s="1456">
        <f>J351</f>
        <v/>
      </c>
      <c r="K167" s="1455">
        <f>K351</f>
        <v/>
      </c>
      <c r="L167" s="1456">
        <f>L351</f>
        <v/>
      </c>
      <c r="M167" s="1456">
        <f>M351</f>
        <v/>
      </c>
      <c r="N167" s="1456">
        <f>N351</f>
        <v/>
      </c>
      <c r="O167" s="1456">
        <f>O351</f>
        <v/>
      </c>
      <c r="P167" s="1455">
        <f>P351</f>
        <v/>
      </c>
      <c r="Q167" s="1456">
        <f>Q351</f>
        <v/>
      </c>
      <c r="R167" s="1456">
        <f>R351</f>
        <v/>
      </c>
      <c r="S167" s="1456">
        <f>S351</f>
        <v/>
      </c>
      <c r="T167" s="1456">
        <f>T351</f>
        <v/>
      </c>
      <c r="U167" s="1455">
        <f>U351</f>
        <v/>
      </c>
      <c r="V167" s="1456">
        <f>V351</f>
        <v/>
      </c>
      <c r="W167" s="1456">
        <f>W351</f>
        <v/>
      </c>
      <c r="X167" s="1456">
        <f>X351</f>
        <v/>
      </c>
      <c r="Y167" s="1456">
        <f>Y351</f>
        <v/>
      </c>
      <c r="Z167" s="1455">
        <f>Z351</f>
        <v/>
      </c>
      <c r="AA167" s="1456">
        <f>AA351</f>
        <v/>
      </c>
      <c r="AB167" s="1456">
        <f>AB351</f>
        <v/>
      </c>
      <c r="AC167" s="1456">
        <f>AC351</f>
        <v/>
      </c>
      <c r="AD167" s="1456">
        <f>AD351</f>
        <v/>
      </c>
      <c r="AE167" s="1455">
        <f>AE351</f>
        <v/>
      </c>
      <c r="AF167" s="1456">
        <f>AF351</f>
        <v/>
      </c>
      <c r="AG167" s="1456">
        <f>AG351</f>
        <v/>
      </c>
      <c r="AH167" s="1456">
        <f>AH351</f>
        <v/>
      </c>
      <c r="AI167" s="1456">
        <f>AI351</f>
        <v/>
      </c>
      <c r="AJ167" s="1455">
        <f>AJ351</f>
        <v/>
      </c>
      <c r="AK167" s="1456">
        <f>AK351</f>
        <v/>
      </c>
      <c r="AL167" s="1456">
        <f>AL351</f>
        <v/>
      </c>
      <c r="AM167" s="1456">
        <f>AM351</f>
        <v/>
      </c>
      <c r="AN167" s="1456">
        <f>AN351</f>
        <v/>
      </c>
      <c r="AO167" s="1455">
        <f>AO351</f>
        <v/>
      </c>
      <c r="AP167" s="1456">
        <f>AP351</f>
        <v/>
      </c>
      <c r="AQ167" s="1456">
        <f>AQ351</f>
        <v/>
      </c>
      <c r="AR167" s="1456">
        <f>AR351</f>
        <v/>
      </c>
      <c r="AS167" s="1456">
        <f>AS351</f>
        <v/>
      </c>
      <c r="AT167" s="1455">
        <f>AT351</f>
        <v/>
      </c>
      <c r="AU167" s="1456">
        <f>AU351</f>
        <v/>
      </c>
      <c r="AV167" s="1456">
        <f>AV351</f>
        <v/>
      </c>
      <c r="AW167" s="1456">
        <f>AW351</f>
        <v/>
      </c>
      <c r="AX167" s="1456">
        <f>AX351</f>
        <v/>
      </c>
      <c r="AY167" s="1455">
        <f>AY351</f>
        <v/>
      </c>
      <c r="AZ167" s="1456">
        <f>AZ351</f>
        <v/>
      </c>
      <c r="BA167" s="1456">
        <f>BA351</f>
        <v/>
      </c>
      <c r="BB167" s="1456">
        <f>BB351</f>
        <v/>
      </c>
      <c r="BC167" s="1456">
        <f>BC351</f>
        <v/>
      </c>
      <c r="BD167" s="1455">
        <f>BD351</f>
        <v/>
      </c>
      <c r="BE167" s="1456">
        <f>BE351</f>
        <v/>
      </c>
      <c r="BF167" s="1456">
        <f>BF351</f>
        <v/>
      </c>
      <c r="BG167" s="1456">
        <f>BG351</f>
        <v/>
      </c>
      <c r="BH167" s="1456">
        <f>BH351</f>
        <v/>
      </c>
      <c r="BI167" s="1455">
        <f>BI351</f>
        <v/>
      </c>
      <c r="BJ167" s="1456">
        <f>BJ351</f>
        <v/>
      </c>
      <c r="BK167" s="1456">
        <f>BK351</f>
        <v/>
      </c>
      <c r="BL167" s="1456">
        <f>BL351</f>
        <v/>
      </c>
      <c r="BM167" s="1456">
        <f>BM351</f>
        <v/>
      </c>
      <c r="BN167" s="1455">
        <f>BN351</f>
        <v/>
      </c>
      <c r="BO167" s="1456">
        <f>BO351</f>
        <v/>
      </c>
      <c r="BP167" s="1456">
        <f>BP351</f>
        <v/>
      </c>
      <c r="BQ167" s="1457">
        <f>BQ351</f>
        <v/>
      </c>
      <c r="BR167" s="1456">
        <f>-BR1170*BR1176</f>
        <v/>
      </c>
      <c r="BS167" s="1455">
        <f>SUM(BO167,BP167,BQ167,BR167)</f>
        <v/>
      </c>
      <c r="BT167" s="1456">
        <f>-BT1170*BT1176</f>
        <v/>
      </c>
      <c r="BU167" s="1456">
        <f>-BU1170*BU1176</f>
        <v/>
      </c>
      <c r="BV167" s="1456">
        <f>-BV1170*BV1176</f>
        <v/>
      </c>
      <c r="BW167" s="1456">
        <f>-BW1170*BW1176</f>
        <v/>
      </c>
      <c r="BX167" s="1455">
        <f>SUM(BT167,BU167,BV167,BW167)</f>
        <v/>
      </c>
      <c r="BY167" s="1455">
        <f>-BY1170*BY1176</f>
        <v/>
      </c>
      <c r="BZ167" s="1455">
        <f>-BZ1170*BZ1176</f>
        <v/>
      </c>
      <c r="CA167" s="1455">
        <f>-CA1170*CA1176</f>
        <v/>
      </c>
      <c r="CB167" s="1364" t="n"/>
    </row>
    <row r="168" hidden="1" outlineLevel="1" ht="14.4" customFormat="1" customHeight="1" s="1359">
      <c r="A168" s="1474" t="inlineStr">
        <is>
          <t>Total amortization of acquired intangibles, mm</t>
        </is>
      </c>
      <c r="B168" s="1377" t="n"/>
      <c r="C168" s="1379">
        <f>C166+C167</f>
        <v/>
      </c>
      <c r="D168" s="1379">
        <f>D166+D167</f>
        <v/>
      </c>
      <c r="E168" s="1379">
        <f>E166+E167</f>
        <v/>
      </c>
      <c r="F168" s="1379">
        <f>F166+F167</f>
        <v/>
      </c>
      <c r="G168" s="1361">
        <f>G166+G167</f>
        <v/>
      </c>
      <c r="H168" s="1361">
        <f>H166+H167</f>
        <v/>
      </c>
      <c r="I168" s="1361">
        <f>I166+I167</f>
        <v/>
      </c>
      <c r="J168" s="1361">
        <f>J166+J167</f>
        <v/>
      </c>
      <c r="K168" s="1379">
        <f>K166+K167</f>
        <v/>
      </c>
      <c r="L168" s="1361">
        <f>L166+L167</f>
        <v/>
      </c>
      <c r="M168" s="1361">
        <f>M166+M167</f>
        <v/>
      </c>
      <c r="N168" s="1361">
        <f>N166+N167</f>
        <v/>
      </c>
      <c r="O168" s="1361">
        <f>O166+O167</f>
        <v/>
      </c>
      <c r="P168" s="1379">
        <f>P166+P167</f>
        <v/>
      </c>
      <c r="Q168" s="1361">
        <f>Q166+Q167</f>
        <v/>
      </c>
      <c r="R168" s="1361">
        <f>R166+R167</f>
        <v/>
      </c>
      <c r="S168" s="1361">
        <f>S166+S167</f>
        <v/>
      </c>
      <c r="T168" s="1361">
        <f>T166+T167</f>
        <v/>
      </c>
      <c r="U168" s="1379">
        <f>U166+U167</f>
        <v/>
      </c>
      <c r="V168" s="1361">
        <f>V166+V167</f>
        <v/>
      </c>
      <c r="W168" s="1361">
        <f>W166+W167</f>
        <v/>
      </c>
      <c r="X168" s="1361">
        <f>X166+X167</f>
        <v/>
      </c>
      <c r="Y168" s="1361">
        <f>Y166+Y167</f>
        <v/>
      </c>
      <c r="Z168" s="1379">
        <f>Z166+Z167</f>
        <v/>
      </c>
      <c r="AA168" s="1361">
        <f>AA166+AA167</f>
        <v/>
      </c>
      <c r="AB168" s="1361">
        <f>AB166+AB167</f>
        <v/>
      </c>
      <c r="AC168" s="1361">
        <f>AC166+AC167</f>
        <v/>
      </c>
      <c r="AD168" s="1361">
        <f>AD166+AD167</f>
        <v/>
      </c>
      <c r="AE168" s="1379">
        <f>AE166+AE167</f>
        <v/>
      </c>
      <c r="AF168" s="1361">
        <f>AF166+AF167</f>
        <v/>
      </c>
      <c r="AG168" s="1361">
        <f>AG166+AG167</f>
        <v/>
      </c>
      <c r="AH168" s="1361">
        <f>AH166+AH167</f>
        <v/>
      </c>
      <c r="AI168" s="1361">
        <f>AI166+AI167</f>
        <v/>
      </c>
      <c r="AJ168" s="1379">
        <f>AJ166+AJ167</f>
        <v/>
      </c>
      <c r="AK168" s="1361">
        <f>AK166+AK167</f>
        <v/>
      </c>
      <c r="AL168" s="1361">
        <f>AL166+AL167</f>
        <v/>
      </c>
      <c r="AM168" s="1361">
        <f>AM166+AM167</f>
        <v/>
      </c>
      <c r="AN168" s="1361">
        <f>AN166+AN167</f>
        <v/>
      </c>
      <c r="AO168" s="1379">
        <f>AO166+AO167</f>
        <v/>
      </c>
      <c r="AP168" s="1361">
        <f>AP166+AP167</f>
        <v/>
      </c>
      <c r="AQ168" s="1361">
        <f>AQ166+AQ167</f>
        <v/>
      </c>
      <c r="AR168" s="1361">
        <f>AR166+AR167</f>
        <v/>
      </c>
      <c r="AS168" s="1361">
        <f>AS166+AS167</f>
        <v/>
      </c>
      <c r="AT168" s="1379">
        <f>AT166+AT167</f>
        <v/>
      </c>
      <c r="AU168" s="1361">
        <f>AU166+AU167</f>
        <v/>
      </c>
      <c r="AV168" s="1361">
        <f>AV166+AV167</f>
        <v/>
      </c>
      <c r="AW168" s="1361">
        <f>AW166+AW167</f>
        <v/>
      </c>
      <c r="AX168" s="1361">
        <f>AX166+AX167</f>
        <v/>
      </c>
      <c r="AY168" s="1379">
        <f>AY166+AY167</f>
        <v/>
      </c>
      <c r="AZ168" s="1361">
        <f>AZ166+AZ167</f>
        <v/>
      </c>
      <c r="BA168" s="1361">
        <f>BA166+BA167</f>
        <v/>
      </c>
      <c r="BB168" s="1361">
        <f>BB166+BB167</f>
        <v/>
      </c>
      <c r="BC168" s="1361">
        <f>BC166+BC167</f>
        <v/>
      </c>
      <c r="BD168" s="1379">
        <f>BD166+BD167</f>
        <v/>
      </c>
      <c r="BE168" s="1361">
        <f>BE166+BE167</f>
        <v/>
      </c>
      <c r="BF168" s="1361">
        <f>BF166+BF167</f>
        <v/>
      </c>
      <c r="BG168" s="1361">
        <f>BG166+BG167</f>
        <v/>
      </c>
      <c r="BH168" s="1361">
        <f>BH166+BH167</f>
        <v/>
      </c>
      <c r="BI168" s="1379">
        <f>BI166+BI167</f>
        <v/>
      </c>
      <c r="BJ168" s="1361">
        <f>BJ166+BJ167</f>
        <v/>
      </c>
      <c r="BK168" s="1361">
        <f>BK166+BK167</f>
        <v/>
      </c>
      <c r="BL168" s="1361">
        <f>BL166+BL167</f>
        <v/>
      </c>
      <c r="BM168" s="1361">
        <f>BM166+BM167</f>
        <v/>
      </c>
      <c r="BN168" s="1379">
        <f>BN166+BN167</f>
        <v/>
      </c>
      <c r="BO168" s="1361">
        <f>BO166+BO167</f>
        <v/>
      </c>
      <c r="BP168" s="1361">
        <f>BP166+BP167</f>
        <v/>
      </c>
      <c r="BQ168" s="1363">
        <f>BQ166+BQ167</f>
        <v/>
      </c>
      <c r="BR168" s="1361">
        <f>BR166+BR167</f>
        <v/>
      </c>
      <c r="BS168" s="1379">
        <f>BS166+BS167</f>
        <v/>
      </c>
      <c r="BT168" s="1361">
        <f>BT166+BT167</f>
        <v/>
      </c>
      <c r="BU168" s="1361">
        <f>BU166+BU167</f>
        <v/>
      </c>
      <c r="BV168" s="1361">
        <f>BV166+BV167</f>
        <v/>
      </c>
      <c r="BW168" s="1361">
        <f>BW166+BW167</f>
        <v/>
      </c>
      <c r="BX168" s="1379">
        <f>BX166+BX167</f>
        <v/>
      </c>
      <c r="BY168" s="1379">
        <f>BY166+BY167</f>
        <v/>
      </c>
      <c r="BZ168" s="1379">
        <f>BZ166+BZ167</f>
        <v/>
      </c>
      <c r="CA168" s="1379">
        <f>CA166+CA167</f>
        <v/>
      </c>
      <c r="CB168" s="1364" t="n"/>
    </row>
    <row r="169" hidden="1" outlineLevel="1" ht="14.4" customFormat="1" customHeight="1" s="1359">
      <c r="A169" s="1478" t="inlineStr">
        <is>
          <t>Other D&amp;A, mm</t>
        </is>
      </c>
      <c r="B169" s="1454" t="n"/>
      <c r="C169" s="1455">
        <f>C170-C168-C165</f>
        <v/>
      </c>
      <c r="D169" s="1455">
        <f>D170-D168-D165</f>
        <v/>
      </c>
      <c r="E169" s="1455">
        <f>E170-E168-E165</f>
        <v/>
      </c>
      <c r="F169" s="1455">
        <f>F170-F168-F165</f>
        <v/>
      </c>
      <c r="G169" s="1456">
        <f>G170-G168-G165</f>
        <v/>
      </c>
      <c r="H169" s="1456">
        <f>H170-H168-H165</f>
        <v/>
      </c>
      <c r="I169" s="1456">
        <f>I170-I168-I165</f>
        <v/>
      </c>
      <c r="J169" s="1456">
        <f>J170-J168-J165</f>
        <v/>
      </c>
      <c r="K169" s="1455">
        <f>K170-K168-K165</f>
        <v/>
      </c>
      <c r="L169" s="1456">
        <f>L170-L168-L165</f>
        <v/>
      </c>
      <c r="M169" s="1456">
        <f>M170-M168-M165</f>
        <v/>
      </c>
      <c r="N169" s="1456">
        <f>N170-N168-N165</f>
        <v/>
      </c>
      <c r="O169" s="1456">
        <f>O170-O168-O165</f>
        <v/>
      </c>
      <c r="P169" s="1455">
        <f>P170-P168-P165</f>
        <v/>
      </c>
      <c r="Q169" s="1456">
        <f>Q170-Q168-Q165</f>
        <v/>
      </c>
      <c r="R169" s="1456">
        <f>R170-R168-R165</f>
        <v/>
      </c>
      <c r="S169" s="1456">
        <f>S170-S168-S165</f>
        <v/>
      </c>
      <c r="T169" s="1456">
        <f>T170-T168-T165</f>
        <v/>
      </c>
      <c r="U169" s="1455">
        <f>U170-U168-U165</f>
        <v/>
      </c>
      <c r="V169" s="1456">
        <f>V170-V168-V165</f>
        <v/>
      </c>
      <c r="W169" s="1456">
        <f>W170-W168-W165</f>
        <v/>
      </c>
      <c r="X169" s="1456">
        <f>X170-X168-X165</f>
        <v/>
      </c>
      <c r="Y169" s="1456">
        <f>Y170-Y168-Y165</f>
        <v/>
      </c>
      <c r="Z169" s="1455">
        <f>Z170-Z168-Z165</f>
        <v/>
      </c>
      <c r="AA169" s="1456">
        <f>AA170-AA168-AA165</f>
        <v/>
      </c>
      <c r="AB169" s="1456">
        <f>AB170-AB168-AB165</f>
        <v/>
      </c>
      <c r="AC169" s="1456">
        <f>AC170-AC168-AC165</f>
        <v/>
      </c>
      <c r="AD169" s="1456">
        <f>AD170-AD168-AD165</f>
        <v/>
      </c>
      <c r="AE169" s="1455">
        <f>AE170-AE168-AE165</f>
        <v/>
      </c>
      <c r="AF169" s="1456">
        <f>AF170-AF168-AF165</f>
        <v/>
      </c>
      <c r="AG169" s="1456">
        <f>AG170-AG168-AG165</f>
        <v/>
      </c>
      <c r="AH169" s="1456">
        <f>AH170-AH168-AH165</f>
        <v/>
      </c>
      <c r="AI169" s="1456">
        <f>AI170-AI168-AI165</f>
        <v/>
      </c>
      <c r="AJ169" s="1455">
        <f>AJ170-AJ168-AJ165</f>
        <v/>
      </c>
      <c r="AK169" s="1456">
        <f>AK170-AK168-AK165</f>
        <v/>
      </c>
      <c r="AL169" s="1456">
        <f>AL170-AL168-AL165</f>
        <v/>
      </c>
      <c r="AM169" s="1456">
        <f>AM170-AM168-AM165</f>
        <v/>
      </c>
      <c r="AN169" s="1456">
        <f>AN170-AN168-AN165</f>
        <v/>
      </c>
      <c r="AO169" s="1455">
        <f>AO170-AO168-AO165</f>
        <v/>
      </c>
      <c r="AP169" s="1456">
        <f>AP170-AP168-AP165</f>
        <v/>
      </c>
      <c r="AQ169" s="1456">
        <f>AQ170-AQ168-AQ165</f>
        <v/>
      </c>
      <c r="AR169" s="1456">
        <f>AR170-AR168-AR165</f>
        <v/>
      </c>
      <c r="AS169" s="1456">
        <f>AS170-AS168-AS165</f>
        <v/>
      </c>
      <c r="AT169" s="1455">
        <f>AT170-AT168-AT165</f>
        <v/>
      </c>
      <c r="AU169" s="1456">
        <f>AU170-AU168-AU165</f>
        <v/>
      </c>
      <c r="AV169" s="1456">
        <f>AV170-AV168-AV165</f>
        <v/>
      </c>
      <c r="AW169" s="1456">
        <f>AW170-AW168-AW165</f>
        <v/>
      </c>
      <c r="AX169" s="1456">
        <f>AX170-AX168-AX165</f>
        <v/>
      </c>
      <c r="AY169" s="1455">
        <f>AY170-AY168-AY165</f>
        <v/>
      </c>
      <c r="AZ169" s="1456">
        <f>AZ170-AZ168-AZ165</f>
        <v/>
      </c>
      <c r="BA169" s="1456">
        <f>BA170-BA168-BA165</f>
        <v/>
      </c>
      <c r="BB169" s="1456">
        <f>BB170-BB168-BB165</f>
        <v/>
      </c>
      <c r="BC169" s="1456">
        <f>BC170-BC168-BC165</f>
        <v/>
      </c>
      <c r="BD169" s="1455">
        <f>BD170-BD168-BD165</f>
        <v/>
      </c>
      <c r="BE169" s="1510">
        <f>BE170-BE168-BE165</f>
        <v/>
      </c>
      <c r="BF169" s="1510">
        <f>BF170-BF168-BF165</f>
        <v/>
      </c>
      <c r="BG169" s="1510">
        <f>BG170-BG168-BG165</f>
        <v/>
      </c>
      <c r="BH169" s="1510">
        <f>BH170-BH168-BH165</f>
        <v/>
      </c>
      <c r="BI169" s="1455">
        <f>BI170-BI168-BI165</f>
        <v/>
      </c>
      <c r="BJ169" s="1510">
        <f>BJ170-BJ168-BJ165</f>
        <v/>
      </c>
      <c r="BK169" s="1510">
        <f>BK170-BK168-BK165</f>
        <v/>
      </c>
      <c r="BL169" s="1510">
        <f>BL170-BL168-BL165</f>
        <v/>
      </c>
      <c r="BM169" s="1510">
        <f>BM170-BM168-BM165</f>
        <v/>
      </c>
      <c r="BN169" s="1455">
        <f>BN170-BN168-BN165</f>
        <v/>
      </c>
      <c r="BO169" s="1510">
        <f>BO170-BO168-BO165</f>
        <v/>
      </c>
      <c r="BP169" s="1510">
        <f>BP170-BP168-BP165</f>
        <v/>
      </c>
      <c r="BQ169" s="1511">
        <f>BQ170-BQ168-BQ165</f>
        <v/>
      </c>
      <c r="BR169" s="1479" t="n">
        <v>0.8</v>
      </c>
      <c r="BS169" s="1455">
        <f>SUM(BO169,BP169,BQ169,BR169)</f>
        <v/>
      </c>
      <c r="BT169" s="1479" t="n">
        <v>0.8</v>
      </c>
      <c r="BU169" s="1479" t="n">
        <v>0.8</v>
      </c>
      <c r="BV169" s="1479" t="n">
        <v>0.8</v>
      </c>
      <c r="BW169" s="1479" t="n">
        <v>0.8</v>
      </c>
      <c r="BX169" s="1455">
        <f>SUM(BT169,BU169,BV169,BW169)</f>
        <v/>
      </c>
      <c r="BY169" s="1480" t="n">
        <v>3.2</v>
      </c>
      <c r="BZ169" s="1480" t="n">
        <v>3.2</v>
      </c>
      <c r="CA169" s="1480" t="n">
        <v>3.2</v>
      </c>
      <c r="CB169" s="1364" t="n"/>
    </row>
    <row r="170" hidden="1" outlineLevel="1" ht="14.4" customFormat="1" customHeight="1" s="1372">
      <c r="A170" s="1447" t="inlineStr">
        <is>
          <t>Total Depreciation and Amortization, mm</t>
        </is>
      </c>
      <c r="B170" s="1448" t="n"/>
      <c r="C170" s="1449">
        <f>C1085</f>
        <v/>
      </c>
      <c r="D170" s="1449">
        <f>D1085</f>
        <v/>
      </c>
      <c r="E170" s="1449">
        <f>E1085</f>
        <v/>
      </c>
      <c r="F170" s="1449">
        <f>F1085</f>
        <v/>
      </c>
      <c r="G170" s="1450">
        <f>G1085</f>
        <v/>
      </c>
      <c r="H170" s="1450">
        <f>H1085</f>
        <v/>
      </c>
      <c r="I170" s="1450">
        <f>I1085</f>
        <v/>
      </c>
      <c r="J170" s="1450">
        <f>J1085</f>
        <v/>
      </c>
      <c r="K170" s="1449">
        <f>K1085</f>
        <v/>
      </c>
      <c r="L170" s="1450">
        <f>L1085</f>
        <v/>
      </c>
      <c r="M170" s="1450">
        <f>M1085</f>
        <v/>
      </c>
      <c r="N170" s="1450">
        <f>N1085</f>
        <v/>
      </c>
      <c r="O170" s="1450">
        <f>O1085</f>
        <v/>
      </c>
      <c r="P170" s="1449">
        <f>P1085</f>
        <v/>
      </c>
      <c r="Q170" s="1450">
        <f>Q1085</f>
        <v/>
      </c>
      <c r="R170" s="1450">
        <f>R1085</f>
        <v/>
      </c>
      <c r="S170" s="1450">
        <f>S1085</f>
        <v/>
      </c>
      <c r="T170" s="1450">
        <f>T1085</f>
        <v/>
      </c>
      <c r="U170" s="1449">
        <f>U1085</f>
        <v/>
      </c>
      <c r="V170" s="1450">
        <f>V1085</f>
        <v/>
      </c>
      <c r="W170" s="1450">
        <f>W1085</f>
        <v/>
      </c>
      <c r="X170" s="1450">
        <f>X1085</f>
        <v/>
      </c>
      <c r="Y170" s="1450">
        <f>Y1085</f>
        <v/>
      </c>
      <c r="Z170" s="1449">
        <f>Z1085</f>
        <v/>
      </c>
      <c r="AA170" s="1450">
        <f>AA1085</f>
        <v/>
      </c>
      <c r="AB170" s="1450">
        <f>AB1085</f>
        <v/>
      </c>
      <c r="AC170" s="1450">
        <f>AC1085</f>
        <v/>
      </c>
      <c r="AD170" s="1450">
        <f>AD1085</f>
        <v/>
      </c>
      <c r="AE170" s="1449">
        <f>AE1085</f>
        <v/>
      </c>
      <c r="AF170" s="1450">
        <f>AF1085</f>
        <v/>
      </c>
      <c r="AG170" s="1450">
        <f>AG1085</f>
        <v/>
      </c>
      <c r="AH170" s="1450">
        <f>AH1085</f>
        <v/>
      </c>
      <c r="AI170" s="1450">
        <f>AI1085</f>
        <v/>
      </c>
      <c r="AJ170" s="1449">
        <f>AJ1085</f>
        <v/>
      </c>
      <c r="AK170" s="1450">
        <f>AK1085</f>
        <v/>
      </c>
      <c r="AL170" s="1450">
        <f>AL1085</f>
        <v/>
      </c>
      <c r="AM170" s="1450">
        <f>AM1085</f>
        <v/>
      </c>
      <c r="AN170" s="1450">
        <f>AN1085</f>
        <v/>
      </c>
      <c r="AO170" s="1449">
        <f>AO1085</f>
        <v/>
      </c>
      <c r="AP170" s="1450">
        <f>AP1085</f>
        <v/>
      </c>
      <c r="AQ170" s="1450">
        <f>AQ1085</f>
        <v/>
      </c>
      <c r="AR170" s="1450">
        <f>AR1085</f>
        <v/>
      </c>
      <c r="AS170" s="1450">
        <f>AS1085</f>
        <v/>
      </c>
      <c r="AT170" s="1449">
        <f>AT1085</f>
        <v/>
      </c>
      <c r="AU170" s="1450">
        <f>AU1085</f>
        <v/>
      </c>
      <c r="AV170" s="1450">
        <f>AV1085</f>
        <v/>
      </c>
      <c r="AW170" s="1450">
        <f>AW1085</f>
        <v/>
      </c>
      <c r="AX170" s="1450">
        <f>AX1085</f>
        <v/>
      </c>
      <c r="AY170" s="1449">
        <f>AY1085</f>
        <v/>
      </c>
      <c r="AZ170" s="1450">
        <f>AZ1085</f>
        <v/>
      </c>
      <c r="BA170" s="1450">
        <f>BA1085</f>
        <v/>
      </c>
      <c r="BB170" s="1450">
        <f>BB1085</f>
        <v/>
      </c>
      <c r="BC170" s="1450">
        <f>BC1085</f>
        <v/>
      </c>
      <c r="BD170" s="1449">
        <f>BD1085</f>
        <v/>
      </c>
      <c r="BE170" s="1450">
        <f>BE1085</f>
        <v/>
      </c>
      <c r="BF170" s="1450">
        <f>BF1085</f>
        <v/>
      </c>
      <c r="BG170" s="1450">
        <f>BG1085</f>
        <v/>
      </c>
      <c r="BH170" s="1450">
        <f>BH1085</f>
        <v/>
      </c>
      <c r="BI170" s="1449">
        <f>BI1085</f>
        <v/>
      </c>
      <c r="BJ170" s="1450">
        <f>BJ1085</f>
        <v/>
      </c>
      <c r="BK170" s="1450">
        <f>BK1085</f>
        <v/>
      </c>
      <c r="BL170" s="1450">
        <f>BL1085</f>
        <v/>
      </c>
      <c r="BM170" s="1450">
        <f>BM1085</f>
        <v/>
      </c>
      <c r="BN170" s="1449">
        <f>BN1085</f>
        <v/>
      </c>
      <c r="BO170" s="1450">
        <f>BO1085</f>
        <v/>
      </c>
      <c r="BP170" s="1450">
        <f>BP1085</f>
        <v/>
      </c>
      <c r="BQ170" s="1451">
        <f>BQ1085</f>
        <v/>
      </c>
      <c r="BR170" s="1450">
        <f>BR165+BR168+BR169</f>
        <v/>
      </c>
      <c r="BS170" s="1449">
        <f>BS165+BS168+BS169</f>
        <v/>
      </c>
      <c r="BT170" s="1450">
        <f>BT165+BT168+BT169</f>
        <v/>
      </c>
      <c r="BU170" s="1450">
        <f>BU165+BU168+BU169</f>
        <v/>
      </c>
      <c r="BV170" s="1450">
        <f>BV165+BV168+BV169</f>
        <v/>
      </c>
      <c r="BW170" s="1450">
        <f>BW165+BW168+BW169</f>
        <v/>
      </c>
      <c r="BX170" s="1449">
        <f>BX165+BX168+BX169</f>
        <v/>
      </c>
      <c r="BY170" s="1449">
        <f>BY165+BY168+BY169</f>
        <v/>
      </c>
      <c r="BZ170" s="1449">
        <f>BZ165+BZ168+BZ169</f>
        <v/>
      </c>
      <c r="CA170" s="1449">
        <f>CA165+CA168+CA169</f>
        <v/>
      </c>
      <c r="CB170" s="1375" t="n"/>
    </row>
    <row r="171" hidden="1" outlineLevel="1" ht="14.4" customFormat="1" customHeight="1" s="1372">
      <c r="A171" s="1447" t="n"/>
      <c r="B171" s="1448" t="n"/>
      <c r="C171" s="1449" t="n"/>
      <c r="D171" s="1449" t="n"/>
      <c r="E171" s="1449" t="n"/>
      <c r="F171" s="1449" t="n"/>
      <c r="G171" s="1450" t="n"/>
      <c r="H171" s="1450" t="n"/>
      <c r="I171" s="1450" t="n"/>
      <c r="J171" s="1450" t="n"/>
      <c r="K171" s="1449" t="n"/>
      <c r="L171" s="1450" t="n"/>
      <c r="M171" s="1450" t="n"/>
      <c r="N171" s="1450" t="n"/>
      <c r="O171" s="1450" t="n"/>
      <c r="P171" s="1449" t="n"/>
      <c r="Q171" s="1450" t="n"/>
      <c r="R171" s="1450" t="n"/>
      <c r="S171" s="1450" t="n"/>
      <c r="T171" s="1450" t="n"/>
      <c r="U171" s="1449" t="n"/>
      <c r="V171" s="1450" t="n"/>
      <c r="W171" s="1450" t="n"/>
      <c r="X171" s="1450" t="n"/>
      <c r="Y171" s="1450" t="n"/>
      <c r="Z171" s="1449" t="n"/>
      <c r="AA171" s="1450" t="n"/>
      <c r="AB171" s="1450" t="n"/>
      <c r="AC171" s="1450" t="n"/>
      <c r="AD171" s="1450" t="n"/>
      <c r="AE171" s="1449" t="n"/>
      <c r="AF171" s="1450" t="n"/>
      <c r="AG171" s="1450" t="n"/>
      <c r="AH171" s="1450" t="n"/>
      <c r="AI171" s="1450" t="n"/>
      <c r="AJ171" s="1449" t="n"/>
      <c r="AK171" s="1450" t="n"/>
      <c r="AL171" s="1450" t="n"/>
      <c r="AM171" s="1450" t="n"/>
      <c r="AN171" s="1450" t="n"/>
      <c r="AO171" s="1449" t="n"/>
      <c r="AP171" s="1450" t="n"/>
      <c r="AQ171" s="1450" t="n"/>
      <c r="AR171" s="1450" t="n"/>
      <c r="AS171" s="1450" t="n"/>
      <c r="AT171" s="1449" t="n"/>
      <c r="AU171" s="1450" t="n"/>
      <c r="AV171" s="1450" t="n"/>
      <c r="AW171" s="1450" t="n"/>
      <c r="AX171" s="1450" t="n"/>
      <c r="AY171" s="1449" t="n"/>
      <c r="AZ171" s="1450" t="n"/>
      <c r="BA171" s="1450" t="n"/>
      <c r="BB171" s="1450" t="n"/>
      <c r="BC171" s="1450" t="n"/>
      <c r="BD171" s="1449" t="n"/>
      <c r="BE171" s="1450" t="n"/>
      <c r="BF171" s="1450" t="n"/>
      <c r="BG171" s="1450" t="n"/>
      <c r="BH171" s="1450" t="n"/>
      <c r="BI171" s="1449" t="n"/>
      <c r="BJ171" s="1450" t="n"/>
      <c r="BK171" s="1450" t="n"/>
      <c r="BL171" s="1450" t="n"/>
      <c r="BM171" s="1450" t="n"/>
      <c r="BN171" s="1449" t="n"/>
      <c r="BO171" s="1450" t="n"/>
      <c r="BP171" s="1450" t="n"/>
      <c r="BQ171" s="1451" t="n"/>
      <c r="BR171" s="1450" t="n"/>
      <c r="BS171" s="1449" t="n"/>
      <c r="BT171" s="1450" t="n"/>
      <c r="BU171" s="1450" t="n"/>
      <c r="BV171" s="1450" t="n"/>
      <c r="BW171" s="1450" t="n"/>
      <c r="BX171" s="1449" t="n"/>
      <c r="BY171" s="1449" t="n"/>
      <c r="BZ171" s="1449" t="n"/>
      <c r="CA171" s="1449" t="n"/>
      <c r="CB171" s="1375" t="n"/>
    </row>
    <row r="172" hidden="1" outlineLevel="1" ht="14.4" customFormat="1" customHeight="1" s="1359">
      <c r="A172" s="1376" t="inlineStr">
        <is>
          <t>Cost of product and maintenance SBC, mm</t>
        </is>
      </c>
      <c r="B172" s="1512" t="n"/>
      <c r="C172" s="1494" t="n">
        <v>2.277</v>
      </c>
      <c r="D172" s="1494">
        <f>0.117+1.435</f>
        <v/>
      </c>
      <c r="E172" s="1494">
        <f>0.111+1.357</f>
        <v/>
      </c>
      <c r="F172" s="1494" t="n">
        <v>1.317</v>
      </c>
      <c r="G172" s="1493" t="n">
        <v>0.364</v>
      </c>
      <c r="H172" s="1493" t="n">
        <v>0.323</v>
      </c>
      <c r="I172" s="1493" t="n">
        <v>0.438</v>
      </c>
      <c r="J172" s="1493" t="n">
        <v>0.471</v>
      </c>
      <c r="K172" s="1494" t="n">
        <v>1.596</v>
      </c>
      <c r="L172" s="1493" t="n">
        <v>0.482</v>
      </c>
      <c r="M172" s="1493" t="n">
        <v>0.485</v>
      </c>
      <c r="N172" s="1493" t="n">
        <v>0.633</v>
      </c>
      <c r="O172" s="1364">
        <f>P172-SUM(L172,M172,N172)</f>
        <v/>
      </c>
      <c r="P172" s="1494" t="n">
        <v>2.244</v>
      </c>
      <c r="Q172" s="1493" t="n">
        <v>0.569</v>
      </c>
      <c r="R172" s="1493" t="n">
        <v>0.5580000000000001</v>
      </c>
      <c r="S172" s="1493" t="n">
        <v>0.662</v>
      </c>
      <c r="T172" s="1364">
        <f>U172-SUM(Q172,R172,S172)</f>
        <v/>
      </c>
      <c r="U172" s="1494" t="n">
        <v>2.436</v>
      </c>
      <c r="V172" s="1493" t="n">
        <v>0.464</v>
      </c>
      <c r="W172" s="1493" t="n">
        <v>0.447</v>
      </c>
      <c r="X172" s="1493" t="n">
        <v>0.55</v>
      </c>
      <c r="Y172" s="1364">
        <f>Z172-SUM(V172,W172,X172)</f>
        <v/>
      </c>
      <c r="Z172" s="1494" t="n">
        <v>1.995</v>
      </c>
      <c r="AA172" s="1493" t="n">
        <v>0.529</v>
      </c>
      <c r="AB172" s="1493" t="n">
        <v>0.491</v>
      </c>
      <c r="AC172" s="1493" t="n">
        <v>0.612</v>
      </c>
      <c r="AD172" s="1364">
        <f>AE172-SUM(AA172,AB172,AC172)</f>
        <v/>
      </c>
      <c r="AE172" s="1494" t="n">
        <v>2.218</v>
      </c>
      <c r="AF172" s="1493" t="n">
        <v>0.59</v>
      </c>
      <c r="AG172" s="1493" t="n">
        <v>0.606</v>
      </c>
      <c r="AH172" s="1493" t="n">
        <v>0.736</v>
      </c>
      <c r="AI172" s="1364">
        <f>AJ172-SUM(AF172,AG172,AH172)</f>
        <v/>
      </c>
      <c r="AJ172" s="1494" t="n">
        <v>2.631</v>
      </c>
      <c r="AK172" s="1493" t="n">
        <v>0.681</v>
      </c>
      <c r="AL172" s="1493" t="n">
        <v>0.652</v>
      </c>
      <c r="AM172" s="1493" t="n">
        <v>0.731</v>
      </c>
      <c r="AN172" s="1493" t="n">
        <v>0.695</v>
      </c>
      <c r="AO172" s="1494" t="n">
        <v>2.759</v>
      </c>
      <c r="AP172" s="1493" t="n">
        <v>0.6909999999999999</v>
      </c>
      <c r="AQ172" s="1493" t="n">
        <v>0.6830000000000001</v>
      </c>
      <c r="AR172" s="1493" t="n">
        <v>0.668</v>
      </c>
      <c r="AS172" s="1364">
        <f>AT172-SUM(AP172,AQ172,AR172)</f>
        <v/>
      </c>
      <c r="AT172" s="1494" t="n">
        <v>2.922</v>
      </c>
      <c r="AU172" s="1493" t="n">
        <v>0.8070000000000001</v>
      </c>
      <c r="AV172" s="1493" t="n">
        <v>0.909</v>
      </c>
      <c r="AW172" s="1493" t="n">
        <v>0.885</v>
      </c>
      <c r="AX172" s="1493" t="n">
        <v>0.774</v>
      </c>
      <c r="AY172" s="1494" t="n">
        <v>3.375</v>
      </c>
      <c r="AZ172" s="1493" t="n">
        <v>0.83</v>
      </c>
      <c r="BA172" s="1493" t="n">
        <v>0.875</v>
      </c>
      <c r="BB172" s="1493" t="n">
        <v>1.046</v>
      </c>
      <c r="BC172" s="1493" t="n">
        <v>1.067</v>
      </c>
      <c r="BD172" s="1494" t="n">
        <v>3.818</v>
      </c>
      <c r="BE172" s="1493" t="n">
        <v>1.066</v>
      </c>
      <c r="BF172" s="1493" t="n">
        <v>1.035</v>
      </c>
      <c r="BG172" s="1493" t="n">
        <v>1.191</v>
      </c>
      <c r="BH172" s="1493" t="n">
        <v>1.208</v>
      </c>
      <c r="BI172" s="1494" t="n">
        <v>4.5</v>
      </c>
      <c r="BJ172" s="1493" t="n">
        <v>1.28</v>
      </c>
      <c r="BK172" s="1493" t="n">
        <v>1.352</v>
      </c>
      <c r="BL172" s="1493" t="n">
        <v>1.855</v>
      </c>
      <c r="BM172" s="1493" t="n">
        <v>1.915</v>
      </c>
      <c r="BN172" s="1494" t="n">
        <v>6.402</v>
      </c>
      <c r="BO172" s="1493" t="n">
        <v>2.154</v>
      </c>
      <c r="BP172" s="1493" t="n">
        <v>2.122</v>
      </c>
      <c r="BQ172" s="1502" t="n">
        <v>2.014</v>
      </c>
      <c r="BR172" s="1361" t="n"/>
      <c r="BS172" s="1379" t="n"/>
      <c r="BT172" s="1361" t="n"/>
      <c r="BU172" s="1361" t="n"/>
      <c r="BV172" s="1361" t="n"/>
      <c r="BW172" s="1361" t="n"/>
      <c r="BX172" s="1379" t="n"/>
      <c r="BY172" s="1379" t="n"/>
      <c r="BZ172" s="1379" t="n"/>
      <c r="CA172" s="1379" t="n"/>
      <c r="CB172" s="1364" t="n"/>
    </row>
    <row r="173" hidden="1" outlineLevel="1" ht="14.4" customFormat="1" customHeight="1" s="1359">
      <c r="A173" s="1513" t="inlineStr">
        <is>
          <t>Cost of services SBC, mm</t>
        </is>
      </c>
      <c r="B173" s="1514" t="n"/>
      <c r="C173" s="1480" t="n">
        <v>3.321</v>
      </c>
      <c r="D173" s="1480" t="n">
        <v>2.225</v>
      </c>
      <c r="E173" s="1480" t="n">
        <v>2.105</v>
      </c>
      <c r="F173" s="1480" t="n">
        <v>1.889</v>
      </c>
      <c r="G173" s="1479" t="n">
        <v>0.525</v>
      </c>
      <c r="H173" s="1479" t="n">
        <v>0.466</v>
      </c>
      <c r="I173" s="1479" t="n">
        <v>0.641</v>
      </c>
      <c r="J173" s="1479" t="n">
        <v>0.6889999999999999</v>
      </c>
      <c r="K173" s="1480" t="n">
        <v>2.321</v>
      </c>
      <c r="L173" s="1479" t="n">
        <v>0.703</v>
      </c>
      <c r="M173" s="1479" t="n">
        <v>0.709</v>
      </c>
      <c r="N173" s="1479" t="n">
        <v>0.926</v>
      </c>
      <c r="O173" s="1510">
        <f>P173-SUM(L173,M173,N173)</f>
        <v/>
      </c>
      <c r="P173" s="1480" t="n">
        <v>3.28</v>
      </c>
      <c r="Q173" s="1479" t="n">
        <v>0.832</v>
      </c>
      <c r="R173" s="1479" t="n">
        <v>0.8149999999999999</v>
      </c>
      <c r="S173" s="1479" t="n">
        <v>0.968</v>
      </c>
      <c r="T173" s="1510">
        <f>U173-SUM(Q173,R173,S173)</f>
        <v/>
      </c>
      <c r="U173" s="1480" t="n">
        <v>3.561</v>
      </c>
      <c r="V173" s="1479" t="n">
        <v>0.681</v>
      </c>
      <c r="W173" s="1479" t="n">
        <v>0.653</v>
      </c>
      <c r="X173" s="1479" t="n">
        <v>0.8070000000000001</v>
      </c>
      <c r="Y173" s="1510">
        <f>Z173-SUM(V173,W173,X173)</f>
        <v/>
      </c>
      <c r="Z173" s="1480" t="n">
        <v>2.911</v>
      </c>
      <c r="AA173" s="1479" t="n">
        <v>0.761</v>
      </c>
      <c r="AB173" s="1479" t="n">
        <v>0.717</v>
      </c>
      <c r="AC173" s="1479" t="n">
        <v>0.895</v>
      </c>
      <c r="AD173" s="1510">
        <f>AE173-SUM(AA173,AB173,AC173)</f>
        <v/>
      </c>
      <c r="AE173" s="1480" t="n">
        <v>3.232</v>
      </c>
      <c r="AF173" s="1479" t="n">
        <v>0.863</v>
      </c>
      <c r="AG173" s="1479" t="n">
        <v>0.884</v>
      </c>
      <c r="AH173" s="1479" t="n">
        <v>1.078</v>
      </c>
      <c r="AI173" s="1510">
        <f>AJ173-SUM(AF173,AG173,AH173)</f>
        <v/>
      </c>
      <c r="AJ173" s="1480" t="n">
        <v>3.714</v>
      </c>
      <c r="AK173" s="1479" t="n">
        <v>0.866</v>
      </c>
      <c r="AL173" s="1479" t="n">
        <v>0.829</v>
      </c>
      <c r="AM173" s="1479" t="n">
        <v>0.931</v>
      </c>
      <c r="AN173" s="1479" t="n">
        <v>0.884</v>
      </c>
      <c r="AO173" s="1480" t="n">
        <v>3.51</v>
      </c>
      <c r="AP173" s="1479" t="n">
        <v>0.88</v>
      </c>
      <c r="AQ173" s="1479" t="n">
        <v>0.869</v>
      </c>
      <c r="AR173" s="1479" t="n">
        <v>0.85</v>
      </c>
      <c r="AS173" s="1510">
        <f>AT173-SUM(AP173,AQ173,AR173)</f>
        <v/>
      </c>
      <c r="AT173" s="1480" t="n">
        <v>3.72</v>
      </c>
      <c r="AU173" s="1479" t="n">
        <v>1.027</v>
      </c>
      <c r="AV173" s="1479" t="n">
        <v>0.992</v>
      </c>
      <c r="AW173" s="1479" t="n">
        <v>1.158</v>
      </c>
      <c r="AX173" s="1479" t="n">
        <v>0.984</v>
      </c>
      <c r="AY173" s="1480" t="n">
        <v>4.161</v>
      </c>
      <c r="AZ173" s="1479" t="n">
        <v>1.05</v>
      </c>
      <c r="BA173" s="1479" t="n">
        <v>1.113</v>
      </c>
      <c r="BB173" s="1479" t="n">
        <v>1.331</v>
      </c>
      <c r="BC173" s="1479" t="n">
        <v>1.357</v>
      </c>
      <c r="BD173" s="1480" t="n">
        <v>4.851</v>
      </c>
      <c r="BE173" s="1479" t="n">
        <v>1.357</v>
      </c>
      <c r="BF173" s="1479" t="n">
        <v>1.317</v>
      </c>
      <c r="BG173" s="1479" t="n">
        <v>1.516</v>
      </c>
      <c r="BH173" s="1479" t="n">
        <v>1.538</v>
      </c>
      <c r="BI173" s="1480" t="n">
        <v>5.728</v>
      </c>
      <c r="BJ173" s="1479" t="n">
        <v>1.629</v>
      </c>
      <c r="BK173" s="1479" t="n">
        <v>1.721</v>
      </c>
      <c r="BL173" s="1479" t="n">
        <v>2.361</v>
      </c>
      <c r="BM173" s="1479" t="n">
        <v>2.438</v>
      </c>
      <c r="BN173" s="1480" t="n">
        <v>8.148999999999999</v>
      </c>
      <c r="BO173" s="1479" t="n">
        <v>2.466</v>
      </c>
      <c r="BP173" s="1479" t="n">
        <v>2.449</v>
      </c>
      <c r="BQ173" s="1515" t="n">
        <v>2.337</v>
      </c>
      <c r="BR173" s="1456" t="n"/>
      <c r="BS173" s="1455" t="n"/>
      <c r="BT173" s="1456" t="n"/>
      <c r="BU173" s="1456" t="n"/>
      <c r="BV173" s="1456" t="n"/>
      <c r="BW173" s="1456" t="n"/>
      <c r="BX173" s="1455" t="n"/>
      <c r="BY173" s="1455" t="n"/>
      <c r="BZ173" s="1455" t="n"/>
      <c r="CA173" s="1455" t="n"/>
      <c r="CB173" s="1364" t="n"/>
    </row>
    <row r="174" hidden="1" outlineLevel="1" ht="14.4" customFormat="1" customHeight="1" s="1359">
      <c r="A174" s="1394" t="inlineStr">
        <is>
          <t>Cost of revenue SBC, mm</t>
        </is>
      </c>
      <c r="B174" s="1512" t="n"/>
      <c r="C174" s="1378">
        <f>SUM(C172:C173)</f>
        <v/>
      </c>
      <c r="D174" s="1378">
        <f>SUM(D172:D173)</f>
        <v/>
      </c>
      <c r="E174" s="1378">
        <f>SUM(E172:E173)</f>
        <v/>
      </c>
      <c r="F174" s="1378">
        <f>SUM(F172:F173)</f>
        <v/>
      </c>
      <c r="G174" s="1364">
        <f>SUM(G172:G173)</f>
        <v/>
      </c>
      <c r="H174" s="1364">
        <f>SUM(H172:H173)</f>
        <v/>
      </c>
      <c r="I174" s="1364">
        <f>SUM(I172:I173)</f>
        <v/>
      </c>
      <c r="J174" s="1364">
        <f>SUM(J172:J173)</f>
        <v/>
      </c>
      <c r="K174" s="1378">
        <f>SUM(K172:K173)</f>
        <v/>
      </c>
      <c r="L174" s="1364">
        <f>SUM(L172:L173)</f>
        <v/>
      </c>
      <c r="M174" s="1364">
        <f>SUM(M172:M173)</f>
        <v/>
      </c>
      <c r="N174" s="1364">
        <f>SUM(N172:N173)</f>
        <v/>
      </c>
      <c r="O174" s="1364">
        <f>SUM(O172:O173)</f>
        <v/>
      </c>
      <c r="P174" s="1378">
        <f>SUM(P172:P173)</f>
        <v/>
      </c>
      <c r="Q174" s="1364">
        <f>SUM(Q172:Q173)</f>
        <v/>
      </c>
      <c r="R174" s="1364">
        <f>SUM(R172:R173)</f>
        <v/>
      </c>
      <c r="S174" s="1364">
        <f>SUM(S172:S173)</f>
        <v/>
      </c>
      <c r="T174" s="1364">
        <f>SUM(T172:T173)</f>
        <v/>
      </c>
      <c r="U174" s="1378">
        <f>SUM(U172:U173)</f>
        <v/>
      </c>
      <c r="V174" s="1364">
        <f>SUM(V172:V173)</f>
        <v/>
      </c>
      <c r="W174" s="1364">
        <f>SUM(W172:W173)</f>
        <v/>
      </c>
      <c r="X174" s="1364">
        <f>SUM(X172:X173)</f>
        <v/>
      </c>
      <c r="Y174" s="1364">
        <f>SUM(Y172:Y173)</f>
        <v/>
      </c>
      <c r="Z174" s="1378">
        <f>SUM(Z172:Z173)</f>
        <v/>
      </c>
      <c r="AA174" s="1364">
        <f>SUM(AA172:AA173)</f>
        <v/>
      </c>
      <c r="AB174" s="1364">
        <f>SUM(AB172:AB173)</f>
        <v/>
      </c>
      <c r="AC174" s="1364">
        <f>SUM(AC172:AC173)</f>
        <v/>
      </c>
      <c r="AD174" s="1364">
        <f>SUM(AD172:AD173)</f>
        <v/>
      </c>
      <c r="AE174" s="1378">
        <f>SUM(AE172:AE173)</f>
        <v/>
      </c>
      <c r="AF174" s="1364">
        <f>SUM(AF172:AF173)</f>
        <v/>
      </c>
      <c r="AG174" s="1364">
        <f>SUM(AG172:AG173)</f>
        <v/>
      </c>
      <c r="AH174" s="1364">
        <f>SUM(AH172:AH173)</f>
        <v/>
      </c>
      <c r="AI174" s="1364">
        <f>SUM(AI172:AI173)</f>
        <v/>
      </c>
      <c r="AJ174" s="1378">
        <f>SUM(AJ172:AJ173)</f>
        <v/>
      </c>
      <c r="AK174" s="1364">
        <f>SUM(AK172:AK173)</f>
        <v/>
      </c>
      <c r="AL174" s="1364">
        <f>SUM(AL172:AL173)</f>
        <v/>
      </c>
      <c r="AM174" s="1364">
        <f>SUM(AM172:AM173)</f>
        <v/>
      </c>
      <c r="AN174" s="1364">
        <f>SUM(AN172:AN173)</f>
        <v/>
      </c>
      <c r="AO174" s="1378">
        <f>SUM(AO172:AO173)</f>
        <v/>
      </c>
      <c r="AP174" s="1364">
        <f>SUM(AP172:AP173)</f>
        <v/>
      </c>
      <c r="AQ174" s="1364">
        <f>SUM(AQ172:AQ173)</f>
        <v/>
      </c>
      <c r="AR174" s="1364">
        <f>SUM(AR172:AR173)</f>
        <v/>
      </c>
      <c r="AS174" s="1364">
        <f>SUM(AS172:AS173)</f>
        <v/>
      </c>
      <c r="AT174" s="1378">
        <f>SUM(AT172:AT173)</f>
        <v/>
      </c>
      <c r="AU174" s="1364">
        <f>SUM(AU172:AU173)</f>
        <v/>
      </c>
      <c r="AV174" s="1364">
        <f>SUM(AV172:AV173)</f>
        <v/>
      </c>
      <c r="AW174" s="1364">
        <f>SUM(AW172:AW173)</f>
        <v/>
      </c>
      <c r="AX174" s="1364">
        <f>SUM(AX172:AX173)</f>
        <v/>
      </c>
      <c r="AY174" s="1378">
        <f>SUM(AY172:AY173)</f>
        <v/>
      </c>
      <c r="AZ174" s="1364">
        <f>SUM(AZ172:AZ173)</f>
        <v/>
      </c>
      <c r="BA174" s="1364">
        <f>SUM(BA172:BA173)</f>
        <v/>
      </c>
      <c r="BB174" s="1364">
        <f>SUM(BB172:BB173)</f>
        <v/>
      </c>
      <c r="BC174" s="1364">
        <f>SUM(BC172:BC173)</f>
        <v/>
      </c>
      <c r="BD174" s="1378">
        <f>SUM(BD172:BD173)</f>
        <v/>
      </c>
      <c r="BE174" s="1364">
        <f>SUM(BE172:BE173)</f>
        <v/>
      </c>
      <c r="BF174" s="1364">
        <f>SUM(BF172:BF173)</f>
        <v/>
      </c>
      <c r="BG174" s="1364">
        <f>SUM(BG172:BG173)</f>
        <v/>
      </c>
      <c r="BH174" s="1364">
        <f>SUM(BH172:BH173)</f>
        <v/>
      </c>
      <c r="BI174" s="1378">
        <f>SUM(BI172:BI173)</f>
        <v/>
      </c>
      <c r="BJ174" s="1364">
        <f>SUM(BJ172:BJ173)</f>
        <v/>
      </c>
      <c r="BK174" s="1364">
        <f>SUM(BK172:BK173)</f>
        <v/>
      </c>
      <c r="BL174" s="1364">
        <f>SUM(BL172:BL173)</f>
        <v/>
      </c>
      <c r="BM174" s="1364">
        <f>SUM(BM172:BM173)</f>
        <v/>
      </c>
      <c r="BN174" s="1378">
        <f>SUM(BN172:BN173)</f>
        <v/>
      </c>
      <c r="BO174" s="1364">
        <f>SUM(BO172:BO173)</f>
        <v/>
      </c>
      <c r="BP174" s="1364">
        <f>SUM(BP172:BP173)</f>
        <v/>
      </c>
      <c r="BQ174" s="1395">
        <f>SUM(BQ172:BQ173)</f>
        <v/>
      </c>
      <c r="BR174" s="1361">
        <f>BR41</f>
        <v/>
      </c>
      <c r="BS174" s="1379">
        <f>SUM(BO174,BP174,BQ174,BR174)</f>
        <v/>
      </c>
      <c r="BT174" s="1361">
        <f>BT41</f>
        <v/>
      </c>
      <c r="BU174" s="1361">
        <f>BU41</f>
        <v/>
      </c>
      <c r="BV174" s="1361">
        <f>BV41</f>
        <v/>
      </c>
      <c r="BW174" s="1361">
        <f>BW41</f>
        <v/>
      </c>
      <c r="BX174" s="1379">
        <f>SUM(BT174,BU174,BV174,BW174)</f>
        <v/>
      </c>
      <c r="BY174" s="1379">
        <f>BY41</f>
        <v/>
      </c>
      <c r="BZ174" s="1379">
        <f>BZ41</f>
        <v/>
      </c>
      <c r="CA174" s="1379">
        <f>CA41</f>
        <v/>
      </c>
      <c r="CB174" s="1364" t="n"/>
    </row>
    <row r="175" hidden="1" outlineLevel="1" ht="14.4" customFormat="1" customHeight="1" s="1359">
      <c r="A175" s="1394" t="inlineStr">
        <is>
          <t>Marketing and sales SBC, mm</t>
        </is>
      </c>
      <c r="B175" s="1512" t="n"/>
      <c r="C175" s="1494" t="n">
        <v>12.285</v>
      </c>
      <c r="D175" s="1494" t="n">
        <v>9.765000000000001</v>
      </c>
      <c r="E175" s="1494" t="n">
        <v>10.356</v>
      </c>
      <c r="F175" s="1494" t="n">
        <v>10.193</v>
      </c>
      <c r="G175" s="1493" t="n">
        <v>3.018</v>
      </c>
      <c r="H175" s="1493" t="n">
        <v>3.327</v>
      </c>
      <c r="I175" s="1493" t="n">
        <v>4.594</v>
      </c>
      <c r="J175" s="1493" t="n">
        <v>4.703</v>
      </c>
      <c r="K175" s="1494" t="n">
        <v>15.642</v>
      </c>
      <c r="L175" s="1493" t="n">
        <v>4.596</v>
      </c>
      <c r="M175" s="1493" t="n">
        <v>4.56</v>
      </c>
      <c r="N175" s="1493" t="n">
        <v>5.93</v>
      </c>
      <c r="O175" s="1364">
        <f>P175-SUM(L175,M175,N175)</f>
        <v/>
      </c>
      <c r="P175" s="1494" t="n">
        <v>20.58</v>
      </c>
      <c r="Q175" s="1493" t="n">
        <v>5.447</v>
      </c>
      <c r="R175" s="1493" t="n">
        <v>5.236</v>
      </c>
      <c r="S175" s="1493" t="n">
        <v>5.764</v>
      </c>
      <c r="T175" s="1364">
        <f>U175-SUM(Q175,R175,S175)</f>
        <v/>
      </c>
      <c r="U175" s="1494" t="n">
        <v>21.654</v>
      </c>
      <c r="V175" s="1493" t="n">
        <v>5.536</v>
      </c>
      <c r="W175" s="1493" t="n">
        <v>5.305</v>
      </c>
      <c r="X175" s="1493" t="n">
        <v>6.04</v>
      </c>
      <c r="Y175" s="1364">
        <f>Z175-SUM(V175,W175,X175)</f>
        <v/>
      </c>
      <c r="Z175" s="1494" t="n">
        <v>22.7</v>
      </c>
      <c r="AA175" s="1493" t="n">
        <v>6.008</v>
      </c>
      <c r="AB175" s="1493" t="n">
        <v>6.237</v>
      </c>
      <c r="AC175" s="1493" t="n">
        <v>7.422</v>
      </c>
      <c r="AD175" s="1364">
        <f>AE175-SUM(AA175,AB175,AC175)</f>
        <v/>
      </c>
      <c r="AE175" s="1494" t="n">
        <v>26.838</v>
      </c>
      <c r="AF175" s="1493" t="n">
        <v>7.614</v>
      </c>
      <c r="AG175" s="1493" t="n">
        <v>8.268000000000001</v>
      </c>
      <c r="AH175" s="1493" t="n">
        <v>9.528</v>
      </c>
      <c r="AI175" s="1364">
        <f>AJ175-SUM(AF175,AG175,AH175)</f>
        <v/>
      </c>
      <c r="AJ175" s="1494" t="n">
        <v>34.665</v>
      </c>
      <c r="AK175" s="1493" t="n">
        <v>9.106</v>
      </c>
      <c r="AL175" s="1493" t="n">
        <v>9.509</v>
      </c>
      <c r="AM175" s="1493" t="n">
        <v>10.424</v>
      </c>
      <c r="AN175" s="1493" t="n">
        <v>10.049</v>
      </c>
      <c r="AO175" s="1494" t="n">
        <v>39.088</v>
      </c>
      <c r="AP175" s="1493" t="n">
        <v>10.011</v>
      </c>
      <c r="AQ175" s="1493" t="n">
        <v>10.116</v>
      </c>
      <c r="AR175" s="1493" t="n">
        <v>9.699</v>
      </c>
      <c r="AS175" s="1364">
        <f>AT175-SUM(AP175,AQ175,AR175)</f>
        <v/>
      </c>
      <c r="AT175" s="1494" t="n">
        <v>42.096</v>
      </c>
      <c r="AU175" s="1493" t="n">
        <v>11.206</v>
      </c>
      <c r="AV175" s="1493" t="n">
        <v>10.294</v>
      </c>
      <c r="AW175" s="1493" t="n">
        <v>10.784</v>
      </c>
      <c r="AX175" s="1493" t="n">
        <v>10.98</v>
      </c>
      <c r="AY175" s="1494" t="n">
        <v>43.264</v>
      </c>
      <c r="AZ175" s="1493" t="n">
        <v>11.757</v>
      </c>
      <c r="BA175" s="1493" t="n">
        <v>12.902</v>
      </c>
      <c r="BB175" s="1493" t="n">
        <v>14.991</v>
      </c>
      <c r="BC175" s="1493" t="n">
        <v>15.121</v>
      </c>
      <c r="BD175" s="1494" t="n">
        <v>54.771</v>
      </c>
      <c r="BE175" s="1493" t="n">
        <v>15.091</v>
      </c>
      <c r="BF175" s="1493" t="n">
        <v>15.686</v>
      </c>
      <c r="BG175" s="1493" t="n">
        <v>18.042</v>
      </c>
      <c r="BH175" s="1493" t="n">
        <v>17.485</v>
      </c>
      <c r="BI175" s="1494" t="n">
        <v>66.304</v>
      </c>
      <c r="BJ175" s="1493" t="n">
        <v>17.836</v>
      </c>
      <c r="BK175" s="1493" t="n">
        <v>16</v>
      </c>
      <c r="BL175" s="1493" t="n">
        <v>21.677</v>
      </c>
      <c r="BM175" s="1493" t="n">
        <v>21.682</v>
      </c>
      <c r="BN175" s="1494" t="n">
        <v>77.19499999999999</v>
      </c>
      <c r="BO175" s="1493" t="n">
        <v>21.671</v>
      </c>
      <c r="BP175" s="1493" t="n">
        <v>22.857</v>
      </c>
      <c r="BQ175" s="1502" t="n">
        <v>21.726</v>
      </c>
      <c r="BR175" s="1361">
        <f>BR82</f>
        <v/>
      </c>
      <c r="BS175" s="1379">
        <f>SUM(BO175,BP175,BQ175,BR175)</f>
        <v/>
      </c>
      <c r="BT175" s="1361">
        <f>BT82</f>
        <v/>
      </c>
      <c r="BU175" s="1361">
        <f>BU82</f>
        <v/>
      </c>
      <c r="BV175" s="1361">
        <f>BV82</f>
        <v/>
      </c>
      <c r="BW175" s="1361">
        <f>BW82</f>
        <v/>
      </c>
      <c r="BX175" s="1379">
        <f>SUM(BT175,BU175,BV175,BW175)</f>
        <v/>
      </c>
      <c r="BY175" s="1379">
        <f>BY82</f>
        <v/>
      </c>
      <c r="BZ175" s="1379">
        <f>BZ82</f>
        <v/>
      </c>
      <c r="CA175" s="1379">
        <f>CA82</f>
        <v/>
      </c>
      <c r="CB175" s="1364" t="n"/>
    </row>
    <row r="176" hidden="1" outlineLevel="1" ht="14.4" customFormat="1" customHeight="1" s="1359">
      <c r="A176" s="1394" t="inlineStr">
        <is>
          <t>Research and development SBC, mm</t>
        </is>
      </c>
      <c r="B176" s="1512" t="n"/>
      <c r="C176" s="1494" t="n">
        <v>26.364</v>
      </c>
      <c r="D176" s="1494" t="n">
        <v>18.324</v>
      </c>
      <c r="E176" s="1494" t="n">
        <v>18.561</v>
      </c>
      <c r="F176" s="1494" t="n">
        <v>21.516</v>
      </c>
      <c r="G176" s="1493" t="n">
        <v>6.553</v>
      </c>
      <c r="H176" s="1493" t="n">
        <v>7.485</v>
      </c>
      <c r="I176" s="1493" t="n">
        <v>9.356</v>
      </c>
      <c r="J176" s="1493" t="n">
        <v>9.605</v>
      </c>
      <c r="K176" s="1494" t="n">
        <v>32.999</v>
      </c>
      <c r="L176" s="1493" t="n">
        <v>9.667</v>
      </c>
      <c r="M176" s="1493" t="n">
        <v>9.701000000000001</v>
      </c>
      <c r="N176" s="1493" t="n">
        <v>11.58</v>
      </c>
      <c r="O176" s="1364">
        <f>P176-SUM(L176,M176,N176)</f>
        <v/>
      </c>
      <c r="P176" s="1494" t="n">
        <v>43.173</v>
      </c>
      <c r="Q176" s="1493" t="n">
        <v>11.377</v>
      </c>
      <c r="R176" s="1493" t="n">
        <v>11.401</v>
      </c>
      <c r="S176" s="1493" t="n">
        <v>12.847</v>
      </c>
      <c r="T176" s="1364">
        <f>U176-SUM(Q176,R176,S176)</f>
        <v/>
      </c>
      <c r="U176" s="1494" t="n">
        <v>49.755</v>
      </c>
      <c r="V176" s="1493" t="n">
        <v>13.897</v>
      </c>
      <c r="W176" s="1493" t="n">
        <v>14.477</v>
      </c>
      <c r="X176" s="1493" t="n">
        <v>18.002</v>
      </c>
      <c r="Y176" s="1364">
        <f>Z176-SUM(V176,W176,X176)</f>
        <v/>
      </c>
      <c r="Z176" s="1494" t="n">
        <v>64.06100000000001</v>
      </c>
      <c r="AA176" s="1493" t="n">
        <v>15.482</v>
      </c>
      <c r="AB176" s="1493" t="n">
        <v>18.014</v>
      </c>
      <c r="AC176" s="1493" t="n">
        <v>21.792</v>
      </c>
      <c r="AD176" s="1364">
        <f>AE176-SUM(AA176,AB176,AC176)</f>
        <v/>
      </c>
      <c r="AE176" s="1494" t="n">
        <v>77.22199999999999</v>
      </c>
      <c r="AF176" s="1493" t="n">
        <v>23.235</v>
      </c>
      <c r="AG176" s="1493" t="n">
        <v>25.1</v>
      </c>
      <c r="AH176" s="1493" t="n">
        <v>28.668</v>
      </c>
      <c r="AI176" s="1364">
        <f>AJ176-SUM(AF176,AG176,AH176)</f>
        <v/>
      </c>
      <c r="AJ176" s="1494" t="n">
        <v>104.353</v>
      </c>
      <c r="AK176" s="1493" t="n">
        <v>26.898</v>
      </c>
      <c r="AL176" s="1493" t="n">
        <v>27.659</v>
      </c>
      <c r="AM176" s="1493" t="n">
        <v>30.458</v>
      </c>
      <c r="AN176" s="1493" t="n">
        <v>29.641</v>
      </c>
      <c r="AO176" s="1494" t="n">
        <v>114.656</v>
      </c>
      <c r="AP176" s="1493" t="n">
        <v>29.346</v>
      </c>
      <c r="AQ176" s="1493" t="n">
        <v>29.69</v>
      </c>
      <c r="AR176" s="1493" t="n">
        <v>28.652</v>
      </c>
      <c r="AS176" s="1364">
        <f>AT176-SUM(AP176,AQ176,AR176)</f>
        <v/>
      </c>
      <c r="AT176" s="1494" t="n">
        <v>124.999</v>
      </c>
      <c r="AU176" s="1493" t="n">
        <v>32.858</v>
      </c>
      <c r="AV176" s="1493" t="n">
        <v>31.286</v>
      </c>
      <c r="AW176" s="1493" t="n">
        <v>32.957</v>
      </c>
      <c r="AX176" s="1493" t="n">
        <v>34.146</v>
      </c>
      <c r="AY176" s="1494" t="n">
        <v>131.247</v>
      </c>
      <c r="AZ176" s="1493" t="n">
        <v>35.122</v>
      </c>
      <c r="BA176" s="1493" t="n">
        <v>37.067</v>
      </c>
      <c r="BB176" s="1493" t="n">
        <v>43.327</v>
      </c>
      <c r="BC176" s="1493" t="n">
        <v>43.421</v>
      </c>
      <c r="BD176" s="1494" t="n">
        <v>158.937</v>
      </c>
      <c r="BE176" s="1493" t="n">
        <v>44.322</v>
      </c>
      <c r="BF176" s="1493" t="n">
        <v>44.807</v>
      </c>
      <c r="BG176" s="1493" t="n">
        <v>53.013</v>
      </c>
      <c r="BH176" s="1493" t="n">
        <v>52.567</v>
      </c>
      <c r="BI176" s="1494" t="n">
        <v>194.709</v>
      </c>
      <c r="BJ176" s="1493" t="n">
        <v>53.637</v>
      </c>
      <c r="BK176" s="1493" t="n">
        <v>54.491</v>
      </c>
      <c r="BL176" s="1493" t="n">
        <v>67.857</v>
      </c>
      <c r="BM176" s="1493" t="n">
        <v>65.745</v>
      </c>
      <c r="BN176" s="1494" t="n">
        <v>241.73</v>
      </c>
      <c r="BO176" s="1493" t="n">
        <v>67.089</v>
      </c>
      <c r="BP176" s="1493" t="n">
        <v>73.188</v>
      </c>
      <c r="BQ176" s="1502" t="n">
        <v>70.20399999999999</v>
      </c>
      <c r="BR176" s="1361">
        <f>BR56</f>
        <v/>
      </c>
      <c r="BS176" s="1379">
        <f>SUM(BO176,BP176,BQ176,BR176)</f>
        <v/>
      </c>
      <c r="BT176" s="1361">
        <f>BT56</f>
        <v/>
      </c>
      <c r="BU176" s="1361">
        <f>BU56</f>
        <v/>
      </c>
      <c r="BV176" s="1361">
        <f>BV56</f>
        <v/>
      </c>
      <c r="BW176" s="1361">
        <f>BW56</f>
        <v/>
      </c>
      <c r="BX176" s="1379">
        <f>SUM(BT176,BU176,BV176,BW176)</f>
        <v/>
      </c>
      <c r="BY176" s="1379">
        <f>BY56</f>
        <v/>
      </c>
      <c r="BZ176" s="1379">
        <f>BZ56</f>
        <v/>
      </c>
      <c r="CA176" s="1379">
        <f>CA56</f>
        <v/>
      </c>
      <c r="CB176" s="1364" t="n"/>
    </row>
    <row r="177" hidden="1" outlineLevel="1" ht="14.4" customFormat="1" customHeight="1" s="1359">
      <c r="A177" s="1453" t="inlineStr">
        <is>
          <t>General and administrative SBC, mm</t>
        </is>
      </c>
      <c r="B177" s="1514" t="n"/>
      <c r="C177" s="1480" t="n">
        <v>10.459</v>
      </c>
      <c r="D177" s="1480" t="n">
        <v>11.594</v>
      </c>
      <c r="E177" s="1480" t="n">
        <v>11.098</v>
      </c>
      <c r="F177" s="1480" t="n">
        <v>12.646</v>
      </c>
      <c r="G177" s="1479" t="n">
        <v>3.35</v>
      </c>
      <c r="H177" s="1479" t="n">
        <v>3.51</v>
      </c>
      <c r="I177" s="1479" t="n">
        <v>3.537</v>
      </c>
      <c r="J177" s="1479" t="n">
        <v>3.33</v>
      </c>
      <c r="K177" s="1480" t="n">
        <v>13.727</v>
      </c>
      <c r="L177" s="1479" t="n">
        <v>3.416</v>
      </c>
      <c r="M177" s="1479" t="n">
        <v>3.622</v>
      </c>
      <c r="N177" s="1479" t="n">
        <v>3.808</v>
      </c>
      <c r="O177" s="1510">
        <f>P177-SUM(L177,M177,N177)</f>
        <v/>
      </c>
      <c r="P177" s="1480" t="n">
        <v>14.515</v>
      </c>
      <c r="Q177" s="1479" t="n">
        <v>3.636</v>
      </c>
      <c r="R177" s="1479" t="n">
        <v>3.693</v>
      </c>
      <c r="S177" s="1479" t="n">
        <v>3.876</v>
      </c>
      <c r="T177" s="1510">
        <f>U177-SUM(Q177,R177,S177)</f>
        <v/>
      </c>
      <c r="U177" s="1480" t="n">
        <v>14.935</v>
      </c>
      <c r="V177" s="1479" t="n">
        <v>4.054</v>
      </c>
      <c r="W177" s="1479" t="n">
        <v>4.474</v>
      </c>
      <c r="X177" s="1479" t="n">
        <v>4.599</v>
      </c>
      <c r="Y177" s="1510">
        <f>Z177-SUM(V177,W177,X177)</f>
        <v/>
      </c>
      <c r="Z177" s="1480" t="n">
        <v>17.55</v>
      </c>
      <c r="AA177" s="1479" t="n">
        <v>4.656</v>
      </c>
      <c r="AB177" s="1479" t="n">
        <v>5.023</v>
      </c>
      <c r="AC177" s="1479" t="n">
        <v>5.369</v>
      </c>
      <c r="AD177" s="1510">
        <f>AE177-SUM(AA177,AB177,AC177)</f>
        <v/>
      </c>
      <c r="AE177" s="1480" t="n">
        <v>20.513</v>
      </c>
      <c r="AF177" s="1479" t="n">
        <v>5.599</v>
      </c>
      <c r="AG177" s="1479" t="n">
        <v>6.098</v>
      </c>
      <c r="AH177" s="1479" t="n">
        <v>6.254</v>
      </c>
      <c r="AI177" s="1510">
        <f>AJ177-SUM(AF177,AG177,AH177)</f>
        <v/>
      </c>
      <c r="AJ177" s="1480" t="n">
        <v>22.352</v>
      </c>
      <c r="AK177" s="1479" t="n">
        <v>4.702</v>
      </c>
      <c r="AL177" s="1479" t="n">
        <v>5.608</v>
      </c>
      <c r="AM177" s="1479" t="n">
        <v>5.735</v>
      </c>
      <c r="AN177" s="1479" t="n">
        <v>5.489</v>
      </c>
      <c r="AO177" s="1480" t="n">
        <v>21.534</v>
      </c>
      <c r="AP177" s="1479" t="n">
        <v>5.554</v>
      </c>
      <c r="AQ177" s="1479" t="n">
        <v>5.549</v>
      </c>
      <c r="AR177" s="1479" t="n">
        <v>5.465</v>
      </c>
      <c r="AS177" s="1510">
        <f>AT177-SUM(AP177,AQ177,AR177)</f>
        <v/>
      </c>
      <c r="AT177" s="1480" t="n">
        <v>23.531</v>
      </c>
      <c r="AU177" s="1479" t="n">
        <v>6.698</v>
      </c>
      <c r="AV177" s="1479" t="n">
        <v>7.037</v>
      </c>
      <c r="AW177" s="1479" t="n">
        <v>6.962</v>
      </c>
      <c r="AX177" s="1479" t="n">
        <v>7.346</v>
      </c>
      <c r="AY177" s="1480" t="n">
        <v>28.043</v>
      </c>
      <c r="AZ177" s="1479" t="n">
        <v>10.71</v>
      </c>
      <c r="BA177" s="1479" t="n">
        <v>12.313</v>
      </c>
      <c r="BB177" s="1479" t="n">
        <v>12.756</v>
      </c>
      <c r="BC177" s="1479" t="n">
        <v>12.283</v>
      </c>
      <c r="BD177" s="1480" t="n">
        <v>48.062</v>
      </c>
      <c r="BE177" s="1479" t="n">
        <v>12.452</v>
      </c>
      <c r="BF177" s="1479" t="n">
        <v>13.763</v>
      </c>
      <c r="BG177" s="1479" t="n">
        <v>14.27</v>
      </c>
      <c r="BH177" s="1479" t="n">
        <v>13.885</v>
      </c>
      <c r="BI177" s="1480" t="n">
        <v>54.37</v>
      </c>
      <c r="BJ177" s="1479" t="n">
        <v>13.747</v>
      </c>
      <c r="BK177" s="1479" t="n">
        <v>14.005</v>
      </c>
      <c r="BL177" s="1479" t="n">
        <v>15.263</v>
      </c>
      <c r="BM177" s="1479" t="n">
        <v>14.728</v>
      </c>
      <c r="BN177" s="1480" t="n">
        <v>57.743</v>
      </c>
      <c r="BO177" s="1479" t="n">
        <v>14.233</v>
      </c>
      <c r="BP177" s="1479" t="n">
        <v>17.709</v>
      </c>
      <c r="BQ177" s="1515" t="n">
        <v>19.792</v>
      </c>
      <c r="BR177" s="1456">
        <f>BR69</f>
        <v/>
      </c>
      <c r="BS177" s="1455">
        <f>SUM(BO177,BP177,BQ177,BR177)</f>
        <v/>
      </c>
      <c r="BT177" s="1456">
        <f>BT69</f>
        <v/>
      </c>
      <c r="BU177" s="1456">
        <f>BU69</f>
        <v/>
      </c>
      <c r="BV177" s="1456">
        <f>BV69</f>
        <v/>
      </c>
      <c r="BW177" s="1456">
        <f>BW69</f>
        <v/>
      </c>
      <c r="BX177" s="1455">
        <f>SUM(BT177,BU177,BV177,BW177)</f>
        <v/>
      </c>
      <c r="BY177" s="1455">
        <f>BY69</f>
        <v/>
      </c>
      <c r="BZ177" s="1455">
        <f>BZ69</f>
        <v/>
      </c>
      <c r="CA177" s="1455">
        <f>CA69</f>
        <v/>
      </c>
      <c r="CB177" s="1364" t="n"/>
    </row>
    <row r="178" hidden="1" outlineLevel="1" ht="14.4" customFormat="1" customHeight="1" s="1372">
      <c r="A178" s="1400" t="inlineStr">
        <is>
          <t>Total stock-based compensation expense</t>
        </is>
      </c>
      <c r="B178" s="1516" t="n"/>
      <c r="C178" s="1402">
        <f>SUM(C174:C177)</f>
        <v/>
      </c>
      <c r="D178" s="1402">
        <f>SUM(D174:D177)</f>
        <v/>
      </c>
      <c r="E178" s="1402">
        <f>SUM(E174:E177)</f>
        <v/>
      </c>
      <c r="F178" s="1402">
        <f>SUM(F174:F177)</f>
        <v/>
      </c>
      <c r="G178" s="1403">
        <f>SUM(G174:G177)</f>
        <v/>
      </c>
      <c r="H178" s="1403">
        <f>SUM(H174:H177)</f>
        <v/>
      </c>
      <c r="I178" s="1403">
        <f>SUM(I174:I177)</f>
        <v/>
      </c>
      <c r="J178" s="1403">
        <f>SUM(J174:J177)</f>
        <v/>
      </c>
      <c r="K178" s="1402">
        <f>SUM(K174:K177)</f>
        <v/>
      </c>
      <c r="L178" s="1403">
        <f>SUM(L174:L177)</f>
        <v/>
      </c>
      <c r="M178" s="1403">
        <f>SUM(M174:M177)</f>
        <v/>
      </c>
      <c r="N178" s="1403">
        <f>SUM(N174:N177)</f>
        <v/>
      </c>
      <c r="O178" s="1403">
        <f>SUM(O174:O177)</f>
        <v/>
      </c>
      <c r="P178" s="1402">
        <f>SUM(P174:P177)</f>
        <v/>
      </c>
      <c r="Q178" s="1403">
        <f>SUM(Q174:Q177)</f>
        <v/>
      </c>
      <c r="R178" s="1403">
        <f>SUM(R174:R177)</f>
        <v/>
      </c>
      <c r="S178" s="1403">
        <f>SUM(S174:S177)</f>
        <v/>
      </c>
      <c r="T178" s="1403">
        <f>SUM(T174:T177)</f>
        <v/>
      </c>
      <c r="U178" s="1402">
        <f>SUM(U174:U177)</f>
        <v/>
      </c>
      <c r="V178" s="1403">
        <f>SUM(V174:V177)</f>
        <v/>
      </c>
      <c r="W178" s="1403">
        <f>SUM(W174:W177)</f>
        <v/>
      </c>
      <c r="X178" s="1403">
        <f>SUM(X174:X177)</f>
        <v/>
      </c>
      <c r="Y178" s="1404">
        <f>SUM(Y174:Y177)</f>
        <v/>
      </c>
      <c r="Z178" s="1405">
        <f>SUM(Z174:Z177)</f>
        <v/>
      </c>
      <c r="AA178" s="1403">
        <f>SUM(AA174:AA177)</f>
        <v/>
      </c>
      <c r="AB178" s="1403">
        <f>SUM(AB174:AB177)</f>
        <v/>
      </c>
      <c r="AC178" s="1403">
        <f>SUM(AC174:AC177)</f>
        <v/>
      </c>
      <c r="AD178" s="1404">
        <f>SUM(AD174:AD177)</f>
        <v/>
      </c>
      <c r="AE178" s="1405">
        <f>SUM(AE174:AE177)</f>
        <v/>
      </c>
      <c r="AF178" s="1403">
        <f>SUM(AF174:AF177)</f>
        <v/>
      </c>
      <c r="AG178" s="1403">
        <f>SUM(AG174:AG177)</f>
        <v/>
      </c>
      <c r="AH178" s="1403">
        <f>SUM(AH174:AH177)</f>
        <v/>
      </c>
      <c r="AI178" s="1404">
        <f>SUM(AI174:AI177)</f>
        <v/>
      </c>
      <c r="AJ178" s="1405">
        <f>SUM(AJ174:AJ177)</f>
        <v/>
      </c>
      <c r="AK178" s="1403">
        <f>SUM(AK174:AK177)</f>
        <v/>
      </c>
      <c r="AL178" s="1403">
        <f>SUM(AL174:AL177)</f>
        <v/>
      </c>
      <c r="AM178" s="1403">
        <f>SUM(AM174:AM177)</f>
        <v/>
      </c>
      <c r="AN178" s="1404">
        <f>SUM(AN174:AN177)</f>
        <v/>
      </c>
      <c r="AO178" s="1405">
        <f>SUM(AO174:AO177)</f>
        <v/>
      </c>
      <c r="AP178" s="1403">
        <f>SUM(AP174:AP177)</f>
        <v/>
      </c>
      <c r="AQ178" s="1403">
        <f>SUM(AQ174:AQ177)</f>
        <v/>
      </c>
      <c r="AR178" s="1403">
        <f>SUM(AR174:AR177)</f>
        <v/>
      </c>
      <c r="AS178" s="1403">
        <f>SUM(AS174:AS177)</f>
        <v/>
      </c>
      <c r="AT178" s="1402">
        <f>SUM(AT174:AT177)</f>
        <v/>
      </c>
      <c r="AU178" s="1403">
        <f>SUM(AU174:AU177)</f>
        <v/>
      </c>
      <c r="AV178" s="1403">
        <f>SUM(AV174:AV177)</f>
        <v/>
      </c>
      <c r="AW178" s="1403">
        <f>SUM(AW174:AW177)</f>
        <v/>
      </c>
      <c r="AX178" s="1403">
        <f>SUM(AX174:AX177)</f>
        <v/>
      </c>
      <c r="AY178" s="1402">
        <f>SUM(AY174:AY177)</f>
        <v/>
      </c>
      <c r="AZ178" s="1403">
        <f>SUM(AZ174:AZ177)</f>
        <v/>
      </c>
      <c r="BA178" s="1403">
        <f>SUM(BA174:BA177)</f>
        <v/>
      </c>
      <c r="BB178" s="1403">
        <f>SUM(BB174:BB177)</f>
        <v/>
      </c>
      <c r="BC178" s="1403">
        <f>SUM(BC174:BC177)</f>
        <v/>
      </c>
      <c r="BD178" s="1402">
        <f>SUM(BD174:BD177)</f>
        <v/>
      </c>
      <c r="BE178" s="1403">
        <f>SUM(BE174:BE177)</f>
        <v/>
      </c>
      <c r="BF178" s="1403">
        <f>SUM(BF174:BF177)</f>
        <v/>
      </c>
      <c r="BG178" s="1403">
        <f>SUM(BG174:BG177)</f>
        <v/>
      </c>
      <c r="BH178" s="1403">
        <f>SUM(BH174:BH177)</f>
        <v/>
      </c>
      <c r="BI178" s="1402">
        <f>SUM(BI174:BI177)</f>
        <v/>
      </c>
      <c r="BJ178" s="1403">
        <f>SUM(BJ174:BJ177)</f>
        <v/>
      </c>
      <c r="BK178" s="1403">
        <f>SUM(BK174:BK177)</f>
        <v/>
      </c>
      <c r="BL178" s="1403">
        <f>SUM(BL174:BL177)</f>
        <v/>
      </c>
      <c r="BM178" s="1403">
        <f>SUM(BM174:BM177)</f>
        <v/>
      </c>
      <c r="BN178" s="1402">
        <f>SUM(BN174:BN177)</f>
        <v/>
      </c>
      <c r="BO178" s="1403">
        <f>SUM(BO174:BO177)</f>
        <v/>
      </c>
      <c r="BP178" s="1403">
        <f>SUM(BP174:BP177)</f>
        <v/>
      </c>
      <c r="BQ178" s="1406">
        <f>SUM(BQ174:BQ177)</f>
        <v/>
      </c>
      <c r="BR178" s="1404">
        <f>SUM(BR174:BR177)</f>
        <v/>
      </c>
      <c r="BS178" s="1405">
        <f>SUM(BS174:BS177)</f>
        <v/>
      </c>
      <c r="BT178" s="1404">
        <f>SUM(BT174:BT177)</f>
        <v/>
      </c>
      <c r="BU178" s="1404">
        <f>SUM(BU174:BU177)</f>
        <v/>
      </c>
      <c r="BV178" s="1404">
        <f>SUM(BV174:BV177)</f>
        <v/>
      </c>
      <c r="BW178" s="1404">
        <f>SUM(BW174:BW177)</f>
        <v/>
      </c>
      <c r="BX178" s="1405">
        <f>SUM(BX174:BX177)</f>
        <v/>
      </c>
      <c r="BY178" s="1405">
        <f>SUM(BY174:BY177)</f>
        <v/>
      </c>
      <c r="BZ178" s="1405">
        <f>SUM(BZ174:BZ177)</f>
        <v/>
      </c>
      <c r="CA178" s="1405">
        <f>SUM(CA174:CA177)</f>
        <v/>
      </c>
      <c r="CB178" s="1375" t="n"/>
    </row>
    <row r="179" collapsed="1" ht="14.4" customFormat="1" customHeight="1" s="1372">
      <c r="A179" s="1447" t="n"/>
      <c r="B179" s="1517" t="n"/>
      <c r="C179" s="1449" t="n"/>
      <c r="D179" s="1449" t="n"/>
      <c r="E179" s="1449" t="n"/>
      <c r="F179" s="1449" t="n"/>
      <c r="G179" s="1450" t="n"/>
      <c r="H179" s="1450" t="n"/>
      <c r="I179" s="1450" t="n"/>
      <c r="J179" s="1450" t="n"/>
      <c r="K179" s="1449" t="n"/>
      <c r="L179" s="1450" t="n"/>
      <c r="M179" s="1450" t="n"/>
      <c r="N179" s="1450" t="n"/>
      <c r="O179" s="1450" t="n"/>
      <c r="P179" s="1449" t="n"/>
      <c r="Q179" s="1450" t="n"/>
      <c r="R179" s="1450" t="n"/>
      <c r="S179" s="1450" t="n"/>
      <c r="T179" s="1450" t="n"/>
      <c r="U179" s="1449" t="n"/>
      <c r="V179" s="1450" t="n"/>
      <c r="W179" s="1450" t="n"/>
      <c r="X179" s="1450" t="n"/>
      <c r="Y179" s="1450" t="n"/>
      <c r="Z179" s="1449" t="n"/>
      <c r="AA179" s="1450" t="n"/>
      <c r="AB179" s="1450" t="n"/>
      <c r="AC179" s="1450" t="n"/>
      <c r="AD179" s="1450" t="n"/>
      <c r="AE179" s="1449" t="n"/>
      <c r="AF179" s="1450" t="n"/>
      <c r="AG179" s="1450" t="n"/>
      <c r="AH179" s="1450" t="n"/>
      <c r="AI179" s="1450" t="n"/>
      <c r="AJ179" s="1449" t="n"/>
      <c r="AK179" s="1450" t="n"/>
      <c r="AL179" s="1450" t="n"/>
      <c r="AM179" s="1450" t="n"/>
      <c r="AN179" s="1450" t="n"/>
      <c r="AO179" s="1449" t="n"/>
      <c r="AP179" s="1450" t="n"/>
      <c r="AQ179" s="1450" t="n"/>
      <c r="AR179" s="1450" t="n"/>
      <c r="AS179" s="1450" t="n"/>
      <c r="AT179" s="1449" t="n"/>
      <c r="AU179" s="1450" t="n"/>
      <c r="AV179" s="1450" t="n"/>
      <c r="AW179" s="1450" t="n"/>
      <c r="AX179" s="1450" t="n"/>
      <c r="AY179" s="1449" t="n"/>
      <c r="AZ179" s="1450" t="n"/>
      <c r="BA179" s="1450" t="n"/>
      <c r="BB179" s="1450" t="n"/>
      <c r="BC179" s="1450" t="n"/>
      <c r="BD179" s="1449" t="n"/>
      <c r="BE179" s="1450" t="n"/>
      <c r="BF179" s="1450" t="n"/>
      <c r="BG179" s="1450" t="n"/>
      <c r="BH179" s="1450" t="n"/>
      <c r="BI179" s="1449" t="n"/>
      <c r="BJ179" s="1450" t="n"/>
      <c r="BK179" s="1450" t="n"/>
      <c r="BL179" s="1450" t="n"/>
      <c r="BM179" s="1450" t="n"/>
      <c r="BN179" s="1449" t="n"/>
      <c r="BO179" s="1450" t="n"/>
      <c r="BP179" s="1450" t="n"/>
      <c r="BQ179" s="1451" t="n"/>
      <c r="BR179" s="1450" t="n"/>
      <c r="BS179" s="1449" t="n"/>
      <c r="BT179" s="1450" t="n"/>
      <c r="BU179" s="1450" t="n"/>
      <c r="BV179" s="1450" t="n"/>
      <c r="BW179" s="1450" t="n"/>
      <c r="BX179" s="1449" t="n"/>
      <c r="BY179" s="1449" t="n"/>
      <c r="BZ179" s="1449" t="n"/>
      <c r="CA179" s="1449" t="n"/>
      <c r="CB179" s="1375" t="n"/>
    </row>
    <row r="180" ht="14.4" customFormat="1" customHeight="1" s="1372">
      <c r="A180" s="1373" t="inlineStr">
        <is>
          <t>Supplemental Data</t>
        </is>
      </c>
      <c r="B180" s="1373" t="n"/>
      <c r="C180" s="1373" t="n"/>
      <c r="D180" s="1373" t="n"/>
      <c r="E180" s="1373" t="n"/>
      <c r="F180" s="1373" t="n"/>
      <c r="G180" s="1373" t="n"/>
      <c r="H180" s="1373" t="n"/>
      <c r="I180" s="1373" t="n"/>
      <c r="J180" s="1373" t="n"/>
      <c r="K180" s="1373" t="n"/>
      <c r="L180" s="1373" t="n"/>
      <c r="M180" s="1373" t="n"/>
      <c r="N180" s="1373" t="n"/>
      <c r="O180" s="1373" t="n"/>
      <c r="P180" s="1373" t="n"/>
      <c r="Q180" s="1373" t="n"/>
      <c r="R180" s="1373" t="n"/>
      <c r="S180" s="1373" t="n"/>
      <c r="T180" s="1373" t="n"/>
      <c r="U180" s="1373" t="n"/>
      <c r="V180" s="1373" t="n"/>
      <c r="W180" s="1373" t="n"/>
      <c r="X180" s="1373" t="n"/>
      <c r="Y180" s="1373" t="n"/>
      <c r="Z180" s="1373" t="n"/>
      <c r="AA180" s="1373" t="n"/>
      <c r="AB180" s="1373" t="n"/>
      <c r="AC180" s="1373" t="n"/>
      <c r="AD180" s="1373" t="n"/>
      <c r="AE180" s="1373" t="n"/>
      <c r="AF180" s="1373" t="n"/>
      <c r="AG180" s="1373" t="n"/>
      <c r="AH180" s="1373" t="n"/>
      <c r="AI180" s="1373" t="n"/>
      <c r="AJ180" s="1373" t="n"/>
      <c r="AK180" s="1373" t="n"/>
      <c r="AL180" s="1373" t="n"/>
      <c r="AM180" s="1373" t="n"/>
      <c r="AN180" s="1373" t="n"/>
      <c r="AO180" s="1373" t="n"/>
      <c r="AP180" s="1373" t="n"/>
      <c r="AQ180" s="1373" t="n"/>
      <c r="AR180" s="1373" t="n"/>
      <c r="AS180" s="1373" t="n"/>
      <c r="AT180" s="1373" t="n"/>
      <c r="AU180" s="1373" t="n"/>
      <c r="AV180" s="1373" t="n"/>
      <c r="AW180" s="1373" t="n"/>
      <c r="AX180" s="1373" t="n"/>
      <c r="AY180" s="1373" t="n"/>
      <c r="AZ180" s="1373" t="n"/>
      <c r="BA180" s="1373" t="n"/>
      <c r="BB180" s="1373" t="n"/>
      <c r="BC180" s="1373" t="n"/>
      <c r="BD180" s="1373" t="n"/>
      <c r="BE180" s="1373" t="n"/>
      <c r="BF180" s="1373" t="n"/>
      <c r="BG180" s="1373" t="n"/>
      <c r="BH180" s="1373" t="n"/>
      <c r="BI180" s="1373" t="n"/>
      <c r="BJ180" s="1373" t="n"/>
      <c r="BK180" s="1373" t="n"/>
      <c r="BL180" s="1373" t="n"/>
      <c r="BM180" s="1373" t="n"/>
      <c r="BN180" s="1373" t="n"/>
      <c r="BO180" s="1373" t="n"/>
      <c r="BP180" s="1373" t="n"/>
      <c r="BQ180" s="1374" t="n"/>
      <c r="BR180" s="1373" t="n"/>
      <c r="BS180" s="1373" t="n"/>
      <c r="BT180" s="1373" t="n"/>
      <c r="BU180" s="1373" t="n"/>
      <c r="BV180" s="1373" t="n"/>
      <c r="BW180" s="1373" t="n"/>
      <c r="BX180" s="1373" t="n"/>
      <c r="BY180" s="1373" t="n"/>
      <c r="BZ180" s="1373" t="n"/>
      <c r="CA180" s="1373" t="n"/>
      <c r="CB180" s="1375" t="n"/>
    </row>
    <row r="181" hidden="1" outlineLevel="1" ht="14.4" customFormat="1" customHeight="1" s="1372">
      <c r="A181" s="1373" t="inlineStr">
        <is>
          <t>Segmented Results - Product and Maintenance (FS)</t>
        </is>
      </c>
      <c r="B181" s="1373" t="n"/>
      <c r="C181" s="1373" t="n"/>
      <c r="D181" s="1373" t="n"/>
      <c r="E181" s="1373" t="n"/>
      <c r="F181" s="1373" t="n"/>
      <c r="G181" s="1373" t="n"/>
      <c r="H181" s="1373" t="n"/>
      <c r="I181" s="1373" t="n"/>
      <c r="J181" s="1373" t="n"/>
      <c r="K181" s="1373" t="n"/>
      <c r="L181" s="1373" t="n"/>
      <c r="M181" s="1373" t="n"/>
      <c r="N181" s="1373" t="n"/>
      <c r="O181" s="1373" t="n"/>
      <c r="P181" s="1373" t="n"/>
      <c r="Q181" s="1373" t="n"/>
      <c r="R181" s="1373" t="n"/>
      <c r="S181" s="1373" t="n"/>
      <c r="T181" s="1373" t="n"/>
      <c r="U181" s="1373" t="n"/>
      <c r="V181" s="1373" t="n"/>
      <c r="W181" s="1373" t="n"/>
      <c r="X181" s="1373" t="n"/>
      <c r="Y181" s="1373" t="n"/>
      <c r="Z181" s="1373" t="n"/>
      <c r="AA181" s="1373" t="n"/>
      <c r="AB181" s="1373" t="n"/>
      <c r="AC181" s="1373" t="n"/>
      <c r="AD181" s="1373" t="n"/>
      <c r="AE181" s="1373" t="n"/>
      <c r="AF181" s="1373" t="n"/>
      <c r="AG181" s="1373" t="n"/>
      <c r="AH181" s="1373" t="n"/>
      <c r="AI181" s="1373" t="n"/>
      <c r="AJ181" s="1373" t="n"/>
      <c r="AK181" s="1373" t="n"/>
      <c r="AL181" s="1373" t="n"/>
      <c r="AM181" s="1373" t="n"/>
      <c r="AN181" s="1373" t="n"/>
      <c r="AO181" s="1373" t="n"/>
      <c r="AP181" s="1373" t="n"/>
      <c r="AQ181" s="1373" t="n"/>
      <c r="AR181" s="1373" t="n"/>
      <c r="AS181" s="1373" t="n"/>
      <c r="AT181" s="1373" t="n"/>
      <c r="AU181" s="1373" t="n"/>
      <c r="AV181" s="1373" t="n"/>
      <c r="AW181" s="1373" t="n"/>
      <c r="AX181" s="1373" t="n"/>
      <c r="AY181" s="1373" t="n"/>
      <c r="AZ181" s="1373" t="n"/>
      <c r="BA181" s="1373" t="n"/>
      <c r="BB181" s="1373" t="n"/>
      <c r="BC181" s="1373" t="n"/>
      <c r="BD181" s="1373" t="n"/>
      <c r="BE181" s="1373" t="n"/>
      <c r="BF181" s="1373" t="n"/>
      <c r="BG181" s="1373" t="n"/>
      <c r="BH181" s="1373" t="n"/>
      <c r="BI181" s="1373" t="n"/>
      <c r="BJ181" s="1373" t="n"/>
      <c r="BK181" s="1373" t="n"/>
      <c r="BL181" s="1373" t="n"/>
      <c r="BM181" s="1373" t="n"/>
      <c r="BN181" s="1373" t="n"/>
      <c r="BO181" s="1373" t="n"/>
      <c r="BP181" s="1373" t="n"/>
      <c r="BQ181" s="1374" t="n"/>
      <c r="BR181" s="1373" t="n"/>
      <c r="BS181" s="1373" t="n"/>
      <c r="BT181" s="1373" t="n"/>
      <c r="BU181" s="1373" t="n"/>
      <c r="BV181" s="1373" t="n"/>
      <c r="BW181" s="1373" t="n"/>
      <c r="BX181" s="1373" t="n"/>
      <c r="BY181" s="1373" t="n"/>
      <c r="BZ181" s="1373" t="n"/>
      <c r="CA181" s="1373" t="n"/>
      <c r="CB181" s="1375" t="n"/>
    </row>
    <row r="182" hidden="1" outlineLevel="2" ht="14.4" customFormat="1" customHeight="1" s="1372">
      <c r="A182" s="1452" t="inlineStr">
        <is>
          <t>Product and Maintenance revenue, mm</t>
        </is>
      </c>
      <c r="B182" s="1448" t="n"/>
      <c r="C182" s="1449">
        <f>C339+C341</f>
        <v/>
      </c>
      <c r="D182" s="1449">
        <f>D339+D341</f>
        <v/>
      </c>
      <c r="E182" s="1458">
        <f>E339</f>
        <v/>
      </c>
      <c r="F182" s="1458">
        <f>F339</f>
        <v/>
      </c>
      <c r="G182" s="1375">
        <f>G339</f>
        <v/>
      </c>
      <c r="H182" s="1375">
        <f>H339</f>
        <v/>
      </c>
      <c r="I182" s="1375">
        <f>I339</f>
        <v/>
      </c>
      <c r="J182" s="1375">
        <f>J339</f>
        <v/>
      </c>
      <c r="K182" s="1458">
        <f>K339</f>
        <v/>
      </c>
      <c r="L182" s="1375">
        <f>L339</f>
        <v/>
      </c>
      <c r="M182" s="1375">
        <f>M339</f>
        <v/>
      </c>
      <c r="N182" s="1375">
        <f>N339</f>
        <v/>
      </c>
      <c r="O182" s="1375">
        <f>O339</f>
        <v/>
      </c>
      <c r="P182" s="1458">
        <f>P339</f>
        <v/>
      </c>
      <c r="Q182" s="1375">
        <f>Q339</f>
        <v/>
      </c>
      <c r="R182" s="1375">
        <f>R339</f>
        <v/>
      </c>
      <c r="S182" s="1375">
        <f>S339</f>
        <v/>
      </c>
      <c r="T182" s="1375">
        <f>T339</f>
        <v/>
      </c>
      <c r="U182" s="1458">
        <f>U339</f>
        <v/>
      </c>
      <c r="V182" s="1375">
        <f>V339</f>
        <v/>
      </c>
      <c r="W182" s="1375">
        <f>W339</f>
        <v/>
      </c>
      <c r="X182" s="1375">
        <f>X339</f>
        <v/>
      </c>
      <c r="Y182" s="1450">
        <f>Y339</f>
        <v/>
      </c>
      <c r="Z182" s="1449">
        <f>Z339</f>
        <v/>
      </c>
      <c r="AA182" s="1375">
        <f>AA339</f>
        <v/>
      </c>
      <c r="AB182" s="1375">
        <f>AB339</f>
        <v/>
      </c>
      <c r="AC182" s="1375">
        <f>AC339</f>
        <v/>
      </c>
      <c r="AD182" s="1450">
        <f>AD339</f>
        <v/>
      </c>
      <c r="AE182" s="1449">
        <f>AE339</f>
        <v/>
      </c>
      <c r="AF182" s="1375">
        <f>AF339</f>
        <v/>
      </c>
      <c r="AG182" s="1375">
        <f>AG339</f>
        <v/>
      </c>
      <c r="AH182" s="1375">
        <f>AH339</f>
        <v/>
      </c>
      <c r="AI182" s="1450">
        <f>AI339</f>
        <v/>
      </c>
      <c r="AJ182" s="1449">
        <f>AJ339</f>
        <v/>
      </c>
      <c r="AK182" s="1375">
        <f>AK339</f>
        <v/>
      </c>
      <c r="AL182" s="1375">
        <f>AL339</f>
        <v/>
      </c>
      <c r="AM182" s="1375">
        <f>AM339</f>
        <v/>
      </c>
      <c r="AN182" s="1450">
        <f>AN339</f>
        <v/>
      </c>
      <c r="AO182" s="1449">
        <f>AO339</f>
        <v/>
      </c>
      <c r="AP182" s="1375">
        <f>AP339</f>
        <v/>
      </c>
      <c r="AQ182" s="1375">
        <f>AQ339</f>
        <v/>
      </c>
      <c r="AR182" s="1375">
        <f>AR339</f>
        <v/>
      </c>
      <c r="AS182" s="1450">
        <f>AS339</f>
        <v/>
      </c>
      <c r="AT182" s="1449">
        <f>AT339</f>
        <v/>
      </c>
      <c r="AU182" s="1375">
        <f>AU339</f>
        <v/>
      </c>
      <c r="AV182" s="1375">
        <f>AV339</f>
        <v/>
      </c>
      <c r="AW182" s="1375">
        <f>AW339</f>
        <v/>
      </c>
      <c r="AX182" s="1450">
        <f>AX339</f>
        <v/>
      </c>
      <c r="AY182" s="1449">
        <f>AY339</f>
        <v/>
      </c>
      <c r="AZ182" s="1375">
        <f>AZ339</f>
        <v/>
      </c>
      <c r="BA182" s="1375">
        <f>BA339</f>
        <v/>
      </c>
      <c r="BB182" s="1375">
        <f>BB339</f>
        <v/>
      </c>
      <c r="BC182" s="1450">
        <f>BC339</f>
        <v/>
      </c>
      <c r="BD182" s="1449">
        <f>BD339</f>
        <v/>
      </c>
      <c r="BE182" s="1375">
        <f>BE339</f>
        <v/>
      </c>
      <c r="BF182" s="1375">
        <f>BF339</f>
        <v/>
      </c>
      <c r="BG182" s="1375">
        <f>BG339</f>
        <v/>
      </c>
      <c r="BH182" s="1450">
        <f>BH339</f>
        <v/>
      </c>
      <c r="BI182" s="1449">
        <f>BI339</f>
        <v/>
      </c>
      <c r="BJ182" s="1375">
        <f>BJ339</f>
        <v/>
      </c>
      <c r="BK182" s="1375">
        <f>BK339</f>
        <v/>
      </c>
      <c r="BL182" s="1375">
        <f>BL339</f>
        <v/>
      </c>
      <c r="BM182" s="1450">
        <f>BM339</f>
        <v/>
      </c>
      <c r="BN182" s="1449">
        <f>BN339</f>
        <v/>
      </c>
      <c r="BO182" s="1375">
        <f>BO339</f>
        <v/>
      </c>
      <c r="BP182" s="1375">
        <f>BP339</f>
        <v/>
      </c>
      <c r="BQ182" s="1459">
        <f>BQ339</f>
        <v/>
      </c>
      <c r="BR182" s="1450" t="n"/>
      <c r="BS182" s="1449" t="n"/>
      <c r="BT182" s="1450" t="n"/>
      <c r="BU182" s="1450" t="n"/>
      <c r="BV182" s="1450" t="n"/>
      <c r="BW182" s="1450" t="n"/>
      <c r="BX182" s="1449" t="n"/>
      <c r="BY182" s="1449" t="n"/>
      <c r="BZ182" s="1449" t="n"/>
      <c r="CA182" s="1449" t="n"/>
      <c r="CB182" s="1375" t="n"/>
    </row>
    <row r="183" hidden="1" outlineLevel="2" ht="14.4" customFormat="1" customHeight="1" s="1372">
      <c r="A183" s="1408" t="inlineStr">
        <is>
          <t>Y/Y Product and Maintenance revenue growth, %</t>
        </is>
      </c>
      <c r="B183" s="1381" t="n"/>
      <c r="C183" s="1382" t="n"/>
      <c r="D183" s="1382">
        <f>D182/C182-1</f>
        <v/>
      </c>
      <c r="E183" s="1383">
        <f>E182/D182-1</f>
        <v/>
      </c>
      <c r="F183" s="1383">
        <f>F182/E182-1</f>
        <v/>
      </c>
      <c r="G183" s="1384" t="n"/>
      <c r="H183" s="1384" t="n"/>
      <c r="I183" s="1384" t="n"/>
      <c r="J183" s="1384" t="n"/>
      <c r="K183" s="1383">
        <f>K182/F182-1</f>
        <v/>
      </c>
      <c r="L183" s="1385">
        <f>L182/G182-1</f>
        <v/>
      </c>
      <c r="M183" s="1385">
        <f>M182/H182-1</f>
        <v/>
      </c>
      <c r="N183" s="1385">
        <f>N182/I182-1</f>
        <v/>
      </c>
      <c r="O183" s="1385">
        <f>O182/J182-1</f>
        <v/>
      </c>
      <c r="P183" s="1383">
        <f>P182/K182-1</f>
        <v/>
      </c>
      <c r="Q183" s="1385">
        <f>Q182/L182-1</f>
        <v/>
      </c>
      <c r="R183" s="1385">
        <f>R182/M182-1</f>
        <v/>
      </c>
      <c r="S183" s="1385">
        <f>S182/N182-1</f>
        <v/>
      </c>
      <c r="T183" s="1385">
        <f>T182/O182-1</f>
        <v/>
      </c>
      <c r="U183" s="1383">
        <f>U182/P182-1</f>
        <v/>
      </c>
      <c r="V183" s="1385">
        <f>V182/Q182-1</f>
        <v/>
      </c>
      <c r="W183" s="1385">
        <f>W182/R182-1</f>
        <v/>
      </c>
      <c r="X183" s="1385">
        <f>X182/S182-1</f>
        <v/>
      </c>
      <c r="Y183" s="1384">
        <f>Y182/T182-1</f>
        <v/>
      </c>
      <c r="Z183" s="1382">
        <f>Z182/U182-1</f>
        <v/>
      </c>
      <c r="AA183" s="1385">
        <f>AA182/V182-1</f>
        <v/>
      </c>
      <c r="AB183" s="1385">
        <f>AB182/W182-1</f>
        <v/>
      </c>
      <c r="AC183" s="1385">
        <f>AC182/X182-1</f>
        <v/>
      </c>
      <c r="AD183" s="1384">
        <f>AD182/Y182-1</f>
        <v/>
      </c>
      <c r="AE183" s="1382">
        <f>AE182/Z182-1</f>
        <v/>
      </c>
      <c r="AF183" s="1385">
        <f>AF182/AA182-1</f>
        <v/>
      </c>
      <c r="AG183" s="1385">
        <f>AG182/AB182-1</f>
        <v/>
      </c>
      <c r="AH183" s="1385">
        <f>AH182/AC182-1</f>
        <v/>
      </c>
      <c r="AI183" s="1384">
        <f>AI182/AD182-1</f>
        <v/>
      </c>
      <c r="AJ183" s="1382">
        <f>AJ182/AE182-1</f>
        <v/>
      </c>
      <c r="AK183" s="1385">
        <f>AK182/AF182-1</f>
        <v/>
      </c>
      <c r="AL183" s="1385">
        <f>AL182/AG182-1</f>
        <v/>
      </c>
      <c r="AM183" s="1385">
        <f>AM182/AH182-1</f>
        <v/>
      </c>
      <c r="AN183" s="1384">
        <f>AN182/AI182-1</f>
        <v/>
      </c>
      <c r="AO183" s="1382">
        <f>AO182/AJ182-1</f>
        <v/>
      </c>
      <c r="AP183" s="1385">
        <f>AP182/AK182-1</f>
        <v/>
      </c>
      <c r="AQ183" s="1385">
        <f>AQ182/AL182-1</f>
        <v/>
      </c>
      <c r="AR183" s="1385">
        <f>AR182/AM182-1</f>
        <v/>
      </c>
      <c r="AS183" s="1384">
        <f>AS182/AN182-1</f>
        <v/>
      </c>
      <c r="AT183" s="1382">
        <f>AT182/AO182-1</f>
        <v/>
      </c>
      <c r="AU183" s="1385">
        <f>AU182/AP182-1</f>
        <v/>
      </c>
      <c r="AV183" s="1385">
        <f>AV182/AQ182-1</f>
        <v/>
      </c>
      <c r="AW183" s="1385">
        <f>AW182/AR182-1</f>
        <v/>
      </c>
      <c r="AX183" s="1384">
        <f>AX182/AS182-1</f>
        <v/>
      </c>
      <c r="AY183" s="1382">
        <f>AY182/AT182-1</f>
        <v/>
      </c>
      <c r="AZ183" s="1385">
        <f>AZ182/AU182-1</f>
        <v/>
      </c>
      <c r="BA183" s="1385">
        <f>BA182/AV182-1</f>
        <v/>
      </c>
      <c r="BB183" s="1385">
        <f>BB182/AW182-1</f>
        <v/>
      </c>
      <c r="BC183" s="1384">
        <f>BC182/AX182-1</f>
        <v/>
      </c>
      <c r="BD183" s="1382">
        <f>BD182/AY182-1</f>
        <v/>
      </c>
      <c r="BE183" s="1385">
        <f>BE182/AZ182-1</f>
        <v/>
      </c>
      <c r="BF183" s="1385">
        <f>BF182/BA182-1</f>
        <v/>
      </c>
      <c r="BG183" s="1385">
        <f>BG182/BB182-1</f>
        <v/>
      </c>
      <c r="BH183" s="1384">
        <f>BH182/BC182-1</f>
        <v/>
      </c>
      <c r="BI183" s="1382">
        <f>BI182/BD182-1</f>
        <v/>
      </c>
      <c r="BJ183" s="1385">
        <f>BJ182/BE182-1</f>
        <v/>
      </c>
      <c r="BK183" s="1385">
        <f>BK182/BF182-1</f>
        <v/>
      </c>
      <c r="BL183" s="1385">
        <f>BL182/BG182-1</f>
        <v/>
      </c>
      <c r="BM183" s="1384">
        <f>BM182/BH182-1</f>
        <v/>
      </c>
      <c r="BN183" s="1382">
        <f>BN182/BI182-1</f>
        <v/>
      </c>
      <c r="BO183" s="1385">
        <f>BO182/BJ182-1</f>
        <v/>
      </c>
      <c r="BP183" s="1385">
        <f>BP182/BK182-1</f>
        <v/>
      </c>
      <c r="BQ183" s="1397">
        <f>BQ182/BL182-1</f>
        <v/>
      </c>
      <c r="BR183" s="1384" t="n"/>
      <c r="BS183" s="1382" t="n"/>
      <c r="BT183" s="1384" t="n"/>
      <c r="BU183" s="1384" t="n"/>
      <c r="BV183" s="1384" t="n"/>
      <c r="BW183" s="1384" t="n"/>
      <c r="BX183" s="1382" t="n"/>
      <c r="BY183" s="1382" t="n"/>
      <c r="BZ183" s="1382" t="n"/>
      <c r="CA183" s="1382" t="n"/>
      <c r="CB183" s="1375" t="n"/>
    </row>
    <row r="184" hidden="1" outlineLevel="2" ht="14.4" customFormat="1" customHeight="1" s="1372">
      <c r="A184" s="1447" t="n"/>
      <c r="B184" s="1448" t="n"/>
      <c r="C184" s="1449" t="n"/>
      <c r="D184" s="1449" t="n"/>
      <c r="E184" s="1449" t="n"/>
      <c r="F184" s="1449" t="n"/>
      <c r="G184" s="1450" t="n"/>
      <c r="H184" s="1450" t="n"/>
      <c r="I184" s="1450" t="n"/>
      <c r="J184" s="1450" t="n"/>
      <c r="K184" s="1449" t="n"/>
      <c r="L184" s="1450" t="n"/>
      <c r="M184" s="1450" t="n"/>
      <c r="N184" s="1450" t="n"/>
      <c r="O184" s="1450" t="n"/>
      <c r="P184" s="1449" t="n"/>
      <c r="Q184" s="1450" t="n"/>
      <c r="R184" s="1450" t="n"/>
      <c r="S184" s="1450" t="n"/>
      <c r="T184" s="1450" t="n"/>
      <c r="U184" s="1449" t="n"/>
      <c r="V184" s="1450" t="n"/>
      <c r="W184" s="1450" t="n"/>
      <c r="X184" s="1450" t="n"/>
      <c r="Y184" s="1450" t="n"/>
      <c r="Z184" s="1449" t="n"/>
      <c r="AA184" s="1450" t="n"/>
      <c r="AB184" s="1450" t="n"/>
      <c r="AC184" s="1450" t="n"/>
      <c r="AD184" s="1450" t="n"/>
      <c r="AE184" s="1449" t="n"/>
      <c r="AF184" s="1450" t="n"/>
      <c r="AG184" s="1450" t="n"/>
      <c r="AH184" s="1450" t="n"/>
      <c r="AI184" s="1450" t="n"/>
      <c r="AJ184" s="1449" t="n"/>
      <c r="AK184" s="1450" t="n"/>
      <c r="AL184" s="1450" t="n"/>
      <c r="AM184" s="1450" t="n"/>
      <c r="AN184" s="1450" t="n"/>
      <c r="AO184" s="1449" t="n"/>
      <c r="AP184" s="1450" t="n"/>
      <c r="AQ184" s="1450" t="n"/>
      <c r="AR184" s="1450" t="n"/>
      <c r="AS184" s="1450" t="n"/>
      <c r="AT184" s="1449" t="n"/>
      <c r="AU184" s="1450" t="n"/>
      <c r="AV184" s="1450" t="n"/>
      <c r="AW184" s="1450" t="n"/>
      <c r="AX184" s="1450" t="n"/>
      <c r="AY184" s="1449" t="n"/>
      <c r="AZ184" s="1450" t="n"/>
      <c r="BA184" s="1450" t="n"/>
      <c r="BB184" s="1450" t="n"/>
      <c r="BC184" s="1450" t="n"/>
      <c r="BD184" s="1449" t="n"/>
      <c r="BE184" s="1450" t="n"/>
      <c r="BF184" s="1450" t="n"/>
      <c r="BG184" s="1450" t="n"/>
      <c r="BH184" s="1450" t="n"/>
      <c r="BI184" s="1449" t="n"/>
      <c r="BJ184" s="1450" t="n"/>
      <c r="BK184" s="1450" t="n"/>
      <c r="BL184" s="1450" t="n"/>
      <c r="BM184" s="1450" t="n"/>
      <c r="BN184" s="1449" t="n"/>
      <c r="BO184" s="1450" t="n"/>
      <c r="BP184" s="1450" t="n"/>
      <c r="BQ184" s="1451" t="n"/>
      <c r="BR184" s="1450" t="n"/>
      <c r="BS184" s="1449" t="n"/>
      <c r="BT184" s="1450" t="n"/>
      <c r="BU184" s="1450" t="n"/>
      <c r="BV184" s="1450" t="n"/>
      <c r="BW184" s="1450" t="n"/>
      <c r="BX184" s="1449" t="n"/>
      <c r="BY184" s="1449" t="n"/>
      <c r="BZ184" s="1449" t="n"/>
      <c r="CA184" s="1449" t="n"/>
      <c r="CB184" s="1375" t="n"/>
    </row>
    <row r="185" hidden="1" outlineLevel="2" ht="14.4" customFormat="1" customHeight="1" s="1359">
      <c r="A185" s="1453" t="inlineStr">
        <is>
          <t>Product and Maintenance GAAP cost of revenue, mm</t>
        </is>
      </c>
      <c r="B185" s="1454" t="n"/>
      <c r="C185" s="1455">
        <f>C343+C345</f>
        <v/>
      </c>
      <c r="D185" s="1455">
        <f>D343+D345</f>
        <v/>
      </c>
      <c r="E185" s="1518">
        <f>E343</f>
        <v/>
      </c>
      <c r="F185" s="1518">
        <f>F343</f>
        <v/>
      </c>
      <c r="G185" s="1510">
        <f>G343</f>
        <v/>
      </c>
      <c r="H185" s="1510">
        <f>H343</f>
        <v/>
      </c>
      <c r="I185" s="1510">
        <f>I343</f>
        <v/>
      </c>
      <c r="J185" s="1510">
        <f>J343</f>
        <v/>
      </c>
      <c r="K185" s="1518">
        <f>K343</f>
        <v/>
      </c>
      <c r="L185" s="1510">
        <f>L343</f>
        <v/>
      </c>
      <c r="M185" s="1510">
        <f>M343</f>
        <v/>
      </c>
      <c r="N185" s="1510">
        <f>N343</f>
        <v/>
      </c>
      <c r="O185" s="1510">
        <f>O343</f>
        <v/>
      </c>
      <c r="P185" s="1518">
        <f>P343</f>
        <v/>
      </c>
      <c r="Q185" s="1510">
        <f>Q343</f>
        <v/>
      </c>
      <c r="R185" s="1510">
        <f>R343</f>
        <v/>
      </c>
      <c r="S185" s="1510">
        <f>S343</f>
        <v/>
      </c>
      <c r="T185" s="1510">
        <f>T343</f>
        <v/>
      </c>
      <c r="U185" s="1518">
        <f>U343</f>
        <v/>
      </c>
      <c r="V185" s="1510">
        <f>V343</f>
        <v/>
      </c>
      <c r="W185" s="1510">
        <f>W343</f>
        <v/>
      </c>
      <c r="X185" s="1510">
        <f>X343</f>
        <v/>
      </c>
      <c r="Y185" s="1456">
        <f>Y343</f>
        <v/>
      </c>
      <c r="Z185" s="1455">
        <f>Z343</f>
        <v/>
      </c>
      <c r="AA185" s="1510">
        <f>AA343</f>
        <v/>
      </c>
      <c r="AB185" s="1510">
        <f>AB343</f>
        <v/>
      </c>
      <c r="AC185" s="1510">
        <f>AC343</f>
        <v/>
      </c>
      <c r="AD185" s="1456">
        <f>AD343</f>
        <v/>
      </c>
      <c r="AE185" s="1455">
        <f>AE343</f>
        <v/>
      </c>
      <c r="AF185" s="1510">
        <f>AF343</f>
        <v/>
      </c>
      <c r="AG185" s="1510">
        <f>AG343</f>
        <v/>
      </c>
      <c r="AH185" s="1510">
        <f>AH343</f>
        <v/>
      </c>
      <c r="AI185" s="1456">
        <f>AI343</f>
        <v/>
      </c>
      <c r="AJ185" s="1455">
        <f>AJ343</f>
        <v/>
      </c>
      <c r="AK185" s="1510">
        <f>AK343</f>
        <v/>
      </c>
      <c r="AL185" s="1510">
        <f>AL343</f>
        <v/>
      </c>
      <c r="AM185" s="1510">
        <f>AM343</f>
        <v/>
      </c>
      <c r="AN185" s="1456">
        <f>AN343</f>
        <v/>
      </c>
      <c r="AO185" s="1455">
        <f>AO343</f>
        <v/>
      </c>
      <c r="AP185" s="1510">
        <f>AP343</f>
        <v/>
      </c>
      <c r="AQ185" s="1510">
        <f>AQ343</f>
        <v/>
      </c>
      <c r="AR185" s="1510">
        <f>AR343</f>
        <v/>
      </c>
      <c r="AS185" s="1456">
        <f>AS343</f>
        <v/>
      </c>
      <c r="AT185" s="1455">
        <f>AT343</f>
        <v/>
      </c>
      <c r="AU185" s="1510">
        <f>AU343</f>
        <v/>
      </c>
      <c r="AV185" s="1510">
        <f>AV343</f>
        <v/>
      </c>
      <c r="AW185" s="1510">
        <f>AW343</f>
        <v/>
      </c>
      <c r="AX185" s="1456">
        <f>AX343</f>
        <v/>
      </c>
      <c r="AY185" s="1455">
        <f>AY343</f>
        <v/>
      </c>
      <c r="AZ185" s="1510">
        <f>AZ343</f>
        <v/>
      </c>
      <c r="BA185" s="1510">
        <f>BA343</f>
        <v/>
      </c>
      <c r="BB185" s="1510">
        <f>BB343</f>
        <v/>
      </c>
      <c r="BC185" s="1456">
        <f>BC343</f>
        <v/>
      </c>
      <c r="BD185" s="1455">
        <f>BD343</f>
        <v/>
      </c>
      <c r="BE185" s="1510">
        <f>BE343</f>
        <v/>
      </c>
      <c r="BF185" s="1510">
        <f>BF343</f>
        <v/>
      </c>
      <c r="BG185" s="1510">
        <f>BG343</f>
        <v/>
      </c>
      <c r="BH185" s="1456">
        <f>BH343</f>
        <v/>
      </c>
      <c r="BI185" s="1455">
        <f>BI343</f>
        <v/>
      </c>
      <c r="BJ185" s="1510">
        <f>BJ343</f>
        <v/>
      </c>
      <c r="BK185" s="1510">
        <f>BK343</f>
        <v/>
      </c>
      <c r="BL185" s="1510">
        <f>BL343</f>
        <v/>
      </c>
      <c r="BM185" s="1456">
        <f>BM343</f>
        <v/>
      </c>
      <c r="BN185" s="1455">
        <f>BN343</f>
        <v/>
      </c>
      <c r="BO185" s="1510">
        <f>BO343</f>
        <v/>
      </c>
      <c r="BP185" s="1510">
        <f>BP343</f>
        <v/>
      </c>
      <c r="BQ185" s="1511">
        <f>BQ343</f>
        <v/>
      </c>
      <c r="BR185" s="1456" t="n"/>
      <c r="BS185" s="1455" t="n"/>
      <c r="BT185" s="1456" t="n"/>
      <c r="BU185" s="1456" t="n"/>
      <c r="BV185" s="1456" t="n"/>
      <c r="BW185" s="1456" t="n"/>
      <c r="BX185" s="1455" t="n"/>
      <c r="BY185" s="1455" t="n"/>
      <c r="BZ185" s="1455" t="n"/>
      <c r="CA185" s="1455" t="n"/>
      <c r="CB185" s="1364" t="n"/>
    </row>
    <row r="186" hidden="1" outlineLevel="2" ht="14.4" customFormat="1" customHeight="1" s="1372">
      <c r="A186" s="1452" t="inlineStr">
        <is>
          <t>Product and Maintenance GAAP Gross Profit, mm</t>
        </is>
      </c>
      <c r="B186" s="1448" t="n"/>
      <c r="C186" s="1458">
        <f>C182-C185</f>
        <v/>
      </c>
      <c r="D186" s="1458">
        <f>D182-D185</f>
        <v/>
      </c>
      <c r="E186" s="1458">
        <f>E182-E185</f>
        <v/>
      </c>
      <c r="F186" s="1458">
        <f>F182-F185</f>
        <v/>
      </c>
      <c r="G186" s="1375">
        <f>G182-G185</f>
        <v/>
      </c>
      <c r="H186" s="1375">
        <f>H182-H185</f>
        <v/>
      </c>
      <c r="I186" s="1375">
        <f>I182-I185</f>
        <v/>
      </c>
      <c r="J186" s="1375">
        <f>J182-J185</f>
        <v/>
      </c>
      <c r="K186" s="1458">
        <f>K182-K185</f>
        <v/>
      </c>
      <c r="L186" s="1375">
        <f>L182-L185</f>
        <v/>
      </c>
      <c r="M186" s="1375">
        <f>M182-M185</f>
        <v/>
      </c>
      <c r="N186" s="1375">
        <f>N182-N185</f>
        <v/>
      </c>
      <c r="O186" s="1375">
        <f>O182-O185</f>
        <v/>
      </c>
      <c r="P186" s="1458">
        <f>P182-P185</f>
        <v/>
      </c>
      <c r="Q186" s="1375">
        <f>Q182-Q185</f>
        <v/>
      </c>
      <c r="R186" s="1375">
        <f>R182-R185</f>
        <v/>
      </c>
      <c r="S186" s="1375">
        <f>S182-S185</f>
        <v/>
      </c>
      <c r="T186" s="1375">
        <f>T182-T185</f>
        <v/>
      </c>
      <c r="U186" s="1458">
        <f>U182-U185</f>
        <v/>
      </c>
      <c r="V186" s="1375">
        <f>V182-V185</f>
        <v/>
      </c>
      <c r="W186" s="1375">
        <f>W182-W185</f>
        <v/>
      </c>
      <c r="X186" s="1375">
        <f>X182-X185</f>
        <v/>
      </c>
      <c r="Y186" s="1450">
        <f>Y182-Y185</f>
        <v/>
      </c>
      <c r="Z186" s="1449">
        <f>Z182-Z185</f>
        <v/>
      </c>
      <c r="AA186" s="1375">
        <f>AA182-AA185</f>
        <v/>
      </c>
      <c r="AB186" s="1375">
        <f>AB182-AB185</f>
        <v/>
      </c>
      <c r="AC186" s="1375">
        <f>AC182-AC185</f>
        <v/>
      </c>
      <c r="AD186" s="1450">
        <f>AD182-AD185</f>
        <v/>
      </c>
      <c r="AE186" s="1449">
        <f>AE182-AE185</f>
        <v/>
      </c>
      <c r="AF186" s="1375">
        <f>AF182-AF185</f>
        <v/>
      </c>
      <c r="AG186" s="1375">
        <f>AG182-AG185</f>
        <v/>
      </c>
      <c r="AH186" s="1375">
        <f>AH182-AH185</f>
        <v/>
      </c>
      <c r="AI186" s="1450">
        <f>AI182-AI185</f>
        <v/>
      </c>
      <c r="AJ186" s="1449">
        <f>AJ182-AJ185</f>
        <v/>
      </c>
      <c r="AK186" s="1375">
        <f>AK182-AK185</f>
        <v/>
      </c>
      <c r="AL186" s="1375">
        <f>AL182-AL185</f>
        <v/>
      </c>
      <c r="AM186" s="1375">
        <f>AM182-AM185</f>
        <v/>
      </c>
      <c r="AN186" s="1450">
        <f>AN182-AN185</f>
        <v/>
      </c>
      <c r="AO186" s="1449">
        <f>AO182-AO185</f>
        <v/>
      </c>
      <c r="AP186" s="1375">
        <f>AP182-AP185</f>
        <v/>
      </c>
      <c r="AQ186" s="1375">
        <f>AQ182-AQ185</f>
        <v/>
      </c>
      <c r="AR186" s="1375">
        <f>AR182-AR185</f>
        <v/>
      </c>
      <c r="AS186" s="1450">
        <f>AS182-AS185</f>
        <v/>
      </c>
      <c r="AT186" s="1449">
        <f>AT182-AT185</f>
        <v/>
      </c>
      <c r="AU186" s="1375">
        <f>AU182-AU185</f>
        <v/>
      </c>
      <c r="AV186" s="1375">
        <f>AV182-AV185</f>
        <v/>
      </c>
      <c r="AW186" s="1375">
        <f>AW182-AW185</f>
        <v/>
      </c>
      <c r="AX186" s="1450">
        <f>AX182-AX185</f>
        <v/>
      </c>
      <c r="AY186" s="1449">
        <f>AY182-AY185</f>
        <v/>
      </c>
      <c r="AZ186" s="1375">
        <f>AZ182-AZ185</f>
        <v/>
      </c>
      <c r="BA186" s="1375">
        <f>BA182-BA185</f>
        <v/>
      </c>
      <c r="BB186" s="1375">
        <f>BB182-BB185</f>
        <v/>
      </c>
      <c r="BC186" s="1450">
        <f>BC182-BC185</f>
        <v/>
      </c>
      <c r="BD186" s="1449">
        <f>BD182-BD185</f>
        <v/>
      </c>
      <c r="BE186" s="1375">
        <f>BE182-BE185</f>
        <v/>
      </c>
      <c r="BF186" s="1375">
        <f>BF182-BF185</f>
        <v/>
      </c>
      <c r="BG186" s="1375">
        <f>BG182-BG185</f>
        <v/>
      </c>
      <c r="BH186" s="1450">
        <f>BH182-BH185</f>
        <v/>
      </c>
      <c r="BI186" s="1449">
        <f>BI182-BI185</f>
        <v/>
      </c>
      <c r="BJ186" s="1375">
        <f>BJ182-BJ185</f>
        <v/>
      </c>
      <c r="BK186" s="1375">
        <f>BK182-BK185</f>
        <v/>
      </c>
      <c r="BL186" s="1375">
        <f>BL182-BL185</f>
        <v/>
      </c>
      <c r="BM186" s="1450">
        <f>BM182-BM185</f>
        <v/>
      </c>
      <c r="BN186" s="1449">
        <f>BN182-BN185</f>
        <v/>
      </c>
      <c r="BO186" s="1375">
        <f>BO182-BO185</f>
        <v/>
      </c>
      <c r="BP186" s="1375">
        <f>BP182-BP185</f>
        <v/>
      </c>
      <c r="BQ186" s="1459">
        <f>BQ182-BQ185</f>
        <v/>
      </c>
      <c r="BR186" s="1450" t="n"/>
      <c r="BS186" s="1449" t="n"/>
      <c r="BT186" s="1450" t="n"/>
      <c r="BU186" s="1450" t="n"/>
      <c r="BV186" s="1450" t="n"/>
      <c r="BW186" s="1450" t="n"/>
      <c r="BX186" s="1449" t="n"/>
      <c r="BY186" s="1449" t="n"/>
      <c r="BZ186" s="1449" t="n"/>
      <c r="CA186" s="1449" t="n"/>
      <c r="CB186" s="1375" t="n"/>
    </row>
    <row r="187" hidden="1" outlineLevel="2" ht="14.4" customFormat="1" customHeight="1" s="1372">
      <c r="A187" s="1408" t="inlineStr">
        <is>
          <t>Y/Y Product and Maintenance GAAP Gross Profit growth, %</t>
        </is>
      </c>
      <c r="B187" s="1381" t="n"/>
      <c r="C187" s="1382" t="n"/>
      <c r="D187" s="1383">
        <f>D186/C186-1</f>
        <v/>
      </c>
      <c r="E187" s="1383">
        <f>E186/D186-1</f>
        <v/>
      </c>
      <c r="F187" s="1383">
        <f>F186/E186-1</f>
        <v/>
      </c>
      <c r="G187" s="1384" t="n"/>
      <c r="H187" s="1384" t="n"/>
      <c r="I187" s="1384" t="n"/>
      <c r="J187" s="1384" t="n"/>
      <c r="K187" s="1383">
        <f>K186/F186-1</f>
        <v/>
      </c>
      <c r="L187" s="1385">
        <f>L186/G186-1</f>
        <v/>
      </c>
      <c r="M187" s="1385">
        <f>M186/H186-1</f>
        <v/>
      </c>
      <c r="N187" s="1385">
        <f>N186/I186-1</f>
        <v/>
      </c>
      <c r="O187" s="1385">
        <f>O186/J186-1</f>
        <v/>
      </c>
      <c r="P187" s="1383">
        <f>P186/K186-1</f>
        <v/>
      </c>
      <c r="Q187" s="1385">
        <f>Q186/L186-1</f>
        <v/>
      </c>
      <c r="R187" s="1385">
        <f>R186/M186-1</f>
        <v/>
      </c>
      <c r="S187" s="1385">
        <f>S186/N186-1</f>
        <v/>
      </c>
      <c r="T187" s="1385">
        <f>T186/O186-1</f>
        <v/>
      </c>
      <c r="U187" s="1383">
        <f>U186/P186-1</f>
        <v/>
      </c>
      <c r="V187" s="1385">
        <f>V186/Q186-1</f>
        <v/>
      </c>
      <c r="W187" s="1385">
        <f>W186/R186-1</f>
        <v/>
      </c>
      <c r="X187" s="1385">
        <f>X186/S186-1</f>
        <v/>
      </c>
      <c r="Y187" s="1384">
        <f>Y186/T186-1</f>
        <v/>
      </c>
      <c r="Z187" s="1382">
        <f>Z186/U186-1</f>
        <v/>
      </c>
      <c r="AA187" s="1385">
        <f>AA186/V186-1</f>
        <v/>
      </c>
      <c r="AB187" s="1385">
        <f>AB186/W186-1</f>
        <v/>
      </c>
      <c r="AC187" s="1385">
        <f>AC186/X186-1</f>
        <v/>
      </c>
      <c r="AD187" s="1384">
        <f>AD186/Y186-1</f>
        <v/>
      </c>
      <c r="AE187" s="1382">
        <f>AE186/Z186-1</f>
        <v/>
      </c>
      <c r="AF187" s="1385">
        <f>AF186/AA186-1</f>
        <v/>
      </c>
      <c r="AG187" s="1385">
        <f>AG186/AB186-1</f>
        <v/>
      </c>
      <c r="AH187" s="1385">
        <f>AH186/AC186-1</f>
        <v/>
      </c>
      <c r="AI187" s="1384">
        <f>AI186/AD186-1</f>
        <v/>
      </c>
      <c r="AJ187" s="1382">
        <f>AJ186/AE186-1</f>
        <v/>
      </c>
      <c r="AK187" s="1385">
        <f>AK186/AF186-1</f>
        <v/>
      </c>
      <c r="AL187" s="1385">
        <f>AL186/AG186-1</f>
        <v/>
      </c>
      <c r="AM187" s="1385">
        <f>AM186/AH186-1</f>
        <v/>
      </c>
      <c r="AN187" s="1384">
        <f>AN186/AI186-1</f>
        <v/>
      </c>
      <c r="AO187" s="1382">
        <f>AO186/AJ186-1</f>
        <v/>
      </c>
      <c r="AP187" s="1385">
        <f>AP186/AK186-1</f>
        <v/>
      </c>
      <c r="AQ187" s="1385">
        <f>AQ186/AL186-1</f>
        <v/>
      </c>
      <c r="AR187" s="1385">
        <f>AR186/AM186-1</f>
        <v/>
      </c>
      <c r="AS187" s="1384">
        <f>AS186/AN186-1</f>
        <v/>
      </c>
      <c r="AT187" s="1382">
        <f>AT186/AO186-1</f>
        <v/>
      </c>
      <c r="AU187" s="1385">
        <f>AU186/AP186-1</f>
        <v/>
      </c>
      <c r="AV187" s="1385">
        <f>AV186/AQ186-1</f>
        <v/>
      </c>
      <c r="AW187" s="1385">
        <f>AW186/AR186-1</f>
        <v/>
      </c>
      <c r="AX187" s="1384">
        <f>AX186/AS186-1</f>
        <v/>
      </c>
      <c r="AY187" s="1382">
        <f>AY186/AT186-1</f>
        <v/>
      </c>
      <c r="AZ187" s="1385">
        <f>AZ186/AU186-1</f>
        <v/>
      </c>
      <c r="BA187" s="1385">
        <f>BA186/AV186-1</f>
        <v/>
      </c>
      <c r="BB187" s="1385">
        <f>BB186/AW186-1</f>
        <v/>
      </c>
      <c r="BC187" s="1384">
        <f>BC186/AX186-1</f>
        <v/>
      </c>
      <c r="BD187" s="1382">
        <f>BD186/AY186-1</f>
        <v/>
      </c>
      <c r="BE187" s="1385">
        <f>BE186/AZ186-1</f>
        <v/>
      </c>
      <c r="BF187" s="1385">
        <f>BF186/BA186-1</f>
        <v/>
      </c>
      <c r="BG187" s="1385">
        <f>BG186/BB186-1</f>
        <v/>
      </c>
      <c r="BH187" s="1384">
        <f>BH186/BC186-1</f>
        <v/>
      </c>
      <c r="BI187" s="1382">
        <f>BI186/BD186-1</f>
        <v/>
      </c>
      <c r="BJ187" s="1385">
        <f>BJ186/BE186-1</f>
        <v/>
      </c>
      <c r="BK187" s="1385">
        <f>BK186/BF186-1</f>
        <v/>
      </c>
      <c r="BL187" s="1385">
        <f>BL186/BG186-1</f>
        <v/>
      </c>
      <c r="BM187" s="1384">
        <f>BM186/BH186-1</f>
        <v/>
      </c>
      <c r="BN187" s="1382">
        <f>BN186/BI186-1</f>
        <v/>
      </c>
      <c r="BO187" s="1385">
        <f>BO186/BJ186-1</f>
        <v/>
      </c>
      <c r="BP187" s="1385">
        <f>BP186/BK186-1</f>
        <v/>
      </c>
      <c r="BQ187" s="1397">
        <f>BQ186/BL186-1</f>
        <v/>
      </c>
      <c r="BR187" s="1384" t="n"/>
      <c r="BS187" s="1382" t="n"/>
      <c r="BT187" s="1384" t="n"/>
      <c r="BU187" s="1384" t="n"/>
      <c r="BV187" s="1384" t="n"/>
      <c r="BW187" s="1384" t="n"/>
      <c r="BX187" s="1382" t="n"/>
      <c r="BY187" s="1382" t="n"/>
      <c r="BZ187" s="1382" t="n"/>
      <c r="CA187" s="1382" t="n"/>
      <c r="CB187" s="1375" t="n"/>
    </row>
    <row r="188" hidden="1" outlineLevel="2" ht="14.4" customFormat="1" customHeight="1" s="1460">
      <c r="A188" s="1461" t="inlineStr">
        <is>
          <t>Product and Maintenance GAAP Gross Profit margin, %</t>
        </is>
      </c>
      <c r="B188" s="1462" t="n"/>
      <c r="C188" s="1463">
        <f>C186/C182</f>
        <v/>
      </c>
      <c r="D188" s="1463">
        <f>D186/D182</f>
        <v/>
      </c>
      <c r="E188" s="1464">
        <f>E186/E182</f>
        <v/>
      </c>
      <c r="F188" s="1464">
        <f>F186/F182</f>
        <v/>
      </c>
      <c r="G188" s="1465">
        <f>G186/G182</f>
        <v/>
      </c>
      <c r="H188" s="1465">
        <f>H186/H182</f>
        <v/>
      </c>
      <c r="I188" s="1465">
        <f>I186/I182</f>
        <v/>
      </c>
      <c r="J188" s="1465">
        <f>J186/J182</f>
        <v/>
      </c>
      <c r="K188" s="1464">
        <f>K186/K182</f>
        <v/>
      </c>
      <c r="L188" s="1465">
        <f>L186/L182</f>
        <v/>
      </c>
      <c r="M188" s="1465">
        <f>M186/M182</f>
        <v/>
      </c>
      <c r="N188" s="1465">
        <f>N186/N182</f>
        <v/>
      </c>
      <c r="O188" s="1465">
        <f>O186/O182</f>
        <v/>
      </c>
      <c r="P188" s="1464">
        <f>P186/P182</f>
        <v/>
      </c>
      <c r="Q188" s="1465">
        <f>Q186/Q182</f>
        <v/>
      </c>
      <c r="R188" s="1465">
        <f>R186/R182</f>
        <v/>
      </c>
      <c r="S188" s="1465">
        <f>S186/S182</f>
        <v/>
      </c>
      <c r="T188" s="1465">
        <f>T186/T182</f>
        <v/>
      </c>
      <c r="U188" s="1464">
        <f>U186/U182</f>
        <v/>
      </c>
      <c r="V188" s="1465">
        <f>V186/V182</f>
        <v/>
      </c>
      <c r="W188" s="1465">
        <f>W186/W182</f>
        <v/>
      </c>
      <c r="X188" s="1465">
        <f>X186/X182</f>
        <v/>
      </c>
      <c r="Y188" s="1466">
        <f>Y186/Y182</f>
        <v/>
      </c>
      <c r="Z188" s="1463">
        <f>Z186/Z182</f>
        <v/>
      </c>
      <c r="AA188" s="1465">
        <f>AA186/AA182</f>
        <v/>
      </c>
      <c r="AB188" s="1465">
        <f>AB186/AB182</f>
        <v/>
      </c>
      <c r="AC188" s="1465">
        <f>AC186/AC182</f>
        <v/>
      </c>
      <c r="AD188" s="1466">
        <f>AD186/AD182</f>
        <v/>
      </c>
      <c r="AE188" s="1463">
        <f>AE186/AE182</f>
        <v/>
      </c>
      <c r="AF188" s="1465">
        <f>AF186/AF182</f>
        <v/>
      </c>
      <c r="AG188" s="1465">
        <f>AG186/AG182</f>
        <v/>
      </c>
      <c r="AH188" s="1465">
        <f>AH186/AH182</f>
        <v/>
      </c>
      <c r="AI188" s="1466">
        <f>AI186/AI182</f>
        <v/>
      </c>
      <c r="AJ188" s="1463">
        <f>AJ186/AJ182</f>
        <v/>
      </c>
      <c r="AK188" s="1465">
        <f>AK186/AK182</f>
        <v/>
      </c>
      <c r="AL188" s="1465">
        <f>AL186/AL182</f>
        <v/>
      </c>
      <c r="AM188" s="1465">
        <f>AM186/AM182</f>
        <v/>
      </c>
      <c r="AN188" s="1466">
        <f>AN186/AN182</f>
        <v/>
      </c>
      <c r="AO188" s="1463">
        <f>AO186/AO182</f>
        <v/>
      </c>
      <c r="AP188" s="1465">
        <f>AP186/AP182</f>
        <v/>
      </c>
      <c r="AQ188" s="1465">
        <f>AQ186/AQ182</f>
        <v/>
      </c>
      <c r="AR188" s="1465">
        <f>AR186/AR182</f>
        <v/>
      </c>
      <c r="AS188" s="1466">
        <f>AS186/AS182</f>
        <v/>
      </c>
      <c r="AT188" s="1463">
        <f>AT186/AT182</f>
        <v/>
      </c>
      <c r="AU188" s="1465">
        <f>AU186/AU182</f>
        <v/>
      </c>
      <c r="AV188" s="1465">
        <f>AV186/AV182</f>
        <v/>
      </c>
      <c r="AW188" s="1465">
        <f>AW186/AW182</f>
        <v/>
      </c>
      <c r="AX188" s="1466">
        <f>AX186/AX182</f>
        <v/>
      </c>
      <c r="AY188" s="1463">
        <f>AY186/AY182</f>
        <v/>
      </c>
      <c r="AZ188" s="1465">
        <f>AZ186/AZ182</f>
        <v/>
      </c>
      <c r="BA188" s="1465">
        <f>BA186/BA182</f>
        <v/>
      </c>
      <c r="BB188" s="1465">
        <f>BB186/BB182</f>
        <v/>
      </c>
      <c r="BC188" s="1466">
        <f>BC186/BC182</f>
        <v/>
      </c>
      <c r="BD188" s="1463">
        <f>BD186/BD182</f>
        <v/>
      </c>
      <c r="BE188" s="1465">
        <f>BE186/BE182</f>
        <v/>
      </c>
      <c r="BF188" s="1465">
        <f>BF186/BF182</f>
        <v/>
      </c>
      <c r="BG188" s="1465">
        <f>BG186/BG182</f>
        <v/>
      </c>
      <c r="BH188" s="1466">
        <f>BH186/BH182</f>
        <v/>
      </c>
      <c r="BI188" s="1463">
        <f>BI186/BI182</f>
        <v/>
      </c>
      <c r="BJ188" s="1465">
        <f>BJ186/BJ182</f>
        <v/>
      </c>
      <c r="BK188" s="1465">
        <f>BK186/BK182</f>
        <v/>
      </c>
      <c r="BL188" s="1465">
        <f>BL186/BL182</f>
        <v/>
      </c>
      <c r="BM188" s="1466">
        <f>BM186/BM182</f>
        <v/>
      </c>
      <c r="BN188" s="1463">
        <f>BN186/BN182</f>
        <v/>
      </c>
      <c r="BO188" s="1465">
        <f>BO186/BO182</f>
        <v/>
      </c>
      <c r="BP188" s="1465">
        <f>BP186/BP182</f>
        <v/>
      </c>
      <c r="BQ188" s="1467">
        <f>BQ186/BQ182</f>
        <v/>
      </c>
      <c r="BR188" s="1466" t="n"/>
      <c r="BS188" s="1463" t="n"/>
      <c r="BT188" s="1466" t="n"/>
      <c r="BU188" s="1466" t="n"/>
      <c r="BV188" s="1466" t="n"/>
      <c r="BW188" s="1466" t="n"/>
      <c r="BX188" s="1463" t="n"/>
      <c r="BY188" s="1463" t="n"/>
      <c r="BZ188" s="1463" t="n"/>
      <c r="CA188" s="1463" t="n"/>
      <c r="CB188" s="1465" t="n"/>
    </row>
    <row r="189" hidden="1" outlineLevel="2" ht="14.4" customFormat="1" customHeight="1" s="1460">
      <c r="A189" s="1468" t="inlineStr">
        <is>
          <t>Y/Y Product and Maintenance GAAP Gross Profit margin improvement, bps</t>
        </is>
      </c>
      <c r="B189" s="1462" t="n"/>
      <c r="C189" s="1469" t="n"/>
      <c r="D189" s="1469">
        <f>(D188-C188)*10000</f>
        <v/>
      </c>
      <c r="E189" s="1470">
        <f>(E188-D188)*10000</f>
        <v/>
      </c>
      <c r="F189" s="1470">
        <f>(F188-E188)*10000</f>
        <v/>
      </c>
      <c r="G189" s="1471" t="n"/>
      <c r="H189" s="1471" t="n"/>
      <c r="I189" s="1471" t="n"/>
      <c r="J189" s="1471" t="n"/>
      <c r="K189" s="1470">
        <f>(K188-F188)*10000</f>
        <v/>
      </c>
      <c r="L189" s="1472">
        <f>(L188-G188)*10000</f>
        <v/>
      </c>
      <c r="M189" s="1472">
        <f>(M188-H188)*10000</f>
        <v/>
      </c>
      <c r="N189" s="1472">
        <f>(N188-I188)*10000</f>
        <v/>
      </c>
      <c r="O189" s="1472">
        <f>(O188-J188)*10000</f>
        <v/>
      </c>
      <c r="P189" s="1470">
        <f>(P188-K188)*10000</f>
        <v/>
      </c>
      <c r="Q189" s="1472">
        <f>(Q188-L188)*10000</f>
        <v/>
      </c>
      <c r="R189" s="1472">
        <f>(R188-M188)*10000</f>
        <v/>
      </c>
      <c r="S189" s="1472">
        <f>(S188-N188)*10000</f>
        <v/>
      </c>
      <c r="T189" s="1472">
        <f>(T188-O188)*10000</f>
        <v/>
      </c>
      <c r="U189" s="1470">
        <f>(U188-P188)*10000</f>
        <v/>
      </c>
      <c r="V189" s="1472">
        <f>(V188-Q188)*10000</f>
        <v/>
      </c>
      <c r="W189" s="1472">
        <f>(W188-R188)*10000</f>
        <v/>
      </c>
      <c r="X189" s="1472">
        <f>(X188-S188)*10000</f>
        <v/>
      </c>
      <c r="Y189" s="1471">
        <f>(Y188-T188)*10000</f>
        <v/>
      </c>
      <c r="Z189" s="1469">
        <f>(Z188-U188)*10000</f>
        <v/>
      </c>
      <c r="AA189" s="1472">
        <f>(AA188-V188)*10000</f>
        <v/>
      </c>
      <c r="AB189" s="1472">
        <f>(AB188-W188)*10000</f>
        <v/>
      </c>
      <c r="AC189" s="1472">
        <f>(AC188-X188)*10000</f>
        <v/>
      </c>
      <c r="AD189" s="1471">
        <f>(AD188-Y188)*10000</f>
        <v/>
      </c>
      <c r="AE189" s="1469">
        <f>(AE188-Z188)*10000</f>
        <v/>
      </c>
      <c r="AF189" s="1472">
        <f>(AF188-AA188)*10000</f>
        <v/>
      </c>
      <c r="AG189" s="1472">
        <f>(AG188-AB188)*10000</f>
        <v/>
      </c>
      <c r="AH189" s="1472">
        <f>(AH188-AC188)*10000</f>
        <v/>
      </c>
      <c r="AI189" s="1471">
        <f>(AI188-AD188)*10000</f>
        <v/>
      </c>
      <c r="AJ189" s="1469">
        <f>(AJ188-AE188)*10000</f>
        <v/>
      </c>
      <c r="AK189" s="1472">
        <f>(AK188-AF188)*10000</f>
        <v/>
      </c>
      <c r="AL189" s="1472">
        <f>(AL188-AG188)*10000</f>
        <v/>
      </c>
      <c r="AM189" s="1472">
        <f>(AM188-AH188)*10000</f>
        <v/>
      </c>
      <c r="AN189" s="1471">
        <f>(AN188-AI188)*10000</f>
        <v/>
      </c>
      <c r="AO189" s="1469">
        <f>(AO188-AJ188)*10000</f>
        <v/>
      </c>
      <c r="AP189" s="1472">
        <f>(AP188-AK188)*10000</f>
        <v/>
      </c>
      <c r="AQ189" s="1472">
        <f>(AQ188-AL188)*10000</f>
        <v/>
      </c>
      <c r="AR189" s="1472">
        <f>(AR188-AM188)*10000</f>
        <v/>
      </c>
      <c r="AS189" s="1471">
        <f>(AS188-AN188)*10000</f>
        <v/>
      </c>
      <c r="AT189" s="1469">
        <f>(AT188-AO188)*10000</f>
        <v/>
      </c>
      <c r="AU189" s="1472">
        <f>(AU188-AP188)*10000</f>
        <v/>
      </c>
      <c r="AV189" s="1472">
        <f>(AV188-AQ188)*10000</f>
        <v/>
      </c>
      <c r="AW189" s="1472">
        <f>(AW188-AR188)*10000</f>
        <v/>
      </c>
      <c r="AX189" s="1471">
        <f>(AX188-AS188)*10000</f>
        <v/>
      </c>
      <c r="AY189" s="1469">
        <f>(AY188-AT188)*10000</f>
        <v/>
      </c>
      <c r="AZ189" s="1472">
        <f>(AZ188-AU188)*10000</f>
        <v/>
      </c>
      <c r="BA189" s="1472">
        <f>(BA188-AV188)*10000</f>
        <v/>
      </c>
      <c r="BB189" s="1472">
        <f>(BB188-AW188)*10000</f>
        <v/>
      </c>
      <c r="BC189" s="1471">
        <f>(BC188-AX188)*10000</f>
        <v/>
      </c>
      <c r="BD189" s="1469">
        <f>(BD188-AY188)*10000</f>
        <v/>
      </c>
      <c r="BE189" s="1472">
        <f>(BE188-AZ188)*10000</f>
        <v/>
      </c>
      <c r="BF189" s="1472">
        <f>(BF188-BA188)*10000</f>
        <v/>
      </c>
      <c r="BG189" s="1472">
        <f>(BG188-BB188)*10000</f>
        <v/>
      </c>
      <c r="BH189" s="1471">
        <f>(BH188-BC188)*10000</f>
        <v/>
      </c>
      <c r="BI189" s="1469">
        <f>(BI188-BD188)*10000</f>
        <v/>
      </c>
      <c r="BJ189" s="1472">
        <f>(BJ188-BE188)*10000</f>
        <v/>
      </c>
      <c r="BK189" s="1472">
        <f>(BK188-BF188)*10000</f>
        <v/>
      </c>
      <c r="BL189" s="1472">
        <f>(BL188-BG188)*10000</f>
        <v/>
      </c>
      <c r="BM189" s="1471">
        <f>(BM188-BH188)*10000</f>
        <v/>
      </c>
      <c r="BN189" s="1469">
        <f>(BN188-BI188)*10000</f>
        <v/>
      </c>
      <c r="BO189" s="1472">
        <f>(BO188-BJ188)*10000</f>
        <v/>
      </c>
      <c r="BP189" s="1472">
        <f>(BP188-BK188)*10000</f>
        <v/>
      </c>
      <c r="BQ189" s="1473">
        <f>(BQ188-BL188)*10000</f>
        <v/>
      </c>
      <c r="BR189" s="1471" t="n"/>
      <c r="BS189" s="1469" t="n"/>
      <c r="BT189" s="1471" t="n"/>
      <c r="BU189" s="1471" t="n"/>
      <c r="BV189" s="1471" t="n"/>
      <c r="BW189" s="1471" t="n"/>
      <c r="BX189" s="1469" t="n"/>
      <c r="BY189" s="1469" t="n"/>
      <c r="BZ189" s="1469" t="n"/>
      <c r="CA189" s="1469" t="n"/>
      <c r="CB189" s="1465" t="n"/>
    </row>
    <row r="190" hidden="1" outlineLevel="2" ht="14.4" customFormat="1" customHeight="1" s="1359">
      <c r="A190" s="1474" t="n"/>
      <c r="B190" s="1377" t="n"/>
      <c r="C190" s="1379" t="n"/>
      <c r="D190" s="1379" t="n"/>
      <c r="E190" s="1379" t="n"/>
      <c r="F190" s="1379" t="n"/>
      <c r="G190" s="1361" t="n"/>
      <c r="H190" s="1361" t="n"/>
      <c r="I190" s="1361" t="n"/>
      <c r="J190" s="1361" t="n"/>
      <c r="K190" s="1379" t="n"/>
      <c r="L190" s="1361" t="n"/>
      <c r="M190" s="1361" t="n"/>
      <c r="N190" s="1361" t="n"/>
      <c r="O190" s="1361" t="n"/>
      <c r="P190" s="1379" t="n"/>
      <c r="Q190" s="1361" t="n"/>
      <c r="R190" s="1361" t="n"/>
      <c r="S190" s="1361" t="n"/>
      <c r="T190" s="1361" t="n"/>
      <c r="U190" s="1379" t="n"/>
      <c r="V190" s="1361" t="n"/>
      <c r="W190" s="1361" t="n"/>
      <c r="X190" s="1361" t="n"/>
      <c r="Y190" s="1361" t="n"/>
      <c r="Z190" s="1379" t="n"/>
      <c r="AA190" s="1361" t="n"/>
      <c r="AB190" s="1361" t="n"/>
      <c r="AC190" s="1361" t="n"/>
      <c r="AD190" s="1361" t="n"/>
      <c r="AE190" s="1379" t="n"/>
      <c r="AF190" s="1361" t="n"/>
      <c r="AG190" s="1361" t="n"/>
      <c r="AH190" s="1361" t="n"/>
      <c r="AI190" s="1361" t="n"/>
      <c r="AJ190" s="1379" t="n"/>
      <c r="AK190" s="1361" t="n"/>
      <c r="AL190" s="1361" t="n"/>
      <c r="AM190" s="1361" t="n"/>
      <c r="AN190" s="1361" t="n"/>
      <c r="AO190" s="1379" t="n"/>
      <c r="AP190" s="1361" t="n"/>
      <c r="AQ190" s="1361" t="n"/>
      <c r="AR190" s="1361" t="n"/>
      <c r="AS190" s="1361" t="n"/>
      <c r="AT190" s="1379" t="n"/>
      <c r="AU190" s="1361" t="n"/>
      <c r="AV190" s="1361" t="n"/>
      <c r="AW190" s="1361" t="n"/>
      <c r="AX190" s="1361" t="n"/>
      <c r="AY190" s="1379" t="n"/>
      <c r="AZ190" s="1361" t="n"/>
      <c r="BA190" s="1361" t="n"/>
      <c r="BB190" s="1361" t="n"/>
      <c r="BC190" s="1361" t="n"/>
      <c r="BD190" s="1379" t="n"/>
      <c r="BE190" s="1361" t="n"/>
      <c r="BF190" s="1361" t="n"/>
      <c r="BG190" s="1361" t="n"/>
      <c r="BH190" s="1361" t="n"/>
      <c r="BI190" s="1379" t="n"/>
      <c r="BJ190" s="1361" t="n"/>
      <c r="BK190" s="1361" t="n"/>
      <c r="BL190" s="1361" t="n"/>
      <c r="BM190" s="1361" t="n"/>
      <c r="BN190" s="1379" t="n"/>
      <c r="BO190" s="1361" t="n"/>
      <c r="BP190" s="1361" t="n"/>
      <c r="BQ190" s="1363" t="n"/>
      <c r="BR190" s="1361" t="n"/>
      <c r="BS190" s="1379" t="n"/>
      <c r="BT190" s="1361" t="n"/>
      <c r="BU190" s="1361" t="n"/>
      <c r="BV190" s="1361" t="n"/>
      <c r="BW190" s="1361" t="n"/>
      <c r="BX190" s="1379" t="n"/>
      <c r="BY190" s="1379" t="n"/>
      <c r="BZ190" s="1379" t="n"/>
      <c r="CA190" s="1379" t="n"/>
      <c r="CB190" s="1364" t="n"/>
    </row>
    <row r="191" hidden="1" outlineLevel="2" ht="14.4" customFormat="1" customHeight="1" s="1359">
      <c r="A191" s="1474" t="inlineStr">
        <is>
          <t>Product and Maintenance SBC COGS, mm</t>
        </is>
      </c>
      <c r="B191" s="1377" t="n"/>
      <c r="C191" s="1379" t="n"/>
      <c r="D191" s="1379">
        <f>-D394</f>
        <v/>
      </c>
      <c r="E191" s="1379">
        <f>-E394</f>
        <v/>
      </c>
      <c r="F191" s="1379">
        <f>-F394</f>
        <v/>
      </c>
      <c r="G191" s="1361">
        <f>-G394</f>
        <v/>
      </c>
      <c r="H191" s="1361">
        <f>-H394</f>
        <v/>
      </c>
      <c r="I191" s="1361">
        <f>-I394</f>
        <v/>
      </c>
      <c r="J191" s="1361">
        <f>-J394</f>
        <v/>
      </c>
      <c r="K191" s="1379">
        <f>-K394</f>
        <v/>
      </c>
      <c r="L191" s="1361">
        <f>-L394</f>
        <v/>
      </c>
      <c r="M191" s="1361">
        <f>-M394</f>
        <v/>
      </c>
      <c r="N191" s="1361">
        <f>-N394</f>
        <v/>
      </c>
      <c r="O191" s="1361">
        <f>-O394</f>
        <v/>
      </c>
      <c r="P191" s="1379">
        <f>-P394</f>
        <v/>
      </c>
      <c r="Q191" s="1361">
        <f>-Q394</f>
        <v/>
      </c>
      <c r="R191" s="1361">
        <f>-R394</f>
        <v/>
      </c>
      <c r="S191" s="1361">
        <f>-S394</f>
        <v/>
      </c>
      <c r="T191" s="1361">
        <f>-T394</f>
        <v/>
      </c>
      <c r="U191" s="1379">
        <f>-U394</f>
        <v/>
      </c>
      <c r="V191" s="1361">
        <f>-V394</f>
        <v/>
      </c>
      <c r="W191" s="1361">
        <f>-W394</f>
        <v/>
      </c>
      <c r="X191" s="1361">
        <f>-X394</f>
        <v/>
      </c>
      <c r="Y191" s="1361">
        <f>-Y394</f>
        <v/>
      </c>
      <c r="Z191" s="1379">
        <f>-Z394</f>
        <v/>
      </c>
      <c r="AA191" s="1361">
        <f>-AA394</f>
        <v/>
      </c>
      <c r="AB191" s="1361">
        <f>-AB394</f>
        <v/>
      </c>
      <c r="AC191" s="1361">
        <f>-AC394</f>
        <v/>
      </c>
      <c r="AD191" s="1361">
        <f>-AD394</f>
        <v/>
      </c>
      <c r="AE191" s="1379">
        <f>-AE394</f>
        <v/>
      </c>
      <c r="AF191" s="1361">
        <f>-AF394</f>
        <v/>
      </c>
      <c r="AG191" s="1361">
        <f>-AG394</f>
        <v/>
      </c>
      <c r="AH191" s="1361">
        <f>-AH394</f>
        <v/>
      </c>
      <c r="AI191" s="1361">
        <f>-AI394</f>
        <v/>
      </c>
      <c r="AJ191" s="1379">
        <f>-AJ394</f>
        <v/>
      </c>
      <c r="AK191" s="1361">
        <f>-AK394</f>
        <v/>
      </c>
      <c r="AL191" s="1361">
        <f>-AL394</f>
        <v/>
      </c>
      <c r="AM191" s="1361">
        <f>-AM394</f>
        <v/>
      </c>
      <c r="AN191" s="1361">
        <f>-AN394</f>
        <v/>
      </c>
      <c r="AO191" s="1379">
        <f>-AO394</f>
        <v/>
      </c>
      <c r="AP191" s="1361">
        <f>-AP394</f>
        <v/>
      </c>
      <c r="AQ191" s="1361">
        <f>-AQ394</f>
        <v/>
      </c>
      <c r="AR191" s="1361">
        <f>-AR394</f>
        <v/>
      </c>
      <c r="AS191" s="1361">
        <f>-AS394</f>
        <v/>
      </c>
      <c r="AT191" s="1379">
        <f>-AT394</f>
        <v/>
      </c>
      <c r="AU191" s="1361">
        <f>-AU394</f>
        <v/>
      </c>
      <c r="AV191" s="1361">
        <f>-AV394</f>
        <v/>
      </c>
      <c r="AW191" s="1361">
        <f>-AW394</f>
        <v/>
      </c>
      <c r="AX191" s="1361">
        <f>-AX394</f>
        <v/>
      </c>
      <c r="AY191" s="1379">
        <f>-AY394</f>
        <v/>
      </c>
      <c r="AZ191" s="1361">
        <f>-AZ394</f>
        <v/>
      </c>
      <c r="BA191" s="1361">
        <f>-BA394</f>
        <v/>
      </c>
      <c r="BB191" s="1361">
        <f>-BB394</f>
        <v/>
      </c>
      <c r="BC191" s="1361">
        <f>-BC394</f>
        <v/>
      </c>
      <c r="BD191" s="1379">
        <f>-BD394</f>
        <v/>
      </c>
      <c r="BE191" s="1361">
        <f>-BE394</f>
        <v/>
      </c>
      <c r="BF191" s="1361">
        <f>-BF394</f>
        <v/>
      </c>
      <c r="BG191" s="1361">
        <f>-BG394</f>
        <v/>
      </c>
      <c r="BH191" s="1361">
        <f>-BH394</f>
        <v/>
      </c>
      <c r="BI191" s="1379">
        <f>-BI394</f>
        <v/>
      </c>
      <c r="BJ191" s="1361">
        <f>-BJ394</f>
        <v/>
      </c>
      <c r="BK191" s="1361">
        <f>-BK394</f>
        <v/>
      </c>
      <c r="BL191" s="1361">
        <f>-BL394</f>
        <v/>
      </c>
      <c r="BM191" s="1361">
        <f>-BM394</f>
        <v/>
      </c>
      <c r="BN191" s="1379">
        <f>-BN394</f>
        <v/>
      </c>
      <c r="BO191" s="1361">
        <f>-BO394</f>
        <v/>
      </c>
      <c r="BP191" s="1361">
        <f>-BP394</f>
        <v/>
      </c>
      <c r="BQ191" s="1363">
        <f>-BQ394</f>
        <v/>
      </c>
      <c r="BR191" s="1361" t="n"/>
      <c r="BS191" s="1379" t="n"/>
      <c r="BT191" s="1361" t="n"/>
      <c r="BU191" s="1361" t="n"/>
      <c r="BV191" s="1361" t="n"/>
      <c r="BW191" s="1361" t="n"/>
      <c r="BX191" s="1379" t="n"/>
      <c r="BY191" s="1379" t="n"/>
      <c r="BZ191" s="1379" t="n"/>
      <c r="CA191" s="1379" t="n"/>
      <c r="CB191" s="1364" t="n"/>
    </row>
    <row r="192" hidden="1" outlineLevel="2" ht="14.4" customFormat="1" customHeight="1" s="1475">
      <c r="A192" s="1476" t="inlineStr">
        <is>
          <t>Product and Maintenance SBC COGS as a % of revenue, %</t>
        </is>
      </c>
      <c r="B192" s="1477" t="n"/>
      <c r="C192" s="1382" t="n"/>
      <c r="D192" s="1382">
        <f>D191/D182</f>
        <v/>
      </c>
      <c r="E192" s="1382">
        <f>E191/E182</f>
        <v/>
      </c>
      <c r="F192" s="1382">
        <f>F191/F182</f>
        <v/>
      </c>
      <c r="G192" s="1384">
        <f>G191/G182</f>
        <v/>
      </c>
      <c r="H192" s="1384">
        <f>H191/H182</f>
        <v/>
      </c>
      <c r="I192" s="1384">
        <f>I191/I182</f>
        <v/>
      </c>
      <c r="J192" s="1384">
        <f>J191/J182</f>
        <v/>
      </c>
      <c r="K192" s="1382">
        <f>K191/K182</f>
        <v/>
      </c>
      <c r="L192" s="1384">
        <f>L191/L182</f>
        <v/>
      </c>
      <c r="M192" s="1384">
        <f>M191/M182</f>
        <v/>
      </c>
      <c r="N192" s="1384">
        <f>N191/N182</f>
        <v/>
      </c>
      <c r="O192" s="1384">
        <f>O191/O182</f>
        <v/>
      </c>
      <c r="P192" s="1382">
        <f>P191/P182</f>
        <v/>
      </c>
      <c r="Q192" s="1384">
        <f>Q191/Q182</f>
        <v/>
      </c>
      <c r="R192" s="1384">
        <f>R191/R182</f>
        <v/>
      </c>
      <c r="S192" s="1384">
        <f>S191/S182</f>
        <v/>
      </c>
      <c r="T192" s="1384">
        <f>T191/T182</f>
        <v/>
      </c>
      <c r="U192" s="1382">
        <f>U191/U182</f>
        <v/>
      </c>
      <c r="V192" s="1384">
        <f>V191/V182</f>
        <v/>
      </c>
      <c r="W192" s="1384">
        <f>W191/W182</f>
        <v/>
      </c>
      <c r="X192" s="1384">
        <f>X191/X182</f>
        <v/>
      </c>
      <c r="Y192" s="1384">
        <f>Y191/Y182</f>
        <v/>
      </c>
      <c r="Z192" s="1382">
        <f>Z191/Z182</f>
        <v/>
      </c>
      <c r="AA192" s="1384">
        <f>AA191/AA182</f>
        <v/>
      </c>
      <c r="AB192" s="1384">
        <f>AB191/AB182</f>
        <v/>
      </c>
      <c r="AC192" s="1384">
        <f>AC191/AC182</f>
        <v/>
      </c>
      <c r="AD192" s="1384">
        <f>AD191/AD182</f>
        <v/>
      </c>
      <c r="AE192" s="1382">
        <f>AE191/AE182</f>
        <v/>
      </c>
      <c r="AF192" s="1384">
        <f>AF191/AF182</f>
        <v/>
      </c>
      <c r="AG192" s="1384">
        <f>AG191/AG182</f>
        <v/>
      </c>
      <c r="AH192" s="1384">
        <f>AH191/AH182</f>
        <v/>
      </c>
      <c r="AI192" s="1384">
        <f>AI191/AI182</f>
        <v/>
      </c>
      <c r="AJ192" s="1382">
        <f>AJ191/AJ182</f>
        <v/>
      </c>
      <c r="AK192" s="1384">
        <f>AK191/AK182</f>
        <v/>
      </c>
      <c r="AL192" s="1384">
        <f>AL191/AL182</f>
        <v/>
      </c>
      <c r="AM192" s="1384">
        <f>AM191/AM182</f>
        <v/>
      </c>
      <c r="AN192" s="1384">
        <f>AN191/AN182</f>
        <v/>
      </c>
      <c r="AO192" s="1382">
        <f>AO191/AO182</f>
        <v/>
      </c>
      <c r="AP192" s="1384">
        <f>AP191/AP182</f>
        <v/>
      </c>
      <c r="AQ192" s="1384">
        <f>AQ191/AQ182</f>
        <v/>
      </c>
      <c r="AR192" s="1384">
        <f>AR191/AR182</f>
        <v/>
      </c>
      <c r="AS192" s="1384">
        <f>AS191/AS182</f>
        <v/>
      </c>
      <c r="AT192" s="1382">
        <f>AT191/AT182</f>
        <v/>
      </c>
      <c r="AU192" s="1384">
        <f>AU191/AU182</f>
        <v/>
      </c>
      <c r="AV192" s="1384">
        <f>AV191/AV182</f>
        <v/>
      </c>
      <c r="AW192" s="1384">
        <f>AW191/AW182</f>
        <v/>
      </c>
      <c r="AX192" s="1384">
        <f>AX191/AX182</f>
        <v/>
      </c>
      <c r="AY192" s="1382">
        <f>AY191/AY182</f>
        <v/>
      </c>
      <c r="AZ192" s="1384">
        <f>AZ191/AZ182</f>
        <v/>
      </c>
      <c r="BA192" s="1384">
        <f>BA191/BA182</f>
        <v/>
      </c>
      <c r="BB192" s="1384">
        <f>BB191/BB182</f>
        <v/>
      </c>
      <c r="BC192" s="1384">
        <f>BC191/BC182</f>
        <v/>
      </c>
      <c r="BD192" s="1382">
        <f>BD191/BD182</f>
        <v/>
      </c>
      <c r="BE192" s="1384">
        <f>BE191/BE182</f>
        <v/>
      </c>
      <c r="BF192" s="1384">
        <f>BF191/BF182</f>
        <v/>
      </c>
      <c r="BG192" s="1384">
        <f>BG191/BG182</f>
        <v/>
      </c>
      <c r="BH192" s="1384">
        <f>BH191/BH182</f>
        <v/>
      </c>
      <c r="BI192" s="1382">
        <f>BI191/BI182</f>
        <v/>
      </c>
      <c r="BJ192" s="1384">
        <f>BJ191/BJ182</f>
        <v/>
      </c>
      <c r="BK192" s="1384">
        <f>BK191/BK182</f>
        <v/>
      </c>
      <c r="BL192" s="1384">
        <f>BL191/BL182</f>
        <v/>
      </c>
      <c r="BM192" s="1384">
        <f>BM191/BM182</f>
        <v/>
      </c>
      <c r="BN192" s="1382">
        <f>BN191/BN182</f>
        <v/>
      </c>
      <c r="BO192" s="1384">
        <f>BO191/BO182</f>
        <v/>
      </c>
      <c r="BP192" s="1384">
        <f>BP191/BP182</f>
        <v/>
      </c>
      <c r="BQ192" s="1386">
        <f>BQ191/BQ182</f>
        <v/>
      </c>
      <c r="BR192" s="1384" t="n"/>
      <c r="BS192" s="1382" t="n"/>
      <c r="BT192" s="1384" t="n"/>
      <c r="BU192" s="1384" t="n"/>
      <c r="BV192" s="1384" t="n"/>
      <c r="BW192" s="1384" t="n"/>
      <c r="BX192" s="1382" t="n"/>
      <c r="BY192" s="1382" t="n"/>
      <c r="BZ192" s="1382" t="n"/>
      <c r="CA192" s="1382" t="n"/>
      <c r="CB192" s="1385" t="n"/>
    </row>
    <row r="193" hidden="1" outlineLevel="2" ht="14.4" customFormat="1" customHeight="1" s="1359">
      <c r="A193" s="1394" t="inlineStr">
        <is>
          <t>Product and Maintenance Intangible amortization COGS, mm</t>
        </is>
      </c>
      <c r="B193" s="1377" t="n"/>
      <c r="C193" s="1379" t="n"/>
      <c r="D193" s="1379">
        <f>-D393</f>
        <v/>
      </c>
      <c r="E193" s="1379">
        <f>-E393</f>
        <v/>
      </c>
      <c r="F193" s="1379">
        <f>-F393</f>
        <v/>
      </c>
      <c r="G193" s="1364">
        <f>-G393</f>
        <v/>
      </c>
      <c r="H193" s="1364">
        <f>-H393</f>
        <v/>
      </c>
      <c r="I193" s="1364">
        <f>-I393</f>
        <v/>
      </c>
      <c r="J193" s="1364">
        <f>-J393</f>
        <v/>
      </c>
      <c r="K193" s="1378">
        <f>-K393</f>
        <v/>
      </c>
      <c r="L193" s="1364">
        <f>-L393</f>
        <v/>
      </c>
      <c r="M193" s="1364">
        <f>-M393</f>
        <v/>
      </c>
      <c r="N193" s="1364">
        <f>-N393</f>
        <v/>
      </c>
      <c r="O193" s="1364">
        <f>-O393</f>
        <v/>
      </c>
      <c r="P193" s="1378">
        <f>-P393</f>
        <v/>
      </c>
      <c r="Q193" s="1364">
        <f>-Q393</f>
        <v/>
      </c>
      <c r="R193" s="1364">
        <f>-R393</f>
        <v/>
      </c>
      <c r="S193" s="1364">
        <f>-S393</f>
        <v/>
      </c>
      <c r="T193" s="1364">
        <f>-T393</f>
        <v/>
      </c>
      <c r="U193" s="1378">
        <f>-U393</f>
        <v/>
      </c>
      <c r="V193" s="1364">
        <f>-V393</f>
        <v/>
      </c>
      <c r="W193" s="1364">
        <f>-W393</f>
        <v/>
      </c>
      <c r="X193" s="1364">
        <f>-X393</f>
        <v/>
      </c>
      <c r="Y193" s="1361">
        <f>-Y393</f>
        <v/>
      </c>
      <c r="Z193" s="1379">
        <f>-Z393</f>
        <v/>
      </c>
      <c r="AA193" s="1364">
        <f>-AA393</f>
        <v/>
      </c>
      <c r="AB193" s="1364">
        <f>-AB393</f>
        <v/>
      </c>
      <c r="AC193" s="1364">
        <f>-AC393</f>
        <v/>
      </c>
      <c r="AD193" s="1361">
        <f>-AD393</f>
        <v/>
      </c>
      <c r="AE193" s="1379">
        <f>-AE393</f>
        <v/>
      </c>
      <c r="AF193" s="1364">
        <f>-AF393</f>
        <v/>
      </c>
      <c r="AG193" s="1364">
        <f>-AG393</f>
        <v/>
      </c>
      <c r="AH193" s="1364">
        <f>-AH393</f>
        <v/>
      </c>
      <c r="AI193" s="1361">
        <f>-AI393</f>
        <v/>
      </c>
      <c r="AJ193" s="1379">
        <f>-AJ393</f>
        <v/>
      </c>
      <c r="AK193" s="1364">
        <f>-AK393</f>
        <v/>
      </c>
      <c r="AL193" s="1364">
        <f>-AL393</f>
        <v/>
      </c>
      <c r="AM193" s="1364">
        <f>-AM393</f>
        <v/>
      </c>
      <c r="AN193" s="1361">
        <f>-AN393</f>
        <v/>
      </c>
      <c r="AO193" s="1379">
        <f>-AO393</f>
        <v/>
      </c>
      <c r="AP193" s="1364">
        <f>-AP393</f>
        <v/>
      </c>
      <c r="AQ193" s="1364">
        <f>-AQ393</f>
        <v/>
      </c>
      <c r="AR193" s="1364">
        <f>-AR393</f>
        <v/>
      </c>
      <c r="AS193" s="1361">
        <f>-AS393</f>
        <v/>
      </c>
      <c r="AT193" s="1379">
        <f>-AT393</f>
        <v/>
      </c>
      <c r="AU193" s="1364">
        <f>-AU393</f>
        <v/>
      </c>
      <c r="AV193" s="1364">
        <f>-AV393</f>
        <v/>
      </c>
      <c r="AW193" s="1364">
        <f>-AW393</f>
        <v/>
      </c>
      <c r="AX193" s="1361">
        <f>-AX393</f>
        <v/>
      </c>
      <c r="AY193" s="1379">
        <f>-AY393</f>
        <v/>
      </c>
      <c r="AZ193" s="1364">
        <f>-AZ393</f>
        <v/>
      </c>
      <c r="BA193" s="1364">
        <f>-BA393</f>
        <v/>
      </c>
      <c r="BB193" s="1364">
        <f>-BB393</f>
        <v/>
      </c>
      <c r="BC193" s="1361">
        <f>-BC393</f>
        <v/>
      </c>
      <c r="BD193" s="1379">
        <f>-BD393</f>
        <v/>
      </c>
      <c r="BE193" s="1364">
        <f>-BE393</f>
        <v/>
      </c>
      <c r="BF193" s="1364">
        <f>-BF393</f>
        <v/>
      </c>
      <c r="BG193" s="1364">
        <f>-BG393</f>
        <v/>
      </c>
      <c r="BH193" s="1361">
        <f>-BH393</f>
        <v/>
      </c>
      <c r="BI193" s="1379">
        <f>-BI393</f>
        <v/>
      </c>
      <c r="BJ193" s="1364">
        <f>-BJ393</f>
        <v/>
      </c>
      <c r="BK193" s="1364">
        <f>-BK393</f>
        <v/>
      </c>
      <c r="BL193" s="1364">
        <f>-BL393</f>
        <v/>
      </c>
      <c r="BM193" s="1361">
        <f>-BM393</f>
        <v/>
      </c>
      <c r="BN193" s="1379">
        <f>-BN393</f>
        <v/>
      </c>
      <c r="BO193" s="1364">
        <f>-BO393</f>
        <v/>
      </c>
      <c r="BP193" s="1364">
        <f>-BP393</f>
        <v/>
      </c>
      <c r="BQ193" s="1395">
        <f>-BQ393</f>
        <v/>
      </c>
      <c r="BR193" s="1361" t="n"/>
      <c r="BS193" s="1379" t="n"/>
      <c r="BT193" s="1361" t="n"/>
      <c r="BU193" s="1361" t="n"/>
      <c r="BV193" s="1361" t="n"/>
      <c r="BW193" s="1361" t="n"/>
      <c r="BX193" s="1379" t="n"/>
      <c r="BY193" s="1379" t="n"/>
      <c r="BZ193" s="1379" t="n"/>
      <c r="CA193" s="1379" t="n"/>
      <c r="CB193" s="1364" t="n"/>
    </row>
    <row r="194" hidden="1" outlineLevel="2" ht="14.4" customFormat="1" customHeight="1" s="1359">
      <c r="A194" s="1478" t="inlineStr">
        <is>
          <t>Product and Maintenance Other COGS Adjustments, mm</t>
        </is>
      </c>
      <c r="B194" s="1454" t="n"/>
      <c r="C194" s="1455" t="n"/>
      <c r="D194" s="1455">
        <f>-SUM(D393:D398)-D191-D193</f>
        <v/>
      </c>
      <c r="E194" s="1455">
        <f>-SUM(E393:E398)-E191-E193</f>
        <v/>
      </c>
      <c r="F194" s="1455">
        <f>-SUM(F393:F398)-F191-F193</f>
        <v/>
      </c>
      <c r="G194" s="1456">
        <f>-SUM(G393:G398)-G191-G193</f>
        <v/>
      </c>
      <c r="H194" s="1456">
        <f>-SUM(H393:H398)-H191-H193</f>
        <v/>
      </c>
      <c r="I194" s="1456">
        <f>-SUM(I393:I398)-I191-I193</f>
        <v/>
      </c>
      <c r="J194" s="1456">
        <f>-SUM(J393:J398)-J191-J193</f>
        <v/>
      </c>
      <c r="K194" s="1455">
        <f>-SUM(K393:K398)-K191-K193</f>
        <v/>
      </c>
      <c r="L194" s="1456">
        <f>-SUM(L393:L398)-L191-L193</f>
        <v/>
      </c>
      <c r="M194" s="1456">
        <f>-SUM(M393:M398)-M191-M193</f>
        <v/>
      </c>
      <c r="N194" s="1456">
        <f>-SUM(N393:N398)-N191-N193</f>
        <v/>
      </c>
      <c r="O194" s="1456">
        <f>-SUM(O393:O398)-O191-O193</f>
        <v/>
      </c>
      <c r="P194" s="1455">
        <f>-SUM(P393:P398)-P191-P193</f>
        <v/>
      </c>
      <c r="Q194" s="1456">
        <f>-SUM(Q393:Q398)-Q191-Q193</f>
        <v/>
      </c>
      <c r="R194" s="1456">
        <f>-SUM(R393:R398)-R191-R193</f>
        <v/>
      </c>
      <c r="S194" s="1456">
        <f>-SUM(S393:S398)-S191-S193</f>
        <v/>
      </c>
      <c r="T194" s="1456">
        <f>-SUM(T393:T398)-T191-T193</f>
        <v/>
      </c>
      <c r="U194" s="1455">
        <f>-SUM(U393:U398)-U191-U193</f>
        <v/>
      </c>
      <c r="V194" s="1456">
        <f>-SUM(V393:V398)-V191-V193</f>
        <v/>
      </c>
      <c r="W194" s="1456">
        <f>-SUM(W393:W398)-W191-W193</f>
        <v/>
      </c>
      <c r="X194" s="1456">
        <f>-SUM(X393:X398)-X191-X193</f>
        <v/>
      </c>
      <c r="Y194" s="1456">
        <f>-SUM(Y393:Y398)-Y191-Y193</f>
        <v/>
      </c>
      <c r="Z194" s="1455">
        <f>-SUM(Z393:Z398)-Z191-Z193</f>
        <v/>
      </c>
      <c r="AA194" s="1456">
        <f>-SUM(AA393:AA398)-AA191-AA193</f>
        <v/>
      </c>
      <c r="AB194" s="1456">
        <f>-SUM(AB393:AB398)-AB191-AB193</f>
        <v/>
      </c>
      <c r="AC194" s="1456">
        <f>-SUM(AC393:AC398)-AC191-AC193</f>
        <v/>
      </c>
      <c r="AD194" s="1456">
        <f>-SUM(AD393:AD398)-AD191-AD193</f>
        <v/>
      </c>
      <c r="AE194" s="1455">
        <f>-SUM(AE393:AE398)-AE191-AE193</f>
        <v/>
      </c>
      <c r="AF194" s="1456">
        <f>-SUM(AF393:AF398)-AF191-AF193</f>
        <v/>
      </c>
      <c r="AG194" s="1456">
        <f>-SUM(AG393:AG398)-AG191-AG193</f>
        <v/>
      </c>
      <c r="AH194" s="1456">
        <f>-SUM(AH393:AH398)-AH191-AH193</f>
        <v/>
      </c>
      <c r="AI194" s="1456">
        <f>-SUM(AI393:AI398)-AI191-AI193</f>
        <v/>
      </c>
      <c r="AJ194" s="1455">
        <f>-SUM(AJ393:AJ398)-AJ191-AJ193</f>
        <v/>
      </c>
      <c r="AK194" s="1456">
        <f>-SUM(AK393:AK398)-AK191-AK193</f>
        <v/>
      </c>
      <c r="AL194" s="1456">
        <f>-SUM(AL393:AL398)-AL191-AL193</f>
        <v/>
      </c>
      <c r="AM194" s="1456">
        <f>-SUM(AM393:AM398)-AM191-AM193</f>
        <v/>
      </c>
      <c r="AN194" s="1456">
        <f>-SUM(AN393:AN398)-AN191-AN193</f>
        <v/>
      </c>
      <c r="AO194" s="1455">
        <f>-SUM(AO393:AO398)-AO191-AO193</f>
        <v/>
      </c>
      <c r="AP194" s="1456">
        <f>-SUM(AP393:AP398)-AP191-AP193</f>
        <v/>
      </c>
      <c r="AQ194" s="1456">
        <f>-SUM(AQ393:AQ398)-AQ191-AQ193</f>
        <v/>
      </c>
      <c r="AR194" s="1456">
        <f>-SUM(AR393:AR398)-AR191-AR193</f>
        <v/>
      </c>
      <c r="AS194" s="1456">
        <f>-SUM(AS393:AS398)-AS191-AS193</f>
        <v/>
      </c>
      <c r="AT194" s="1455">
        <f>-SUM(AT393:AT398)-AT191-AT193</f>
        <v/>
      </c>
      <c r="AU194" s="1456">
        <f>-SUM(AU393:AU398)-AU191-AU193</f>
        <v/>
      </c>
      <c r="AV194" s="1456">
        <f>-SUM(AV393:AV398)-AV191-AV193</f>
        <v/>
      </c>
      <c r="AW194" s="1456">
        <f>-SUM(AW393:AW398)-AW191-AW193</f>
        <v/>
      </c>
      <c r="AX194" s="1456">
        <f>-SUM(AX393:AX398)-AX191-AX193</f>
        <v/>
      </c>
      <c r="AY194" s="1455">
        <f>-SUM(AY393:AY398)-AY191-AY193</f>
        <v/>
      </c>
      <c r="AZ194" s="1456">
        <f>-SUM(AZ393:AZ398)-AZ191-AZ193</f>
        <v/>
      </c>
      <c r="BA194" s="1456">
        <f>-SUM(BA393:BA398)-BA191-BA193</f>
        <v/>
      </c>
      <c r="BB194" s="1456">
        <f>-SUM(BB393:BB398)-BB191-BB193</f>
        <v/>
      </c>
      <c r="BC194" s="1456">
        <f>-SUM(BC393:BC398)-BC191-BC193</f>
        <v/>
      </c>
      <c r="BD194" s="1455">
        <f>-SUM(BD393:BD398)-BD191-BD193</f>
        <v/>
      </c>
      <c r="BE194" s="1456">
        <f>-SUM(BE393:BE398)-BE191-BE193</f>
        <v/>
      </c>
      <c r="BF194" s="1456">
        <f>-SUM(BF393:BF398)-BF191-BF193</f>
        <v/>
      </c>
      <c r="BG194" s="1456">
        <f>-SUM(BG393:BG398)-BG191-BG193</f>
        <v/>
      </c>
      <c r="BH194" s="1456">
        <f>-SUM(BH393:BH398)-BH191-BH193</f>
        <v/>
      </c>
      <c r="BI194" s="1455">
        <f>-SUM(BI393:BI398)-BI191-BI193</f>
        <v/>
      </c>
      <c r="BJ194" s="1456">
        <f>-SUM(BJ393:BJ398)-BJ191-BJ193</f>
        <v/>
      </c>
      <c r="BK194" s="1456">
        <f>-SUM(BK393:BK398)-BK191-BK193</f>
        <v/>
      </c>
      <c r="BL194" s="1456">
        <f>-SUM(BL393:BL398)-BL191-BL193</f>
        <v/>
      </c>
      <c r="BM194" s="1456">
        <f>-SUM(BM393:BM398)-BM191-BM193</f>
        <v/>
      </c>
      <c r="BN194" s="1455">
        <f>-SUM(BN393:BN398)-BN191-BN193</f>
        <v/>
      </c>
      <c r="BO194" s="1456">
        <f>-SUM(BO393:BO398)-BO191-BO193</f>
        <v/>
      </c>
      <c r="BP194" s="1456">
        <f>-SUM(BP393:BP398)-BP191-BP193</f>
        <v/>
      </c>
      <c r="BQ194" s="1457">
        <f>-SUM(BQ393:BQ398)-BQ191-BQ193</f>
        <v/>
      </c>
      <c r="BR194" s="1456" t="n"/>
      <c r="BS194" s="1455" t="n"/>
      <c r="BT194" s="1456" t="n"/>
      <c r="BU194" s="1456" t="n"/>
      <c r="BV194" s="1456" t="n"/>
      <c r="BW194" s="1456" t="n"/>
      <c r="BX194" s="1455" t="n"/>
      <c r="BY194" s="1455" t="n"/>
      <c r="BZ194" s="1455" t="n"/>
      <c r="CA194" s="1455" t="n"/>
      <c r="CB194" s="1364" t="n"/>
    </row>
    <row r="195" hidden="1" outlineLevel="2" ht="14.4" customFormat="1" customHeight="1" s="1372">
      <c r="A195" s="1452" t="inlineStr">
        <is>
          <t>Product and Maintenance Non-GAAP Gross Profit, mm</t>
        </is>
      </c>
      <c r="B195" s="1448" t="n"/>
      <c r="C195" s="1449" t="n"/>
      <c r="D195" s="1449">
        <f>D186+D191+D193+D194</f>
        <v/>
      </c>
      <c r="E195" s="1458">
        <f>E186+E191+E193+E194</f>
        <v/>
      </c>
      <c r="F195" s="1458">
        <f>F186+F191+F193+F194</f>
        <v/>
      </c>
      <c r="G195" s="1375">
        <f>G186+G191+G193+G194</f>
        <v/>
      </c>
      <c r="H195" s="1375">
        <f>H186+H191+H193+H194</f>
        <v/>
      </c>
      <c r="I195" s="1375">
        <f>I186+I191+I193+I194</f>
        <v/>
      </c>
      <c r="J195" s="1375">
        <f>J186+J191+J193+J194</f>
        <v/>
      </c>
      <c r="K195" s="1458">
        <f>K186+K191+K193+K194</f>
        <v/>
      </c>
      <c r="L195" s="1375">
        <f>L186+L191+L193+L194</f>
        <v/>
      </c>
      <c r="M195" s="1375">
        <f>M186+M191+M193+M194</f>
        <v/>
      </c>
      <c r="N195" s="1375">
        <f>N186+N191+N193+N194</f>
        <v/>
      </c>
      <c r="O195" s="1375">
        <f>O186+O191+O193+O194</f>
        <v/>
      </c>
      <c r="P195" s="1458">
        <f>P186+P191+P193+P194</f>
        <v/>
      </c>
      <c r="Q195" s="1375">
        <f>Q186+Q191+Q193+Q194</f>
        <v/>
      </c>
      <c r="R195" s="1375">
        <f>R186+R191+R193+R194</f>
        <v/>
      </c>
      <c r="S195" s="1375">
        <f>S186+S191+S193+S194</f>
        <v/>
      </c>
      <c r="T195" s="1375">
        <f>T186+T191+T193+T194</f>
        <v/>
      </c>
      <c r="U195" s="1458">
        <f>U186+U191+U193+U194</f>
        <v/>
      </c>
      <c r="V195" s="1375">
        <f>V186+V191+V193+V194</f>
        <v/>
      </c>
      <c r="W195" s="1375">
        <f>W186+W191+W193+W194</f>
        <v/>
      </c>
      <c r="X195" s="1375">
        <f>X186+X191+X193+X194</f>
        <v/>
      </c>
      <c r="Y195" s="1450">
        <f>Y186+Y191+Y193+Y194</f>
        <v/>
      </c>
      <c r="Z195" s="1449">
        <f>Z186+Z191+Z193+Z194</f>
        <v/>
      </c>
      <c r="AA195" s="1375">
        <f>AA186+AA191+AA193+AA194</f>
        <v/>
      </c>
      <c r="AB195" s="1375">
        <f>AB186+AB191+AB193+AB194</f>
        <v/>
      </c>
      <c r="AC195" s="1375">
        <f>AC186+AC191+AC193+AC194</f>
        <v/>
      </c>
      <c r="AD195" s="1450">
        <f>AD186+AD191+AD193+AD194</f>
        <v/>
      </c>
      <c r="AE195" s="1449">
        <f>AE186+AE191+AE193+AE194</f>
        <v/>
      </c>
      <c r="AF195" s="1375">
        <f>AF186+AF191+AF193+AF194</f>
        <v/>
      </c>
      <c r="AG195" s="1375">
        <f>AG186+AG191+AG193+AG194</f>
        <v/>
      </c>
      <c r="AH195" s="1375">
        <f>AH186+AH191+AH193+AH194</f>
        <v/>
      </c>
      <c r="AI195" s="1450">
        <f>AI186+AI191+AI193+AI194</f>
        <v/>
      </c>
      <c r="AJ195" s="1449">
        <f>AJ186+AJ191+AJ193+AJ194</f>
        <v/>
      </c>
      <c r="AK195" s="1375">
        <f>AK186+AK191+AK193+AK194</f>
        <v/>
      </c>
      <c r="AL195" s="1375">
        <f>AL186+AL191+AL193+AL194</f>
        <v/>
      </c>
      <c r="AM195" s="1375">
        <f>AM186+AM191+AM193+AM194</f>
        <v/>
      </c>
      <c r="AN195" s="1450">
        <f>AN186+AN191+AN193+AN194</f>
        <v/>
      </c>
      <c r="AO195" s="1449">
        <f>AO186+AO191+AO193+AO194</f>
        <v/>
      </c>
      <c r="AP195" s="1375">
        <f>AP186+AP191+AP193+AP194</f>
        <v/>
      </c>
      <c r="AQ195" s="1375">
        <f>AQ186+AQ191+AQ193+AQ194</f>
        <v/>
      </c>
      <c r="AR195" s="1375">
        <f>AR186+AR191+AR193+AR194</f>
        <v/>
      </c>
      <c r="AS195" s="1450">
        <f>AS186+AS191+AS193+AS194</f>
        <v/>
      </c>
      <c r="AT195" s="1449">
        <f>AT186+AT191+AT193+AT194</f>
        <v/>
      </c>
      <c r="AU195" s="1375">
        <f>AU186+AU191+AU193+AU194</f>
        <v/>
      </c>
      <c r="AV195" s="1375">
        <f>AV186+AV191+AV193+AV194</f>
        <v/>
      </c>
      <c r="AW195" s="1375">
        <f>AW186+AW191+AW193+AW194</f>
        <v/>
      </c>
      <c r="AX195" s="1450">
        <f>AX186+AX191+AX193+AX194</f>
        <v/>
      </c>
      <c r="AY195" s="1449">
        <f>AY186+AY191+AY193+AY194</f>
        <v/>
      </c>
      <c r="AZ195" s="1375">
        <f>AZ186+AZ191+AZ193+AZ194</f>
        <v/>
      </c>
      <c r="BA195" s="1375">
        <f>BA186+BA191+BA193+BA194</f>
        <v/>
      </c>
      <c r="BB195" s="1375">
        <f>BB186+BB191+BB193+BB194</f>
        <v/>
      </c>
      <c r="BC195" s="1450">
        <f>BC186+BC191+BC193+BC194</f>
        <v/>
      </c>
      <c r="BD195" s="1449">
        <f>BD186+BD191+BD193+BD194</f>
        <v/>
      </c>
      <c r="BE195" s="1375">
        <f>BE186+BE191+BE193+BE194</f>
        <v/>
      </c>
      <c r="BF195" s="1375">
        <f>BF186+BF191+BF193+BF194</f>
        <v/>
      </c>
      <c r="BG195" s="1375">
        <f>BG186+BG191+BG193+BG194</f>
        <v/>
      </c>
      <c r="BH195" s="1450">
        <f>BH186+BH191+BH193+BH194</f>
        <v/>
      </c>
      <c r="BI195" s="1449">
        <f>BI186+BI191+BI193+BI194</f>
        <v/>
      </c>
      <c r="BJ195" s="1375">
        <f>BJ186+BJ191+BJ193+BJ194</f>
        <v/>
      </c>
      <c r="BK195" s="1375">
        <f>BK186+BK191+BK193+BK194</f>
        <v/>
      </c>
      <c r="BL195" s="1375">
        <f>BL186+BL191+BL193+BL194</f>
        <v/>
      </c>
      <c r="BM195" s="1450">
        <f>BM186+BM191+BM193+BM194</f>
        <v/>
      </c>
      <c r="BN195" s="1449">
        <f>BN186+BN191+BN193+BN194</f>
        <v/>
      </c>
      <c r="BO195" s="1375">
        <f>BO186+BO191+BO193+BO194</f>
        <v/>
      </c>
      <c r="BP195" s="1375">
        <f>BP186+BP191+BP193+BP194</f>
        <v/>
      </c>
      <c r="BQ195" s="1459">
        <f>BQ186+BQ191+BQ193+BQ194</f>
        <v/>
      </c>
      <c r="BR195" s="1450" t="n"/>
      <c r="BS195" s="1449" t="n"/>
      <c r="BT195" s="1450" t="n"/>
      <c r="BU195" s="1450" t="n"/>
      <c r="BV195" s="1450" t="n"/>
      <c r="BW195" s="1450" t="n"/>
      <c r="BX195" s="1449" t="n"/>
      <c r="BY195" s="1449" t="n"/>
      <c r="BZ195" s="1449" t="n"/>
      <c r="CA195" s="1449" t="n"/>
      <c r="CB195" s="1375" t="n"/>
    </row>
    <row r="196" hidden="1" outlineLevel="2" ht="14.4" customFormat="1" customHeight="1" s="1372">
      <c r="A196" s="1408" t="inlineStr">
        <is>
          <t>Y/Y Product and Maintenance Non-GAAP Gross Profit growth, %</t>
        </is>
      </c>
      <c r="B196" s="1381" t="n"/>
      <c r="C196" s="1382" t="n"/>
      <c r="D196" s="1382" t="n"/>
      <c r="E196" s="1383">
        <f>E195/D195-1</f>
        <v/>
      </c>
      <c r="F196" s="1383">
        <f>F195/E195-1</f>
        <v/>
      </c>
      <c r="G196" s="1384" t="n"/>
      <c r="H196" s="1384" t="n"/>
      <c r="I196" s="1384" t="n"/>
      <c r="J196" s="1384" t="n"/>
      <c r="K196" s="1383">
        <f>K195/F195-1</f>
        <v/>
      </c>
      <c r="L196" s="1385">
        <f>L195/G195-1</f>
        <v/>
      </c>
      <c r="M196" s="1385">
        <f>M195/H195-1</f>
        <v/>
      </c>
      <c r="N196" s="1385">
        <f>N195/I195-1</f>
        <v/>
      </c>
      <c r="O196" s="1385">
        <f>O195/J195-1</f>
        <v/>
      </c>
      <c r="P196" s="1383">
        <f>P195/K195-1</f>
        <v/>
      </c>
      <c r="Q196" s="1385">
        <f>Q195/L195-1</f>
        <v/>
      </c>
      <c r="R196" s="1385">
        <f>R195/M195-1</f>
        <v/>
      </c>
      <c r="S196" s="1385">
        <f>S195/N195-1</f>
        <v/>
      </c>
      <c r="T196" s="1385">
        <f>T195/O195-1</f>
        <v/>
      </c>
      <c r="U196" s="1383">
        <f>U195/P195-1</f>
        <v/>
      </c>
      <c r="V196" s="1385">
        <f>V195/Q195-1</f>
        <v/>
      </c>
      <c r="W196" s="1385">
        <f>W195/R195-1</f>
        <v/>
      </c>
      <c r="X196" s="1385">
        <f>X195/S195-1</f>
        <v/>
      </c>
      <c r="Y196" s="1384">
        <f>Y195/T195-1</f>
        <v/>
      </c>
      <c r="Z196" s="1382">
        <f>Z195/U195-1</f>
        <v/>
      </c>
      <c r="AA196" s="1385">
        <f>AA195/V195-1</f>
        <v/>
      </c>
      <c r="AB196" s="1385">
        <f>AB195/W195-1</f>
        <v/>
      </c>
      <c r="AC196" s="1385">
        <f>AC195/X195-1</f>
        <v/>
      </c>
      <c r="AD196" s="1384">
        <f>AD195/Y195-1</f>
        <v/>
      </c>
      <c r="AE196" s="1382">
        <f>AE195/Z195-1</f>
        <v/>
      </c>
      <c r="AF196" s="1385">
        <f>AF195/AA195-1</f>
        <v/>
      </c>
      <c r="AG196" s="1385">
        <f>AG195/AB195-1</f>
        <v/>
      </c>
      <c r="AH196" s="1385">
        <f>AH195/AC195-1</f>
        <v/>
      </c>
      <c r="AI196" s="1384">
        <f>AI195/AD195-1</f>
        <v/>
      </c>
      <c r="AJ196" s="1382">
        <f>AJ195/AE195-1</f>
        <v/>
      </c>
      <c r="AK196" s="1385">
        <f>AK195/AF195-1</f>
        <v/>
      </c>
      <c r="AL196" s="1385">
        <f>AL195/AG195-1</f>
        <v/>
      </c>
      <c r="AM196" s="1385">
        <f>AM195/AH195-1</f>
        <v/>
      </c>
      <c r="AN196" s="1384">
        <f>AN195/AI195-1</f>
        <v/>
      </c>
      <c r="AO196" s="1382">
        <f>AO195/AJ195-1</f>
        <v/>
      </c>
      <c r="AP196" s="1385">
        <f>AP195/AK195-1</f>
        <v/>
      </c>
      <c r="AQ196" s="1385">
        <f>AQ195/AL195-1</f>
        <v/>
      </c>
      <c r="AR196" s="1385">
        <f>AR195/AM195-1</f>
        <v/>
      </c>
      <c r="AS196" s="1384">
        <f>AS195/AN195-1</f>
        <v/>
      </c>
      <c r="AT196" s="1382">
        <f>AT195/AO195-1</f>
        <v/>
      </c>
      <c r="AU196" s="1385">
        <f>AU195/AP195-1</f>
        <v/>
      </c>
      <c r="AV196" s="1385">
        <f>AV195/AQ195-1</f>
        <v/>
      </c>
      <c r="AW196" s="1385">
        <f>AW195/AR195-1</f>
        <v/>
      </c>
      <c r="AX196" s="1384">
        <f>AX195/AS195-1</f>
        <v/>
      </c>
      <c r="AY196" s="1382">
        <f>AY195/AT195-1</f>
        <v/>
      </c>
      <c r="AZ196" s="1385">
        <f>AZ195/AU195-1</f>
        <v/>
      </c>
      <c r="BA196" s="1385">
        <f>BA195/AV195-1</f>
        <v/>
      </c>
      <c r="BB196" s="1385">
        <f>BB195/AW195-1</f>
        <v/>
      </c>
      <c r="BC196" s="1384">
        <f>BC195/AX195-1</f>
        <v/>
      </c>
      <c r="BD196" s="1382">
        <f>BD195/AY195-1</f>
        <v/>
      </c>
      <c r="BE196" s="1385">
        <f>BE195/AZ195-1</f>
        <v/>
      </c>
      <c r="BF196" s="1385">
        <f>BF195/BA195-1</f>
        <v/>
      </c>
      <c r="BG196" s="1385">
        <f>BG195/BB195-1</f>
        <v/>
      </c>
      <c r="BH196" s="1384">
        <f>BH195/BC195-1</f>
        <v/>
      </c>
      <c r="BI196" s="1382">
        <f>BI195/BD195-1</f>
        <v/>
      </c>
      <c r="BJ196" s="1385">
        <f>BJ195/BE195-1</f>
        <v/>
      </c>
      <c r="BK196" s="1385">
        <f>BK195/BF195-1</f>
        <v/>
      </c>
      <c r="BL196" s="1385">
        <f>BL195/BG195-1</f>
        <v/>
      </c>
      <c r="BM196" s="1384">
        <f>BM195/BH195-1</f>
        <v/>
      </c>
      <c r="BN196" s="1382">
        <f>BN195/BI195-1</f>
        <v/>
      </c>
      <c r="BO196" s="1385">
        <f>BO195/BJ195-1</f>
        <v/>
      </c>
      <c r="BP196" s="1385">
        <f>BP195/BK195-1</f>
        <v/>
      </c>
      <c r="BQ196" s="1397">
        <f>BQ195/BL195-1</f>
        <v/>
      </c>
      <c r="BR196" s="1384" t="n"/>
      <c r="BS196" s="1382" t="n"/>
      <c r="BT196" s="1384" t="n"/>
      <c r="BU196" s="1384" t="n"/>
      <c r="BV196" s="1384" t="n"/>
      <c r="BW196" s="1384" t="n"/>
      <c r="BX196" s="1382" t="n"/>
      <c r="BY196" s="1382" t="n"/>
      <c r="BZ196" s="1382" t="n"/>
      <c r="CA196" s="1382" t="n"/>
      <c r="CB196" s="1375" t="n"/>
    </row>
    <row r="197" hidden="1" outlineLevel="2" ht="14.4" customFormat="1" customHeight="1" s="1460">
      <c r="A197" s="1461" t="inlineStr">
        <is>
          <t>Product and Maintenance Non-GAAP Gross Profit margin, %</t>
        </is>
      </c>
      <c r="B197" s="1462" t="n"/>
      <c r="C197" s="1463" t="n"/>
      <c r="D197" s="1463">
        <f>D195/D182</f>
        <v/>
      </c>
      <c r="E197" s="1464">
        <f>E195/E182</f>
        <v/>
      </c>
      <c r="F197" s="1464">
        <f>F195/F182</f>
        <v/>
      </c>
      <c r="G197" s="1465">
        <f>G195/G182</f>
        <v/>
      </c>
      <c r="H197" s="1465">
        <f>H195/H182</f>
        <v/>
      </c>
      <c r="I197" s="1465">
        <f>I195/I182</f>
        <v/>
      </c>
      <c r="J197" s="1465">
        <f>J195/J182</f>
        <v/>
      </c>
      <c r="K197" s="1464">
        <f>K195/K182</f>
        <v/>
      </c>
      <c r="L197" s="1465">
        <f>L195/L182</f>
        <v/>
      </c>
      <c r="M197" s="1465">
        <f>M195/M182</f>
        <v/>
      </c>
      <c r="N197" s="1465">
        <f>N195/N182</f>
        <v/>
      </c>
      <c r="O197" s="1465">
        <f>O195/O182</f>
        <v/>
      </c>
      <c r="P197" s="1464">
        <f>P195/P182</f>
        <v/>
      </c>
      <c r="Q197" s="1465">
        <f>Q195/Q182</f>
        <v/>
      </c>
      <c r="R197" s="1465">
        <f>R195/R182</f>
        <v/>
      </c>
      <c r="S197" s="1465">
        <f>S195/S182</f>
        <v/>
      </c>
      <c r="T197" s="1465">
        <f>T195/T182</f>
        <v/>
      </c>
      <c r="U197" s="1464">
        <f>U195/U182</f>
        <v/>
      </c>
      <c r="V197" s="1465">
        <f>V195/V182</f>
        <v/>
      </c>
      <c r="W197" s="1465">
        <f>W195/W182</f>
        <v/>
      </c>
      <c r="X197" s="1465">
        <f>X195/X182</f>
        <v/>
      </c>
      <c r="Y197" s="1466">
        <f>Y195/Y182</f>
        <v/>
      </c>
      <c r="Z197" s="1463">
        <f>Z195/Z182</f>
        <v/>
      </c>
      <c r="AA197" s="1465">
        <f>AA195/AA182</f>
        <v/>
      </c>
      <c r="AB197" s="1465">
        <f>AB195/AB182</f>
        <v/>
      </c>
      <c r="AC197" s="1465">
        <f>AC195/AC182</f>
        <v/>
      </c>
      <c r="AD197" s="1466">
        <f>AD195/AD182</f>
        <v/>
      </c>
      <c r="AE197" s="1463">
        <f>AE195/AE182</f>
        <v/>
      </c>
      <c r="AF197" s="1465">
        <f>AF195/AF182</f>
        <v/>
      </c>
      <c r="AG197" s="1465">
        <f>AG195/AG182</f>
        <v/>
      </c>
      <c r="AH197" s="1465">
        <f>AH195/AH182</f>
        <v/>
      </c>
      <c r="AI197" s="1466">
        <f>AI195/AI182</f>
        <v/>
      </c>
      <c r="AJ197" s="1463">
        <f>AJ195/AJ182</f>
        <v/>
      </c>
      <c r="AK197" s="1465">
        <f>AK195/AK182</f>
        <v/>
      </c>
      <c r="AL197" s="1465">
        <f>AL195/AL182</f>
        <v/>
      </c>
      <c r="AM197" s="1465">
        <f>AM195/AM182</f>
        <v/>
      </c>
      <c r="AN197" s="1466">
        <f>AN195/AN182</f>
        <v/>
      </c>
      <c r="AO197" s="1463">
        <f>AO195/AO182</f>
        <v/>
      </c>
      <c r="AP197" s="1465">
        <f>AP195/AP182</f>
        <v/>
      </c>
      <c r="AQ197" s="1465">
        <f>AQ195/AQ182</f>
        <v/>
      </c>
      <c r="AR197" s="1465">
        <f>AR195/AR182</f>
        <v/>
      </c>
      <c r="AS197" s="1466">
        <f>AS195/AS182</f>
        <v/>
      </c>
      <c r="AT197" s="1463">
        <f>AT195/AT182</f>
        <v/>
      </c>
      <c r="AU197" s="1465">
        <f>AU195/AU182</f>
        <v/>
      </c>
      <c r="AV197" s="1465">
        <f>AV195/AV182</f>
        <v/>
      </c>
      <c r="AW197" s="1465">
        <f>AW195/AW182</f>
        <v/>
      </c>
      <c r="AX197" s="1466">
        <f>AX195/AX182</f>
        <v/>
      </c>
      <c r="AY197" s="1463">
        <f>AY195/AY182</f>
        <v/>
      </c>
      <c r="AZ197" s="1465">
        <f>AZ195/AZ182</f>
        <v/>
      </c>
      <c r="BA197" s="1465">
        <f>BA195/BA182</f>
        <v/>
      </c>
      <c r="BB197" s="1465">
        <f>BB195/BB182</f>
        <v/>
      </c>
      <c r="BC197" s="1466">
        <f>BC195/BC182</f>
        <v/>
      </c>
      <c r="BD197" s="1463">
        <f>BD195/BD182</f>
        <v/>
      </c>
      <c r="BE197" s="1465">
        <f>BE195/BE182</f>
        <v/>
      </c>
      <c r="BF197" s="1465">
        <f>BF195/BF182</f>
        <v/>
      </c>
      <c r="BG197" s="1465">
        <f>BG195/BG182</f>
        <v/>
      </c>
      <c r="BH197" s="1466">
        <f>BH195/BH182</f>
        <v/>
      </c>
      <c r="BI197" s="1463">
        <f>BI195/BI182</f>
        <v/>
      </c>
      <c r="BJ197" s="1465">
        <f>BJ195/BJ182</f>
        <v/>
      </c>
      <c r="BK197" s="1465">
        <f>BK195/BK182</f>
        <v/>
      </c>
      <c r="BL197" s="1465">
        <f>BL195/BL182</f>
        <v/>
      </c>
      <c r="BM197" s="1466">
        <f>BM195/BM182</f>
        <v/>
      </c>
      <c r="BN197" s="1463">
        <f>BN195/BN182</f>
        <v/>
      </c>
      <c r="BO197" s="1465">
        <f>BO195/BO182</f>
        <v/>
      </c>
      <c r="BP197" s="1465">
        <f>BP195/BP182</f>
        <v/>
      </c>
      <c r="BQ197" s="1467">
        <f>BQ195/BQ182</f>
        <v/>
      </c>
      <c r="BR197" s="1466" t="n"/>
      <c r="BS197" s="1463" t="n"/>
      <c r="BT197" s="1466" t="n"/>
      <c r="BU197" s="1466" t="n"/>
      <c r="BV197" s="1466" t="n"/>
      <c r="BW197" s="1466" t="n"/>
      <c r="BX197" s="1463" t="n"/>
      <c r="BY197" s="1463" t="n"/>
      <c r="BZ197" s="1463" t="n"/>
      <c r="CA197" s="1463" t="n"/>
      <c r="CB197" s="1465" t="n"/>
    </row>
    <row r="198" hidden="1" outlineLevel="2" ht="14.4" customFormat="1" customHeight="1" s="1460">
      <c r="A198" s="1468" t="inlineStr">
        <is>
          <t>Y/Y Product and Maintenance Non-GAAP Gross Profit margin improvement, bps</t>
        </is>
      </c>
      <c r="B198" s="1462" t="n"/>
      <c r="C198" s="1469" t="n"/>
      <c r="D198" s="1469" t="n"/>
      <c r="E198" s="1470">
        <f>(E197-D197)*10000</f>
        <v/>
      </c>
      <c r="F198" s="1470">
        <f>(F197-E197)*10000</f>
        <v/>
      </c>
      <c r="G198" s="1471" t="n"/>
      <c r="H198" s="1471" t="n"/>
      <c r="I198" s="1471" t="n"/>
      <c r="J198" s="1471" t="n"/>
      <c r="K198" s="1470">
        <f>(K197-F197)*10000</f>
        <v/>
      </c>
      <c r="L198" s="1472">
        <f>(L197-G197)*10000</f>
        <v/>
      </c>
      <c r="M198" s="1472">
        <f>(M197-H197)*10000</f>
        <v/>
      </c>
      <c r="N198" s="1472">
        <f>(N197-I197)*10000</f>
        <v/>
      </c>
      <c r="O198" s="1472">
        <f>(O197-J197)*10000</f>
        <v/>
      </c>
      <c r="P198" s="1470">
        <f>(P197-K197)*10000</f>
        <v/>
      </c>
      <c r="Q198" s="1472">
        <f>(Q197-L197)*10000</f>
        <v/>
      </c>
      <c r="R198" s="1472">
        <f>(R197-M197)*10000</f>
        <v/>
      </c>
      <c r="S198" s="1472">
        <f>(S197-N197)*10000</f>
        <v/>
      </c>
      <c r="T198" s="1472">
        <f>(T197-O197)*10000</f>
        <v/>
      </c>
      <c r="U198" s="1470">
        <f>(U197-P197)*10000</f>
        <v/>
      </c>
      <c r="V198" s="1472">
        <f>(V197-Q197)*10000</f>
        <v/>
      </c>
      <c r="W198" s="1472">
        <f>(W197-R197)*10000</f>
        <v/>
      </c>
      <c r="X198" s="1472">
        <f>(X197-S197)*10000</f>
        <v/>
      </c>
      <c r="Y198" s="1471">
        <f>(Y197-T197)*10000</f>
        <v/>
      </c>
      <c r="Z198" s="1469">
        <f>(Z197-U197)*10000</f>
        <v/>
      </c>
      <c r="AA198" s="1472">
        <f>(AA197-V197)*10000</f>
        <v/>
      </c>
      <c r="AB198" s="1472">
        <f>(AB197-W197)*10000</f>
        <v/>
      </c>
      <c r="AC198" s="1472">
        <f>(AC197-X197)*10000</f>
        <v/>
      </c>
      <c r="AD198" s="1471">
        <f>(AD197-Y197)*10000</f>
        <v/>
      </c>
      <c r="AE198" s="1469">
        <f>(AE197-Z197)*10000</f>
        <v/>
      </c>
      <c r="AF198" s="1472">
        <f>(AF197-AA197)*10000</f>
        <v/>
      </c>
      <c r="AG198" s="1472">
        <f>(AG197-AB197)*10000</f>
        <v/>
      </c>
      <c r="AH198" s="1472">
        <f>(AH197-AC197)*10000</f>
        <v/>
      </c>
      <c r="AI198" s="1471">
        <f>(AI197-AD197)*10000</f>
        <v/>
      </c>
      <c r="AJ198" s="1469">
        <f>(AJ197-AE197)*10000</f>
        <v/>
      </c>
      <c r="AK198" s="1472">
        <f>(AK197-AF197)*10000</f>
        <v/>
      </c>
      <c r="AL198" s="1472">
        <f>(AL197-AG197)*10000</f>
        <v/>
      </c>
      <c r="AM198" s="1472">
        <f>(AM197-AH197)*10000</f>
        <v/>
      </c>
      <c r="AN198" s="1471">
        <f>(AN197-AI197)*10000</f>
        <v/>
      </c>
      <c r="AO198" s="1469">
        <f>(AO197-AJ197)*10000</f>
        <v/>
      </c>
      <c r="AP198" s="1472">
        <f>(AP197-AK197)*10000</f>
        <v/>
      </c>
      <c r="AQ198" s="1472">
        <f>(AQ197-AL197)*10000</f>
        <v/>
      </c>
      <c r="AR198" s="1472">
        <f>(AR197-AM197)*10000</f>
        <v/>
      </c>
      <c r="AS198" s="1471">
        <f>(AS197-AN197)*10000</f>
        <v/>
      </c>
      <c r="AT198" s="1469">
        <f>(AT197-AO197)*10000</f>
        <v/>
      </c>
      <c r="AU198" s="1472">
        <f>(AU197-AP197)*10000</f>
        <v/>
      </c>
      <c r="AV198" s="1472">
        <f>(AV197-AQ197)*10000</f>
        <v/>
      </c>
      <c r="AW198" s="1472">
        <f>(AW197-AR197)*10000</f>
        <v/>
      </c>
      <c r="AX198" s="1471">
        <f>(AX197-AS197)*10000</f>
        <v/>
      </c>
      <c r="AY198" s="1469">
        <f>(AY197-AT197)*10000</f>
        <v/>
      </c>
      <c r="AZ198" s="1472">
        <f>(AZ197-AU197)*10000</f>
        <v/>
      </c>
      <c r="BA198" s="1472">
        <f>(BA197-AV197)*10000</f>
        <v/>
      </c>
      <c r="BB198" s="1472">
        <f>(BB197-AW197)*10000</f>
        <v/>
      </c>
      <c r="BC198" s="1471">
        <f>(BC197-AX197)*10000</f>
        <v/>
      </c>
      <c r="BD198" s="1469">
        <f>(BD197-AY197)*10000</f>
        <v/>
      </c>
      <c r="BE198" s="1472">
        <f>(BE197-AZ197)*10000</f>
        <v/>
      </c>
      <c r="BF198" s="1472">
        <f>(BF197-BA197)*10000</f>
        <v/>
      </c>
      <c r="BG198" s="1472">
        <f>(BG197-BB197)*10000</f>
        <v/>
      </c>
      <c r="BH198" s="1471">
        <f>(BH197-BC197)*10000</f>
        <v/>
      </c>
      <c r="BI198" s="1469">
        <f>(BI197-BD197)*10000</f>
        <v/>
      </c>
      <c r="BJ198" s="1472">
        <f>(BJ197-BE197)*10000</f>
        <v/>
      </c>
      <c r="BK198" s="1472">
        <f>(BK197-BF197)*10000</f>
        <v/>
      </c>
      <c r="BL198" s="1472">
        <f>(BL197-BG197)*10000</f>
        <v/>
      </c>
      <c r="BM198" s="1471">
        <f>(BM197-BH197)*10000</f>
        <v/>
      </c>
      <c r="BN198" s="1469">
        <f>(BN197-BI197)*10000</f>
        <v/>
      </c>
      <c r="BO198" s="1472">
        <f>(BO197-BJ197)*10000</f>
        <v/>
      </c>
      <c r="BP198" s="1472">
        <f>(BP197-BK197)*10000</f>
        <v/>
      </c>
      <c r="BQ198" s="1473">
        <f>(BQ197-BL197)*10000</f>
        <v/>
      </c>
      <c r="BR198" s="1471" t="n"/>
      <c r="BS198" s="1469" t="n"/>
      <c r="BT198" s="1471" t="n"/>
      <c r="BU198" s="1471" t="n"/>
      <c r="BV198" s="1471" t="n"/>
      <c r="BW198" s="1471" t="n"/>
      <c r="BX198" s="1469" t="n"/>
      <c r="BY198" s="1469" t="n"/>
      <c r="BZ198" s="1469" t="n"/>
      <c r="CA198" s="1469" t="n"/>
      <c r="CB198" s="1465" t="n"/>
    </row>
    <row r="199" hidden="1" outlineLevel="1" collapsed="1" ht="14.4" customFormat="1" customHeight="1" s="1460">
      <c r="A199" s="1486" t="n"/>
      <c r="B199" s="1462" t="n"/>
      <c r="C199" s="1469" t="n"/>
      <c r="D199" s="1469" t="n"/>
      <c r="E199" s="1469" t="n"/>
      <c r="F199" s="1469" t="n"/>
      <c r="G199" s="1471" t="n"/>
      <c r="H199" s="1471" t="n"/>
      <c r="I199" s="1471" t="n"/>
      <c r="J199" s="1471" t="n"/>
      <c r="K199" s="1469" t="n"/>
      <c r="L199" s="1471" t="n"/>
      <c r="M199" s="1471" t="n"/>
      <c r="N199" s="1471" t="n"/>
      <c r="O199" s="1471" t="n"/>
      <c r="P199" s="1469" t="n"/>
      <c r="Q199" s="1471" t="n"/>
      <c r="R199" s="1471" t="n"/>
      <c r="S199" s="1471" t="n"/>
      <c r="T199" s="1471" t="n"/>
      <c r="U199" s="1469" t="n"/>
      <c r="V199" s="1471" t="n"/>
      <c r="W199" s="1471" t="n"/>
      <c r="X199" s="1471" t="n"/>
      <c r="Y199" s="1471" t="n"/>
      <c r="Z199" s="1469" t="n"/>
      <c r="AA199" s="1471" t="n"/>
      <c r="AB199" s="1471" t="n"/>
      <c r="AC199" s="1471" t="n"/>
      <c r="AD199" s="1471" t="n"/>
      <c r="AE199" s="1469" t="n"/>
      <c r="AF199" s="1471" t="n"/>
      <c r="AG199" s="1471" t="n"/>
      <c r="AH199" s="1471" t="n"/>
      <c r="AI199" s="1471" t="n"/>
      <c r="AJ199" s="1469" t="n"/>
      <c r="AK199" s="1471" t="n"/>
      <c r="AL199" s="1471" t="n"/>
      <c r="AM199" s="1471" t="n"/>
      <c r="AN199" s="1471" t="n"/>
      <c r="AO199" s="1469" t="n"/>
      <c r="AP199" s="1471" t="n"/>
      <c r="AQ199" s="1471" t="n"/>
      <c r="AR199" s="1471" t="n"/>
      <c r="AS199" s="1471" t="n"/>
      <c r="AT199" s="1469" t="n"/>
      <c r="AU199" s="1471" t="n"/>
      <c r="AV199" s="1471" t="n"/>
      <c r="AW199" s="1471" t="n"/>
      <c r="AX199" s="1471" t="n"/>
      <c r="AY199" s="1469" t="n"/>
      <c r="AZ199" s="1471" t="n"/>
      <c r="BA199" s="1471" t="n"/>
      <c r="BB199" s="1471" t="n"/>
      <c r="BC199" s="1471" t="n"/>
      <c r="BD199" s="1469" t="n"/>
      <c r="BE199" s="1471" t="n"/>
      <c r="BF199" s="1471" t="n"/>
      <c r="BG199" s="1471" t="n"/>
      <c r="BH199" s="1471" t="n"/>
      <c r="BI199" s="1469" t="n"/>
      <c r="BJ199" s="1471" t="n"/>
      <c r="BK199" s="1471" t="n"/>
      <c r="BL199" s="1471" t="n"/>
      <c r="BM199" s="1471" t="n"/>
      <c r="BN199" s="1469" t="n"/>
      <c r="BO199" s="1471" t="n"/>
      <c r="BP199" s="1471" t="n"/>
      <c r="BQ199" s="1487" t="n"/>
      <c r="BR199" s="1471" t="n"/>
      <c r="BS199" s="1469" t="n"/>
      <c r="BT199" s="1471" t="n"/>
      <c r="BU199" s="1471" t="n"/>
      <c r="BV199" s="1471" t="n"/>
      <c r="BW199" s="1471" t="n"/>
      <c r="BX199" s="1469" t="n"/>
      <c r="BY199" s="1469" t="n"/>
      <c r="BZ199" s="1469" t="n"/>
      <c r="CA199" s="1469" t="n"/>
      <c r="CB199" s="1465" t="n"/>
    </row>
    <row r="200" hidden="1" outlineLevel="1" ht="14.4" customFormat="1" customHeight="1" s="1372">
      <c r="A200" s="1373" t="inlineStr">
        <is>
          <t>Segmented Results - Services (FS)</t>
        </is>
      </c>
      <c r="B200" s="1373" t="n"/>
      <c r="C200" s="1373" t="n"/>
      <c r="D200" s="1373" t="n"/>
      <c r="E200" s="1373" t="n"/>
      <c r="F200" s="1373" t="n"/>
      <c r="G200" s="1373" t="n"/>
      <c r="H200" s="1373" t="n"/>
      <c r="I200" s="1373" t="n"/>
      <c r="J200" s="1373" t="n"/>
      <c r="K200" s="1373" t="n"/>
      <c r="L200" s="1373" t="n"/>
      <c r="M200" s="1373" t="n"/>
      <c r="N200" s="1373" t="n"/>
      <c r="O200" s="1373" t="n"/>
      <c r="P200" s="1373" t="n"/>
      <c r="Q200" s="1373" t="n"/>
      <c r="R200" s="1373" t="n"/>
      <c r="S200" s="1373" t="n"/>
      <c r="T200" s="1373" t="n"/>
      <c r="U200" s="1373" t="n"/>
      <c r="V200" s="1373" t="n"/>
      <c r="W200" s="1373" t="n"/>
      <c r="X200" s="1373" t="n"/>
      <c r="Y200" s="1373" t="n"/>
      <c r="Z200" s="1373" t="n"/>
      <c r="AA200" s="1373" t="n"/>
      <c r="AB200" s="1373" t="n"/>
      <c r="AC200" s="1373" t="n"/>
      <c r="AD200" s="1373" t="n"/>
      <c r="AE200" s="1373" t="n"/>
      <c r="AF200" s="1373" t="n"/>
      <c r="AG200" s="1373" t="n"/>
      <c r="AH200" s="1373" t="n"/>
      <c r="AI200" s="1373" t="n"/>
      <c r="AJ200" s="1373" t="n"/>
      <c r="AK200" s="1373" t="n"/>
      <c r="AL200" s="1373" t="n"/>
      <c r="AM200" s="1373" t="n"/>
      <c r="AN200" s="1373" t="n"/>
      <c r="AO200" s="1373" t="n"/>
      <c r="AP200" s="1373" t="n"/>
      <c r="AQ200" s="1373" t="n"/>
      <c r="AR200" s="1373" t="n"/>
      <c r="AS200" s="1373" t="n"/>
      <c r="AT200" s="1373" t="n"/>
      <c r="AU200" s="1373" t="n"/>
      <c r="AV200" s="1373" t="n"/>
      <c r="AW200" s="1373" t="n"/>
      <c r="AX200" s="1373" t="n"/>
      <c r="AY200" s="1373" t="n"/>
      <c r="AZ200" s="1373" t="n"/>
      <c r="BA200" s="1373" t="n"/>
      <c r="BB200" s="1373" t="n"/>
      <c r="BC200" s="1373" t="n"/>
      <c r="BD200" s="1373" t="n"/>
      <c r="BE200" s="1373" t="n"/>
      <c r="BF200" s="1373" t="n"/>
      <c r="BG200" s="1373" t="n"/>
      <c r="BH200" s="1373" t="n"/>
      <c r="BI200" s="1373" t="n"/>
      <c r="BJ200" s="1373" t="n"/>
      <c r="BK200" s="1373" t="n"/>
      <c r="BL200" s="1373" t="n"/>
      <c r="BM200" s="1373" t="n"/>
      <c r="BN200" s="1373" t="n"/>
      <c r="BO200" s="1373" t="n"/>
      <c r="BP200" s="1373" t="n"/>
      <c r="BQ200" s="1374" t="n"/>
      <c r="BR200" s="1373" t="n"/>
      <c r="BS200" s="1373" t="n"/>
      <c r="BT200" s="1373" t="n"/>
      <c r="BU200" s="1373" t="n"/>
      <c r="BV200" s="1373" t="n"/>
      <c r="BW200" s="1373" t="n"/>
      <c r="BX200" s="1373" t="n"/>
      <c r="BY200" s="1373" t="n"/>
      <c r="BZ200" s="1373" t="n"/>
      <c r="CA200" s="1373" t="n"/>
      <c r="CB200" s="1375" t="n"/>
    </row>
    <row r="201" hidden="1" outlineLevel="2" ht="14.4" customFormat="1" customHeight="1" s="1372">
      <c r="A201" s="1452" t="inlineStr">
        <is>
          <t>Services revenue, mm</t>
        </is>
      </c>
      <c r="B201" s="1448" t="n"/>
      <c r="C201" s="1449">
        <f>C340</f>
        <v/>
      </c>
      <c r="D201" s="1449">
        <f>D340</f>
        <v/>
      </c>
      <c r="E201" s="1458">
        <f>E340</f>
        <v/>
      </c>
      <c r="F201" s="1458">
        <f>F340</f>
        <v/>
      </c>
      <c r="G201" s="1375">
        <f>G340</f>
        <v/>
      </c>
      <c r="H201" s="1375">
        <f>H340</f>
        <v/>
      </c>
      <c r="I201" s="1375">
        <f>I340</f>
        <v/>
      </c>
      <c r="J201" s="1375">
        <f>J340</f>
        <v/>
      </c>
      <c r="K201" s="1458">
        <f>K340</f>
        <v/>
      </c>
      <c r="L201" s="1375">
        <f>L340</f>
        <v/>
      </c>
      <c r="M201" s="1375">
        <f>M340</f>
        <v/>
      </c>
      <c r="N201" s="1375">
        <f>N340</f>
        <v/>
      </c>
      <c r="O201" s="1375">
        <f>O340</f>
        <v/>
      </c>
      <c r="P201" s="1458">
        <f>P340</f>
        <v/>
      </c>
      <c r="Q201" s="1375">
        <f>Q340</f>
        <v/>
      </c>
      <c r="R201" s="1375">
        <f>R340</f>
        <v/>
      </c>
      <c r="S201" s="1375">
        <f>S340</f>
        <v/>
      </c>
      <c r="T201" s="1375">
        <f>T340</f>
        <v/>
      </c>
      <c r="U201" s="1458">
        <f>U340</f>
        <v/>
      </c>
      <c r="V201" s="1375">
        <f>V340</f>
        <v/>
      </c>
      <c r="W201" s="1375">
        <f>W340</f>
        <v/>
      </c>
      <c r="X201" s="1375">
        <f>X340</f>
        <v/>
      </c>
      <c r="Y201" s="1450">
        <f>Y340</f>
        <v/>
      </c>
      <c r="Z201" s="1449">
        <f>Z340</f>
        <v/>
      </c>
      <c r="AA201" s="1375">
        <f>AA340</f>
        <v/>
      </c>
      <c r="AB201" s="1375">
        <f>AB340</f>
        <v/>
      </c>
      <c r="AC201" s="1375">
        <f>AC340</f>
        <v/>
      </c>
      <c r="AD201" s="1450">
        <f>AD340</f>
        <v/>
      </c>
      <c r="AE201" s="1449">
        <f>AE340</f>
        <v/>
      </c>
      <c r="AF201" s="1375">
        <f>AF340</f>
        <v/>
      </c>
      <c r="AG201" s="1375">
        <f>AG340</f>
        <v/>
      </c>
      <c r="AH201" s="1375">
        <f>AH340</f>
        <v/>
      </c>
      <c r="AI201" s="1450">
        <f>AI340</f>
        <v/>
      </c>
      <c r="AJ201" s="1449">
        <f>AJ340</f>
        <v/>
      </c>
      <c r="AK201" s="1375">
        <f>AK340</f>
        <v/>
      </c>
      <c r="AL201" s="1375">
        <f>AL340</f>
        <v/>
      </c>
      <c r="AM201" s="1375">
        <f>AM340</f>
        <v/>
      </c>
      <c r="AN201" s="1450">
        <f>AN340</f>
        <v/>
      </c>
      <c r="AO201" s="1449">
        <f>AO340</f>
        <v/>
      </c>
      <c r="AP201" s="1375">
        <f>AP340</f>
        <v/>
      </c>
      <c r="AQ201" s="1375">
        <f>AQ340</f>
        <v/>
      </c>
      <c r="AR201" s="1375">
        <f>AR340</f>
        <v/>
      </c>
      <c r="AS201" s="1450">
        <f>AS340</f>
        <v/>
      </c>
      <c r="AT201" s="1449">
        <f>AT340</f>
        <v/>
      </c>
      <c r="AU201" s="1375">
        <f>AU340</f>
        <v/>
      </c>
      <c r="AV201" s="1375">
        <f>AV340</f>
        <v/>
      </c>
      <c r="AW201" s="1375">
        <f>AW340</f>
        <v/>
      </c>
      <c r="AX201" s="1450">
        <f>AX340</f>
        <v/>
      </c>
      <c r="AY201" s="1449">
        <f>AY340</f>
        <v/>
      </c>
      <c r="AZ201" s="1375">
        <f>AZ340</f>
        <v/>
      </c>
      <c r="BA201" s="1375">
        <f>BA340</f>
        <v/>
      </c>
      <c r="BB201" s="1375">
        <f>BB340</f>
        <v/>
      </c>
      <c r="BC201" s="1450">
        <f>BC340</f>
        <v/>
      </c>
      <c r="BD201" s="1449">
        <f>BD340</f>
        <v/>
      </c>
      <c r="BE201" s="1375">
        <f>BE340</f>
        <v/>
      </c>
      <c r="BF201" s="1375">
        <f>BF340</f>
        <v/>
      </c>
      <c r="BG201" s="1375">
        <f>BG340</f>
        <v/>
      </c>
      <c r="BH201" s="1450">
        <f>BH340</f>
        <v/>
      </c>
      <c r="BI201" s="1449">
        <f>BI340</f>
        <v/>
      </c>
      <c r="BJ201" s="1375">
        <f>BJ340</f>
        <v/>
      </c>
      <c r="BK201" s="1375">
        <f>BK340</f>
        <v/>
      </c>
      <c r="BL201" s="1375">
        <f>BL340</f>
        <v/>
      </c>
      <c r="BM201" s="1450">
        <f>BM340</f>
        <v/>
      </c>
      <c r="BN201" s="1449">
        <f>BN340</f>
        <v/>
      </c>
      <c r="BO201" s="1375">
        <f>BO340</f>
        <v/>
      </c>
      <c r="BP201" s="1375">
        <f>BP340</f>
        <v/>
      </c>
      <c r="BQ201" s="1459">
        <f>BQ340</f>
        <v/>
      </c>
      <c r="BR201" s="1450" t="n"/>
      <c r="BS201" s="1449" t="n"/>
      <c r="BT201" s="1450" t="n"/>
      <c r="BU201" s="1450" t="n"/>
      <c r="BV201" s="1450" t="n"/>
      <c r="BW201" s="1450" t="n"/>
      <c r="BX201" s="1449" t="n"/>
      <c r="BY201" s="1449" t="n"/>
      <c r="BZ201" s="1449" t="n"/>
      <c r="CA201" s="1449" t="n"/>
      <c r="CB201" s="1375" t="n"/>
    </row>
    <row r="202" hidden="1" outlineLevel="2" ht="14.4" customFormat="1" customHeight="1" s="1372">
      <c r="A202" s="1408" t="inlineStr">
        <is>
          <t>Y/Y Services revenue growth, %</t>
        </is>
      </c>
      <c r="B202" s="1381" t="n"/>
      <c r="C202" s="1382" t="n"/>
      <c r="D202" s="1382">
        <f>D201/C201-1</f>
        <v/>
      </c>
      <c r="E202" s="1383">
        <f>E201/D201-1</f>
        <v/>
      </c>
      <c r="F202" s="1383">
        <f>F201/E201-1</f>
        <v/>
      </c>
      <c r="G202" s="1384" t="n"/>
      <c r="H202" s="1384" t="n"/>
      <c r="I202" s="1384" t="n"/>
      <c r="J202" s="1384" t="n"/>
      <c r="K202" s="1383">
        <f>K201/F201-1</f>
        <v/>
      </c>
      <c r="L202" s="1385">
        <f>L201/G201-1</f>
        <v/>
      </c>
      <c r="M202" s="1385">
        <f>M201/H201-1</f>
        <v/>
      </c>
      <c r="N202" s="1385">
        <f>N201/I201-1</f>
        <v/>
      </c>
      <c r="O202" s="1385">
        <f>O201/J201-1</f>
        <v/>
      </c>
      <c r="P202" s="1383">
        <f>P201/K201-1</f>
        <v/>
      </c>
      <c r="Q202" s="1385">
        <f>Q201/L201-1</f>
        <v/>
      </c>
      <c r="R202" s="1385">
        <f>R201/M201-1</f>
        <v/>
      </c>
      <c r="S202" s="1385">
        <f>S201/N201-1</f>
        <v/>
      </c>
      <c r="T202" s="1385">
        <f>T201/O201-1</f>
        <v/>
      </c>
      <c r="U202" s="1383">
        <f>U201/P201-1</f>
        <v/>
      </c>
      <c r="V202" s="1385">
        <f>V201/Q201-1</f>
        <v/>
      </c>
      <c r="W202" s="1385">
        <f>W201/R201-1</f>
        <v/>
      </c>
      <c r="X202" s="1385">
        <f>X201/S201-1</f>
        <v/>
      </c>
      <c r="Y202" s="1384">
        <f>Y201/T201-1</f>
        <v/>
      </c>
      <c r="Z202" s="1382">
        <f>Z201/U201-1</f>
        <v/>
      </c>
      <c r="AA202" s="1385">
        <f>AA201/V201-1</f>
        <v/>
      </c>
      <c r="AB202" s="1385">
        <f>AB201/W201-1</f>
        <v/>
      </c>
      <c r="AC202" s="1385">
        <f>AC201/X201-1</f>
        <v/>
      </c>
      <c r="AD202" s="1384">
        <f>AD201/Y201-1</f>
        <v/>
      </c>
      <c r="AE202" s="1382">
        <f>AE201/Z201-1</f>
        <v/>
      </c>
      <c r="AF202" s="1385">
        <f>AF201/AA201-1</f>
        <v/>
      </c>
      <c r="AG202" s="1385">
        <f>AG201/AB201-1</f>
        <v/>
      </c>
      <c r="AH202" s="1385">
        <f>AH201/AC201-1</f>
        <v/>
      </c>
      <c r="AI202" s="1384">
        <f>AI201/AD201-1</f>
        <v/>
      </c>
      <c r="AJ202" s="1382">
        <f>AJ201/AE201-1</f>
        <v/>
      </c>
      <c r="AK202" s="1385">
        <f>AK201/AF201-1</f>
        <v/>
      </c>
      <c r="AL202" s="1385">
        <f>AL201/AG201-1</f>
        <v/>
      </c>
      <c r="AM202" s="1385">
        <f>AM201/AH201-1</f>
        <v/>
      </c>
      <c r="AN202" s="1384">
        <f>AN201/AI201-1</f>
        <v/>
      </c>
      <c r="AO202" s="1382">
        <f>AO201/AJ201-1</f>
        <v/>
      </c>
      <c r="AP202" s="1385">
        <f>AP201/AK201-1</f>
        <v/>
      </c>
      <c r="AQ202" s="1385">
        <f>AQ201/AL201-1</f>
        <v/>
      </c>
      <c r="AR202" s="1385">
        <f>AR201/AM201-1</f>
        <v/>
      </c>
      <c r="AS202" s="1384">
        <f>AS201/AN201-1</f>
        <v/>
      </c>
      <c r="AT202" s="1382">
        <f>AT201/AO201-1</f>
        <v/>
      </c>
      <c r="AU202" s="1385">
        <f>AU201/AP201-1</f>
        <v/>
      </c>
      <c r="AV202" s="1385">
        <f>AV201/AQ201-1</f>
        <v/>
      </c>
      <c r="AW202" s="1385">
        <f>AW201/AR201-1</f>
        <v/>
      </c>
      <c r="AX202" s="1384">
        <f>AX201/AS201-1</f>
        <v/>
      </c>
      <c r="AY202" s="1382">
        <f>AY201/AT201-1</f>
        <v/>
      </c>
      <c r="AZ202" s="1385">
        <f>AZ201/AU201-1</f>
        <v/>
      </c>
      <c r="BA202" s="1385">
        <f>BA201/AV201-1</f>
        <v/>
      </c>
      <c r="BB202" s="1385">
        <f>BB201/AW201-1</f>
        <v/>
      </c>
      <c r="BC202" s="1384">
        <f>BC201/AX201-1</f>
        <v/>
      </c>
      <c r="BD202" s="1382">
        <f>BD201/AY201-1</f>
        <v/>
      </c>
      <c r="BE202" s="1385">
        <f>BE201/AZ201-1</f>
        <v/>
      </c>
      <c r="BF202" s="1385">
        <f>BF201/BA201-1</f>
        <v/>
      </c>
      <c r="BG202" s="1385">
        <f>BG201/BB201-1</f>
        <v/>
      </c>
      <c r="BH202" s="1384">
        <f>BH201/BC201-1</f>
        <v/>
      </c>
      <c r="BI202" s="1382">
        <f>BI201/BD201-1</f>
        <v/>
      </c>
      <c r="BJ202" s="1385">
        <f>BJ201/BE201-1</f>
        <v/>
      </c>
      <c r="BK202" s="1385">
        <f>BK201/BF201-1</f>
        <v/>
      </c>
      <c r="BL202" s="1385">
        <f>BL201/BG201-1</f>
        <v/>
      </c>
      <c r="BM202" s="1384">
        <f>BM201/BH201-1</f>
        <v/>
      </c>
      <c r="BN202" s="1382">
        <f>BN201/BI201-1</f>
        <v/>
      </c>
      <c r="BO202" s="1385">
        <f>BO201/BJ201-1</f>
        <v/>
      </c>
      <c r="BP202" s="1385">
        <f>BP201/BK201-1</f>
        <v/>
      </c>
      <c r="BQ202" s="1397">
        <f>BQ201/BL201-1</f>
        <v/>
      </c>
      <c r="BR202" s="1384" t="n"/>
      <c r="BS202" s="1382" t="n"/>
      <c r="BT202" s="1384" t="n"/>
      <c r="BU202" s="1384" t="n"/>
      <c r="BV202" s="1384" t="n"/>
      <c r="BW202" s="1384" t="n"/>
      <c r="BX202" s="1382" t="n"/>
      <c r="BY202" s="1382" t="n"/>
      <c r="BZ202" s="1382" t="n"/>
      <c r="CA202" s="1382" t="n"/>
      <c r="CB202" s="1375" t="n"/>
    </row>
    <row r="203" hidden="1" outlineLevel="2" ht="14.4" customFormat="1" customHeight="1" s="1359">
      <c r="A203" s="1503" t="n"/>
      <c r="B203" s="1377" t="n"/>
      <c r="C203" s="1379" t="n"/>
      <c r="D203" s="1379" t="n"/>
      <c r="E203" s="1379" t="n"/>
      <c r="F203" s="1379" t="n"/>
      <c r="G203" s="1361" t="n"/>
      <c r="H203" s="1361" t="n"/>
      <c r="I203" s="1361" t="n"/>
      <c r="J203" s="1361" t="n"/>
      <c r="K203" s="1379" t="n"/>
      <c r="L203" s="1361" t="n"/>
      <c r="M203" s="1361" t="n"/>
      <c r="N203" s="1361" t="n"/>
      <c r="O203" s="1361" t="n"/>
      <c r="P203" s="1379" t="n"/>
      <c r="Q203" s="1361" t="n"/>
      <c r="R203" s="1361" t="n"/>
      <c r="S203" s="1361" t="n"/>
      <c r="T203" s="1361" t="n"/>
      <c r="U203" s="1379" t="n"/>
      <c r="V203" s="1361" t="n"/>
      <c r="W203" s="1361" t="n"/>
      <c r="X203" s="1361" t="n"/>
      <c r="Y203" s="1361" t="n"/>
      <c r="Z203" s="1379" t="n"/>
      <c r="AA203" s="1361" t="n"/>
      <c r="AB203" s="1361" t="n"/>
      <c r="AC203" s="1361" t="n"/>
      <c r="AD203" s="1361" t="n"/>
      <c r="AE203" s="1379" t="n"/>
      <c r="AF203" s="1361" t="n"/>
      <c r="AG203" s="1361" t="n"/>
      <c r="AH203" s="1361" t="n"/>
      <c r="AI203" s="1361" t="n"/>
      <c r="AJ203" s="1379" t="n"/>
      <c r="AK203" s="1361" t="n"/>
      <c r="AL203" s="1361" t="n"/>
      <c r="AM203" s="1361" t="n"/>
      <c r="AN203" s="1361" t="n"/>
      <c r="AO203" s="1379" t="n"/>
      <c r="AP203" s="1361" t="n"/>
      <c r="AQ203" s="1361" t="n"/>
      <c r="AR203" s="1361" t="n"/>
      <c r="AS203" s="1361" t="n"/>
      <c r="AT203" s="1379" t="n"/>
      <c r="AU203" s="1361" t="n"/>
      <c r="AV203" s="1361" t="n"/>
      <c r="AW203" s="1361" t="n"/>
      <c r="AX203" s="1361" t="n"/>
      <c r="AY203" s="1379" t="n"/>
      <c r="AZ203" s="1361" t="n"/>
      <c r="BA203" s="1361" t="n"/>
      <c r="BB203" s="1361" t="n"/>
      <c r="BC203" s="1361" t="n"/>
      <c r="BD203" s="1379" t="n"/>
      <c r="BE203" s="1361" t="n"/>
      <c r="BF203" s="1361" t="n"/>
      <c r="BG203" s="1361" t="n"/>
      <c r="BH203" s="1361" t="n"/>
      <c r="BI203" s="1379" t="n"/>
      <c r="BJ203" s="1361" t="n"/>
      <c r="BK203" s="1361" t="n"/>
      <c r="BL203" s="1361" t="n"/>
      <c r="BM203" s="1361" t="n"/>
      <c r="BN203" s="1379" t="n"/>
      <c r="BO203" s="1361" t="n"/>
      <c r="BP203" s="1361" t="n"/>
      <c r="BQ203" s="1363" t="n"/>
      <c r="BR203" s="1361" t="n"/>
      <c r="BS203" s="1379" t="n"/>
      <c r="BT203" s="1361" t="n"/>
      <c r="BU203" s="1361" t="n"/>
      <c r="BV203" s="1361" t="n"/>
      <c r="BW203" s="1361" t="n"/>
      <c r="BX203" s="1379" t="n"/>
      <c r="BY203" s="1379" t="n"/>
      <c r="BZ203" s="1379" t="n"/>
      <c r="CA203" s="1379" t="n"/>
      <c r="CB203" s="1364" t="n"/>
    </row>
    <row r="204" hidden="1" outlineLevel="2" ht="14.4" customFormat="1" customHeight="1" s="1359">
      <c r="A204" s="1453" t="inlineStr">
        <is>
          <t>Services GAAP cost of revenue, mm</t>
        </is>
      </c>
      <c r="B204" s="1454" t="n"/>
      <c r="C204" s="1455">
        <f>C344</f>
        <v/>
      </c>
      <c r="D204" s="1455">
        <f>D344</f>
        <v/>
      </c>
      <c r="E204" s="1518">
        <f>E344</f>
        <v/>
      </c>
      <c r="F204" s="1518">
        <f>F344</f>
        <v/>
      </c>
      <c r="G204" s="1510">
        <f>G344</f>
        <v/>
      </c>
      <c r="H204" s="1510">
        <f>H344</f>
        <v/>
      </c>
      <c r="I204" s="1510">
        <f>I344</f>
        <v/>
      </c>
      <c r="J204" s="1510">
        <f>J344</f>
        <v/>
      </c>
      <c r="K204" s="1518">
        <f>K344</f>
        <v/>
      </c>
      <c r="L204" s="1510">
        <f>L344</f>
        <v/>
      </c>
      <c r="M204" s="1510">
        <f>M344</f>
        <v/>
      </c>
      <c r="N204" s="1510">
        <f>N344</f>
        <v/>
      </c>
      <c r="O204" s="1510">
        <f>O344</f>
        <v/>
      </c>
      <c r="P204" s="1518">
        <f>P344</f>
        <v/>
      </c>
      <c r="Q204" s="1510">
        <f>Q344</f>
        <v/>
      </c>
      <c r="R204" s="1510">
        <f>R344</f>
        <v/>
      </c>
      <c r="S204" s="1510">
        <f>S344</f>
        <v/>
      </c>
      <c r="T204" s="1510">
        <f>T344</f>
        <v/>
      </c>
      <c r="U204" s="1518">
        <f>U344</f>
        <v/>
      </c>
      <c r="V204" s="1510">
        <f>V344</f>
        <v/>
      </c>
      <c r="W204" s="1510">
        <f>W344</f>
        <v/>
      </c>
      <c r="X204" s="1510">
        <f>X344</f>
        <v/>
      </c>
      <c r="Y204" s="1456">
        <f>Y344</f>
        <v/>
      </c>
      <c r="Z204" s="1455">
        <f>Z344</f>
        <v/>
      </c>
      <c r="AA204" s="1510">
        <f>AA344</f>
        <v/>
      </c>
      <c r="AB204" s="1510">
        <f>AB344</f>
        <v/>
      </c>
      <c r="AC204" s="1510">
        <f>AC344</f>
        <v/>
      </c>
      <c r="AD204" s="1456">
        <f>AD344</f>
        <v/>
      </c>
      <c r="AE204" s="1455">
        <f>AE344</f>
        <v/>
      </c>
      <c r="AF204" s="1510">
        <f>AF344</f>
        <v/>
      </c>
      <c r="AG204" s="1510">
        <f>AG344</f>
        <v/>
      </c>
      <c r="AH204" s="1510">
        <f>AH344</f>
        <v/>
      </c>
      <c r="AI204" s="1456">
        <f>AI344</f>
        <v/>
      </c>
      <c r="AJ204" s="1455">
        <f>AJ344</f>
        <v/>
      </c>
      <c r="AK204" s="1510">
        <f>AK344</f>
        <v/>
      </c>
      <c r="AL204" s="1510">
        <f>AL344</f>
        <v/>
      </c>
      <c r="AM204" s="1510">
        <f>AM344</f>
        <v/>
      </c>
      <c r="AN204" s="1456">
        <f>AN344</f>
        <v/>
      </c>
      <c r="AO204" s="1455">
        <f>AO344</f>
        <v/>
      </c>
      <c r="AP204" s="1510">
        <f>AP344</f>
        <v/>
      </c>
      <c r="AQ204" s="1510">
        <f>AQ344</f>
        <v/>
      </c>
      <c r="AR204" s="1510">
        <f>AR344</f>
        <v/>
      </c>
      <c r="AS204" s="1456">
        <f>AS344</f>
        <v/>
      </c>
      <c r="AT204" s="1455">
        <f>AT344</f>
        <v/>
      </c>
      <c r="AU204" s="1510">
        <f>AU344</f>
        <v/>
      </c>
      <c r="AV204" s="1510">
        <f>AV344</f>
        <v/>
      </c>
      <c r="AW204" s="1510">
        <f>AW344</f>
        <v/>
      </c>
      <c r="AX204" s="1456">
        <f>AX344</f>
        <v/>
      </c>
      <c r="AY204" s="1455">
        <f>AY344</f>
        <v/>
      </c>
      <c r="AZ204" s="1510">
        <f>AZ344</f>
        <v/>
      </c>
      <c r="BA204" s="1510">
        <f>BA344</f>
        <v/>
      </c>
      <c r="BB204" s="1510">
        <f>BB344</f>
        <v/>
      </c>
      <c r="BC204" s="1456">
        <f>BC344</f>
        <v/>
      </c>
      <c r="BD204" s="1455">
        <f>BD344</f>
        <v/>
      </c>
      <c r="BE204" s="1510">
        <f>BE344</f>
        <v/>
      </c>
      <c r="BF204" s="1510">
        <f>BF344</f>
        <v/>
      </c>
      <c r="BG204" s="1510">
        <f>BG344</f>
        <v/>
      </c>
      <c r="BH204" s="1456">
        <f>BH344</f>
        <v/>
      </c>
      <c r="BI204" s="1455">
        <f>BI344</f>
        <v/>
      </c>
      <c r="BJ204" s="1510">
        <f>BJ344</f>
        <v/>
      </c>
      <c r="BK204" s="1510">
        <f>BK344</f>
        <v/>
      </c>
      <c r="BL204" s="1510">
        <f>BL344</f>
        <v/>
      </c>
      <c r="BM204" s="1456">
        <f>BM344</f>
        <v/>
      </c>
      <c r="BN204" s="1455">
        <f>BN344</f>
        <v/>
      </c>
      <c r="BO204" s="1510">
        <f>BO344</f>
        <v/>
      </c>
      <c r="BP204" s="1510">
        <f>BP344</f>
        <v/>
      </c>
      <c r="BQ204" s="1511">
        <f>BQ344</f>
        <v/>
      </c>
      <c r="BR204" s="1456" t="n"/>
      <c r="BS204" s="1455" t="n"/>
      <c r="BT204" s="1456" t="n"/>
      <c r="BU204" s="1456" t="n"/>
      <c r="BV204" s="1456" t="n"/>
      <c r="BW204" s="1456" t="n"/>
      <c r="BX204" s="1455" t="n"/>
      <c r="BY204" s="1455" t="n"/>
      <c r="BZ204" s="1455" t="n"/>
      <c r="CA204" s="1455" t="n"/>
      <c r="CB204" s="1364" t="n"/>
    </row>
    <row r="205" hidden="1" outlineLevel="2" ht="14.4" customFormat="1" customHeight="1" s="1372">
      <c r="A205" s="1452" t="inlineStr">
        <is>
          <t>Services GAAP Gross Profit, mm</t>
        </is>
      </c>
      <c r="B205" s="1448" t="n"/>
      <c r="C205" s="1458">
        <f>C201-C204</f>
        <v/>
      </c>
      <c r="D205" s="1458">
        <f>D201-D204</f>
        <v/>
      </c>
      <c r="E205" s="1458">
        <f>E201-E204</f>
        <v/>
      </c>
      <c r="F205" s="1458">
        <f>F201-F204</f>
        <v/>
      </c>
      <c r="G205" s="1375">
        <f>G201-G204</f>
        <v/>
      </c>
      <c r="H205" s="1375">
        <f>H201-H204</f>
        <v/>
      </c>
      <c r="I205" s="1375">
        <f>I201-I204</f>
        <v/>
      </c>
      <c r="J205" s="1375">
        <f>J201-J204</f>
        <v/>
      </c>
      <c r="K205" s="1458">
        <f>K201-K204</f>
        <v/>
      </c>
      <c r="L205" s="1375">
        <f>L201-L204</f>
        <v/>
      </c>
      <c r="M205" s="1375">
        <f>M201-M204</f>
        <v/>
      </c>
      <c r="N205" s="1375">
        <f>N201-N204</f>
        <v/>
      </c>
      <c r="O205" s="1375">
        <f>O201-O204</f>
        <v/>
      </c>
      <c r="P205" s="1458">
        <f>P201-P204</f>
        <v/>
      </c>
      <c r="Q205" s="1375">
        <f>Q201-Q204</f>
        <v/>
      </c>
      <c r="R205" s="1375">
        <f>R201-R204</f>
        <v/>
      </c>
      <c r="S205" s="1375">
        <f>S201-S204</f>
        <v/>
      </c>
      <c r="T205" s="1375">
        <f>T201-T204</f>
        <v/>
      </c>
      <c r="U205" s="1458">
        <f>U201-U204</f>
        <v/>
      </c>
      <c r="V205" s="1375">
        <f>V201-V204</f>
        <v/>
      </c>
      <c r="W205" s="1375">
        <f>W201-W204</f>
        <v/>
      </c>
      <c r="X205" s="1375">
        <f>X201-X204</f>
        <v/>
      </c>
      <c r="Y205" s="1450">
        <f>Y201-Y204</f>
        <v/>
      </c>
      <c r="Z205" s="1449">
        <f>Z201-Z204</f>
        <v/>
      </c>
      <c r="AA205" s="1375">
        <f>AA201-AA204</f>
        <v/>
      </c>
      <c r="AB205" s="1375">
        <f>AB201-AB204</f>
        <v/>
      </c>
      <c r="AC205" s="1375">
        <f>AC201-AC204</f>
        <v/>
      </c>
      <c r="AD205" s="1450">
        <f>AD201-AD204</f>
        <v/>
      </c>
      <c r="AE205" s="1449">
        <f>AE201-AE204</f>
        <v/>
      </c>
      <c r="AF205" s="1375">
        <f>AF201-AF204</f>
        <v/>
      </c>
      <c r="AG205" s="1375">
        <f>AG201-AG204</f>
        <v/>
      </c>
      <c r="AH205" s="1375">
        <f>AH201-AH204</f>
        <v/>
      </c>
      <c r="AI205" s="1450">
        <f>AI201-AI204</f>
        <v/>
      </c>
      <c r="AJ205" s="1449">
        <f>AJ201-AJ204</f>
        <v/>
      </c>
      <c r="AK205" s="1375">
        <f>AK201-AK204</f>
        <v/>
      </c>
      <c r="AL205" s="1375">
        <f>AL201-AL204</f>
        <v/>
      </c>
      <c r="AM205" s="1375">
        <f>AM201-AM204</f>
        <v/>
      </c>
      <c r="AN205" s="1450">
        <f>AN201-AN204</f>
        <v/>
      </c>
      <c r="AO205" s="1449">
        <f>AO201-AO204</f>
        <v/>
      </c>
      <c r="AP205" s="1375">
        <f>AP201-AP204</f>
        <v/>
      </c>
      <c r="AQ205" s="1375">
        <f>AQ201-AQ204</f>
        <v/>
      </c>
      <c r="AR205" s="1375">
        <f>AR201-AR204</f>
        <v/>
      </c>
      <c r="AS205" s="1450">
        <f>AS201-AS204</f>
        <v/>
      </c>
      <c r="AT205" s="1449">
        <f>AT201-AT204</f>
        <v/>
      </c>
      <c r="AU205" s="1375">
        <f>AU201-AU204</f>
        <v/>
      </c>
      <c r="AV205" s="1375">
        <f>AV201-AV204</f>
        <v/>
      </c>
      <c r="AW205" s="1375">
        <f>AW201-AW204</f>
        <v/>
      </c>
      <c r="AX205" s="1450">
        <f>AX201-AX204</f>
        <v/>
      </c>
      <c r="AY205" s="1449">
        <f>AY201-AY204</f>
        <v/>
      </c>
      <c r="AZ205" s="1375">
        <f>AZ201-AZ204</f>
        <v/>
      </c>
      <c r="BA205" s="1375">
        <f>BA201-BA204</f>
        <v/>
      </c>
      <c r="BB205" s="1375">
        <f>BB201-BB204</f>
        <v/>
      </c>
      <c r="BC205" s="1450">
        <f>BC201-BC204</f>
        <v/>
      </c>
      <c r="BD205" s="1449">
        <f>BD201-BD204</f>
        <v/>
      </c>
      <c r="BE205" s="1375">
        <f>BE201-BE204</f>
        <v/>
      </c>
      <c r="BF205" s="1375">
        <f>BF201-BF204</f>
        <v/>
      </c>
      <c r="BG205" s="1375">
        <f>BG201-BG204</f>
        <v/>
      </c>
      <c r="BH205" s="1450">
        <f>BH201-BH204</f>
        <v/>
      </c>
      <c r="BI205" s="1449">
        <f>BI201-BI204</f>
        <v/>
      </c>
      <c r="BJ205" s="1375">
        <f>BJ201-BJ204</f>
        <v/>
      </c>
      <c r="BK205" s="1375">
        <f>BK201-BK204</f>
        <v/>
      </c>
      <c r="BL205" s="1375">
        <f>BL201-BL204</f>
        <v/>
      </c>
      <c r="BM205" s="1450">
        <f>BM201-BM204</f>
        <v/>
      </c>
      <c r="BN205" s="1449">
        <f>BN201-BN204</f>
        <v/>
      </c>
      <c r="BO205" s="1375">
        <f>BO201-BO204</f>
        <v/>
      </c>
      <c r="BP205" s="1375">
        <f>BP201-BP204</f>
        <v/>
      </c>
      <c r="BQ205" s="1459">
        <f>BQ201-BQ204</f>
        <v/>
      </c>
      <c r="BR205" s="1450" t="n"/>
      <c r="BS205" s="1449" t="n"/>
      <c r="BT205" s="1450" t="n"/>
      <c r="BU205" s="1450" t="n"/>
      <c r="BV205" s="1450" t="n"/>
      <c r="BW205" s="1450" t="n"/>
      <c r="BX205" s="1449" t="n"/>
      <c r="BY205" s="1449" t="n"/>
      <c r="BZ205" s="1449" t="n"/>
      <c r="CA205" s="1449" t="n"/>
      <c r="CB205" s="1375" t="n"/>
    </row>
    <row r="206" hidden="1" outlineLevel="2" ht="14.4" customFormat="1" customHeight="1" s="1372">
      <c r="A206" s="1408" t="inlineStr">
        <is>
          <t>Y/Y Services GAAP Gross Profit growth, %</t>
        </is>
      </c>
      <c r="B206" s="1381" t="n"/>
      <c r="C206" s="1382" t="n"/>
      <c r="D206" s="1383">
        <f>D205/C205-1</f>
        <v/>
      </c>
      <c r="E206" s="1383">
        <f>E205/D205-1</f>
        <v/>
      </c>
      <c r="F206" s="1383">
        <f>F205/E205-1</f>
        <v/>
      </c>
      <c r="G206" s="1384" t="n"/>
      <c r="H206" s="1384" t="n"/>
      <c r="I206" s="1384" t="n"/>
      <c r="J206" s="1384" t="n"/>
      <c r="K206" s="1383">
        <f>K205/F205-1</f>
        <v/>
      </c>
      <c r="L206" s="1385">
        <f>L205/G205-1</f>
        <v/>
      </c>
      <c r="M206" s="1385">
        <f>M205/H205-1</f>
        <v/>
      </c>
      <c r="N206" s="1385">
        <f>N205/I205-1</f>
        <v/>
      </c>
      <c r="O206" s="1385">
        <f>O205/J205-1</f>
        <v/>
      </c>
      <c r="P206" s="1383">
        <f>P205/K205-1</f>
        <v/>
      </c>
      <c r="Q206" s="1385">
        <f>Q205/L205-1</f>
        <v/>
      </c>
      <c r="R206" s="1385">
        <f>R205/M205-1</f>
        <v/>
      </c>
      <c r="S206" s="1385">
        <f>S205/N205-1</f>
        <v/>
      </c>
      <c r="T206" s="1385">
        <f>T205/O205-1</f>
        <v/>
      </c>
      <c r="U206" s="1383">
        <f>U205/P205-1</f>
        <v/>
      </c>
      <c r="V206" s="1385">
        <f>V205/Q205-1</f>
        <v/>
      </c>
      <c r="W206" s="1385">
        <f>W205/R205-1</f>
        <v/>
      </c>
      <c r="X206" s="1385">
        <f>X205/S205-1</f>
        <v/>
      </c>
      <c r="Y206" s="1384">
        <f>Y205/T205-1</f>
        <v/>
      </c>
      <c r="Z206" s="1382">
        <f>Z205/U205-1</f>
        <v/>
      </c>
      <c r="AA206" s="1385">
        <f>AA205/V205-1</f>
        <v/>
      </c>
      <c r="AB206" s="1385">
        <f>AB205/W205-1</f>
        <v/>
      </c>
      <c r="AC206" s="1385">
        <f>AC205/X205-1</f>
        <v/>
      </c>
      <c r="AD206" s="1384">
        <f>AD205/Y205-1</f>
        <v/>
      </c>
      <c r="AE206" s="1382">
        <f>AE205/Z205-1</f>
        <v/>
      </c>
      <c r="AF206" s="1385">
        <f>AF205/AA205-1</f>
        <v/>
      </c>
      <c r="AG206" s="1385">
        <f>AG205/AB205-1</f>
        <v/>
      </c>
      <c r="AH206" s="1385">
        <f>AH205/AC205-1</f>
        <v/>
      </c>
      <c r="AI206" s="1384">
        <f>AI205/AD205-1</f>
        <v/>
      </c>
      <c r="AJ206" s="1382">
        <f>AJ205/AE205-1</f>
        <v/>
      </c>
      <c r="AK206" s="1385">
        <f>AK205/AF205-1</f>
        <v/>
      </c>
      <c r="AL206" s="1385">
        <f>AL205/AG205-1</f>
        <v/>
      </c>
      <c r="AM206" s="1385">
        <f>AM205/AH205-1</f>
        <v/>
      </c>
      <c r="AN206" s="1384">
        <f>AN205/AI205-1</f>
        <v/>
      </c>
      <c r="AO206" s="1382">
        <f>AO205/AJ205-1</f>
        <v/>
      </c>
      <c r="AP206" s="1385">
        <f>AP205/AK205-1</f>
        <v/>
      </c>
      <c r="AQ206" s="1385">
        <f>AQ205/AL205-1</f>
        <v/>
      </c>
      <c r="AR206" s="1385">
        <f>AR205/AM205-1</f>
        <v/>
      </c>
      <c r="AS206" s="1384">
        <f>AS205/AN205-1</f>
        <v/>
      </c>
      <c r="AT206" s="1382">
        <f>AT205/AO205-1</f>
        <v/>
      </c>
      <c r="AU206" s="1385">
        <f>AU205/AP205-1</f>
        <v/>
      </c>
      <c r="AV206" s="1385">
        <f>AV205/AQ205-1</f>
        <v/>
      </c>
      <c r="AW206" s="1385">
        <f>AW205/AR205-1</f>
        <v/>
      </c>
      <c r="AX206" s="1384">
        <f>AX205/AS205-1</f>
        <v/>
      </c>
      <c r="AY206" s="1382">
        <f>AY205/AT205-1</f>
        <v/>
      </c>
      <c r="AZ206" s="1385">
        <f>AZ205/AU205-1</f>
        <v/>
      </c>
      <c r="BA206" s="1385">
        <f>BA205/AV205-1</f>
        <v/>
      </c>
      <c r="BB206" s="1385">
        <f>BB205/AW205-1</f>
        <v/>
      </c>
      <c r="BC206" s="1384">
        <f>BC205/AX205-1</f>
        <v/>
      </c>
      <c r="BD206" s="1382">
        <f>BD205/AY205-1</f>
        <v/>
      </c>
      <c r="BE206" s="1385">
        <f>BE205/AZ205-1</f>
        <v/>
      </c>
      <c r="BF206" s="1385">
        <f>BF205/BA205-1</f>
        <v/>
      </c>
      <c r="BG206" s="1385">
        <f>BG205/BB205-1</f>
        <v/>
      </c>
      <c r="BH206" s="1384">
        <f>BH205/BC205-1</f>
        <v/>
      </c>
      <c r="BI206" s="1382">
        <f>BI205/BD205-1</f>
        <v/>
      </c>
      <c r="BJ206" s="1385">
        <f>BJ205/BE205-1</f>
        <v/>
      </c>
      <c r="BK206" s="1385">
        <f>BK205/BF205-1</f>
        <v/>
      </c>
      <c r="BL206" s="1385">
        <f>BL205/BG205-1</f>
        <v/>
      </c>
      <c r="BM206" s="1384">
        <f>BM205/BH205-1</f>
        <v/>
      </c>
      <c r="BN206" s="1382">
        <f>BN205/BI205-1</f>
        <v/>
      </c>
      <c r="BO206" s="1385">
        <f>BO205/BJ205-1</f>
        <v/>
      </c>
      <c r="BP206" s="1385">
        <f>BP205/BK205-1</f>
        <v/>
      </c>
      <c r="BQ206" s="1397">
        <f>BQ205/BL205-1</f>
        <v/>
      </c>
      <c r="BR206" s="1384" t="n"/>
      <c r="BS206" s="1382" t="n"/>
      <c r="BT206" s="1384" t="n"/>
      <c r="BU206" s="1384" t="n"/>
      <c r="BV206" s="1384" t="n"/>
      <c r="BW206" s="1384" t="n"/>
      <c r="BX206" s="1382" t="n"/>
      <c r="BY206" s="1382" t="n"/>
      <c r="BZ206" s="1382" t="n"/>
      <c r="CA206" s="1382" t="n"/>
      <c r="CB206" s="1375" t="n"/>
    </row>
    <row r="207" hidden="1" outlineLevel="2" ht="14.4" customFormat="1" customHeight="1" s="1460">
      <c r="A207" s="1461" t="inlineStr">
        <is>
          <t>Services GAAP Gross Profit margin, %</t>
        </is>
      </c>
      <c r="B207" s="1462" t="n"/>
      <c r="C207" s="1463">
        <f>C205/C201</f>
        <v/>
      </c>
      <c r="D207" s="1463">
        <f>D205/D201</f>
        <v/>
      </c>
      <c r="E207" s="1464">
        <f>E205/E201</f>
        <v/>
      </c>
      <c r="F207" s="1464">
        <f>F205/F201</f>
        <v/>
      </c>
      <c r="G207" s="1465">
        <f>G205/G201</f>
        <v/>
      </c>
      <c r="H207" s="1465">
        <f>H205/H201</f>
        <v/>
      </c>
      <c r="I207" s="1465">
        <f>I205/I201</f>
        <v/>
      </c>
      <c r="J207" s="1465">
        <f>J205/J201</f>
        <v/>
      </c>
      <c r="K207" s="1464">
        <f>K205/K201</f>
        <v/>
      </c>
      <c r="L207" s="1465">
        <f>L205/L201</f>
        <v/>
      </c>
      <c r="M207" s="1465">
        <f>M205/M201</f>
        <v/>
      </c>
      <c r="N207" s="1465">
        <f>N205/N201</f>
        <v/>
      </c>
      <c r="O207" s="1465">
        <f>O205/O201</f>
        <v/>
      </c>
      <c r="P207" s="1464">
        <f>P205/P201</f>
        <v/>
      </c>
      <c r="Q207" s="1465">
        <f>Q205/Q201</f>
        <v/>
      </c>
      <c r="R207" s="1465">
        <f>R205/R201</f>
        <v/>
      </c>
      <c r="S207" s="1465">
        <f>S205/S201</f>
        <v/>
      </c>
      <c r="T207" s="1465">
        <f>T205/T201</f>
        <v/>
      </c>
      <c r="U207" s="1464">
        <f>U205/U201</f>
        <v/>
      </c>
      <c r="V207" s="1465">
        <f>V205/V201</f>
        <v/>
      </c>
      <c r="W207" s="1465">
        <f>W205/W201</f>
        <v/>
      </c>
      <c r="X207" s="1465">
        <f>X205/X201</f>
        <v/>
      </c>
      <c r="Y207" s="1466">
        <f>Y205/Y201</f>
        <v/>
      </c>
      <c r="Z207" s="1463">
        <f>Z205/Z201</f>
        <v/>
      </c>
      <c r="AA207" s="1465">
        <f>AA205/AA201</f>
        <v/>
      </c>
      <c r="AB207" s="1465">
        <f>AB205/AB201</f>
        <v/>
      </c>
      <c r="AC207" s="1465">
        <f>AC205/AC201</f>
        <v/>
      </c>
      <c r="AD207" s="1466">
        <f>AD205/AD201</f>
        <v/>
      </c>
      <c r="AE207" s="1463">
        <f>AE205/AE201</f>
        <v/>
      </c>
      <c r="AF207" s="1465">
        <f>AF205/AF201</f>
        <v/>
      </c>
      <c r="AG207" s="1465">
        <f>AG205/AG201</f>
        <v/>
      </c>
      <c r="AH207" s="1465">
        <f>AH205/AH201</f>
        <v/>
      </c>
      <c r="AI207" s="1466">
        <f>AI205/AI201</f>
        <v/>
      </c>
      <c r="AJ207" s="1463">
        <f>AJ205/AJ201</f>
        <v/>
      </c>
      <c r="AK207" s="1465">
        <f>AK205/AK201</f>
        <v/>
      </c>
      <c r="AL207" s="1465">
        <f>AL205/AL201</f>
        <v/>
      </c>
      <c r="AM207" s="1465">
        <f>AM205/AM201</f>
        <v/>
      </c>
      <c r="AN207" s="1466">
        <f>AN205/AN201</f>
        <v/>
      </c>
      <c r="AO207" s="1463">
        <f>AO205/AO201</f>
        <v/>
      </c>
      <c r="AP207" s="1465">
        <f>AP205/AP201</f>
        <v/>
      </c>
      <c r="AQ207" s="1465">
        <f>AQ205/AQ201</f>
        <v/>
      </c>
      <c r="AR207" s="1465">
        <f>AR205/AR201</f>
        <v/>
      </c>
      <c r="AS207" s="1466">
        <f>AS205/AS201</f>
        <v/>
      </c>
      <c r="AT207" s="1463">
        <f>AT205/AT201</f>
        <v/>
      </c>
      <c r="AU207" s="1465">
        <f>AU205/AU201</f>
        <v/>
      </c>
      <c r="AV207" s="1465">
        <f>AV205/AV201</f>
        <v/>
      </c>
      <c r="AW207" s="1465">
        <f>AW205/AW201</f>
        <v/>
      </c>
      <c r="AX207" s="1466">
        <f>AX205/AX201</f>
        <v/>
      </c>
      <c r="AY207" s="1463">
        <f>AY205/AY201</f>
        <v/>
      </c>
      <c r="AZ207" s="1465">
        <f>AZ205/AZ201</f>
        <v/>
      </c>
      <c r="BA207" s="1465">
        <f>BA205/BA201</f>
        <v/>
      </c>
      <c r="BB207" s="1465">
        <f>BB205/BB201</f>
        <v/>
      </c>
      <c r="BC207" s="1466">
        <f>BC205/BC201</f>
        <v/>
      </c>
      <c r="BD207" s="1463">
        <f>BD205/BD201</f>
        <v/>
      </c>
      <c r="BE207" s="1465">
        <f>BE205/BE201</f>
        <v/>
      </c>
      <c r="BF207" s="1465">
        <f>BF205/BF201</f>
        <v/>
      </c>
      <c r="BG207" s="1465">
        <f>BG205/BG201</f>
        <v/>
      </c>
      <c r="BH207" s="1466">
        <f>BH205/BH201</f>
        <v/>
      </c>
      <c r="BI207" s="1463">
        <f>BI205/BI201</f>
        <v/>
      </c>
      <c r="BJ207" s="1465">
        <f>BJ205/BJ201</f>
        <v/>
      </c>
      <c r="BK207" s="1465">
        <f>BK205/BK201</f>
        <v/>
      </c>
      <c r="BL207" s="1465">
        <f>BL205/BL201</f>
        <v/>
      </c>
      <c r="BM207" s="1466">
        <f>BM205/BM201</f>
        <v/>
      </c>
      <c r="BN207" s="1463">
        <f>BN205/BN201</f>
        <v/>
      </c>
      <c r="BO207" s="1465">
        <f>BO205/BO201</f>
        <v/>
      </c>
      <c r="BP207" s="1465">
        <f>BP205/BP201</f>
        <v/>
      </c>
      <c r="BQ207" s="1467">
        <f>BQ205/BQ201</f>
        <v/>
      </c>
      <c r="BR207" s="1466" t="n"/>
      <c r="BS207" s="1463" t="n"/>
      <c r="BT207" s="1466" t="n"/>
      <c r="BU207" s="1466" t="n"/>
      <c r="BV207" s="1466" t="n"/>
      <c r="BW207" s="1466" t="n"/>
      <c r="BX207" s="1463" t="n"/>
      <c r="BY207" s="1463" t="n"/>
      <c r="BZ207" s="1463" t="n"/>
      <c r="CA207" s="1463" t="n"/>
      <c r="CB207" s="1465" t="n"/>
    </row>
    <row r="208" hidden="1" outlineLevel="2" ht="14.4" customFormat="1" customHeight="1" s="1460">
      <c r="A208" s="1468" t="inlineStr">
        <is>
          <t>Y/Y Services GAAP Gross Profit margin improvement, bps</t>
        </is>
      </c>
      <c r="B208" s="1462" t="n"/>
      <c r="C208" s="1469" t="n"/>
      <c r="D208" s="1469">
        <f>(D207-C207)*10000</f>
        <v/>
      </c>
      <c r="E208" s="1470">
        <f>(E207-D207)*10000</f>
        <v/>
      </c>
      <c r="F208" s="1470">
        <f>(F207-E207)*10000</f>
        <v/>
      </c>
      <c r="G208" s="1471" t="n"/>
      <c r="H208" s="1471" t="n"/>
      <c r="I208" s="1471" t="n"/>
      <c r="J208" s="1471" t="n"/>
      <c r="K208" s="1470">
        <f>(K207-F207)*10000</f>
        <v/>
      </c>
      <c r="L208" s="1472">
        <f>(L207-G207)*10000</f>
        <v/>
      </c>
      <c r="M208" s="1472">
        <f>(M207-H207)*10000</f>
        <v/>
      </c>
      <c r="N208" s="1472">
        <f>(N207-I207)*10000</f>
        <v/>
      </c>
      <c r="O208" s="1472">
        <f>(O207-J207)*10000</f>
        <v/>
      </c>
      <c r="P208" s="1470">
        <f>(P207-K207)*10000</f>
        <v/>
      </c>
      <c r="Q208" s="1472">
        <f>(Q207-L207)*10000</f>
        <v/>
      </c>
      <c r="R208" s="1472">
        <f>(R207-M207)*10000</f>
        <v/>
      </c>
      <c r="S208" s="1472">
        <f>(S207-N207)*10000</f>
        <v/>
      </c>
      <c r="T208" s="1472">
        <f>(T207-O207)*10000</f>
        <v/>
      </c>
      <c r="U208" s="1470">
        <f>(U207-P207)*10000</f>
        <v/>
      </c>
      <c r="V208" s="1472">
        <f>(V207-Q207)*10000</f>
        <v/>
      </c>
      <c r="W208" s="1472">
        <f>(W207-R207)*10000</f>
        <v/>
      </c>
      <c r="X208" s="1472">
        <f>(X207-S207)*10000</f>
        <v/>
      </c>
      <c r="Y208" s="1471">
        <f>(Y207-T207)*10000</f>
        <v/>
      </c>
      <c r="Z208" s="1469">
        <f>(Z207-U207)*10000</f>
        <v/>
      </c>
      <c r="AA208" s="1472">
        <f>(AA207-V207)*10000</f>
        <v/>
      </c>
      <c r="AB208" s="1472">
        <f>(AB207-W207)*10000</f>
        <v/>
      </c>
      <c r="AC208" s="1472">
        <f>(AC207-X207)*10000</f>
        <v/>
      </c>
      <c r="AD208" s="1471">
        <f>(AD207-Y207)*10000</f>
        <v/>
      </c>
      <c r="AE208" s="1469">
        <f>(AE207-Z207)*10000</f>
        <v/>
      </c>
      <c r="AF208" s="1472">
        <f>(AF207-AA207)*10000</f>
        <v/>
      </c>
      <c r="AG208" s="1472">
        <f>(AG207-AB207)*10000</f>
        <v/>
      </c>
      <c r="AH208" s="1472">
        <f>(AH207-AC207)*10000</f>
        <v/>
      </c>
      <c r="AI208" s="1471">
        <f>(AI207-AD207)*10000</f>
        <v/>
      </c>
      <c r="AJ208" s="1469">
        <f>(AJ207-AE207)*10000</f>
        <v/>
      </c>
      <c r="AK208" s="1472">
        <f>(AK207-AF207)*10000</f>
        <v/>
      </c>
      <c r="AL208" s="1472">
        <f>(AL207-AG207)*10000</f>
        <v/>
      </c>
      <c r="AM208" s="1472">
        <f>(AM207-AH207)*10000</f>
        <v/>
      </c>
      <c r="AN208" s="1471">
        <f>(AN207-AI207)*10000</f>
        <v/>
      </c>
      <c r="AO208" s="1469">
        <f>(AO207-AJ207)*10000</f>
        <v/>
      </c>
      <c r="AP208" s="1472">
        <f>(AP207-AK207)*10000</f>
        <v/>
      </c>
      <c r="AQ208" s="1472">
        <f>(AQ207-AL207)*10000</f>
        <v/>
      </c>
      <c r="AR208" s="1472">
        <f>(AR207-AM207)*10000</f>
        <v/>
      </c>
      <c r="AS208" s="1471">
        <f>(AS207-AN207)*10000</f>
        <v/>
      </c>
      <c r="AT208" s="1469">
        <f>(AT207-AO207)*10000</f>
        <v/>
      </c>
      <c r="AU208" s="1472">
        <f>(AU207-AP207)*10000</f>
        <v/>
      </c>
      <c r="AV208" s="1472">
        <f>(AV207-AQ207)*10000</f>
        <v/>
      </c>
      <c r="AW208" s="1472">
        <f>(AW207-AR207)*10000</f>
        <v/>
      </c>
      <c r="AX208" s="1471">
        <f>(AX207-AS207)*10000</f>
        <v/>
      </c>
      <c r="AY208" s="1469">
        <f>(AY207-AT207)*10000</f>
        <v/>
      </c>
      <c r="AZ208" s="1472">
        <f>(AZ207-AU207)*10000</f>
        <v/>
      </c>
      <c r="BA208" s="1472">
        <f>(BA207-AV207)*10000</f>
        <v/>
      </c>
      <c r="BB208" s="1472">
        <f>(BB207-AW207)*10000</f>
        <v/>
      </c>
      <c r="BC208" s="1471">
        <f>(BC207-AX207)*10000</f>
        <v/>
      </c>
      <c r="BD208" s="1469">
        <f>(BD207-AY207)*10000</f>
        <v/>
      </c>
      <c r="BE208" s="1472">
        <f>(BE207-AZ207)*10000</f>
        <v/>
      </c>
      <c r="BF208" s="1472">
        <f>(BF207-BA207)*10000</f>
        <v/>
      </c>
      <c r="BG208" s="1472">
        <f>(BG207-BB207)*10000</f>
        <v/>
      </c>
      <c r="BH208" s="1471">
        <f>(BH207-BC207)*10000</f>
        <v/>
      </c>
      <c r="BI208" s="1469">
        <f>(BI207-BD207)*10000</f>
        <v/>
      </c>
      <c r="BJ208" s="1472">
        <f>(BJ207-BE207)*10000</f>
        <v/>
      </c>
      <c r="BK208" s="1472">
        <f>(BK207-BF207)*10000</f>
        <v/>
      </c>
      <c r="BL208" s="1472">
        <f>(BL207-BG207)*10000</f>
        <v/>
      </c>
      <c r="BM208" s="1471">
        <f>(BM207-BH207)*10000</f>
        <v/>
      </c>
      <c r="BN208" s="1469">
        <f>(BN207-BI207)*10000</f>
        <v/>
      </c>
      <c r="BO208" s="1472">
        <f>(BO207-BJ207)*10000</f>
        <v/>
      </c>
      <c r="BP208" s="1472">
        <f>(BP207-BK207)*10000</f>
        <v/>
      </c>
      <c r="BQ208" s="1473">
        <f>(BQ207-BL207)*10000</f>
        <v/>
      </c>
      <c r="BR208" s="1471" t="n"/>
      <c r="BS208" s="1469" t="n"/>
      <c r="BT208" s="1471" t="n"/>
      <c r="BU208" s="1471" t="n"/>
      <c r="BV208" s="1471" t="n"/>
      <c r="BW208" s="1471" t="n"/>
      <c r="BX208" s="1469" t="n"/>
      <c r="BY208" s="1469" t="n"/>
      <c r="BZ208" s="1469" t="n"/>
      <c r="CA208" s="1469" t="n"/>
      <c r="CB208" s="1465" t="n"/>
    </row>
    <row r="209" hidden="1" outlineLevel="2" ht="14.4" customFormat="1" customHeight="1" s="1359">
      <c r="A209" s="1474" t="n"/>
      <c r="B209" s="1377" t="n"/>
      <c r="C209" s="1379" t="n"/>
      <c r="D209" s="1379" t="n"/>
      <c r="E209" s="1379" t="n"/>
      <c r="F209" s="1379" t="n"/>
      <c r="G209" s="1361" t="n"/>
      <c r="H209" s="1361" t="n"/>
      <c r="I209" s="1361" t="n"/>
      <c r="J209" s="1361" t="n"/>
      <c r="K209" s="1379" t="n"/>
      <c r="L209" s="1361" t="n"/>
      <c r="M209" s="1361" t="n"/>
      <c r="N209" s="1361" t="n"/>
      <c r="O209" s="1361" t="n"/>
      <c r="P209" s="1379" t="n"/>
      <c r="Q209" s="1361" t="n"/>
      <c r="R209" s="1361" t="n"/>
      <c r="S209" s="1361" t="n"/>
      <c r="T209" s="1361" t="n"/>
      <c r="U209" s="1379" t="n"/>
      <c r="V209" s="1361" t="n"/>
      <c r="W209" s="1361" t="n"/>
      <c r="X209" s="1361" t="n"/>
      <c r="Y209" s="1361" t="n"/>
      <c r="Z209" s="1379" t="n"/>
      <c r="AA209" s="1361" t="n"/>
      <c r="AB209" s="1361" t="n"/>
      <c r="AC209" s="1361" t="n"/>
      <c r="AD209" s="1361" t="n"/>
      <c r="AE209" s="1379" t="n"/>
      <c r="AF209" s="1361" t="n"/>
      <c r="AG209" s="1361" t="n"/>
      <c r="AH209" s="1361" t="n"/>
      <c r="AI209" s="1361" t="n"/>
      <c r="AJ209" s="1379" t="n"/>
      <c r="AK209" s="1361" t="n"/>
      <c r="AL209" s="1361" t="n"/>
      <c r="AM209" s="1361" t="n"/>
      <c r="AN209" s="1361" t="n"/>
      <c r="AO209" s="1379" t="n"/>
      <c r="AP209" s="1361" t="n"/>
      <c r="AQ209" s="1361" t="n"/>
      <c r="AR209" s="1361" t="n"/>
      <c r="AS209" s="1361" t="n"/>
      <c r="AT209" s="1379" t="n"/>
      <c r="AU209" s="1361" t="n"/>
      <c r="AV209" s="1361" t="n"/>
      <c r="AW209" s="1361" t="n"/>
      <c r="AX209" s="1361" t="n"/>
      <c r="AY209" s="1379" t="n"/>
      <c r="AZ209" s="1361" t="n"/>
      <c r="BA209" s="1361" t="n"/>
      <c r="BB209" s="1361" t="n"/>
      <c r="BC209" s="1361" t="n"/>
      <c r="BD209" s="1379" t="n"/>
      <c r="BE209" s="1361" t="n"/>
      <c r="BF209" s="1361" t="n"/>
      <c r="BG209" s="1361" t="n"/>
      <c r="BH209" s="1361" t="n"/>
      <c r="BI209" s="1379" t="n"/>
      <c r="BJ209" s="1361" t="n"/>
      <c r="BK209" s="1361" t="n"/>
      <c r="BL209" s="1361" t="n"/>
      <c r="BM209" s="1361" t="n"/>
      <c r="BN209" s="1379" t="n"/>
      <c r="BO209" s="1361" t="n"/>
      <c r="BP209" s="1361" t="n"/>
      <c r="BQ209" s="1363" t="n"/>
      <c r="BR209" s="1361" t="n"/>
      <c r="BS209" s="1379" t="n"/>
      <c r="BT209" s="1361" t="n"/>
      <c r="BU209" s="1361" t="n"/>
      <c r="BV209" s="1361" t="n"/>
      <c r="BW209" s="1361" t="n"/>
      <c r="BX209" s="1379" t="n"/>
      <c r="BY209" s="1379" t="n"/>
      <c r="BZ209" s="1379" t="n"/>
      <c r="CA209" s="1379" t="n"/>
      <c r="CB209" s="1364" t="n"/>
    </row>
    <row r="210" hidden="1" outlineLevel="2" ht="14.4" customFormat="1" customHeight="1" s="1359">
      <c r="A210" s="1474" t="inlineStr">
        <is>
          <t>Services SBC COGS, mm</t>
        </is>
      </c>
      <c r="B210" s="1377" t="n"/>
      <c r="C210" s="1379" t="n"/>
      <c r="D210" s="1379">
        <f>-D402</f>
        <v/>
      </c>
      <c r="E210" s="1379">
        <f>-E402</f>
        <v/>
      </c>
      <c r="F210" s="1379">
        <f>-F402</f>
        <v/>
      </c>
      <c r="G210" s="1361">
        <f>-G402</f>
        <v/>
      </c>
      <c r="H210" s="1361">
        <f>-H402</f>
        <v/>
      </c>
      <c r="I210" s="1361">
        <f>-I402</f>
        <v/>
      </c>
      <c r="J210" s="1361">
        <f>-J402</f>
        <v/>
      </c>
      <c r="K210" s="1379">
        <f>-K402</f>
        <v/>
      </c>
      <c r="L210" s="1361">
        <f>-L402</f>
        <v/>
      </c>
      <c r="M210" s="1361">
        <f>-M402</f>
        <v/>
      </c>
      <c r="N210" s="1361">
        <f>-N402</f>
        <v/>
      </c>
      <c r="O210" s="1361">
        <f>-O402</f>
        <v/>
      </c>
      <c r="P210" s="1379">
        <f>-P402</f>
        <v/>
      </c>
      <c r="Q210" s="1361">
        <f>-Q402</f>
        <v/>
      </c>
      <c r="R210" s="1361">
        <f>-R402</f>
        <v/>
      </c>
      <c r="S210" s="1361">
        <f>-S402</f>
        <v/>
      </c>
      <c r="T210" s="1361">
        <f>-T402</f>
        <v/>
      </c>
      <c r="U210" s="1379">
        <f>-U402</f>
        <v/>
      </c>
      <c r="V210" s="1361">
        <f>-V402</f>
        <v/>
      </c>
      <c r="W210" s="1361">
        <f>-W402</f>
        <v/>
      </c>
      <c r="X210" s="1361">
        <f>-X402</f>
        <v/>
      </c>
      <c r="Y210" s="1361">
        <f>-Y402</f>
        <v/>
      </c>
      <c r="Z210" s="1379">
        <f>-Z402</f>
        <v/>
      </c>
      <c r="AA210" s="1361">
        <f>-AA402</f>
        <v/>
      </c>
      <c r="AB210" s="1361">
        <f>-AB402</f>
        <v/>
      </c>
      <c r="AC210" s="1361">
        <f>-AC402</f>
        <v/>
      </c>
      <c r="AD210" s="1361">
        <f>-AD402</f>
        <v/>
      </c>
      <c r="AE210" s="1379">
        <f>-AE402</f>
        <v/>
      </c>
      <c r="AF210" s="1361">
        <f>-AF402</f>
        <v/>
      </c>
      <c r="AG210" s="1361">
        <f>-AG402</f>
        <v/>
      </c>
      <c r="AH210" s="1361">
        <f>-AH402</f>
        <v/>
      </c>
      <c r="AI210" s="1361">
        <f>-AI402</f>
        <v/>
      </c>
      <c r="AJ210" s="1379">
        <f>-AJ402</f>
        <v/>
      </c>
      <c r="AK210" s="1361">
        <f>-AK402</f>
        <v/>
      </c>
      <c r="AL210" s="1361">
        <f>-AL402</f>
        <v/>
      </c>
      <c r="AM210" s="1361">
        <f>-AM402</f>
        <v/>
      </c>
      <c r="AN210" s="1361">
        <f>-AN402</f>
        <v/>
      </c>
      <c r="AO210" s="1379">
        <f>-AO402</f>
        <v/>
      </c>
      <c r="AP210" s="1361">
        <f>-AP402</f>
        <v/>
      </c>
      <c r="AQ210" s="1361">
        <f>-AQ402</f>
        <v/>
      </c>
      <c r="AR210" s="1361">
        <f>-AR402</f>
        <v/>
      </c>
      <c r="AS210" s="1361">
        <f>-AS402</f>
        <v/>
      </c>
      <c r="AT210" s="1379">
        <f>-AT402</f>
        <v/>
      </c>
      <c r="AU210" s="1361">
        <f>-AU402</f>
        <v/>
      </c>
      <c r="AV210" s="1361">
        <f>-AV402</f>
        <v/>
      </c>
      <c r="AW210" s="1361">
        <f>-AW402</f>
        <v/>
      </c>
      <c r="AX210" s="1361">
        <f>-AX402</f>
        <v/>
      </c>
      <c r="AY210" s="1379">
        <f>-AY402</f>
        <v/>
      </c>
      <c r="AZ210" s="1361">
        <f>-AZ402</f>
        <v/>
      </c>
      <c r="BA210" s="1361">
        <f>-BA402</f>
        <v/>
      </c>
      <c r="BB210" s="1361">
        <f>-BB402</f>
        <v/>
      </c>
      <c r="BC210" s="1361">
        <f>-BC402</f>
        <v/>
      </c>
      <c r="BD210" s="1379">
        <f>-BD402</f>
        <v/>
      </c>
      <c r="BE210" s="1361">
        <f>-BE402</f>
        <v/>
      </c>
      <c r="BF210" s="1361">
        <f>-BF402</f>
        <v/>
      </c>
      <c r="BG210" s="1361">
        <f>-BG402</f>
        <v/>
      </c>
      <c r="BH210" s="1361">
        <f>-BH402</f>
        <v/>
      </c>
      <c r="BI210" s="1379">
        <f>-BI402</f>
        <v/>
      </c>
      <c r="BJ210" s="1361">
        <f>-BJ402</f>
        <v/>
      </c>
      <c r="BK210" s="1361">
        <f>-BK402</f>
        <v/>
      </c>
      <c r="BL210" s="1361">
        <f>-BL402</f>
        <v/>
      </c>
      <c r="BM210" s="1361">
        <f>-BM402</f>
        <v/>
      </c>
      <c r="BN210" s="1379">
        <f>-BN402</f>
        <v/>
      </c>
      <c r="BO210" s="1361">
        <f>-BO402</f>
        <v/>
      </c>
      <c r="BP210" s="1361">
        <f>-BP402</f>
        <v/>
      </c>
      <c r="BQ210" s="1363">
        <f>-BQ402</f>
        <v/>
      </c>
      <c r="BR210" s="1361" t="n"/>
      <c r="BS210" s="1379" t="n"/>
      <c r="BT210" s="1361" t="n"/>
      <c r="BU210" s="1361" t="n"/>
      <c r="BV210" s="1361" t="n"/>
      <c r="BW210" s="1361" t="n"/>
      <c r="BX210" s="1379" t="n"/>
      <c r="BY210" s="1379" t="n"/>
      <c r="BZ210" s="1379" t="n"/>
      <c r="CA210" s="1379" t="n"/>
      <c r="CB210" s="1364" t="n"/>
    </row>
    <row r="211" hidden="1" outlineLevel="2" ht="14.4" customFormat="1" customHeight="1" s="1475">
      <c r="A211" s="1476" t="inlineStr">
        <is>
          <t>Services SBC COGS as a % of revenue, %</t>
        </is>
      </c>
      <c r="B211" s="1477" t="n"/>
      <c r="C211" s="1382" t="n"/>
      <c r="D211" s="1382">
        <f>D210/D201</f>
        <v/>
      </c>
      <c r="E211" s="1382">
        <f>E210/E201</f>
        <v/>
      </c>
      <c r="F211" s="1382">
        <f>F210/F201</f>
        <v/>
      </c>
      <c r="G211" s="1384">
        <f>G210/G201</f>
        <v/>
      </c>
      <c r="H211" s="1384">
        <f>H210/H201</f>
        <v/>
      </c>
      <c r="I211" s="1384">
        <f>I210/I201</f>
        <v/>
      </c>
      <c r="J211" s="1384">
        <f>J210/J201</f>
        <v/>
      </c>
      <c r="K211" s="1382">
        <f>K210/K201</f>
        <v/>
      </c>
      <c r="L211" s="1384">
        <f>L210/L201</f>
        <v/>
      </c>
      <c r="M211" s="1384">
        <f>M210/M201</f>
        <v/>
      </c>
      <c r="N211" s="1384">
        <f>N210/N201</f>
        <v/>
      </c>
      <c r="O211" s="1384">
        <f>O210/O201</f>
        <v/>
      </c>
      <c r="P211" s="1382">
        <f>P210/P201</f>
        <v/>
      </c>
      <c r="Q211" s="1384">
        <f>Q210/Q201</f>
        <v/>
      </c>
      <c r="R211" s="1384">
        <f>R210/R201</f>
        <v/>
      </c>
      <c r="S211" s="1384">
        <f>S210/S201</f>
        <v/>
      </c>
      <c r="T211" s="1384">
        <f>T210/T201</f>
        <v/>
      </c>
      <c r="U211" s="1382">
        <f>U210/U201</f>
        <v/>
      </c>
      <c r="V211" s="1384">
        <f>V210/V201</f>
        <v/>
      </c>
      <c r="W211" s="1384">
        <f>W210/W201</f>
        <v/>
      </c>
      <c r="X211" s="1384">
        <f>X210/X201</f>
        <v/>
      </c>
      <c r="Y211" s="1384">
        <f>Y210/Y201</f>
        <v/>
      </c>
      <c r="Z211" s="1382">
        <f>Z210/Z201</f>
        <v/>
      </c>
      <c r="AA211" s="1384">
        <f>AA210/AA201</f>
        <v/>
      </c>
      <c r="AB211" s="1384">
        <f>AB210/AB201</f>
        <v/>
      </c>
      <c r="AC211" s="1384">
        <f>AC210/AC201</f>
        <v/>
      </c>
      <c r="AD211" s="1384">
        <f>AD210/AD201</f>
        <v/>
      </c>
      <c r="AE211" s="1382">
        <f>AE210/AE201</f>
        <v/>
      </c>
      <c r="AF211" s="1384">
        <f>AF210/AF201</f>
        <v/>
      </c>
      <c r="AG211" s="1384">
        <f>AG210/AG201</f>
        <v/>
      </c>
      <c r="AH211" s="1384">
        <f>AH210/AH201</f>
        <v/>
      </c>
      <c r="AI211" s="1384">
        <f>AI210/AI201</f>
        <v/>
      </c>
      <c r="AJ211" s="1382">
        <f>AJ210/AJ201</f>
        <v/>
      </c>
      <c r="AK211" s="1384">
        <f>AK210/AK201</f>
        <v/>
      </c>
      <c r="AL211" s="1384">
        <f>AL210/AL201</f>
        <v/>
      </c>
      <c r="AM211" s="1384">
        <f>AM210/AM201</f>
        <v/>
      </c>
      <c r="AN211" s="1384">
        <f>AN210/AN201</f>
        <v/>
      </c>
      <c r="AO211" s="1382">
        <f>AO210/AO201</f>
        <v/>
      </c>
      <c r="AP211" s="1384">
        <f>AP210/AP201</f>
        <v/>
      </c>
      <c r="AQ211" s="1384">
        <f>AQ210/AQ201</f>
        <v/>
      </c>
      <c r="AR211" s="1384">
        <f>AR210/AR201</f>
        <v/>
      </c>
      <c r="AS211" s="1384">
        <f>AS210/AS201</f>
        <v/>
      </c>
      <c r="AT211" s="1382">
        <f>AT210/AT201</f>
        <v/>
      </c>
      <c r="AU211" s="1384">
        <f>AU210/AU201</f>
        <v/>
      </c>
      <c r="AV211" s="1384">
        <f>AV210/AV201</f>
        <v/>
      </c>
      <c r="AW211" s="1384">
        <f>AW210/AW201</f>
        <v/>
      </c>
      <c r="AX211" s="1384">
        <f>AX210/AX201</f>
        <v/>
      </c>
      <c r="AY211" s="1382">
        <f>AY210/AY201</f>
        <v/>
      </c>
      <c r="AZ211" s="1384">
        <f>AZ210/AZ201</f>
        <v/>
      </c>
      <c r="BA211" s="1384">
        <f>BA210/BA201</f>
        <v/>
      </c>
      <c r="BB211" s="1384">
        <f>BB210/BB201</f>
        <v/>
      </c>
      <c r="BC211" s="1384">
        <f>BC210/BC201</f>
        <v/>
      </c>
      <c r="BD211" s="1382">
        <f>BD210/BD201</f>
        <v/>
      </c>
      <c r="BE211" s="1384">
        <f>BE210/BE201</f>
        <v/>
      </c>
      <c r="BF211" s="1384">
        <f>BF210/BF201</f>
        <v/>
      </c>
      <c r="BG211" s="1384">
        <f>BG210/BG201</f>
        <v/>
      </c>
      <c r="BH211" s="1384">
        <f>BH210/BH201</f>
        <v/>
      </c>
      <c r="BI211" s="1382">
        <f>BI210/BI201</f>
        <v/>
      </c>
      <c r="BJ211" s="1384">
        <f>BJ210/BJ201</f>
        <v/>
      </c>
      <c r="BK211" s="1384">
        <f>BK210/BK201</f>
        <v/>
      </c>
      <c r="BL211" s="1384">
        <f>BL210/BL201</f>
        <v/>
      </c>
      <c r="BM211" s="1384">
        <f>BM210/BM201</f>
        <v/>
      </c>
      <c r="BN211" s="1382">
        <f>BN210/BN201</f>
        <v/>
      </c>
      <c r="BO211" s="1384">
        <f>BO210/BO201</f>
        <v/>
      </c>
      <c r="BP211" s="1384">
        <f>BP210/BP201</f>
        <v/>
      </c>
      <c r="BQ211" s="1386">
        <f>BQ210/BQ201</f>
        <v/>
      </c>
      <c r="BR211" s="1384" t="n"/>
      <c r="BS211" s="1382" t="n"/>
      <c r="BT211" s="1384" t="n"/>
      <c r="BU211" s="1384" t="n"/>
      <c r="BV211" s="1384" t="n"/>
      <c r="BW211" s="1384" t="n"/>
      <c r="BX211" s="1382" t="n"/>
      <c r="BY211" s="1382" t="n"/>
      <c r="BZ211" s="1382" t="n"/>
      <c r="CA211" s="1382" t="n"/>
      <c r="CB211" s="1385" t="n"/>
    </row>
    <row r="212" hidden="1" outlineLevel="2" ht="14.4" customFormat="1" customHeight="1" s="1359">
      <c r="A212" s="1478" t="inlineStr">
        <is>
          <t>Services Other COGS Adjustments, mm</t>
        </is>
      </c>
      <c r="B212" s="1454" t="n"/>
      <c r="C212" s="1455" t="n"/>
      <c r="D212" s="1455">
        <f>-SUM(D402:D406)-D210</f>
        <v/>
      </c>
      <c r="E212" s="1455">
        <f>-SUM(E402:E406)-E210</f>
        <v/>
      </c>
      <c r="F212" s="1455">
        <f>-SUM(F402:F406)-F210</f>
        <v/>
      </c>
      <c r="G212" s="1456">
        <f>-SUM(G402:G406)-G210</f>
        <v/>
      </c>
      <c r="H212" s="1456">
        <f>-SUM(H402:H406)-H210</f>
        <v/>
      </c>
      <c r="I212" s="1456">
        <f>-SUM(I402:I406)-I210</f>
        <v/>
      </c>
      <c r="J212" s="1456">
        <f>-SUM(J402:J406)-J210</f>
        <v/>
      </c>
      <c r="K212" s="1455">
        <f>-SUM(K402:K406)-K210</f>
        <v/>
      </c>
      <c r="L212" s="1456">
        <f>-SUM(L402:L406)-L210</f>
        <v/>
      </c>
      <c r="M212" s="1456">
        <f>-SUM(M402:M406)-M210</f>
        <v/>
      </c>
      <c r="N212" s="1456">
        <f>-SUM(N402:N406)-N210</f>
        <v/>
      </c>
      <c r="O212" s="1456">
        <f>-SUM(O402:O406)-O210</f>
        <v/>
      </c>
      <c r="P212" s="1455">
        <f>-SUM(P402:P406)-P210</f>
        <v/>
      </c>
      <c r="Q212" s="1456">
        <f>-SUM(Q402:Q406)-Q210</f>
        <v/>
      </c>
      <c r="R212" s="1456">
        <f>-SUM(R402:R406)-R210</f>
        <v/>
      </c>
      <c r="S212" s="1456">
        <f>-SUM(S402:S406)-S210</f>
        <v/>
      </c>
      <c r="T212" s="1456">
        <f>-SUM(T402:T406)-T210</f>
        <v/>
      </c>
      <c r="U212" s="1455">
        <f>-SUM(U402:U406)-U210</f>
        <v/>
      </c>
      <c r="V212" s="1456">
        <f>-SUM(V402:V406)-V210</f>
        <v/>
      </c>
      <c r="W212" s="1456">
        <f>-SUM(W402:W406)-W210</f>
        <v/>
      </c>
      <c r="X212" s="1456">
        <f>-SUM(X402:X406)-X210</f>
        <v/>
      </c>
      <c r="Y212" s="1456">
        <f>-SUM(Y402:Y406)-Y210</f>
        <v/>
      </c>
      <c r="Z212" s="1455">
        <f>-SUM(Z402:Z406)-Z210</f>
        <v/>
      </c>
      <c r="AA212" s="1456">
        <f>-SUM(AA402:AA406)-AA210</f>
        <v/>
      </c>
      <c r="AB212" s="1456">
        <f>-SUM(AB402:AB406)-AB210</f>
        <v/>
      </c>
      <c r="AC212" s="1456">
        <f>-SUM(AC402:AC406)-AC210</f>
        <v/>
      </c>
      <c r="AD212" s="1456">
        <f>-SUM(AD402:AD406)-AD210</f>
        <v/>
      </c>
      <c r="AE212" s="1455">
        <f>-SUM(AE402:AE406)-AE210</f>
        <v/>
      </c>
      <c r="AF212" s="1456">
        <f>-SUM(AF402:AF406)-AF210</f>
        <v/>
      </c>
      <c r="AG212" s="1456">
        <f>-SUM(AG402:AG406)-AG210</f>
        <v/>
      </c>
      <c r="AH212" s="1456">
        <f>-SUM(AH402:AH406)-AH210</f>
        <v/>
      </c>
      <c r="AI212" s="1456">
        <f>-SUM(AI402:AI406)-AI210</f>
        <v/>
      </c>
      <c r="AJ212" s="1455">
        <f>-SUM(AJ402:AJ406)-AJ210</f>
        <v/>
      </c>
      <c r="AK212" s="1456">
        <f>-SUM(AK402:AK406)-AK210</f>
        <v/>
      </c>
      <c r="AL212" s="1456">
        <f>-SUM(AL402:AL406)-AL210</f>
        <v/>
      </c>
      <c r="AM212" s="1456">
        <f>-SUM(AM402:AM406)-AM210</f>
        <v/>
      </c>
      <c r="AN212" s="1456">
        <f>-SUM(AN402:AN406)-AN210</f>
        <v/>
      </c>
      <c r="AO212" s="1455">
        <f>-SUM(AO402:AO406)-AO210</f>
        <v/>
      </c>
      <c r="AP212" s="1456">
        <f>-SUM(AP402:AP406)-AP210</f>
        <v/>
      </c>
      <c r="AQ212" s="1456">
        <f>-SUM(AQ402:AQ406)-AQ210</f>
        <v/>
      </c>
      <c r="AR212" s="1456">
        <f>-SUM(AR402:AR406)-AR210</f>
        <v/>
      </c>
      <c r="AS212" s="1456">
        <f>-SUM(AS402:AS406)-AS210</f>
        <v/>
      </c>
      <c r="AT212" s="1455">
        <f>-SUM(AT402:AT406)-AT210</f>
        <v/>
      </c>
      <c r="AU212" s="1456">
        <f>-SUM(AU402:AU406)-AU210</f>
        <v/>
      </c>
      <c r="AV212" s="1456">
        <f>-SUM(AV402:AV406)-AV210</f>
        <v/>
      </c>
      <c r="AW212" s="1456">
        <f>-SUM(AW402:AW406)-AW210</f>
        <v/>
      </c>
      <c r="AX212" s="1456">
        <f>-SUM(AX402:AX406)-AX210</f>
        <v/>
      </c>
      <c r="AY212" s="1455">
        <f>-SUM(AY402:AY406)-AY210</f>
        <v/>
      </c>
      <c r="AZ212" s="1456">
        <f>-SUM(AZ402:AZ406)-AZ210</f>
        <v/>
      </c>
      <c r="BA212" s="1456">
        <f>-SUM(BA402:BA406)-BA210</f>
        <v/>
      </c>
      <c r="BB212" s="1456">
        <f>-SUM(BB402:BB406)-BB210</f>
        <v/>
      </c>
      <c r="BC212" s="1456">
        <f>-SUM(BC402:BC406)-BC210</f>
        <v/>
      </c>
      <c r="BD212" s="1455">
        <f>-SUM(BD402:BD406)-BD210</f>
        <v/>
      </c>
      <c r="BE212" s="1456">
        <f>-SUM(BE402:BE406)-BE210</f>
        <v/>
      </c>
      <c r="BF212" s="1456">
        <f>-SUM(BF402:BF406)-BF210</f>
        <v/>
      </c>
      <c r="BG212" s="1456">
        <f>-SUM(BG402:BG406)-BG210</f>
        <v/>
      </c>
      <c r="BH212" s="1456">
        <f>-SUM(BH402:BH406)-BH210</f>
        <v/>
      </c>
      <c r="BI212" s="1455">
        <f>-SUM(BI402:BI406)-BI210</f>
        <v/>
      </c>
      <c r="BJ212" s="1456">
        <f>-SUM(BJ402:BJ406)-BJ210</f>
        <v/>
      </c>
      <c r="BK212" s="1456">
        <f>-SUM(BK402:BK406)-BK210</f>
        <v/>
      </c>
      <c r="BL212" s="1456">
        <f>-SUM(BL402:BL406)-BL210</f>
        <v/>
      </c>
      <c r="BM212" s="1456">
        <f>-SUM(BM402:BM406)-BM210</f>
        <v/>
      </c>
      <c r="BN212" s="1455">
        <f>-SUM(BN402:BN406)-BN210</f>
        <v/>
      </c>
      <c r="BO212" s="1456">
        <f>-SUM(BO402:BO406)-BO210</f>
        <v/>
      </c>
      <c r="BP212" s="1456">
        <f>-SUM(BP402:BP406)-BP210</f>
        <v/>
      </c>
      <c r="BQ212" s="1457">
        <f>-SUM(BQ402:BQ406)-BQ210</f>
        <v/>
      </c>
      <c r="BR212" s="1456" t="n"/>
      <c r="BS212" s="1455" t="n"/>
      <c r="BT212" s="1456" t="n"/>
      <c r="BU212" s="1456" t="n"/>
      <c r="BV212" s="1456" t="n"/>
      <c r="BW212" s="1456" t="n"/>
      <c r="BX212" s="1455" t="n"/>
      <c r="BY212" s="1455" t="n"/>
      <c r="BZ212" s="1455" t="n"/>
      <c r="CA212" s="1455" t="n"/>
      <c r="CB212" s="1364" t="n"/>
    </row>
    <row r="213" hidden="1" outlineLevel="2" ht="14.4" customFormat="1" customHeight="1" s="1372">
      <c r="A213" s="1452" t="inlineStr">
        <is>
          <t>Services Non-GAAP Gross Profit, mm</t>
        </is>
      </c>
      <c r="B213" s="1448" t="n"/>
      <c r="C213" s="1449" t="n"/>
      <c r="D213" s="1449">
        <f>D205+D210+D212</f>
        <v/>
      </c>
      <c r="E213" s="1458">
        <f>E205+E210+E212</f>
        <v/>
      </c>
      <c r="F213" s="1458">
        <f>F205+F210+F212</f>
        <v/>
      </c>
      <c r="G213" s="1375">
        <f>G205+G210+G212</f>
        <v/>
      </c>
      <c r="H213" s="1375">
        <f>H205+H210+H212</f>
        <v/>
      </c>
      <c r="I213" s="1375">
        <f>I205+I210+I212</f>
        <v/>
      </c>
      <c r="J213" s="1375">
        <f>J205+J210+J212</f>
        <v/>
      </c>
      <c r="K213" s="1458">
        <f>K205+K210+K212</f>
        <v/>
      </c>
      <c r="L213" s="1375">
        <f>L205+L210+L212</f>
        <v/>
      </c>
      <c r="M213" s="1375">
        <f>M205+M210+M212</f>
        <v/>
      </c>
      <c r="N213" s="1375">
        <f>N205+N210+N212</f>
        <v/>
      </c>
      <c r="O213" s="1375">
        <f>O205+O210+O212</f>
        <v/>
      </c>
      <c r="P213" s="1458">
        <f>P205+P210+P212</f>
        <v/>
      </c>
      <c r="Q213" s="1375">
        <f>Q205+Q210+Q212</f>
        <v/>
      </c>
      <c r="R213" s="1375">
        <f>R205+R210+R212</f>
        <v/>
      </c>
      <c r="S213" s="1375">
        <f>S205+S210+S212</f>
        <v/>
      </c>
      <c r="T213" s="1375">
        <f>T205+T210+T212</f>
        <v/>
      </c>
      <c r="U213" s="1458">
        <f>U205+U210+U212</f>
        <v/>
      </c>
      <c r="V213" s="1375">
        <f>V205+V210+V212</f>
        <v/>
      </c>
      <c r="W213" s="1375">
        <f>W205+W210+W212</f>
        <v/>
      </c>
      <c r="X213" s="1375">
        <f>X205+X210+X212</f>
        <v/>
      </c>
      <c r="Y213" s="1450">
        <f>Y205+Y210+Y212</f>
        <v/>
      </c>
      <c r="Z213" s="1449">
        <f>Z205+Z210+Z212</f>
        <v/>
      </c>
      <c r="AA213" s="1375">
        <f>AA205+AA210+AA212</f>
        <v/>
      </c>
      <c r="AB213" s="1375">
        <f>AB205+AB210+AB212</f>
        <v/>
      </c>
      <c r="AC213" s="1375">
        <f>AC205+AC210+AC212</f>
        <v/>
      </c>
      <c r="AD213" s="1450">
        <f>AD205+AD210+AD212</f>
        <v/>
      </c>
      <c r="AE213" s="1449">
        <f>AE205+AE210+AE212</f>
        <v/>
      </c>
      <c r="AF213" s="1375">
        <f>AF205+AF210+AF212</f>
        <v/>
      </c>
      <c r="AG213" s="1375">
        <f>AG205+AG210+AG212</f>
        <v/>
      </c>
      <c r="AH213" s="1375">
        <f>AH205+AH210+AH212</f>
        <v/>
      </c>
      <c r="AI213" s="1450">
        <f>AI205+AI210+AI212</f>
        <v/>
      </c>
      <c r="AJ213" s="1449">
        <f>AJ205+AJ210+AJ212</f>
        <v/>
      </c>
      <c r="AK213" s="1375">
        <f>AK205+AK210+AK212</f>
        <v/>
      </c>
      <c r="AL213" s="1375">
        <f>AL205+AL210+AL212</f>
        <v/>
      </c>
      <c r="AM213" s="1375">
        <f>AM205+AM210+AM212</f>
        <v/>
      </c>
      <c r="AN213" s="1450">
        <f>AN205+AN210+AN212</f>
        <v/>
      </c>
      <c r="AO213" s="1449">
        <f>AO205+AO210+AO212</f>
        <v/>
      </c>
      <c r="AP213" s="1375">
        <f>AP205+AP210+AP212</f>
        <v/>
      </c>
      <c r="AQ213" s="1375">
        <f>AQ205+AQ210+AQ212</f>
        <v/>
      </c>
      <c r="AR213" s="1375">
        <f>AR205+AR210+AR212</f>
        <v/>
      </c>
      <c r="AS213" s="1450">
        <f>AS205+AS210+AS212</f>
        <v/>
      </c>
      <c r="AT213" s="1449">
        <f>AT205+AT210+AT212</f>
        <v/>
      </c>
      <c r="AU213" s="1375">
        <f>AU205+AU210+AU212</f>
        <v/>
      </c>
      <c r="AV213" s="1375">
        <f>AV205+AV210+AV212</f>
        <v/>
      </c>
      <c r="AW213" s="1375">
        <f>AW205+AW210+AW212</f>
        <v/>
      </c>
      <c r="AX213" s="1450">
        <f>AX205+AX210+AX212</f>
        <v/>
      </c>
      <c r="AY213" s="1449">
        <f>AY205+AY210+AY212</f>
        <v/>
      </c>
      <c r="AZ213" s="1375">
        <f>AZ205+AZ210+AZ212</f>
        <v/>
      </c>
      <c r="BA213" s="1375">
        <f>BA205+BA210+BA212</f>
        <v/>
      </c>
      <c r="BB213" s="1375">
        <f>BB205+BB210+BB212</f>
        <v/>
      </c>
      <c r="BC213" s="1450">
        <f>BC205+BC210+BC212</f>
        <v/>
      </c>
      <c r="BD213" s="1449">
        <f>BD205+BD210+BD212</f>
        <v/>
      </c>
      <c r="BE213" s="1375">
        <f>BE205+BE210+BE212</f>
        <v/>
      </c>
      <c r="BF213" s="1375">
        <f>BF205+BF210+BF212</f>
        <v/>
      </c>
      <c r="BG213" s="1375">
        <f>BG205+BG210+BG212</f>
        <v/>
      </c>
      <c r="BH213" s="1450">
        <f>BH205+BH210+BH212</f>
        <v/>
      </c>
      <c r="BI213" s="1449">
        <f>BI205+BI210+BI212</f>
        <v/>
      </c>
      <c r="BJ213" s="1375">
        <f>BJ205+BJ210+BJ212</f>
        <v/>
      </c>
      <c r="BK213" s="1375">
        <f>BK205+BK210+BK212</f>
        <v/>
      </c>
      <c r="BL213" s="1375">
        <f>BL205+BL210+BL212</f>
        <v/>
      </c>
      <c r="BM213" s="1450">
        <f>BM205+BM210+BM212</f>
        <v/>
      </c>
      <c r="BN213" s="1449">
        <f>BN205+BN210+BN212</f>
        <v/>
      </c>
      <c r="BO213" s="1375">
        <f>BO205+BO210+BO212</f>
        <v/>
      </c>
      <c r="BP213" s="1375">
        <f>BP205+BP210+BP212</f>
        <v/>
      </c>
      <c r="BQ213" s="1459">
        <f>BQ205+BQ210+BQ212</f>
        <v/>
      </c>
      <c r="BR213" s="1450" t="n"/>
      <c r="BS213" s="1449" t="n"/>
      <c r="BT213" s="1450" t="n"/>
      <c r="BU213" s="1450" t="n"/>
      <c r="BV213" s="1450" t="n"/>
      <c r="BW213" s="1450" t="n"/>
      <c r="BX213" s="1449" t="n"/>
      <c r="BY213" s="1449" t="n"/>
      <c r="BZ213" s="1449" t="n"/>
      <c r="CA213" s="1449" t="n"/>
      <c r="CB213" s="1375" t="n"/>
    </row>
    <row r="214" hidden="1" outlineLevel="2" ht="14.4" customFormat="1" customHeight="1" s="1372">
      <c r="A214" s="1408" t="inlineStr">
        <is>
          <t>Y/Y Services Non-GAAP Gross Profit growth, %</t>
        </is>
      </c>
      <c r="B214" s="1381" t="n"/>
      <c r="C214" s="1382" t="n"/>
      <c r="D214" s="1382" t="n"/>
      <c r="E214" s="1383">
        <f>E213/D213-1</f>
        <v/>
      </c>
      <c r="F214" s="1383">
        <f>F213/E213-1</f>
        <v/>
      </c>
      <c r="G214" s="1384" t="n"/>
      <c r="H214" s="1384" t="n"/>
      <c r="I214" s="1384" t="n"/>
      <c r="J214" s="1384" t="n"/>
      <c r="K214" s="1383">
        <f>K213/F213-1</f>
        <v/>
      </c>
      <c r="L214" s="1385">
        <f>L213/G213-1</f>
        <v/>
      </c>
      <c r="M214" s="1385">
        <f>M213/H213-1</f>
        <v/>
      </c>
      <c r="N214" s="1385">
        <f>N213/I213-1</f>
        <v/>
      </c>
      <c r="O214" s="1385">
        <f>O213/J213-1</f>
        <v/>
      </c>
      <c r="P214" s="1383">
        <f>P213/K213-1</f>
        <v/>
      </c>
      <c r="Q214" s="1385">
        <f>Q213/L213-1</f>
        <v/>
      </c>
      <c r="R214" s="1385">
        <f>R213/M213-1</f>
        <v/>
      </c>
      <c r="S214" s="1385">
        <f>S213/N213-1</f>
        <v/>
      </c>
      <c r="T214" s="1385">
        <f>T213/O213-1</f>
        <v/>
      </c>
      <c r="U214" s="1383">
        <f>U213/P213-1</f>
        <v/>
      </c>
      <c r="V214" s="1385">
        <f>V213/Q213-1</f>
        <v/>
      </c>
      <c r="W214" s="1385">
        <f>W213/R213-1</f>
        <v/>
      </c>
      <c r="X214" s="1385">
        <f>X213/S213-1</f>
        <v/>
      </c>
      <c r="Y214" s="1384">
        <f>Y213/T213-1</f>
        <v/>
      </c>
      <c r="Z214" s="1382">
        <f>Z213/U213-1</f>
        <v/>
      </c>
      <c r="AA214" s="1385">
        <f>AA213/V213-1</f>
        <v/>
      </c>
      <c r="AB214" s="1385">
        <f>AB213/W213-1</f>
        <v/>
      </c>
      <c r="AC214" s="1385">
        <f>AC213/X213-1</f>
        <v/>
      </c>
      <c r="AD214" s="1384">
        <f>AD213/Y213-1</f>
        <v/>
      </c>
      <c r="AE214" s="1382">
        <f>AE213/Z213-1</f>
        <v/>
      </c>
      <c r="AF214" s="1385">
        <f>AF213/AA213-1</f>
        <v/>
      </c>
      <c r="AG214" s="1385">
        <f>AG213/AB213-1</f>
        <v/>
      </c>
      <c r="AH214" s="1385">
        <f>AH213/AC213-1</f>
        <v/>
      </c>
      <c r="AI214" s="1384">
        <f>AI213/AD213-1</f>
        <v/>
      </c>
      <c r="AJ214" s="1382">
        <f>AJ213/AE213-1</f>
        <v/>
      </c>
      <c r="AK214" s="1385">
        <f>AK213/AF213-1</f>
        <v/>
      </c>
      <c r="AL214" s="1385">
        <f>AL213/AG213-1</f>
        <v/>
      </c>
      <c r="AM214" s="1385">
        <f>AM213/AH213-1</f>
        <v/>
      </c>
      <c r="AN214" s="1384">
        <f>AN213/AI213-1</f>
        <v/>
      </c>
      <c r="AO214" s="1382">
        <f>AO213/AJ213-1</f>
        <v/>
      </c>
      <c r="AP214" s="1385">
        <f>AP213/AK213-1</f>
        <v/>
      </c>
      <c r="AQ214" s="1385">
        <f>AQ213/AL213-1</f>
        <v/>
      </c>
      <c r="AR214" s="1385">
        <f>AR213/AM213-1</f>
        <v/>
      </c>
      <c r="AS214" s="1384">
        <f>AS213/AN213-1</f>
        <v/>
      </c>
      <c r="AT214" s="1382">
        <f>AT213/AO213-1</f>
        <v/>
      </c>
      <c r="AU214" s="1385">
        <f>AU213/AP213-1</f>
        <v/>
      </c>
      <c r="AV214" s="1385">
        <f>AV213/AQ213-1</f>
        <v/>
      </c>
      <c r="AW214" s="1385">
        <f>AW213/AR213-1</f>
        <v/>
      </c>
      <c r="AX214" s="1384">
        <f>AX213/AS213-1</f>
        <v/>
      </c>
      <c r="AY214" s="1382">
        <f>AY213/AT213-1</f>
        <v/>
      </c>
      <c r="AZ214" s="1385">
        <f>AZ213/AU213-1</f>
        <v/>
      </c>
      <c r="BA214" s="1385">
        <f>BA213/AV213-1</f>
        <v/>
      </c>
      <c r="BB214" s="1385">
        <f>BB213/AW213-1</f>
        <v/>
      </c>
      <c r="BC214" s="1384">
        <f>BC213/AX213-1</f>
        <v/>
      </c>
      <c r="BD214" s="1382">
        <f>BD213/AY213-1</f>
        <v/>
      </c>
      <c r="BE214" s="1385">
        <f>BE213/AZ213-1</f>
        <v/>
      </c>
      <c r="BF214" s="1385">
        <f>BF213/BA213-1</f>
        <v/>
      </c>
      <c r="BG214" s="1385">
        <f>BG213/BB213-1</f>
        <v/>
      </c>
      <c r="BH214" s="1384">
        <f>BH213/BC213-1</f>
        <v/>
      </c>
      <c r="BI214" s="1382">
        <f>BI213/BD213-1</f>
        <v/>
      </c>
      <c r="BJ214" s="1385">
        <f>BJ213/BE213-1</f>
        <v/>
      </c>
      <c r="BK214" s="1385">
        <f>BK213/BF213-1</f>
        <v/>
      </c>
      <c r="BL214" s="1385">
        <f>BL213/BG213-1</f>
        <v/>
      </c>
      <c r="BM214" s="1384">
        <f>BM213/BH213-1</f>
        <v/>
      </c>
      <c r="BN214" s="1382">
        <f>BN213/BI213-1</f>
        <v/>
      </c>
      <c r="BO214" s="1385">
        <f>BO213/BJ213-1</f>
        <v/>
      </c>
      <c r="BP214" s="1385">
        <f>BP213/BK213-1</f>
        <v/>
      </c>
      <c r="BQ214" s="1397">
        <f>BQ213/BL213-1</f>
        <v/>
      </c>
      <c r="BR214" s="1384" t="n"/>
      <c r="BS214" s="1382" t="n"/>
      <c r="BT214" s="1384" t="n"/>
      <c r="BU214" s="1384" t="n"/>
      <c r="BV214" s="1384" t="n"/>
      <c r="BW214" s="1384" t="n"/>
      <c r="BX214" s="1382" t="n"/>
      <c r="BY214" s="1382" t="n"/>
      <c r="BZ214" s="1382" t="n"/>
      <c r="CA214" s="1382" t="n"/>
      <c r="CB214" s="1375" t="n"/>
    </row>
    <row r="215" hidden="1" outlineLevel="2" ht="14.4" customFormat="1" customHeight="1" s="1460">
      <c r="A215" s="1461" t="inlineStr">
        <is>
          <t>Services Non-GAAP Gross Profit margin, %</t>
        </is>
      </c>
      <c r="B215" s="1462" t="n"/>
      <c r="C215" s="1463" t="n"/>
      <c r="D215" s="1463">
        <f>D213/D201</f>
        <v/>
      </c>
      <c r="E215" s="1464">
        <f>E213/E201</f>
        <v/>
      </c>
      <c r="F215" s="1464">
        <f>F213/F201</f>
        <v/>
      </c>
      <c r="G215" s="1465">
        <f>G213/G201</f>
        <v/>
      </c>
      <c r="H215" s="1465">
        <f>H213/H201</f>
        <v/>
      </c>
      <c r="I215" s="1465">
        <f>I213/I201</f>
        <v/>
      </c>
      <c r="J215" s="1465">
        <f>J213/J201</f>
        <v/>
      </c>
      <c r="K215" s="1464">
        <f>K213/K201</f>
        <v/>
      </c>
      <c r="L215" s="1465">
        <f>L213/L201</f>
        <v/>
      </c>
      <c r="M215" s="1465">
        <f>M213/M201</f>
        <v/>
      </c>
      <c r="N215" s="1465">
        <f>N213/N201</f>
        <v/>
      </c>
      <c r="O215" s="1465">
        <f>O213/O201</f>
        <v/>
      </c>
      <c r="P215" s="1464">
        <f>P213/P201</f>
        <v/>
      </c>
      <c r="Q215" s="1465">
        <f>Q213/Q201</f>
        <v/>
      </c>
      <c r="R215" s="1465">
        <f>R213/R201</f>
        <v/>
      </c>
      <c r="S215" s="1465">
        <f>S213/S201</f>
        <v/>
      </c>
      <c r="T215" s="1465">
        <f>T213/T201</f>
        <v/>
      </c>
      <c r="U215" s="1464">
        <f>U213/U201</f>
        <v/>
      </c>
      <c r="V215" s="1465">
        <f>V213/V201</f>
        <v/>
      </c>
      <c r="W215" s="1465">
        <f>W213/W201</f>
        <v/>
      </c>
      <c r="X215" s="1465">
        <f>X213/X201</f>
        <v/>
      </c>
      <c r="Y215" s="1466">
        <f>Y213/Y201</f>
        <v/>
      </c>
      <c r="Z215" s="1463">
        <f>Z213/Z201</f>
        <v/>
      </c>
      <c r="AA215" s="1465">
        <f>AA213/AA201</f>
        <v/>
      </c>
      <c r="AB215" s="1465">
        <f>AB213/AB201</f>
        <v/>
      </c>
      <c r="AC215" s="1465">
        <f>AC213/AC201</f>
        <v/>
      </c>
      <c r="AD215" s="1466">
        <f>AD213/AD201</f>
        <v/>
      </c>
      <c r="AE215" s="1463">
        <f>AE213/AE201</f>
        <v/>
      </c>
      <c r="AF215" s="1465">
        <f>AF213/AF201</f>
        <v/>
      </c>
      <c r="AG215" s="1465">
        <f>AG213/AG201</f>
        <v/>
      </c>
      <c r="AH215" s="1465">
        <f>AH213/AH201</f>
        <v/>
      </c>
      <c r="AI215" s="1466">
        <f>AI213/AI201</f>
        <v/>
      </c>
      <c r="AJ215" s="1463">
        <f>AJ213/AJ201</f>
        <v/>
      </c>
      <c r="AK215" s="1465">
        <f>AK213/AK201</f>
        <v/>
      </c>
      <c r="AL215" s="1465">
        <f>AL213/AL201</f>
        <v/>
      </c>
      <c r="AM215" s="1465">
        <f>AM213/AM201</f>
        <v/>
      </c>
      <c r="AN215" s="1466">
        <f>AN213/AN201</f>
        <v/>
      </c>
      <c r="AO215" s="1463">
        <f>AO213/AO201</f>
        <v/>
      </c>
      <c r="AP215" s="1465">
        <f>AP213/AP201</f>
        <v/>
      </c>
      <c r="AQ215" s="1465">
        <f>AQ213/AQ201</f>
        <v/>
      </c>
      <c r="AR215" s="1465">
        <f>AR213/AR201</f>
        <v/>
      </c>
      <c r="AS215" s="1466">
        <f>AS213/AS201</f>
        <v/>
      </c>
      <c r="AT215" s="1463">
        <f>AT213/AT201</f>
        <v/>
      </c>
      <c r="AU215" s="1465">
        <f>AU213/AU201</f>
        <v/>
      </c>
      <c r="AV215" s="1465">
        <f>AV213/AV201</f>
        <v/>
      </c>
      <c r="AW215" s="1465">
        <f>AW213/AW201</f>
        <v/>
      </c>
      <c r="AX215" s="1466">
        <f>AX213/AX201</f>
        <v/>
      </c>
      <c r="AY215" s="1463">
        <f>AY213/AY201</f>
        <v/>
      </c>
      <c r="AZ215" s="1465">
        <f>AZ213/AZ201</f>
        <v/>
      </c>
      <c r="BA215" s="1465">
        <f>BA213/BA201</f>
        <v/>
      </c>
      <c r="BB215" s="1465">
        <f>BB213/BB201</f>
        <v/>
      </c>
      <c r="BC215" s="1466">
        <f>BC213/BC201</f>
        <v/>
      </c>
      <c r="BD215" s="1463">
        <f>BD213/BD201</f>
        <v/>
      </c>
      <c r="BE215" s="1465">
        <f>BE213/BE201</f>
        <v/>
      </c>
      <c r="BF215" s="1465">
        <f>BF213/BF201</f>
        <v/>
      </c>
      <c r="BG215" s="1465">
        <f>BG213/BG201</f>
        <v/>
      </c>
      <c r="BH215" s="1466">
        <f>BH213/BH201</f>
        <v/>
      </c>
      <c r="BI215" s="1463">
        <f>BI213/BI201</f>
        <v/>
      </c>
      <c r="BJ215" s="1465">
        <f>BJ213/BJ201</f>
        <v/>
      </c>
      <c r="BK215" s="1465">
        <f>BK213/BK201</f>
        <v/>
      </c>
      <c r="BL215" s="1465">
        <f>BL213/BL201</f>
        <v/>
      </c>
      <c r="BM215" s="1466">
        <f>BM213/BM201</f>
        <v/>
      </c>
      <c r="BN215" s="1463">
        <f>BN213/BN201</f>
        <v/>
      </c>
      <c r="BO215" s="1465">
        <f>BO213/BO201</f>
        <v/>
      </c>
      <c r="BP215" s="1465">
        <f>BP213/BP201</f>
        <v/>
      </c>
      <c r="BQ215" s="1467">
        <f>BQ213/BQ201</f>
        <v/>
      </c>
      <c r="BR215" s="1466" t="n"/>
      <c r="BS215" s="1463" t="n"/>
      <c r="BT215" s="1466" t="n"/>
      <c r="BU215" s="1466" t="n"/>
      <c r="BV215" s="1466" t="n"/>
      <c r="BW215" s="1466" t="n"/>
      <c r="BX215" s="1463" t="n"/>
      <c r="BY215" s="1463" t="n"/>
      <c r="BZ215" s="1463" t="n"/>
      <c r="CA215" s="1463" t="n"/>
      <c r="CB215" s="1465" t="n"/>
    </row>
    <row r="216" hidden="1" outlineLevel="2" ht="14.4" customFormat="1" customHeight="1" s="1460">
      <c r="A216" s="1468" t="inlineStr">
        <is>
          <t>Y/Y Services Non-GAAP Gross Profit margin improvement, bps</t>
        </is>
      </c>
      <c r="B216" s="1462" t="n"/>
      <c r="C216" s="1469" t="n"/>
      <c r="D216" s="1469" t="n"/>
      <c r="E216" s="1470">
        <f>(E215-D215)*10000</f>
        <v/>
      </c>
      <c r="F216" s="1470">
        <f>(F215-E215)*10000</f>
        <v/>
      </c>
      <c r="G216" s="1471" t="n"/>
      <c r="H216" s="1471" t="n"/>
      <c r="I216" s="1471" t="n"/>
      <c r="J216" s="1471" t="n"/>
      <c r="K216" s="1470">
        <f>(K215-F215)*10000</f>
        <v/>
      </c>
      <c r="L216" s="1472">
        <f>(L215-G215)*10000</f>
        <v/>
      </c>
      <c r="M216" s="1472">
        <f>(M215-H215)*10000</f>
        <v/>
      </c>
      <c r="N216" s="1472">
        <f>(N215-I215)*10000</f>
        <v/>
      </c>
      <c r="O216" s="1472">
        <f>(O215-J215)*10000</f>
        <v/>
      </c>
      <c r="P216" s="1470">
        <f>(P215-K215)*10000</f>
        <v/>
      </c>
      <c r="Q216" s="1472">
        <f>(Q215-L215)*10000</f>
        <v/>
      </c>
      <c r="R216" s="1472">
        <f>(R215-M215)*10000</f>
        <v/>
      </c>
      <c r="S216" s="1472">
        <f>(S215-N215)*10000</f>
        <v/>
      </c>
      <c r="T216" s="1472">
        <f>(T215-O215)*10000</f>
        <v/>
      </c>
      <c r="U216" s="1470">
        <f>(U215-P215)*10000</f>
        <v/>
      </c>
      <c r="V216" s="1472">
        <f>(V215-Q215)*10000</f>
        <v/>
      </c>
      <c r="W216" s="1472">
        <f>(W215-R215)*10000</f>
        <v/>
      </c>
      <c r="X216" s="1472">
        <f>(X215-S215)*10000</f>
        <v/>
      </c>
      <c r="Y216" s="1471">
        <f>(Y215-T215)*10000</f>
        <v/>
      </c>
      <c r="Z216" s="1469">
        <f>(Z215-U215)*10000</f>
        <v/>
      </c>
      <c r="AA216" s="1472">
        <f>(AA215-V215)*10000</f>
        <v/>
      </c>
      <c r="AB216" s="1472">
        <f>(AB215-W215)*10000</f>
        <v/>
      </c>
      <c r="AC216" s="1472">
        <f>(AC215-X215)*10000</f>
        <v/>
      </c>
      <c r="AD216" s="1471">
        <f>(AD215-Y215)*10000</f>
        <v/>
      </c>
      <c r="AE216" s="1469">
        <f>(AE215-Z215)*10000</f>
        <v/>
      </c>
      <c r="AF216" s="1472">
        <f>(AF215-AA215)*10000</f>
        <v/>
      </c>
      <c r="AG216" s="1472">
        <f>(AG215-AB215)*10000</f>
        <v/>
      </c>
      <c r="AH216" s="1472">
        <f>(AH215-AC215)*10000</f>
        <v/>
      </c>
      <c r="AI216" s="1471">
        <f>(AI215-AD215)*10000</f>
        <v/>
      </c>
      <c r="AJ216" s="1469">
        <f>(AJ215-AE215)*10000</f>
        <v/>
      </c>
      <c r="AK216" s="1472">
        <f>(AK215-AF215)*10000</f>
        <v/>
      </c>
      <c r="AL216" s="1472">
        <f>(AL215-AG215)*10000</f>
        <v/>
      </c>
      <c r="AM216" s="1472">
        <f>(AM215-AH215)*10000</f>
        <v/>
      </c>
      <c r="AN216" s="1471">
        <f>(AN215-AI215)*10000</f>
        <v/>
      </c>
      <c r="AO216" s="1469">
        <f>(AO215-AJ215)*10000</f>
        <v/>
      </c>
      <c r="AP216" s="1472">
        <f>(AP215-AK215)*10000</f>
        <v/>
      </c>
      <c r="AQ216" s="1472">
        <f>(AQ215-AL215)*10000</f>
        <v/>
      </c>
      <c r="AR216" s="1472">
        <f>(AR215-AM215)*10000</f>
        <v/>
      </c>
      <c r="AS216" s="1471">
        <f>(AS215-AN215)*10000</f>
        <v/>
      </c>
      <c r="AT216" s="1469">
        <f>(AT215-AO215)*10000</f>
        <v/>
      </c>
      <c r="AU216" s="1472">
        <f>(AU215-AP215)*10000</f>
        <v/>
      </c>
      <c r="AV216" s="1472">
        <f>(AV215-AQ215)*10000</f>
        <v/>
      </c>
      <c r="AW216" s="1472">
        <f>(AW215-AR215)*10000</f>
        <v/>
      </c>
      <c r="AX216" s="1471">
        <f>(AX215-AS215)*10000</f>
        <v/>
      </c>
      <c r="AY216" s="1469">
        <f>(AY215-AT215)*10000</f>
        <v/>
      </c>
      <c r="AZ216" s="1472">
        <f>(AZ215-AU215)*10000</f>
        <v/>
      </c>
      <c r="BA216" s="1472">
        <f>(BA215-AV215)*10000</f>
        <v/>
      </c>
      <c r="BB216" s="1472">
        <f>(BB215-AW215)*10000</f>
        <v/>
      </c>
      <c r="BC216" s="1471">
        <f>(BC215-AX215)*10000</f>
        <v/>
      </c>
      <c r="BD216" s="1469">
        <f>(BD215-AY215)*10000</f>
        <v/>
      </c>
      <c r="BE216" s="1472">
        <f>(BE215-AZ215)*10000</f>
        <v/>
      </c>
      <c r="BF216" s="1472">
        <f>(BF215-BA215)*10000</f>
        <v/>
      </c>
      <c r="BG216" s="1472">
        <f>(BG215-BB215)*10000</f>
        <v/>
      </c>
      <c r="BH216" s="1471">
        <f>(BH215-BC215)*10000</f>
        <v/>
      </c>
      <c r="BI216" s="1469">
        <f>(BI215-BD215)*10000</f>
        <v/>
      </c>
      <c r="BJ216" s="1472">
        <f>(BJ215-BE215)*10000</f>
        <v/>
      </c>
      <c r="BK216" s="1472">
        <f>(BK215-BF215)*10000</f>
        <v/>
      </c>
      <c r="BL216" s="1472">
        <f>(BL215-BG215)*10000</f>
        <v/>
      </c>
      <c r="BM216" s="1471">
        <f>(BM215-BH215)*10000</f>
        <v/>
      </c>
      <c r="BN216" s="1469">
        <f>(BN215-BI215)*10000</f>
        <v/>
      </c>
      <c r="BO216" s="1472">
        <f>(BO215-BJ215)*10000</f>
        <v/>
      </c>
      <c r="BP216" s="1472">
        <f>(BP215-BK215)*10000</f>
        <v/>
      </c>
      <c r="BQ216" s="1473">
        <f>(BQ215-BL215)*10000</f>
        <v/>
      </c>
      <c r="BR216" s="1471" t="n"/>
      <c r="BS216" s="1469" t="n"/>
      <c r="BT216" s="1471" t="n"/>
      <c r="BU216" s="1471" t="n"/>
      <c r="BV216" s="1471" t="n"/>
      <c r="BW216" s="1471" t="n"/>
      <c r="BX216" s="1469" t="n"/>
      <c r="BY216" s="1469" t="n"/>
      <c r="BZ216" s="1469" t="n"/>
      <c r="CA216" s="1469" t="n"/>
      <c r="CB216" s="1465" t="n"/>
    </row>
    <row r="217" hidden="1" outlineLevel="1" collapsed="1" ht="14.4" customFormat="1" customHeight="1" s="1359">
      <c r="A217" s="1503" t="n"/>
      <c r="B217" s="1377" t="n"/>
      <c r="C217" s="1379" t="n"/>
      <c r="D217" s="1379" t="n"/>
      <c r="E217" s="1379" t="n"/>
      <c r="F217" s="1379" t="n"/>
      <c r="G217" s="1361" t="n"/>
      <c r="H217" s="1361" t="n"/>
      <c r="I217" s="1361" t="n"/>
      <c r="J217" s="1361" t="n"/>
      <c r="K217" s="1379" t="n"/>
      <c r="L217" s="1361" t="n"/>
      <c r="M217" s="1361" t="n"/>
      <c r="N217" s="1361" t="n"/>
      <c r="O217" s="1361" t="n"/>
      <c r="P217" s="1379" t="n"/>
      <c r="Q217" s="1361" t="n"/>
      <c r="R217" s="1361" t="n"/>
      <c r="S217" s="1361" t="n"/>
      <c r="T217" s="1361" t="n"/>
      <c r="U217" s="1379" t="n"/>
      <c r="V217" s="1361" t="n"/>
      <c r="W217" s="1361" t="n"/>
      <c r="X217" s="1361" t="n"/>
      <c r="Y217" s="1361" t="n"/>
      <c r="Z217" s="1379" t="n"/>
      <c r="AA217" s="1361" t="n"/>
      <c r="AB217" s="1361" t="n"/>
      <c r="AC217" s="1361" t="n"/>
      <c r="AD217" s="1361" t="n"/>
      <c r="AE217" s="1379" t="n"/>
      <c r="AF217" s="1361" t="n"/>
      <c r="AG217" s="1361" t="n"/>
      <c r="AH217" s="1361" t="n"/>
      <c r="AI217" s="1361" t="n"/>
      <c r="AJ217" s="1379" t="n"/>
      <c r="AK217" s="1361" t="n"/>
      <c r="AL217" s="1361" t="n"/>
      <c r="AM217" s="1361" t="n"/>
      <c r="AN217" s="1361" t="n"/>
      <c r="AO217" s="1379" t="n"/>
      <c r="AP217" s="1361" t="n"/>
      <c r="AQ217" s="1361" t="n"/>
      <c r="AR217" s="1361" t="n"/>
      <c r="AS217" s="1361" t="n"/>
      <c r="AT217" s="1379" t="n"/>
      <c r="AU217" s="1361" t="n"/>
      <c r="AV217" s="1361" t="n"/>
      <c r="AW217" s="1361" t="n"/>
      <c r="AX217" s="1361" t="n"/>
      <c r="AY217" s="1379" t="n"/>
      <c r="AZ217" s="1361" t="n"/>
      <c r="BA217" s="1361" t="n"/>
      <c r="BB217" s="1361" t="n"/>
      <c r="BC217" s="1361" t="n"/>
      <c r="BD217" s="1379" t="n"/>
      <c r="BE217" s="1361" t="n"/>
      <c r="BF217" s="1361" t="n"/>
      <c r="BG217" s="1361" t="n"/>
      <c r="BH217" s="1361" t="n"/>
      <c r="BI217" s="1379" t="n"/>
      <c r="BJ217" s="1361" t="n"/>
      <c r="BK217" s="1361" t="n"/>
      <c r="BL217" s="1361" t="n"/>
      <c r="BM217" s="1361" t="n"/>
      <c r="BN217" s="1379" t="n"/>
      <c r="BO217" s="1361" t="n"/>
      <c r="BP217" s="1361" t="n"/>
      <c r="BQ217" s="1363" t="n"/>
      <c r="BR217" s="1361" t="n"/>
      <c r="BS217" s="1379" t="n"/>
      <c r="BT217" s="1361" t="n"/>
      <c r="BU217" s="1361" t="n"/>
      <c r="BV217" s="1361" t="n"/>
      <c r="BW217" s="1361" t="n"/>
      <c r="BX217" s="1379" t="n"/>
      <c r="BY217" s="1379" t="n"/>
      <c r="BZ217" s="1379" t="n"/>
      <c r="CA217" s="1379" t="n"/>
      <c r="CB217" s="1364" t="n"/>
    </row>
    <row r="218" hidden="1" outlineLevel="1" ht="14.4" customFormat="1" customHeight="1" s="1372">
      <c r="A218" s="1373" t="inlineStr">
        <is>
          <t>Segmented Results - Recurring Revenue Breakdown (FS)</t>
        </is>
      </c>
      <c r="B218" s="1373" t="n"/>
      <c r="C218" s="1373" t="n"/>
      <c r="D218" s="1373" t="n"/>
      <c r="E218" s="1373" t="n"/>
      <c r="F218" s="1373" t="n"/>
      <c r="G218" s="1373" t="n"/>
      <c r="H218" s="1373" t="n"/>
      <c r="I218" s="1373" t="n"/>
      <c r="J218" s="1373" t="n"/>
      <c r="K218" s="1373" t="n"/>
      <c r="L218" s="1373" t="n"/>
      <c r="M218" s="1373" t="n"/>
      <c r="N218" s="1373" t="n"/>
      <c r="O218" s="1373" t="n"/>
      <c r="P218" s="1373" t="n"/>
      <c r="Q218" s="1373" t="n"/>
      <c r="R218" s="1373" t="n"/>
      <c r="S218" s="1373" t="n"/>
      <c r="T218" s="1373" t="n"/>
      <c r="U218" s="1373" t="n"/>
      <c r="V218" s="1373" t="n"/>
      <c r="W218" s="1373" t="n"/>
      <c r="X218" s="1373" t="n"/>
      <c r="Y218" s="1373" t="n"/>
      <c r="Z218" s="1373" t="n"/>
      <c r="AA218" s="1373" t="n"/>
      <c r="AB218" s="1373" t="n"/>
      <c r="AC218" s="1373" t="n"/>
      <c r="AD218" s="1373" t="n"/>
      <c r="AE218" s="1373" t="n"/>
      <c r="AF218" s="1373" t="n"/>
      <c r="AG218" s="1373" t="n"/>
      <c r="AH218" s="1373" t="n"/>
      <c r="AI218" s="1373" t="n"/>
      <c r="AJ218" s="1373" t="n"/>
      <c r="AK218" s="1373" t="n"/>
      <c r="AL218" s="1373" t="n"/>
      <c r="AM218" s="1373" t="n"/>
      <c r="AN218" s="1373" t="n"/>
      <c r="AO218" s="1373" t="n"/>
      <c r="AP218" s="1373" t="n"/>
      <c r="AQ218" s="1373" t="n"/>
      <c r="AR218" s="1373" t="n"/>
      <c r="AS218" s="1373" t="n"/>
      <c r="AT218" s="1373" t="n"/>
      <c r="AU218" s="1373" t="n"/>
      <c r="AV218" s="1373" t="n"/>
      <c r="AW218" s="1373" t="n"/>
      <c r="AX218" s="1373" t="n"/>
      <c r="AY218" s="1373" t="n"/>
      <c r="AZ218" s="1373" t="n"/>
      <c r="BA218" s="1373" t="n"/>
      <c r="BB218" s="1373" t="n"/>
      <c r="BC218" s="1373" t="n"/>
      <c r="BD218" s="1373" t="n"/>
      <c r="BE218" s="1373" t="n"/>
      <c r="BF218" s="1373" t="n"/>
      <c r="BG218" s="1373" t="n"/>
      <c r="BH218" s="1373" t="n"/>
      <c r="BI218" s="1373" t="n"/>
      <c r="BJ218" s="1373" t="n"/>
      <c r="BK218" s="1373" t="n"/>
      <c r="BL218" s="1373" t="n"/>
      <c r="BM218" s="1373" t="n"/>
      <c r="BN218" s="1373" t="n"/>
      <c r="BO218" s="1373" t="n"/>
      <c r="BP218" s="1373" t="n"/>
      <c r="BQ218" s="1374" t="n"/>
      <c r="BR218" s="1373" t="n"/>
      <c r="BS218" s="1373" t="n"/>
      <c r="BT218" s="1373" t="n"/>
      <c r="BU218" s="1373" t="n"/>
      <c r="BV218" s="1373" t="n"/>
      <c r="BW218" s="1373" t="n"/>
      <c r="BX218" s="1373" t="n"/>
      <c r="BY218" s="1373" t="n"/>
      <c r="BZ218" s="1373" t="n"/>
      <c r="CA218" s="1373" t="n"/>
      <c r="CB218" s="1375" t="n"/>
    </row>
    <row r="219" hidden="1" outlineLevel="2" ht="14.4" customFormat="1" customHeight="1" s="1359">
      <c r="A219" s="1508" t="inlineStr">
        <is>
          <t>Revenue recognized over time (Calculated), mm</t>
        </is>
      </c>
      <c r="B219" s="1377" t="n"/>
      <c r="C219" s="1379" t="n"/>
      <c r="D219" s="1379" t="n"/>
      <c r="E219" s="1379" t="n"/>
      <c r="F219" s="1379" t="n"/>
      <c r="G219" s="1361" t="n"/>
      <c r="H219" s="1361" t="n"/>
      <c r="I219" s="1361" t="n"/>
      <c r="J219" s="1361" t="n"/>
      <c r="K219" s="1379" t="n"/>
      <c r="L219" s="1361" t="n"/>
      <c r="M219" s="1361" t="n"/>
      <c r="N219" s="1361" t="n"/>
      <c r="O219" s="1361" t="n"/>
      <c r="P219" s="1379" t="n"/>
      <c r="Q219" s="1361" t="n"/>
      <c r="R219" s="1361" t="n"/>
      <c r="S219" s="1361" t="n"/>
      <c r="T219" s="1361" t="n"/>
      <c r="U219" s="1379" t="n"/>
      <c r="V219" s="1361" t="n"/>
      <c r="W219" s="1361" t="n"/>
      <c r="X219" s="1361" t="n"/>
      <c r="Y219" s="1361" t="n"/>
      <c r="Z219" s="1379" t="n"/>
      <c r="AA219" s="1361" t="n"/>
      <c r="AB219" s="1361" t="n"/>
      <c r="AC219" s="1361" t="n"/>
      <c r="AD219" s="1361" t="n"/>
      <c r="AE219" s="1379" t="n"/>
      <c r="AF219" s="1361" t="n"/>
      <c r="AG219" s="1361" t="n"/>
      <c r="AH219" s="1361" t="n"/>
      <c r="AI219" s="1361" t="n"/>
      <c r="AJ219" s="1379" t="n"/>
      <c r="AK219" s="1361" t="n"/>
      <c r="AL219" s="1361" t="n"/>
      <c r="AM219" s="1361" t="n"/>
      <c r="AN219" s="1361" t="n"/>
      <c r="AO219" s="1379" t="n"/>
      <c r="AP219" s="1361" t="n"/>
      <c r="AQ219" s="1361" t="n"/>
      <c r="AR219" s="1361" t="n"/>
      <c r="AS219" s="1361" t="n"/>
      <c r="AT219" s="1379" t="n"/>
      <c r="AU219" s="1361">
        <f>AU20*AU225</f>
        <v/>
      </c>
      <c r="AV219" s="1361">
        <f>AV20*AV225</f>
        <v/>
      </c>
      <c r="AW219" s="1361">
        <f>AW20*AW225</f>
        <v/>
      </c>
      <c r="AX219" s="1361">
        <f>AY219-SUM(AU219,AV219,AW219)</f>
        <v/>
      </c>
      <c r="AY219" s="1379">
        <f>AY20*AY225</f>
        <v/>
      </c>
      <c r="AZ219" s="1361">
        <f>AZ20*AZ225</f>
        <v/>
      </c>
      <c r="BA219" s="1361">
        <f>BA20*BA225</f>
        <v/>
      </c>
      <c r="BB219" s="1361">
        <f>BB20*BB225</f>
        <v/>
      </c>
      <c r="BC219" s="1361">
        <f>BD219-SUM(AZ219,BA219,BB219)</f>
        <v/>
      </c>
      <c r="BD219" s="1379">
        <f>BD20*BD225</f>
        <v/>
      </c>
      <c r="BE219" s="1361">
        <f>BE20*BE225</f>
        <v/>
      </c>
      <c r="BF219" s="1361">
        <f>BF20*BF225</f>
        <v/>
      </c>
      <c r="BG219" s="1361">
        <f>BG20*BG225</f>
        <v/>
      </c>
      <c r="BH219" s="1361">
        <f>BI219-SUM(BE219,BF219,BG219)</f>
        <v/>
      </c>
      <c r="BI219" s="1379">
        <f>BI20*BI225</f>
        <v/>
      </c>
      <c r="BJ219" s="1361">
        <f>BJ20*BJ225</f>
        <v/>
      </c>
      <c r="BK219" s="1361">
        <f>BK20*BK225</f>
        <v/>
      </c>
      <c r="BL219" s="1361">
        <f>BL20*BL225</f>
        <v/>
      </c>
      <c r="BM219" s="1361">
        <f>BN219-SUM(BJ219,BK219,BL219)</f>
        <v/>
      </c>
      <c r="BN219" s="1379">
        <f>BN20*BN225</f>
        <v/>
      </c>
      <c r="BO219" s="1361">
        <f>BO20*BO225</f>
        <v/>
      </c>
      <c r="BP219" s="1361">
        <f>BP20*BP225</f>
        <v/>
      </c>
      <c r="BQ219" s="1363">
        <f>BQ20*BQ225</f>
        <v/>
      </c>
      <c r="BR219" s="1361" t="n"/>
      <c r="BS219" s="1379" t="n"/>
      <c r="BT219" s="1361" t="n"/>
      <c r="BU219" s="1361" t="n"/>
      <c r="BV219" s="1361" t="n"/>
      <c r="BW219" s="1361" t="n"/>
      <c r="BX219" s="1379" t="n"/>
      <c r="BY219" s="1379" t="n"/>
      <c r="BZ219" s="1379" t="n"/>
      <c r="CA219" s="1379" t="n"/>
      <c r="CB219" s="1364" t="n"/>
    </row>
    <row r="220" hidden="1" outlineLevel="2" ht="14.4" customFormat="1" customHeight="1" s="1359">
      <c r="A220" s="1509" t="inlineStr">
        <is>
          <t>Revenue from arrangements with non-cancelable commitments (Calculated), mm</t>
        </is>
      </c>
      <c r="B220" s="1454" t="n"/>
      <c r="C220" s="1455" t="n"/>
      <c r="D220" s="1455" t="n"/>
      <c r="E220" s="1455" t="n"/>
      <c r="F220" s="1455" t="n"/>
      <c r="G220" s="1456" t="n"/>
      <c r="H220" s="1456" t="n"/>
      <c r="I220" s="1456" t="n"/>
      <c r="J220" s="1456" t="n"/>
      <c r="K220" s="1455" t="n"/>
      <c r="L220" s="1456" t="n"/>
      <c r="M220" s="1456" t="n"/>
      <c r="N220" s="1456" t="n"/>
      <c r="O220" s="1456" t="n"/>
      <c r="P220" s="1455" t="n"/>
      <c r="Q220" s="1456" t="n"/>
      <c r="R220" s="1456" t="n"/>
      <c r="S220" s="1456" t="n"/>
      <c r="T220" s="1456" t="n"/>
      <c r="U220" s="1455" t="n"/>
      <c r="V220" s="1456" t="n"/>
      <c r="W220" s="1456" t="n"/>
      <c r="X220" s="1456" t="n"/>
      <c r="Y220" s="1456" t="n"/>
      <c r="Z220" s="1455" t="n"/>
      <c r="AA220" s="1456" t="n"/>
      <c r="AB220" s="1456" t="n"/>
      <c r="AC220" s="1456" t="n"/>
      <c r="AD220" s="1456" t="n"/>
      <c r="AE220" s="1455" t="n"/>
      <c r="AF220" s="1456" t="n"/>
      <c r="AG220" s="1456" t="n"/>
      <c r="AH220" s="1456" t="n"/>
      <c r="AI220" s="1456" t="n"/>
      <c r="AJ220" s="1455" t="n"/>
      <c r="AK220" s="1456" t="n"/>
      <c r="AL220" s="1456" t="n"/>
      <c r="AM220" s="1456" t="n"/>
      <c r="AN220" s="1456" t="n"/>
      <c r="AO220" s="1455" t="n"/>
      <c r="AP220" s="1456" t="n"/>
      <c r="AQ220" s="1456" t="n"/>
      <c r="AR220" s="1456" t="n"/>
      <c r="AS220" s="1456" t="n"/>
      <c r="AT220" s="1455" t="n"/>
      <c r="AU220" s="1456">
        <f>AU20*AU226</f>
        <v/>
      </c>
      <c r="AV220" s="1456">
        <f>AV20*AV226</f>
        <v/>
      </c>
      <c r="AW220" s="1456">
        <f>AW20*AW226</f>
        <v/>
      </c>
      <c r="AX220" s="1456">
        <f>AY220-SUM(AU220,AV220,AW220)</f>
        <v/>
      </c>
      <c r="AY220" s="1455">
        <f>AY20*AY226</f>
        <v/>
      </c>
      <c r="AZ220" s="1456">
        <f>AZ20*AZ226</f>
        <v/>
      </c>
      <c r="BA220" s="1456">
        <f>BA20*BA226</f>
        <v/>
      </c>
      <c r="BB220" s="1456">
        <f>BB20*BB226</f>
        <v/>
      </c>
      <c r="BC220" s="1456">
        <f>BD220-SUM(AZ220,BA220,BB220)</f>
        <v/>
      </c>
      <c r="BD220" s="1455">
        <f>BD20*BD226</f>
        <v/>
      </c>
      <c r="BE220" s="1456">
        <f>BE20*BE226</f>
        <v/>
      </c>
      <c r="BF220" s="1456">
        <f>BF20*BF226</f>
        <v/>
      </c>
      <c r="BG220" s="1456">
        <f>BG20*BG226</f>
        <v/>
      </c>
      <c r="BH220" s="1456">
        <f>BI220-SUM(BE220,BF220,BG220)</f>
        <v/>
      </c>
      <c r="BI220" s="1455">
        <f>BI20*BI226</f>
        <v/>
      </c>
      <c r="BJ220" s="1456">
        <f>BJ20*BJ226</f>
        <v/>
      </c>
      <c r="BK220" s="1456">
        <f>BK20*BK226</f>
        <v/>
      </c>
      <c r="BL220" s="1456">
        <f>BL20*BL226</f>
        <v/>
      </c>
      <c r="BM220" s="1456">
        <f>BN220-SUM(BJ220,BK220,BL220)</f>
        <v/>
      </c>
      <c r="BN220" s="1455">
        <f>BN20*BN226</f>
        <v/>
      </c>
      <c r="BO220" s="1456">
        <f>BO20*BO226</f>
        <v/>
      </c>
      <c r="BP220" s="1456">
        <f>BP20*BP226</f>
        <v/>
      </c>
      <c r="BQ220" s="1457">
        <f>BQ20*BQ226</f>
        <v/>
      </c>
      <c r="BR220" s="1456" t="n"/>
      <c r="BS220" s="1455" t="n"/>
      <c r="BT220" s="1456" t="n"/>
      <c r="BU220" s="1456" t="n"/>
      <c r="BV220" s="1456" t="n"/>
      <c r="BW220" s="1456" t="n"/>
      <c r="BX220" s="1455" t="n"/>
      <c r="BY220" s="1455" t="n"/>
      <c r="BZ220" s="1455" t="n"/>
      <c r="CA220" s="1455" t="n"/>
      <c r="CB220" s="1364" t="n"/>
    </row>
    <row r="221" hidden="1" outlineLevel="2" ht="14.4" customFormat="1" customHeight="1" s="1359">
      <c r="A221" s="1474" t="inlineStr">
        <is>
          <t>Recurring revenue (Calculated), mm</t>
        </is>
      </c>
      <c r="B221" s="1377" t="n"/>
      <c r="C221" s="1379" t="n"/>
      <c r="D221" s="1379" t="n"/>
      <c r="E221" s="1379" t="n"/>
      <c r="F221" s="1379" t="n"/>
      <c r="G221" s="1361" t="n"/>
      <c r="H221" s="1361" t="n"/>
      <c r="I221" s="1361" t="n"/>
      <c r="J221" s="1361" t="n"/>
      <c r="K221" s="1379" t="n"/>
      <c r="L221" s="1361" t="n"/>
      <c r="M221" s="1361" t="n"/>
      <c r="N221" s="1361" t="n"/>
      <c r="O221" s="1361" t="n"/>
      <c r="P221" s="1379" t="n"/>
      <c r="Q221" s="1361" t="n"/>
      <c r="R221" s="1361" t="n"/>
      <c r="S221" s="1361" t="n"/>
      <c r="T221" s="1361" t="n"/>
      <c r="U221" s="1379" t="n"/>
      <c r="V221" s="1361" t="n"/>
      <c r="W221" s="1361" t="n"/>
      <c r="X221" s="1361" t="n"/>
      <c r="Y221" s="1361" t="n"/>
      <c r="Z221" s="1379" t="n"/>
      <c r="AA221" s="1361" t="n"/>
      <c r="AB221" s="1361" t="n"/>
      <c r="AC221" s="1361" t="n"/>
      <c r="AD221" s="1361" t="n"/>
      <c r="AE221" s="1379" t="n"/>
      <c r="AF221" s="1361" t="n"/>
      <c r="AG221" s="1361" t="n"/>
      <c r="AH221" s="1361" t="n"/>
      <c r="AI221" s="1361" t="n"/>
      <c r="AJ221" s="1379" t="n"/>
      <c r="AK221" s="1361" t="n"/>
      <c r="AL221" s="1361" t="n"/>
      <c r="AM221" s="1361" t="n"/>
      <c r="AN221" s="1361" t="n"/>
      <c r="AO221" s="1379" t="n"/>
      <c r="AP221" s="1361" t="n"/>
      <c r="AQ221" s="1361" t="n"/>
      <c r="AR221" s="1361" t="n"/>
      <c r="AS221" s="1361" t="n"/>
      <c r="AT221" s="1379" t="n"/>
      <c r="AU221" s="1361">
        <f>SUM(AU219:AU220)</f>
        <v/>
      </c>
      <c r="AV221" s="1361">
        <f>SUM(AV219:AV220)</f>
        <v/>
      </c>
      <c r="AW221" s="1361">
        <f>SUM(AW219:AW220)</f>
        <v/>
      </c>
      <c r="AX221" s="1361">
        <f>SUM(AX219:AX220)</f>
        <v/>
      </c>
      <c r="AY221" s="1379">
        <f>SUM(AY219:AY220)</f>
        <v/>
      </c>
      <c r="AZ221" s="1361">
        <f>SUM(AZ219:AZ220)</f>
        <v/>
      </c>
      <c r="BA221" s="1361">
        <f>SUM(BA219:BA220)</f>
        <v/>
      </c>
      <c r="BB221" s="1361">
        <f>SUM(BB219:BB220)</f>
        <v/>
      </c>
      <c r="BC221" s="1361">
        <f>SUM(BC219:BC220)</f>
        <v/>
      </c>
      <c r="BD221" s="1379">
        <f>SUM(BD219:BD220)</f>
        <v/>
      </c>
      <c r="BE221" s="1361">
        <f>SUM(BE219:BE220)</f>
        <v/>
      </c>
      <c r="BF221" s="1361">
        <f>SUM(BF219:BF220)</f>
        <v/>
      </c>
      <c r="BG221" s="1361">
        <f>SUM(BG219:BG220)</f>
        <v/>
      </c>
      <c r="BH221" s="1361">
        <f>SUM(BH219:BH220)</f>
        <v/>
      </c>
      <c r="BI221" s="1379">
        <f>SUM(BI219:BI220)</f>
        <v/>
      </c>
      <c r="BJ221" s="1361">
        <f>SUM(BJ219:BJ220)</f>
        <v/>
      </c>
      <c r="BK221" s="1361">
        <f>SUM(BK219:BK220)</f>
        <v/>
      </c>
      <c r="BL221" s="1361">
        <f>SUM(BL219:BL220)</f>
        <v/>
      </c>
      <c r="BM221" s="1361">
        <f>SUM(BM219:BM220)</f>
        <v/>
      </c>
      <c r="BN221" s="1379">
        <f>SUM(BN219:BN220)</f>
        <v/>
      </c>
      <c r="BO221" s="1361">
        <f>SUM(BO219:BO220)</f>
        <v/>
      </c>
      <c r="BP221" s="1361">
        <f>SUM(BP219:BP220)</f>
        <v/>
      </c>
      <c r="BQ221" s="1363">
        <f>SUM(BQ219:BQ220)</f>
        <v/>
      </c>
      <c r="BR221" s="1361" t="n"/>
      <c r="BS221" s="1379" t="n"/>
      <c r="BT221" s="1361" t="n"/>
      <c r="BU221" s="1361" t="n"/>
      <c r="BV221" s="1361" t="n"/>
      <c r="BW221" s="1361" t="n"/>
      <c r="BX221" s="1379" t="n"/>
      <c r="BY221" s="1379" t="n"/>
      <c r="BZ221" s="1379" t="n"/>
      <c r="CA221" s="1379" t="n"/>
      <c r="CB221" s="1364" t="n"/>
    </row>
    <row r="222" hidden="1" outlineLevel="2" ht="14.4" customFormat="1" customHeight="1" s="1359">
      <c r="A222" s="1478" t="inlineStr">
        <is>
          <t>Up-front revenue (Calculated), mm</t>
        </is>
      </c>
      <c r="B222" s="1454" t="n"/>
      <c r="C222" s="1455" t="n"/>
      <c r="D222" s="1455" t="n"/>
      <c r="E222" s="1455" t="n"/>
      <c r="F222" s="1455" t="n"/>
      <c r="G222" s="1456" t="n"/>
      <c r="H222" s="1456" t="n"/>
      <c r="I222" s="1456" t="n"/>
      <c r="J222" s="1456" t="n"/>
      <c r="K222" s="1455" t="n"/>
      <c r="L222" s="1456" t="n"/>
      <c r="M222" s="1456" t="n"/>
      <c r="N222" s="1456" t="n"/>
      <c r="O222" s="1456" t="n"/>
      <c r="P222" s="1455" t="n"/>
      <c r="Q222" s="1456" t="n"/>
      <c r="R222" s="1456" t="n"/>
      <c r="S222" s="1456" t="n"/>
      <c r="T222" s="1456" t="n"/>
      <c r="U222" s="1455" t="n"/>
      <c r="V222" s="1456" t="n"/>
      <c r="W222" s="1456" t="n"/>
      <c r="X222" s="1456" t="n"/>
      <c r="Y222" s="1456" t="n"/>
      <c r="Z222" s="1455" t="n"/>
      <c r="AA222" s="1456" t="n"/>
      <c r="AB222" s="1456" t="n"/>
      <c r="AC222" s="1456" t="n"/>
      <c r="AD222" s="1456" t="n"/>
      <c r="AE222" s="1455" t="n"/>
      <c r="AF222" s="1456" t="n"/>
      <c r="AG222" s="1456" t="n"/>
      <c r="AH222" s="1456" t="n"/>
      <c r="AI222" s="1456" t="n"/>
      <c r="AJ222" s="1455" t="n"/>
      <c r="AK222" s="1456" t="n"/>
      <c r="AL222" s="1456" t="n"/>
      <c r="AM222" s="1456" t="n"/>
      <c r="AN222" s="1456" t="n"/>
      <c r="AO222" s="1455" t="n"/>
      <c r="AP222" s="1456" t="n"/>
      <c r="AQ222" s="1456" t="n"/>
      <c r="AR222" s="1456" t="n"/>
      <c r="AS222" s="1456" t="n"/>
      <c r="AT222" s="1455" t="n"/>
      <c r="AU222" s="1456">
        <f>AU20*AU228</f>
        <v/>
      </c>
      <c r="AV222" s="1456">
        <f>AV20*AV228</f>
        <v/>
      </c>
      <c r="AW222" s="1456">
        <f>AW20*AW228</f>
        <v/>
      </c>
      <c r="AX222" s="1456">
        <f>AY222-SUM(AU222,AV222,AW222)</f>
        <v/>
      </c>
      <c r="AY222" s="1455">
        <f>AY20*AY228</f>
        <v/>
      </c>
      <c r="AZ222" s="1456">
        <f>AZ20*AZ228</f>
        <v/>
      </c>
      <c r="BA222" s="1456">
        <f>BA20*BA228</f>
        <v/>
      </c>
      <c r="BB222" s="1456">
        <f>BB20*BB228</f>
        <v/>
      </c>
      <c r="BC222" s="1456">
        <f>BD222-SUM(AZ222,BA222,BB222)</f>
        <v/>
      </c>
      <c r="BD222" s="1455">
        <f>BD20*BD228</f>
        <v/>
      </c>
      <c r="BE222" s="1456">
        <f>BE20*BE228</f>
        <v/>
      </c>
      <c r="BF222" s="1456">
        <f>BF20*BF228</f>
        <v/>
      </c>
      <c r="BG222" s="1456">
        <f>BG20*BG228</f>
        <v/>
      </c>
      <c r="BH222" s="1456">
        <f>BI222-SUM(BE222,BF222,BG222)</f>
        <v/>
      </c>
      <c r="BI222" s="1455">
        <f>BI20*BI228</f>
        <v/>
      </c>
      <c r="BJ222" s="1456">
        <f>BJ20*BJ228</f>
        <v/>
      </c>
      <c r="BK222" s="1456">
        <f>BK20*BK228</f>
        <v/>
      </c>
      <c r="BL222" s="1456">
        <f>BL20*BL228</f>
        <v/>
      </c>
      <c r="BM222" s="1456">
        <f>BN222-SUM(BJ222,BK222,BL222)</f>
        <v/>
      </c>
      <c r="BN222" s="1455">
        <f>BN20*BN228</f>
        <v/>
      </c>
      <c r="BO222" s="1456">
        <f>BO20*BO228</f>
        <v/>
      </c>
      <c r="BP222" s="1456">
        <f>BP20*BP228</f>
        <v/>
      </c>
      <c r="BQ222" s="1457">
        <f>BQ20*BQ228</f>
        <v/>
      </c>
      <c r="BR222" s="1456" t="n"/>
      <c r="BS222" s="1455" t="n"/>
      <c r="BT222" s="1456" t="n"/>
      <c r="BU222" s="1456" t="n"/>
      <c r="BV222" s="1456" t="n"/>
      <c r="BW222" s="1456" t="n"/>
      <c r="BX222" s="1455" t="n"/>
      <c r="BY222" s="1455" t="n"/>
      <c r="BZ222" s="1455" t="n"/>
      <c r="CA222" s="1455" t="n"/>
      <c r="CB222" s="1364" t="n"/>
    </row>
    <row r="223" hidden="1" outlineLevel="2" ht="14.4" customFormat="1" customHeight="1" s="1372">
      <c r="A223" s="1447" t="inlineStr">
        <is>
          <t>Total revenue, mm</t>
        </is>
      </c>
      <c r="B223" s="1448" t="n"/>
      <c r="C223" s="1449" t="n"/>
      <c r="D223" s="1449" t="n"/>
      <c r="E223" s="1449" t="n"/>
      <c r="F223" s="1449" t="n"/>
      <c r="G223" s="1450" t="n"/>
      <c r="H223" s="1450" t="n"/>
      <c r="I223" s="1450" t="n"/>
      <c r="J223" s="1450" t="n"/>
      <c r="K223" s="1449" t="n"/>
      <c r="L223" s="1450" t="n"/>
      <c r="M223" s="1450" t="n"/>
      <c r="N223" s="1450" t="n"/>
      <c r="O223" s="1450" t="n"/>
      <c r="P223" s="1449" t="n"/>
      <c r="Q223" s="1450" t="n"/>
      <c r="R223" s="1450" t="n"/>
      <c r="S223" s="1450" t="n"/>
      <c r="T223" s="1450" t="n"/>
      <c r="U223" s="1449" t="n"/>
      <c r="V223" s="1450" t="n"/>
      <c r="W223" s="1450" t="n"/>
      <c r="X223" s="1450" t="n"/>
      <c r="Y223" s="1450" t="n"/>
      <c r="Z223" s="1449" t="n"/>
      <c r="AA223" s="1450" t="n"/>
      <c r="AB223" s="1450" t="n"/>
      <c r="AC223" s="1450" t="n"/>
      <c r="AD223" s="1450" t="n"/>
      <c r="AE223" s="1449" t="n"/>
      <c r="AF223" s="1450" t="n"/>
      <c r="AG223" s="1450" t="n"/>
      <c r="AH223" s="1450" t="n"/>
      <c r="AI223" s="1450" t="n"/>
      <c r="AJ223" s="1449" t="n"/>
      <c r="AK223" s="1450" t="n"/>
      <c r="AL223" s="1450" t="n"/>
      <c r="AM223" s="1450" t="n"/>
      <c r="AN223" s="1450" t="n"/>
      <c r="AO223" s="1449" t="n"/>
      <c r="AP223" s="1450" t="n"/>
      <c r="AQ223" s="1450" t="n"/>
      <c r="AR223" s="1450" t="n"/>
      <c r="AS223" s="1450" t="n"/>
      <c r="AT223" s="1449" t="n"/>
      <c r="AU223" s="1450">
        <f>SUM(AU221:AU222)</f>
        <v/>
      </c>
      <c r="AV223" s="1450">
        <f>SUM(AV221:AV222)</f>
        <v/>
      </c>
      <c r="AW223" s="1450">
        <f>SUM(AW221:AW222)</f>
        <v/>
      </c>
      <c r="AX223" s="1450">
        <f>SUM(AX221:AX222)</f>
        <v/>
      </c>
      <c r="AY223" s="1449">
        <f>SUM(AY221:AY222)</f>
        <v/>
      </c>
      <c r="AZ223" s="1450">
        <f>SUM(AZ221:AZ222)</f>
        <v/>
      </c>
      <c r="BA223" s="1450">
        <f>SUM(BA221:BA222)</f>
        <v/>
      </c>
      <c r="BB223" s="1450">
        <f>SUM(BB221:BB222)</f>
        <v/>
      </c>
      <c r="BC223" s="1450">
        <f>SUM(BC221:BC222)</f>
        <v/>
      </c>
      <c r="BD223" s="1449">
        <f>SUM(BD221:BD222)</f>
        <v/>
      </c>
      <c r="BE223" s="1450">
        <f>SUM(BE221:BE222)</f>
        <v/>
      </c>
      <c r="BF223" s="1450">
        <f>SUM(BF221:BF222)</f>
        <v/>
      </c>
      <c r="BG223" s="1450">
        <f>SUM(BG221:BG222)</f>
        <v/>
      </c>
      <c r="BH223" s="1450">
        <f>SUM(BH221:BH222)</f>
        <v/>
      </c>
      <c r="BI223" s="1449">
        <f>SUM(BI221:BI222)</f>
        <v/>
      </c>
      <c r="BJ223" s="1450">
        <f>SUM(BJ221:BJ222)</f>
        <v/>
      </c>
      <c r="BK223" s="1450">
        <f>SUM(BK221:BK222)</f>
        <v/>
      </c>
      <c r="BL223" s="1450">
        <f>SUM(BL221:BL222)</f>
        <v/>
      </c>
      <c r="BM223" s="1450">
        <f>SUM(BM221:BM222)</f>
        <v/>
      </c>
      <c r="BN223" s="1449">
        <f>SUM(BN221:BN222)</f>
        <v/>
      </c>
      <c r="BO223" s="1450">
        <f>SUM(BO221:BO222)</f>
        <v/>
      </c>
      <c r="BP223" s="1450">
        <f>SUM(BP221:BP222)</f>
        <v/>
      </c>
      <c r="BQ223" s="1451">
        <f>SUM(BQ221:BQ222)</f>
        <v/>
      </c>
      <c r="BR223" s="1450" t="n"/>
      <c r="BS223" s="1449" t="n"/>
      <c r="BT223" s="1450" t="n"/>
      <c r="BU223" s="1450" t="n"/>
      <c r="BV223" s="1450" t="n"/>
      <c r="BW223" s="1450" t="n"/>
      <c r="BX223" s="1449" t="n"/>
      <c r="BY223" s="1449" t="n"/>
      <c r="BZ223" s="1449" t="n"/>
      <c r="CA223" s="1449" t="n"/>
      <c r="CB223" s="1375" t="n"/>
    </row>
    <row r="224" hidden="1" outlineLevel="2" ht="14.4" customFormat="1" customHeight="1" s="1372">
      <c r="A224" s="1447" t="n"/>
      <c r="B224" s="1448" t="n"/>
      <c r="C224" s="1449" t="n"/>
      <c r="D224" s="1449" t="n"/>
      <c r="E224" s="1449" t="n"/>
      <c r="F224" s="1449" t="n"/>
      <c r="G224" s="1450" t="n"/>
      <c r="H224" s="1450" t="n"/>
      <c r="I224" s="1450" t="n"/>
      <c r="J224" s="1450" t="n"/>
      <c r="K224" s="1449" t="n"/>
      <c r="L224" s="1450" t="n"/>
      <c r="M224" s="1450" t="n"/>
      <c r="N224" s="1450" t="n"/>
      <c r="O224" s="1450" t="n"/>
      <c r="P224" s="1449" t="n"/>
      <c r="Q224" s="1450" t="n"/>
      <c r="R224" s="1450" t="n"/>
      <c r="S224" s="1450" t="n"/>
      <c r="T224" s="1450" t="n"/>
      <c r="U224" s="1449" t="n"/>
      <c r="V224" s="1450" t="n"/>
      <c r="W224" s="1450" t="n"/>
      <c r="X224" s="1450" t="n"/>
      <c r="Y224" s="1450" t="n"/>
      <c r="Z224" s="1449" t="n"/>
      <c r="AA224" s="1450" t="n"/>
      <c r="AB224" s="1450" t="n"/>
      <c r="AC224" s="1450" t="n"/>
      <c r="AD224" s="1450" t="n"/>
      <c r="AE224" s="1449" t="n"/>
      <c r="AF224" s="1450" t="n"/>
      <c r="AG224" s="1450" t="n"/>
      <c r="AH224" s="1450" t="n"/>
      <c r="AI224" s="1450" t="n"/>
      <c r="AJ224" s="1449" t="n"/>
      <c r="AK224" s="1450" t="n"/>
      <c r="AL224" s="1450" t="n"/>
      <c r="AM224" s="1450" t="n"/>
      <c r="AN224" s="1450" t="n"/>
      <c r="AO224" s="1449" t="n"/>
      <c r="AP224" s="1450" t="n"/>
      <c r="AQ224" s="1450" t="n"/>
      <c r="AR224" s="1450" t="n"/>
      <c r="AS224" s="1450" t="n"/>
      <c r="AT224" s="1449" t="n"/>
      <c r="AU224" s="1450" t="n"/>
      <c r="AV224" s="1450" t="n"/>
      <c r="AW224" s="1450" t="n"/>
      <c r="AX224" s="1450" t="n"/>
      <c r="AY224" s="1449" t="n"/>
      <c r="AZ224" s="1450" t="n"/>
      <c r="BA224" s="1450" t="n"/>
      <c r="BB224" s="1450" t="n"/>
      <c r="BC224" s="1450" t="n"/>
      <c r="BD224" s="1449" t="n"/>
      <c r="BE224" s="1450" t="n"/>
      <c r="BF224" s="1450" t="n"/>
      <c r="BG224" s="1450" t="n"/>
      <c r="BH224" s="1450" t="n"/>
      <c r="BI224" s="1449" t="n"/>
      <c r="BJ224" s="1450" t="n"/>
      <c r="BK224" s="1450" t="n"/>
      <c r="BL224" s="1450" t="n"/>
      <c r="BM224" s="1450" t="n"/>
      <c r="BN224" s="1449" t="n"/>
      <c r="BO224" s="1450" t="n"/>
      <c r="BP224" s="1450" t="n"/>
      <c r="BQ224" s="1451" t="n"/>
      <c r="BR224" s="1450" t="n"/>
      <c r="BS224" s="1449" t="n"/>
      <c r="BT224" s="1450" t="n"/>
      <c r="BU224" s="1450" t="n"/>
      <c r="BV224" s="1450" t="n"/>
      <c r="BW224" s="1450" t="n"/>
      <c r="BX224" s="1449" t="n"/>
      <c r="BY224" s="1449" t="n"/>
      <c r="BZ224" s="1449" t="n"/>
      <c r="CA224" s="1449" t="n"/>
      <c r="CB224" s="1375" t="n"/>
    </row>
    <row r="225" hidden="1" outlineLevel="2" ht="14.4" customFormat="1" customHeight="1" s="1460">
      <c r="A225" s="1519" t="inlineStr">
        <is>
          <t>Revenue recognized over time revenue mix, %</t>
        </is>
      </c>
      <c r="B225" s="1462" t="n"/>
      <c r="C225" s="1463" t="n"/>
      <c r="D225" s="1463" t="n"/>
      <c r="E225" s="1463" t="n"/>
      <c r="F225" s="1463" t="n"/>
      <c r="G225" s="1466" t="n"/>
      <c r="H225" s="1466" t="n"/>
      <c r="I225" s="1466" t="n"/>
      <c r="J225" s="1466" t="n"/>
      <c r="K225" s="1463" t="n"/>
      <c r="L225" s="1466" t="n"/>
      <c r="M225" s="1466" t="n"/>
      <c r="N225" s="1466" t="n"/>
      <c r="O225" s="1466" t="n"/>
      <c r="P225" s="1463" t="n"/>
      <c r="Q225" s="1466" t="n"/>
      <c r="R225" s="1466" t="n"/>
      <c r="S225" s="1466" t="n"/>
      <c r="T225" s="1466" t="n"/>
      <c r="U225" s="1463" t="n"/>
      <c r="V225" s="1466" t="n"/>
      <c r="W225" s="1466" t="n"/>
      <c r="X225" s="1466" t="n"/>
      <c r="Y225" s="1466" t="n"/>
      <c r="Z225" s="1463" t="n"/>
      <c r="AA225" s="1466" t="n"/>
      <c r="AB225" s="1466" t="n"/>
      <c r="AC225" s="1466" t="n"/>
      <c r="AD225" s="1466" t="n"/>
      <c r="AE225" s="1463" t="n"/>
      <c r="AF225" s="1466" t="n"/>
      <c r="AG225" s="1466" t="n"/>
      <c r="AH225" s="1466" t="n"/>
      <c r="AI225" s="1466" t="n"/>
      <c r="AJ225" s="1463" t="n"/>
      <c r="AK225" s="1466" t="n"/>
      <c r="AL225" s="1466" t="n"/>
      <c r="AM225" s="1466" t="n"/>
      <c r="AN225" s="1466" t="n"/>
      <c r="AO225" s="1463" t="n"/>
      <c r="AP225" s="1466" t="n"/>
      <c r="AQ225" s="1466" t="n"/>
      <c r="AR225" s="1466" t="n"/>
      <c r="AS225" s="1466" t="n"/>
      <c r="AT225" s="1463" t="n"/>
      <c r="AU225" s="1520" t="n">
        <v>0.82</v>
      </c>
      <c r="AV225" s="1520" t="n">
        <v>0.84</v>
      </c>
      <c r="AW225" s="1520" t="n">
        <v>0.86</v>
      </c>
      <c r="AX225" s="1466">
        <f>+AX219/AX$223</f>
        <v/>
      </c>
      <c r="AY225" s="1521" t="n">
        <v>0.85</v>
      </c>
      <c r="AZ225" s="1520" t="n">
        <v>0.8100000000000001</v>
      </c>
      <c r="BA225" s="1520" t="n">
        <v>0.84</v>
      </c>
      <c r="BB225" s="1520" t="n">
        <v>0.8100000000000001</v>
      </c>
      <c r="BC225" s="1466">
        <f>+BC219/BC$223</f>
        <v/>
      </c>
      <c r="BD225" s="1521" t="n">
        <v>0.83</v>
      </c>
      <c r="BE225" s="1520" t="n">
        <v>0.77</v>
      </c>
      <c r="BF225" s="1520" t="n">
        <v>0.82</v>
      </c>
      <c r="BG225" s="1520" t="n">
        <v>0.83</v>
      </c>
      <c r="BH225" s="1466">
        <f>+BH219/BH$223</f>
        <v/>
      </c>
      <c r="BI225" s="1521" t="n">
        <v>0.8100000000000001</v>
      </c>
      <c r="BJ225" s="1520" t="n">
        <v>0.87</v>
      </c>
      <c r="BK225" s="1520" t="n">
        <v>0.85</v>
      </c>
      <c r="BL225" s="1520" t="n">
        <v>0.8</v>
      </c>
      <c r="BM225" s="1466">
        <f>+BM219/BM$223</f>
        <v/>
      </c>
      <c r="BN225" s="1521" t="n">
        <v>0.8</v>
      </c>
      <c r="BO225" s="1520" t="n">
        <v>0.77</v>
      </c>
      <c r="BP225" s="1520" t="n">
        <v>0.73</v>
      </c>
      <c r="BQ225" s="1522" t="n">
        <v>0.78</v>
      </c>
      <c r="BR225" s="1466" t="n"/>
      <c r="BS225" s="1463" t="n"/>
      <c r="BT225" s="1466" t="n"/>
      <c r="BU225" s="1466" t="n"/>
      <c r="BV225" s="1466" t="n"/>
      <c r="BW225" s="1466" t="n"/>
      <c r="BX225" s="1463" t="n"/>
      <c r="BY225" s="1463" t="n"/>
      <c r="BZ225" s="1463" t="n"/>
      <c r="CA225" s="1463" t="n"/>
      <c r="CB225" s="1465" t="n"/>
    </row>
    <row r="226" hidden="1" outlineLevel="2" ht="14.4" customFormat="1" customHeight="1" s="1460">
      <c r="A226" s="1523" t="inlineStr">
        <is>
          <t>Revenue from arrangements with non-cancelable commitments revenue mix, %</t>
        </is>
      </c>
      <c r="B226" s="1524" t="n"/>
      <c r="C226" s="1525" t="n"/>
      <c r="D226" s="1525" t="n"/>
      <c r="E226" s="1525" t="n"/>
      <c r="F226" s="1525" t="n"/>
      <c r="G226" s="1526" t="n"/>
      <c r="H226" s="1526" t="n"/>
      <c r="I226" s="1526" t="n"/>
      <c r="J226" s="1526" t="n"/>
      <c r="K226" s="1525" t="n"/>
      <c r="L226" s="1526" t="n"/>
      <c r="M226" s="1526" t="n"/>
      <c r="N226" s="1526" t="n"/>
      <c r="O226" s="1526" t="n"/>
      <c r="P226" s="1525" t="n"/>
      <c r="Q226" s="1526" t="n"/>
      <c r="R226" s="1526" t="n"/>
      <c r="S226" s="1526" t="n"/>
      <c r="T226" s="1526" t="n"/>
      <c r="U226" s="1525" t="n"/>
      <c r="V226" s="1526" t="n"/>
      <c r="W226" s="1526" t="n"/>
      <c r="X226" s="1526" t="n"/>
      <c r="Y226" s="1526" t="n"/>
      <c r="Z226" s="1525" t="n"/>
      <c r="AA226" s="1526" t="n"/>
      <c r="AB226" s="1526" t="n"/>
      <c r="AC226" s="1526" t="n"/>
      <c r="AD226" s="1526" t="n"/>
      <c r="AE226" s="1525" t="n"/>
      <c r="AF226" s="1526" t="n"/>
      <c r="AG226" s="1526" t="n"/>
      <c r="AH226" s="1526" t="n"/>
      <c r="AI226" s="1526" t="n"/>
      <c r="AJ226" s="1525" t="n"/>
      <c r="AK226" s="1526" t="n"/>
      <c r="AL226" s="1526" t="n"/>
      <c r="AM226" s="1526" t="n"/>
      <c r="AN226" s="1526" t="n"/>
      <c r="AO226" s="1525" t="n"/>
      <c r="AP226" s="1526" t="n"/>
      <c r="AQ226" s="1526" t="n"/>
      <c r="AR226" s="1526" t="n"/>
      <c r="AS226" s="1526" t="n"/>
      <c r="AT226" s="1525" t="n"/>
      <c r="AU226" s="1527" t="n">
        <v>0.04</v>
      </c>
      <c r="AV226" s="1527" t="n">
        <v>0.03</v>
      </c>
      <c r="AW226" s="1527" t="n">
        <v>0.03</v>
      </c>
      <c r="AX226" s="1526">
        <f>+AX220/AX$223</f>
        <v/>
      </c>
      <c r="AY226" s="1528" t="n">
        <v>0.03</v>
      </c>
      <c r="AZ226" s="1527" t="n">
        <v>0.02</v>
      </c>
      <c r="BA226" s="1527" t="n">
        <v>0.02</v>
      </c>
      <c r="BB226" s="1527" t="n">
        <v>0.03</v>
      </c>
      <c r="BC226" s="1526">
        <f>+BC220/BC$223</f>
        <v/>
      </c>
      <c r="BD226" s="1528" t="n">
        <v>0.02</v>
      </c>
      <c r="BE226" s="1527" t="n">
        <v>0.03</v>
      </c>
      <c r="BF226" s="1527" t="n">
        <v>0.03</v>
      </c>
      <c r="BG226" s="1527" t="n">
        <v>0.02</v>
      </c>
      <c r="BH226" s="1526">
        <f>+BH220/BH$223</f>
        <v/>
      </c>
      <c r="BI226" s="1528" t="n">
        <v>0.03</v>
      </c>
      <c r="BJ226" s="1527" t="n">
        <v>0.03</v>
      </c>
      <c r="BK226" s="1527" t="n">
        <v>0.03</v>
      </c>
      <c r="BL226" s="1527" t="n">
        <v>0.02</v>
      </c>
      <c r="BM226" s="1526">
        <f>+BM220/BM$223</f>
        <v/>
      </c>
      <c r="BN226" s="1528" t="n">
        <v>0.03</v>
      </c>
      <c r="BO226" s="1527" t="n">
        <v>0.03</v>
      </c>
      <c r="BP226" s="1527" t="n">
        <v>0.05</v>
      </c>
      <c r="BQ226" s="1529" t="n">
        <v>0.04</v>
      </c>
      <c r="BR226" s="1526" t="n"/>
      <c r="BS226" s="1525" t="n"/>
      <c r="BT226" s="1526" t="n"/>
      <c r="BU226" s="1526" t="n"/>
      <c r="BV226" s="1526" t="n"/>
      <c r="BW226" s="1526" t="n"/>
      <c r="BX226" s="1525" t="n"/>
      <c r="BY226" s="1525" t="n"/>
      <c r="BZ226" s="1525" t="n"/>
      <c r="CA226" s="1525" t="n"/>
      <c r="CB226" s="1465" t="n"/>
    </row>
    <row r="227" hidden="1" outlineLevel="2" ht="14.4" customFormat="1" customHeight="1" s="1460">
      <c r="A227" s="1486" t="inlineStr">
        <is>
          <t>Recurring revenue mix, %</t>
        </is>
      </c>
      <c r="B227" s="1462" t="n"/>
      <c r="C227" s="1463" t="n"/>
      <c r="D227" s="1463" t="n"/>
      <c r="E227" s="1463" t="n"/>
      <c r="F227" s="1463" t="n"/>
      <c r="G227" s="1466" t="n"/>
      <c r="H227" s="1466" t="n"/>
      <c r="I227" s="1466" t="n"/>
      <c r="J227" s="1466" t="n"/>
      <c r="K227" s="1463" t="n"/>
      <c r="L227" s="1466" t="n"/>
      <c r="M227" s="1466" t="n"/>
      <c r="N227" s="1466" t="n"/>
      <c r="O227" s="1466" t="n"/>
      <c r="P227" s="1463" t="n"/>
      <c r="Q227" s="1466" t="n"/>
      <c r="R227" s="1466" t="n"/>
      <c r="S227" s="1466" t="n"/>
      <c r="T227" s="1466" t="n"/>
      <c r="U227" s="1463" t="n"/>
      <c r="V227" s="1466" t="n"/>
      <c r="W227" s="1466" t="n"/>
      <c r="X227" s="1466" t="n"/>
      <c r="Y227" s="1466" t="n"/>
      <c r="Z227" s="1463" t="n"/>
      <c r="AA227" s="1466" t="n"/>
      <c r="AB227" s="1466" t="n"/>
      <c r="AC227" s="1466" t="n"/>
      <c r="AD227" s="1466" t="n"/>
      <c r="AE227" s="1463" t="n"/>
      <c r="AF227" s="1466" t="n"/>
      <c r="AG227" s="1466" t="n"/>
      <c r="AH227" s="1466" t="n"/>
      <c r="AI227" s="1466" t="n"/>
      <c r="AJ227" s="1463" t="n"/>
      <c r="AK227" s="1466" t="n"/>
      <c r="AL227" s="1466" t="n"/>
      <c r="AM227" s="1466" t="n"/>
      <c r="AN227" s="1466" t="n"/>
      <c r="AO227" s="1463" t="n"/>
      <c r="AP227" s="1466" t="n"/>
      <c r="AQ227" s="1466" t="n"/>
      <c r="AR227" s="1466" t="n"/>
      <c r="AS227" s="1466" t="n"/>
      <c r="AT227" s="1463" t="n"/>
      <c r="AU227" s="1466">
        <f>SUM(AU225:AU226)</f>
        <v/>
      </c>
      <c r="AV227" s="1466">
        <f>SUM(AV225:AV226)</f>
        <v/>
      </c>
      <c r="AW227" s="1466">
        <f>SUM(AW225:AW226)</f>
        <v/>
      </c>
      <c r="AX227" s="1466">
        <f>SUM(AX225:AX226)</f>
        <v/>
      </c>
      <c r="AY227" s="1463">
        <f>SUM(AY225:AY226)</f>
        <v/>
      </c>
      <c r="AZ227" s="1466">
        <f>SUM(AZ225:AZ226)</f>
        <v/>
      </c>
      <c r="BA227" s="1466">
        <f>SUM(BA225:BA226)</f>
        <v/>
      </c>
      <c r="BB227" s="1466">
        <f>SUM(BB225:BB226)</f>
        <v/>
      </c>
      <c r="BC227" s="1466">
        <f>SUM(BC225:BC226)</f>
        <v/>
      </c>
      <c r="BD227" s="1463">
        <f>SUM(BD225:BD226)</f>
        <v/>
      </c>
      <c r="BE227" s="1466">
        <f>SUM(BE225:BE226)</f>
        <v/>
      </c>
      <c r="BF227" s="1466">
        <f>SUM(BF225:BF226)</f>
        <v/>
      </c>
      <c r="BG227" s="1466">
        <f>SUM(BG225:BG226)</f>
        <v/>
      </c>
      <c r="BH227" s="1466">
        <f>SUM(BH225:BH226)</f>
        <v/>
      </c>
      <c r="BI227" s="1463">
        <f>SUM(BI225:BI226)</f>
        <v/>
      </c>
      <c r="BJ227" s="1466">
        <f>SUM(BJ225:BJ226)</f>
        <v/>
      </c>
      <c r="BK227" s="1466">
        <f>SUM(BK225:BK226)</f>
        <v/>
      </c>
      <c r="BL227" s="1466">
        <f>SUM(BL225:BL226)</f>
        <v/>
      </c>
      <c r="BM227" s="1466">
        <f>SUM(BM225:BM226)</f>
        <v/>
      </c>
      <c r="BN227" s="1463">
        <f>SUM(BN225:BN226)</f>
        <v/>
      </c>
      <c r="BO227" s="1466">
        <f>SUM(BO225:BO226)</f>
        <v/>
      </c>
      <c r="BP227" s="1466">
        <f>SUM(BP225:BP226)</f>
        <v/>
      </c>
      <c r="BQ227" s="1491">
        <f>SUM(BQ225:BQ226)</f>
        <v/>
      </c>
      <c r="BR227" s="1466" t="n"/>
      <c r="BS227" s="1463" t="n"/>
      <c r="BT227" s="1466" t="n"/>
      <c r="BU227" s="1466" t="n"/>
      <c r="BV227" s="1466" t="n"/>
      <c r="BW227" s="1466" t="n"/>
      <c r="BX227" s="1463" t="n"/>
      <c r="BY227" s="1463" t="n"/>
      <c r="BZ227" s="1463" t="n"/>
      <c r="CA227" s="1463" t="n"/>
      <c r="CB227" s="1465" t="n"/>
    </row>
    <row r="228" hidden="1" outlineLevel="2" ht="14.4" customFormat="1" customHeight="1" s="1460">
      <c r="A228" s="1495" t="inlineStr">
        <is>
          <t>Up-front revenue mix, %</t>
        </is>
      </c>
      <c r="B228" s="1524" t="n"/>
      <c r="C228" s="1525" t="n"/>
      <c r="D228" s="1525" t="n"/>
      <c r="E228" s="1525" t="n"/>
      <c r="F228" s="1525" t="n"/>
      <c r="G228" s="1526" t="n"/>
      <c r="H228" s="1526" t="n"/>
      <c r="I228" s="1526" t="n"/>
      <c r="J228" s="1526" t="n"/>
      <c r="K228" s="1525" t="n"/>
      <c r="L228" s="1526" t="n"/>
      <c r="M228" s="1526" t="n"/>
      <c r="N228" s="1526" t="n"/>
      <c r="O228" s="1526" t="n"/>
      <c r="P228" s="1525" t="n"/>
      <c r="Q228" s="1526" t="n"/>
      <c r="R228" s="1526" t="n"/>
      <c r="S228" s="1526" t="n"/>
      <c r="T228" s="1526" t="n"/>
      <c r="U228" s="1525" t="n"/>
      <c r="V228" s="1526" t="n"/>
      <c r="W228" s="1526" t="n"/>
      <c r="X228" s="1526" t="n"/>
      <c r="Y228" s="1526" t="n"/>
      <c r="Z228" s="1525" t="n"/>
      <c r="AA228" s="1526" t="n"/>
      <c r="AB228" s="1526" t="n"/>
      <c r="AC228" s="1526" t="n"/>
      <c r="AD228" s="1526" t="n"/>
      <c r="AE228" s="1525" t="n"/>
      <c r="AF228" s="1526" t="n"/>
      <c r="AG228" s="1526" t="n"/>
      <c r="AH228" s="1526" t="n"/>
      <c r="AI228" s="1526" t="n"/>
      <c r="AJ228" s="1525" t="n"/>
      <c r="AK228" s="1526" t="n"/>
      <c r="AL228" s="1526" t="n"/>
      <c r="AM228" s="1526" t="n"/>
      <c r="AN228" s="1526" t="n"/>
      <c r="AO228" s="1525" t="n"/>
      <c r="AP228" s="1526" t="n"/>
      <c r="AQ228" s="1526" t="n"/>
      <c r="AR228" s="1526" t="n"/>
      <c r="AS228" s="1526" t="n"/>
      <c r="AT228" s="1525" t="n"/>
      <c r="AU228" s="1527" t="n">
        <v>0.14</v>
      </c>
      <c r="AV228" s="1527" t="n">
        <v>0.13</v>
      </c>
      <c r="AW228" s="1527" t="n">
        <v>0.11</v>
      </c>
      <c r="AX228" s="1526">
        <f>+AX222/AX$223</f>
        <v/>
      </c>
      <c r="AY228" s="1528" t="n">
        <v>0.12</v>
      </c>
      <c r="AZ228" s="1527" t="n">
        <v>0.17</v>
      </c>
      <c r="BA228" s="1527" t="n">
        <v>0.14</v>
      </c>
      <c r="BB228" s="1527" t="n">
        <v>0.16</v>
      </c>
      <c r="BC228" s="1526">
        <f>+BC222/BC$223</f>
        <v/>
      </c>
      <c r="BD228" s="1528" t="n">
        <v>0.15</v>
      </c>
      <c r="BE228" s="1527" t="n">
        <v>0.2</v>
      </c>
      <c r="BF228" s="1527" t="n">
        <v>0.15</v>
      </c>
      <c r="BG228" s="1527" t="n">
        <v>0.15</v>
      </c>
      <c r="BH228" s="1526">
        <f>+BH222/BH$223</f>
        <v/>
      </c>
      <c r="BI228" s="1528" t="n">
        <v>0.16</v>
      </c>
      <c r="BJ228" s="1527" t="n">
        <v>0.1</v>
      </c>
      <c r="BK228" s="1527" t="n">
        <v>0.12</v>
      </c>
      <c r="BL228" s="1527" t="n">
        <v>0.18</v>
      </c>
      <c r="BM228" s="1526">
        <f>+BM222/BM$223</f>
        <v/>
      </c>
      <c r="BN228" s="1528" t="n">
        <v>0.17</v>
      </c>
      <c r="BO228" s="1527" t="n">
        <v>0.2</v>
      </c>
      <c r="BP228" s="1527" t="n">
        <v>0.22</v>
      </c>
      <c r="BQ228" s="1529" t="n">
        <v>0.18</v>
      </c>
      <c r="BR228" s="1526" t="n"/>
      <c r="BS228" s="1525" t="n"/>
      <c r="BT228" s="1526" t="n"/>
      <c r="BU228" s="1526" t="n"/>
      <c r="BV228" s="1526" t="n"/>
      <c r="BW228" s="1526" t="n"/>
      <c r="BX228" s="1525" t="n"/>
      <c r="BY228" s="1525" t="n"/>
      <c r="BZ228" s="1525" t="n"/>
      <c r="CA228" s="1525" t="n"/>
      <c r="CB228" s="1465" t="n"/>
    </row>
    <row r="229" hidden="1" outlineLevel="2" ht="14.4" customFormat="1" customHeight="1" s="1504">
      <c r="A229" s="1530" t="inlineStr">
        <is>
          <t>Total revenue mix, %</t>
        </is>
      </c>
      <c r="B229" s="1531" t="n"/>
      <c r="C229" s="1532" t="n"/>
      <c r="D229" s="1532" t="n"/>
      <c r="E229" s="1532" t="n"/>
      <c r="F229" s="1532" t="n"/>
      <c r="G229" s="1533" t="n"/>
      <c r="H229" s="1533" t="n"/>
      <c r="I229" s="1533" t="n"/>
      <c r="J229" s="1533" t="n"/>
      <c r="K229" s="1532" t="n"/>
      <c r="L229" s="1533" t="n"/>
      <c r="M229" s="1533" t="n"/>
      <c r="N229" s="1533" t="n"/>
      <c r="O229" s="1533" t="n"/>
      <c r="P229" s="1532" t="n"/>
      <c r="Q229" s="1533" t="n"/>
      <c r="R229" s="1533" t="n"/>
      <c r="S229" s="1533" t="n"/>
      <c r="T229" s="1533" t="n"/>
      <c r="U229" s="1532" t="n"/>
      <c r="V229" s="1533" t="n"/>
      <c r="W229" s="1533" t="n"/>
      <c r="X229" s="1533" t="n"/>
      <c r="Y229" s="1533" t="n"/>
      <c r="Z229" s="1532" t="n"/>
      <c r="AA229" s="1533" t="n"/>
      <c r="AB229" s="1533" t="n"/>
      <c r="AC229" s="1533" t="n"/>
      <c r="AD229" s="1533" t="n"/>
      <c r="AE229" s="1532" t="n"/>
      <c r="AF229" s="1533" t="n"/>
      <c r="AG229" s="1533" t="n"/>
      <c r="AH229" s="1533" t="n"/>
      <c r="AI229" s="1533" t="n"/>
      <c r="AJ229" s="1532" t="n"/>
      <c r="AK229" s="1533" t="n"/>
      <c r="AL229" s="1533" t="n"/>
      <c r="AM229" s="1533" t="n"/>
      <c r="AN229" s="1533" t="n"/>
      <c r="AO229" s="1532" t="n"/>
      <c r="AP229" s="1533" t="n"/>
      <c r="AQ229" s="1533" t="n"/>
      <c r="AR229" s="1533" t="n"/>
      <c r="AS229" s="1533" t="n"/>
      <c r="AT229" s="1532" t="n"/>
      <c r="AU229" s="1533">
        <f>SUM(AU227:AU228)</f>
        <v/>
      </c>
      <c r="AV229" s="1533">
        <f>SUM(AV227:AV228)</f>
        <v/>
      </c>
      <c r="AW229" s="1533">
        <f>SUM(AW227:AW228)</f>
        <v/>
      </c>
      <c r="AX229" s="1533">
        <f>SUM(AX227:AX228)</f>
        <v/>
      </c>
      <c r="AY229" s="1532">
        <f>SUM(AY227:AY228)</f>
        <v/>
      </c>
      <c r="AZ229" s="1533">
        <f>SUM(AZ227:AZ228)</f>
        <v/>
      </c>
      <c r="BA229" s="1533">
        <f>SUM(BA227:BA228)</f>
        <v/>
      </c>
      <c r="BB229" s="1533">
        <f>SUM(BB227:BB228)</f>
        <v/>
      </c>
      <c r="BC229" s="1533">
        <f>SUM(BC227:BC228)</f>
        <v/>
      </c>
      <c r="BD229" s="1532">
        <f>SUM(BD227:BD228)</f>
        <v/>
      </c>
      <c r="BE229" s="1533">
        <f>SUM(BE227:BE228)</f>
        <v/>
      </c>
      <c r="BF229" s="1533">
        <f>SUM(BF227:BF228)</f>
        <v/>
      </c>
      <c r="BG229" s="1533">
        <f>SUM(BG227:BG228)</f>
        <v/>
      </c>
      <c r="BH229" s="1533">
        <f>SUM(BH227:BH228)</f>
        <v/>
      </c>
      <c r="BI229" s="1532">
        <f>SUM(BI227:BI228)</f>
        <v/>
      </c>
      <c r="BJ229" s="1533">
        <f>SUM(BJ227:BJ228)</f>
        <v/>
      </c>
      <c r="BK229" s="1533">
        <f>SUM(BK227:BK228)</f>
        <v/>
      </c>
      <c r="BL229" s="1533">
        <f>SUM(BL227:BL228)</f>
        <v/>
      </c>
      <c r="BM229" s="1533">
        <f>SUM(BM227:BM228)</f>
        <v/>
      </c>
      <c r="BN229" s="1532">
        <f>SUM(BN227:BN228)</f>
        <v/>
      </c>
      <c r="BO229" s="1533">
        <f>SUM(BO227:BO228)</f>
        <v/>
      </c>
      <c r="BP229" s="1533">
        <f>SUM(BP227:BP228)</f>
        <v/>
      </c>
      <c r="BQ229" s="1534">
        <f>SUM(BQ227:BQ228)</f>
        <v/>
      </c>
      <c r="BR229" s="1533" t="n"/>
      <c r="BS229" s="1532" t="n"/>
      <c r="BT229" s="1533" t="n"/>
      <c r="BU229" s="1533" t="n"/>
      <c r="BV229" s="1533" t="n"/>
      <c r="BW229" s="1533" t="n"/>
      <c r="BX229" s="1532" t="n"/>
      <c r="BY229" s="1532" t="n"/>
      <c r="BZ229" s="1532" t="n"/>
      <c r="CA229" s="1532" t="n"/>
      <c r="CB229" s="1507" t="n"/>
    </row>
    <row r="230" hidden="1" outlineLevel="2" ht="14.4" customFormat="1" customHeight="1" s="1372">
      <c r="A230" s="1447" t="n"/>
      <c r="B230" s="1448" t="n"/>
      <c r="C230" s="1449" t="n"/>
      <c r="D230" s="1449" t="n"/>
      <c r="E230" s="1449" t="n"/>
      <c r="F230" s="1449" t="n"/>
      <c r="G230" s="1450" t="n"/>
      <c r="H230" s="1450" t="n"/>
      <c r="I230" s="1450" t="n"/>
      <c r="J230" s="1450" t="n"/>
      <c r="K230" s="1449" t="n"/>
      <c r="L230" s="1450" t="n"/>
      <c r="M230" s="1450" t="n"/>
      <c r="N230" s="1450" t="n"/>
      <c r="O230" s="1450" t="n"/>
      <c r="P230" s="1449" t="n"/>
      <c r="Q230" s="1450" t="n"/>
      <c r="R230" s="1450" t="n"/>
      <c r="S230" s="1450" t="n"/>
      <c r="T230" s="1450" t="n"/>
      <c r="U230" s="1449" t="n"/>
      <c r="V230" s="1450" t="n"/>
      <c r="W230" s="1450" t="n"/>
      <c r="X230" s="1450" t="n"/>
      <c r="Y230" s="1450" t="n"/>
      <c r="Z230" s="1449" t="n"/>
      <c r="AA230" s="1450" t="n"/>
      <c r="AB230" s="1450" t="n"/>
      <c r="AC230" s="1450" t="n"/>
      <c r="AD230" s="1450" t="n"/>
      <c r="AE230" s="1449" t="n"/>
      <c r="AF230" s="1450" t="n"/>
      <c r="AG230" s="1450" t="n"/>
      <c r="AH230" s="1450" t="n"/>
      <c r="AI230" s="1450" t="n"/>
      <c r="AJ230" s="1449" t="n"/>
      <c r="AK230" s="1450" t="n"/>
      <c r="AL230" s="1450" t="n"/>
      <c r="AM230" s="1450" t="n"/>
      <c r="AN230" s="1450" t="n"/>
      <c r="AO230" s="1449" t="n"/>
      <c r="AP230" s="1450" t="n"/>
      <c r="AQ230" s="1450" t="n"/>
      <c r="AR230" s="1450" t="n"/>
      <c r="AS230" s="1450" t="n"/>
      <c r="AT230" s="1449" t="n"/>
      <c r="AU230" s="1450" t="n"/>
      <c r="AV230" s="1450" t="n"/>
      <c r="AW230" s="1450" t="n"/>
      <c r="AX230" s="1450" t="n"/>
      <c r="AY230" s="1449" t="n"/>
      <c r="AZ230" s="1450" t="n"/>
      <c r="BA230" s="1450" t="n"/>
      <c r="BB230" s="1450" t="n"/>
      <c r="BC230" s="1450" t="n"/>
      <c r="BD230" s="1449" t="n"/>
      <c r="BE230" s="1450" t="n"/>
      <c r="BF230" s="1450" t="n"/>
      <c r="BG230" s="1450" t="n"/>
      <c r="BH230" s="1450" t="n"/>
      <c r="BI230" s="1449" t="n"/>
      <c r="BJ230" s="1450" t="n"/>
      <c r="BK230" s="1450" t="n"/>
      <c r="BL230" s="1450" t="n"/>
      <c r="BM230" s="1450" t="n"/>
      <c r="BN230" s="1449" t="n"/>
      <c r="BO230" s="1450" t="n"/>
      <c r="BP230" s="1450" t="n"/>
      <c r="BQ230" s="1451" t="n"/>
      <c r="BR230" s="1450" t="n"/>
      <c r="BS230" s="1449" t="n"/>
      <c r="BT230" s="1450" t="n"/>
      <c r="BU230" s="1450" t="n"/>
      <c r="BV230" s="1450" t="n"/>
      <c r="BW230" s="1450" t="n"/>
      <c r="BX230" s="1449" t="n"/>
      <c r="BY230" s="1449" t="n"/>
      <c r="BZ230" s="1449" t="n"/>
      <c r="CA230" s="1449" t="n"/>
      <c r="CB230" s="1375" t="n"/>
    </row>
    <row r="231" hidden="1" outlineLevel="2" ht="14.4" customFormat="1" customHeight="1" s="1460">
      <c r="A231" s="1486" t="inlineStr">
        <is>
          <t>Recurring revenue mix TTM, %</t>
        </is>
      </c>
      <c r="B231" s="1462" t="n"/>
      <c r="C231" s="1463" t="n"/>
      <c r="D231" s="1463" t="n"/>
      <c r="E231" s="1463" t="n"/>
      <c r="F231" s="1463" t="n"/>
      <c r="G231" s="1466" t="n"/>
      <c r="H231" s="1466" t="n"/>
      <c r="I231" s="1466" t="n"/>
      <c r="J231" s="1466" t="n"/>
      <c r="K231" s="1463" t="n"/>
      <c r="L231" s="1466" t="n"/>
      <c r="M231" s="1466" t="n"/>
      <c r="N231" s="1466" t="n"/>
      <c r="O231" s="1466" t="n"/>
      <c r="P231" s="1463" t="n"/>
      <c r="Q231" s="1466" t="n"/>
      <c r="R231" s="1466" t="n"/>
      <c r="S231" s="1466" t="n"/>
      <c r="T231" s="1466" t="n"/>
      <c r="U231" s="1463" t="n"/>
      <c r="V231" s="1466" t="n"/>
      <c r="W231" s="1466" t="n"/>
      <c r="X231" s="1466" t="n"/>
      <c r="Y231" s="1466" t="n"/>
      <c r="Z231" s="1463" t="n"/>
      <c r="AA231" s="1466" t="n"/>
      <c r="AB231" s="1466" t="n"/>
      <c r="AC231" s="1466" t="n"/>
      <c r="AD231" s="1466" t="n"/>
      <c r="AE231" s="1463" t="n"/>
      <c r="AF231" s="1466" t="n"/>
      <c r="AG231" s="1466" t="n"/>
      <c r="AH231" s="1466" t="n"/>
      <c r="AI231" s="1466" t="n"/>
      <c r="AJ231" s="1463" t="n"/>
      <c r="AK231" s="1466" t="n"/>
      <c r="AL231" s="1466" t="n"/>
      <c r="AM231" s="1466" t="n"/>
      <c r="AN231" s="1466" t="n"/>
      <c r="AO231" s="1463" t="n"/>
      <c r="AP231" s="1466" t="n"/>
      <c r="AQ231" s="1466" t="n"/>
      <c r="AR231" s="1466" t="n"/>
      <c r="AS231" s="1466" t="n"/>
      <c r="AT231" s="1463" t="n"/>
      <c r="AU231" s="1520" t="n">
        <v>0.87</v>
      </c>
      <c r="AV231" s="1520" t="n">
        <v>0.87</v>
      </c>
      <c r="AW231" s="1520" t="n">
        <v>0.87</v>
      </c>
      <c r="AX231" s="1466">
        <f>+AY231</f>
        <v/>
      </c>
      <c r="AY231" s="1521" t="n">
        <v>0.88</v>
      </c>
      <c r="AZ231" s="1520" t="n">
        <v>0.87</v>
      </c>
      <c r="BA231" s="1520" t="n">
        <v>0.87</v>
      </c>
      <c r="BB231" s="1520" t="n">
        <v>0.86</v>
      </c>
      <c r="BC231" s="1466">
        <f>+BD231</f>
        <v/>
      </c>
      <c r="BD231" s="1521" t="n">
        <v>0.85</v>
      </c>
      <c r="BE231" s="1520" t="n">
        <v>0.84</v>
      </c>
      <c r="BF231" s="1520" t="n">
        <v>0.84</v>
      </c>
      <c r="BG231" s="1520" t="n">
        <v>0.84</v>
      </c>
      <c r="BH231" s="1466">
        <f>+BI231</f>
        <v/>
      </c>
      <c r="BI231" s="1521" t="n">
        <v>0.84</v>
      </c>
      <c r="BJ231" s="1520" t="n">
        <v>0.87</v>
      </c>
      <c r="BK231" s="1520" t="n">
        <v>0.87</v>
      </c>
      <c r="BL231" s="1520" t="n">
        <v>0.86</v>
      </c>
      <c r="BM231" s="1466">
        <f>+BN231</f>
        <v/>
      </c>
      <c r="BN231" s="1521" t="n">
        <v>0.83</v>
      </c>
      <c r="BO231" s="1520" t="n">
        <v>0.8</v>
      </c>
      <c r="BP231" s="1520" t="n">
        <v>0.8</v>
      </c>
      <c r="BQ231" s="1522" t="n">
        <v>0.8</v>
      </c>
      <c r="BR231" s="1466" t="n"/>
      <c r="BS231" s="1463" t="n"/>
      <c r="BT231" s="1466" t="n"/>
      <c r="BU231" s="1466" t="n"/>
      <c r="BV231" s="1466" t="n"/>
      <c r="BW231" s="1466" t="n"/>
      <c r="BX231" s="1463" t="n"/>
      <c r="BY231" s="1463" t="n"/>
      <c r="BZ231" s="1463" t="n"/>
      <c r="CA231" s="1463" t="n"/>
      <c r="CB231" s="1465" t="n"/>
    </row>
    <row r="232" hidden="1" outlineLevel="2" ht="14.4" customFormat="1" customHeight="1" s="1460">
      <c r="A232" s="1495" t="inlineStr">
        <is>
          <t>Up-front revenue mix TTM, %</t>
        </is>
      </c>
      <c r="B232" s="1524" t="n"/>
      <c r="C232" s="1525" t="n"/>
      <c r="D232" s="1525" t="n"/>
      <c r="E232" s="1525" t="n"/>
      <c r="F232" s="1525" t="n"/>
      <c r="G232" s="1526" t="n"/>
      <c r="H232" s="1526" t="n"/>
      <c r="I232" s="1526" t="n"/>
      <c r="J232" s="1526" t="n"/>
      <c r="K232" s="1525" t="n"/>
      <c r="L232" s="1526" t="n"/>
      <c r="M232" s="1526" t="n"/>
      <c r="N232" s="1526" t="n"/>
      <c r="O232" s="1526" t="n"/>
      <c r="P232" s="1525" t="n"/>
      <c r="Q232" s="1526" t="n"/>
      <c r="R232" s="1526" t="n"/>
      <c r="S232" s="1526" t="n"/>
      <c r="T232" s="1526" t="n"/>
      <c r="U232" s="1525" t="n"/>
      <c r="V232" s="1526" t="n"/>
      <c r="W232" s="1526" t="n"/>
      <c r="X232" s="1526" t="n"/>
      <c r="Y232" s="1526" t="n"/>
      <c r="Z232" s="1525" t="n"/>
      <c r="AA232" s="1526" t="n"/>
      <c r="AB232" s="1526" t="n"/>
      <c r="AC232" s="1526" t="n"/>
      <c r="AD232" s="1526" t="n"/>
      <c r="AE232" s="1525" t="n"/>
      <c r="AF232" s="1526" t="n"/>
      <c r="AG232" s="1526" t="n"/>
      <c r="AH232" s="1526" t="n"/>
      <c r="AI232" s="1526" t="n"/>
      <c r="AJ232" s="1525" t="n"/>
      <c r="AK232" s="1526" t="n"/>
      <c r="AL232" s="1526" t="n"/>
      <c r="AM232" s="1526" t="n"/>
      <c r="AN232" s="1526" t="n"/>
      <c r="AO232" s="1525" t="n"/>
      <c r="AP232" s="1526" t="n"/>
      <c r="AQ232" s="1526" t="n"/>
      <c r="AR232" s="1526" t="n"/>
      <c r="AS232" s="1526" t="n"/>
      <c r="AT232" s="1525" t="n"/>
      <c r="AU232" s="1527" t="n">
        <v>0.13</v>
      </c>
      <c r="AV232" s="1527" t="n">
        <v>0.13</v>
      </c>
      <c r="AW232" s="1527" t="n">
        <v>0.13</v>
      </c>
      <c r="AX232" s="1526">
        <f>+AY232</f>
        <v/>
      </c>
      <c r="AY232" s="1528" t="n">
        <v>0.12</v>
      </c>
      <c r="AZ232" s="1527" t="n">
        <v>0.13</v>
      </c>
      <c r="BA232" s="1527" t="n">
        <v>0.13</v>
      </c>
      <c r="BB232" s="1527" t="n">
        <v>0.14</v>
      </c>
      <c r="BC232" s="1526">
        <f>+BD232</f>
        <v/>
      </c>
      <c r="BD232" s="1528" t="n">
        <v>0.15</v>
      </c>
      <c r="BE232" s="1527" t="n">
        <v>0.16</v>
      </c>
      <c r="BF232" s="1527" t="n">
        <v>0.16</v>
      </c>
      <c r="BG232" s="1527" t="n">
        <v>0.16</v>
      </c>
      <c r="BH232" s="1526">
        <f>+BI232</f>
        <v/>
      </c>
      <c r="BI232" s="1528" t="n">
        <v>0.16</v>
      </c>
      <c r="BJ232" s="1527" t="n">
        <v>0.13</v>
      </c>
      <c r="BK232" s="1527" t="n">
        <v>0.13</v>
      </c>
      <c r="BL232" s="1527" t="n">
        <v>0.14</v>
      </c>
      <c r="BM232" s="1526">
        <f>+BN232</f>
        <v/>
      </c>
      <c r="BN232" s="1528" t="n">
        <v>0.17</v>
      </c>
      <c r="BO232" s="1527" t="n">
        <v>0.2</v>
      </c>
      <c r="BP232" s="1527" t="n">
        <v>0.2</v>
      </c>
      <c r="BQ232" s="1529" t="n">
        <v>0.2</v>
      </c>
      <c r="BR232" s="1526" t="n"/>
      <c r="BS232" s="1525" t="n"/>
      <c r="BT232" s="1526" t="n"/>
      <c r="BU232" s="1526" t="n"/>
      <c r="BV232" s="1526" t="n"/>
      <c r="BW232" s="1526" t="n"/>
      <c r="BX232" s="1525" t="n"/>
      <c r="BY232" s="1525" t="n"/>
      <c r="BZ232" s="1525" t="n"/>
      <c r="CA232" s="1525" t="n"/>
      <c r="CB232" s="1465" t="n"/>
    </row>
    <row r="233" hidden="1" outlineLevel="2" ht="14.4" customFormat="1" customHeight="1" s="1504">
      <c r="A233" s="1530" t="inlineStr">
        <is>
          <t>Total revenue mix, %</t>
        </is>
      </c>
      <c r="B233" s="1531" t="n"/>
      <c r="C233" s="1532" t="n"/>
      <c r="D233" s="1532" t="n"/>
      <c r="E233" s="1532" t="n"/>
      <c r="F233" s="1532" t="n"/>
      <c r="G233" s="1533" t="n"/>
      <c r="H233" s="1533" t="n"/>
      <c r="I233" s="1533" t="n"/>
      <c r="J233" s="1533" t="n"/>
      <c r="K233" s="1532" t="n"/>
      <c r="L233" s="1533" t="n"/>
      <c r="M233" s="1533" t="n"/>
      <c r="N233" s="1533" t="n"/>
      <c r="O233" s="1533" t="n"/>
      <c r="P233" s="1532" t="n"/>
      <c r="Q233" s="1533" t="n"/>
      <c r="R233" s="1533" t="n"/>
      <c r="S233" s="1533" t="n"/>
      <c r="T233" s="1533" t="n"/>
      <c r="U233" s="1532" t="n"/>
      <c r="V233" s="1533" t="n"/>
      <c r="W233" s="1533" t="n"/>
      <c r="X233" s="1533" t="n"/>
      <c r="Y233" s="1533" t="n"/>
      <c r="Z233" s="1532" t="n"/>
      <c r="AA233" s="1533" t="n"/>
      <c r="AB233" s="1533" t="n"/>
      <c r="AC233" s="1533" t="n"/>
      <c r="AD233" s="1533" t="n"/>
      <c r="AE233" s="1532" t="n"/>
      <c r="AF233" s="1533" t="n"/>
      <c r="AG233" s="1533" t="n"/>
      <c r="AH233" s="1533" t="n"/>
      <c r="AI233" s="1533" t="n"/>
      <c r="AJ233" s="1532" t="n"/>
      <c r="AK233" s="1533" t="n"/>
      <c r="AL233" s="1533" t="n"/>
      <c r="AM233" s="1533" t="n"/>
      <c r="AN233" s="1533" t="n"/>
      <c r="AO233" s="1532" t="n"/>
      <c r="AP233" s="1533" t="n"/>
      <c r="AQ233" s="1533" t="n"/>
      <c r="AR233" s="1533" t="n"/>
      <c r="AS233" s="1533" t="n"/>
      <c r="AT233" s="1532" t="n"/>
      <c r="AU233" s="1533">
        <f>SUM(AU231:AU232)</f>
        <v/>
      </c>
      <c r="AV233" s="1533">
        <f>SUM(AV231:AV232)</f>
        <v/>
      </c>
      <c r="AW233" s="1533">
        <f>SUM(AW231:AW232)</f>
        <v/>
      </c>
      <c r="AX233" s="1533">
        <f>SUM(AX231:AX232)</f>
        <v/>
      </c>
      <c r="AY233" s="1532">
        <f>SUM(AY231:AY232)</f>
        <v/>
      </c>
      <c r="AZ233" s="1533">
        <f>SUM(AZ231:AZ232)</f>
        <v/>
      </c>
      <c r="BA233" s="1533">
        <f>SUM(BA231:BA232)</f>
        <v/>
      </c>
      <c r="BB233" s="1533">
        <f>SUM(BB231:BB232)</f>
        <v/>
      </c>
      <c r="BC233" s="1533">
        <f>SUM(BC231:BC232)</f>
        <v/>
      </c>
      <c r="BD233" s="1532">
        <f>SUM(BD231:BD232)</f>
        <v/>
      </c>
      <c r="BE233" s="1533">
        <f>SUM(BE231:BE232)</f>
        <v/>
      </c>
      <c r="BF233" s="1533">
        <f>SUM(BF231:BF232)</f>
        <v/>
      </c>
      <c r="BG233" s="1533">
        <f>SUM(BG231:BG232)</f>
        <v/>
      </c>
      <c r="BH233" s="1533">
        <f>SUM(BH231:BH232)</f>
        <v/>
      </c>
      <c r="BI233" s="1532">
        <f>SUM(BI231:BI232)</f>
        <v/>
      </c>
      <c r="BJ233" s="1533">
        <f>SUM(BJ231:BJ232)</f>
        <v/>
      </c>
      <c r="BK233" s="1533">
        <f>SUM(BK231:BK232)</f>
        <v/>
      </c>
      <c r="BL233" s="1533">
        <f>SUM(BL231:BL232)</f>
        <v/>
      </c>
      <c r="BM233" s="1533">
        <f>SUM(BM231:BM232)</f>
        <v/>
      </c>
      <c r="BN233" s="1532">
        <f>SUM(BN231:BN232)</f>
        <v/>
      </c>
      <c r="BO233" s="1533">
        <f>SUM(BO231:BO232)</f>
        <v/>
      </c>
      <c r="BP233" s="1533">
        <f>SUM(BP231:BP232)</f>
        <v/>
      </c>
      <c r="BQ233" s="1534">
        <f>SUM(BQ231:BQ232)</f>
        <v/>
      </c>
      <c r="BR233" s="1533" t="n"/>
      <c r="BS233" s="1532" t="n"/>
      <c r="BT233" s="1533" t="n"/>
      <c r="BU233" s="1533" t="n"/>
      <c r="BV233" s="1533" t="n"/>
      <c r="BW233" s="1533" t="n"/>
      <c r="BX233" s="1532" t="n"/>
      <c r="BY233" s="1532" t="n"/>
      <c r="BZ233" s="1532" t="n"/>
      <c r="CA233" s="1532" t="n"/>
      <c r="CB233" s="1507" t="n"/>
    </row>
    <row r="234" hidden="1" outlineLevel="1" collapsed="1" ht="14.4" customFormat="1" customHeight="1" s="1372">
      <c r="A234" s="1447" t="n"/>
      <c r="B234" s="1448" t="n"/>
      <c r="C234" s="1449" t="n"/>
      <c r="D234" s="1449" t="n"/>
      <c r="E234" s="1449" t="n"/>
      <c r="F234" s="1449" t="n"/>
      <c r="G234" s="1450" t="n"/>
      <c r="H234" s="1450" t="n"/>
      <c r="I234" s="1450" t="n"/>
      <c r="J234" s="1450" t="n"/>
      <c r="K234" s="1449" t="n"/>
      <c r="L234" s="1450" t="n"/>
      <c r="M234" s="1450" t="n"/>
      <c r="N234" s="1450" t="n"/>
      <c r="O234" s="1450" t="n"/>
      <c r="P234" s="1449" t="n"/>
      <c r="Q234" s="1450" t="n"/>
      <c r="R234" s="1450" t="n"/>
      <c r="S234" s="1450" t="n"/>
      <c r="T234" s="1450" t="n"/>
      <c r="U234" s="1449" t="n"/>
      <c r="V234" s="1450" t="n"/>
      <c r="W234" s="1450" t="n"/>
      <c r="X234" s="1450" t="n"/>
      <c r="Y234" s="1450" t="n"/>
      <c r="Z234" s="1449" t="n"/>
      <c r="AA234" s="1450" t="n"/>
      <c r="AB234" s="1450" t="n"/>
      <c r="AC234" s="1450" t="n"/>
      <c r="AD234" s="1450" t="n"/>
      <c r="AE234" s="1449" t="n"/>
      <c r="AF234" s="1450" t="n"/>
      <c r="AG234" s="1450" t="n"/>
      <c r="AH234" s="1450" t="n"/>
      <c r="AI234" s="1450" t="n"/>
      <c r="AJ234" s="1449" t="n"/>
      <c r="AK234" s="1450" t="n"/>
      <c r="AL234" s="1450" t="n"/>
      <c r="AM234" s="1450" t="n"/>
      <c r="AN234" s="1450" t="n"/>
      <c r="AO234" s="1449" t="n"/>
      <c r="AP234" s="1450" t="n"/>
      <c r="AQ234" s="1450" t="n"/>
      <c r="AR234" s="1450" t="n"/>
      <c r="AS234" s="1450" t="n"/>
      <c r="AT234" s="1449" t="n"/>
      <c r="AU234" s="1450" t="n"/>
      <c r="AV234" s="1450" t="n"/>
      <c r="AW234" s="1450" t="n"/>
      <c r="AX234" s="1450" t="n"/>
      <c r="AY234" s="1449" t="n"/>
      <c r="AZ234" s="1450" t="n"/>
      <c r="BA234" s="1450" t="n"/>
      <c r="BB234" s="1450" t="n"/>
      <c r="BC234" s="1450" t="n"/>
      <c r="BD234" s="1449" t="n"/>
      <c r="BE234" s="1450" t="n"/>
      <c r="BF234" s="1450" t="n"/>
      <c r="BG234" s="1450" t="n"/>
      <c r="BH234" s="1450" t="n"/>
      <c r="BI234" s="1449" t="n"/>
      <c r="BJ234" s="1450" t="n"/>
      <c r="BK234" s="1450" t="n"/>
      <c r="BL234" s="1450" t="n"/>
      <c r="BM234" s="1450" t="n"/>
      <c r="BN234" s="1449" t="n"/>
      <c r="BO234" s="1450" t="n"/>
      <c r="BP234" s="1450" t="n"/>
      <c r="BQ234" s="1451" t="n"/>
      <c r="BR234" s="1450" t="n"/>
      <c r="BS234" s="1449" t="n"/>
      <c r="BT234" s="1450" t="n"/>
      <c r="BU234" s="1450" t="n"/>
      <c r="BV234" s="1450" t="n"/>
      <c r="BW234" s="1450" t="n"/>
      <c r="BX234" s="1449" t="n"/>
      <c r="BY234" s="1449" t="n"/>
      <c r="BZ234" s="1449" t="n"/>
      <c r="CA234" s="1449" t="n"/>
      <c r="CB234" s="1375" t="n"/>
    </row>
    <row r="235" hidden="1" outlineLevel="1" ht="14.4" customFormat="1" customHeight="1" s="1372">
      <c r="A235" s="1373" t="inlineStr">
        <is>
          <t>Segmented Results - Geographic Breakdown (FS)</t>
        </is>
      </c>
      <c r="B235" s="1373" t="n"/>
      <c r="C235" s="1373" t="n"/>
      <c r="D235" s="1373" t="n"/>
      <c r="E235" s="1373" t="n"/>
      <c r="F235" s="1373" t="n"/>
      <c r="G235" s="1373" t="n"/>
      <c r="H235" s="1373" t="n"/>
      <c r="I235" s="1373" t="n"/>
      <c r="J235" s="1373" t="n"/>
      <c r="K235" s="1373" t="n"/>
      <c r="L235" s="1373" t="n"/>
      <c r="M235" s="1373" t="n"/>
      <c r="N235" s="1373" t="n"/>
      <c r="O235" s="1373" t="n"/>
      <c r="P235" s="1373" t="n"/>
      <c r="Q235" s="1373" t="n"/>
      <c r="R235" s="1373" t="n"/>
      <c r="S235" s="1373" t="n"/>
      <c r="T235" s="1373" t="n"/>
      <c r="U235" s="1373" t="n"/>
      <c r="V235" s="1373" t="n"/>
      <c r="W235" s="1373" t="n"/>
      <c r="X235" s="1373" t="n"/>
      <c r="Y235" s="1373" t="n"/>
      <c r="Z235" s="1373" t="n"/>
      <c r="AA235" s="1373" t="n"/>
      <c r="AB235" s="1373" t="n"/>
      <c r="AC235" s="1373" t="n"/>
      <c r="AD235" s="1373" t="n"/>
      <c r="AE235" s="1373" t="n"/>
      <c r="AF235" s="1373" t="n"/>
      <c r="AG235" s="1373" t="n"/>
      <c r="AH235" s="1373" t="n"/>
      <c r="AI235" s="1373" t="n"/>
      <c r="AJ235" s="1373" t="n"/>
      <c r="AK235" s="1373" t="n"/>
      <c r="AL235" s="1373" t="n"/>
      <c r="AM235" s="1373" t="n"/>
      <c r="AN235" s="1373" t="n"/>
      <c r="AO235" s="1373" t="n"/>
      <c r="AP235" s="1373" t="n"/>
      <c r="AQ235" s="1373" t="n"/>
      <c r="AR235" s="1373" t="n"/>
      <c r="AS235" s="1373" t="n"/>
      <c r="AT235" s="1373" t="n"/>
      <c r="AU235" s="1373" t="n"/>
      <c r="AV235" s="1373" t="n"/>
      <c r="AW235" s="1373" t="n"/>
      <c r="AX235" s="1373" t="n"/>
      <c r="AY235" s="1373" t="n"/>
      <c r="AZ235" s="1373" t="n"/>
      <c r="BA235" s="1373" t="n"/>
      <c r="BB235" s="1373" t="n"/>
      <c r="BC235" s="1373" t="n"/>
      <c r="BD235" s="1373" t="n"/>
      <c r="BE235" s="1373" t="n"/>
      <c r="BF235" s="1373" t="n"/>
      <c r="BG235" s="1373" t="n"/>
      <c r="BH235" s="1373" t="n"/>
      <c r="BI235" s="1373" t="n"/>
      <c r="BJ235" s="1373" t="n"/>
      <c r="BK235" s="1373" t="n"/>
      <c r="BL235" s="1373" t="n"/>
      <c r="BM235" s="1373" t="n"/>
      <c r="BN235" s="1373" t="n"/>
      <c r="BO235" s="1373" t="n"/>
      <c r="BP235" s="1373" t="n"/>
      <c r="BQ235" s="1374" t="n"/>
      <c r="BR235" s="1373" t="n"/>
      <c r="BS235" s="1373" t="n"/>
      <c r="BT235" s="1373" t="n"/>
      <c r="BU235" s="1373" t="n"/>
      <c r="BV235" s="1373" t="n"/>
      <c r="BW235" s="1373" t="n"/>
      <c r="BX235" s="1373" t="n"/>
      <c r="BY235" s="1373" t="n"/>
      <c r="BZ235" s="1373" t="n"/>
      <c r="CA235" s="1373" t="n"/>
      <c r="CB235" s="1375" t="n"/>
    </row>
    <row r="236" hidden="1" outlineLevel="2" ht="14.4" customFormat="1" customHeight="1" s="1359">
      <c r="A236" s="1508" t="inlineStr">
        <is>
          <t>United States revenue, mm</t>
        </is>
      </c>
      <c r="B236" s="1377" t="n"/>
      <c r="C236" s="1494" t="n">
        <v>370.016</v>
      </c>
      <c r="D236" s="1494" t="n">
        <v>382.692</v>
      </c>
      <c r="E236" s="1494" t="n">
        <v>489.438</v>
      </c>
      <c r="F236" s="1494" t="n">
        <v>567.609</v>
      </c>
      <c r="G236" s="1493" t="n">
        <v>151.26204</v>
      </c>
      <c r="H236" s="1493" t="n">
        <v>157.55045</v>
      </c>
      <c r="I236" s="1493" t="n">
        <v>168.77856</v>
      </c>
      <c r="J236" s="1493" t="n">
        <v>171.51234</v>
      </c>
      <c r="K236" s="1379">
        <f>SUM(G236,H236,I236,J236)</f>
        <v/>
      </c>
      <c r="L236" s="1493" t="n">
        <v>163.121</v>
      </c>
      <c r="M236" s="1493" t="n">
        <v>161.874</v>
      </c>
      <c r="N236" s="1493" t="n">
        <v>179.883</v>
      </c>
      <c r="O236" s="1361">
        <f>P236-SUM(L236,M236,N236)</f>
        <v/>
      </c>
      <c r="P236" s="1494" t="n">
        <v>696.6079999999999</v>
      </c>
      <c r="Q236" s="1493" t="n">
        <v>187.207</v>
      </c>
      <c r="R236" s="1493" t="n">
        <v>192.176</v>
      </c>
      <c r="S236" s="1493" t="n">
        <v>199.628</v>
      </c>
      <c r="T236" s="1361">
        <f>U236-SUM(Q236,R236,S236)</f>
        <v/>
      </c>
      <c r="U236" s="1494" t="n">
        <v>782.419</v>
      </c>
      <c r="V236" s="1493" t="n">
        <v>210.022</v>
      </c>
      <c r="W236" s="1493" t="n">
        <v>206.416</v>
      </c>
      <c r="X236" s="1493" t="n">
        <v>197.715</v>
      </c>
      <c r="Y236" s="1361">
        <f>Z236-SUM(V236,W236,X236)</f>
        <v/>
      </c>
      <c r="Z236" s="1494" t="n">
        <v>832.583</v>
      </c>
      <c r="AA236" s="1493" t="n">
        <v>205.435</v>
      </c>
      <c r="AB236" s="1493" t="n">
        <v>206.742</v>
      </c>
      <c r="AC236" s="1493" t="n">
        <v>208.348</v>
      </c>
      <c r="AD236" s="1361">
        <f>AE236-SUM(AA236,AB236,AC236)</f>
        <v/>
      </c>
      <c r="AE236" s="1494" t="n">
        <v>829.436</v>
      </c>
      <c r="AF236" s="1493" t="n">
        <v>224.803</v>
      </c>
      <c r="AG236" s="1493" t="n">
        <v>230.673</v>
      </c>
      <c r="AH236" s="1493" t="n">
        <v>224.458</v>
      </c>
      <c r="AI236" s="1361">
        <f>AJ236-SUM(AF236,AG236,AH236)</f>
        <v/>
      </c>
      <c r="AJ236" s="1494" t="n">
        <v>924.644</v>
      </c>
      <c r="AK236" s="1493" t="n">
        <v>243.248</v>
      </c>
      <c r="AL236" s="1493" t="n">
        <v>234.49</v>
      </c>
      <c r="AM236" s="1493" t="n">
        <v>241.06</v>
      </c>
      <c r="AN236" s="1361">
        <f>AO236-SUM(AK236,AL236,AM236)</f>
        <v/>
      </c>
      <c r="AO236" s="1494" t="n">
        <v>982.38</v>
      </c>
      <c r="AP236" s="1493" t="n">
        <v>258.488</v>
      </c>
      <c r="AQ236" s="1493" t="n">
        <v>267</v>
      </c>
      <c r="AR236" s="1493" t="n">
        <v>269.057</v>
      </c>
      <c r="AS236" s="1361">
        <f>AT236-SUM(AP236,AQ236,AR236)</f>
        <v/>
      </c>
      <c r="AT236" s="1494" t="n">
        <v>1096.263</v>
      </c>
      <c r="AU236" s="1493" t="n">
        <v>326.324</v>
      </c>
      <c r="AV236" s="1493" t="n">
        <v>313.138</v>
      </c>
      <c r="AW236" s="1493" t="n">
        <v>331.463</v>
      </c>
      <c r="AX236" s="1361">
        <f>AY236-SUM(AU236,AV236,AW236)</f>
        <v/>
      </c>
      <c r="AY236" s="1494" t="n">
        <v>1292.98</v>
      </c>
      <c r="AZ236" s="1493" t="n">
        <v>413.538</v>
      </c>
      <c r="BA236" s="1493" t="n">
        <v>368.974</v>
      </c>
      <c r="BB236" s="1493" t="n">
        <v>392.222</v>
      </c>
      <c r="BC236" s="1361">
        <f>BD236-SUM(AZ236,BA236,BB236)</f>
        <v/>
      </c>
      <c r="BD236" s="1494" t="n">
        <v>1577.881</v>
      </c>
      <c r="BE236" s="1493" t="n">
        <v>434.346</v>
      </c>
      <c r="BF236" s="1493" t="n">
        <v>385.595</v>
      </c>
      <c r="BG236" s="1493" t="n">
        <v>421.547</v>
      </c>
      <c r="BH236" s="1361">
        <f>BI236-SUM(BE236,BF236,BG236)</f>
        <v/>
      </c>
      <c r="BI236" s="1494" t="n">
        <v>1694.529</v>
      </c>
      <c r="BJ236" s="1493" t="n">
        <v>435.523</v>
      </c>
      <c r="BK236" s="1493" t="n">
        <v>507.169</v>
      </c>
      <c r="BL236" s="1493" t="n">
        <v>580.489</v>
      </c>
      <c r="BM236" s="1361">
        <f>BN236-SUM(BJ236,BK236,BL236)</f>
        <v/>
      </c>
      <c r="BN236" s="1494" t="n">
        <v>2159.703</v>
      </c>
      <c r="BO236" s="1493" t="n">
        <v>568.967</v>
      </c>
      <c r="BP236" s="1493" t="n">
        <v>591.265</v>
      </c>
      <c r="BQ236" s="1502" t="n">
        <v>532.119</v>
      </c>
      <c r="BR236" s="1361" t="n"/>
      <c r="BS236" s="1379" t="n"/>
      <c r="BT236" s="1361" t="n"/>
      <c r="BU236" s="1361" t="n"/>
      <c r="BV236" s="1361" t="n"/>
      <c r="BW236" s="1361" t="n"/>
      <c r="BX236" s="1379" t="n"/>
      <c r="BY236" s="1379" t="n"/>
      <c r="BZ236" s="1379" t="n"/>
      <c r="CA236" s="1379" t="n"/>
      <c r="CB236" s="1364" t="n"/>
    </row>
    <row r="237" hidden="1" outlineLevel="2" ht="14.4" customFormat="1" customHeight="1" s="1359">
      <c r="A237" s="1509" t="inlineStr">
        <is>
          <t>Other Americas revenue, mm</t>
        </is>
      </c>
      <c r="B237" s="1454" t="n"/>
      <c r="C237" s="1480" t="n">
        <v>20.925</v>
      </c>
      <c r="D237" s="1480" t="n">
        <v>22.218</v>
      </c>
      <c r="E237" s="1480" t="n">
        <v>25.152</v>
      </c>
      <c r="F237" s="1480" t="n">
        <v>22.967</v>
      </c>
      <c r="G237" s="1479" t="n">
        <v>4.615</v>
      </c>
      <c r="H237" s="1479" t="n">
        <v>5.566</v>
      </c>
      <c r="I237" s="1479" t="n">
        <v>7.212</v>
      </c>
      <c r="J237" s="1479" t="n">
        <v>5.547000000000001</v>
      </c>
      <c r="K237" s="1455">
        <f>SUM(G237,H237,I237,J237)</f>
        <v/>
      </c>
      <c r="L237" s="1479" t="n">
        <v>5.784</v>
      </c>
      <c r="M237" s="1479" t="n">
        <v>6.05</v>
      </c>
      <c r="N237" s="1479" t="n">
        <v>6.065</v>
      </c>
      <c r="O237" s="1456">
        <f>P237-SUM(L237,M237,N237)</f>
        <v/>
      </c>
      <c r="P237" s="1480" t="n">
        <v>23.357</v>
      </c>
      <c r="Q237" s="1479" t="n">
        <v>5.414</v>
      </c>
      <c r="R237" s="1479" t="n">
        <v>7.425</v>
      </c>
      <c r="S237" s="1479" t="n">
        <v>6.685</v>
      </c>
      <c r="T237" s="1456">
        <f>U237-SUM(Q237,R237,S237)</f>
        <v/>
      </c>
      <c r="U237" s="1480" t="n">
        <v>25.96</v>
      </c>
      <c r="V237" s="1479" t="n">
        <v>9.241</v>
      </c>
      <c r="W237" s="1479" t="n">
        <v>7.196</v>
      </c>
      <c r="X237" s="1479" t="n">
        <v>6.924</v>
      </c>
      <c r="Y237" s="1456">
        <f>Z237-SUM(V237,W237,X237)</f>
        <v/>
      </c>
      <c r="Z237" s="1480" t="n">
        <v>31.296</v>
      </c>
      <c r="AA237" s="1479" t="n">
        <v>7.755</v>
      </c>
      <c r="AB237" s="1479" t="n">
        <v>10.056</v>
      </c>
      <c r="AC237" s="1479" t="n">
        <v>7.938</v>
      </c>
      <c r="AD237" s="1456">
        <f>AE237-SUM(AA237,AB237,AC237)</f>
        <v/>
      </c>
      <c r="AE237" s="1480" t="n">
        <v>35.067</v>
      </c>
      <c r="AF237" s="1479" t="n">
        <v>7.666</v>
      </c>
      <c r="AG237" s="1479" t="n">
        <v>7.682</v>
      </c>
      <c r="AH237" s="1479" t="n">
        <v>9.003</v>
      </c>
      <c r="AI237" s="1456">
        <f>AJ237-SUM(AF237,AG237,AH237)</f>
        <v/>
      </c>
      <c r="AJ237" s="1480" t="n">
        <v>32.531</v>
      </c>
      <c r="AK237" s="1479" t="n">
        <v>8.406000000000001</v>
      </c>
      <c r="AL237" s="1479" t="n">
        <v>12.025</v>
      </c>
      <c r="AM237" s="1479" t="n">
        <v>12.66</v>
      </c>
      <c r="AN237" s="1456">
        <f>AO237-SUM(AK237,AL237,AM237)</f>
        <v/>
      </c>
      <c r="AO237" s="1480" t="n">
        <v>43.473</v>
      </c>
      <c r="AP237" s="1479" t="n">
        <v>8.837</v>
      </c>
      <c r="AQ237" s="1479" t="n">
        <v>10.12</v>
      </c>
      <c r="AR237" s="1479" t="n">
        <v>10.956</v>
      </c>
      <c r="AS237" s="1456">
        <f>AT237-SUM(AP237,AQ237,AR237)</f>
        <v/>
      </c>
      <c r="AT237" s="1480" t="n">
        <v>43.652</v>
      </c>
      <c r="AU237" s="1479" t="n">
        <v>9.676</v>
      </c>
      <c r="AV237" s="1479" t="n">
        <v>10.19</v>
      </c>
      <c r="AW237" s="1479" t="n">
        <v>11.487</v>
      </c>
      <c r="AX237" s="1456">
        <f>AY237-SUM(AU237,AV237,AW237)</f>
        <v/>
      </c>
      <c r="AY237" s="1480" t="n">
        <v>42.141</v>
      </c>
      <c r="AZ237" s="1479" t="n">
        <v>11.802</v>
      </c>
      <c r="BA237" s="1479" t="n">
        <v>12.043</v>
      </c>
      <c r="BB237" s="1479" t="n">
        <v>15.165</v>
      </c>
      <c r="BC237" s="1456">
        <f>BD237-SUM(AZ237,BA237,BB237)</f>
        <v/>
      </c>
      <c r="BD237" s="1480" t="n">
        <v>53.123</v>
      </c>
      <c r="BE237" s="1479" t="n">
        <v>16.118</v>
      </c>
      <c r="BF237" s="1479" t="n">
        <v>15.966</v>
      </c>
      <c r="BG237" s="1479" t="n">
        <v>15.8</v>
      </c>
      <c r="BH237" s="1456">
        <f>BI237-SUM(BE237,BF237,BG237)</f>
        <v/>
      </c>
      <c r="BI237" s="1480" t="n">
        <v>65.259</v>
      </c>
      <c r="BJ237" s="1479" t="n">
        <v>27.347</v>
      </c>
      <c r="BK237" s="1479" t="n">
        <v>11.66</v>
      </c>
      <c r="BL237" s="1479" t="n">
        <v>24.913</v>
      </c>
      <c r="BM237" s="1456">
        <f>BN237-SUM(BJ237,BK237,BL237)</f>
        <v/>
      </c>
      <c r="BN237" s="1480" t="n">
        <v>93.101</v>
      </c>
      <c r="BO237" s="1479" t="n">
        <v>29.612</v>
      </c>
      <c r="BP237" s="1479" t="n">
        <v>39.072</v>
      </c>
      <c r="BQ237" s="1515" t="n">
        <v>43.002</v>
      </c>
      <c r="BR237" s="1456" t="n"/>
      <c r="BS237" s="1455" t="n"/>
      <c r="BT237" s="1456" t="n"/>
      <c r="BU237" s="1456" t="n"/>
      <c r="BV237" s="1456" t="n"/>
      <c r="BW237" s="1456" t="n"/>
      <c r="BX237" s="1455" t="n"/>
      <c r="BY237" s="1455" t="n"/>
      <c r="BZ237" s="1455" t="n"/>
      <c r="CA237" s="1455" t="n"/>
      <c r="CB237" s="1364" t="n"/>
    </row>
    <row r="238" hidden="1" outlineLevel="2" ht="14.4" customFormat="1" customHeight="1" s="1359">
      <c r="A238" s="1474" t="inlineStr">
        <is>
          <t>Total Americas revenue, mm</t>
        </is>
      </c>
      <c r="B238" s="1377" t="n"/>
      <c r="C238" s="1379">
        <f>SUM(C236:C237)</f>
        <v/>
      </c>
      <c r="D238" s="1379">
        <f>SUM(D236:D237)</f>
        <v/>
      </c>
      <c r="E238" s="1379">
        <f>SUM(E236:E237)</f>
        <v/>
      </c>
      <c r="F238" s="1379">
        <f>SUM(F236:F237)</f>
        <v/>
      </c>
      <c r="G238" s="1361">
        <f>SUM(G236:G237)</f>
        <v/>
      </c>
      <c r="H238" s="1361">
        <f>SUM(H236:H237)</f>
        <v/>
      </c>
      <c r="I238" s="1361">
        <f>SUM(I236:I237)</f>
        <v/>
      </c>
      <c r="J238" s="1361">
        <f>SUM(J236:J237)</f>
        <v/>
      </c>
      <c r="K238" s="1379">
        <f>SUM(K236:K237)</f>
        <v/>
      </c>
      <c r="L238" s="1361">
        <f>SUM(L236:L237)</f>
        <v/>
      </c>
      <c r="M238" s="1361">
        <f>SUM(M236:M237)</f>
        <v/>
      </c>
      <c r="N238" s="1361">
        <f>SUM(N236:N237)</f>
        <v/>
      </c>
      <c r="O238" s="1361">
        <f>SUM(O236:O237)</f>
        <v/>
      </c>
      <c r="P238" s="1379">
        <f>SUM(P236:P237)</f>
        <v/>
      </c>
      <c r="Q238" s="1361">
        <f>SUM(Q236:Q237)</f>
        <v/>
      </c>
      <c r="R238" s="1361">
        <f>SUM(R236:R237)</f>
        <v/>
      </c>
      <c r="S238" s="1361">
        <f>SUM(S236:S237)</f>
        <v/>
      </c>
      <c r="T238" s="1361">
        <f>SUM(T236:T237)</f>
        <v/>
      </c>
      <c r="U238" s="1379">
        <f>SUM(U236:U237)</f>
        <v/>
      </c>
      <c r="V238" s="1361">
        <f>SUM(V236:V237)</f>
        <v/>
      </c>
      <c r="W238" s="1361">
        <f>SUM(W236:W237)</f>
        <v/>
      </c>
      <c r="X238" s="1361">
        <f>SUM(X236:X237)</f>
        <v/>
      </c>
      <c r="Y238" s="1361">
        <f>SUM(Y236:Y237)</f>
        <v/>
      </c>
      <c r="Z238" s="1379">
        <f>SUM(Z236:Z237)</f>
        <v/>
      </c>
      <c r="AA238" s="1361">
        <f>SUM(AA236:AA237)</f>
        <v/>
      </c>
      <c r="AB238" s="1361">
        <f>SUM(AB236:AB237)</f>
        <v/>
      </c>
      <c r="AC238" s="1361">
        <f>SUM(AC236:AC237)</f>
        <v/>
      </c>
      <c r="AD238" s="1361">
        <f>SUM(AD236:AD237)</f>
        <v/>
      </c>
      <c r="AE238" s="1379">
        <f>SUM(AE236:AE237)</f>
        <v/>
      </c>
      <c r="AF238" s="1361">
        <f>SUM(AF236:AF237)</f>
        <v/>
      </c>
      <c r="AG238" s="1361">
        <f>SUM(AG236:AG237)</f>
        <v/>
      </c>
      <c r="AH238" s="1361">
        <f>SUM(AH236:AH237)</f>
        <v/>
      </c>
      <c r="AI238" s="1361">
        <f>SUM(AI236:AI237)</f>
        <v/>
      </c>
      <c r="AJ238" s="1379">
        <f>SUM(AJ236:AJ237)</f>
        <v/>
      </c>
      <c r="AK238" s="1361">
        <f>SUM(AK236:AK237)</f>
        <v/>
      </c>
      <c r="AL238" s="1361">
        <f>SUM(AL236:AL237)</f>
        <v/>
      </c>
      <c r="AM238" s="1361">
        <f>SUM(AM236:AM237)</f>
        <v/>
      </c>
      <c r="AN238" s="1361">
        <f>SUM(AN236:AN237)</f>
        <v/>
      </c>
      <c r="AO238" s="1379">
        <f>SUM(AO236:AO237)</f>
        <v/>
      </c>
      <c r="AP238" s="1361">
        <f>SUM(AP236:AP237)</f>
        <v/>
      </c>
      <c r="AQ238" s="1361">
        <f>SUM(AQ236:AQ237)</f>
        <v/>
      </c>
      <c r="AR238" s="1361">
        <f>SUM(AR236:AR237)</f>
        <v/>
      </c>
      <c r="AS238" s="1361">
        <f>SUM(AS236:AS237)</f>
        <v/>
      </c>
      <c r="AT238" s="1379">
        <f>SUM(AT236:AT237)</f>
        <v/>
      </c>
      <c r="AU238" s="1361">
        <f>SUM(AU236:AU237)</f>
        <v/>
      </c>
      <c r="AV238" s="1361">
        <f>SUM(AV236:AV237)</f>
        <v/>
      </c>
      <c r="AW238" s="1361">
        <f>SUM(AW236:AW237)</f>
        <v/>
      </c>
      <c r="AX238" s="1361">
        <f>SUM(AX236:AX237)</f>
        <v/>
      </c>
      <c r="AY238" s="1379">
        <f>SUM(AY236:AY237)</f>
        <v/>
      </c>
      <c r="AZ238" s="1361">
        <f>SUM(AZ236:AZ237)</f>
        <v/>
      </c>
      <c r="BA238" s="1361">
        <f>SUM(BA236:BA237)</f>
        <v/>
      </c>
      <c r="BB238" s="1361">
        <f>SUM(BB236:BB237)</f>
        <v/>
      </c>
      <c r="BC238" s="1361">
        <f>SUM(BC236:BC237)</f>
        <v/>
      </c>
      <c r="BD238" s="1379">
        <f>SUM(BD236:BD237)</f>
        <v/>
      </c>
      <c r="BE238" s="1361">
        <f>SUM(BE236:BE237)</f>
        <v/>
      </c>
      <c r="BF238" s="1361">
        <f>SUM(BF236:BF237)</f>
        <v/>
      </c>
      <c r="BG238" s="1361">
        <f>SUM(BG236:BG237)</f>
        <v/>
      </c>
      <c r="BH238" s="1361">
        <f>SUM(BH236:BH237)</f>
        <v/>
      </c>
      <c r="BI238" s="1379">
        <f>SUM(BI236:BI237)</f>
        <v/>
      </c>
      <c r="BJ238" s="1361">
        <f>SUM(BJ236:BJ237)</f>
        <v/>
      </c>
      <c r="BK238" s="1361">
        <f>SUM(BK236:BK237)</f>
        <v/>
      </c>
      <c r="BL238" s="1361">
        <f>SUM(BL236:BL237)</f>
        <v/>
      </c>
      <c r="BM238" s="1361">
        <f>SUM(BM236:BM237)</f>
        <v/>
      </c>
      <c r="BN238" s="1379">
        <f>SUM(BN236:BN237)</f>
        <v/>
      </c>
      <c r="BO238" s="1361">
        <f>SUM(BO236:BO237)</f>
        <v/>
      </c>
      <c r="BP238" s="1361">
        <f>SUM(BP236:BP237)</f>
        <v/>
      </c>
      <c r="BQ238" s="1363">
        <f>SUM(BQ236:BQ237)</f>
        <v/>
      </c>
      <c r="BR238" s="1361" t="n"/>
      <c r="BS238" s="1379" t="n"/>
      <c r="BT238" s="1361" t="n"/>
      <c r="BU238" s="1361" t="n"/>
      <c r="BV238" s="1361" t="n"/>
      <c r="BW238" s="1361" t="n"/>
      <c r="BX238" s="1379" t="n"/>
      <c r="BY238" s="1379" t="n"/>
      <c r="BZ238" s="1379" t="n"/>
      <c r="CA238" s="1379" t="n"/>
      <c r="CB238" s="1364" t="n"/>
    </row>
    <row r="239" hidden="1" outlineLevel="2" ht="14.4" customFormat="1" customHeight="1" s="1359">
      <c r="A239" s="1508" t="inlineStr">
        <is>
          <t>China revenue, mm</t>
        </is>
      </c>
      <c r="B239" s="1377" t="n"/>
      <c r="C239" s="1379" t="n"/>
      <c r="D239" s="1379" t="n"/>
      <c r="E239" s="1379" t="n"/>
      <c r="F239" s="1379" t="n"/>
      <c r="G239" s="1361" t="n"/>
      <c r="H239" s="1361" t="n"/>
      <c r="I239" s="1361" t="n"/>
      <c r="J239" s="1361" t="n"/>
      <c r="K239" s="1379" t="n"/>
      <c r="L239" s="1361" t="n"/>
      <c r="M239" s="1361" t="n"/>
      <c r="N239" s="1361" t="n"/>
      <c r="O239" s="1361" t="n"/>
      <c r="P239" s="1379" t="n"/>
      <c r="Q239" s="1361" t="n"/>
      <c r="R239" s="1361" t="n"/>
      <c r="S239" s="1361" t="n"/>
      <c r="T239" s="1361" t="n"/>
      <c r="U239" s="1379" t="n"/>
      <c r="V239" s="1361" t="n"/>
      <c r="W239" s="1361" t="n"/>
      <c r="X239" s="1361" t="n"/>
      <c r="Y239" s="1361" t="n"/>
      <c r="Z239" s="1379" t="n"/>
      <c r="AA239" s="1361" t="n"/>
      <c r="AB239" s="1361" t="n"/>
      <c r="AC239" s="1361" t="n"/>
      <c r="AD239" s="1361" t="n"/>
      <c r="AE239" s="1379" t="n"/>
      <c r="AF239" s="1361" t="n"/>
      <c r="AG239" s="1361" t="n"/>
      <c r="AH239" s="1361" t="n"/>
      <c r="AI239" s="1361" t="n"/>
      <c r="AJ239" s="1494" t="n">
        <v>210.194</v>
      </c>
      <c r="AK239" s="1493" t="n">
        <v>58.976</v>
      </c>
      <c r="AL239" s="1493" t="n">
        <v>68.379</v>
      </c>
      <c r="AM239" s="1493" t="n">
        <v>58.215</v>
      </c>
      <c r="AN239" s="1361">
        <f>AO239-SUM(AK239,AL239,AM239)</f>
        <v/>
      </c>
      <c r="AO239" s="1494" t="n">
        <v>241.474</v>
      </c>
      <c r="AP239" s="1493" t="n">
        <v>83.79900000000001</v>
      </c>
      <c r="AQ239" s="1493" t="n">
        <v>77.232</v>
      </c>
      <c r="AR239" s="1493" t="n">
        <v>114.16</v>
      </c>
      <c r="AS239" s="1361">
        <f>AT239-SUM(AP239,AQ239,AR239)</f>
        <v/>
      </c>
      <c r="AT239" s="1494" t="n">
        <v>406.645</v>
      </c>
      <c r="AU239" s="1493" t="n">
        <v>89.441</v>
      </c>
      <c r="AV239" s="1493" t="n">
        <v>99.59099999999999</v>
      </c>
      <c r="AW239" s="1493" t="n">
        <v>98.325</v>
      </c>
      <c r="AX239" s="1361">
        <f>AY239-SUM(AU239,AV239,AW239)</f>
        <v/>
      </c>
      <c r="AY239" s="1494" t="n">
        <v>378.16</v>
      </c>
      <c r="AZ239" s="1493" t="n">
        <v>139.966</v>
      </c>
      <c r="BA239" s="1493" t="n">
        <v>113.169</v>
      </c>
      <c r="BB239" s="1493" t="n">
        <v>148.325</v>
      </c>
      <c r="BC239" s="1361">
        <f>BD239-SUM(AZ239,BA239,BB239)</f>
        <v/>
      </c>
      <c r="BD239" s="1494" t="n">
        <v>521.509</v>
      </c>
      <c r="BE239" s="1493" t="n">
        <v>177.556</v>
      </c>
      <c r="BF239" s="1493" t="n">
        <v>174.116</v>
      </c>
      <c r="BG239" s="1493" t="n">
        <v>172.022</v>
      </c>
      <c r="BH239" s="1361">
        <f>BI239-SUM(BE239,BF239,BG239)</f>
        <v/>
      </c>
      <c r="BI239" s="1494" t="n">
        <v>679.538</v>
      </c>
      <c r="BJ239" s="1493" t="n">
        <v>117.229</v>
      </c>
      <c r="BK239" s="1493" t="n">
        <v>127.809</v>
      </c>
      <c r="BL239" s="1493" t="n">
        <v>156.678</v>
      </c>
      <c r="BM239" s="1361">
        <f>BN239-SUM(BJ239,BK239,BL239)</f>
        <v/>
      </c>
      <c r="BN239" s="1494" t="n">
        <v>573.096</v>
      </c>
      <c r="BO239" s="1493" t="n">
        <v>139.381</v>
      </c>
      <c r="BP239" s="1493" t="n">
        <v>120.717</v>
      </c>
      <c r="BQ239" s="1502" t="n">
        <v>245.015</v>
      </c>
      <c r="BR239" s="1361" t="n"/>
      <c r="BS239" s="1379" t="n"/>
      <c r="BT239" s="1361" t="n"/>
      <c r="BU239" s="1361" t="n"/>
      <c r="BV239" s="1361" t="n"/>
      <c r="BW239" s="1361" t="n"/>
      <c r="BX239" s="1379" t="n"/>
      <c r="BY239" s="1379" t="n"/>
      <c r="BZ239" s="1379" t="n"/>
      <c r="CA239" s="1379" t="n"/>
      <c r="CB239" s="1364" t="n"/>
    </row>
    <row r="240" hidden="1" outlineLevel="2" ht="14.4" customFormat="1" customHeight="1" s="1359">
      <c r="A240" s="1509" t="inlineStr">
        <is>
          <t>Other Asia revenue, mm</t>
        </is>
      </c>
      <c r="B240" s="1454" t="n"/>
      <c r="C240" s="1455" t="n"/>
      <c r="D240" s="1455" t="n"/>
      <c r="E240" s="1455" t="n"/>
      <c r="F240" s="1455" t="n"/>
      <c r="G240" s="1456" t="n"/>
      <c r="H240" s="1456" t="n"/>
      <c r="I240" s="1456" t="n"/>
      <c r="J240" s="1456" t="n"/>
      <c r="K240" s="1455" t="n"/>
      <c r="L240" s="1456" t="n"/>
      <c r="M240" s="1456" t="n"/>
      <c r="N240" s="1456" t="n"/>
      <c r="O240" s="1456" t="n"/>
      <c r="P240" s="1455" t="n"/>
      <c r="Q240" s="1456" t="n"/>
      <c r="R240" s="1456" t="n"/>
      <c r="S240" s="1456" t="n"/>
      <c r="T240" s="1456" t="n"/>
      <c r="U240" s="1455" t="n"/>
      <c r="V240" s="1456" t="n"/>
      <c r="W240" s="1456" t="n"/>
      <c r="X240" s="1456" t="n"/>
      <c r="Y240" s="1456" t="n"/>
      <c r="Z240" s="1455" t="n"/>
      <c r="AA240" s="1456" t="n"/>
      <c r="AB240" s="1456" t="n"/>
      <c r="AC240" s="1456" t="n"/>
      <c r="AD240" s="1456" t="n"/>
      <c r="AE240" s="1455" t="n"/>
      <c r="AF240" s="1456" t="n"/>
      <c r="AG240" s="1456" t="n"/>
      <c r="AH240" s="1456" t="n"/>
      <c r="AI240" s="1456" t="n"/>
      <c r="AJ240" s="1480" t="n">
        <v>395.221</v>
      </c>
      <c r="AK240" s="1479" t="n">
        <v>111.348</v>
      </c>
      <c r="AL240" s="1479" t="n">
        <v>109.425</v>
      </c>
      <c r="AM240" s="1479" t="n">
        <v>120.122</v>
      </c>
      <c r="AN240" s="1456">
        <f>AO240-SUM(AK240,AL240,AM240)</f>
        <v/>
      </c>
      <c r="AO240" s="1480" t="n">
        <v>459.028</v>
      </c>
      <c r="AP240" s="1479" t="n">
        <v>109.599</v>
      </c>
      <c r="AQ240" s="1479" t="n">
        <v>121.276</v>
      </c>
      <c r="AR240" s="1479" t="n">
        <v>123.188</v>
      </c>
      <c r="AS240" s="1456">
        <f>AT240-SUM(AP240,AQ240,AR240)</f>
        <v/>
      </c>
      <c r="AT240" s="1480" t="n">
        <v>487.362</v>
      </c>
      <c r="AU240" s="1479" t="n">
        <v>133.848</v>
      </c>
      <c r="AV240" s="1479" t="n">
        <v>134.389</v>
      </c>
      <c r="AW240" s="1479" t="n">
        <v>136.272</v>
      </c>
      <c r="AX240" s="1456">
        <f>AY240-SUM(AU240,AV240,AW240)</f>
        <v/>
      </c>
      <c r="AY240" s="1480" t="n">
        <v>566.772</v>
      </c>
      <c r="AZ240" s="1479" t="n">
        <v>158.674</v>
      </c>
      <c r="BA240" s="1479" t="n">
        <v>151.967</v>
      </c>
      <c r="BB240" s="1479" t="n">
        <v>156.25</v>
      </c>
      <c r="BC240" s="1456">
        <f>BD240-SUM(AZ240,BA240,BB240)</f>
        <v/>
      </c>
      <c r="BD240" s="1480" t="n">
        <v>629.533</v>
      </c>
      <c r="BE240" s="1479" t="n">
        <v>183.962</v>
      </c>
      <c r="BF240" s="1479" t="n">
        <v>176.894</v>
      </c>
      <c r="BG240" s="1479" t="n">
        <v>197.831</v>
      </c>
      <c r="BH240" s="1456">
        <f>BI240-SUM(BE240,BF240,BG240)</f>
        <v/>
      </c>
      <c r="BI240" s="1480" t="n">
        <v>766.409</v>
      </c>
      <c r="BJ240" s="1479" t="n">
        <v>208.531</v>
      </c>
      <c r="BK240" s="1479" t="n">
        <v>197.928</v>
      </c>
      <c r="BL240" s="1479" t="n">
        <v>211.158</v>
      </c>
      <c r="BM240" s="1456">
        <f>BN240-SUM(BJ240,BK240,BL240)</f>
        <v/>
      </c>
      <c r="BN240" s="1480" t="n">
        <v>855.919</v>
      </c>
      <c r="BO240" s="1479" t="n">
        <v>240.512</v>
      </c>
      <c r="BP240" s="1479" t="n">
        <v>238.225</v>
      </c>
      <c r="BQ240" s="1515" t="n">
        <v>242.721</v>
      </c>
      <c r="BR240" s="1456" t="n"/>
      <c r="BS240" s="1455" t="n"/>
      <c r="BT240" s="1456" t="n"/>
      <c r="BU240" s="1456" t="n"/>
      <c r="BV240" s="1456" t="n"/>
      <c r="BW240" s="1456" t="n"/>
      <c r="BX240" s="1455" t="n"/>
      <c r="BY240" s="1455" t="n"/>
      <c r="BZ240" s="1455" t="n"/>
      <c r="CA240" s="1455" t="n"/>
      <c r="CB240" s="1364" t="n"/>
    </row>
    <row r="241" hidden="1" outlineLevel="2" ht="14.4" customFormat="1" customHeight="1" s="1359">
      <c r="A241" s="1474" t="inlineStr">
        <is>
          <t>Total Asia revenue, mm</t>
        </is>
      </c>
      <c r="B241" s="1377" t="n"/>
      <c r="C241" s="1494" t="n">
        <v>120.02</v>
      </c>
      <c r="D241" s="1494" t="n">
        <v>207.216</v>
      </c>
      <c r="E241" s="1494" t="n">
        <v>234.88</v>
      </c>
      <c r="F241" s="1494" t="n">
        <v>262.375</v>
      </c>
      <c r="G241" s="1493" t="n">
        <v>67.31054</v>
      </c>
      <c r="H241" s="1493" t="n">
        <v>76.12101</v>
      </c>
      <c r="I241" s="1493" t="n">
        <v>73.32940000000001</v>
      </c>
      <c r="J241" s="1493" t="n">
        <v>71.57718</v>
      </c>
      <c r="K241" s="1379">
        <f>SUM(G241,H241,I241,J241)</f>
        <v/>
      </c>
      <c r="L241" s="1493" t="n">
        <v>77.532</v>
      </c>
      <c r="M241" s="1493" t="n">
        <v>88.286</v>
      </c>
      <c r="N241" s="1493" t="n">
        <v>89.64400000000001</v>
      </c>
      <c r="O241" s="1361">
        <f>P241-SUM(L241,M241,N241)</f>
        <v/>
      </c>
      <c r="P241" s="1494" t="n">
        <v>360.28</v>
      </c>
      <c r="Q241" s="1493" t="n">
        <v>98.782</v>
      </c>
      <c r="R241" s="1493" t="n">
        <v>96.426</v>
      </c>
      <c r="S241" s="1493" t="n">
        <v>106.627</v>
      </c>
      <c r="T241" s="1361">
        <f>U241-SUM(Q241,R241,S241)</f>
        <v/>
      </c>
      <c r="U241" s="1494" t="n">
        <v>413.588</v>
      </c>
      <c r="V241" s="1493" t="n">
        <v>99.179</v>
      </c>
      <c r="W241" s="1493" t="n">
        <v>111.032</v>
      </c>
      <c r="X241" s="1493" t="n">
        <v>120.206</v>
      </c>
      <c r="Y241" s="1361">
        <f>Z241-SUM(V241,W241,X241)</f>
        <v/>
      </c>
      <c r="Z241" s="1494" t="n">
        <v>445.5</v>
      </c>
      <c r="AA241" s="1493" t="n">
        <v>122.423</v>
      </c>
      <c r="AB241" s="1493" t="n">
        <v>131.395</v>
      </c>
      <c r="AC241" s="1493" t="n">
        <v>131.89</v>
      </c>
      <c r="AD241" s="1361">
        <f>AE241-SUM(AA241,AB241,AC241)</f>
        <v/>
      </c>
      <c r="AE241" s="1494" t="n">
        <v>526.201</v>
      </c>
      <c r="AF241" s="1493" t="n">
        <v>139.947</v>
      </c>
      <c r="AG241" s="1493" t="n">
        <v>134.399</v>
      </c>
      <c r="AH241" s="1493" t="n">
        <v>156.887</v>
      </c>
      <c r="AI241" s="1361">
        <f>AJ241-SUM(AF241,AG241,AH241)</f>
        <v/>
      </c>
      <c r="AJ241" s="1494" t="n">
        <v>605.415</v>
      </c>
      <c r="AK241" s="1361">
        <f>SUM(AK239:AK240)</f>
        <v/>
      </c>
      <c r="AL241" s="1361">
        <f>SUM(AL239:AL240)</f>
        <v/>
      </c>
      <c r="AM241" s="1361">
        <f>SUM(AM239:AM240)</f>
        <v/>
      </c>
      <c r="AN241" s="1361">
        <f>SUM(AN239:AN240)</f>
        <v/>
      </c>
      <c r="AO241" s="1379">
        <f>SUM(AO239:AO240)</f>
        <v/>
      </c>
      <c r="AP241" s="1361">
        <f>SUM(AP239:AP240)</f>
        <v/>
      </c>
      <c r="AQ241" s="1361">
        <f>SUM(AQ239:AQ240)</f>
        <v/>
      </c>
      <c r="AR241" s="1361">
        <f>SUM(AR239:AR240)</f>
        <v/>
      </c>
      <c r="AS241" s="1361">
        <f>SUM(AS239:AS240)</f>
        <v/>
      </c>
      <c r="AT241" s="1379">
        <f>SUM(AT239:AT240)</f>
        <v/>
      </c>
      <c r="AU241" s="1361">
        <f>SUM(AU239:AU240)</f>
        <v/>
      </c>
      <c r="AV241" s="1361">
        <f>SUM(AV239:AV240)</f>
        <v/>
      </c>
      <c r="AW241" s="1361">
        <f>SUM(AW239:AW240)</f>
        <v/>
      </c>
      <c r="AX241" s="1361">
        <f>SUM(AX239:AX240)</f>
        <v/>
      </c>
      <c r="AY241" s="1379">
        <f>SUM(AY239:AY240)</f>
        <v/>
      </c>
      <c r="AZ241" s="1361">
        <f>SUM(AZ239:AZ240)</f>
        <v/>
      </c>
      <c r="BA241" s="1361">
        <f>SUM(BA239:BA240)</f>
        <v/>
      </c>
      <c r="BB241" s="1361">
        <f>SUM(BB239:BB240)</f>
        <v/>
      </c>
      <c r="BC241" s="1361">
        <f>SUM(BC239:BC240)</f>
        <v/>
      </c>
      <c r="BD241" s="1379">
        <f>SUM(BD239:BD240)</f>
        <v/>
      </c>
      <c r="BE241" s="1361">
        <f>SUM(BE239:BE240)</f>
        <v/>
      </c>
      <c r="BF241" s="1361">
        <f>SUM(BF239:BF240)</f>
        <v/>
      </c>
      <c r="BG241" s="1361">
        <f>SUM(BG239:BG240)</f>
        <v/>
      </c>
      <c r="BH241" s="1361">
        <f>SUM(BH239:BH240)</f>
        <v/>
      </c>
      <c r="BI241" s="1379">
        <f>SUM(BI239:BI240)</f>
        <v/>
      </c>
      <c r="BJ241" s="1361">
        <f>SUM(BJ239:BJ240)</f>
        <v/>
      </c>
      <c r="BK241" s="1361">
        <f>SUM(BK239:BK240)</f>
        <v/>
      </c>
      <c r="BL241" s="1361">
        <f>SUM(BL239:BL240)</f>
        <v/>
      </c>
      <c r="BM241" s="1361">
        <f>SUM(BM239:BM240)</f>
        <v/>
      </c>
      <c r="BN241" s="1379">
        <f>SUM(BN239:BN240)</f>
        <v/>
      </c>
      <c r="BO241" s="1361">
        <f>SUM(BO239:BO240)</f>
        <v/>
      </c>
      <c r="BP241" s="1361">
        <f>SUM(BP239:BP240)</f>
        <v/>
      </c>
      <c r="BQ241" s="1363">
        <f>SUM(BQ239:BQ240)</f>
        <v/>
      </c>
      <c r="BR241" s="1361" t="n"/>
      <c r="BS241" s="1379" t="n"/>
      <c r="BT241" s="1361" t="n"/>
      <c r="BU241" s="1361" t="n"/>
      <c r="BV241" s="1361" t="n"/>
      <c r="BW241" s="1361" t="n"/>
      <c r="BX241" s="1379" t="n"/>
      <c r="BY241" s="1379" t="n"/>
      <c r="BZ241" s="1379" t="n"/>
      <c r="CA241" s="1379" t="n"/>
      <c r="CB241" s="1364" t="n"/>
    </row>
    <row r="242" hidden="1" outlineLevel="2" ht="14.4" customFormat="1" customHeight="1" s="1359">
      <c r="A242" s="1474" t="inlineStr">
        <is>
          <t>Europe, Middle East and Africa revenue, mm</t>
        </is>
      </c>
      <c r="B242" s="1377" t="n"/>
      <c r="C242" s="1494" t="n">
        <v>188.933</v>
      </c>
      <c r="D242" s="1494" t="n">
        <v>165.155</v>
      </c>
      <c r="E242" s="1494" t="n">
        <v>204.388</v>
      </c>
      <c r="F242" s="1494" t="n">
        <v>218.731</v>
      </c>
      <c r="G242" s="1493" t="n">
        <v>77.93852000000001</v>
      </c>
      <c r="H242" s="1493" t="n">
        <v>76.12101</v>
      </c>
      <c r="I242" s="1493" t="n">
        <v>73.32940000000001</v>
      </c>
      <c r="J242" s="1493" t="n">
        <v>75.34439999999999</v>
      </c>
      <c r="K242" s="1379">
        <f>SUM(G242,H242,I242,J242)</f>
        <v/>
      </c>
      <c r="L242" s="1493" t="n">
        <v>44.89</v>
      </c>
      <c r="M242" s="1493" t="n">
        <v>82.074</v>
      </c>
      <c r="N242" s="1493" t="n">
        <v>81.923</v>
      </c>
      <c r="O242" s="1361">
        <f>P242-SUM(L242,M242,N242)</f>
        <v/>
      </c>
      <c r="P242" s="1494" t="n">
        <v>328.724</v>
      </c>
      <c r="Q242" s="1493" t="n">
        <v>78.56999999999999</v>
      </c>
      <c r="R242" s="1493" t="n">
        <v>82.014</v>
      </c>
      <c r="S242" s="1493" t="n">
        <v>80.193</v>
      </c>
      <c r="T242" s="1361">
        <f>U242-SUM(Q242,R242,S242)</f>
        <v/>
      </c>
      <c r="U242" s="1494" t="n">
        <v>316.684</v>
      </c>
      <c r="V242" s="1493" t="n">
        <v>85.464</v>
      </c>
      <c r="W242" s="1493" t="n">
        <v>88.72</v>
      </c>
      <c r="X242" s="1493" t="n">
        <v>83.124</v>
      </c>
      <c r="Y242" s="1361">
        <f>Z242-SUM(V242,W242,X242)</f>
        <v/>
      </c>
      <c r="Z242" s="1494" t="n">
        <v>346.701</v>
      </c>
      <c r="AA242" s="1493" t="n">
        <v>98.321</v>
      </c>
      <c r="AB242" s="1493" t="n">
        <v>91.413</v>
      </c>
      <c r="AC242" s="1493" t="n">
        <v>94.681</v>
      </c>
      <c r="AD242" s="1361">
        <f>AE242-SUM(AA242,AB242,AC242)</f>
        <v/>
      </c>
      <c r="AE242" s="1494" t="n">
        <v>385.705</v>
      </c>
      <c r="AF242" s="1493" t="n">
        <v>104.708</v>
      </c>
      <c r="AG242" s="1493" t="n">
        <v>105.673</v>
      </c>
      <c r="AH242" s="1493" t="n">
        <v>101.452</v>
      </c>
      <c r="AI242" s="1361">
        <f>AJ242-SUM(AF242,AG242,AH242)</f>
        <v/>
      </c>
      <c r="AJ242" s="1494" t="n">
        <v>406.877</v>
      </c>
      <c r="AK242" s="1493" t="n">
        <v>103.462</v>
      </c>
      <c r="AL242" s="1493" t="n">
        <v>113.829</v>
      </c>
      <c r="AM242" s="1493" t="n">
        <v>106.151</v>
      </c>
      <c r="AN242" s="1361">
        <f>AO242-SUM(AK242,AL242,AM242)</f>
        <v/>
      </c>
      <c r="AO242" s="1494" t="n">
        <v>433.314</v>
      </c>
      <c r="AP242" s="1493" t="n">
        <v>115.72</v>
      </c>
      <c r="AQ242" s="1493" t="n">
        <v>116.54</v>
      </c>
      <c r="AR242" s="1493" t="n">
        <v>107.913</v>
      </c>
      <c r="AS242" s="1361">
        <f>AT242-SUM(AP242,AQ242,AR242)</f>
        <v/>
      </c>
      <c r="AT242" s="1494" t="n">
        <v>469.804</v>
      </c>
      <c r="AU242" s="1493" t="n">
        <v>130.233</v>
      </c>
      <c r="AV242" s="1493" t="n">
        <v>124.502</v>
      </c>
      <c r="AW242" s="1493" t="n">
        <v>129.606</v>
      </c>
      <c r="AX242" s="1361">
        <f>AY242-SUM(AU242,AV242,AW242)</f>
        <v/>
      </c>
      <c r="AY242" s="1494" t="n">
        <v>523.39</v>
      </c>
      <c r="AZ242" s="1493" t="n">
        <v>130.634</v>
      </c>
      <c r="BA242" s="1493" t="n">
        <v>158.043</v>
      </c>
      <c r="BB242" s="1493" t="n">
        <v>142.983</v>
      </c>
      <c r="BC242" s="1361">
        <f>BD242-SUM(AZ242,BA242,BB242)</f>
        <v/>
      </c>
      <c r="BD242" s="1494" t="n">
        <v>582.35</v>
      </c>
      <c r="BE242" s="1493" t="n">
        <v>154.27</v>
      </c>
      <c r="BF242" s="1493" t="n">
        <v>166.804</v>
      </c>
      <c r="BG242" s="1493" t="n">
        <v>158.194</v>
      </c>
      <c r="BH242" s="1361">
        <f>BI242-SUM(BE242,BF242,BG242)</f>
        <v/>
      </c>
      <c r="BI242" s="1494" t="n">
        <v>655.078</v>
      </c>
      <c r="BJ242" s="1493" t="n">
        <v>169.056</v>
      </c>
      <c r="BK242" s="1493" t="n">
        <v>152.521</v>
      </c>
      <c r="BL242" s="1493" t="n">
        <v>174.606</v>
      </c>
      <c r="BM242" s="1361">
        <f>BN242-SUM(BJ242,BK242,BL242)</f>
        <v/>
      </c>
      <c r="BN242" s="1494" t="n">
        <v>699.241</v>
      </c>
      <c r="BO242" s="1493" t="n">
        <v>195.743</v>
      </c>
      <c r="BP242" s="1493" t="n">
        <v>200.186</v>
      </c>
      <c r="BQ242" s="1502" t="n">
        <v>189.551</v>
      </c>
      <c r="BR242" s="1361" t="n"/>
      <c r="BS242" s="1379" t="n"/>
      <c r="BT242" s="1361" t="n"/>
      <c r="BU242" s="1361" t="n"/>
      <c r="BV242" s="1361" t="n"/>
      <c r="BW242" s="1361" t="n"/>
      <c r="BX242" s="1379" t="n"/>
      <c r="BY242" s="1379" t="n"/>
      <c r="BZ242" s="1379" t="n"/>
      <c r="CA242" s="1379" t="n"/>
      <c r="CB242" s="1364" t="n"/>
    </row>
    <row r="243" hidden="1" outlineLevel="2" ht="14.4" customFormat="1" customHeight="1" s="1359">
      <c r="A243" s="1478" t="inlineStr">
        <is>
          <t>Japan revenue, mm</t>
        </is>
      </c>
      <c r="B243" s="1454" t="n"/>
      <c r="C243" s="1480" t="n">
        <v>152.738</v>
      </c>
      <c r="D243" s="1480" t="n">
        <v>158.673</v>
      </c>
      <c r="E243" s="1480" t="n">
        <v>195.977</v>
      </c>
      <c r="F243" s="1480" t="n">
        <v>254.742</v>
      </c>
      <c r="G243" s="1479" t="n">
        <v>53.1399</v>
      </c>
      <c r="H243" s="1479" t="n">
        <v>47.12253</v>
      </c>
      <c r="I243" s="1479" t="n">
        <v>43.99764</v>
      </c>
      <c r="J243" s="1479" t="n">
        <v>52.74108</v>
      </c>
      <c r="K243" s="1455">
        <f>SUM(G243,H243,I243,J243)</f>
        <v/>
      </c>
      <c r="L243" s="1479" t="n">
        <v>87.223</v>
      </c>
      <c r="M243" s="1479" t="n">
        <v>40.504</v>
      </c>
      <c r="N243" s="1479" t="n">
        <v>42.981</v>
      </c>
      <c r="O243" s="1456">
        <f>P243-SUM(L243,M243,N243)</f>
        <v/>
      </c>
      <c r="P243" s="1480" t="n">
        <v>171.963</v>
      </c>
      <c r="Q243" s="1479" t="n">
        <v>41.393</v>
      </c>
      <c r="R243" s="1479" t="n">
        <v>37.842</v>
      </c>
      <c r="S243" s="1479" t="n">
        <v>40.63</v>
      </c>
      <c r="T243" s="1456">
        <f>U243-SUM(Q243,R243,S243)</f>
        <v/>
      </c>
      <c r="U243" s="1480" t="n">
        <v>163.44</v>
      </c>
      <c r="V243" s="1479" t="n">
        <v>43.956</v>
      </c>
      <c r="W243" s="1479" t="n">
        <v>39.657</v>
      </c>
      <c r="X243" s="1479" t="n">
        <v>38.251</v>
      </c>
      <c r="Y243" s="1456">
        <f>Z243-SUM(V243,W243,X243)</f>
        <v/>
      </c>
      <c r="Z243" s="1480" t="n">
        <v>160.003</v>
      </c>
      <c r="AA243" s="1479" t="n">
        <v>42.977</v>
      </c>
      <c r="AB243" s="1479" t="n">
        <v>39.395</v>
      </c>
      <c r="AC243" s="1479" t="n">
        <v>42.541</v>
      </c>
      <c r="AD243" s="1456">
        <f>AE243-SUM(AA243,AB243,AC243)</f>
        <v/>
      </c>
      <c r="AE243" s="1480" t="n">
        <v>166.623</v>
      </c>
      <c r="AF243" s="1479" t="n">
        <v>40.189</v>
      </c>
      <c r="AG243" s="1479" t="n">
        <v>39.964</v>
      </c>
      <c r="AH243" s="1479" t="n">
        <v>40.668</v>
      </c>
      <c r="AI243" s="1456">
        <f>AJ243-SUM(AF243,AG243,AH243)</f>
        <v/>
      </c>
      <c r="AJ243" s="1480" t="n">
        <v>168.555</v>
      </c>
      <c r="AK243" s="1479" t="n">
        <v>51.302</v>
      </c>
      <c r="AL243" s="1479" t="n">
        <v>42.271</v>
      </c>
      <c r="AM243" s="1479" t="n">
        <v>41.395</v>
      </c>
      <c r="AN243" s="1456">
        <f>AO243-SUM(AK243,AL243,AM243)</f>
        <v/>
      </c>
      <c r="AO243" s="1480" t="n">
        <v>176.65</v>
      </c>
      <c r="AP243" s="1479" t="n">
        <v>41.514</v>
      </c>
      <c r="AQ243" s="1479" t="n">
        <v>46.25</v>
      </c>
      <c r="AR243" s="1479" t="n">
        <v>41.333</v>
      </c>
      <c r="AS243" s="1456">
        <f>AT243-SUM(AP243,AQ243,AR243)</f>
        <v/>
      </c>
      <c r="AT243" s="1480" t="n">
        <v>179.165</v>
      </c>
      <c r="AU243" s="1479" t="n">
        <v>46.506</v>
      </c>
      <c r="AV243" s="1479" t="n">
        <v>46.475</v>
      </c>
      <c r="AW243" s="1479" t="n">
        <v>43.742</v>
      </c>
      <c r="AX243" s="1456">
        <f>AY243-SUM(AU243,AV243,AW243)</f>
        <v/>
      </c>
      <c r="AY243" s="1480" t="n">
        <v>184.801</v>
      </c>
      <c r="AZ243" s="1479" t="n">
        <v>47.152</v>
      </c>
      <c r="BA243" s="1479" t="n">
        <v>53.325</v>
      </c>
      <c r="BB243" s="1479" t="n">
        <v>47.609</v>
      </c>
      <c r="BC243" s="1456">
        <f>BD243-SUM(AZ243,BA243,BB243)</f>
        <v/>
      </c>
      <c r="BD243" s="1480" t="n">
        <v>197.322</v>
      </c>
      <c r="BE243" s="1479" t="n">
        <v>55.438</v>
      </c>
      <c r="BF243" s="1479" t="n">
        <v>57.204</v>
      </c>
      <c r="BG243" s="1479" t="n">
        <v>57.7</v>
      </c>
      <c r="BH243" s="1456">
        <f>BI243-SUM(BE243,BF243,BG243)</f>
        <v/>
      </c>
      <c r="BI243" s="1480" t="n">
        <v>229.173</v>
      </c>
      <c r="BJ243" s="1479" t="n">
        <v>51.417</v>
      </c>
      <c r="BK243" s="1479" t="n">
        <v>63.594</v>
      </c>
      <c r="BL243" s="1479" t="n">
        <v>67.655</v>
      </c>
      <c r="BM243" s="1456">
        <f>BN243-SUM(BJ243,BK243,BL243)</f>
        <v/>
      </c>
      <c r="BN243" s="1480" t="n">
        <v>260.204</v>
      </c>
      <c r="BO243" s="1479" t="n">
        <v>68.151</v>
      </c>
      <c r="BP243" s="1479" t="n">
        <v>85.976</v>
      </c>
      <c r="BQ243" s="1515" t="n">
        <v>86.43000000000001</v>
      </c>
      <c r="BR243" s="1456" t="n"/>
      <c r="BS243" s="1455" t="n"/>
      <c r="BT243" s="1456" t="n"/>
      <c r="BU243" s="1456" t="n"/>
      <c r="BV243" s="1456" t="n"/>
      <c r="BW243" s="1456" t="n"/>
      <c r="BX243" s="1455" t="n"/>
      <c r="BY243" s="1455" t="n"/>
      <c r="BZ243" s="1455" t="n"/>
      <c r="CA243" s="1455" t="n"/>
      <c r="CB243" s="1364" t="n"/>
    </row>
    <row r="244" hidden="1" outlineLevel="2" ht="14.4" customFormat="1" customHeight="1" s="1372">
      <c r="A244" s="1535" t="inlineStr">
        <is>
          <t>Total revenue, mm</t>
        </is>
      </c>
      <c r="B244" s="1401" t="n"/>
      <c r="C244" s="1405">
        <f>C238+C241+C242+C243</f>
        <v/>
      </c>
      <c r="D244" s="1405">
        <f>D238+D241+D242+D243</f>
        <v/>
      </c>
      <c r="E244" s="1405">
        <f>E238+E241+E242+E243</f>
        <v/>
      </c>
      <c r="F244" s="1405">
        <f>F238+F241+F242+F243</f>
        <v/>
      </c>
      <c r="G244" s="1404">
        <f>G238+G241+G242+G243</f>
        <v/>
      </c>
      <c r="H244" s="1404">
        <f>H238+H241+H242+H243</f>
        <v/>
      </c>
      <c r="I244" s="1404">
        <f>I238+I241+I242+I243</f>
        <v/>
      </c>
      <c r="J244" s="1404">
        <f>J238+J241+J242+J243</f>
        <v/>
      </c>
      <c r="K244" s="1405">
        <f>K238+K241+K242+K243</f>
        <v/>
      </c>
      <c r="L244" s="1404">
        <f>L238+L241+L242+L243</f>
        <v/>
      </c>
      <c r="M244" s="1404">
        <f>M238+M241+M242+M243</f>
        <v/>
      </c>
      <c r="N244" s="1404">
        <f>N238+N241+N242+N243</f>
        <v/>
      </c>
      <c r="O244" s="1404">
        <f>O238+O241+O242+O243</f>
        <v/>
      </c>
      <c r="P244" s="1405">
        <f>P238+P241+P242+P243</f>
        <v/>
      </c>
      <c r="Q244" s="1404">
        <f>Q238+Q241+Q242+Q243</f>
        <v/>
      </c>
      <c r="R244" s="1404">
        <f>R238+R241+R242+R243</f>
        <v/>
      </c>
      <c r="S244" s="1404">
        <f>S238+S241+S242+S243</f>
        <v/>
      </c>
      <c r="T244" s="1404">
        <f>T238+T241+T242+T243</f>
        <v/>
      </c>
      <c r="U244" s="1405">
        <f>U238+U241+U242+U243</f>
        <v/>
      </c>
      <c r="V244" s="1404">
        <f>V238+V241+V242+V243</f>
        <v/>
      </c>
      <c r="W244" s="1404">
        <f>W238+W241+W242+W243</f>
        <v/>
      </c>
      <c r="X244" s="1404">
        <f>X238+X241+X242+X243</f>
        <v/>
      </c>
      <c r="Y244" s="1404">
        <f>Y238+Y241+Y242+Y243</f>
        <v/>
      </c>
      <c r="Z244" s="1405">
        <f>Z238+Z241+Z242+Z243</f>
        <v/>
      </c>
      <c r="AA244" s="1404">
        <f>AA238+AA241+AA242+AA243</f>
        <v/>
      </c>
      <c r="AB244" s="1404">
        <f>AB238+AB241+AB242+AB243</f>
        <v/>
      </c>
      <c r="AC244" s="1404">
        <f>AC238+AC241+AC242+AC243</f>
        <v/>
      </c>
      <c r="AD244" s="1404">
        <f>AD238+AD241+AD242+AD243</f>
        <v/>
      </c>
      <c r="AE244" s="1405">
        <f>AE238+AE241+AE242+AE243</f>
        <v/>
      </c>
      <c r="AF244" s="1404">
        <f>AF238+AF241+AF242+AF243</f>
        <v/>
      </c>
      <c r="AG244" s="1404">
        <f>AG238+AG241+AG242+AG243</f>
        <v/>
      </c>
      <c r="AH244" s="1404">
        <f>AH238+AH241+AH242+AH243</f>
        <v/>
      </c>
      <c r="AI244" s="1404">
        <f>AI238+AI241+AI242+AI243</f>
        <v/>
      </c>
      <c r="AJ244" s="1405">
        <f>AJ238+AJ241+AJ242+AJ243</f>
        <v/>
      </c>
      <c r="AK244" s="1404">
        <f>AK238+AK241+AK242+AK243</f>
        <v/>
      </c>
      <c r="AL244" s="1404">
        <f>AL238+AL241+AL242+AL243</f>
        <v/>
      </c>
      <c r="AM244" s="1404">
        <f>AM238+AM241+AM242+AM243</f>
        <v/>
      </c>
      <c r="AN244" s="1404">
        <f>AN238+AN241+AN242+AN243</f>
        <v/>
      </c>
      <c r="AO244" s="1405">
        <f>AO238+AO241+AO242+AO243</f>
        <v/>
      </c>
      <c r="AP244" s="1404">
        <f>AP238+AP241+AP242+AP243</f>
        <v/>
      </c>
      <c r="AQ244" s="1404">
        <f>AQ238+AQ241+AQ242+AQ243</f>
        <v/>
      </c>
      <c r="AR244" s="1404">
        <f>AR238+AR241+AR242+AR243</f>
        <v/>
      </c>
      <c r="AS244" s="1404">
        <f>AS238+AS241+AS242+AS243</f>
        <v/>
      </c>
      <c r="AT244" s="1405">
        <f>AT238+AT241+AT242+AT243</f>
        <v/>
      </c>
      <c r="AU244" s="1404">
        <f>AU238+AU241+AU242+AU243</f>
        <v/>
      </c>
      <c r="AV244" s="1404">
        <f>AV238+AV241+AV242+AV243</f>
        <v/>
      </c>
      <c r="AW244" s="1404">
        <f>AW238+AW241+AW242+AW243</f>
        <v/>
      </c>
      <c r="AX244" s="1404">
        <f>AX238+AX241+AX242+AX243</f>
        <v/>
      </c>
      <c r="AY244" s="1405">
        <f>AY238+AY241+AY242+AY243</f>
        <v/>
      </c>
      <c r="AZ244" s="1404">
        <f>AZ238+AZ241+AZ242+AZ243</f>
        <v/>
      </c>
      <c r="BA244" s="1404">
        <f>BA238+BA241+BA242+BA243</f>
        <v/>
      </c>
      <c r="BB244" s="1404">
        <f>BB238+BB241+BB242+BB243</f>
        <v/>
      </c>
      <c r="BC244" s="1404">
        <f>BC238+BC241+BC242+BC243</f>
        <v/>
      </c>
      <c r="BD244" s="1405">
        <f>BD238+BD241+BD242+BD243</f>
        <v/>
      </c>
      <c r="BE244" s="1404">
        <f>BE238+BE241+BE242+BE243</f>
        <v/>
      </c>
      <c r="BF244" s="1404">
        <f>BF238+BF241+BF242+BF243</f>
        <v/>
      </c>
      <c r="BG244" s="1404">
        <f>BG238+BG241+BG242+BG243</f>
        <v/>
      </c>
      <c r="BH244" s="1404">
        <f>BH238+BH241+BH242+BH243</f>
        <v/>
      </c>
      <c r="BI244" s="1405">
        <f>BI238+BI241+BI242+BI243</f>
        <v/>
      </c>
      <c r="BJ244" s="1404">
        <f>BJ238+BJ241+BJ242+BJ243</f>
        <v/>
      </c>
      <c r="BK244" s="1404">
        <f>BK238+BK241+BK242+BK243</f>
        <v/>
      </c>
      <c r="BL244" s="1404">
        <f>BL238+BL241+BL242+BL243</f>
        <v/>
      </c>
      <c r="BM244" s="1404">
        <f>BM238+BM241+BM242+BM243</f>
        <v/>
      </c>
      <c r="BN244" s="1405">
        <f>BN238+BN241+BN242+BN243</f>
        <v/>
      </c>
      <c r="BO244" s="1404">
        <f>BO238+BO241+BO242+BO243</f>
        <v/>
      </c>
      <c r="BP244" s="1404">
        <f>BP238+BP241+BP242+BP243</f>
        <v/>
      </c>
      <c r="BQ244" s="1536">
        <f>BQ238+BQ241+BQ242+BQ243</f>
        <v/>
      </c>
      <c r="BR244" s="1404" t="n"/>
      <c r="BS244" s="1405" t="n"/>
      <c r="BT244" s="1404" t="n"/>
      <c r="BU244" s="1404" t="n"/>
      <c r="BV244" s="1404" t="n"/>
      <c r="BW244" s="1404" t="n"/>
      <c r="BX244" s="1405" t="n"/>
      <c r="BY244" s="1405" t="n"/>
      <c r="BZ244" s="1405" t="n"/>
      <c r="CA244" s="1405" t="n"/>
      <c r="CB244" s="1375" t="n"/>
    </row>
    <row r="245" hidden="1" outlineLevel="3" ht="14.4" customFormat="1" customHeight="1" s="1372">
      <c r="A245" s="1447" t="n"/>
      <c r="B245" s="1448" t="n"/>
      <c r="C245" s="1449" t="n"/>
      <c r="D245" s="1449" t="n"/>
      <c r="E245" s="1449" t="n"/>
      <c r="F245" s="1449" t="n"/>
      <c r="G245" s="1450" t="n"/>
      <c r="H245" s="1450" t="n"/>
      <c r="I245" s="1450" t="n"/>
      <c r="J245" s="1450" t="n"/>
      <c r="K245" s="1449" t="n"/>
      <c r="L245" s="1450" t="n"/>
      <c r="M245" s="1450" t="n"/>
      <c r="N245" s="1450" t="n"/>
      <c r="O245" s="1450" t="n"/>
      <c r="P245" s="1449" t="n"/>
      <c r="Q245" s="1450" t="n"/>
      <c r="R245" s="1450" t="n"/>
      <c r="S245" s="1450" t="n"/>
      <c r="T245" s="1450" t="n"/>
      <c r="U245" s="1449" t="n"/>
      <c r="V245" s="1450" t="n"/>
      <c r="W245" s="1450" t="n"/>
      <c r="X245" s="1450" t="n"/>
      <c r="Y245" s="1450" t="n"/>
      <c r="Z245" s="1449" t="n"/>
      <c r="AA245" s="1450" t="n"/>
      <c r="AB245" s="1450" t="n"/>
      <c r="AC245" s="1450" t="n"/>
      <c r="AD245" s="1450" t="n"/>
      <c r="AE245" s="1449" t="n"/>
      <c r="AF245" s="1450" t="n"/>
      <c r="AG245" s="1450" t="n"/>
      <c r="AH245" s="1450" t="n"/>
      <c r="AI245" s="1450" t="n"/>
      <c r="AJ245" s="1449" t="n"/>
      <c r="AK245" s="1450" t="n"/>
      <c r="AL245" s="1450" t="n"/>
      <c r="AM245" s="1450" t="n"/>
      <c r="AN245" s="1450" t="n"/>
      <c r="AO245" s="1449" t="n"/>
      <c r="AP245" s="1450" t="n"/>
      <c r="AQ245" s="1450" t="n"/>
      <c r="AR245" s="1450" t="n"/>
      <c r="AS245" s="1450" t="n"/>
      <c r="AT245" s="1449" t="n"/>
      <c r="AU245" s="1450" t="n"/>
      <c r="AV245" s="1450" t="n"/>
      <c r="AW245" s="1450" t="n"/>
      <c r="AX245" s="1450" t="n"/>
      <c r="AY245" s="1449" t="n"/>
      <c r="AZ245" s="1450" t="n"/>
      <c r="BA245" s="1450" t="n"/>
      <c r="BB245" s="1450" t="n"/>
      <c r="BC245" s="1450" t="n"/>
      <c r="BD245" s="1449" t="n"/>
      <c r="BE245" s="1450" t="n"/>
      <c r="BF245" s="1450" t="n"/>
      <c r="BG245" s="1450" t="n"/>
      <c r="BH245" s="1450" t="n"/>
      <c r="BI245" s="1449" t="n"/>
      <c r="BJ245" s="1450" t="n"/>
      <c r="BK245" s="1450" t="n"/>
      <c r="BL245" s="1450" t="n"/>
      <c r="BM245" s="1450" t="n"/>
      <c r="BN245" s="1449" t="n"/>
      <c r="BO245" s="1450" t="n"/>
      <c r="BP245" s="1450" t="n"/>
      <c r="BQ245" s="1451" t="n"/>
      <c r="BR245" s="1450" t="n"/>
      <c r="BS245" s="1449" t="n"/>
      <c r="BT245" s="1450" t="n"/>
      <c r="BU245" s="1450" t="n"/>
      <c r="BV245" s="1450" t="n"/>
      <c r="BW245" s="1450" t="n"/>
      <c r="BX245" s="1449" t="n"/>
      <c r="BY245" s="1449" t="n"/>
      <c r="BZ245" s="1449" t="n"/>
      <c r="CA245" s="1449" t="n"/>
      <c r="CB245" s="1375" t="n"/>
    </row>
    <row r="246" hidden="1" outlineLevel="3" ht="14.4" customFormat="1" customHeight="1" s="1460">
      <c r="A246" s="1519" t="inlineStr">
        <is>
          <t>United States revenue mix, %</t>
        </is>
      </c>
      <c r="B246" s="1462" t="n"/>
      <c r="C246" s="1463">
        <f>C236/C$244</f>
        <v/>
      </c>
      <c r="D246" s="1463">
        <f>D236/D$244</f>
        <v/>
      </c>
      <c r="E246" s="1463">
        <f>E236/E$244</f>
        <v/>
      </c>
      <c r="F246" s="1463">
        <f>F236/F$244</f>
        <v/>
      </c>
      <c r="G246" s="1466">
        <f>G236/G$244</f>
        <v/>
      </c>
      <c r="H246" s="1466">
        <f>H236/H$244</f>
        <v/>
      </c>
      <c r="I246" s="1466">
        <f>I236/I$244</f>
        <v/>
      </c>
      <c r="J246" s="1466">
        <f>J236/J$244</f>
        <v/>
      </c>
      <c r="K246" s="1463">
        <f>K236/K$244</f>
        <v/>
      </c>
      <c r="L246" s="1466">
        <f>L236/L$244</f>
        <v/>
      </c>
      <c r="M246" s="1466">
        <f>M236/M$244</f>
        <v/>
      </c>
      <c r="N246" s="1466">
        <f>N236/N$244</f>
        <v/>
      </c>
      <c r="O246" s="1466">
        <f>O236/O$244</f>
        <v/>
      </c>
      <c r="P246" s="1463">
        <f>P236/P$244</f>
        <v/>
      </c>
      <c r="Q246" s="1466">
        <f>Q236/Q$244</f>
        <v/>
      </c>
      <c r="R246" s="1466">
        <f>R236/R$244</f>
        <v/>
      </c>
      <c r="S246" s="1466">
        <f>S236/S$244</f>
        <v/>
      </c>
      <c r="T246" s="1466">
        <f>T236/T$244</f>
        <v/>
      </c>
      <c r="U246" s="1463">
        <f>U236/U$244</f>
        <v/>
      </c>
      <c r="V246" s="1466">
        <f>V236/V$244</f>
        <v/>
      </c>
      <c r="W246" s="1466">
        <f>W236/W$244</f>
        <v/>
      </c>
      <c r="X246" s="1466">
        <f>X236/X$244</f>
        <v/>
      </c>
      <c r="Y246" s="1466">
        <f>Y236/Y$244</f>
        <v/>
      </c>
      <c r="Z246" s="1463">
        <f>Z236/Z$244</f>
        <v/>
      </c>
      <c r="AA246" s="1466">
        <f>AA236/AA$244</f>
        <v/>
      </c>
      <c r="AB246" s="1466">
        <f>AB236/AB$244</f>
        <v/>
      </c>
      <c r="AC246" s="1466">
        <f>AC236/AC$244</f>
        <v/>
      </c>
      <c r="AD246" s="1466">
        <f>AD236/AD$244</f>
        <v/>
      </c>
      <c r="AE246" s="1463">
        <f>AE236/AE$244</f>
        <v/>
      </c>
      <c r="AF246" s="1466">
        <f>AF236/AF$244</f>
        <v/>
      </c>
      <c r="AG246" s="1466">
        <f>AG236/AG$244</f>
        <v/>
      </c>
      <c r="AH246" s="1466">
        <f>AH236/AH$244</f>
        <v/>
      </c>
      <c r="AI246" s="1466">
        <f>AI236/AI$244</f>
        <v/>
      </c>
      <c r="AJ246" s="1463">
        <f>AJ236/AJ$244</f>
        <v/>
      </c>
      <c r="AK246" s="1466">
        <f>AK236/AK$244</f>
        <v/>
      </c>
      <c r="AL246" s="1466">
        <f>AL236/AL$244</f>
        <v/>
      </c>
      <c r="AM246" s="1466">
        <f>AM236/AM$244</f>
        <v/>
      </c>
      <c r="AN246" s="1466">
        <f>AN236/AN$244</f>
        <v/>
      </c>
      <c r="AO246" s="1463">
        <f>AO236/AO$244</f>
        <v/>
      </c>
      <c r="AP246" s="1466">
        <f>AP236/AP$244</f>
        <v/>
      </c>
      <c r="AQ246" s="1466">
        <f>AQ236/AQ$244</f>
        <v/>
      </c>
      <c r="AR246" s="1466">
        <f>AR236/AR$244</f>
        <v/>
      </c>
      <c r="AS246" s="1466">
        <f>AS236/AS$244</f>
        <v/>
      </c>
      <c r="AT246" s="1463">
        <f>AT236/AT$244</f>
        <v/>
      </c>
      <c r="AU246" s="1466">
        <f>AU236/AU$244</f>
        <v/>
      </c>
      <c r="AV246" s="1466">
        <f>AV236/AV$244</f>
        <v/>
      </c>
      <c r="AW246" s="1466">
        <f>AW236/AW$244</f>
        <v/>
      </c>
      <c r="AX246" s="1466">
        <f>AX236/AX$244</f>
        <v/>
      </c>
      <c r="AY246" s="1463">
        <f>AY236/AY$244</f>
        <v/>
      </c>
      <c r="AZ246" s="1466">
        <f>AZ236/AZ$244</f>
        <v/>
      </c>
      <c r="BA246" s="1466">
        <f>BA236/BA$244</f>
        <v/>
      </c>
      <c r="BB246" s="1466">
        <f>BB236/BB$244</f>
        <v/>
      </c>
      <c r="BC246" s="1466">
        <f>BC236/BC$244</f>
        <v/>
      </c>
      <c r="BD246" s="1463">
        <f>BD236/BD$244</f>
        <v/>
      </c>
      <c r="BE246" s="1466">
        <f>BE236/BE$244</f>
        <v/>
      </c>
      <c r="BF246" s="1466">
        <f>BF236/BF$244</f>
        <v/>
      </c>
      <c r="BG246" s="1466">
        <f>BG236/BG$244</f>
        <v/>
      </c>
      <c r="BH246" s="1466">
        <f>BH236/BH$244</f>
        <v/>
      </c>
      <c r="BI246" s="1463">
        <f>BI236/BI$244</f>
        <v/>
      </c>
      <c r="BJ246" s="1466">
        <f>BJ236/BJ$244</f>
        <v/>
      </c>
      <c r="BK246" s="1466">
        <f>BK236/BK$244</f>
        <v/>
      </c>
      <c r="BL246" s="1466">
        <f>BL236/BL$244</f>
        <v/>
      </c>
      <c r="BM246" s="1466">
        <f>BM236/BM$244</f>
        <v/>
      </c>
      <c r="BN246" s="1463">
        <f>BN236/BN$244</f>
        <v/>
      </c>
      <c r="BO246" s="1466">
        <f>BO236/BO$244</f>
        <v/>
      </c>
      <c r="BP246" s="1466">
        <f>BP236/BP$244</f>
        <v/>
      </c>
      <c r="BQ246" s="1491">
        <f>BQ236/BQ$244</f>
        <v/>
      </c>
      <c r="BR246" s="1466" t="n"/>
      <c r="BS246" s="1463" t="n"/>
      <c r="BT246" s="1466" t="n"/>
      <c r="BU246" s="1466" t="n"/>
      <c r="BV246" s="1466" t="n"/>
      <c r="BW246" s="1466" t="n"/>
      <c r="BX246" s="1463" t="n"/>
      <c r="BY246" s="1463" t="n"/>
      <c r="BZ246" s="1463" t="n"/>
      <c r="CA246" s="1463" t="n"/>
      <c r="CB246" s="1465" t="n"/>
    </row>
    <row r="247" hidden="1" outlineLevel="3" ht="14.4" customFormat="1" customHeight="1" s="1460">
      <c r="A247" s="1523" t="inlineStr">
        <is>
          <t>Other Americas revenue mix, %</t>
        </is>
      </c>
      <c r="B247" s="1524" t="n"/>
      <c r="C247" s="1525">
        <f>C237/C$244</f>
        <v/>
      </c>
      <c r="D247" s="1525">
        <f>D237/D$244</f>
        <v/>
      </c>
      <c r="E247" s="1525">
        <f>E237/E$244</f>
        <v/>
      </c>
      <c r="F247" s="1525">
        <f>F237/F$244</f>
        <v/>
      </c>
      <c r="G247" s="1526">
        <f>G237/G$244</f>
        <v/>
      </c>
      <c r="H247" s="1526">
        <f>H237/H$244</f>
        <v/>
      </c>
      <c r="I247" s="1526">
        <f>I237/I$244</f>
        <v/>
      </c>
      <c r="J247" s="1526">
        <f>J237/J$244</f>
        <v/>
      </c>
      <c r="K247" s="1525">
        <f>K237/K$244</f>
        <v/>
      </c>
      <c r="L247" s="1526">
        <f>L237/L$244</f>
        <v/>
      </c>
      <c r="M247" s="1526">
        <f>M237/M$244</f>
        <v/>
      </c>
      <c r="N247" s="1526">
        <f>N237/N$244</f>
        <v/>
      </c>
      <c r="O247" s="1526">
        <f>O237/O$244</f>
        <v/>
      </c>
      <c r="P247" s="1525">
        <f>P237/P$244</f>
        <v/>
      </c>
      <c r="Q247" s="1526">
        <f>Q237/Q$244</f>
        <v/>
      </c>
      <c r="R247" s="1526">
        <f>R237/R$244</f>
        <v/>
      </c>
      <c r="S247" s="1526">
        <f>S237/S$244</f>
        <v/>
      </c>
      <c r="T247" s="1526">
        <f>T237/T$244</f>
        <v/>
      </c>
      <c r="U247" s="1525">
        <f>U237/U$244</f>
        <v/>
      </c>
      <c r="V247" s="1526">
        <f>V237/V$244</f>
        <v/>
      </c>
      <c r="W247" s="1526">
        <f>W237/W$244</f>
        <v/>
      </c>
      <c r="X247" s="1526">
        <f>X237/X$244</f>
        <v/>
      </c>
      <c r="Y247" s="1526">
        <f>Y237/Y$244</f>
        <v/>
      </c>
      <c r="Z247" s="1525">
        <f>Z237/Z$244</f>
        <v/>
      </c>
      <c r="AA247" s="1526">
        <f>AA237/AA$244</f>
        <v/>
      </c>
      <c r="AB247" s="1526">
        <f>AB237/AB$244</f>
        <v/>
      </c>
      <c r="AC247" s="1526">
        <f>AC237/AC$244</f>
        <v/>
      </c>
      <c r="AD247" s="1526">
        <f>AD237/AD$244</f>
        <v/>
      </c>
      <c r="AE247" s="1525">
        <f>AE237/AE$244</f>
        <v/>
      </c>
      <c r="AF247" s="1526">
        <f>AF237/AF$244</f>
        <v/>
      </c>
      <c r="AG247" s="1526">
        <f>AG237/AG$244</f>
        <v/>
      </c>
      <c r="AH247" s="1526">
        <f>AH237/AH$244</f>
        <v/>
      </c>
      <c r="AI247" s="1526">
        <f>AI237/AI$244</f>
        <v/>
      </c>
      <c r="AJ247" s="1525">
        <f>AJ237/AJ$244</f>
        <v/>
      </c>
      <c r="AK247" s="1526">
        <f>AK237/AK$244</f>
        <v/>
      </c>
      <c r="AL247" s="1526">
        <f>AL237/AL$244</f>
        <v/>
      </c>
      <c r="AM247" s="1526">
        <f>AM237/AM$244</f>
        <v/>
      </c>
      <c r="AN247" s="1526">
        <f>AN237/AN$244</f>
        <v/>
      </c>
      <c r="AO247" s="1525">
        <f>AO237/AO$244</f>
        <v/>
      </c>
      <c r="AP247" s="1526">
        <f>AP237/AP$244</f>
        <v/>
      </c>
      <c r="AQ247" s="1526">
        <f>AQ237/AQ$244</f>
        <v/>
      </c>
      <c r="AR247" s="1526">
        <f>AR237/AR$244</f>
        <v/>
      </c>
      <c r="AS247" s="1526">
        <f>AS237/AS$244</f>
        <v/>
      </c>
      <c r="AT247" s="1525">
        <f>AT237/AT$244</f>
        <v/>
      </c>
      <c r="AU247" s="1526">
        <f>AU237/AU$244</f>
        <v/>
      </c>
      <c r="AV247" s="1526">
        <f>AV237/AV$244</f>
        <v/>
      </c>
      <c r="AW247" s="1526">
        <f>AW237/AW$244</f>
        <v/>
      </c>
      <c r="AX247" s="1526">
        <f>AX237/AX$244</f>
        <v/>
      </c>
      <c r="AY247" s="1525">
        <f>AY237/AY$244</f>
        <v/>
      </c>
      <c r="AZ247" s="1526">
        <f>AZ237/AZ$244</f>
        <v/>
      </c>
      <c r="BA247" s="1526">
        <f>BA237/BA$244</f>
        <v/>
      </c>
      <c r="BB247" s="1526">
        <f>BB237/BB$244</f>
        <v/>
      </c>
      <c r="BC247" s="1526">
        <f>BC237/BC$244</f>
        <v/>
      </c>
      <c r="BD247" s="1525">
        <f>BD237/BD$244</f>
        <v/>
      </c>
      <c r="BE247" s="1526">
        <f>BE237/BE$244</f>
        <v/>
      </c>
      <c r="BF247" s="1526">
        <f>BF237/BF$244</f>
        <v/>
      </c>
      <c r="BG247" s="1526">
        <f>BG237/BG$244</f>
        <v/>
      </c>
      <c r="BH247" s="1526">
        <f>BH237/BH$244</f>
        <v/>
      </c>
      <c r="BI247" s="1525">
        <f>BI237/BI$244</f>
        <v/>
      </c>
      <c r="BJ247" s="1526">
        <f>BJ237/BJ$244</f>
        <v/>
      </c>
      <c r="BK247" s="1526">
        <f>BK237/BK$244</f>
        <v/>
      </c>
      <c r="BL247" s="1526">
        <f>BL237/BL$244</f>
        <v/>
      </c>
      <c r="BM247" s="1526">
        <f>BM237/BM$244</f>
        <v/>
      </c>
      <c r="BN247" s="1525">
        <f>BN237/BN$244</f>
        <v/>
      </c>
      <c r="BO247" s="1526">
        <f>BO237/BO$244</f>
        <v/>
      </c>
      <c r="BP247" s="1526">
        <f>BP237/BP$244</f>
        <v/>
      </c>
      <c r="BQ247" s="1537">
        <f>BQ237/BQ$244</f>
        <v/>
      </c>
      <c r="BR247" s="1526" t="n"/>
      <c r="BS247" s="1525" t="n"/>
      <c r="BT247" s="1526" t="n"/>
      <c r="BU247" s="1526" t="n"/>
      <c r="BV247" s="1526" t="n"/>
      <c r="BW247" s="1526" t="n"/>
      <c r="BX247" s="1525" t="n"/>
      <c r="BY247" s="1525" t="n"/>
      <c r="BZ247" s="1525" t="n"/>
      <c r="CA247" s="1525" t="n"/>
      <c r="CB247" s="1465" t="n"/>
    </row>
    <row r="248" hidden="1" outlineLevel="3" ht="14.4" customFormat="1" customHeight="1" s="1460">
      <c r="A248" s="1486" t="inlineStr">
        <is>
          <t>Total Americas revenue mix, %</t>
        </is>
      </c>
      <c r="B248" s="1462" t="n"/>
      <c r="C248" s="1463">
        <f>C238/C$244</f>
        <v/>
      </c>
      <c r="D248" s="1463">
        <f>D238/D$244</f>
        <v/>
      </c>
      <c r="E248" s="1463">
        <f>E238/E$244</f>
        <v/>
      </c>
      <c r="F248" s="1463">
        <f>F238/F$244</f>
        <v/>
      </c>
      <c r="G248" s="1466">
        <f>G238/G$244</f>
        <v/>
      </c>
      <c r="H248" s="1466">
        <f>H238/H$244</f>
        <v/>
      </c>
      <c r="I248" s="1466">
        <f>I238/I$244</f>
        <v/>
      </c>
      <c r="J248" s="1466">
        <f>J238/J$244</f>
        <v/>
      </c>
      <c r="K248" s="1463">
        <f>K238/K$244</f>
        <v/>
      </c>
      <c r="L248" s="1466">
        <f>L238/L$244</f>
        <v/>
      </c>
      <c r="M248" s="1466">
        <f>M238/M$244</f>
        <v/>
      </c>
      <c r="N248" s="1466">
        <f>N238/N$244</f>
        <v/>
      </c>
      <c r="O248" s="1466">
        <f>O238/O$244</f>
        <v/>
      </c>
      <c r="P248" s="1463">
        <f>P238/P$244</f>
        <v/>
      </c>
      <c r="Q248" s="1466">
        <f>Q238/Q$244</f>
        <v/>
      </c>
      <c r="R248" s="1466">
        <f>R238/R$244</f>
        <v/>
      </c>
      <c r="S248" s="1466">
        <f>S238/S$244</f>
        <v/>
      </c>
      <c r="T248" s="1466">
        <f>T238/T$244</f>
        <v/>
      </c>
      <c r="U248" s="1463">
        <f>U238/U$244</f>
        <v/>
      </c>
      <c r="V248" s="1466">
        <f>V238/V$244</f>
        <v/>
      </c>
      <c r="W248" s="1466">
        <f>W238/W$244</f>
        <v/>
      </c>
      <c r="X248" s="1466">
        <f>X238/X$244</f>
        <v/>
      </c>
      <c r="Y248" s="1466">
        <f>Y238/Y$244</f>
        <v/>
      </c>
      <c r="Z248" s="1463">
        <f>Z238/Z$244</f>
        <v/>
      </c>
      <c r="AA248" s="1466">
        <f>AA238/AA$244</f>
        <v/>
      </c>
      <c r="AB248" s="1466">
        <f>AB238/AB$244</f>
        <v/>
      </c>
      <c r="AC248" s="1466">
        <f>AC238/AC$244</f>
        <v/>
      </c>
      <c r="AD248" s="1466">
        <f>AD238/AD$244</f>
        <v/>
      </c>
      <c r="AE248" s="1463">
        <f>AE238/AE$244</f>
        <v/>
      </c>
      <c r="AF248" s="1466">
        <f>AF238/AF$244</f>
        <v/>
      </c>
      <c r="AG248" s="1466">
        <f>AG238/AG$244</f>
        <v/>
      </c>
      <c r="AH248" s="1466">
        <f>AH238/AH$244</f>
        <v/>
      </c>
      <c r="AI248" s="1466">
        <f>AI238/AI$244</f>
        <v/>
      </c>
      <c r="AJ248" s="1463">
        <f>AJ238/AJ$244</f>
        <v/>
      </c>
      <c r="AK248" s="1466">
        <f>AK238/AK$244</f>
        <v/>
      </c>
      <c r="AL248" s="1466">
        <f>AL238/AL$244</f>
        <v/>
      </c>
      <c r="AM248" s="1466">
        <f>AM238/AM$244</f>
        <v/>
      </c>
      <c r="AN248" s="1466">
        <f>AN238/AN$244</f>
        <v/>
      </c>
      <c r="AO248" s="1463">
        <f>AO238/AO$244</f>
        <v/>
      </c>
      <c r="AP248" s="1466">
        <f>AP238/AP$244</f>
        <v/>
      </c>
      <c r="AQ248" s="1466">
        <f>AQ238/AQ$244</f>
        <v/>
      </c>
      <c r="AR248" s="1466">
        <f>AR238/AR$244</f>
        <v/>
      </c>
      <c r="AS248" s="1466">
        <f>AS238/AS$244</f>
        <v/>
      </c>
      <c r="AT248" s="1463">
        <f>AT238/AT$244</f>
        <v/>
      </c>
      <c r="AU248" s="1466">
        <f>AU238/AU$244</f>
        <v/>
      </c>
      <c r="AV248" s="1466">
        <f>AV238/AV$244</f>
        <v/>
      </c>
      <c r="AW248" s="1466">
        <f>AW238/AW$244</f>
        <v/>
      </c>
      <c r="AX248" s="1466">
        <f>AX238/AX$244</f>
        <v/>
      </c>
      <c r="AY248" s="1463">
        <f>AY238/AY$244</f>
        <v/>
      </c>
      <c r="AZ248" s="1466">
        <f>AZ238/AZ$244</f>
        <v/>
      </c>
      <c r="BA248" s="1466">
        <f>BA238/BA$244</f>
        <v/>
      </c>
      <c r="BB248" s="1466">
        <f>BB238/BB$244</f>
        <v/>
      </c>
      <c r="BC248" s="1466">
        <f>BC238/BC$244</f>
        <v/>
      </c>
      <c r="BD248" s="1463">
        <f>BD238/BD$244</f>
        <v/>
      </c>
      <c r="BE248" s="1466">
        <f>BE238/BE$244</f>
        <v/>
      </c>
      <c r="BF248" s="1466">
        <f>BF238/BF$244</f>
        <v/>
      </c>
      <c r="BG248" s="1466">
        <f>BG238/BG$244</f>
        <v/>
      </c>
      <c r="BH248" s="1466">
        <f>BH238/BH$244</f>
        <v/>
      </c>
      <c r="BI248" s="1463">
        <f>BI238/BI$244</f>
        <v/>
      </c>
      <c r="BJ248" s="1466">
        <f>BJ238/BJ$244</f>
        <v/>
      </c>
      <c r="BK248" s="1466">
        <f>BK238/BK$244</f>
        <v/>
      </c>
      <c r="BL248" s="1466">
        <f>BL238/BL$244</f>
        <v/>
      </c>
      <c r="BM248" s="1466">
        <f>BM238/BM$244</f>
        <v/>
      </c>
      <c r="BN248" s="1463">
        <f>BN238/BN$244</f>
        <v/>
      </c>
      <c r="BO248" s="1466">
        <f>BO238/BO$244</f>
        <v/>
      </c>
      <c r="BP248" s="1466">
        <f>BP238/BP$244</f>
        <v/>
      </c>
      <c r="BQ248" s="1491">
        <f>BQ238/BQ$244</f>
        <v/>
      </c>
      <c r="BR248" s="1466" t="n"/>
      <c r="BS248" s="1463" t="n"/>
      <c r="BT248" s="1466" t="n"/>
      <c r="BU248" s="1466" t="n"/>
      <c r="BV248" s="1466" t="n"/>
      <c r="BW248" s="1466" t="n"/>
      <c r="BX248" s="1463" t="n"/>
      <c r="BY248" s="1463" t="n"/>
      <c r="BZ248" s="1463" t="n"/>
      <c r="CA248" s="1463" t="n"/>
      <c r="CB248" s="1465" t="n"/>
    </row>
    <row r="249" hidden="1" outlineLevel="3" ht="14.4" customFormat="1" customHeight="1" s="1460">
      <c r="A249" s="1519" t="inlineStr">
        <is>
          <t>China revenue mix, %</t>
        </is>
      </c>
      <c r="B249" s="1462" t="n"/>
      <c r="C249" s="1463">
        <f>C239/C$244</f>
        <v/>
      </c>
      <c r="D249" s="1463">
        <f>D239/D$244</f>
        <v/>
      </c>
      <c r="E249" s="1463">
        <f>E239/E$244</f>
        <v/>
      </c>
      <c r="F249" s="1463">
        <f>F239/F$244</f>
        <v/>
      </c>
      <c r="G249" s="1466">
        <f>G239/G$244</f>
        <v/>
      </c>
      <c r="H249" s="1466">
        <f>H239/H$244</f>
        <v/>
      </c>
      <c r="I249" s="1466">
        <f>I239/I$244</f>
        <v/>
      </c>
      <c r="J249" s="1466">
        <f>J239/J$244</f>
        <v/>
      </c>
      <c r="K249" s="1463">
        <f>K239/K$244</f>
        <v/>
      </c>
      <c r="L249" s="1466">
        <f>L239/L$244</f>
        <v/>
      </c>
      <c r="M249" s="1466">
        <f>M239/M$244</f>
        <v/>
      </c>
      <c r="N249" s="1466">
        <f>N239/N$244</f>
        <v/>
      </c>
      <c r="O249" s="1466">
        <f>O239/O$244</f>
        <v/>
      </c>
      <c r="P249" s="1463">
        <f>P239/P$244</f>
        <v/>
      </c>
      <c r="Q249" s="1466">
        <f>Q239/Q$244</f>
        <v/>
      </c>
      <c r="R249" s="1466">
        <f>R239/R$244</f>
        <v/>
      </c>
      <c r="S249" s="1466">
        <f>S239/S$244</f>
        <v/>
      </c>
      <c r="T249" s="1466">
        <f>T239/T$244</f>
        <v/>
      </c>
      <c r="U249" s="1463">
        <f>U239/U$244</f>
        <v/>
      </c>
      <c r="V249" s="1466">
        <f>V239/V$244</f>
        <v/>
      </c>
      <c r="W249" s="1466">
        <f>W239/W$244</f>
        <v/>
      </c>
      <c r="X249" s="1466">
        <f>X239/X$244</f>
        <v/>
      </c>
      <c r="Y249" s="1466">
        <f>Y239/Y$244</f>
        <v/>
      </c>
      <c r="Z249" s="1463">
        <f>Z239/Z$244</f>
        <v/>
      </c>
      <c r="AA249" s="1466">
        <f>AA239/AA$244</f>
        <v/>
      </c>
      <c r="AB249" s="1466">
        <f>AB239/AB$244</f>
        <v/>
      </c>
      <c r="AC249" s="1466">
        <f>AC239/AC$244</f>
        <v/>
      </c>
      <c r="AD249" s="1466">
        <f>AD239/AD$244</f>
        <v/>
      </c>
      <c r="AE249" s="1463">
        <f>AE239/AE$244</f>
        <v/>
      </c>
      <c r="AF249" s="1466">
        <f>AF239/AF$244</f>
        <v/>
      </c>
      <c r="AG249" s="1466">
        <f>AG239/AG$244</f>
        <v/>
      </c>
      <c r="AH249" s="1466">
        <f>AH239/AH$244</f>
        <v/>
      </c>
      <c r="AI249" s="1466">
        <f>AI239/AI$244</f>
        <v/>
      </c>
      <c r="AJ249" s="1463">
        <f>AJ239/AJ$244</f>
        <v/>
      </c>
      <c r="AK249" s="1466">
        <f>AK239/AK$244</f>
        <v/>
      </c>
      <c r="AL249" s="1466">
        <f>AL239/AL$244</f>
        <v/>
      </c>
      <c r="AM249" s="1466">
        <f>AM239/AM$244</f>
        <v/>
      </c>
      <c r="AN249" s="1466">
        <f>AN239/AN$244</f>
        <v/>
      </c>
      <c r="AO249" s="1463">
        <f>AO239/AO$244</f>
        <v/>
      </c>
      <c r="AP249" s="1466">
        <f>AP239/AP$244</f>
        <v/>
      </c>
      <c r="AQ249" s="1466">
        <f>AQ239/AQ$244</f>
        <v/>
      </c>
      <c r="AR249" s="1466">
        <f>AR239/AR$244</f>
        <v/>
      </c>
      <c r="AS249" s="1466">
        <f>AS239/AS$244</f>
        <v/>
      </c>
      <c r="AT249" s="1463">
        <f>AT239/AT$244</f>
        <v/>
      </c>
      <c r="AU249" s="1466">
        <f>AU239/AU$244</f>
        <v/>
      </c>
      <c r="AV249" s="1466">
        <f>AV239/AV$244</f>
        <v/>
      </c>
      <c r="AW249" s="1466">
        <f>AW239/AW$244</f>
        <v/>
      </c>
      <c r="AX249" s="1466">
        <f>AX239/AX$244</f>
        <v/>
      </c>
      <c r="AY249" s="1463">
        <f>AY239/AY$244</f>
        <v/>
      </c>
      <c r="AZ249" s="1466">
        <f>AZ239/AZ$244</f>
        <v/>
      </c>
      <c r="BA249" s="1466">
        <f>BA239/BA$244</f>
        <v/>
      </c>
      <c r="BB249" s="1466">
        <f>BB239/BB$244</f>
        <v/>
      </c>
      <c r="BC249" s="1466">
        <f>BC239/BC$244</f>
        <v/>
      </c>
      <c r="BD249" s="1463">
        <f>BD239/BD$244</f>
        <v/>
      </c>
      <c r="BE249" s="1466">
        <f>BE239/BE$244</f>
        <v/>
      </c>
      <c r="BF249" s="1466">
        <f>BF239/BF$244</f>
        <v/>
      </c>
      <c r="BG249" s="1466">
        <f>BG239/BG$244</f>
        <v/>
      </c>
      <c r="BH249" s="1466">
        <f>BH239/BH$244</f>
        <v/>
      </c>
      <c r="BI249" s="1463">
        <f>BI239/BI$244</f>
        <v/>
      </c>
      <c r="BJ249" s="1466">
        <f>BJ239/BJ$244</f>
        <v/>
      </c>
      <c r="BK249" s="1466">
        <f>BK239/BK$244</f>
        <v/>
      </c>
      <c r="BL249" s="1466">
        <f>BL239/BL$244</f>
        <v/>
      </c>
      <c r="BM249" s="1466">
        <f>BM239/BM$244</f>
        <v/>
      </c>
      <c r="BN249" s="1463">
        <f>BN239/BN$244</f>
        <v/>
      </c>
      <c r="BO249" s="1466">
        <f>BO239/BO$244</f>
        <v/>
      </c>
      <c r="BP249" s="1466">
        <f>BP239/BP$244</f>
        <v/>
      </c>
      <c r="BQ249" s="1491">
        <f>BQ239/BQ$244</f>
        <v/>
      </c>
      <c r="BR249" s="1466" t="n"/>
      <c r="BS249" s="1463" t="n"/>
      <c r="BT249" s="1466" t="n"/>
      <c r="BU249" s="1466" t="n"/>
      <c r="BV249" s="1466" t="n"/>
      <c r="BW249" s="1466" t="n"/>
      <c r="BX249" s="1463" t="n"/>
      <c r="BY249" s="1463" t="n"/>
      <c r="BZ249" s="1463" t="n"/>
      <c r="CA249" s="1463" t="n"/>
      <c r="CB249" s="1465" t="n"/>
    </row>
    <row r="250" hidden="1" outlineLevel="3" ht="14.4" customFormat="1" customHeight="1" s="1460">
      <c r="A250" s="1523" t="inlineStr">
        <is>
          <t>Other Asia revenue mix, %</t>
        </is>
      </c>
      <c r="B250" s="1524" t="n"/>
      <c r="C250" s="1525">
        <f>C240/C$244</f>
        <v/>
      </c>
      <c r="D250" s="1525">
        <f>D240/D$244</f>
        <v/>
      </c>
      <c r="E250" s="1525">
        <f>E240/E$244</f>
        <v/>
      </c>
      <c r="F250" s="1525">
        <f>F240/F$244</f>
        <v/>
      </c>
      <c r="G250" s="1526">
        <f>G240/G$244</f>
        <v/>
      </c>
      <c r="H250" s="1526">
        <f>H240/H$244</f>
        <v/>
      </c>
      <c r="I250" s="1526">
        <f>I240/I$244</f>
        <v/>
      </c>
      <c r="J250" s="1526">
        <f>J240/J$244</f>
        <v/>
      </c>
      <c r="K250" s="1525">
        <f>K240/K$244</f>
        <v/>
      </c>
      <c r="L250" s="1526">
        <f>L240/L$244</f>
        <v/>
      </c>
      <c r="M250" s="1526">
        <f>M240/M$244</f>
        <v/>
      </c>
      <c r="N250" s="1526">
        <f>N240/N$244</f>
        <v/>
      </c>
      <c r="O250" s="1526">
        <f>O240/O$244</f>
        <v/>
      </c>
      <c r="P250" s="1525">
        <f>P240/P$244</f>
        <v/>
      </c>
      <c r="Q250" s="1526">
        <f>Q240/Q$244</f>
        <v/>
      </c>
      <c r="R250" s="1526">
        <f>R240/R$244</f>
        <v/>
      </c>
      <c r="S250" s="1526">
        <f>S240/S$244</f>
        <v/>
      </c>
      <c r="T250" s="1526">
        <f>T240/T$244</f>
        <v/>
      </c>
      <c r="U250" s="1525">
        <f>U240/U$244</f>
        <v/>
      </c>
      <c r="V250" s="1526">
        <f>V240/V$244</f>
        <v/>
      </c>
      <c r="W250" s="1526">
        <f>W240/W$244</f>
        <v/>
      </c>
      <c r="X250" s="1526">
        <f>X240/X$244</f>
        <v/>
      </c>
      <c r="Y250" s="1526">
        <f>Y240/Y$244</f>
        <v/>
      </c>
      <c r="Z250" s="1525">
        <f>Z240/Z$244</f>
        <v/>
      </c>
      <c r="AA250" s="1526">
        <f>AA240/AA$244</f>
        <v/>
      </c>
      <c r="AB250" s="1526">
        <f>AB240/AB$244</f>
        <v/>
      </c>
      <c r="AC250" s="1526">
        <f>AC240/AC$244</f>
        <v/>
      </c>
      <c r="AD250" s="1526">
        <f>AD240/AD$244</f>
        <v/>
      </c>
      <c r="AE250" s="1525">
        <f>AE240/AE$244</f>
        <v/>
      </c>
      <c r="AF250" s="1526">
        <f>AF240/AF$244</f>
        <v/>
      </c>
      <c r="AG250" s="1526">
        <f>AG240/AG$244</f>
        <v/>
      </c>
      <c r="AH250" s="1526">
        <f>AH240/AH$244</f>
        <v/>
      </c>
      <c r="AI250" s="1526">
        <f>AI240/AI$244</f>
        <v/>
      </c>
      <c r="AJ250" s="1525">
        <f>AJ240/AJ$244</f>
        <v/>
      </c>
      <c r="AK250" s="1526">
        <f>AK240/AK$244</f>
        <v/>
      </c>
      <c r="AL250" s="1526">
        <f>AL240/AL$244</f>
        <v/>
      </c>
      <c r="AM250" s="1526">
        <f>AM240/AM$244</f>
        <v/>
      </c>
      <c r="AN250" s="1526">
        <f>AN240/AN$244</f>
        <v/>
      </c>
      <c r="AO250" s="1525">
        <f>AO240/AO$244</f>
        <v/>
      </c>
      <c r="AP250" s="1526">
        <f>AP240/AP$244</f>
        <v/>
      </c>
      <c r="AQ250" s="1526">
        <f>AQ240/AQ$244</f>
        <v/>
      </c>
      <c r="AR250" s="1526">
        <f>AR240/AR$244</f>
        <v/>
      </c>
      <c r="AS250" s="1526">
        <f>AS240/AS$244</f>
        <v/>
      </c>
      <c r="AT250" s="1525">
        <f>AT240/AT$244</f>
        <v/>
      </c>
      <c r="AU250" s="1526">
        <f>AU240/AU$244</f>
        <v/>
      </c>
      <c r="AV250" s="1526">
        <f>AV240/AV$244</f>
        <v/>
      </c>
      <c r="AW250" s="1526">
        <f>AW240/AW$244</f>
        <v/>
      </c>
      <c r="AX250" s="1526">
        <f>AX240/AX$244</f>
        <v/>
      </c>
      <c r="AY250" s="1525">
        <f>AY240/AY$244</f>
        <v/>
      </c>
      <c r="AZ250" s="1526">
        <f>AZ240/AZ$244</f>
        <v/>
      </c>
      <c r="BA250" s="1526">
        <f>BA240/BA$244</f>
        <v/>
      </c>
      <c r="BB250" s="1526">
        <f>BB240/BB$244</f>
        <v/>
      </c>
      <c r="BC250" s="1526">
        <f>BC240/BC$244</f>
        <v/>
      </c>
      <c r="BD250" s="1525">
        <f>BD240/BD$244</f>
        <v/>
      </c>
      <c r="BE250" s="1526">
        <f>BE240/BE$244</f>
        <v/>
      </c>
      <c r="BF250" s="1526">
        <f>BF240/BF$244</f>
        <v/>
      </c>
      <c r="BG250" s="1526">
        <f>BG240/BG$244</f>
        <v/>
      </c>
      <c r="BH250" s="1526">
        <f>BH240/BH$244</f>
        <v/>
      </c>
      <c r="BI250" s="1525">
        <f>BI240/BI$244</f>
        <v/>
      </c>
      <c r="BJ250" s="1526">
        <f>BJ240/BJ$244</f>
        <v/>
      </c>
      <c r="BK250" s="1526">
        <f>BK240/BK$244</f>
        <v/>
      </c>
      <c r="BL250" s="1526">
        <f>BL240/BL$244</f>
        <v/>
      </c>
      <c r="BM250" s="1526">
        <f>BM240/BM$244</f>
        <v/>
      </c>
      <c r="BN250" s="1525">
        <f>BN240/BN$244</f>
        <v/>
      </c>
      <c r="BO250" s="1526">
        <f>BO240/BO$244</f>
        <v/>
      </c>
      <c r="BP250" s="1526">
        <f>BP240/BP$244</f>
        <v/>
      </c>
      <c r="BQ250" s="1537">
        <f>BQ240/BQ$244</f>
        <v/>
      </c>
      <c r="BR250" s="1526" t="n"/>
      <c r="BS250" s="1525" t="n"/>
      <c r="BT250" s="1526" t="n"/>
      <c r="BU250" s="1526" t="n"/>
      <c r="BV250" s="1526" t="n"/>
      <c r="BW250" s="1526" t="n"/>
      <c r="BX250" s="1525" t="n"/>
      <c r="BY250" s="1525" t="n"/>
      <c r="BZ250" s="1525" t="n"/>
      <c r="CA250" s="1525" t="n"/>
      <c r="CB250" s="1465" t="n"/>
    </row>
    <row r="251" hidden="1" outlineLevel="3" ht="14.4" customFormat="1" customHeight="1" s="1460">
      <c r="A251" s="1486" t="inlineStr">
        <is>
          <t>Total Asia revenue mix, %</t>
        </is>
      </c>
      <c r="B251" s="1462" t="n"/>
      <c r="C251" s="1463">
        <f>C241/C$244</f>
        <v/>
      </c>
      <c r="D251" s="1463">
        <f>D241/D$244</f>
        <v/>
      </c>
      <c r="E251" s="1463">
        <f>E241/E$244</f>
        <v/>
      </c>
      <c r="F251" s="1463">
        <f>F241/F$244</f>
        <v/>
      </c>
      <c r="G251" s="1466">
        <f>G241/G$244</f>
        <v/>
      </c>
      <c r="H251" s="1466">
        <f>H241/H$244</f>
        <v/>
      </c>
      <c r="I251" s="1466">
        <f>I241/I$244</f>
        <v/>
      </c>
      <c r="J251" s="1466">
        <f>J241/J$244</f>
        <v/>
      </c>
      <c r="K251" s="1463">
        <f>K241/K$244</f>
        <v/>
      </c>
      <c r="L251" s="1466">
        <f>L241/L$244</f>
        <v/>
      </c>
      <c r="M251" s="1466">
        <f>M241/M$244</f>
        <v/>
      </c>
      <c r="N251" s="1466">
        <f>N241/N$244</f>
        <v/>
      </c>
      <c r="O251" s="1466">
        <f>O241/O$244</f>
        <v/>
      </c>
      <c r="P251" s="1463">
        <f>P241/P$244</f>
        <v/>
      </c>
      <c r="Q251" s="1466">
        <f>Q241/Q$244</f>
        <v/>
      </c>
      <c r="R251" s="1466">
        <f>R241/R$244</f>
        <v/>
      </c>
      <c r="S251" s="1466">
        <f>S241/S$244</f>
        <v/>
      </c>
      <c r="T251" s="1466">
        <f>T241/T$244</f>
        <v/>
      </c>
      <c r="U251" s="1463">
        <f>U241/U$244</f>
        <v/>
      </c>
      <c r="V251" s="1466">
        <f>V241/V$244</f>
        <v/>
      </c>
      <c r="W251" s="1466">
        <f>W241/W$244</f>
        <v/>
      </c>
      <c r="X251" s="1466">
        <f>X241/X$244</f>
        <v/>
      </c>
      <c r="Y251" s="1466">
        <f>Y241/Y$244</f>
        <v/>
      </c>
      <c r="Z251" s="1463">
        <f>Z241/Z$244</f>
        <v/>
      </c>
      <c r="AA251" s="1466">
        <f>AA241/AA$244</f>
        <v/>
      </c>
      <c r="AB251" s="1466">
        <f>AB241/AB$244</f>
        <v/>
      </c>
      <c r="AC251" s="1466">
        <f>AC241/AC$244</f>
        <v/>
      </c>
      <c r="AD251" s="1466">
        <f>AD241/AD$244</f>
        <v/>
      </c>
      <c r="AE251" s="1463">
        <f>AE241/AE$244</f>
        <v/>
      </c>
      <c r="AF251" s="1466">
        <f>AF241/AF$244</f>
        <v/>
      </c>
      <c r="AG251" s="1466">
        <f>AG241/AG$244</f>
        <v/>
      </c>
      <c r="AH251" s="1466">
        <f>AH241/AH$244</f>
        <v/>
      </c>
      <c r="AI251" s="1466">
        <f>AI241/AI$244</f>
        <v/>
      </c>
      <c r="AJ251" s="1463">
        <f>AJ241/AJ$244</f>
        <v/>
      </c>
      <c r="AK251" s="1466">
        <f>AK241/AK$244</f>
        <v/>
      </c>
      <c r="AL251" s="1466">
        <f>AL241/AL$244</f>
        <v/>
      </c>
      <c r="AM251" s="1466">
        <f>AM241/AM$244</f>
        <v/>
      </c>
      <c r="AN251" s="1466">
        <f>AN241/AN$244</f>
        <v/>
      </c>
      <c r="AO251" s="1463">
        <f>AO241/AO$244</f>
        <v/>
      </c>
      <c r="AP251" s="1466">
        <f>AP241/AP$244</f>
        <v/>
      </c>
      <c r="AQ251" s="1466">
        <f>AQ241/AQ$244</f>
        <v/>
      </c>
      <c r="AR251" s="1466">
        <f>AR241/AR$244</f>
        <v/>
      </c>
      <c r="AS251" s="1466">
        <f>AS241/AS$244</f>
        <v/>
      </c>
      <c r="AT251" s="1463">
        <f>AT241/AT$244</f>
        <v/>
      </c>
      <c r="AU251" s="1466">
        <f>AU241/AU$244</f>
        <v/>
      </c>
      <c r="AV251" s="1466">
        <f>AV241/AV$244</f>
        <v/>
      </c>
      <c r="AW251" s="1466">
        <f>AW241/AW$244</f>
        <v/>
      </c>
      <c r="AX251" s="1466">
        <f>AX241/AX$244</f>
        <v/>
      </c>
      <c r="AY251" s="1463">
        <f>AY241/AY$244</f>
        <v/>
      </c>
      <c r="AZ251" s="1466">
        <f>AZ241/AZ$244</f>
        <v/>
      </c>
      <c r="BA251" s="1466">
        <f>BA241/BA$244</f>
        <v/>
      </c>
      <c r="BB251" s="1466">
        <f>BB241/BB$244</f>
        <v/>
      </c>
      <c r="BC251" s="1466">
        <f>BC241/BC$244</f>
        <v/>
      </c>
      <c r="BD251" s="1463">
        <f>BD241/BD$244</f>
        <v/>
      </c>
      <c r="BE251" s="1466">
        <f>BE241/BE$244</f>
        <v/>
      </c>
      <c r="BF251" s="1466">
        <f>BF241/BF$244</f>
        <v/>
      </c>
      <c r="BG251" s="1466">
        <f>BG241/BG$244</f>
        <v/>
      </c>
      <c r="BH251" s="1466">
        <f>BH241/BH$244</f>
        <v/>
      </c>
      <c r="BI251" s="1463">
        <f>BI241/BI$244</f>
        <v/>
      </c>
      <c r="BJ251" s="1466">
        <f>BJ241/BJ$244</f>
        <v/>
      </c>
      <c r="BK251" s="1466">
        <f>BK241/BK$244</f>
        <v/>
      </c>
      <c r="BL251" s="1466">
        <f>BL241/BL$244</f>
        <v/>
      </c>
      <c r="BM251" s="1466">
        <f>BM241/BM$244</f>
        <v/>
      </c>
      <c r="BN251" s="1463">
        <f>BN241/BN$244</f>
        <v/>
      </c>
      <c r="BO251" s="1466">
        <f>BO241/BO$244</f>
        <v/>
      </c>
      <c r="BP251" s="1466">
        <f>BP241/BP$244</f>
        <v/>
      </c>
      <c r="BQ251" s="1491">
        <f>BQ241/BQ$244</f>
        <v/>
      </c>
      <c r="BR251" s="1466" t="n"/>
      <c r="BS251" s="1463" t="n"/>
      <c r="BT251" s="1466" t="n"/>
      <c r="BU251" s="1466" t="n"/>
      <c r="BV251" s="1466" t="n"/>
      <c r="BW251" s="1466" t="n"/>
      <c r="BX251" s="1463" t="n"/>
      <c r="BY251" s="1463" t="n"/>
      <c r="BZ251" s="1463" t="n"/>
      <c r="CA251" s="1463" t="n"/>
      <c r="CB251" s="1465" t="n"/>
    </row>
    <row r="252" hidden="1" outlineLevel="3" ht="14.4" customFormat="1" customHeight="1" s="1460">
      <c r="A252" s="1486" t="inlineStr">
        <is>
          <t>Europe, Middle East and Africa revenue mix, %</t>
        </is>
      </c>
      <c r="B252" s="1462" t="n"/>
      <c r="C252" s="1463">
        <f>C242/C$244</f>
        <v/>
      </c>
      <c r="D252" s="1463">
        <f>D242/D$244</f>
        <v/>
      </c>
      <c r="E252" s="1463">
        <f>E242/E$244</f>
        <v/>
      </c>
      <c r="F252" s="1463">
        <f>F242/F$244</f>
        <v/>
      </c>
      <c r="G252" s="1466">
        <f>G242/G$244</f>
        <v/>
      </c>
      <c r="H252" s="1466">
        <f>H242/H$244</f>
        <v/>
      </c>
      <c r="I252" s="1466">
        <f>I242/I$244</f>
        <v/>
      </c>
      <c r="J252" s="1466">
        <f>J242/J$244</f>
        <v/>
      </c>
      <c r="K252" s="1463">
        <f>K242/K$244</f>
        <v/>
      </c>
      <c r="L252" s="1466">
        <f>L242/L$244</f>
        <v/>
      </c>
      <c r="M252" s="1466">
        <f>M242/M$244</f>
        <v/>
      </c>
      <c r="N252" s="1466">
        <f>N242/N$244</f>
        <v/>
      </c>
      <c r="O252" s="1466">
        <f>O242/O$244</f>
        <v/>
      </c>
      <c r="P252" s="1463">
        <f>P242/P$244</f>
        <v/>
      </c>
      <c r="Q252" s="1466">
        <f>Q242/Q$244</f>
        <v/>
      </c>
      <c r="R252" s="1466">
        <f>R242/R$244</f>
        <v/>
      </c>
      <c r="S252" s="1466">
        <f>S242/S$244</f>
        <v/>
      </c>
      <c r="T252" s="1466">
        <f>T242/T$244</f>
        <v/>
      </c>
      <c r="U252" s="1463">
        <f>U242/U$244</f>
        <v/>
      </c>
      <c r="V252" s="1466">
        <f>V242/V$244</f>
        <v/>
      </c>
      <c r="W252" s="1466">
        <f>W242/W$244</f>
        <v/>
      </c>
      <c r="X252" s="1466">
        <f>X242/X$244</f>
        <v/>
      </c>
      <c r="Y252" s="1466">
        <f>Y242/Y$244</f>
        <v/>
      </c>
      <c r="Z252" s="1463">
        <f>Z242/Z$244</f>
        <v/>
      </c>
      <c r="AA252" s="1466">
        <f>AA242/AA$244</f>
        <v/>
      </c>
      <c r="AB252" s="1466">
        <f>AB242/AB$244</f>
        <v/>
      </c>
      <c r="AC252" s="1466">
        <f>AC242/AC$244</f>
        <v/>
      </c>
      <c r="AD252" s="1466">
        <f>AD242/AD$244</f>
        <v/>
      </c>
      <c r="AE252" s="1463">
        <f>AE242/AE$244</f>
        <v/>
      </c>
      <c r="AF252" s="1466">
        <f>AF242/AF$244</f>
        <v/>
      </c>
      <c r="AG252" s="1466">
        <f>AG242/AG$244</f>
        <v/>
      </c>
      <c r="AH252" s="1466">
        <f>AH242/AH$244</f>
        <v/>
      </c>
      <c r="AI252" s="1466">
        <f>AI242/AI$244</f>
        <v/>
      </c>
      <c r="AJ252" s="1463">
        <f>AJ242/AJ$244</f>
        <v/>
      </c>
      <c r="AK252" s="1466">
        <f>AK242/AK$244</f>
        <v/>
      </c>
      <c r="AL252" s="1466">
        <f>AL242/AL$244</f>
        <v/>
      </c>
      <c r="AM252" s="1466">
        <f>AM242/AM$244</f>
        <v/>
      </c>
      <c r="AN252" s="1466">
        <f>AN242/AN$244</f>
        <v/>
      </c>
      <c r="AO252" s="1463">
        <f>AO242/AO$244</f>
        <v/>
      </c>
      <c r="AP252" s="1466">
        <f>AP242/AP$244</f>
        <v/>
      </c>
      <c r="AQ252" s="1466">
        <f>AQ242/AQ$244</f>
        <v/>
      </c>
      <c r="AR252" s="1466">
        <f>AR242/AR$244</f>
        <v/>
      </c>
      <c r="AS252" s="1466">
        <f>AS242/AS$244</f>
        <v/>
      </c>
      <c r="AT252" s="1463">
        <f>AT242/AT$244</f>
        <v/>
      </c>
      <c r="AU252" s="1466">
        <f>AU242/AU$244</f>
        <v/>
      </c>
      <c r="AV252" s="1466">
        <f>AV242/AV$244</f>
        <v/>
      </c>
      <c r="AW252" s="1466">
        <f>AW242/AW$244</f>
        <v/>
      </c>
      <c r="AX252" s="1466">
        <f>AX242/AX$244</f>
        <v/>
      </c>
      <c r="AY252" s="1463">
        <f>AY242/AY$244</f>
        <v/>
      </c>
      <c r="AZ252" s="1466">
        <f>AZ242/AZ$244</f>
        <v/>
      </c>
      <c r="BA252" s="1466">
        <f>BA242/BA$244</f>
        <v/>
      </c>
      <c r="BB252" s="1466">
        <f>BB242/BB$244</f>
        <v/>
      </c>
      <c r="BC252" s="1466">
        <f>BC242/BC$244</f>
        <v/>
      </c>
      <c r="BD252" s="1463">
        <f>BD242/BD$244</f>
        <v/>
      </c>
      <c r="BE252" s="1466">
        <f>BE242/BE$244</f>
        <v/>
      </c>
      <c r="BF252" s="1466">
        <f>BF242/BF$244</f>
        <v/>
      </c>
      <c r="BG252" s="1466">
        <f>BG242/BG$244</f>
        <v/>
      </c>
      <c r="BH252" s="1466">
        <f>BH242/BH$244</f>
        <v/>
      </c>
      <c r="BI252" s="1463">
        <f>BI242/BI$244</f>
        <v/>
      </c>
      <c r="BJ252" s="1466">
        <f>BJ242/BJ$244</f>
        <v/>
      </c>
      <c r="BK252" s="1466">
        <f>BK242/BK$244</f>
        <v/>
      </c>
      <c r="BL252" s="1466">
        <f>BL242/BL$244</f>
        <v/>
      </c>
      <c r="BM252" s="1466">
        <f>BM242/BM$244</f>
        <v/>
      </c>
      <c r="BN252" s="1463">
        <f>BN242/BN$244</f>
        <v/>
      </c>
      <c r="BO252" s="1466">
        <f>BO242/BO$244</f>
        <v/>
      </c>
      <c r="BP252" s="1466">
        <f>BP242/BP$244</f>
        <v/>
      </c>
      <c r="BQ252" s="1491">
        <f>BQ242/BQ$244</f>
        <v/>
      </c>
      <c r="BR252" s="1466" t="n"/>
      <c r="BS252" s="1463" t="n"/>
      <c r="BT252" s="1466" t="n"/>
      <c r="BU252" s="1466" t="n"/>
      <c r="BV252" s="1466" t="n"/>
      <c r="BW252" s="1466" t="n"/>
      <c r="BX252" s="1463" t="n"/>
      <c r="BY252" s="1463" t="n"/>
      <c r="BZ252" s="1463" t="n"/>
      <c r="CA252" s="1463" t="n"/>
      <c r="CB252" s="1465" t="n"/>
    </row>
    <row r="253" hidden="1" outlineLevel="3" ht="14.4" customFormat="1" customHeight="1" s="1460">
      <c r="A253" s="1495" t="inlineStr">
        <is>
          <t>Japan revenue mix, %</t>
        </is>
      </c>
      <c r="B253" s="1524" t="n"/>
      <c r="C253" s="1525">
        <f>C243/C$244</f>
        <v/>
      </c>
      <c r="D253" s="1525">
        <f>D243/D$244</f>
        <v/>
      </c>
      <c r="E253" s="1525">
        <f>E243/E$244</f>
        <v/>
      </c>
      <c r="F253" s="1525">
        <f>F243/F$244</f>
        <v/>
      </c>
      <c r="G253" s="1526">
        <f>G243/G$244</f>
        <v/>
      </c>
      <c r="H253" s="1526">
        <f>H243/H$244</f>
        <v/>
      </c>
      <c r="I253" s="1526">
        <f>I243/I$244</f>
        <v/>
      </c>
      <c r="J253" s="1526">
        <f>J243/J$244</f>
        <v/>
      </c>
      <c r="K253" s="1525">
        <f>K243/K$244</f>
        <v/>
      </c>
      <c r="L253" s="1526">
        <f>L243/L$244</f>
        <v/>
      </c>
      <c r="M253" s="1526">
        <f>M243/M$244</f>
        <v/>
      </c>
      <c r="N253" s="1526">
        <f>N243/N$244</f>
        <v/>
      </c>
      <c r="O253" s="1526">
        <f>O243/O$244</f>
        <v/>
      </c>
      <c r="P253" s="1525">
        <f>P243/P$244</f>
        <v/>
      </c>
      <c r="Q253" s="1526">
        <f>Q243/Q$244</f>
        <v/>
      </c>
      <c r="R253" s="1526">
        <f>R243/R$244</f>
        <v/>
      </c>
      <c r="S253" s="1526">
        <f>S243/S$244</f>
        <v/>
      </c>
      <c r="T253" s="1526">
        <f>T243/T$244</f>
        <v/>
      </c>
      <c r="U253" s="1525">
        <f>U243/U$244</f>
        <v/>
      </c>
      <c r="V253" s="1526">
        <f>V243/V$244</f>
        <v/>
      </c>
      <c r="W253" s="1526">
        <f>W243/W$244</f>
        <v/>
      </c>
      <c r="X253" s="1526">
        <f>X243/X$244</f>
        <v/>
      </c>
      <c r="Y253" s="1526">
        <f>Y243/Y$244</f>
        <v/>
      </c>
      <c r="Z253" s="1525">
        <f>Z243/Z$244</f>
        <v/>
      </c>
      <c r="AA253" s="1526">
        <f>AA243/AA$244</f>
        <v/>
      </c>
      <c r="AB253" s="1526">
        <f>AB243/AB$244</f>
        <v/>
      </c>
      <c r="AC253" s="1526">
        <f>AC243/AC$244</f>
        <v/>
      </c>
      <c r="AD253" s="1526">
        <f>AD243/AD$244</f>
        <v/>
      </c>
      <c r="AE253" s="1525">
        <f>AE243/AE$244</f>
        <v/>
      </c>
      <c r="AF253" s="1526">
        <f>AF243/AF$244</f>
        <v/>
      </c>
      <c r="AG253" s="1526">
        <f>AG243/AG$244</f>
        <v/>
      </c>
      <c r="AH253" s="1526">
        <f>AH243/AH$244</f>
        <v/>
      </c>
      <c r="AI253" s="1526">
        <f>AI243/AI$244</f>
        <v/>
      </c>
      <c r="AJ253" s="1525">
        <f>AJ243/AJ$244</f>
        <v/>
      </c>
      <c r="AK253" s="1526">
        <f>AK243/AK$244</f>
        <v/>
      </c>
      <c r="AL253" s="1526">
        <f>AL243/AL$244</f>
        <v/>
      </c>
      <c r="AM253" s="1526">
        <f>AM243/AM$244</f>
        <v/>
      </c>
      <c r="AN253" s="1526">
        <f>AN243/AN$244</f>
        <v/>
      </c>
      <c r="AO253" s="1525">
        <f>AO243/AO$244</f>
        <v/>
      </c>
      <c r="AP253" s="1526">
        <f>AP243/AP$244</f>
        <v/>
      </c>
      <c r="AQ253" s="1526">
        <f>AQ243/AQ$244</f>
        <v/>
      </c>
      <c r="AR253" s="1526">
        <f>AR243/AR$244</f>
        <v/>
      </c>
      <c r="AS253" s="1526">
        <f>AS243/AS$244</f>
        <v/>
      </c>
      <c r="AT253" s="1525">
        <f>AT243/AT$244</f>
        <v/>
      </c>
      <c r="AU253" s="1526">
        <f>AU243/AU$244</f>
        <v/>
      </c>
      <c r="AV253" s="1526">
        <f>AV243/AV$244</f>
        <v/>
      </c>
      <c r="AW253" s="1526">
        <f>AW243/AW$244</f>
        <v/>
      </c>
      <c r="AX253" s="1526">
        <f>AX243/AX$244</f>
        <v/>
      </c>
      <c r="AY253" s="1525">
        <f>AY243/AY$244</f>
        <v/>
      </c>
      <c r="AZ253" s="1526">
        <f>AZ243/AZ$244</f>
        <v/>
      </c>
      <c r="BA253" s="1526">
        <f>BA243/BA$244</f>
        <v/>
      </c>
      <c r="BB253" s="1526">
        <f>BB243/BB$244</f>
        <v/>
      </c>
      <c r="BC253" s="1526">
        <f>BC243/BC$244</f>
        <v/>
      </c>
      <c r="BD253" s="1525">
        <f>BD243/BD$244</f>
        <v/>
      </c>
      <c r="BE253" s="1526">
        <f>BE243/BE$244</f>
        <v/>
      </c>
      <c r="BF253" s="1526">
        <f>BF243/BF$244</f>
        <v/>
      </c>
      <c r="BG253" s="1526">
        <f>BG243/BG$244</f>
        <v/>
      </c>
      <c r="BH253" s="1526">
        <f>BH243/BH$244</f>
        <v/>
      </c>
      <c r="BI253" s="1525">
        <f>BI243/BI$244</f>
        <v/>
      </c>
      <c r="BJ253" s="1526">
        <f>BJ243/BJ$244</f>
        <v/>
      </c>
      <c r="BK253" s="1526">
        <f>BK243/BK$244</f>
        <v/>
      </c>
      <c r="BL253" s="1526">
        <f>BL243/BL$244</f>
        <v/>
      </c>
      <c r="BM253" s="1526">
        <f>BM243/BM$244</f>
        <v/>
      </c>
      <c r="BN253" s="1525">
        <f>BN243/BN$244</f>
        <v/>
      </c>
      <c r="BO253" s="1526">
        <f>BO243/BO$244</f>
        <v/>
      </c>
      <c r="BP253" s="1526">
        <f>BP243/BP$244</f>
        <v/>
      </c>
      <c r="BQ253" s="1537">
        <f>BQ243/BQ$244</f>
        <v/>
      </c>
      <c r="BR253" s="1526" t="n"/>
      <c r="BS253" s="1525" t="n"/>
      <c r="BT253" s="1526" t="n"/>
      <c r="BU253" s="1526" t="n"/>
      <c r="BV253" s="1526" t="n"/>
      <c r="BW253" s="1526" t="n"/>
      <c r="BX253" s="1525" t="n"/>
      <c r="BY253" s="1525" t="n"/>
      <c r="BZ253" s="1525" t="n"/>
      <c r="CA253" s="1525" t="n"/>
      <c r="CB253" s="1465" t="n"/>
    </row>
    <row r="254" hidden="1" outlineLevel="3" ht="14.4" customFormat="1" customHeight="1" s="1504">
      <c r="A254" s="1530" t="inlineStr">
        <is>
          <t>Total revenue mix, %</t>
        </is>
      </c>
      <c r="B254" s="1531" t="n"/>
      <c r="C254" s="1532">
        <f>C248+C251+C252+C253</f>
        <v/>
      </c>
      <c r="D254" s="1532">
        <f>D248+D251+D252+D253</f>
        <v/>
      </c>
      <c r="E254" s="1532">
        <f>E248+E251+E252+E253</f>
        <v/>
      </c>
      <c r="F254" s="1532">
        <f>F248+F251+F252+F253</f>
        <v/>
      </c>
      <c r="G254" s="1533">
        <f>G248+G251+G252+G253</f>
        <v/>
      </c>
      <c r="H254" s="1533">
        <f>H248+H251+H252+H253</f>
        <v/>
      </c>
      <c r="I254" s="1533">
        <f>I248+I251+I252+I253</f>
        <v/>
      </c>
      <c r="J254" s="1533">
        <f>J248+J251+J252+J253</f>
        <v/>
      </c>
      <c r="K254" s="1532">
        <f>K248+K251+K252+K253</f>
        <v/>
      </c>
      <c r="L254" s="1533">
        <f>L248+L251+L252+L253</f>
        <v/>
      </c>
      <c r="M254" s="1533">
        <f>M248+M251+M252+M253</f>
        <v/>
      </c>
      <c r="N254" s="1533">
        <f>N248+N251+N252+N253</f>
        <v/>
      </c>
      <c r="O254" s="1533">
        <f>O248+O251+O252+O253</f>
        <v/>
      </c>
      <c r="P254" s="1532">
        <f>P248+P251+P252+P253</f>
        <v/>
      </c>
      <c r="Q254" s="1533">
        <f>Q248+Q251+Q252+Q253</f>
        <v/>
      </c>
      <c r="R254" s="1533">
        <f>R248+R251+R252+R253</f>
        <v/>
      </c>
      <c r="S254" s="1533">
        <f>S248+S251+S252+S253</f>
        <v/>
      </c>
      <c r="T254" s="1533">
        <f>T248+T251+T252+T253</f>
        <v/>
      </c>
      <c r="U254" s="1532">
        <f>U248+U251+U252+U253</f>
        <v/>
      </c>
      <c r="V254" s="1533">
        <f>V248+V251+V252+V253</f>
        <v/>
      </c>
      <c r="W254" s="1533">
        <f>W248+W251+W252+W253</f>
        <v/>
      </c>
      <c r="X254" s="1533">
        <f>X248+X251+X252+X253</f>
        <v/>
      </c>
      <c r="Y254" s="1533">
        <f>Y248+Y251+Y252+Y253</f>
        <v/>
      </c>
      <c r="Z254" s="1532">
        <f>Z248+Z251+Z252+Z253</f>
        <v/>
      </c>
      <c r="AA254" s="1533">
        <f>AA248+AA251+AA252+AA253</f>
        <v/>
      </c>
      <c r="AB254" s="1533">
        <f>AB248+AB251+AB252+AB253</f>
        <v/>
      </c>
      <c r="AC254" s="1533">
        <f>AC248+AC251+AC252+AC253</f>
        <v/>
      </c>
      <c r="AD254" s="1533">
        <f>AD248+AD251+AD252+AD253</f>
        <v/>
      </c>
      <c r="AE254" s="1532">
        <f>AE248+AE251+AE252+AE253</f>
        <v/>
      </c>
      <c r="AF254" s="1533">
        <f>AF248+AF251+AF252+AF253</f>
        <v/>
      </c>
      <c r="AG254" s="1533">
        <f>AG248+AG251+AG252+AG253</f>
        <v/>
      </c>
      <c r="AH254" s="1533">
        <f>AH248+AH251+AH252+AH253</f>
        <v/>
      </c>
      <c r="AI254" s="1533">
        <f>AI248+AI251+AI252+AI253</f>
        <v/>
      </c>
      <c r="AJ254" s="1532">
        <f>AJ248+AJ251+AJ252+AJ253</f>
        <v/>
      </c>
      <c r="AK254" s="1533">
        <f>AK248+AK251+AK252+AK253</f>
        <v/>
      </c>
      <c r="AL254" s="1533">
        <f>AL248+AL251+AL252+AL253</f>
        <v/>
      </c>
      <c r="AM254" s="1533">
        <f>AM248+AM251+AM252+AM253</f>
        <v/>
      </c>
      <c r="AN254" s="1533">
        <f>AN248+AN251+AN252+AN253</f>
        <v/>
      </c>
      <c r="AO254" s="1532">
        <f>AO248+AO251+AO252+AO253</f>
        <v/>
      </c>
      <c r="AP254" s="1533">
        <f>AP248+AP251+AP252+AP253</f>
        <v/>
      </c>
      <c r="AQ254" s="1533">
        <f>AQ248+AQ251+AQ252+AQ253</f>
        <v/>
      </c>
      <c r="AR254" s="1533">
        <f>AR248+AR251+AR252+AR253</f>
        <v/>
      </c>
      <c r="AS254" s="1533">
        <f>AS248+AS251+AS252+AS253</f>
        <v/>
      </c>
      <c r="AT254" s="1532">
        <f>AT248+AT251+AT252+AT253</f>
        <v/>
      </c>
      <c r="AU254" s="1533">
        <f>AU248+AU251+AU252+AU253</f>
        <v/>
      </c>
      <c r="AV254" s="1533">
        <f>AV248+AV251+AV252+AV253</f>
        <v/>
      </c>
      <c r="AW254" s="1533">
        <f>AW248+AW251+AW252+AW253</f>
        <v/>
      </c>
      <c r="AX254" s="1533">
        <f>AX248+AX251+AX252+AX253</f>
        <v/>
      </c>
      <c r="AY254" s="1532">
        <f>AY248+AY251+AY252+AY253</f>
        <v/>
      </c>
      <c r="AZ254" s="1533">
        <f>AZ248+AZ251+AZ252+AZ253</f>
        <v/>
      </c>
      <c r="BA254" s="1533">
        <f>BA248+BA251+BA252+BA253</f>
        <v/>
      </c>
      <c r="BB254" s="1533">
        <f>BB248+BB251+BB252+BB253</f>
        <v/>
      </c>
      <c r="BC254" s="1533">
        <f>BC248+BC251+BC252+BC253</f>
        <v/>
      </c>
      <c r="BD254" s="1532">
        <f>BD248+BD251+BD252+BD253</f>
        <v/>
      </c>
      <c r="BE254" s="1533">
        <f>BE248+BE251+BE252+BE253</f>
        <v/>
      </c>
      <c r="BF254" s="1533">
        <f>BF248+BF251+BF252+BF253</f>
        <v/>
      </c>
      <c r="BG254" s="1533">
        <f>BG248+BG251+BG252+BG253</f>
        <v/>
      </c>
      <c r="BH254" s="1533">
        <f>BH248+BH251+BH252+BH253</f>
        <v/>
      </c>
      <c r="BI254" s="1532">
        <f>BI248+BI251+BI252+BI253</f>
        <v/>
      </c>
      <c r="BJ254" s="1533">
        <f>BJ248+BJ251+BJ252+BJ253</f>
        <v/>
      </c>
      <c r="BK254" s="1533">
        <f>BK248+BK251+BK252+BK253</f>
        <v/>
      </c>
      <c r="BL254" s="1533">
        <f>BL248+BL251+BL252+BL253</f>
        <v/>
      </c>
      <c r="BM254" s="1533">
        <f>BM248+BM251+BM252+BM253</f>
        <v/>
      </c>
      <c r="BN254" s="1532">
        <f>BN248+BN251+BN252+BN253</f>
        <v/>
      </c>
      <c r="BO254" s="1533">
        <f>BO248+BO251+BO252+BO253</f>
        <v/>
      </c>
      <c r="BP254" s="1533">
        <f>BP248+BP251+BP252+BP253</f>
        <v/>
      </c>
      <c r="BQ254" s="1534">
        <f>BQ248+BQ251+BQ252+BQ253</f>
        <v/>
      </c>
      <c r="BR254" s="1533" t="n"/>
      <c r="BS254" s="1532" t="n"/>
      <c r="BT254" s="1533" t="n"/>
      <c r="BU254" s="1533" t="n"/>
      <c r="BV254" s="1533" t="n"/>
      <c r="BW254" s="1533" t="n"/>
      <c r="BX254" s="1532" t="n"/>
      <c r="BY254" s="1532" t="n"/>
      <c r="BZ254" s="1532" t="n"/>
      <c r="CA254" s="1532" t="n"/>
      <c r="CB254" s="1507" t="n"/>
    </row>
    <row r="255" hidden="1" outlineLevel="1" collapsed="1" ht="14.4" customFormat="1" customHeight="1" s="1538">
      <c r="A255" s="1539" t="n"/>
      <c r="B255" s="1540" t="n"/>
      <c r="C255" s="1541" t="n"/>
      <c r="D255" s="1541" t="n"/>
      <c r="E255" s="1541" t="n"/>
      <c r="F255" s="1541" t="n"/>
      <c r="G255" s="1542" t="n"/>
      <c r="H255" s="1542" t="n"/>
      <c r="I255" s="1542" t="n"/>
      <c r="J255" s="1542" t="n"/>
      <c r="K255" s="1541" t="n"/>
      <c r="L255" s="1542" t="n"/>
      <c r="M255" s="1542" t="n"/>
      <c r="N255" s="1542" t="n"/>
      <c r="O255" s="1542" t="n"/>
      <c r="P255" s="1541" t="n"/>
      <c r="Q255" s="1542" t="n"/>
      <c r="R255" s="1542" t="n"/>
      <c r="S255" s="1542" t="n"/>
      <c r="T255" s="1542" t="n"/>
      <c r="U255" s="1541" t="n"/>
      <c r="V255" s="1542" t="n"/>
      <c r="W255" s="1542" t="n"/>
      <c r="X255" s="1542" t="n"/>
      <c r="Y255" s="1542" t="n"/>
      <c r="Z255" s="1541" t="n"/>
      <c r="AA255" s="1542" t="n"/>
      <c r="AB255" s="1542" t="n"/>
      <c r="AC255" s="1542" t="n"/>
      <c r="AD255" s="1542" t="n"/>
      <c r="AE255" s="1541" t="n"/>
      <c r="AF255" s="1542" t="n"/>
      <c r="AG255" s="1542" t="n"/>
      <c r="AH255" s="1542" t="n"/>
      <c r="AI255" s="1542" t="n"/>
      <c r="AJ255" s="1541" t="n"/>
      <c r="AK255" s="1542" t="n"/>
      <c r="AL255" s="1542" t="n"/>
      <c r="AM255" s="1542" t="n"/>
      <c r="AN255" s="1542" t="n"/>
      <c r="AO255" s="1541" t="n"/>
      <c r="AP255" s="1542" t="n"/>
      <c r="AQ255" s="1542" t="n"/>
      <c r="AR255" s="1542" t="n"/>
      <c r="AS255" s="1542" t="n"/>
      <c r="AT255" s="1541" t="n"/>
      <c r="AU255" s="1542" t="n"/>
      <c r="AV255" s="1542" t="n"/>
      <c r="AW255" s="1542" t="n"/>
      <c r="AX255" s="1542" t="n"/>
      <c r="AY255" s="1541" t="n"/>
      <c r="AZ255" s="1542" t="n"/>
      <c r="BA255" s="1542" t="n"/>
      <c r="BB255" s="1542" t="n"/>
      <c r="BC255" s="1542" t="n"/>
      <c r="BD255" s="1541" t="n"/>
      <c r="BE255" s="1542" t="n"/>
      <c r="BF255" s="1542" t="n"/>
      <c r="BG255" s="1542" t="n"/>
      <c r="BH255" s="1542" t="n"/>
      <c r="BI255" s="1541" t="n"/>
      <c r="BJ255" s="1542" t="n"/>
      <c r="BK255" s="1542" t="n"/>
      <c r="BL255" s="1542" t="n"/>
      <c r="BM255" s="1542" t="n"/>
      <c r="BN255" s="1541" t="n"/>
      <c r="BO255" s="1542" t="n"/>
      <c r="BP255" s="1542" t="n"/>
      <c r="BQ255" s="1543" t="n"/>
      <c r="BR255" s="1542" t="n"/>
      <c r="BS255" s="1541" t="n"/>
      <c r="BT255" s="1542" t="n"/>
      <c r="BU255" s="1542" t="n"/>
      <c r="BV255" s="1542" t="n"/>
      <c r="BW255" s="1542" t="n"/>
      <c r="BX255" s="1541" t="n"/>
      <c r="BY255" s="1541" t="n"/>
      <c r="BZ255" s="1541" t="n"/>
      <c r="CA255" s="1541" t="n"/>
      <c r="CB255" s="1544" t="n"/>
    </row>
    <row r="256" hidden="1" outlineLevel="1" ht="14.4" customFormat="1" customHeight="1" s="1372">
      <c r="A256" s="1373" t="inlineStr">
        <is>
          <t>Key Metrics - Remaining Performance Obligations (FS)</t>
        </is>
      </c>
      <c r="B256" s="1373" t="n"/>
      <c r="C256" s="1373" t="n"/>
      <c r="D256" s="1373" t="n"/>
      <c r="E256" s="1373" t="n"/>
      <c r="F256" s="1373" t="n"/>
      <c r="G256" s="1373" t="n"/>
      <c r="H256" s="1373" t="n"/>
      <c r="I256" s="1373" t="n"/>
      <c r="J256" s="1373" t="n"/>
      <c r="K256" s="1373" t="n"/>
      <c r="L256" s="1373" t="n"/>
      <c r="M256" s="1373" t="n"/>
      <c r="N256" s="1373" t="n"/>
      <c r="O256" s="1373" t="n"/>
      <c r="P256" s="1373" t="n"/>
      <c r="Q256" s="1373" t="n"/>
      <c r="R256" s="1373" t="n"/>
      <c r="S256" s="1373" t="n"/>
      <c r="T256" s="1373" t="n"/>
      <c r="U256" s="1373" t="n"/>
      <c r="V256" s="1373" t="n"/>
      <c r="W256" s="1373" t="n"/>
      <c r="X256" s="1373" t="n"/>
      <c r="Y256" s="1373" t="n"/>
      <c r="Z256" s="1373" t="n"/>
      <c r="AA256" s="1373" t="n"/>
      <c r="AB256" s="1373" t="n"/>
      <c r="AC256" s="1373" t="n"/>
      <c r="AD256" s="1373" t="n"/>
      <c r="AE256" s="1373" t="n"/>
      <c r="AF256" s="1373" t="n"/>
      <c r="AG256" s="1373" t="n"/>
      <c r="AH256" s="1373" t="n"/>
      <c r="AI256" s="1373" t="n"/>
      <c r="AJ256" s="1373" t="n"/>
      <c r="AK256" s="1373" t="n"/>
      <c r="AL256" s="1373" t="n"/>
      <c r="AM256" s="1373" t="n"/>
      <c r="AN256" s="1373" t="n"/>
      <c r="AO256" s="1373" t="n"/>
      <c r="AP256" s="1373" t="n"/>
      <c r="AQ256" s="1373" t="n"/>
      <c r="AR256" s="1373" t="n"/>
      <c r="AS256" s="1373" t="n"/>
      <c r="AT256" s="1373" t="n"/>
      <c r="AU256" s="1373" t="n"/>
      <c r="AV256" s="1373" t="n"/>
      <c r="AW256" s="1373" t="n"/>
      <c r="AX256" s="1373" t="n"/>
      <c r="AY256" s="1373" t="n"/>
      <c r="AZ256" s="1373" t="n"/>
      <c r="BA256" s="1373" t="n"/>
      <c r="BB256" s="1373" t="n"/>
      <c r="BC256" s="1373" t="n"/>
      <c r="BD256" s="1373" t="n"/>
      <c r="BE256" s="1373" t="n"/>
      <c r="BF256" s="1373" t="n"/>
      <c r="BG256" s="1373" t="n"/>
      <c r="BH256" s="1373" t="n"/>
      <c r="BI256" s="1373" t="n"/>
      <c r="BJ256" s="1373" t="n"/>
      <c r="BK256" s="1373" t="n"/>
      <c r="BL256" s="1373" t="n"/>
      <c r="BM256" s="1373" t="n"/>
      <c r="BN256" s="1373" t="n"/>
      <c r="BO256" s="1373" t="n"/>
      <c r="BP256" s="1373" t="n"/>
      <c r="BQ256" s="1374" t="n"/>
      <c r="BR256" s="1373" t="n"/>
      <c r="BS256" s="1373" t="n"/>
      <c r="BT256" s="1373" t="n"/>
      <c r="BU256" s="1373" t="n"/>
      <c r="BV256" s="1373" t="n"/>
      <c r="BW256" s="1373" t="n"/>
      <c r="BX256" s="1373" t="n"/>
      <c r="BY256" s="1373" t="n"/>
      <c r="BZ256" s="1373" t="n"/>
      <c r="CA256" s="1373" t="n"/>
      <c r="CB256" s="1375" t="n"/>
    </row>
    <row r="257" hidden="1" outlineLevel="2" ht="14.4" customFormat="1" customHeight="1" s="1359">
      <c r="A257" s="1474" t="inlineStr">
        <is>
          <t>RPOs to be recognized over the next 12 months, mm</t>
        </is>
      </c>
      <c r="B257" s="1377" t="n"/>
      <c r="C257" s="1379" t="n"/>
      <c r="D257" s="1379" t="n"/>
      <c r="E257" s="1379" t="n"/>
      <c r="F257" s="1379" t="n"/>
      <c r="G257" s="1361" t="n"/>
      <c r="H257" s="1361" t="n"/>
      <c r="I257" s="1361" t="n"/>
      <c r="J257" s="1361" t="n"/>
      <c r="K257" s="1379" t="n"/>
      <c r="L257" s="1361" t="n"/>
      <c r="M257" s="1361" t="n"/>
      <c r="N257" s="1361" t="n"/>
      <c r="O257" s="1361" t="n"/>
      <c r="P257" s="1379" t="n"/>
      <c r="Q257" s="1361" t="n"/>
      <c r="R257" s="1361" t="n"/>
      <c r="S257" s="1361" t="n"/>
      <c r="T257" s="1361" t="n"/>
      <c r="U257" s="1379" t="n"/>
      <c r="V257" s="1361" t="n"/>
      <c r="W257" s="1361" t="n"/>
      <c r="X257" s="1361" t="n"/>
      <c r="Y257" s="1361" t="n"/>
      <c r="Z257" s="1379" t="n"/>
      <c r="AA257" s="1361" t="n"/>
      <c r="AB257" s="1361" t="n"/>
      <c r="AC257" s="1361" t="n"/>
      <c r="AD257" s="1361" t="n"/>
      <c r="AE257" s="1379" t="n"/>
      <c r="AF257" s="1361">
        <f>+AF260*AF$259</f>
        <v/>
      </c>
      <c r="AG257" s="1361">
        <f>+AG260*AG$259</f>
        <v/>
      </c>
      <c r="AH257" s="1361">
        <f>+AH260*AH$259</f>
        <v/>
      </c>
      <c r="AI257" s="1361">
        <f>+AJ257</f>
        <v/>
      </c>
      <c r="AJ257" s="1379">
        <f>+AJ260*AJ$259</f>
        <v/>
      </c>
      <c r="AK257" s="1361">
        <f>+AK260*AK$259</f>
        <v/>
      </c>
      <c r="AL257" s="1361">
        <f>+AL260*AL$259</f>
        <v/>
      </c>
      <c r="AM257" s="1361">
        <f>+AM260*AM$259</f>
        <v/>
      </c>
      <c r="AN257" s="1361">
        <f>+AO257</f>
        <v/>
      </c>
      <c r="AO257" s="1379">
        <f>+AO260*AO$259</f>
        <v/>
      </c>
      <c r="AP257" s="1361">
        <f>+AP260*AP$259</f>
        <v/>
      </c>
      <c r="AQ257" s="1361">
        <f>+AQ260*AQ$259</f>
        <v/>
      </c>
      <c r="AR257" s="1361">
        <f>+AR260*AR$259</f>
        <v/>
      </c>
      <c r="AS257" s="1361">
        <f>+AT257</f>
        <v/>
      </c>
      <c r="AT257" s="1379">
        <f>+AT260*AT$259</f>
        <v/>
      </c>
      <c r="AU257" s="1361">
        <f>+AU260*AU$259</f>
        <v/>
      </c>
      <c r="AV257" s="1361">
        <f>+AV260*AV$259</f>
        <v/>
      </c>
      <c r="AW257" s="1361">
        <f>+AW260*AW$259</f>
        <v/>
      </c>
      <c r="AX257" s="1361">
        <f>+AY257</f>
        <v/>
      </c>
      <c r="AY257" s="1379">
        <f>+AY260*AY$259</f>
        <v/>
      </c>
      <c r="AZ257" s="1361">
        <f>+AZ260*AZ$259</f>
        <v/>
      </c>
      <c r="BA257" s="1361">
        <f>+BA260*BA$259</f>
        <v/>
      </c>
      <c r="BB257" s="1361">
        <f>+BB260*BB$259</f>
        <v/>
      </c>
      <c r="BC257" s="1361">
        <f>+BD257</f>
        <v/>
      </c>
      <c r="BD257" s="1379">
        <f>+BD260*BD$259</f>
        <v/>
      </c>
      <c r="BE257" s="1361">
        <f>+BE260*BE$259</f>
        <v/>
      </c>
      <c r="BF257" s="1361">
        <f>+BF260*BF$259</f>
        <v/>
      </c>
      <c r="BG257" s="1361">
        <f>+BG260*BG$259</f>
        <v/>
      </c>
      <c r="BH257" s="1361">
        <f>+BI257</f>
        <v/>
      </c>
      <c r="BI257" s="1379">
        <f>+BI260*BI$259</f>
        <v/>
      </c>
      <c r="BJ257" s="1361">
        <f>+BJ260*BJ$259</f>
        <v/>
      </c>
      <c r="BK257" s="1361">
        <f>+BK260*BK$259</f>
        <v/>
      </c>
      <c r="BL257" s="1361">
        <f>+BL260*BL$259</f>
        <v/>
      </c>
      <c r="BM257" s="1361">
        <f>+BN257</f>
        <v/>
      </c>
      <c r="BN257" s="1379">
        <f>+BN260*BN$259</f>
        <v/>
      </c>
      <c r="BO257" s="1361">
        <f>+BO260*BO$259</f>
        <v/>
      </c>
      <c r="BP257" s="1361">
        <f>+BP260*BP$259</f>
        <v/>
      </c>
      <c r="BQ257" s="1363">
        <f>+BQ260*BQ$259</f>
        <v/>
      </c>
      <c r="BR257" s="1361" t="n"/>
      <c r="BS257" s="1379" t="n"/>
      <c r="BT257" s="1361" t="n"/>
      <c r="BU257" s="1361" t="n"/>
      <c r="BV257" s="1361" t="n"/>
      <c r="BW257" s="1361" t="n"/>
      <c r="BX257" s="1379" t="n"/>
      <c r="BY257" s="1379" t="n"/>
      <c r="BZ257" s="1379" t="n"/>
      <c r="CA257" s="1379" t="n"/>
      <c r="CB257" s="1364" t="n"/>
    </row>
    <row r="258" hidden="1" outlineLevel="2" ht="14.4" customFormat="1" customHeight="1" s="1359">
      <c r="A258" s="1474" t="inlineStr">
        <is>
          <t>RPOs to be recognized thereafter, mm</t>
        </is>
      </c>
      <c r="B258" s="1377" t="n"/>
      <c r="C258" s="1379" t="n"/>
      <c r="D258" s="1379" t="n"/>
      <c r="E258" s="1379" t="n"/>
      <c r="F258" s="1379" t="n"/>
      <c r="G258" s="1361" t="n"/>
      <c r="H258" s="1361" t="n"/>
      <c r="I258" s="1361" t="n"/>
      <c r="J258" s="1361" t="n"/>
      <c r="K258" s="1379" t="n"/>
      <c r="L258" s="1361" t="n"/>
      <c r="M258" s="1361" t="n"/>
      <c r="N258" s="1361" t="n"/>
      <c r="O258" s="1361" t="n"/>
      <c r="P258" s="1379" t="n"/>
      <c r="Q258" s="1361" t="n"/>
      <c r="R258" s="1361" t="n"/>
      <c r="S258" s="1361" t="n"/>
      <c r="T258" s="1361" t="n"/>
      <c r="U258" s="1379" t="n"/>
      <c r="V258" s="1361" t="n"/>
      <c r="W258" s="1361" t="n"/>
      <c r="X258" s="1361" t="n"/>
      <c r="Y258" s="1361" t="n"/>
      <c r="Z258" s="1379" t="n"/>
      <c r="AA258" s="1361" t="n"/>
      <c r="AB258" s="1361" t="n"/>
      <c r="AC258" s="1361" t="n"/>
      <c r="AD258" s="1361" t="n"/>
      <c r="AE258" s="1379" t="n"/>
      <c r="AF258" s="1361">
        <f>+AF259-AF257</f>
        <v/>
      </c>
      <c r="AG258" s="1361">
        <f>+AG259-AG257</f>
        <v/>
      </c>
      <c r="AH258" s="1361">
        <f>+AH259-AH257</f>
        <v/>
      </c>
      <c r="AI258" s="1361">
        <f>+AJ258</f>
        <v/>
      </c>
      <c r="AJ258" s="1379">
        <f>+AJ259-AJ257</f>
        <v/>
      </c>
      <c r="AK258" s="1361">
        <f>+AK259-AK257</f>
        <v/>
      </c>
      <c r="AL258" s="1361">
        <f>+AL259-AL257</f>
        <v/>
      </c>
      <c r="AM258" s="1361">
        <f>+AM259-AM257</f>
        <v/>
      </c>
      <c r="AN258" s="1361">
        <f>+AO258</f>
        <v/>
      </c>
      <c r="AO258" s="1379">
        <f>+AO259-AO257</f>
        <v/>
      </c>
      <c r="AP258" s="1361">
        <f>+AP259-AP257</f>
        <v/>
      </c>
      <c r="AQ258" s="1361">
        <f>+AQ259-AQ257</f>
        <v/>
      </c>
      <c r="AR258" s="1361">
        <f>+AR259-AR257</f>
        <v/>
      </c>
      <c r="AS258" s="1361">
        <f>+AT258</f>
        <v/>
      </c>
      <c r="AT258" s="1379">
        <f>+AT259-AT257</f>
        <v/>
      </c>
      <c r="AU258" s="1361">
        <f>+AU259-AU257</f>
        <v/>
      </c>
      <c r="AV258" s="1361">
        <f>+AV259-AV257</f>
        <v/>
      </c>
      <c r="AW258" s="1361">
        <f>+AW259-AW257</f>
        <v/>
      </c>
      <c r="AX258" s="1361">
        <f>+AY258</f>
        <v/>
      </c>
      <c r="AY258" s="1379">
        <f>+AY259-AY257</f>
        <v/>
      </c>
      <c r="AZ258" s="1361">
        <f>+AZ259-AZ257</f>
        <v/>
      </c>
      <c r="BA258" s="1361">
        <f>+BA259-BA257</f>
        <v/>
      </c>
      <c r="BB258" s="1361">
        <f>+BB259-BB257</f>
        <v/>
      </c>
      <c r="BC258" s="1361">
        <f>+BD258</f>
        <v/>
      </c>
      <c r="BD258" s="1379">
        <f>+BD259-BD257</f>
        <v/>
      </c>
      <c r="BE258" s="1361">
        <f>+BE259-BE257</f>
        <v/>
      </c>
      <c r="BF258" s="1361">
        <f>+BF259-BF257</f>
        <v/>
      </c>
      <c r="BG258" s="1361">
        <f>+BG259-BG257</f>
        <v/>
      </c>
      <c r="BH258" s="1361">
        <f>+BI258</f>
        <v/>
      </c>
      <c r="BI258" s="1379">
        <f>+BI259-BI257</f>
        <v/>
      </c>
      <c r="BJ258" s="1361">
        <f>+BJ259-BJ257</f>
        <v/>
      </c>
      <c r="BK258" s="1361">
        <f>+BK259-BK257</f>
        <v/>
      </c>
      <c r="BL258" s="1361">
        <f>+BL259-BL257</f>
        <v/>
      </c>
      <c r="BM258" s="1361">
        <f>+BN258</f>
        <v/>
      </c>
      <c r="BN258" s="1379">
        <f>+BN259-BN257</f>
        <v/>
      </c>
      <c r="BO258" s="1361">
        <f>+BO259-BO257</f>
        <v/>
      </c>
      <c r="BP258" s="1361">
        <f>+BP259-BP257</f>
        <v/>
      </c>
      <c r="BQ258" s="1363">
        <f>+BQ259-BQ257</f>
        <v/>
      </c>
      <c r="BR258" s="1361" t="n"/>
      <c r="BS258" s="1379" t="n"/>
      <c r="BT258" s="1361" t="n"/>
      <c r="BU258" s="1361" t="n"/>
      <c r="BV258" s="1361" t="n"/>
      <c r="BW258" s="1361" t="n"/>
      <c r="BX258" s="1379" t="n"/>
      <c r="BY258" s="1379" t="n"/>
      <c r="BZ258" s="1379" t="n"/>
      <c r="CA258" s="1379" t="n"/>
      <c r="CB258" s="1364" t="n"/>
    </row>
    <row r="259" hidden="1" outlineLevel="2" ht="14.4" customFormat="1" customHeight="1" s="1372">
      <c r="A259" s="1535" t="inlineStr">
        <is>
          <t>Total RPOs, mm</t>
        </is>
      </c>
      <c r="B259" s="1401" t="n"/>
      <c r="C259" s="1405" t="n"/>
      <c r="D259" s="1405" t="n"/>
      <c r="E259" s="1405" t="n"/>
      <c r="F259" s="1405" t="n"/>
      <c r="G259" s="1404" t="n"/>
      <c r="H259" s="1404" t="n"/>
      <c r="I259" s="1404" t="n"/>
      <c r="J259" s="1404" t="n"/>
      <c r="K259" s="1405" t="n"/>
      <c r="L259" s="1404" t="n"/>
      <c r="M259" s="1404" t="n"/>
      <c r="N259" s="1404" t="n"/>
      <c r="O259" s="1404" t="n"/>
      <c r="P259" s="1405" t="n"/>
      <c r="Q259" s="1404" t="n"/>
      <c r="R259" s="1404" t="n"/>
      <c r="S259" s="1404" t="n"/>
      <c r="T259" s="1404" t="n"/>
      <c r="U259" s="1405" t="n"/>
      <c r="V259" s="1404" t="n"/>
      <c r="W259" s="1404" t="n"/>
      <c r="X259" s="1404" t="n"/>
      <c r="Y259" s="1404" t="n"/>
      <c r="Z259" s="1405" t="n"/>
      <c r="AA259" s="1404" t="n"/>
      <c r="AB259" s="1404" t="n"/>
      <c r="AC259" s="1404" t="n"/>
      <c r="AD259" s="1404" t="n"/>
      <c r="AE259" s="1405" t="n"/>
      <c r="AF259" s="1545" t="n">
        <v>2600</v>
      </c>
      <c r="AG259" s="1545" t="n">
        <v>2500</v>
      </c>
      <c r="AH259" s="1545" t="n">
        <v>2400</v>
      </c>
      <c r="AI259" s="1404">
        <f>SUM(AI257:AI258)</f>
        <v/>
      </c>
      <c r="AJ259" s="1546" t="n">
        <v>2900</v>
      </c>
      <c r="AK259" s="1545" t="n">
        <v>2800</v>
      </c>
      <c r="AL259" s="1545" t="n">
        <v>2800</v>
      </c>
      <c r="AM259" s="1545">
        <f>3000-212.1</f>
        <v/>
      </c>
      <c r="AN259" s="1404">
        <f>SUM(AN257:AN258)</f>
        <v/>
      </c>
      <c r="AO259" s="1546">
        <f>3600-205.7</f>
        <v/>
      </c>
      <c r="AP259" s="1545">
        <f>3700-189</f>
        <v/>
      </c>
      <c r="AQ259" s="1545">
        <f>3700-176.5</f>
        <v/>
      </c>
      <c r="AR259" s="1545">
        <f>3800-150.9</f>
        <v/>
      </c>
      <c r="AS259" s="1404">
        <f>SUM(AS257:AS258)</f>
        <v/>
      </c>
      <c r="AT259" s="1546">
        <f>3900-133.6</f>
        <v/>
      </c>
      <c r="AU259" s="1545">
        <f>3600-124.4</f>
        <v/>
      </c>
      <c r="AV259" s="1545">
        <f>3900-110</f>
        <v/>
      </c>
      <c r="AW259" s="1545">
        <f>3700-89.1</f>
        <v/>
      </c>
      <c r="AX259" s="1404">
        <f>SUM(AX257:AX258)</f>
        <v/>
      </c>
      <c r="AY259" s="1546">
        <f>4400-119.5</f>
        <v/>
      </c>
      <c r="AZ259" s="1545">
        <f>5100-196.9</f>
        <v/>
      </c>
      <c r="BA259" s="1545">
        <f>5600-171.3</f>
        <v/>
      </c>
      <c r="BB259" s="1545">
        <f>5500-433.5</f>
        <v/>
      </c>
      <c r="BC259" s="1404">
        <f>SUM(BC257:BC258)</f>
        <v/>
      </c>
      <c r="BD259" s="1546">
        <f>5800-400</f>
        <v/>
      </c>
      <c r="BE259" s="1545">
        <f>5400-400</f>
        <v/>
      </c>
      <c r="BF259" s="1545">
        <f>5300-400</f>
        <v/>
      </c>
      <c r="BG259" s="1545">
        <f>5400-400</f>
        <v/>
      </c>
      <c r="BH259" s="1404">
        <f>SUM(BH257:BH258)</f>
        <v/>
      </c>
      <c r="BI259" s="1546">
        <f>6000-400</f>
        <v/>
      </c>
      <c r="BJ259" s="1545">
        <f>6000-400</f>
        <v/>
      </c>
      <c r="BK259" s="1545">
        <f>6000-400</f>
        <v/>
      </c>
      <c r="BL259" s="1545">
        <f>5600-500</f>
        <v/>
      </c>
      <c r="BM259" s="1404">
        <f>BN259</f>
        <v/>
      </c>
      <c r="BN259" s="1546">
        <f>6800-500</f>
        <v/>
      </c>
      <c r="BO259" s="1545">
        <f>6400-500</f>
        <v/>
      </c>
      <c r="BP259" s="1545">
        <f>6400-500</f>
        <v/>
      </c>
      <c r="BQ259" s="1547">
        <f>7000-400</f>
        <v/>
      </c>
      <c r="BR259" s="1404" t="n"/>
      <c r="BS259" s="1405" t="n"/>
      <c r="BT259" s="1404" t="n"/>
      <c r="BU259" s="1404" t="n"/>
      <c r="BV259" s="1404" t="n"/>
      <c r="BW259" s="1404" t="n"/>
      <c r="BX259" s="1405" t="n"/>
      <c r="BY259" s="1405" t="n"/>
      <c r="BZ259" s="1405" t="n"/>
      <c r="CA259" s="1405" t="n"/>
      <c r="CB259" s="1375" t="n"/>
    </row>
    <row r="260" hidden="1" outlineLevel="2" ht="14.4" customFormat="1" customHeight="1" s="1475">
      <c r="A260" s="1501" t="inlineStr">
        <is>
          <t>RPOs to be recognized over the next 12 months, %</t>
        </is>
      </c>
      <c r="B260" s="1477" t="n"/>
      <c r="C260" s="1382" t="n"/>
      <c r="D260" s="1382" t="n"/>
      <c r="E260" s="1382" t="n"/>
      <c r="F260" s="1382" t="n"/>
      <c r="G260" s="1384" t="n"/>
      <c r="H260" s="1384" t="n"/>
      <c r="I260" s="1384" t="n"/>
      <c r="J260" s="1384" t="n"/>
      <c r="K260" s="1382" t="n"/>
      <c r="L260" s="1384" t="n"/>
      <c r="M260" s="1384" t="n"/>
      <c r="N260" s="1384" t="n"/>
      <c r="O260" s="1384" t="n"/>
      <c r="P260" s="1382" t="n"/>
      <c r="Q260" s="1384" t="n"/>
      <c r="R260" s="1384" t="n"/>
      <c r="S260" s="1384" t="n"/>
      <c r="T260" s="1384" t="n"/>
      <c r="U260" s="1382" t="n"/>
      <c r="V260" s="1384" t="n"/>
      <c r="W260" s="1384" t="n"/>
      <c r="X260" s="1384" t="n"/>
      <c r="Y260" s="1384" t="n"/>
      <c r="Z260" s="1382" t="n"/>
      <c r="AA260" s="1384" t="n"/>
      <c r="AB260" s="1384" t="n"/>
      <c r="AC260" s="1384" t="n"/>
      <c r="AD260" s="1384" t="n"/>
      <c r="AE260" s="1382" t="n"/>
      <c r="AF260" s="1398" t="n">
        <v>0.6</v>
      </c>
      <c r="AG260" s="1398" t="n">
        <v>0.6</v>
      </c>
      <c r="AH260" s="1398" t="n">
        <v>0.6</v>
      </c>
      <c r="AI260" s="1384">
        <f>+AI257/AI259</f>
        <v/>
      </c>
      <c r="AJ260" s="1399" t="n">
        <v>0.6</v>
      </c>
      <c r="AK260" s="1398" t="n">
        <v>0.6</v>
      </c>
      <c r="AL260" s="1398" t="n">
        <v>0.6</v>
      </c>
      <c r="AM260" s="1398" t="n">
        <v>0.6</v>
      </c>
      <c r="AN260" s="1384">
        <f>+AN257/AN259</f>
        <v/>
      </c>
      <c r="AO260" s="1399" t="n">
        <v>0.55</v>
      </c>
      <c r="AP260" s="1398" t="n">
        <v>0.55</v>
      </c>
      <c r="AQ260" s="1398" t="n">
        <v>0.55</v>
      </c>
      <c r="AR260" s="1398" t="n">
        <v>0.55</v>
      </c>
      <c r="AS260" s="1384">
        <f>+AS257/AS259</f>
        <v/>
      </c>
      <c r="AT260" s="1399" t="n">
        <v>0.55</v>
      </c>
      <c r="AU260" s="1398" t="n">
        <v>0.6</v>
      </c>
      <c r="AV260" s="1398" t="n">
        <v>0.55</v>
      </c>
      <c r="AW260" s="1398" t="n">
        <v>0.55</v>
      </c>
      <c r="AX260" s="1384">
        <f>+AX257/AX259</f>
        <v/>
      </c>
      <c r="AY260" s="1399" t="n">
        <v>0.55</v>
      </c>
      <c r="AZ260" s="1398" t="n">
        <v>0.5</v>
      </c>
      <c r="BA260" s="1398" t="n">
        <v>0.51</v>
      </c>
      <c r="BB260" s="1398" t="n">
        <v>0.54</v>
      </c>
      <c r="BC260" s="1384">
        <f>+BC257/BC259</f>
        <v/>
      </c>
      <c r="BD260" s="1399" t="n">
        <v>0.55</v>
      </c>
      <c r="BE260" s="1398" t="n">
        <v>0.55</v>
      </c>
      <c r="BF260" s="1398" t="n">
        <v>0.57</v>
      </c>
      <c r="BG260" s="1398" t="n">
        <v>0.54</v>
      </c>
      <c r="BH260" s="1384">
        <f>+BH257/BH259</f>
        <v/>
      </c>
      <c r="BI260" s="1399" t="n">
        <v>0.5600000000000001</v>
      </c>
      <c r="BJ260" s="1398" t="n">
        <v>0.5600000000000001</v>
      </c>
      <c r="BK260" s="1398" t="n">
        <v>0.5600000000000001</v>
      </c>
      <c r="BL260" s="1398" t="n">
        <v>0.57</v>
      </c>
      <c r="BM260" s="1384">
        <f>BN260</f>
        <v/>
      </c>
      <c r="BN260" s="1399" t="n">
        <v>0.54</v>
      </c>
      <c r="BO260" s="1398" t="n">
        <v>0.55</v>
      </c>
      <c r="BP260" s="1398" t="n">
        <v>0.53</v>
      </c>
      <c r="BQ260" s="1548" t="n">
        <v>0.52</v>
      </c>
      <c r="BR260" s="1384" t="n"/>
      <c r="BS260" s="1382" t="n"/>
      <c r="BT260" s="1384" t="n"/>
      <c r="BU260" s="1384" t="n"/>
      <c r="BV260" s="1384" t="n"/>
      <c r="BW260" s="1384" t="n"/>
      <c r="BX260" s="1382" t="n"/>
      <c r="BY260" s="1382" t="n"/>
      <c r="BZ260" s="1382" t="n"/>
      <c r="CA260" s="1382" t="n"/>
      <c r="CB260" s="1385" t="n"/>
    </row>
    <row r="261" hidden="1" outlineLevel="2" ht="14.4" customFormat="1" customHeight="1" s="1359">
      <c r="A261" s="1474" t="n"/>
      <c r="B261" s="1377" t="n"/>
      <c r="C261" s="1379" t="n"/>
      <c r="D261" s="1379" t="n"/>
      <c r="E261" s="1379" t="n"/>
      <c r="F261" s="1379" t="n"/>
      <c r="G261" s="1361" t="n"/>
      <c r="H261" s="1361" t="n"/>
      <c r="I261" s="1361" t="n"/>
      <c r="J261" s="1361" t="n"/>
      <c r="K261" s="1379" t="n"/>
      <c r="L261" s="1361" t="n"/>
      <c r="M261" s="1361" t="n"/>
      <c r="N261" s="1361" t="n"/>
      <c r="O261" s="1361" t="n"/>
      <c r="P261" s="1379" t="n"/>
      <c r="Q261" s="1361" t="n"/>
      <c r="R261" s="1361" t="n"/>
      <c r="S261" s="1361" t="n"/>
      <c r="T261" s="1361" t="n"/>
      <c r="U261" s="1379" t="n"/>
      <c r="V261" s="1361" t="n"/>
      <c r="W261" s="1361" t="n"/>
      <c r="X261" s="1361" t="n"/>
      <c r="Y261" s="1361" t="n"/>
      <c r="Z261" s="1379" t="n"/>
      <c r="AA261" s="1361" t="n"/>
      <c r="AB261" s="1361" t="n"/>
      <c r="AC261" s="1361" t="n"/>
      <c r="AD261" s="1361" t="n"/>
      <c r="AE261" s="1379" t="n"/>
      <c r="AF261" s="1361" t="n"/>
      <c r="AG261" s="1361" t="n"/>
      <c r="AH261" s="1361" t="n"/>
      <c r="AI261" s="1361" t="n"/>
      <c r="AJ261" s="1379" t="n"/>
      <c r="AK261" s="1361" t="n"/>
      <c r="AL261" s="1361" t="n"/>
      <c r="AM261" s="1361" t="n"/>
      <c r="AN261" s="1361" t="n"/>
      <c r="AO261" s="1379" t="n"/>
      <c r="AP261" s="1361" t="n"/>
      <c r="AQ261" s="1361" t="n"/>
      <c r="AR261" s="1361" t="n"/>
      <c r="AS261" s="1361" t="n"/>
      <c r="AT261" s="1379" t="n"/>
      <c r="AU261" s="1361" t="n"/>
      <c r="AV261" s="1361" t="n"/>
      <c r="AW261" s="1361" t="n"/>
      <c r="AX261" s="1361" t="n"/>
      <c r="AY261" s="1379" t="n"/>
      <c r="AZ261" s="1361" t="n"/>
      <c r="BA261" s="1361" t="n"/>
      <c r="BB261" s="1361" t="n"/>
      <c r="BC261" s="1361" t="n"/>
      <c r="BD261" s="1379" t="n"/>
      <c r="BE261" s="1361" t="n"/>
      <c r="BF261" s="1361" t="n"/>
      <c r="BG261" s="1361" t="n"/>
      <c r="BH261" s="1361" t="n"/>
      <c r="BI261" s="1379" t="n"/>
      <c r="BJ261" s="1361" t="n"/>
      <c r="BK261" s="1361" t="n"/>
      <c r="BL261" s="1361" t="n"/>
      <c r="BM261" s="1361" t="n"/>
      <c r="BN261" s="1379" t="n"/>
      <c r="BO261" s="1361" t="n"/>
      <c r="BP261" s="1361" t="n"/>
      <c r="BQ261" s="1363" t="n"/>
      <c r="BR261" s="1361" t="n"/>
      <c r="BS261" s="1379" t="n"/>
      <c r="BT261" s="1361" t="n"/>
      <c r="BU261" s="1361" t="n"/>
      <c r="BV261" s="1361" t="n"/>
      <c r="BW261" s="1361" t="n"/>
      <c r="BX261" s="1379" t="n"/>
      <c r="BY261" s="1379" t="n"/>
      <c r="BZ261" s="1379" t="n"/>
      <c r="CA261" s="1379" t="n"/>
      <c r="CB261" s="1364" t="n"/>
    </row>
    <row r="262" hidden="1" outlineLevel="2" ht="14.4" customFormat="1" customHeight="1" s="1549">
      <c r="A262" s="1550" t="inlineStr">
        <is>
          <t>Backlog, mm</t>
        </is>
      </c>
      <c r="B262" s="1551" t="n"/>
      <c r="C262" s="1469" t="n"/>
      <c r="D262" s="1469" t="n"/>
      <c r="E262" s="1469" t="n"/>
      <c r="F262" s="1469" t="n"/>
      <c r="G262" s="1471" t="n"/>
      <c r="H262" s="1471" t="n"/>
      <c r="I262" s="1471" t="n"/>
      <c r="J262" s="1471" t="n"/>
      <c r="K262" s="1469" t="n"/>
      <c r="L262" s="1471" t="n"/>
      <c r="M262" s="1471" t="n"/>
      <c r="N262" s="1471" t="n"/>
      <c r="O262" s="1471" t="n"/>
      <c r="P262" s="1469" t="n"/>
      <c r="Q262" s="1471" t="n"/>
      <c r="R262" s="1471" t="n"/>
      <c r="S262" s="1471" t="n"/>
      <c r="T262" s="1471" t="n"/>
      <c r="U262" s="1469" t="n"/>
      <c r="V262" s="1471" t="n"/>
      <c r="W262" s="1471" t="n"/>
      <c r="X262" s="1471" t="n"/>
      <c r="Y262" s="1471" t="n"/>
      <c r="Z262" s="1469" t="n"/>
      <c r="AA262" s="1471" t="n"/>
      <c r="AB262" s="1471" t="n"/>
      <c r="AC262" s="1471" t="n"/>
      <c r="AD262" s="1471" t="n"/>
      <c r="AE262" s="1469" t="n"/>
      <c r="AF262" s="1471" t="n"/>
      <c r="AG262" s="1471" t="n"/>
      <c r="AH262" s="1471" t="n"/>
      <c r="AI262" s="1471" t="n"/>
      <c r="AJ262" s="1489" t="n">
        <v>3000</v>
      </c>
      <c r="AK262" s="1471" t="n"/>
      <c r="AL262" s="1471" t="n"/>
      <c r="AM262" s="1471" t="n"/>
      <c r="AN262" s="1471">
        <f>AO262</f>
        <v/>
      </c>
      <c r="AO262" s="1489" t="n">
        <v>3600</v>
      </c>
      <c r="AP262" s="1488" t="n">
        <v>3700</v>
      </c>
      <c r="AQ262" s="1488" t="n">
        <v>3700</v>
      </c>
      <c r="AR262" s="1488" t="n">
        <v>3800</v>
      </c>
      <c r="AS262" s="1471">
        <f>AT262</f>
        <v/>
      </c>
      <c r="AT262" s="1489" t="n">
        <v>3900</v>
      </c>
      <c r="AU262" s="1488" t="n">
        <v>3600</v>
      </c>
      <c r="AV262" s="1488" t="n">
        <v>3900</v>
      </c>
      <c r="AW262" s="1488" t="n">
        <v>3700</v>
      </c>
      <c r="AX262" s="1471">
        <f>AY262</f>
        <v/>
      </c>
      <c r="AY262" s="1489" t="n">
        <v>4400</v>
      </c>
      <c r="AZ262" s="1488" t="n">
        <v>5100</v>
      </c>
      <c r="BA262" s="1488" t="n">
        <v>5600</v>
      </c>
      <c r="BB262" s="1488" t="n">
        <v>5500</v>
      </c>
      <c r="BC262" s="1471">
        <f>BD262</f>
        <v/>
      </c>
      <c r="BD262" s="1489" t="n">
        <v>5800</v>
      </c>
      <c r="BE262" s="1488" t="n">
        <v>5400</v>
      </c>
      <c r="BF262" s="1488" t="n">
        <v>5300</v>
      </c>
      <c r="BG262" s="1488" t="n">
        <v>5400</v>
      </c>
      <c r="BH262" s="1471">
        <f>BI262</f>
        <v/>
      </c>
      <c r="BI262" s="1489" t="n">
        <v>6000</v>
      </c>
      <c r="BJ262" s="1488" t="n">
        <v>6000</v>
      </c>
      <c r="BK262" s="1488" t="n">
        <v>6000</v>
      </c>
      <c r="BL262" s="1488" t="n">
        <v>5600</v>
      </c>
      <c r="BM262" s="1471">
        <f>BN262</f>
        <v/>
      </c>
      <c r="BN262" s="1489" t="n">
        <v>6800</v>
      </c>
      <c r="BO262" s="1488" t="n">
        <v>6400</v>
      </c>
      <c r="BP262" s="1488" t="n">
        <v>6400</v>
      </c>
      <c r="BQ262" s="1552" t="n">
        <v>7000</v>
      </c>
      <c r="BR262" s="1471" t="n"/>
      <c r="BS262" s="1469" t="n"/>
      <c r="BT262" s="1471" t="n"/>
      <c r="BU262" s="1471" t="n"/>
      <c r="BV262" s="1471" t="n"/>
      <c r="BW262" s="1471" t="n"/>
      <c r="BX262" s="1469" t="n"/>
      <c r="BY262" s="1469" t="n"/>
      <c r="BZ262" s="1469" t="n"/>
      <c r="CA262" s="1469" t="n"/>
      <c r="CB262" s="1472" t="n"/>
    </row>
    <row r="263" hidden="1" outlineLevel="2" ht="14.4" customFormat="1" customHeight="1" s="1549">
      <c r="A263" s="1550" t="n"/>
      <c r="B263" s="1551" t="n"/>
      <c r="C263" s="1469" t="n"/>
      <c r="D263" s="1469" t="n"/>
      <c r="E263" s="1469" t="n"/>
      <c r="F263" s="1469" t="n"/>
      <c r="G263" s="1471" t="n"/>
      <c r="H263" s="1471" t="n"/>
      <c r="I263" s="1471" t="n"/>
      <c r="J263" s="1471" t="n"/>
      <c r="K263" s="1469" t="n"/>
      <c r="L263" s="1471" t="n"/>
      <c r="M263" s="1471" t="n"/>
      <c r="N263" s="1471" t="n"/>
      <c r="O263" s="1471" t="n"/>
      <c r="P263" s="1469" t="n"/>
      <c r="Q263" s="1471" t="n"/>
      <c r="R263" s="1471" t="n"/>
      <c r="S263" s="1471" t="n"/>
      <c r="T263" s="1471" t="n"/>
      <c r="U263" s="1469" t="n"/>
      <c r="V263" s="1471" t="n"/>
      <c r="W263" s="1471" t="n"/>
      <c r="X263" s="1471" t="n"/>
      <c r="Y263" s="1471" t="n"/>
      <c r="Z263" s="1469" t="n"/>
      <c r="AA263" s="1471" t="n"/>
      <c r="AB263" s="1471" t="n"/>
      <c r="AC263" s="1471" t="n"/>
      <c r="AD263" s="1471" t="n"/>
      <c r="AE263" s="1469" t="n"/>
      <c r="AF263" s="1471" t="n"/>
      <c r="AG263" s="1471" t="n"/>
      <c r="AH263" s="1471" t="n"/>
      <c r="AI263" s="1471" t="n"/>
      <c r="AJ263" s="1469" t="n"/>
      <c r="AK263" s="1471" t="n"/>
      <c r="AL263" s="1471" t="n"/>
      <c r="AM263" s="1471" t="n"/>
      <c r="AN263" s="1471" t="n"/>
      <c r="AO263" s="1469" t="n"/>
      <c r="AP263" s="1471" t="n"/>
      <c r="AQ263" s="1471" t="n"/>
      <c r="AR263" s="1471" t="n"/>
      <c r="AS263" s="1471" t="n"/>
      <c r="AT263" s="1469" t="n"/>
      <c r="AU263" s="1471" t="n"/>
      <c r="AV263" s="1471" t="n"/>
      <c r="AW263" s="1471" t="n"/>
      <c r="AX263" s="1471" t="n"/>
      <c r="AY263" s="1469" t="n"/>
      <c r="AZ263" s="1471" t="n"/>
      <c r="BA263" s="1471" t="n"/>
      <c r="BB263" s="1471" t="n"/>
      <c r="BC263" s="1471" t="n"/>
      <c r="BD263" s="1469" t="n"/>
      <c r="BE263" s="1471" t="n"/>
      <c r="BF263" s="1471" t="n"/>
      <c r="BG263" s="1471" t="n"/>
      <c r="BH263" s="1471" t="n"/>
      <c r="BI263" s="1469" t="n"/>
      <c r="BJ263" s="1471" t="n"/>
      <c r="BK263" s="1471" t="n"/>
      <c r="BL263" s="1471" t="n"/>
      <c r="BM263" s="1471" t="n"/>
      <c r="BN263" s="1469" t="n"/>
      <c r="BO263" s="1471" t="n"/>
      <c r="BP263" s="1471" t="n"/>
      <c r="BQ263" s="1487" t="n"/>
      <c r="BR263" s="1471" t="n"/>
      <c r="BS263" s="1469" t="n"/>
      <c r="BT263" s="1471" t="n"/>
      <c r="BU263" s="1471" t="n"/>
      <c r="BV263" s="1471" t="n"/>
      <c r="BW263" s="1471" t="n"/>
      <c r="BX263" s="1469" t="n"/>
      <c r="BY263" s="1469" t="n"/>
      <c r="BZ263" s="1469" t="n"/>
      <c r="CA263" s="1469" t="n"/>
      <c r="CB263" s="1472" t="n"/>
    </row>
    <row r="264" hidden="1" outlineLevel="2" ht="14.4" customFormat="1" customHeight="1" s="1359">
      <c r="A264" s="1503" t="inlineStr">
        <is>
          <t>Contract assets, mm</t>
        </is>
      </c>
      <c r="B264" s="1377" t="n"/>
      <c r="C264" s="1379" t="n"/>
      <c r="D264" s="1379" t="n"/>
      <c r="E264" s="1379" t="n"/>
      <c r="F264" s="1379" t="n"/>
      <c r="G264" s="1361" t="n"/>
      <c r="H264" s="1361" t="n"/>
      <c r="I264" s="1361" t="n"/>
      <c r="J264" s="1361" t="n"/>
      <c r="K264" s="1379" t="n"/>
      <c r="L264" s="1361" t="n"/>
      <c r="M264" s="1361" t="n"/>
      <c r="N264" s="1361" t="n"/>
      <c r="O264" s="1361" t="n"/>
      <c r="P264" s="1379" t="n"/>
      <c r="Q264" s="1361" t="n"/>
      <c r="R264" s="1361" t="n"/>
      <c r="S264" s="1361" t="n"/>
      <c r="T264" s="1361" t="n"/>
      <c r="U264" s="1379" t="n"/>
      <c r="V264" s="1361" t="n"/>
      <c r="W264" s="1361" t="n"/>
      <c r="X264" s="1361" t="n"/>
      <c r="Y264" s="1361" t="n"/>
      <c r="Z264" s="1379" t="n"/>
      <c r="AA264" s="1361" t="n"/>
      <c r="AB264" s="1361" t="n"/>
      <c r="AC264" s="1361" t="n"/>
      <c r="AD264" s="1361">
        <f>AE264</f>
        <v/>
      </c>
      <c r="AE264" s="1494" t="n">
        <v>3.394</v>
      </c>
      <c r="AF264" s="1493" t="n">
        <v>6.077</v>
      </c>
      <c r="AG264" s="1493" t="n">
        <v>8.305</v>
      </c>
      <c r="AH264" s="1493" t="n">
        <v>15.151</v>
      </c>
      <c r="AI264" s="1361">
        <f>AJ264</f>
        <v/>
      </c>
      <c r="AJ264" s="1494" t="n">
        <v>10.055</v>
      </c>
      <c r="AK264" s="1493" t="n">
        <v>12.211</v>
      </c>
      <c r="AL264" s="1493" t="n">
        <v>10.501</v>
      </c>
      <c r="AM264" s="1493" t="n">
        <v>8.513</v>
      </c>
      <c r="AN264" s="1361">
        <f>AO264</f>
        <v/>
      </c>
      <c r="AO264" s="1494" t="n">
        <v>10.209</v>
      </c>
      <c r="AP264" s="1493" t="n">
        <v>15.985</v>
      </c>
      <c r="AQ264" s="1493" t="n">
        <v>10.24</v>
      </c>
      <c r="AR264" s="1493" t="n">
        <v>8.677</v>
      </c>
      <c r="AS264" s="1361">
        <f>AT264</f>
        <v/>
      </c>
      <c r="AT264" s="1494" t="n">
        <v>9.709</v>
      </c>
      <c r="AU264" s="1493" t="n">
        <v>6.978</v>
      </c>
      <c r="AV264" s="1493" t="n">
        <v>6.057</v>
      </c>
      <c r="AW264" s="1493" t="n">
        <v>7.834</v>
      </c>
      <c r="AX264" s="1361">
        <f>AY264</f>
        <v/>
      </c>
      <c r="AY264" s="1494" t="n">
        <v>6.811</v>
      </c>
      <c r="AZ264" s="1493" t="n">
        <v>19.066</v>
      </c>
      <c r="BA264" s="1493" t="n">
        <v>23.273</v>
      </c>
      <c r="BB264" s="1493" t="n">
        <v>38.442</v>
      </c>
      <c r="BC264" s="1361">
        <f>BD264</f>
        <v/>
      </c>
      <c r="BD264" s="1494" t="n">
        <v>22.766</v>
      </c>
      <c r="BE264" s="1493" t="n">
        <v>17.167</v>
      </c>
      <c r="BF264" s="1493" t="n">
        <v>17.593</v>
      </c>
      <c r="BG264" s="1493" t="n">
        <v>14.353</v>
      </c>
      <c r="BH264" s="1361">
        <f>BI264</f>
        <v/>
      </c>
      <c r="BI264" s="1494" t="n">
        <v>17.554</v>
      </c>
      <c r="BJ264" s="1493" t="n">
        <v>49.895</v>
      </c>
      <c r="BK264" s="1493" t="n">
        <v>25.4</v>
      </c>
      <c r="BL264" s="1493" t="n">
        <v>51.285</v>
      </c>
      <c r="BM264" s="1361">
        <f>BN264</f>
        <v/>
      </c>
      <c r="BN264" s="1494" t="n">
        <v>29.339</v>
      </c>
      <c r="BO264" s="1493" t="n">
        <v>70.77500000000001</v>
      </c>
      <c r="BP264" s="1493" t="n">
        <v>83.599</v>
      </c>
      <c r="BQ264" s="1502" t="n">
        <v>91.119</v>
      </c>
      <c r="BR264" s="1361" t="n"/>
      <c r="BS264" s="1379" t="n"/>
      <c r="BT264" s="1361" t="n"/>
      <c r="BU264" s="1361" t="n"/>
      <c r="BV264" s="1361" t="n"/>
      <c r="BW264" s="1361" t="n"/>
      <c r="BX264" s="1379" t="n"/>
      <c r="BY264" s="1379" t="n"/>
      <c r="BZ264" s="1379" t="n"/>
      <c r="CA264" s="1379" t="n"/>
      <c r="CB264" s="1364" t="n"/>
    </row>
    <row r="265" hidden="1" outlineLevel="1" collapsed="1" ht="14.4" customFormat="1" customHeight="1" s="1359">
      <c r="A265" s="1474" t="n"/>
      <c r="B265" s="1377" t="n"/>
      <c r="C265" s="1379" t="n"/>
      <c r="D265" s="1379" t="n"/>
      <c r="E265" s="1379" t="n"/>
      <c r="F265" s="1379" t="n"/>
      <c r="G265" s="1361" t="n"/>
      <c r="H265" s="1361" t="n"/>
      <c r="I265" s="1361" t="n"/>
      <c r="J265" s="1361" t="n"/>
      <c r="K265" s="1379" t="n"/>
      <c r="L265" s="1361" t="n"/>
      <c r="M265" s="1361" t="n"/>
      <c r="N265" s="1361" t="n"/>
      <c r="O265" s="1361" t="n"/>
      <c r="P265" s="1379" t="n"/>
      <c r="Q265" s="1361" t="n"/>
      <c r="R265" s="1361" t="n"/>
      <c r="S265" s="1361" t="n"/>
      <c r="T265" s="1361" t="n"/>
      <c r="U265" s="1379" t="n"/>
      <c r="V265" s="1361" t="n"/>
      <c r="W265" s="1361" t="n"/>
      <c r="X265" s="1361" t="n"/>
      <c r="Y265" s="1361" t="n"/>
      <c r="Z265" s="1379" t="n"/>
      <c r="AA265" s="1361" t="n"/>
      <c r="AB265" s="1361" t="n"/>
      <c r="AC265" s="1361" t="n"/>
      <c r="AD265" s="1361" t="n"/>
      <c r="AE265" s="1379" t="n"/>
      <c r="AF265" s="1361" t="n"/>
      <c r="AG265" s="1361" t="n"/>
      <c r="AH265" s="1361" t="n"/>
      <c r="AI265" s="1361" t="n"/>
      <c r="AJ265" s="1379" t="n"/>
      <c r="AK265" s="1361" t="n"/>
      <c r="AL265" s="1361" t="n"/>
      <c r="AM265" s="1361" t="n"/>
      <c r="AN265" s="1361" t="n"/>
      <c r="AO265" s="1379" t="n"/>
      <c r="AP265" s="1361" t="n"/>
      <c r="AQ265" s="1361" t="n"/>
      <c r="AR265" s="1361" t="n"/>
      <c r="AS265" s="1361" t="n"/>
      <c r="AT265" s="1379" t="n"/>
      <c r="AU265" s="1361" t="n"/>
      <c r="AV265" s="1361" t="n"/>
      <c r="AW265" s="1361" t="n"/>
      <c r="AX265" s="1361" t="n"/>
      <c r="AY265" s="1379" t="n"/>
      <c r="AZ265" s="1361" t="n"/>
      <c r="BA265" s="1361" t="n"/>
      <c r="BB265" s="1361" t="n"/>
      <c r="BC265" s="1361" t="n"/>
      <c r="BD265" s="1379" t="n"/>
      <c r="BE265" s="1361" t="n"/>
      <c r="BF265" s="1361" t="n"/>
      <c r="BG265" s="1361" t="n"/>
      <c r="BH265" s="1361" t="n"/>
      <c r="BI265" s="1379" t="n"/>
      <c r="BJ265" s="1361" t="n"/>
      <c r="BK265" s="1361" t="n"/>
      <c r="BL265" s="1361" t="n"/>
      <c r="BM265" s="1361" t="n"/>
      <c r="BN265" s="1379" t="n"/>
      <c r="BO265" s="1361" t="n"/>
      <c r="BP265" s="1361" t="n"/>
      <c r="BQ265" s="1363" t="n"/>
      <c r="BR265" s="1361" t="n"/>
      <c r="BS265" s="1379" t="n"/>
      <c r="BT265" s="1361" t="n"/>
      <c r="BU265" s="1361" t="n"/>
      <c r="BV265" s="1361" t="n"/>
      <c r="BW265" s="1361" t="n"/>
      <c r="BX265" s="1379" t="n"/>
      <c r="BY265" s="1379" t="n"/>
      <c r="BZ265" s="1379" t="n"/>
      <c r="CA265" s="1379" t="n"/>
      <c r="CB265" s="1364" t="n"/>
    </row>
    <row r="266" hidden="1" outlineLevel="1" ht="14.4" customFormat="1" customHeight="1" s="1372">
      <c r="A266" s="1373" t="inlineStr">
        <is>
          <t>Key Metrics - Deferred Revenue (FS)</t>
        </is>
      </c>
      <c r="B266" s="1373" t="n"/>
      <c r="C266" s="1373" t="n"/>
      <c r="D266" s="1373" t="n"/>
      <c r="E266" s="1373" t="n"/>
      <c r="F266" s="1373" t="n"/>
      <c r="G266" s="1373" t="n"/>
      <c r="H266" s="1373" t="n"/>
      <c r="I266" s="1373" t="n"/>
      <c r="J266" s="1373" t="n"/>
      <c r="K266" s="1373" t="n"/>
      <c r="L266" s="1373" t="n"/>
      <c r="M266" s="1373" t="n"/>
      <c r="N266" s="1373" t="n"/>
      <c r="O266" s="1373" t="n"/>
      <c r="P266" s="1373" t="n"/>
      <c r="Q266" s="1373" t="n"/>
      <c r="R266" s="1373" t="n"/>
      <c r="S266" s="1373" t="n"/>
      <c r="T266" s="1373" t="n"/>
      <c r="U266" s="1373" t="n"/>
      <c r="V266" s="1373" t="n"/>
      <c r="W266" s="1373" t="n"/>
      <c r="X266" s="1373" t="n"/>
      <c r="Y266" s="1373" t="n"/>
      <c r="Z266" s="1373" t="n"/>
      <c r="AA266" s="1373" t="n"/>
      <c r="AB266" s="1373" t="n"/>
      <c r="AC266" s="1373" t="n"/>
      <c r="AD266" s="1373" t="n"/>
      <c r="AE266" s="1373" t="n"/>
      <c r="AF266" s="1373" t="n"/>
      <c r="AG266" s="1373" t="n"/>
      <c r="AH266" s="1373" t="n"/>
      <c r="AI266" s="1373" t="n"/>
      <c r="AJ266" s="1373" t="n"/>
      <c r="AK266" s="1373" t="n"/>
      <c r="AL266" s="1373" t="n"/>
      <c r="AM266" s="1373" t="n"/>
      <c r="AN266" s="1373" t="n"/>
      <c r="AO266" s="1373" t="n"/>
      <c r="AP266" s="1373" t="n"/>
      <c r="AQ266" s="1373" t="n"/>
      <c r="AR266" s="1373" t="n"/>
      <c r="AS266" s="1373" t="n"/>
      <c r="AT266" s="1373" t="n"/>
      <c r="AU266" s="1373" t="n"/>
      <c r="AV266" s="1373" t="n"/>
      <c r="AW266" s="1373" t="n"/>
      <c r="AX266" s="1373" t="n"/>
      <c r="AY266" s="1373" t="n"/>
      <c r="AZ266" s="1373" t="n"/>
      <c r="BA266" s="1373" t="n"/>
      <c r="BB266" s="1373" t="n"/>
      <c r="BC266" s="1373" t="n"/>
      <c r="BD266" s="1373" t="n"/>
      <c r="BE266" s="1373" t="n"/>
      <c r="BF266" s="1373" t="n"/>
      <c r="BG266" s="1373" t="n"/>
      <c r="BH266" s="1373" t="n"/>
      <c r="BI266" s="1373" t="n"/>
      <c r="BJ266" s="1373" t="n"/>
      <c r="BK266" s="1373" t="n"/>
      <c r="BL266" s="1373" t="n"/>
      <c r="BM266" s="1373" t="n"/>
      <c r="BN266" s="1373" t="n"/>
      <c r="BO266" s="1373" t="n"/>
      <c r="BP266" s="1373" t="n"/>
      <c r="BQ266" s="1374" t="n"/>
      <c r="BR266" s="1373" t="n"/>
      <c r="BS266" s="1373" t="n"/>
      <c r="BT266" s="1373" t="n"/>
      <c r="BU266" s="1373" t="n"/>
      <c r="BV266" s="1373" t="n"/>
      <c r="BW266" s="1373" t="n"/>
      <c r="BX266" s="1373" t="n"/>
      <c r="BY266" s="1373" t="n"/>
      <c r="BZ266" s="1373" t="n"/>
      <c r="CA266" s="1373" t="n"/>
      <c r="CB266" s="1375" t="n"/>
    </row>
    <row r="267" hidden="1" outlineLevel="2" ht="14.4" customFormat="1" customHeight="1" s="1359">
      <c r="A267" s="1474" t="inlineStr">
        <is>
          <t>Current portion of deferred revenue, mm</t>
        </is>
      </c>
      <c r="B267" s="1377" t="n"/>
      <c r="C267" s="1379">
        <f>C1231</f>
        <v/>
      </c>
      <c r="D267" s="1379">
        <f>D1231</f>
        <v/>
      </c>
      <c r="E267" s="1379">
        <f>E1231</f>
        <v/>
      </c>
      <c r="F267" s="1379">
        <f>F1231</f>
        <v/>
      </c>
      <c r="G267" s="1361">
        <f>G1231</f>
        <v/>
      </c>
      <c r="H267" s="1361">
        <f>H1231</f>
        <v/>
      </c>
      <c r="I267" s="1361">
        <f>I1231</f>
        <v/>
      </c>
      <c r="J267" s="1361">
        <f>J1231</f>
        <v/>
      </c>
      <c r="K267" s="1379">
        <f>K1231</f>
        <v/>
      </c>
      <c r="L267" s="1361">
        <f>L1231</f>
        <v/>
      </c>
      <c r="M267" s="1361">
        <f>M1231</f>
        <v/>
      </c>
      <c r="N267" s="1361">
        <f>N1231</f>
        <v/>
      </c>
      <c r="O267" s="1361">
        <f>O1231</f>
        <v/>
      </c>
      <c r="P267" s="1379">
        <f>P1231</f>
        <v/>
      </c>
      <c r="Q267" s="1361">
        <f>Q1231</f>
        <v/>
      </c>
      <c r="R267" s="1361">
        <f>R1231</f>
        <v/>
      </c>
      <c r="S267" s="1361">
        <f>S1231</f>
        <v/>
      </c>
      <c r="T267" s="1361">
        <f>T1231</f>
        <v/>
      </c>
      <c r="U267" s="1379">
        <f>U1231</f>
        <v/>
      </c>
      <c r="V267" s="1361">
        <f>V1231</f>
        <v/>
      </c>
      <c r="W267" s="1361">
        <f>W1231</f>
        <v/>
      </c>
      <c r="X267" s="1361">
        <f>X1231</f>
        <v/>
      </c>
      <c r="Y267" s="1361">
        <f>Y1231</f>
        <v/>
      </c>
      <c r="Z267" s="1379">
        <f>Z1231</f>
        <v/>
      </c>
      <c r="AA267" s="1361">
        <f>AA1231</f>
        <v/>
      </c>
      <c r="AB267" s="1361">
        <f>AB1231</f>
        <v/>
      </c>
      <c r="AC267" s="1361">
        <f>AC1231</f>
        <v/>
      </c>
      <c r="AD267" s="1361">
        <f>AD1231</f>
        <v/>
      </c>
      <c r="AE267" s="1379">
        <f>AE1231</f>
        <v/>
      </c>
      <c r="AF267" s="1361">
        <f>AF1231</f>
        <v/>
      </c>
      <c r="AG267" s="1361">
        <f>AG1231</f>
        <v/>
      </c>
      <c r="AH267" s="1361">
        <f>AH1231</f>
        <v/>
      </c>
      <c r="AI267" s="1361">
        <f>AI1231</f>
        <v/>
      </c>
      <c r="AJ267" s="1379">
        <f>AJ1231</f>
        <v/>
      </c>
      <c r="AK267" s="1361">
        <f>AK1231</f>
        <v/>
      </c>
      <c r="AL267" s="1361">
        <f>AL1231</f>
        <v/>
      </c>
      <c r="AM267" s="1361">
        <f>AM1231</f>
        <v/>
      </c>
      <c r="AN267" s="1361">
        <f>AN1231</f>
        <v/>
      </c>
      <c r="AO267" s="1379">
        <f>AO1231</f>
        <v/>
      </c>
      <c r="AP267" s="1361">
        <f>AP1231</f>
        <v/>
      </c>
      <c r="AQ267" s="1361">
        <f>AQ1231</f>
        <v/>
      </c>
      <c r="AR267" s="1361">
        <f>AR1231</f>
        <v/>
      </c>
      <c r="AS267" s="1361">
        <f>AS1231</f>
        <v/>
      </c>
      <c r="AT267" s="1379">
        <f>AT1231</f>
        <v/>
      </c>
      <c r="AU267" s="1361">
        <f>AU1231</f>
        <v/>
      </c>
      <c r="AV267" s="1361">
        <f>AV1231</f>
        <v/>
      </c>
      <c r="AW267" s="1361">
        <f>AW1231</f>
        <v/>
      </c>
      <c r="AX267" s="1361">
        <f>AX1231</f>
        <v/>
      </c>
      <c r="AY267" s="1379">
        <f>AY1231</f>
        <v/>
      </c>
      <c r="AZ267" s="1361">
        <f>AZ1231</f>
        <v/>
      </c>
      <c r="BA267" s="1361">
        <f>BA1231</f>
        <v/>
      </c>
      <c r="BB267" s="1361">
        <f>BB1231</f>
        <v/>
      </c>
      <c r="BC267" s="1361">
        <f>BC1231</f>
        <v/>
      </c>
      <c r="BD267" s="1379">
        <f>BD1231</f>
        <v/>
      </c>
      <c r="BE267" s="1361">
        <f>BE1231</f>
        <v/>
      </c>
      <c r="BF267" s="1361">
        <f>BF1231</f>
        <v/>
      </c>
      <c r="BG267" s="1361">
        <f>BG1231</f>
        <v/>
      </c>
      <c r="BH267" s="1361">
        <f>BH1231</f>
        <v/>
      </c>
      <c r="BI267" s="1379">
        <f>BI1231</f>
        <v/>
      </c>
      <c r="BJ267" s="1361">
        <f>BJ1231</f>
        <v/>
      </c>
      <c r="BK267" s="1361">
        <f>BK1231</f>
        <v/>
      </c>
      <c r="BL267" s="1361">
        <f>BL1231</f>
        <v/>
      </c>
      <c r="BM267" s="1361">
        <f>BM1231</f>
        <v/>
      </c>
      <c r="BN267" s="1379">
        <f>BN1231</f>
        <v/>
      </c>
      <c r="BO267" s="1361">
        <f>BO1231</f>
        <v/>
      </c>
      <c r="BP267" s="1361">
        <f>BP1231</f>
        <v/>
      </c>
      <c r="BQ267" s="1363">
        <f>BQ1231</f>
        <v/>
      </c>
      <c r="BR267" s="1361" t="n"/>
      <c r="BS267" s="1379" t="n"/>
      <c r="BT267" s="1361" t="n"/>
      <c r="BU267" s="1361" t="n"/>
      <c r="BV267" s="1361" t="n"/>
      <c r="BW267" s="1361" t="n"/>
      <c r="BX267" s="1379" t="n"/>
      <c r="BY267" s="1379" t="n"/>
      <c r="BZ267" s="1379" t="n"/>
      <c r="CA267" s="1379" t="n"/>
      <c r="CB267" s="1364" t="n"/>
    </row>
    <row r="268" hidden="1" outlineLevel="2" ht="14.4" customFormat="1" customHeight="1" s="1359">
      <c r="A268" s="1474" t="inlineStr">
        <is>
          <t>Long-term deferred revenue, mm</t>
        </is>
      </c>
      <c r="B268" s="1377" t="n"/>
      <c r="C268" s="1379">
        <f>C1235</f>
        <v/>
      </c>
      <c r="D268" s="1379">
        <f>D1235</f>
        <v/>
      </c>
      <c r="E268" s="1379">
        <f>E1235</f>
        <v/>
      </c>
      <c r="F268" s="1379">
        <f>F1235</f>
        <v/>
      </c>
      <c r="G268" s="1361">
        <f>G1235</f>
        <v/>
      </c>
      <c r="H268" s="1361">
        <f>H1235</f>
        <v/>
      </c>
      <c r="I268" s="1361">
        <f>I1235</f>
        <v/>
      </c>
      <c r="J268" s="1361">
        <f>J1235</f>
        <v/>
      </c>
      <c r="K268" s="1379">
        <f>K1235</f>
        <v/>
      </c>
      <c r="L268" s="1361">
        <f>L1235</f>
        <v/>
      </c>
      <c r="M268" s="1361">
        <f>M1235</f>
        <v/>
      </c>
      <c r="N268" s="1361">
        <f>N1235</f>
        <v/>
      </c>
      <c r="O268" s="1361">
        <f>O1235</f>
        <v/>
      </c>
      <c r="P268" s="1379">
        <f>P1235</f>
        <v/>
      </c>
      <c r="Q268" s="1361">
        <f>Q1235</f>
        <v/>
      </c>
      <c r="R268" s="1361">
        <f>R1235</f>
        <v/>
      </c>
      <c r="S268" s="1361">
        <f>S1235</f>
        <v/>
      </c>
      <c r="T268" s="1361">
        <f>T1235</f>
        <v/>
      </c>
      <c r="U268" s="1379">
        <f>U1235</f>
        <v/>
      </c>
      <c r="V268" s="1361">
        <f>V1235</f>
        <v/>
      </c>
      <c r="W268" s="1361">
        <f>W1235</f>
        <v/>
      </c>
      <c r="X268" s="1361">
        <f>X1235</f>
        <v/>
      </c>
      <c r="Y268" s="1361">
        <f>Y1235</f>
        <v/>
      </c>
      <c r="Z268" s="1379">
        <f>Z1235</f>
        <v/>
      </c>
      <c r="AA268" s="1361">
        <f>AA1235</f>
        <v/>
      </c>
      <c r="AB268" s="1361">
        <f>AB1235</f>
        <v/>
      </c>
      <c r="AC268" s="1361">
        <f>AC1235</f>
        <v/>
      </c>
      <c r="AD268" s="1361">
        <f>AD1235</f>
        <v/>
      </c>
      <c r="AE268" s="1379">
        <f>AE1235</f>
        <v/>
      </c>
      <c r="AF268" s="1361">
        <f>AF1235</f>
        <v/>
      </c>
      <c r="AG268" s="1361">
        <f>AG1235</f>
        <v/>
      </c>
      <c r="AH268" s="1361">
        <f>AH1235</f>
        <v/>
      </c>
      <c r="AI268" s="1361">
        <f>AI1235</f>
        <v/>
      </c>
      <c r="AJ268" s="1379">
        <f>AJ1235</f>
        <v/>
      </c>
      <c r="AK268" s="1361">
        <f>AK1235</f>
        <v/>
      </c>
      <c r="AL268" s="1361">
        <f>AL1235</f>
        <v/>
      </c>
      <c r="AM268" s="1361">
        <f>AM1235</f>
        <v/>
      </c>
      <c r="AN268" s="1361">
        <f>AN1235</f>
        <v/>
      </c>
      <c r="AO268" s="1379">
        <f>AO1235</f>
        <v/>
      </c>
      <c r="AP268" s="1361">
        <f>AP1235</f>
        <v/>
      </c>
      <c r="AQ268" s="1361">
        <f>AQ1235</f>
        <v/>
      </c>
      <c r="AR268" s="1361">
        <f>AR1235</f>
        <v/>
      </c>
      <c r="AS268" s="1361">
        <f>AS1235</f>
        <v/>
      </c>
      <c r="AT268" s="1379">
        <f>AT1235</f>
        <v/>
      </c>
      <c r="AU268" s="1361">
        <f>AU1235</f>
        <v/>
      </c>
      <c r="AV268" s="1361">
        <f>AV1235</f>
        <v/>
      </c>
      <c r="AW268" s="1361">
        <f>AW1235</f>
        <v/>
      </c>
      <c r="AX268" s="1361">
        <f>AX1235</f>
        <v/>
      </c>
      <c r="AY268" s="1379">
        <f>AY1235</f>
        <v/>
      </c>
      <c r="AZ268" s="1361">
        <f>AZ1235</f>
        <v/>
      </c>
      <c r="BA268" s="1361">
        <f>BA1235</f>
        <v/>
      </c>
      <c r="BB268" s="1361">
        <f>BB1235</f>
        <v/>
      </c>
      <c r="BC268" s="1361">
        <f>BC1235</f>
        <v/>
      </c>
      <c r="BD268" s="1379">
        <f>BD1235</f>
        <v/>
      </c>
      <c r="BE268" s="1361">
        <f>BE1235</f>
        <v/>
      </c>
      <c r="BF268" s="1361">
        <f>BF1235</f>
        <v/>
      </c>
      <c r="BG268" s="1361">
        <f>BG1235</f>
        <v/>
      </c>
      <c r="BH268" s="1361">
        <f>BH1235</f>
        <v/>
      </c>
      <c r="BI268" s="1379">
        <f>BI1235</f>
        <v/>
      </c>
      <c r="BJ268" s="1361">
        <f>BJ1235</f>
        <v/>
      </c>
      <c r="BK268" s="1361">
        <f>BK1235</f>
        <v/>
      </c>
      <c r="BL268" s="1361">
        <f>BL1235</f>
        <v/>
      </c>
      <c r="BM268" s="1361">
        <f>BM1235</f>
        <v/>
      </c>
      <c r="BN268" s="1379">
        <f>BN1235</f>
        <v/>
      </c>
      <c r="BO268" s="1361">
        <f>BO1235</f>
        <v/>
      </c>
      <c r="BP268" s="1361">
        <f>BP1235</f>
        <v/>
      </c>
      <c r="BQ268" s="1363">
        <f>BQ1235</f>
        <v/>
      </c>
      <c r="BR268" s="1361" t="n"/>
      <c r="BS268" s="1379" t="n"/>
      <c r="BT268" s="1361" t="n"/>
      <c r="BU268" s="1361" t="n"/>
      <c r="BV268" s="1361" t="n"/>
      <c r="BW268" s="1361" t="n"/>
      <c r="BX268" s="1379" t="n"/>
      <c r="BY268" s="1379" t="n"/>
      <c r="BZ268" s="1379" t="n"/>
      <c r="CA268" s="1379" t="n"/>
      <c r="CB268" s="1364" t="n"/>
    </row>
    <row r="269" hidden="1" outlineLevel="2" ht="14.4" customFormat="1" customHeight="1" s="1372">
      <c r="A269" s="1535" t="inlineStr">
        <is>
          <t>Total deferred revenue, mm</t>
        </is>
      </c>
      <c r="B269" s="1401" t="n"/>
      <c r="C269" s="1405">
        <f>SUM(C267:C268)</f>
        <v/>
      </c>
      <c r="D269" s="1405">
        <f>SUM(D267:D268)</f>
        <v/>
      </c>
      <c r="E269" s="1405">
        <f>SUM(E267:E268)</f>
        <v/>
      </c>
      <c r="F269" s="1405">
        <f>SUM(F267:F268)</f>
        <v/>
      </c>
      <c r="G269" s="1404">
        <f>SUM(G267:G268)</f>
        <v/>
      </c>
      <c r="H269" s="1404">
        <f>SUM(H267:H268)</f>
        <v/>
      </c>
      <c r="I269" s="1404">
        <f>SUM(I267:I268)</f>
        <v/>
      </c>
      <c r="J269" s="1404">
        <f>SUM(J267:J268)</f>
        <v/>
      </c>
      <c r="K269" s="1405">
        <f>SUM(K267:K268)</f>
        <v/>
      </c>
      <c r="L269" s="1404">
        <f>SUM(L267:L268)</f>
        <v/>
      </c>
      <c r="M269" s="1404">
        <f>SUM(M267:M268)</f>
        <v/>
      </c>
      <c r="N269" s="1404">
        <f>SUM(N267:N268)</f>
        <v/>
      </c>
      <c r="O269" s="1404">
        <f>SUM(O267:O268)</f>
        <v/>
      </c>
      <c r="P269" s="1405">
        <f>SUM(P267:P268)</f>
        <v/>
      </c>
      <c r="Q269" s="1404">
        <f>SUM(Q267:Q268)</f>
        <v/>
      </c>
      <c r="R269" s="1404">
        <f>SUM(R267:R268)</f>
        <v/>
      </c>
      <c r="S269" s="1404">
        <f>SUM(S267:S268)</f>
        <v/>
      </c>
      <c r="T269" s="1404">
        <f>SUM(T267:T268)</f>
        <v/>
      </c>
      <c r="U269" s="1405">
        <f>SUM(U267:U268)</f>
        <v/>
      </c>
      <c r="V269" s="1404">
        <f>SUM(V267:V268)</f>
        <v/>
      </c>
      <c r="W269" s="1404">
        <f>SUM(W267:W268)</f>
        <v/>
      </c>
      <c r="X269" s="1404">
        <f>SUM(X267:X268)</f>
        <v/>
      </c>
      <c r="Y269" s="1404">
        <f>SUM(Y267:Y268)</f>
        <v/>
      </c>
      <c r="Z269" s="1405">
        <f>SUM(Z267:Z268)</f>
        <v/>
      </c>
      <c r="AA269" s="1404">
        <f>SUM(AA267:AA268)</f>
        <v/>
      </c>
      <c r="AB269" s="1404">
        <f>SUM(AB267:AB268)</f>
        <v/>
      </c>
      <c r="AC269" s="1404">
        <f>SUM(AC267:AC268)</f>
        <v/>
      </c>
      <c r="AD269" s="1404">
        <f>SUM(AD267:AD268)</f>
        <v/>
      </c>
      <c r="AE269" s="1405">
        <f>SUM(AE267:AE268)</f>
        <v/>
      </c>
      <c r="AF269" s="1404">
        <f>SUM(AF267:AF268)</f>
        <v/>
      </c>
      <c r="AG269" s="1404">
        <f>SUM(AG267:AG268)</f>
        <v/>
      </c>
      <c r="AH269" s="1404">
        <f>SUM(AH267:AH268)</f>
        <v/>
      </c>
      <c r="AI269" s="1404">
        <f>SUM(AI267:AI268)</f>
        <v/>
      </c>
      <c r="AJ269" s="1405">
        <f>SUM(AJ267:AJ268)</f>
        <v/>
      </c>
      <c r="AK269" s="1404">
        <f>SUM(AK267:AK268)</f>
        <v/>
      </c>
      <c r="AL269" s="1404">
        <f>SUM(AL267:AL268)</f>
        <v/>
      </c>
      <c r="AM269" s="1404">
        <f>SUM(AM267:AM268)</f>
        <v/>
      </c>
      <c r="AN269" s="1404">
        <f>SUM(AN267:AN268)</f>
        <v/>
      </c>
      <c r="AO269" s="1405">
        <f>SUM(AO267:AO268)</f>
        <v/>
      </c>
      <c r="AP269" s="1404">
        <f>SUM(AP267:AP268)</f>
        <v/>
      </c>
      <c r="AQ269" s="1404">
        <f>SUM(AQ267:AQ268)</f>
        <v/>
      </c>
      <c r="AR269" s="1404">
        <f>SUM(AR267:AR268)</f>
        <v/>
      </c>
      <c r="AS269" s="1404">
        <f>SUM(AS267:AS268)</f>
        <v/>
      </c>
      <c r="AT269" s="1405">
        <f>SUM(AT267:AT268)</f>
        <v/>
      </c>
      <c r="AU269" s="1404">
        <f>SUM(AU267:AU268)</f>
        <v/>
      </c>
      <c r="AV269" s="1404">
        <f>SUM(AV267:AV268)</f>
        <v/>
      </c>
      <c r="AW269" s="1404">
        <f>SUM(AW267:AW268)</f>
        <v/>
      </c>
      <c r="AX269" s="1404">
        <f>SUM(AX267:AX268)</f>
        <v/>
      </c>
      <c r="AY269" s="1405">
        <f>SUM(AY267:AY268)</f>
        <v/>
      </c>
      <c r="AZ269" s="1404">
        <f>SUM(AZ267:AZ268)</f>
        <v/>
      </c>
      <c r="BA269" s="1404">
        <f>SUM(BA267:BA268)</f>
        <v/>
      </c>
      <c r="BB269" s="1404">
        <f>SUM(BB267:BB268)</f>
        <v/>
      </c>
      <c r="BC269" s="1404">
        <f>SUM(BC267:BC268)</f>
        <v/>
      </c>
      <c r="BD269" s="1405">
        <f>SUM(BD267:BD268)</f>
        <v/>
      </c>
      <c r="BE269" s="1404">
        <f>SUM(BE267:BE268)</f>
        <v/>
      </c>
      <c r="BF269" s="1404">
        <f>SUM(BF267:BF268)</f>
        <v/>
      </c>
      <c r="BG269" s="1404">
        <f>SUM(BG267:BG268)</f>
        <v/>
      </c>
      <c r="BH269" s="1404">
        <f>SUM(BH267:BH268)</f>
        <v/>
      </c>
      <c r="BI269" s="1405">
        <f>SUM(BI267:BI268)</f>
        <v/>
      </c>
      <c r="BJ269" s="1404">
        <f>SUM(BJ267:BJ268)</f>
        <v/>
      </c>
      <c r="BK269" s="1404">
        <f>SUM(BK267:BK268)</f>
        <v/>
      </c>
      <c r="BL269" s="1404">
        <f>SUM(BL267:BL268)</f>
        <v/>
      </c>
      <c r="BM269" s="1404">
        <f>SUM(BM267:BM268)</f>
        <v/>
      </c>
      <c r="BN269" s="1405">
        <f>SUM(BN267:BN268)</f>
        <v/>
      </c>
      <c r="BO269" s="1404">
        <f>SUM(BO267:BO268)</f>
        <v/>
      </c>
      <c r="BP269" s="1404">
        <f>SUM(BP267:BP268)</f>
        <v/>
      </c>
      <c r="BQ269" s="1536">
        <f>SUM(BQ267:BQ268)</f>
        <v/>
      </c>
      <c r="BR269" s="1404" t="n"/>
      <c r="BS269" s="1405" t="n"/>
      <c r="BT269" s="1404" t="n"/>
      <c r="BU269" s="1404" t="n"/>
      <c r="BV269" s="1404" t="n"/>
      <c r="BW269" s="1404" t="n"/>
      <c r="BX269" s="1405" t="n"/>
      <c r="BY269" s="1405" t="n"/>
      <c r="BZ269" s="1405" t="n"/>
      <c r="CA269" s="1405" t="n"/>
      <c r="CB269" s="1375" t="n"/>
    </row>
    <row r="270" hidden="1" outlineLevel="2" ht="14.4" customFormat="1" customHeight="1" s="1538">
      <c r="A270" s="1539" t="n"/>
      <c r="B270" s="1540" t="n"/>
      <c r="C270" s="1541" t="n"/>
      <c r="D270" s="1541" t="n"/>
      <c r="E270" s="1541" t="n"/>
      <c r="F270" s="1541" t="n"/>
      <c r="G270" s="1542" t="n"/>
      <c r="H270" s="1542" t="n"/>
      <c r="I270" s="1542" t="n"/>
      <c r="J270" s="1542" t="n"/>
      <c r="K270" s="1541" t="n"/>
      <c r="L270" s="1542" t="n"/>
      <c r="M270" s="1542" t="n"/>
      <c r="N270" s="1542" t="n"/>
      <c r="O270" s="1542" t="n"/>
      <c r="P270" s="1541" t="n"/>
      <c r="Q270" s="1542" t="n"/>
      <c r="R270" s="1542" t="n"/>
      <c r="S270" s="1542" t="n"/>
      <c r="T270" s="1542" t="n"/>
      <c r="U270" s="1541" t="n"/>
      <c r="V270" s="1542" t="n"/>
      <c r="W270" s="1542" t="n"/>
      <c r="X270" s="1542" t="n"/>
      <c r="Y270" s="1542" t="n"/>
      <c r="Z270" s="1541" t="n"/>
      <c r="AA270" s="1542" t="n"/>
      <c r="AB270" s="1542" t="n"/>
      <c r="AC270" s="1542" t="n"/>
      <c r="AD270" s="1542" t="n"/>
      <c r="AE270" s="1541" t="n"/>
      <c r="AF270" s="1542" t="n"/>
      <c r="AG270" s="1542" t="n"/>
      <c r="AH270" s="1542" t="n"/>
      <c r="AI270" s="1542" t="n"/>
      <c r="AJ270" s="1541" t="n"/>
      <c r="AK270" s="1542" t="n"/>
      <c r="AL270" s="1542" t="n"/>
      <c r="AM270" s="1542" t="n"/>
      <c r="AN270" s="1542" t="n"/>
      <c r="AO270" s="1541" t="n"/>
      <c r="AP270" s="1542" t="n"/>
      <c r="AQ270" s="1542" t="n"/>
      <c r="AR270" s="1542" t="n"/>
      <c r="AS270" s="1542" t="n"/>
      <c r="AT270" s="1541" t="n"/>
      <c r="AU270" s="1542" t="n"/>
      <c r="AV270" s="1542" t="n"/>
      <c r="AW270" s="1542" t="n"/>
      <c r="AX270" s="1542" t="n"/>
      <c r="AY270" s="1541" t="n"/>
      <c r="AZ270" s="1542" t="n"/>
      <c r="BA270" s="1542" t="n"/>
      <c r="BB270" s="1542" t="n"/>
      <c r="BC270" s="1542" t="n"/>
      <c r="BD270" s="1541" t="n"/>
      <c r="BE270" s="1542" t="n"/>
      <c r="BF270" s="1542" t="n"/>
      <c r="BG270" s="1542" t="n"/>
      <c r="BH270" s="1542" t="n"/>
      <c r="BI270" s="1541" t="n"/>
      <c r="BJ270" s="1542" t="n"/>
      <c r="BK270" s="1542" t="n"/>
      <c r="BL270" s="1542" t="n"/>
      <c r="BM270" s="1542" t="n"/>
      <c r="BN270" s="1541" t="n"/>
      <c r="BO270" s="1542" t="n"/>
      <c r="BP270" s="1542" t="n"/>
      <c r="BQ270" s="1543" t="n"/>
      <c r="BR270" s="1542" t="n"/>
      <c r="BS270" s="1541" t="n"/>
      <c r="BT270" s="1542" t="n"/>
      <c r="BU270" s="1542" t="n"/>
      <c r="BV270" s="1542" t="n"/>
      <c r="BW270" s="1542" t="n"/>
      <c r="BX270" s="1541" t="n"/>
      <c r="BY270" s="1541" t="n"/>
      <c r="BZ270" s="1541" t="n"/>
      <c r="CA270" s="1541" t="n"/>
      <c r="CB270" s="1544" t="n"/>
    </row>
    <row r="271" hidden="1" outlineLevel="2" ht="14.4" customFormat="1" customHeight="1" s="1460">
      <c r="A271" s="1492" t="inlineStr">
        <is>
          <t>Short-term deferred revenue as % of total deferred revenue, %</t>
        </is>
      </c>
      <c r="B271" s="1462" t="n"/>
      <c r="C271" s="1463">
        <f>C267/C269</f>
        <v/>
      </c>
      <c r="D271" s="1463">
        <f>D267/D269</f>
        <v/>
      </c>
      <c r="E271" s="1463">
        <f>E267/E269</f>
        <v/>
      </c>
      <c r="F271" s="1463">
        <f>F267/F269</f>
        <v/>
      </c>
      <c r="G271" s="1466">
        <f>G267/G269</f>
        <v/>
      </c>
      <c r="H271" s="1466">
        <f>H267/H269</f>
        <v/>
      </c>
      <c r="I271" s="1466">
        <f>I267/I269</f>
        <v/>
      </c>
      <c r="J271" s="1466">
        <f>J267/J269</f>
        <v/>
      </c>
      <c r="K271" s="1463">
        <f>K267/K269</f>
        <v/>
      </c>
      <c r="L271" s="1466">
        <f>L267/L269</f>
        <v/>
      </c>
      <c r="M271" s="1466">
        <f>M267/M269</f>
        <v/>
      </c>
      <c r="N271" s="1466">
        <f>N267/N269</f>
        <v/>
      </c>
      <c r="O271" s="1466">
        <f>O267/O269</f>
        <v/>
      </c>
      <c r="P271" s="1463">
        <f>P267/P269</f>
        <v/>
      </c>
      <c r="Q271" s="1466">
        <f>Q267/Q269</f>
        <v/>
      </c>
      <c r="R271" s="1466">
        <f>R267/R269</f>
        <v/>
      </c>
      <c r="S271" s="1466">
        <f>S267/S269</f>
        <v/>
      </c>
      <c r="T271" s="1466">
        <f>T267/T269</f>
        <v/>
      </c>
      <c r="U271" s="1463">
        <f>U267/U269</f>
        <v/>
      </c>
      <c r="V271" s="1466">
        <f>V267/V269</f>
        <v/>
      </c>
      <c r="W271" s="1466">
        <f>W267/W269</f>
        <v/>
      </c>
      <c r="X271" s="1466">
        <f>X267/X269</f>
        <v/>
      </c>
      <c r="Y271" s="1466">
        <f>Y267/Y269</f>
        <v/>
      </c>
      <c r="Z271" s="1463">
        <f>Z267/Z269</f>
        <v/>
      </c>
      <c r="AA271" s="1466">
        <f>AA267/AA269</f>
        <v/>
      </c>
      <c r="AB271" s="1466">
        <f>AB267/AB269</f>
        <v/>
      </c>
      <c r="AC271" s="1466">
        <f>AC267/AC269</f>
        <v/>
      </c>
      <c r="AD271" s="1466">
        <f>AD267/AD269</f>
        <v/>
      </c>
      <c r="AE271" s="1463">
        <f>AE267/AE269</f>
        <v/>
      </c>
      <c r="AF271" s="1466">
        <f>AF267/AF269</f>
        <v/>
      </c>
      <c r="AG271" s="1466">
        <f>AG267/AG269</f>
        <v/>
      </c>
      <c r="AH271" s="1466">
        <f>AH267/AH269</f>
        <v/>
      </c>
      <c r="AI271" s="1466">
        <f>AI267/AI269</f>
        <v/>
      </c>
      <c r="AJ271" s="1463">
        <f>AJ267/AJ269</f>
        <v/>
      </c>
      <c r="AK271" s="1466">
        <f>AK267/AK269</f>
        <v/>
      </c>
      <c r="AL271" s="1466">
        <f>AL267/AL269</f>
        <v/>
      </c>
      <c r="AM271" s="1466">
        <f>AM267/AM269</f>
        <v/>
      </c>
      <c r="AN271" s="1466">
        <f>AN267/AN269</f>
        <v/>
      </c>
      <c r="AO271" s="1463">
        <f>AO267/AO269</f>
        <v/>
      </c>
      <c r="AP271" s="1466">
        <f>AP267/AP269</f>
        <v/>
      </c>
      <c r="AQ271" s="1466">
        <f>AQ267/AQ269</f>
        <v/>
      </c>
      <c r="AR271" s="1466">
        <f>AR267/AR269</f>
        <v/>
      </c>
      <c r="AS271" s="1466">
        <f>AS267/AS269</f>
        <v/>
      </c>
      <c r="AT271" s="1463">
        <f>AT267/AT269</f>
        <v/>
      </c>
      <c r="AU271" s="1466">
        <f>AU267/AU269</f>
        <v/>
      </c>
      <c r="AV271" s="1466">
        <f>AV267/AV269</f>
        <v/>
      </c>
      <c r="AW271" s="1466">
        <f>AW267/AW269</f>
        <v/>
      </c>
      <c r="AX271" s="1466">
        <f>AX267/AX269</f>
        <v/>
      </c>
      <c r="AY271" s="1463">
        <f>AY267/AY269</f>
        <v/>
      </c>
      <c r="AZ271" s="1466">
        <f>AZ267/AZ269</f>
        <v/>
      </c>
      <c r="BA271" s="1466">
        <f>BA267/BA269</f>
        <v/>
      </c>
      <c r="BB271" s="1466">
        <f>BB267/BB269</f>
        <v/>
      </c>
      <c r="BC271" s="1466">
        <f>BC267/BC269</f>
        <v/>
      </c>
      <c r="BD271" s="1463">
        <f>BD267/BD269</f>
        <v/>
      </c>
      <c r="BE271" s="1466">
        <f>BE267/BE269</f>
        <v/>
      </c>
      <c r="BF271" s="1466">
        <f>BF267/BF269</f>
        <v/>
      </c>
      <c r="BG271" s="1466">
        <f>BG267/BG269</f>
        <v/>
      </c>
      <c r="BH271" s="1466">
        <f>BH267/BH269</f>
        <v/>
      </c>
      <c r="BI271" s="1463">
        <f>BI267/BI269</f>
        <v/>
      </c>
      <c r="BJ271" s="1466">
        <f>BJ267/BJ269</f>
        <v/>
      </c>
      <c r="BK271" s="1466">
        <f>BK267/BK269</f>
        <v/>
      </c>
      <c r="BL271" s="1466">
        <f>BL267/BL269</f>
        <v/>
      </c>
      <c r="BM271" s="1466">
        <f>BM267/BM269</f>
        <v/>
      </c>
      <c r="BN271" s="1463">
        <f>BN267/BN269</f>
        <v/>
      </c>
      <c r="BO271" s="1466">
        <f>BO267/BO269</f>
        <v/>
      </c>
      <c r="BP271" s="1466">
        <f>BP267/BP269</f>
        <v/>
      </c>
      <c r="BQ271" s="1491">
        <f>BQ267/BQ269</f>
        <v/>
      </c>
      <c r="BR271" s="1466" t="n"/>
      <c r="BS271" s="1463" t="n"/>
      <c r="BT271" s="1466" t="n"/>
      <c r="BU271" s="1466" t="n"/>
      <c r="BV271" s="1466" t="n"/>
      <c r="BW271" s="1466" t="n"/>
      <c r="BX271" s="1463" t="n"/>
      <c r="BY271" s="1463" t="n"/>
      <c r="BZ271" s="1463" t="n"/>
      <c r="CA271" s="1463" t="n"/>
      <c r="CB271" s="1465" t="n"/>
    </row>
    <row r="272" hidden="1" outlineLevel="2" ht="14.4" customFormat="1" customHeight="1" s="1460">
      <c r="A272" s="1492" t="inlineStr">
        <is>
          <t>Long-term deferred revenue as % of total deferred revenue, %</t>
        </is>
      </c>
      <c r="B272" s="1462" t="n"/>
      <c r="C272" s="1463">
        <f>C268/C269</f>
        <v/>
      </c>
      <c r="D272" s="1463">
        <f>D268/D269</f>
        <v/>
      </c>
      <c r="E272" s="1463">
        <f>E268/E269</f>
        <v/>
      </c>
      <c r="F272" s="1463">
        <f>F268/F269</f>
        <v/>
      </c>
      <c r="G272" s="1466">
        <f>G268/G269</f>
        <v/>
      </c>
      <c r="H272" s="1466">
        <f>H268/H269</f>
        <v/>
      </c>
      <c r="I272" s="1466">
        <f>I268/I269</f>
        <v/>
      </c>
      <c r="J272" s="1466">
        <f>J268/J269</f>
        <v/>
      </c>
      <c r="K272" s="1463">
        <f>K268/K269</f>
        <v/>
      </c>
      <c r="L272" s="1466">
        <f>L268/L269</f>
        <v/>
      </c>
      <c r="M272" s="1466">
        <f>M268/M269</f>
        <v/>
      </c>
      <c r="N272" s="1466">
        <f>N268/N269</f>
        <v/>
      </c>
      <c r="O272" s="1466">
        <f>O268/O269</f>
        <v/>
      </c>
      <c r="P272" s="1463">
        <f>P268/P269</f>
        <v/>
      </c>
      <c r="Q272" s="1466">
        <f>Q268/Q269</f>
        <v/>
      </c>
      <c r="R272" s="1466">
        <f>R268/R269</f>
        <v/>
      </c>
      <c r="S272" s="1466">
        <f>S268/S269</f>
        <v/>
      </c>
      <c r="T272" s="1466">
        <f>T268/T269</f>
        <v/>
      </c>
      <c r="U272" s="1463">
        <f>U268/U269</f>
        <v/>
      </c>
      <c r="V272" s="1466">
        <f>V268/V269</f>
        <v/>
      </c>
      <c r="W272" s="1466">
        <f>W268/W269</f>
        <v/>
      </c>
      <c r="X272" s="1466">
        <f>X268/X269</f>
        <v/>
      </c>
      <c r="Y272" s="1466">
        <f>Y268/Y269</f>
        <v/>
      </c>
      <c r="Z272" s="1463">
        <f>Z268/Z269</f>
        <v/>
      </c>
      <c r="AA272" s="1466">
        <f>AA268/AA269</f>
        <v/>
      </c>
      <c r="AB272" s="1466">
        <f>AB268/AB269</f>
        <v/>
      </c>
      <c r="AC272" s="1466">
        <f>AC268/AC269</f>
        <v/>
      </c>
      <c r="AD272" s="1466">
        <f>AD268/AD269</f>
        <v/>
      </c>
      <c r="AE272" s="1463">
        <f>AE268/AE269</f>
        <v/>
      </c>
      <c r="AF272" s="1466">
        <f>AF268/AF269</f>
        <v/>
      </c>
      <c r="AG272" s="1466">
        <f>AG268/AG269</f>
        <v/>
      </c>
      <c r="AH272" s="1466">
        <f>AH268/AH269</f>
        <v/>
      </c>
      <c r="AI272" s="1466">
        <f>AI268/AI269</f>
        <v/>
      </c>
      <c r="AJ272" s="1463">
        <f>AJ268/AJ269</f>
        <v/>
      </c>
      <c r="AK272" s="1466">
        <f>AK268/AK269</f>
        <v/>
      </c>
      <c r="AL272" s="1466">
        <f>AL268/AL269</f>
        <v/>
      </c>
      <c r="AM272" s="1466">
        <f>AM268/AM269</f>
        <v/>
      </c>
      <c r="AN272" s="1466">
        <f>AN268/AN269</f>
        <v/>
      </c>
      <c r="AO272" s="1463">
        <f>AO268/AO269</f>
        <v/>
      </c>
      <c r="AP272" s="1466">
        <f>AP268/AP269</f>
        <v/>
      </c>
      <c r="AQ272" s="1466">
        <f>AQ268/AQ269</f>
        <v/>
      </c>
      <c r="AR272" s="1466">
        <f>AR268/AR269</f>
        <v/>
      </c>
      <c r="AS272" s="1466">
        <f>AS268/AS269</f>
        <v/>
      </c>
      <c r="AT272" s="1463">
        <f>AT268/AT269</f>
        <v/>
      </c>
      <c r="AU272" s="1466">
        <f>AU268/AU269</f>
        <v/>
      </c>
      <c r="AV272" s="1466">
        <f>AV268/AV269</f>
        <v/>
      </c>
      <c r="AW272" s="1466">
        <f>AW268/AW269</f>
        <v/>
      </c>
      <c r="AX272" s="1466">
        <f>AX268/AX269</f>
        <v/>
      </c>
      <c r="AY272" s="1463">
        <f>AY268/AY269</f>
        <v/>
      </c>
      <c r="AZ272" s="1466">
        <f>AZ268/AZ269</f>
        <v/>
      </c>
      <c r="BA272" s="1466">
        <f>BA268/BA269</f>
        <v/>
      </c>
      <c r="BB272" s="1466">
        <f>BB268/BB269</f>
        <v/>
      </c>
      <c r="BC272" s="1466">
        <f>BC268/BC269</f>
        <v/>
      </c>
      <c r="BD272" s="1463">
        <f>BD268/BD269</f>
        <v/>
      </c>
      <c r="BE272" s="1466">
        <f>BE268/BE269</f>
        <v/>
      </c>
      <c r="BF272" s="1466">
        <f>BF268/BF269</f>
        <v/>
      </c>
      <c r="BG272" s="1466">
        <f>BG268/BG269</f>
        <v/>
      </c>
      <c r="BH272" s="1466">
        <f>BH268/BH269</f>
        <v/>
      </c>
      <c r="BI272" s="1463">
        <f>BI268/BI269</f>
        <v/>
      </c>
      <c r="BJ272" s="1466">
        <f>BJ268/BJ269</f>
        <v/>
      </c>
      <c r="BK272" s="1466">
        <f>BK268/BK269</f>
        <v/>
      </c>
      <c r="BL272" s="1466">
        <f>BL268/BL269</f>
        <v/>
      </c>
      <c r="BM272" s="1466">
        <f>BM268/BM269</f>
        <v/>
      </c>
      <c r="BN272" s="1463">
        <f>BN268/BN269</f>
        <v/>
      </c>
      <c r="BO272" s="1466">
        <f>BO268/BO269</f>
        <v/>
      </c>
      <c r="BP272" s="1466">
        <f>BP268/BP269</f>
        <v/>
      </c>
      <c r="BQ272" s="1491">
        <f>BQ268/BQ269</f>
        <v/>
      </c>
      <c r="BR272" s="1466" t="n"/>
      <c r="BS272" s="1463" t="n"/>
      <c r="BT272" s="1466" t="n"/>
      <c r="BU272" s="1466" t="n"/>
      <c r="BV272" s="1466" t="n"/>
      <c r="BW272" s="1466" t="n"/>
      <c r="BX272" s="1463" t="n"/>
      <c r="BY272" s="1463" t="n"/>
      <c r="BZ272" s="1463" t="n"/>
      <c r="CA272" s="1463" t="n"/>
      <c r="CB272" s="1465" t="n"/>
    </row>
    <row r="273" hidden="1" outlineLevel="2" ht="14.4" customFormat="1" customHeight="1" s="1359">
      <c r="A273" s="1503" t="n"/>
      <c r="B273" s="1377" t="n"/>
      <c r="C273" s="1379" t="n"/>
      <c r="D273" s="1379" t="n"/>
      <c r="E273" s="1379" t="n"/>
      <c r="F273" s="1379" t="n"/>
      <c r="G273" s="1361" t="n"/>
      <c r="H273" s="1361" t="n"/>
      <c r="I273" s="1361" t="n"/>
      <c r="J273" s="1361" t="n"/>
      <c r="K273" s="1379" t="n"/>
      <c r="L273" s="1361" t="n"/>
      <c r="M273" s="1361" t="n"/>
      <c r="N273" s="1361" t="n"/>
      <c r="O273" s="1361" t="n"/>
      <c r="P273" s="1379" t="n"/>
      <c r="Q273" s="1361" t="n"/>
      <c r="R273" s="1361" t="n"/>
      <c r="S273" s="1361" t="n"/>
      <c r="T273" s="1361" t="n"/>
      <c r="U273" s="1379" t="n"/>
      <c r="V273" s="1361" t="n"/>
      <c r="W273" s="1361" t="n"/>
      <c r="X273" s="1361" t="n"/>
      <c r="Y273" s="1361" t="n"/>
      <c r="Z273" s="1379" t="n"/>
      <c r="AA273" s="1361" t="n"/>
      <c r="AB273" s="1361" t="n"/>
      <c r="AC273" s="1361" t="n"/>
      <c r="AD273" s="1361" t="n"/>
      <c r="AE273" s="1379" t="n"/>
      <c r="AF273" s="1361" t="n"/>
      <c r="AG273" s="1361" t="n"/>
      <c r="AH273" s="1361" t="n"/>
      <c r="AI273" s="1361" t="n"/>
      <c r="AJ273" s="1379" t="n"/>
      <c r="AK273" s="1361" t="n"/>
      <c r="AL273" s="1361" t="n"/>
      <c r="AM273" s="1361" t="n"/>
      <c r="AN273" s="1361" t="n"/>
      <c r="AO273" s="1379" t="n"/>
      <c r="AP273" s="1361" t="n"/>
      <c r="AQ273" s="1361" t="n"/>
      <c r="AR273" s="1361" t="n"/>
      <c r="AS273" s="1361" t="n"/>
      <c r="AT273" s="1379" t="n"/>
      <c r="AU273" s="1361" t="n"/>
      <c r="AV273" s="1361" t="n"/>
      <c r="AW273" s="1361" t="n"/>
      <c r="AX273" s="1361" t="n"/>
      <c r="AY273" s="1379" t="n"/>
      <c r="AZ273" s="1361" t="n"/>
      <c r="BA273" s="1361" t="n"/>
      <c r="BB273" s="1361" t="n"/>
      <c r="BC273" s="1361" t="n"/>
      <c r="BD273" s="1379" t="n"/>
      <c r="BE273" s="1361" t="n"/>
      <c r="BF273" s="1361" t="n"/>
      <c r="BG273" s="1361" t="n"/>
      <c r="BH273" s="1361" t="n"/>
      <c r="BI273" s="1379" t="n"/>
      <c r="BJ273" s="1361" t="n"/>
      <c r="BK273" s="1361" t="n"/>
      <c r="BL273" s="1361" t="n"/>
      <c r="BM273" s="1361" t="n"/>
      <c r="BN273" s="1379" t="n"/>
      <c r="BO273" s="1361" t="n"/>
      <c r="BP273" s="1361" t="n"/>
      <c r="BQ273" s="1363" t="n"/>
      <c r="BR273" s="1361" t="n"/>
      <c r="BS273" s="1379" t="n"/>
      <c r="BT273" s="1361" t="n"/>
      <c r="BU273" s="1361" t="n"/>
      <c r="BV273" s="1361" t="n"/>
      <c r="BW273" s="1361" t="n"/>
      <c r="BX273" s="1379" t="n"/>
      <c r="BY273" s="1379" t="n"/>
      <c r="BZ273" s="1379" t="n"/>
      <c r="CA273" s="1379" t="n"/>
      <c r="CB273" s="1364" t="n"/>
    </row>
    <row r="274" hidden="1" outlineLevel="2" ht="14.4" customFormat="1" customHeight="1" s="1359">
      <c r="A274" s="1490" t="inlineStr">
        <is>
          <t>Revenue recognized from deferred revenue that exist at beginning of the year, mm</t>
        </is>
      </c>
      <c r="B274" s="1377" t="n"/>
      <c r="C274" s="1379" t="n"/>
      <c r="D274" s="1379" t="n"/>
      <c r="E274" s="1379" t="n"/>
      <c r="F274" s="1379" t="n"/>
      <c r="G274" s="1361" t="n"/>
      <c r="H274" s="1361" t="n"/>
      <c r="I274" s="1361" t="n"/>
      <c r="J274" s="1361" t="n"/>
      <c r="K274" s="1379" t="n"/>
      <c r="L274" s="1361" t="n"/>
      <c r="M274" s="1361" t="n"/>
      <c r="N274" s="1361" t="n"/>
      <c r="O274" s="1361" t="n"/>
      <c r="P274" s="1379" t="n"/>
      <c r="Q274" s="1361" t="n"/>
      <c r="R274" s="1361" t="n"/>
      <c r="S274" s="1361" t="n"/>
      <c r="T274" s="1361" t="n"/>
      <c r="U274" s="1379" t="n"/>
      <c r="V274" s="1361" t="n"/>
      <c r="W274" s="1361" t="n"/>
      <c r="X274" s="1361" t="n"/>
      <c r="Y274" s="1361" t="n"/>
      <c r="Z274" s="1379" t="n"/>
      <c r="AA274" s="1361" t="n"/>
      <c r="AB274" s="1361" t="n"/>
      <c r="AC274" s="1361" t="n"/>
      <c r="AD274" s="1361" t="n"/>
      <c r="AE274" s="1379" t="n"/>
      <c r="AF274" s="1493" t="n">
        <v>142.6</v>
      </c>
      <c r="AG274" s="1493" t="n">
        <v>67.7</v>
      </c>
      <c r="AH274" s="1493" t="n">
        <v>39.9</v>
      </c>
      <c r="AI274" s="1361">
        <f>AJ274-AH274-AG274-AF274</f>
        <v/>
      </c>
      <c r="AJ274" s="1494" t="n">
        <v>284.3</v>
      </c>
      <c r="AK274" s="1493" t="n">
        <v>157.9</v>
      </c>
      <c r="AL274" s="1493" t="n">
        <v>88.09999999999999</v>
      </c>
      <c r="AM274" s="1493" t="n">
        <v>44.4</v>
      </c>
      <c r="AN274" s="1361">
        <f>AO274-AM274-AL274-AK274</f>
        <v/>
      </c>
      <c r="AO274" s="1494" t="n">
        <v>311.8</v>
      </c>
      <c r="AP274" s="1493" t="n">
        <v>153.5</v>
      </c>
      <c r="AQ274" s="1493" t="n">
        <v>88.09999999999999</v>
      </c>
      <c r="AR274" s="1493" t="n">
        <v>50.5</v>
      </c>
      <c r="AS274" s="1361">
        <f>AT274-AR274-AQ274-AP274</f>
        <v/>
      </c>
      <c r="AT274" s="1494" t="n">
        <v>345.9</v>
      </c>
      <c r="AU274" s="1493" t="n">
        <v>226.6</v>
      </c>
      <c r="AV274" s="1493" t="n">
        <v>103.4</v>
      </c>
      <c r="AW274" s="1493" t="n">
        <v>59.8</v>
      </c>
      <c r="AX274" s="1361">
        <f>AY274-AW274-AV274-AU274</f>
        <v/>
      </c>
      <c r="AY274" s="1494" t="n">
        <v>430.2</v>
      </c>
      <c r="AZ274" s="1493" t="n">
        <v>281.6</v>
      </c>
      <c r="BA274" s="1493" t="n">
        <v>143.4</v>
      </c>
      <c r="BB274" s="1493" t="n">
        <v>63.9</v>
      </c>
      <c r="BC274" s="1361">
        <f>BD274-BB274-BA274-AZ274</f>
        <v/>
      </c>
      <c r="BD274" s="1494" t="n">
        <v>540.7</v>
      </c>
      <c r="BE274" s="1493" t="n">
        <v>363.2</v>
      </c>
      <c r="BF274" s="1493" t="n">
        <v>162.6</v>
      </c>
      <c r="BG274" s="1493" t="n">
        <v>106.6</v>
      </c>
      <c r="BH274" s="1361">
        <f>BI274-BG274-BF274-BE274</f>
        <v/>
      </c>
      <c r="BI274" s="1494" t="n">
        <v>689.7</v>
      </c>
      <c r="BJ274" s="1493" t="n">
        <v>324.4</v>
      </c>
      <c r="BK274" s="1493" t="n">
        <v>185.9</v>
      </c>
      <c r="BL274" s="1493" t="n">
        <v>106.1</v>
      </c>
      <c r="BM274" s="1361">
        <f>BN274-BL274-BK274-BJ274</f>
        <v/>
      </c>
      <c r="BN274" s="1494" t="n">
        <v>669.9</v>
      </c>
      <c r="BO274" s="1493" t="n">
        <v>390.1</v>
      </c>
      <c r="BP274" s="1493" t="n">
        <v>193.6</v>
      </c>
      <c r="BQ274" s="1502" t="n">
        <v>102.5</v>
      </c>
      <c r="BR274" s="1361" t="n"/>
      <c r="BS274" s="1379" t="n"/>
      <c r="BT274" s="1361" t="n"/>
      <c r="BU274" s="1361" t="n"/>
      <c r="BV274" s="1361" t="n"/>
      <c r="BW274" s="1361" t="n"/>
      <c r="BX274" s="1379" t="n"/>
      <c r="BY274" s="1379" t="n"/>
      <c r="BZ274" s="1379" t="n"/>
      <c r="CA274" s="1379" t="n"/>
      <c r="CB274" s="1364" t="n"/>
    </row>
    <row r="275" hidden="1" outlineLevel="2" ht="14.4" customFormat="1" customHeight="1" s="1359">
      <c r="A275" s="1503" t="inlineStr">
        <is>
          <t>YTD Revenue recognized from beginning of the year deferred revenue balance, mm</t>
        </is>
      </c>
      <c r="B275" s="1377" t="n"/>
      <c r="C275" s="1379" t="n"/>
      <c r="D275" s="1379" t="n"/>
      <c r="E275" s="1379" t="n"/>
      <c r="F275" s="1379" t="n"/>
      <c r="G275" s="1361" t="n"/>
      <c r="H275" s="1361" t="n"/>
      <c r="I275" s="1361" t="n"/>
      <c r="J275" s="1361" t="n"/>
      <c r="K275" s="1379" t="n"/>
      <c r="L275" s="1361" t="n"/>
      <c r="M275" s="1361" t="n"/>
      <c r="N275" s="1361" t="n"/>
      <c r="O275" s="1361" t="n"/>
      <c r="P275" s="1379" t="n"/>
      <c r="Q275" s="1361" t="n"/>
      <c r="R275" s="1361" t="n"/>
      <c r="S275" s="1361" t="n"/>
      <c r="T275" s="1361" t="n"/>
      <c r="U275" s="1379" t="n"/>
      <c r="V275" s="1361" t="n"/>
      <c r="W275" s="1361" t="n"/>
      <c r="X275" s="1361" t="n"/>
      <c r="Y275" s="1361" t="n"/>
      <c r="Z275" s="1379" t="n"/>
      <c r="AA275" s="1361" t="n"/>
      <c r="AB275" s="1361" t="n"/>
      <c r="AC275" s="1361" t="n"/>
      <c r="AD275" s="1361" t="n"/>
      <c r="AE275" s="1379" t="n"/>
      <c r="AF275" s="1493" t="n">
        <v>142.6</v>
      </c>
      <c r="AG275" s="1493" t="n">
        <v>210.3</v>
      </c>
      <c r="AH275" s="1493" t="n">
        <v>250.2</v>
      </c>
      <c r="AI275" s="1361">
        <f>AJ275</f>
        <v/>
      </c>
      <c r="AJ275" s="1494" t="n">
        <v>284.3</v>
      </c>
      <c r="AK275" s="1493" t="n">
        <v>157.9</v>
      </c>
      <c r="AL275" s="1493" t="n">
        <v>246</v>
      </c>
      <c r="AM275" s="1493" t="n">
        <v>290.4</v>
      </c>
      <c r="AN275" s="1361">
        <f>AO275</f>
        <v/>
      </c>
      <c r="AO275" s="1494" t="n">
        <v>311.8</v>
      </c>
      <c r="AP275" s="1493" t="n">
        <v>153.5</v>
      </c>
      <c r="AQ275" s="1493" t="n">
        <v>241.6</v>
      </c>
      <c r="AR275" s="1493" t="n">
        <v>292.1</v>
      </c>
      <c r="AS275" s="1361">
        <f>AT275</f>
        <v/>
      </c>
      <c r="AT275" s="1494" t="n">
        <v>345.9</v>
      </c>
      <c r="AU275" s="1493" t="n">
        <v>226.6</v>
      </c>
      <c r="AV275" s="1493" t="n">
        <v>330</v>
      </c>
      <c r="AW275" s="1493" t="n">
        <v>389.8</v>
      </c>
      <c r="AX275" s="1361">
        <f>AY275</f>
        <v/>
      </c>
      <c r="AY275" s="1494" t="n">
        <v>430.2</v>
      </c>
      <c r="AZ275" s="1493" t="n">
        <v>281.6</v>
      </c>
      <c r="BA275" s="1493" t="n">
        <v>425</v>
      </c>
      <c r="BB275" s="1493" t="n">
        <v>488.9</v>
      </c>
      <c r="BC275" s="1361">
        <f>BD275</f>
        <v/>
      </c>
      <c r="BD275" s="1494" t="n">
        <v>540.7</v>
      </c>
      <c r="BE275" s="1493" t="n">
        <v>363.2</v>
      </c>
      <c r="BF275" s="1493" t="n">
        <v>525.8</v>
      </c>
      <c r="BG275" s="1493" t="n">
        <v>632.4</v>
      </c>
      <c r="BH275" s="1361">
        <f>BI275</f>
        <v/>
      </c>
      <c r="BI275" s="1494" t="n">
        <v>689.7</v>
      </c>
      <c r="BJ275" s="1493" t="n">
        <v>324.4</v>
      </c>
      <c r="BK275" s="1493" t="n">
        <v>510.3</v>
      </c>
      <c r="BL275" s="1493" t="n">
        <v>616.4</v>
      </c>
      <c r="BM275" s="1361">
        <f>BN275</f>
        <v/>
      </c>
      <c r="BN275" s="1494" t="n">
        <v>669.9</v>
      </c>
      <c r="BO275" s="1493" t="n">
        <v>390.1</v>
      </c>
      <c r="BP275" s="1493" t="n">
        <v>583.7</v>
      </c>
      <c r="BQ275" s="1502" t="n">
        <v>686.2</v>
      </c>
      <c r="BR275" s="1361" t="n"/>
      <c r="BS275" s="1379" t="n"/>
      <c r="BT275" s="1361" t="n"/>
      <c r="BU275" s="1361" t="n"/>
      <c r="BV275" s="1361" t="n"/>
      <c r="BW275" s="1361" t="n"/>
      <c r="BX275" s="1379" t="n"/>
      <c r="BY275" s="1379" t="n"/>
      <c r="BZ275" s="1379" t="n"/>
      <c r="CA275" s="1379" t="n"/>
      <c r="CB275" s="1364" t="n"/>
    </row>
    <row r="276" hidden="1" outlineLevel="1" collapsed="1" ht="14.4" customFormat="1" customHeight="1" s="1359">
      <c r="A276" s="1474" t="n"/>
      <c r="B276" s="1377" t="n"/>
      <c r="C276" s="1379" t="n"/>
      <c r="D276" s="1379" t="n"/>
      <c r="E276" s="1379" t="n"/>
      <c r="F276" s="1379" t="n"/>
      <c r="G276" s="1361" t="n"/>
      <c r="H276" s="1361" t="n"/>
      <c r="I276" s="1361" t="n"/>
      <c r="J276" s="1361" t="n"/>
      <c r="K276" s="1379" t="n"/>
      <c r="L276" s="1361" t="n"/>
      <c r="M276" s="1361" t="n"/>
      <c r="N276" s="1361" t="n"/>
      <c r="O276" s="1361" t="n"/>
      <c r="P276" s="1379" t="n"/>
      <c r="Q276" s="1361" t="n"/>
      <c r="R276" s="1361" t="n"/>
      <c r="S276" s="1361" t="n"/>
      <c r="T276" s="1361" t="n"/>
      <c r="U276" s="1379" t="n"/>
      <c r="V276" s="1361" t="n"/>
      <c r="W276" s="1361" t="n"/>
      <c r="X276" s="1361" t="n"/>
      <c r="Y276" s="1361" t="n"/>
      <c r="Z276" s="1379" t="n"/>
      <c r="AA276" s="1361" t="n"/>
      <c r="AB276" s="1361" t="n"/>
      <c r="AC276" s="1361" t="n"/>
      <c r="AD276" s="1361" t="n"/>
      <c r="AE276" s="1379" t="n"/>
      <c r="AF276" s="1361" t="n"/>
      <c r="AG276" s="1361" t="n"/>
      <c r="AH276" s="1361" t="n"/>
      <c r="AI276" s="1361" t="n"/>
      <c r="AJ276" s="1379" t="n"/>
      <c r="AK276" s="1361" t="n"/>
      <c r="AL276" s="1361" t="n"/>
      <c r="AM276" s="1361" t="n"/>
      <c r="AN276" s="1361" t="n"/>
      <c r="AO276" s="1379" t="n"/>
      <c r="AP276" s="1361" t="n"/>
      <c r="AQ276" s="1361" t="n"/>
      <c r="AR276" s="1361" t="n"/>
      <c r="AS276" s="1361" t="n"/>
      <c r="AT276" s="1379" t="n"/>
      <c r="AU276" s="1361" t="n"/>
      <c r="AV276" s="1361" t="n"/>
      <c r="AW276" s="1361" t="n"/>
      <c r="AX276" s="1361" t="n"/>
      <c r="AY276" s="1379" t="n"/>
      <c r="AZ276" s="1361" t="n"/>
      <c r="BA276" s="1361" t="n"/>
      <c r="BB276" s="1361" t="n"/>
      <c r="BC276" s="1361" t="n"/>
      <c r="BD276" s="1379" t="n"/>
      <c r="BE276" s="1361" t="n"/>
      <c r="BF276" s="1361" t="n"/>
      <c r="BG276" s="1361" t="n"/>
      <c r="BH276" s="1361" t="n"/>
      <c r="BI276" s="1379" t="n"/>
      <c r="BJ276" s="1361" t="n"/>
      <c r="BK276" s="1361" t="n"/>
      <c r="BL276" s="1361" t="n"/>
      <c r="BM276" s="1361" t="n"/>
      <c r="BN276" s="1379" t="n"/>
      <c r="BO276" s="1361" t="n"/>
      <c r="BP276" s="1361" t="n"/>
      <c r="BQ276" s="1363" t="n"/>
      <c r="BR276" s="1361" t="n"/>
      <c r="BS276" s="1379" t="n"/>
      <c r="BT276" s="1361" t="n"/>
      <c r="BU276" s="1361" t="n"/>
      <c r="BV276" s="1361" t="n"/>
      <c r="BW276" s="1361" t="n"/>
      <c r="BX276" s="1379" t="n"/>
      <c r="BY276" s="1379" t="n"/>
      <c r="BZ276" s="1379" t="n"/>
      <c r="CA276" s="1379" t="n"/>
      <c r="CB276" s="1364" t="n"/>
    </row>
    <row r="277" hidden="1" outlineLevel="1" ht="14.4" customFormat="1" customHeight="1" s="1372">
      <c r="A277" s="1373" t="inlineStr">
        <is>
          <t>Key Metrics - Receivables (FS)</t>
        </is>
      </c>
      <c r="B277" s="1373" t="n"/>
      <c r="C277" s="1373" t="n"/>
      <c r="D277" s="1373" t="n"/>
      <c r="E277" s="1373" t="n"/>
      <c r="F277" s="1373" t="n"/>
      <c r="G277" s="1373" t="n"/>
      <c r="H277" s="1373" t="n"/>
      <c r="I277" s="1373" t="n"/>
      <c r="J277" s="1373" t="n"/>
      <c r="K277" s="1373" t="n"/>
      <c r="L277" s="1373" t="n"/>
      <c r="M277" s="1373" t="n"/>
      <c r="N277" s="1373" t="n"/>
      <c r="O277" s="1373" t="n"/>
      <c r="P277" s="1373" t="n"/>
      <c r="Q277" s="1373" t="n"/>
      <c r="R277" s="1373" t="n"/>
      <c r="S277" s="1373" t="n"/>
      <c r="T277" s="1373" t="n"/>
      <c r="U277" s="1373" t="n"/>
      <c r="V277" s="1373" t="n"/>
      <c r="W277" s="1373" t="n"/>
      <c r="X277" s="1373" t="n"/>
      <c r="Y277" s="1373" t="n"/>
      <c r="Z277" s="1373" t="n"/>
      <c r="AA277" s="1373" t="n"/>
      <c r="AB277" s="1373" t="n"/>
      <c r="AC277" s="1373" t="n"/>
      <c r="AD277" s="1373" t="n"/>
      <c r="AE277" s="1373" t="n"/>
      <c r="AF277" s="1373" t="n"/>
      <c r="AG277" s="1373" t="n"/>
      <c r="AH277" s="1373" t="n"/>
      <c r="AI277" s="1373" t="n"/>
      <c r="AJ277" s="1373" t="n"/>
      <c r="AK277" s="1373" t="n"/>
      <c r="AL277" s="1373" t="n"/>
      <c r="AM277" s="1373" t="n"/>
      <c r="AN277" s="1373" t="n"/>
      <c r="AO277" s="1373" t="n"/>
      <c r="AP277" s="1373" t="n"/>
      <c r="AQ277" s="1373" t="n"/>
      <c r="AR277" s="1373" t="n"/>
      <c r="AS277" s="1373" t="n"/>
      <c r="AT277" s="1373" t="n"/>
      <c r="AU277" s="1373" t="n"/>
      <c r="AV277" s="1373" t="n"/>
      <c r="AW277" s="1373" t="n"/>
      <c r="AX277" s="1373" t="n"/>
      <c r="AY277" s="1373" t="n"/>
      <c r="AZ277" s="1373" t="n"/>
      <c r="BA277" s="1373" t="n"/>
      <c r="BB277" s="1373" t="n"/>
      <c r="BC277" s="1373" t="n"/>
      <c r="BD277" s="1373" t="n"/>
      <c r="BE277" s="1373" t="n"/>
      <c r="BF277" s="1373" t="n"/>
      <c r="BG277" s="1373" t="n"/>
      <c r="BH277" s="1373" t="n"/>
      <c r="BI277" s="1373" t="n"/>
      <c r="BJ277" s="1373" t="n"/>
      <c r="BK277" s="1373" t="n"/>
      <c r="BL277" s="1373" t="n"/>
      <c r="BM277" s="1373" t="n"/>
      <c r="BN277" s="1373" t="n"/>
      <c r="BO277" s="1373" t="n"/>
      <c r="BP277" s="1373" t="n"/>
      <c r="BQ277" s="1374" t="n"/>
      <c r="BR277" s="1373" t="n"/>
      <c r="BS277" s="1373" t="n"/>
      <c r="BT277" s="1373" t="n"/>
      <c r="BU277" s="1373" t="n"/>
      <c r="BV277" s="1373" t="n"/>
      <c r="BW277" s="1373" t="n"/>
      <c r="BX277" s="1373" t="n"/>
      <c r="BY277" s="1373" t="n"/>
      <c r="BZ277" s="1373" t="n"/>
      <c r="CA277" s="1373" t="n"/>
      <c r="CB277" s="1375" t="n"/>
    </row>
    <row r="278" hidden="1" outlineLevel="2" ht="14.4" customFormat="1" customHeight="1" s="1359">
      <c r="A278" s="1474" t="inlineStr">
        <is>
          <t>Accounts receivable, mm</t>
        </is>
      </c>
      <c r="B278" s="1377" t="n"/>
      <c r="C278" s="1379" t="n"/>
      <c r="D278" s="1494" t="n">
        <v>112.494</v>
      </c>
      <c r="E278" s="1494" t="n">
        <v>99.68600000000001</v>
      </c>
      <c r="F278" s="1494" t="n">
        <v>67.259</v>
      </c>
      <c r="G278" s="1493" t="n">
        <v>41.269</v>
      </c>
      <c r="H278" s="1493" t="n">
        <v>66.96599999999999</v>
      </c>
      <c r="I278" s="1493" t="n">
        <v>61.906</v>
      </c>
      <c r="J278" s="1361">
        <f>K278</f>
        <v/>
      </c>
      <c r="K278" s="1494" t="n">
        <v>76.057</v>
      </c>
      <c r="L278" s="1493" t="n">
        <v>81.33</v>
      </c>
      <c r="M278" s="1493" t="n">
        <v>77.08799999999999</v>
      </c>
      <c r="N278" s="1493" t="n">
        <v>77.31100000000001</v>
      </c>
      <c r="O278" s="1361">
        <f>P278</f>
        <v/>
      </c>
      <c r="P278" s="1494" t="n">
        <v>79.41</v>
      </c>
      <c r="Q278" s="1493" t="n">
        <v>84.358</v>
      </c>
      <c r="R278" s="1493" t="n">
        <v>85.00700000000001</v>
      </c>
      <c r="S278" s="1493" t="n">
        <v>79.873</v>
      </c>
      <c r="T278" s="1361">
        <f>U278</f>
        <v/>
      </c>
      <c r="U278" s="1494" t="n">
        <v>107.041</v>
      </c>
      <c r="V278" s="1493" t="n">
        <v>82.404</v>
      </c>
      <c r="W278" s="1493" t="n">
        <v>77.76000000000001</v>
      </c>
      <c r="X278" s="1493" t="n">
        <v>80.03400000000001</v>
      </c>
      <c r="Y278" s="1361">
        <f>Z278</f>
        <v/>
      </c>
      <c r="Z278" s="1494" t="n">
        <v>85.554</v>
      </c>
      <c r="AA278" s="1493" t="n">
        <v>114.137</v>
      </c>
      <c r="AB278" s="1493" t="n">
        <v>84.383</v>
      </c>
      <c r="AC278" s="1493" t="n">
        <v>95.274</v>
      </c>
      <c r="AD278" s="1361">
        <f>AE278</f>
        <v/>
      </c>
      <c r="AE278" s="1494" t="n">
        <v>119.325</v>
      </c>
      <c r="AF278" s="1493" t="n">
        <v>117.065</v>
      </c>
      <c r="AG278" s="1493" t="n">
        <v>102.118</v>
      </c>
      <c r="AH278" s="1493" t="n">
        <v>117.387</v>
      </c>
      <c r="AI278" s="1361">
        <f>AJ278</f>
        <v/>
      </c>
      <c r="AJ278" s="1494" t="n">
        <v>164.223</v>
      </c>
      <c r="AK278" s="1493" t="n">
        <v>161.922</v>
      </c>
      <c r="AL278" s="1493" t="n">
        <v>130.796</v>
      </c>
      <c r="AM278" s="1493" t="n">
        <v>160.998</v>
      </c>
      <c r="AN278" s="1361">
        <f>AO278</f>
        <v/>
      </c>
      <c r="AO278" s="1494" t="n">
        <v>179.25</v>
      </c>
      <c r="AP278" s="1493" t="n">
        <v>193.606</v>
      </c>
      <c r="AQ278" s="1493" t="n">
        <v>205.415</v>
      </c>
      <c r="AR278" s="1493" t="n">
        <v>194.093</v>
      </c>
      <c r="AS278" s="1361">
        <f>AT278</f>
        <v/>
      </c>
      <c r="AT278" s="1494" t="n">
        <v>196.99</v>
      </c>
      <c r="AU278" s="1493" t="n">
        <v>238.926</v>
      </c>
      <c r="AV278" s="1493" t="n">
        <v>250.812</v>
      </c>
      <c r="AW278" s="1493" t="n">
        <v>184.298</v>
      </c>
      <c r="AX278" s="1361">
        <f>AY278</f>
        <v/>
      </c>
      <c r="AY278" s="1494" t="n">
        <v>185.599</v>
      </c>
      <c r="AZ278" s="1493" t="n">
        <v>227.181</v>
      </c>
      <c r="BA278" s="1493" t="n">
        <v>241.342</v>
      </c>
      <c r="BB278" s="1493" t="n">
        <v>240.369</v>
      </c>
      <c r="BC278" s="1361">
        <f>BD278</f>
        <v/>
      </c>
      <c r="BD278" s="1494" t="n">
        <v>314.666</v>
      </c>
      <c r="BE278" s="1493" t="n">
        <v>346.968</v>
      </c>
      <c r="BF278" s="1493" t="n">
        <v>290.35</v>
      </c>
      <c r="BG278" s="1493" t="n">
        <v>264.58</v>
      </c>
      <c r="BH278" s="1361">
        <f>BI278</f>
        <v/>
      </c>
      <c r="BI278" s="1494" t="n">
        <v>299.814</v>
      </c>
      <c r="BJ278" s="1493" t="n">
        <v>219.937</v>
      </c>
      <c r="BK278" s="1493" t="n">
        <v>386.713</v>
      </c>
      <c r="BL278" s="1493" t="n">
        <v>322.363</v>
      </c>
      <c r="BM278" s="1361">
        <f>BN278</f>
        <v/>
      </c>
      <c r="BN278" s="1494" t="n">
        <v>393.017</v>
      </c>
      <c r="BO278" s="1493" t="n">
        <v>314.976</v>
      </c>
      <c r="BP278" s="1493" t="n">
        <v>359.103</v>
      </c>
      <c r="BQ278" s="1502" t="n">
        <v>383.797</v>
      </c>
      <c r="BR278" s="1361" t="n"/>
      <c r="BS278" s="1379" t="n"/>
      <c r="BT278" s="1361" t="n"/>
      <c r="BU278" s="1361" t="n"/>
      <c r="BV278" s="1361" t="n"/>
      <c r="BW278" s="1361" t="n"/>
      <c r="BX278" s="1379" t="n"/>
      <c r="BY278" s="1379" t="n"/>
      <c r="BZ278" s="1379" t="n"/>
      <c r="CA278" s="1379" t="n"/>
      <c r="CB278" s="1364" t="n"/>
    </row>
    <row r="279" hidden="1" outlineLevel="2" ht="14.4" customFormat="1" customHeight="1" s="1359">
      <c r="A279" s="1474" t="inlineStr">
        <is>
          <t>Unbilled accounts receivable, mm</t>
        </is>
      </c>
      <c r="B279" s="1377" t="n"/>
      <c r="C279" s="1379" t="n"/>
      <c r="D279" s="1494" t="n">
        <v>87.003</v>
      </c>
      <c r="E279" s="1494" t="n">
        <v>37.086</v>
      </c>
      <c r="F279" s="1494" t="n">
        <v>30.647</v>
      </c>
      <c r="G279" s="1493" t="n">
        <v>33.984</v>
      </c>
      <c r="H279" s="1493" t="n">
        <v>25.615</v>
      </c>
      <c r="I279" s="1493" t="n">
        <v>40.134</v>
      </c>
      <c r="J279" s="1361">
        <f>K279</f>
        <v/>
      </c>
      <c r="K279" s="1494" t="n">
        <v>31.567</v>
      </c>
      <c r="L279" s="1493" t="n">
        <v>24.992</v>
      </c>
      <c r="M279" s="1493" t="n">
        <v>24.836</v>
      </c>
      <c r="N279" s="1493" t="n">
        <v>30.323</v>
      </c>
      <c r="O279" s="1361">
        <f>P279</f>
        <v/>
      </c>
      <c r="P279" s="1494" t="n">
        <v>43.082</v>
      </c>
      <c r="Q279" s="1493" t="n">
        <v>49.566</v>
      </c>
      <c r="R279" s="1493" t="n">
        <v>46.318</v>
      </c>
      <c r="S279" s="1493" t="n">
        <v>53.792</v>
      </c>
      <c r="T279" s="1361">
        <f>U279</f>
        <v/>
      </c>
      <c r="U279" s="1494" t="n">
        <v>57.807</v>
      </c>
      <c r="V279" s="1493" t="n">
        <v>65.129</v>
      </c>
      <c r="W279" s="1493" t="n">
        <v>78.684</v>
      </c>
      <c r="X279" s="1493" t="n">
        <v>71.991</v>
      </c>
      <c r="Y279" s="1361">
        <f>Z279</f>
        <v/>
      </c>
      <c r="Z279" s="1494" t="n">
        <v>71.617</v>
      </c>
      <c r="AA279" s="1493" t="n">
        <v>66.434</v>
      </c>
      <c r="AB279" s="1493" t="n">
        <v>68.771</v>
      </c>
      <c r="AC279" s="1493" t="n">
        <v>75.038</v>
      </c>
      <c r="AD279" s="1361">
        <f>AE279</f>
        <v/>
      </c>
      <c r="AE279" s="1494" t="n">
        <v>71.101</v>
      </c>
      <c r="AF279" s="1493" t="n">
        <v>109.423</v>
      </c>
      <c r="AG279" s="1493" t="n">
        <v>117.969</v>
      </c>
      <c r="AH279" s="1493" t="n">
        <v>127.699</v>
      </c>
      <c r="AI279" s="1361">
        <f>AJ279</f>
        <v/>
      </c>
      <c r="AJ279" s="1494" t="n">
        <v>136.795</v>
      </c>
      <c r="AK279" s="1493" t="n">
        <v>106.411</v>
      </c>
      <c r="AL279" s="1493" t="n">
        <v>107.962</v>
      </c>
      <c r="AM279" s="1493" t="n">
        <v>114.226</v>
      </c>
      <c r="AN279" s="1361">
        <f>AO279</f>
        <v/>
      </c>
      <c r="AO279" s="1494" t="n">
        <v>126.165</v>
      </c>
      <c r="AP279" s="1493" t="n">
        <v>93.502</v>
      </c>
      <c r="AQ279" s="1493" t="n">
        <v>110.455</v>
      </c>
      <c r="AR279" s="1493" t="n">
        <v>108.877</v>
      </c>
      <c r="AS279" s="1361">
        <f>AT279</f>
        <v/>
      </c>
      <c r="AT279" s="1494" t="n">
        <v>144.364</v>
      </c>
      <c r="AU279" s="1493" t="n">
        <v>153.465</v>
      </c>
      <c r="AV279" s="1493" t="n">
        <v>142.846</v>
      </c>
      <c r="AW279" s="1493" t="n">
        <v>146.55</v>
      </c>
      <c r="AX279" s="1361">
        <f>AY279</f>
        <v/>
      </c>
      <c r="AY279" s="1494" t="n">
        <v>155.689</v>
      </c>
      <c r="AZ279" s="1493" t="n">
        <v>137.244</v>
      </c>
      <c r="BA279" s="1493" t="n">
        <v>153.451</v>
      </c>
      <c r="BB279" s="1493" t="n">
        <v>153.376</v>
      </c>
      <c r="BC279" s="1361">
        <f>BD279</f>
        <v/>
      </c>
      <c r="BD279" s="1494" t="n">
        <v>174.334</v>
      </c>
      <c r="BE279" s="1493" t="n">
        <v>143.773</v>
      </c>
      <c r="BF279" s="1493" t="n">
        <v>152.717</v>
      </c>
      <c r="BG279" s="1493" t="n">
        <v>164.827</v>
      </c>
      <c r="BH279" s="1361">
        <f>BI279</f>
        <v/>
      </c>
      <c r="BI279" s="1494" t="n">
        <v>193.963</v>
      </c>
      <c r="BJ279" s="1493" t="n">
        <v>174.169</v>
      </c>
      <c r="BK279" s="1493" t="n">
        <v>182.823</v>
      </c>
      <c r="BL279" s="1493" t="n">
        <v>243.951</v>
      </c>
      <c r="BM279" s="1361">
        <f>BN279</f>
        <v/>
      </c>
      <c r="BN279" s="1494" t="n">
        <v>293.251</v>
      </c>
      <c r="BO279" s="1493" t="n">
        <v>270.298</v>
      </c>
      <c r="BP279" s="1493" t="n">
        <v>315.586</v>
      </c>
      <c r="BQ279" s="1502" t="n">
        <v>375.678</v>
      </c>
      <c r="BR279" s="1361" t="n"/>
      <c r="BS279" s="1379" t="n"/>
      <c r="BT279" s="1361" t="n"/>
      <c r="BU279" s="1361" t="n"/>
      <c r="BV279" s="1361" t="n"/>
      <c r="BW279" s="1361" t="n"/>
      <c r="BX279" s="1379" t="n"/>
      <c r="BY279" s="1379" t="n"/>
      <c r="BZ279" s="1379" t="n"/>
      <c r="CA279" s="1379" t="n"/>
      <c r="CB279" s="1364" t="n"/>
    </row>
    <row r="280" hidden="1" outlineLevel="2" ht="14.4" customFormat="1" customHeight="1" s="1359">
      <c r="A280" s="1474" t="inlineStr">
        <is>
          <t>Long-term receivables, mm</t>
        </is>
      </c>
      <c r="B280" s="1377" t="n"/>
      <c r="C280" s="1379" t="n"/>
      <c r="D280" s="1494" t="n">
        <v>23.38</v>
      </c>
      <c r="E280" s="1494" t="n">
        <v>11.371</v>
      </c>
      <c r="F280" s="1494" t="n">
        <v>7.559</v>
      </c>
      <c r="G280" s="1493" t="n">
        <v>3.734</v>
      </c>
      <c r="H280" s="1493" t="n">
        <v>5.929</v>
      </c>
      <c r="I280" s="1493" t="n">
        <v>3.994</v>
      </c>
      <c r="J280" s="1361">
        <f>K280</f>
        <v/>
      </c>
      <c r="K280" s="1494" t="n">
        <v>3.672</v>
      </c>
      <c r="L280" s="1493" t="n">
        <v>6.193</v>
      </c>
      <c r="M280" s="1493" t="n">
        <v>5.611</v>
      </c>
      <c r="N280" s="1493" t="n">
        <v>4.957</v>
      </c>
      <c r="O280" s="1361">
        <f>P280</f>
        <v/>
      </c>
      <c r="P280" s="1494" t="n">
        <v>3.644</v>
      </c>
      <c r="Q280" s="1493" t="n">
        <v>3.619</v>
      </c>
      <c r="R280" s="1493" t="n">
        <v>1.628</v>
      </c>
      <c r="S280" s="1493" t="n">
        <v>1.568</v>
      </c>
      <c r="T280" s="1361">
        <f>U280</f>
        <v/>
      </c>
      <c r="U280" s="1494" t="n">
        <v>4.498</v>
      </c>
      <c r="V280" s="1493" t="n">
        <v>11.365</v>
      </c>
      <c r="W280" s="1493" t="n">
        <v>17.368</v>
      </c>
      <c r="X280" s="1493" t="n">
        <v>14.961</v>
      </c>
      <c r="Y280" s="1361">
        <f>Z280</f>
        <v/>
      </c>
      <c r="Z280" s="1494" t="n">
        <v>12.949</v>
      </c>
      <c r="AA280" s="1493" t="n">
        <v>13.127</v>
      </c>
      <c r="AB280" s="1493" t="n">
        <v>13.34</v>
      </c>
      <c r="AC280" s="1493" t="n">
        <v>11.59</v>
      </c>
      <c r="AD280" s="1361">
        <f>AE280</f>
        <v/>
      </c>
      <c r="AE280" s="1494" t="n">
        <v>12.239</v>
      </c>
      <c r="AF280" s="1493" t="n">
        <v>9.380000000000001</v>
      </c>
      <c r="AG280" s="1493" t="n">
        <v>4.74</v>
      </c>
      <c r="AH280" s="1493" t="n">
        <v>4.395</v>
      </c>
      <c r="AI280" s="1361">
        <f>AJ280</f>
        <v/>
      </c>
      <c r="AJ280" s="1494" t="n">
        <v>5.972</v>
      </c>
      <c r="AK280" s="1493" t="n">
        <v>3.241</v>
      </c>
      <c r="AL280" s="1493" t="n">
        <v>2.14</v>
      </c>
      <c r="AM280" s="1493" t="n">
        <v>1.204</v>
      </c>
      <c r="AN280" s="1361">
        <f>AO280</f>
        <v/>
      </c>
      <c r="AO280" s="1494" t="n">
        <v>3.082</v>
      </c>
      <c r="AP280" s="1493" t="n">
        <v>2.38</v>
      </c>
      <c r="AQ280" s="1493" t="n">
        <v>1.687</v>
      </c>
      <c r="AR280" s="1493" t="n">
        <v>3.208</v>
      </c>
      <c r="AS280" s="1361">
        <f>AT280</f>
        <v/>
      </c>
      <c r="AT280" s="1494" t="n">
        <v>3.655</v>
      </c>
      <c r="AU280" s="1493" t="n">
        <v>3.238</v>
      </c>
      <c r="AV280" s="1493" t="n">
        <v>4.879</v>
      </c>
      <c r="AW280" s="1493" t="n">
        <v>3.832</v>
      </c>
      <c r="AX280" s="1361">
        <f>AY280</f>
        <v/>
      </c>
      <c r="AY280" s="1494" t="n">
        <v>5.098</v>
      </c>
      <c r="AZ280" s="1493" t="n">
        <v>6.781</v>
      </c>
      <c r="BA280" s="1493" t="n">
        <v>6.223</v>
      </c>
      <c r="BB280" s="1493" t="n">
        <v>9.473000000000001</v>
      </c>
      <c r="BC280" s="1361">
        <f>BD280</f>
        <v/>
      </c>
      <c r="BD280" s="1494" t="n">
        <v>2.735</v>
      </c>
      <c r="BE280" s="1493" t="n">
        <v>9.994</v>
      </c>
      <c r="BF280" s="1493" t="n">
        <v>4.869</v>
      </c>
      <c r="BG280" s="1493" t="n">
        <v>9.009</v>
      </c>
      <c r="BH280" s="1361">
        <f>BI280</f>
        <v/>
      </c>
      <c r="BI280" s="1494" t="n">
        <v>10.755</v>
      </c>
      <c r="BJ280" s="1493" t="n">
        <v>12.898</v>
      </c>
      <c r="BK280" s="1493" t="n">
        <v>11.718</v>
      </c>
      <c r="BL280" s="1493" t="n">
        <v>16.254</v>
      </c>
      <c r="BM280" s="1361">
        <f>BN280</f>
        <v/>
      </c>
      <c r="BN280" s="1494" t="n">
        <v>24.179</v>
      </c>
      <c r="BO280" s="1493" t="n">
        <v>24.186</v>
      </c>
      <c r="BP280" s="1493" t="n">
        <v>51.464</v>
      </c>
      <c r="BQ280" s="1502" t="n">
        <v>45.67</v>
      </c>
      <c r="BR280" s="1361" t="n"/>
      <c r="BS280" s="1379" t="n"/>
      <c r="BT280" s="1361" t="n"/>
      <c r="BU280" s="1361" t="n"/>
      <c r="BV280" s="1361" t="n"/>
      <c r="BW280" s="1361" t="n"/>
      <c r="BX280" s="1379" t="n"/>
      <c r="BY280" s="1379" t="n"/>
      <c r="BZ280" s="1379" t="n"/>
      <c r="CA280" s="1379" t="n"/>
      <c r="CB280" s="1364" t="n"/>
    </row>
    <row r="281" hidden="1" outlineLevel="2" ht="14.4" customFormat="1" customHeight="1" s="1372">
      <c r="A281" s="1535" t="inlineStr">
        <is>
          <t>Total receivables, mm</t>
        </is>
      </c>
      <c r="B281" s="1401" t="n"/>
      <c r="C281" s="1405">
        <f>SUM(C278:C280)</f>
        <v/>
      </c>
      <c r="D281" s="1405">
        <f>SUM(D278:D280)</f>
        <v/>
      </c>
      <c r="E281" s="1405">
        <f>SUM(E278:E280)</f>
        <v/>
      </c>
      <c r="F281" s="1405">
        <f>SUM(F278:F280)</f>
        <v/>
      </c>
      <c r="G281" s="1404">
        <f>SUM(G278:G280)</f>
        <v/>
      </c>
      <c r="H281" s="1404">
        <f>SUM(H278:H280)</f>
        <v/>
      </c>
      <c r="I281" s="1404">
        <f>SUM(I278:I280)</f>
        <v/>
      </c>
      <c r="J281" s="1404">
        <f>SUM(J278:J280)</f>
        <v/>
      </c>
      <c r="K281" s="1405">
        <f>SUM(K278:K280)</f>
        <v/>
      </c>
      <c r="L281" s="1404">
        <f>SUM(L278:L280)</f>
        <v/>
      </c>
      <c r="M281" s="1404">
        <f>SUM(M278:M280)</f>
        <v/>
      </c>
      <c r="N281" s="1404">
        <f>SUM(N278:N280)</f>
        <v/>
      </c>
      <c r="O281" s="1404">
        <f>SUM(O278:O280)</f>
        <v/>
      </c>
      <c r="P281" s="1405">
        <f>SUM(P278:P280)</f>
        <v/>
      </c>
      <c r="Q281" s="1404">
        <f>SUM(Q278:Q280)</f>
        <v/>
      </c>
      <c r="R281" s="1404">
        <f>SUM(R278:R280)</f>
        <v/>
      </c>
      <c r="S281" s="1404">
        <f>SUM(S278:S280)</f>
        <v/>
      </c>
      <c r="T281" s="1404">
        <f>SUM(T278:T280)</f>
        <v/>
      </c>
      <c r="U281" s="1405">
        <f>SUM(U278:U280)</f>
        <v/>
      </c>
      <c r="V281" s="1404">
        <f>SUM(V278:V280)</f>
        <v/>
      </c>
      <c r="W281" s="1404">
        <f>SUM(W278:W280)</f>
        <v/>
      </c>
      <c r="X281" s="1404">
        <f>SUM(X278:X280)</f>
        <v/>
      </c>
      <c r="Y281" s="1404">
        <f>SUM(Y278:Y280)</f>
        <v/>
      </c>
      <c r="Z281" s="1405">
        <f>SUM(Z278:Z280)</f>
        <v/>
      </c>
      <c r="AA281" s="1404">
        <f>SUM(AA278:AA280)</f>
        <v/>
      </c>
      <c r="AB281" s="1404">
        <f>SUM(AB278:AB280)</f>
        <v/>
      </c>
      <c r="AC281" s="1404">
        <f>SUM(AC278:AC280)</f>
        <v/>
      </c>
      <c r="AD281" s="1404">
        <f>SUM(AD278:AD280)</f>
        <v/>
      </c>
      <c r="AE281" s="1405">
        <f>SUM(AE278:AE280)</f>
        <v/>
      </c>
      <c r="AF281" s="1404">
        <f>SUM(AF278:AF280)</f>
        <v/>
      </c>
      <c r="AG281" s="1404">
        <f>SUM(AG278:AG280)</f>
        <v/>
      </c>
      <c r="AH281" s="1404">
        <f>SUM(AH278:AH280)</f>
        <v/>
      </c>
      <c r="AI281" s="1404">
        <f>SUM(AI278:AI280)</f>
        <v/>
      </c>
      <c r="AJ281" s="1405">
        <f>SUM(AJ278:AJ280)</f>
        <v/>
      </c>
      <c r="AK281" s="1404">
        <f>SUM(AK278:AK280)</f>
        <v/>
      </c>
      <c r="AL281" s="1404">
        <f>SUM(AL278:AL280)</f>
        <v/>
      </c>
      <c r="AM281" s="1404">
        <f>SUM(AM278:AM280)</f>
        <v/>
      </c>
      <c r="AN281" s="1404">
        <f>SUM(AN278:AN280)</f>
        <v/>
      </c>
      <c r="AO281" s="1405">
        <f>SUM(AO278:AO280)</f>
        <v/>
      </c>
      <c r="AP281" s="1404">
        <f>SUM(AP278:AP280)</f>
        <v/>
      </c>
      <c r="AQ281" s="1404">
        <f>SUM(AQ278:AQ280)</f>
        <v/>
      </c>
      <c r="AR281" s="1404">
        <f>SUM(AR278:AR280)</f>
        <v/>
      </c>
      <c r="AS281" s="1404">
        <f>SUM(AS278:AS280)</f>
        <v/>
      </c>
      <c r="AT281" s="1405">
        <f>SUM(AT278:AT280)</f>
        <v/>
      </c>
      <c r="AU281" s="1404">
        <f>SUM(AU278:AU280)</f>
        <v/>
      </c>
      <c r="AV281" s="1404">
        <f>SUM(AV278:AV280)</f>
        <v/>
      </c>
      <c r="AW281" s="1404">
        <f>SUM(AW278:AW280)</f>
        <v/>
      </c>
      <c r="AX281" s="1404">
        <f>SUM(AX278:AX280)</f>
        <v/>
      </c>
      <c r="AY281" s="1405">
        <f>SUM(AY278:AY280)</f>
        <v/>
      </c>
      <c r="AZ281" s="1404">
        <f>SUM(AZ278:AZ280)</f>
        <v/>
      </c>
      <c r="BA281" s="1404">
        <f>SUM(BA278:BA280)</f>
        <v/>
      </c>
      <c r="BB281" s="1404">
        <f>SUM(BB278:BB280)</f>
        <v/>
      </c>
      <c r="BC281" s="1404">
        <f>SUM(BC278:BC280)</f>
        <v/>
      </c>
      <c r="BD281" s="1405">
        <f>SUM(BD278:BD280)</f>
        <v/>
      </c>
      <c r="BE281" s="1404">
        <f>SUM(BE278:BE280)</f>
        <v/>
      </c>
      <c r="BF281" s="1404">
        <f>SUM(BF278:BF280)</f>
        <v/>
      </c>
      <c r="BG281" s="1404">
        <f>SUM(BG278:BG280)</f>
        <v/>
      </c>
      <c r="BH281" s="1404">
        <f>SUM(BH278:BH280)</f>
        <v/>
      </c>
      <c r="BI281" s="1405">
        <f>SUM(BI278:BI280)</f>
        <v/>
      </c>
      <c r="BJ281" s="1404">
        <f>SUM(BJ278:BJ280)</f>
        <v/>
      </c>
      <c r="BK281" s="1404">
        <f>SUM(BK278:BK280)</f>
        <v/>
      </c>
      <c r="BL281" s="1404">
        <f>SUM(BL278:BL280)</f>
        <v/>
      </c>
      <c r="BM281" s="1404">
        <f>SUM(BM278:BM280)</f>
        <v/>
      </c>
      <c r="BN281" s="1405">
        <f>SUM(BN278:BN280)</f>
        <v/>
      </c>
      <c r="BO281" s="1404">
        <f>SUM(BO278:BO280)</f>
        <v/>
      </c>
      <c r="BP281" s="1404">
        <f>SUM(BP278:BP280)</f>
        <v/>
      </c>
      <c r="BQ281" s="1536">
        <f>SUM(BQ278:BQ280)</f>
        <v/>
      </c>
      <c r="BR281" s="1404" t="n"/>
      <c r="BS281" s="1405" t="n"/>
      <c r="BT281" s="1404" t="n"/>
      <c r="BU281" s="1404" t="n"/>
      <c r="BV281" s="1404" t="n"/>
      <c r="BW281" s="1404" t="n"/>
      <c r="BX281" s="1405" t="n"/>
      <c r="BY281" s="1405" t="n"/>
      <c r="BZ281" s="1405" t="n"/>
      <c r="CA281" s="1405" t="n"/>
      <c r="CB281" s="1375" t="n"/>
    </row>
    <row r="282" hidden="1" outlineLevel="2" ht="14.4" customFormat="1" customHeight="1" s="1359">
      <c r="A282" s="1474" t="inlineStr">
        <is>
          <t>Less allowance for doubtful accounts, mm</t>
        </is>
      </c>
      <c r="B282" s="1377" t="n"/>
      <c r="C282" s="1379" t="n"/>
      <c r="D282" s="1494" t="n">
        <v>-7.604</v>
      </c>
      <c r="E282" s="1379" t="n"/>
      <c r="F282" s="1494" t="n">
        <v>-0.08500000000000001</v>
      </c>
      <c r="G282" s="1361" t="n"/>
      <c r="H282" s="1361" t="n"/>
      <c r="I282" s="1493" t="n">
        <v>-0.144</v>
      </c>
      <c r="J282" s="1361">
        <f>K282</f>
        <v/>
      </c>
      <c r="K282" s="1379" t="n"/>
      <c r="L282" s="1361" t="n"/>
      <c r="M282" s="1361" t="n"/>
      <c r="N282" s="1361" t="n"/>
      <c r="O282" s="1361">
        <f>P282</f>
        <v/>
      </c>
      <c r="P282" s="1379" t="n"/>
      <c r="Q282" s="1361" t="n"/>
      <c r="R282" s="1361" t="n"/>
      <c r="S282" s="1361" t="n"/>
      <c r="T282" s="1361">
        <f>U282</f>
        <v/>
      </c>
      <c r="U282" s="1379" t="n"/>
      <c r="V282" s="1361" t="n"/>
      <c r="W282" s="1361" t="n"/>
      <c r="X282" s="1361" t="n"/>
      <c r="Y282" s="1361">
        <f>Z282</f>
        <v/>
      </c>
      <c r="Z282" s="1379" t="n"/>
      <c r="AA282" s="1361" t="n"/>
      <c r="AB282" s="1361" t="n"/>
      <c r="AC282" s="1361" t="n"/>
      <c r="AD282" s="1361">
        <f>AE282</f>
        <v/>
      </c>
      <c r="AE282" s="1379" t="n"/>
      <c r="AF282" s="1493" t="n">
        <v>-0.666</v>
      </c>
      <c r="AG282" s="1493" t="n">
        <v>-1.015</v>
      </c>
      <c r="AH282" s="1493" t="n">
        <v>-4.25</v>
      </c>
      <c r="AI282" s="1361">
        <f>AJ282</f>
        <v/>
      </c>
      <c r="AJ282" s="1494" t="n">
        <v>-3.936</v>
      </c>
      <c r="AK282" s="1493" t="n">
        <v>-3.566</v>
      </c>
      <c r="AL282" s="1493" t="n">
        <v>-1.149</v>
      </c>
      <c r="AM282" s="1493" t="n">
        <v>-0.31</v>
      </c>
      <c r="AN282" s="1361">
        <f>AO282</f>
        <v/>
      </c>
      <c r="AO282" s="1494" t="n">
        <v>-0.869</v>
      </c>
      <c r="AP282" s="1493" t="n">
        <v>-3.015</v>
      </c>
      <c r="AQ282" s="1493" t="n">
        <v>-3.112</v>
      </c>
      <c r="AR282" s="1493" t="n">
        <v>-2.557</v>
      </c>
      <c r="AS282" s="1361">
        <f>AT282</f>
        <v/>
      </c>
      <c r="AT282" s="1494" t="n">
        <v>-2.867</v>
      </c>
      <c r="AU282" s="1493" t="n">
        <v>-3.725</v>
      </c>
      <c r="AV282" s="1493" t="n">
        <v>-3.672</v>
      </c>
      <c r="AW282" s="1493" t="n">
        <v>-3.657</v>
      </c>
      <c r="AX282" s="1361">
        <f>AY282</f>
        <v/>
      </c>
      <c r="AY282" s="1494" t="n">
        <v>-3.692</v>
      </c>
      <c r="AZ282" s="1493" t="n">
        <v>-2.636</v>
      </c>
      <c r="BA282" s="1493" t="n">
        <v>-3.055</v>
      </c>
      <c r="BB282" s="1493" t="n">
        <v>-2.564</v>
      </c>
      <c r="BC282" s="1361">
        <f>BD282</f>
        <v/>
      </c>
      <c r="BD282" s="1494" t="n">
        <v>-2.29</v>
      </c>
      <c r="BE282" s="1493" t="n">
        <v>-2.504</v>
      </c>
      <c r="BF282" s="1493" t="n">
        <v>-2.152</v>
      </c>
      <c r="BG282" s="1493" t="n">
        <v>-2.902</v>
      </c>
      <c r="BH282" s="1361">
        <f>BI282</f>
        <v/>
      </c>
      <c r="BI282" s="1494" t="n">
        <v>-4.553</v>
      </c>
      <c r="BJ282" s="1493" t="n">
        <v>-4.241</v>
      </c>
      <c r="BK282" s="1493" t="n">
        <v>-4.685</v>
      </c>
      <c r="BL282" s="1493" t="n">
        <v>-5.341</v>
      </c>
      <c r="BM282" s="1361">
        <f>BN282</f>
        <v/>
      </c>
      <c r="BN282" s="1494" t="n">
        <v>-5.808</v>
      </c>
      <c r="BO282" s="1493" t="n">
        <v>-4.387</v>
      </c>
      <c r="BP282" s="1493" t="n">
        <v>-4.523</v>
      </c>
      <c r="BQ282" s="1502" t="n">
        <v>-4.21</v>
      </c>
      <c r="BR282" s="1361" t="n"/>
      <c r="BS282" s="1379" t="n"/>
      <c r="BT282" s="1361" t="n"/>
      <c r="BU282" s="1361" t="n"/>
      <c r="BV282" s="1361" t="n"/>
      <c r="BW282" s="1361" t="n"/>
      <c r="BX282" s="1379" t="n"/>
      <c r="BY282" s="1379" t="n"/>
      <c r="BZ282" s="1379" t="n"/>
      <c r="CA282" s="1379" t="n"/>
      <c r="CB282" s="1364" t="n"/>
    </row>
    <row r="283" hidden="1" outlineLevel="2" ht="14.4" customFormat="1" customHeight="1" s="1372">
      <c r="A283" s="1535" t="inlineStr">
        <is>
          <t>Total receivables, net, mm</t>
        </is>
      </c>
      <c r="B283" s="1401" t="n"/>
      <c r="C283" s="1405">
        <f>C281+C282</f>
        <v/>
      </c>
      <c r="D283" s="1405">
        <f>D281+D282</f>
        <v/>
      </c>
      <c r="E283" s="1405">
        <f>E281+E282</f>
        <v/>
      </c>
      <c r="F283" s="1405">
        <f>F281+F282</f>
        <v/>
      </c>
      <c r="G283" s="1404">
        <f>G281+G282</f>
        <v/>
      </c>
      <c r="H283" s="1404">
        <f>H281+H282</f>
        <v/>
      </c>
      <c r="I283" s="1404">
        <f>I281+I282</f>
        <v/>
      </c>
      <c r="J283" s="1404">
        <f>J281+J282</f>
        <v/>
      </c>
      <c r="K283" s="1405">
        <f>K281+K282</f>
        <v/>
      </c>
      <c r="L283" s="1404">
        <f>L281+L282</f>
        <v/>
      </c>
      <c r="M283" s="1404">
        <f>M281+M282</f>
        <v/>
      </c>
      <c r="N283" s="1404">
        <f>N281+N282</f>
        <v/>
      </c>
      <c r="O283" s="1404">
        <f>O281+O282</f>
        <v/>
      </c>
      <c r="P283" s="1405">
        <f>P281+P282</f>
        <v/>
      </c>
      <c r="Q283" s="1404">
        <f>Q281+Q282</f>
        <v/>
      </c>
      <c r="R283" s="1404">
        <f>R281+R282</f>
        <v/>
      </c>
      <c r="S283" s="1404">
        <f>S281+S282</f>
        <v/>
      </c>
      <c r="T283" s="1404">
        <f>T281+T282</f>
        <v/>
      </c>
      <c r="U283" s="1405">
        <f>U281+U282</f>
        <v/>
      </c>
      <c r="V283" s="1404">
        <f>V281+V282</f>
        <v/>
      </c>
      <c r="W283" s="1404">
        <f>W281+W282</f>
        <v/>
      </c>
      <c r="X283" s="1404">
        <f>X281+X282</f>
        <v/>
      </c>
      <c r="Y283" s="1404">
        <f>Y281+Y282</f>
        <v/>
      </c>
      <c r="Z283" s="1405">
        <f>Z281+Z282</f>
        <v/>
      </c>
      <c r="AA283" s="1404">
        <f>AA281+AA282</f>
        <v/>
      </c>
      <c r="AB283" s="1404">
        <f>AB281+AB282</f>
        <v/>
      </c>
      <c r="AC283" s="1404">
        <f>AC281+AC282</f>
        <v/>
      </c>
      <c r="AD283" s="1404">
        <f>AD281+AD282</f>
        <v/>
      </c>
      <c r="AE283" s="1405">
        <f>AE281+AE282</f>
        <v/>
      </c>
      <c r="AF283" s="1404">
        <f>AF281+AF282</f>
        <v/>
      </c>
      <c r="AG283" s="1404">
        <f>AG281+AG282</f>
        <v/>
      </c>
      <c r="AH283" s="1404">
        <f>AH281+AH282</f>
        <v/>
      </c>
      <c r="AI283" s="1404">
        <f>AI281+AI282</f>
        <v/>
      </c>
      <c r="AJ283" s="1405">
        <f>AJ281+AJ282</f>
        <v/>
      </c>
      <c r="AK283" s="1404">
        <f>AK281+AK282</f>
        <v/>
      </c>
      <c r="AL283" s="1404">
        <f>AL281+AL282</f>
        <v/>
      </c>
      <c r="AM283" s="1404">
        <f>AM281+AM282</f>
        <v/>
      </c>
      <c r="AN283" s="1404">
        <f>AN281+AN282</f>
        <v/>
      </c>
      <c r="AO283" s="1405">
        <f>AO281+AO282</f>
        <v/>
      </c>
      <c r="AP283" s="1404">
        <f>AP281+AP282</f>
        <v/>
      </c>
      <c r="AQ283" s="1404">
        <f>AQ281+AQ282</f>
        <v/>
      </c>
      <c r="AR283" s="1404">
        <f>AR281+AR282</f>
        <v/>
      </c>
      <c r="AS283" s="1404">
        <f>AS281+AS282</f>
        <v/>
      </c>
      <c r="AT283" s="1405">
        <f>AT281+AT282</f>
        <v/>
      </c>
      <c r="AU283" s="1404">
        <f>AU281+AU282</f>
        <v/>
      </c>
      <c r="AV283" s="1404">
        <f>AV281+AV282</f>
        <v/>
      </c>
      <c r="AW283" s="1404">
        <f>AW281+AW282</f>
        <v/>
      </c>
      <c r="AX283" s="1404">
        <f>AX281+AX282</f>
        <v/>
      </c>
      <c r="AY283" s="1405">
        <f>AY281+AY282</f>
        <v/>
      </c>
      <c r="AZ283" s="1404">
        <f>AZ281+AZ282</f>
        <v/>
      </c>
      <c r="BA283" s="1404">
        <f>BA281+BA282</f>
        <v/>
      </c>
      <c r="BB283" s="1404">
        <f>BB281+BB282</f>
        <v/>
      </c>
      <c r="BC283" s="1404">
        <f>BC281+BC282</f>
        <v/>
      </c>
      <c r="BD283" s="1405">
        <f>BD281+BD282</f>
        <v/>
      </c>
      <c r="BE283" s="1404">
        <f>BE281+BE282</f>
        <v/>
      </c>
      <c r="BF283" s="1404">
        <f>BF281+BF282</f>
        <v/>
      </c>
      <c r="BG283" s="1404">
        <f>BG281+BG282</f>
        <v/>
      </c>
      <c r="BH283" s="1404">
        <f>BH281+BH282</f>
        <v/>
      </c>
      <c r="BI283" s="1405">
        <f>BI281+BI282</f>
        <v/>
      </c>
      <c r="BJ283" s="1404">
        <f>BJ281+BJ282</f>
        <v/>
      </c>
      <c r="BK283" s="1404">
        <f>BK281+BK282</f>
        <v/>
      </c>
      <c r="BL283" s="1404">
        <f>BL281+BL282</f>
        <v/>
      </c>
      <c r="BM283" s="1404">
        <f>BM281+BM282</f>
        <v/>
      </c>
      <c r="BN283" s="1405">
        <f>BN281+BN282</f>
        <v/>
      </c>
      <c r="BO283" s="1404">
        <f>BO281+BO282</f>
        <v/>
      </c>
      <c r="BP283" s="1404">
        <f>BP281+BP282</f>
        <v/>
      </c>
      <c r="BQ283" s="1536">
        <f>BQ281+BQ282</f>
        <v/>
      </c>
      <c r="BR283" s="1404" t="n"/>
      <c r="BS283" s="1405" t="n"/>
      <c r="BT283" s="1404" t="n"/>
      <c r="BU283" s="1404" t="n"/>
      <c r="BV283" s="1404" t="n"/>
      <c r="BW283" s="1404" t="n"/>
      <c r="BX283" s="1405" t="n"/>
      <c r="BY283" s="1405" t="n"/>
      <c r="BZ283" s="1405" t="n"/>
      <c r="CA283" s="1405" t="n"/>
      <c r="CB283" s="1375" t="n"/>
    </row>
    <row r="284" hidden="1" outlineLevel="1" collapsed="1" ht="14.4" customFormat="1" customHeight="1" s="1549">
      <c r="A284" s="1500" t="n"/>
      <c r="B284" s="1551" t="n"/>
      <c r="C284" s="1469" t="n"/>
      <c r="D284" s="1469" t="n"/>
      <c r="E284" s="1469" t="n"/>
      <c r="F284" s="1469" t="n"/>
      <c r="G284" s="1471" t="n"/>
      <c r="H284" s="1471" t="n"/>
      <c r="I284" s="1471" t="n"/>
      <c r="J284" s="1471" t="n"/>
      <c r="K284" s="1469" t="n"/>
      <c r="L284" s="1471" t="n"/>
      <c r="M284" s="1471" t="n"/>
      <c r="N284" s="1471" t="n"/>
      <c r="O284" s="1471" t="n"/>
      <c r="P284" s="1469" t="n"/>
      <c r="Q284" s="1471" t="n"/>
      <c r="R284" s="1471" t="n"/>
      <c r="S284" s="1471" t="n"/>
      <c r="T284" s="1471" t="n"/>
      <c r="U284" s="1469" t="n"/>
      <c r="V284" s="1471" t="n"/>
      <c r="W284" s="1471" t="n"/>
      <c r="X284" s="1471" t="n"/>
      <c r="Y284" s="1471" t="n"/>
      <c r="Z284" s="1469" t="n"/>
      <c r="AA284" s="1471" t="n"/>
      <c r="AB284" s="1471" t="n"/>
      <c r="AC284" s="1471" t="n"/>
      <c r="AD284" s="1471" t="n"/>
      <c r="AE284" s="1469" t="n"/>
      <c r="AF284" s="1471" t="n"/>
      <c r="AG284" s="1471" t="n"/>
      <c r="AH284" s="1471" t="n"/>
      <c r="AI284" s="1471" t="n"/>
      <c r="AJ284" s="1469" t="n"/>
      <c r="AK284" s="1471" t="n"/>
      <c r="AL284" s="1471" t="n"/>
      <c r="AM284" s="1471" t="n"/>
      <c r="AN284" s="1471" t="n"/>
      <c r="AO284" s="1469" t="n"/>
      <c r="AP284" s="1471" t="n"/>
      <c r="AQ284" s="1471" t="n"/>
      <c r="AR284" s="1471" t="n"/>
      <c r="AS284" s="1471" t="n"/>
      <c r="AT284" s="1469" t="n"/>
      <c r="AU284" s="1471" t="n"/>
      <c r="AV284" s="1471" t="n"/>
      <c r="AW284" s="1471" t="n"/>
      <c r="AX284" s="1471" t="n"/>
      <c r="AY284" s="1469" t="n"/>
      <c r="AZ284" s="1471" t="n"/>
      <c r="BA284" s="1471" t="n"/>
      <c r="BB284" s="1471" t="n"/>
      <c r="BC284" s="1471" t="n"/>
      <c r="BD284" s="1469" t="n"/>
      <c r="BE284" s="1471" t="n"/>
      <c r="BF284" s="1471" t="n"/>
      <c r="BG284" s="1471" t="n"/>
      <c r="BH284" s="1471" t="n"/>
      <c r="BI284" s="1469" t="n"/>
      <c r="BJ284" s="1471" t="n"/>
      <c r="BK284" s="1471" t="n"/>
      <c r="BL284" s="1471" t="n"/>
      <c r="BM284" s="1471" t="n"/>
      <c r="BN284" s="1469" t="n"/>
      <c r="BO284" s="1471" t="n"/>
      <c r="BP284" s="1471" t="n"/>
      <c r="BQ284" s="1487" t="n"/>
      <c r="BR284" s="1471" t="n"/>
      <c r="BS284" s="1469" t="n"/>
      <c r="BT284" s="1471" t="n"/>
      <c r="BU284" s="1471" t="n"/>
      <c r="BV284" s="1471" t="n"/>
      <c r="BW284" s="1471" t="n"/>
      <c r="BX284" s="1469" t="n"/>
      <c r="BY284" s="1469" t="n"/>
      <c r="BZ284" s="1469" t="n"/>
      <c r="CA284" s="1469" t="n"/>
      <c r="CB284" s="1472" t="n"/>
    </row>
    <row r="285" hidden="1" outlineLevel="1" ht="14.4" customFormat="1" customHeight="1" s="1372">
      <c r="A285" s="1373" t="inlineStr">
        <is>
          <t>Key Metrics SaaS Metrics</t>
        </is>
      </c>
      <c r="B285" s="1373" t="n"/>
      <c r="C285" s="1373" t="n"/>
      <c r="D285" s="1373" t="n"/>
      <c r="E285" s="1373" t="n"/>
      <c r="F285" s="1373" t="n"/>
      <c r="G285" s="1373" t="n"/>
      <c r="H285" s="1373" t="n"/>
      <c r="I285" s="1373" t="n"/>
      <c r="J285" s="1373" t="n"/>
      <c r="K285" s="1373" t="n"/>
      <c r="L285" s="1373" t="n"/>
      <c r="M285" s="1373" t="n"/>
      <c r="N285" s="1373" t="n"/>
      <c r="O285" s="1373" t="n"/>
      <c r="P285" s="1373" t="n"/>
      <c r="Q285" s="1373" t="n"/>
      <c r="R285" s="1373" t="n"/>
      <c r="S285" s="1373" t="n"/>
      <c r="T285" s="1373" t="n"/>
      <c r="U285" s="1373" t="n"/>
      <c r="V285" s="1373" t="n"/>
      <c r="W285" s="1373" t="n"/>
      <c r="X285" s="1373" t="n"/>
      <c r="Y285" s="1373" t="n"/>
      <c r="Z285" s="1373" t="n"/>
      <c r="AA285" s="1373" t="n"/>
      <c r="AB285" s="1373" t="n"/>
      <c r="AC285" s="1373" t="n"/>
      <c r="AD285" s="1373" t="n"/>
      <c r="AE285" s="1373" t="n"/>
      <c r="AF285" s="1373" t="n"/>
      <c r="AG285" s="1373" t="n"/>
      <c r="AH285" s="1373" t="n"/>
      <c r="AI285" s="1373" t="n"/>
      <c r="AJ285" s="1373" t="n"/>
      <c r="AK285" s="1373" t="n"/>
      <c r="AL285" s="1373" t="n"/>
      <c r="AM285" s="1373" t="n"/>
      <c r="AN285" s="1373" t="n"/>
      <c r="AO285" s="1373" t="n"/>
      <c r="AP285" s="1373" t="n"/>
      <c r="AQ285" s="1373" t="n"/>
      <c r="AR285" s="1373" t="n"/>
      <c r="AS285" s="1373" t="n"/>
      <c r="AT285" s="1373" t="n"/>
      <c r="AU285" s="1373" t="n"/>
      <c r="AV285" s="1373" t="n"/>
      <c r="AW285" s="1373" t="n"/>
      <c r="AX285" s="1373" t="n"/>
      <c r="AY285" s="1373" t="n"/>
      <c r="AZ285" s="1373" t="n"/>
      <c r="BA285" s="1373" t="n"/>
      <c r="BB285" s="1373" t="n"/>
      <c r="BC285" s="1373" t="n"/>
      <c r="BD285" s="1373" t="n"/>
      <c r="BE285" s="1373" t="n"/>
      <c r="BF285" s="1373" t="n"/>
      <c r="BG285" s="1373" t="n"/>
      <c r="BH285" s="1373" t="n"/>
      <c r="BI285" s="1373" t="n"/>
      <c r="BJ285" s="1373" t="n"/>
      <c r="BK285" s="1373" t="n"/>
      <c r="BL285" s="1373" t="n"/>
      <c r="BM285" s="1373" t="n"/>
      <c r="BN285" s="1373" t="n"/>
      <c r="BO285" s="1373" t="n"/>
      <c r="BP285" s="1373" t="n"/>
      <c r="BQ285" s="1374" t="n"/>
      <c r="BR285" s="1373" t="n"/>
      <c r="BS285" s="1373" t="n"/>
      <c r="BT285" s="1373" t="n"/>
      <c r="BU285" s="1373" t="n"/>
      <c r="BV285" s="1373" t="n"/>
      <c r="BW285" s="1373" t="n"/>
      <c r="BX285" s="1373" t="n"/>
      <c r="BY285" s="1373" t="n"/>
      <c r="BZ285" s="1373" t="n"/>
      <c r="CA285" s="1373" t="n"/>
      <c r="CB285" s="1375" t="n"/>
    </row>
    <row r="286" hidden="1" outlineLevel="2" ht="14.4" customFormat="1" customHeight="1" s="1460">
      <c r="A286" s="1492" t="inlineStr">
        <is>
          <t>CRPO growth y/y, %</t>
        </is>
      </c>
      <c r="B286" s="1462" t="n"/>
      <c r="C286" s="1463" t="n"/>
      <c r="D286" s="1463" t="n"/>
      <c r="E286" s="1463" t="n"/>
      <c r="F286" s="1463" t="n"/>
      <c r="G286" s="1466" t="n"/>
      <c r="H286" s="1466" t="n"/>
      <c r="I286" s="1466" t="n"/>
      <c r="J286" s="1466" t="n"/>
      <c r="K286" s="1463" t="n"/>
      <c r="L286" s="1466" t="n"/>
      <c r="M286" s="1466" t="n"/>
      <c r="N286" s="1466" t="n"/>
      <c r="O286" s="1466" t="n"/>
      <c r="P286" s="1463" t="n"/>
      <c r="Q286" s="1466" t="n"/>
      <c r="R286" s="1466" t="n"/>
      <c r="S286" s="1466" t="n"/>
      <c r="T286" s="1466" t="n"/>
      <c r="U286" s="1463" t="n"/>
      <c r="V286" s="1466" t="n"/>
      <c r="W286" s="1466" t="n"/>
      <c r="X286" s="1466" t="n"/>
      <c r="Y286" s="1466" t="n"/>
      <c r="Z286" s="1463" t="n"/>
      <c r="AA286" s="1466" t="n"/>
      <c r="AB286" s="1466" t="n"/>
      <c r="AC286" s="1466" t="n"/>
      <c r="AD286" s="1466" t="n"/>
      <c r="AE286" s="1463" t="n"/>
      <c r="AF286" s="1466" t="n"/>
      <c r="AG286" s="1466" t="n"/>
      <c r="AH286" s="1466" t="n"/>
      <c r="AI286" s="1466" t="n"/>
      <c r="AJ286" s="1463" t="n"/>
      <c r="AK286" s="1466">
        <f>AK257/AF257-1</f>
        <v/>
      </c>
      <c r="AL286" s="1466">
        <f>AL257/AG257-1</f>
        <v/>
      </c>
      <c r="AM286" s="1466">
        <f>AM257/AH257-1</f>
        <v/>
      </c>
      <c r="AN286" s="1466">
        <f>AN257/AI257-1</f>
        <v/>
      </c>
      <c r="AO286" s="1463">
        <f>AO257/AJ257-1</f>
        <v/>
      </c>
      <c r="AP286" s="1466">
        <f>AP257/AK257-1</f>
        <v/>
      </c>
      <c r="AQ286" s="1466">
        <f>AQ257/AL257-1</f>
        <v/>
      </c>
      <c r="AR286" s="1466">
        <f>AR257/AM257-1</f>
        <v/>
      </c>
      <c r="AS286" s="1466">
        <f>AS257/AN257-1</f>
        <v/>
      </c>
      <c r="AT286" s="1463">
        <f>AT257/AO257-1</f>
        <v/>
      </c>
      <c r="AU286" s="1466">
        <f>AU257/AP257-1</f>
        <v/>
      </c>
      <c r="AV286" s="1466">
        <f>AV257/AQ257-1</f>
        <v/>
      </c>
      <c r="AW286" s="1466">
        <f>AW257/AR257-1</f>
        <v/>
      </c>
      <c r="AX286" s="1466">
        <f>AX257/AS257-1</f>
        <v/>
      </c>
      <c r="AY286" s="1463">
        <f>AY257/AT257-1</f>
        <v/>
      </c>
      <c r="AZ286" s="1466">
        <f>AZ257/AU257-1</f>
        <v/>
      </c>
      <c r="BA286" s="1466">
        <f>BA257/AV257-1</f>
        <v/>
      </c>
      <c r="BB286" s="1466">
        <f>BB257/AW257-1</f>
        <v/>
      </c>
      <c r="BC286" s="1466">
        <f>BC257/AX257-1</f>
        <v/>
      </c>
      <c r="BD286" s="1463">
        <f>BD257/AY257-1</f>
        <v/>
      </c>
      <c r="BE286" s="1466">
        <f>BE257/AZ257-1</f>
        <v/>
      </c>
      <c r="BF286" s="1466">
        <f>BF257/BA257-1</f>
        <v/>
      </c>
      <c r="BG286" s="1466">
        <f>BG257/BB257-1</f>
        <v/>
      </c>
      <c r="BH286" s="1466">
        <f>BH257/BC257-1</f>
        <v/>
      </c>
      <c r="BI286" s="1463">
        <f>BI257/BD257-1</f>
        <v/>
      </c>
      <c r="BJ286" s="1466">
        <f>BJ257/BE257-1</f>
        <v/>
      </c>
      <c r="BK286" s="1466">
        <f>BK257/BF257-1</f>
        <v/>
      </c>
      <c r="BL286" s="1466">
        <f>BL257/BG257-1</f>
        <v/>
      </c>
      <c r="BM286" s="1466">
        <f>BM257/BH257-1</f>
        <v/>
      </c>
      <c r="BN286" s="1463">
        <f>BN257/BI257-1</f>
        <v/>
      </c>
      <c r="BO286" s="1466">
        <f>BO257/BJ257-1</f>
        <v/>
      </c>
      <c r="BP286" s="1466">
        <f>BP257/BK257-1</f>
        <v/>
      </c>
      <c r="BQ286" s="1491">
        <f>BQ257/BL257-1</f>
        <v/>
      </c>
      <c r="BR286" s="1466" t="n"/>
      <c r="BS286" s="1463" t="n"/>
      <c r="BT286" s="1466" t="n"/>
      <c r="BU286" s="1466" t="n"/>
      <c r="BV286" s="1466" t="n"/>
      <c r="BW286" s="1466" t="n"/>
      <c r="BX286" s="1463" t="n"/>
      <c r="BY286" s="1463" t="n"/>
      <c r="BZ286" s="1463" t="n"/>
      <c r="CA286" s="1463" t="n"/>
      <c r="CB286" s="1465" t="n"/>
    </row>
    <row r="287" hidden="1" outlineLevel="2" ht="14.4" customFormat="1" customHeight="1" s="1359">
      <c r="A287" s="1503" t="inlineStr">
        <is>
          <t>CRPO bookings, mm</t>
        </is>
      </c>
      <c r="B287" s="1377" t="n"/>
      <c r="C287" s="1379" t="n"/>
      <c r="D287" s="1379" t="n"/>
      <c r="E287" s="1379" t="n"/>
      <c r="F287" s="1379" t="n"/>
      <c r="G287" s="1361" t="n"/>
      <c r="H287" s="1361" t="n"/>
      <c r="I287" s="1361" t="n"/>
      <c r="J287" s="1361" t="n"/>
      <c r="K287" s="1379" t="n"/>
      <c r="L287" s="1361" t="n"/>
      <c r="M287" s="1361" t="n"/>
      <c r="N287" s="1361" t="n"/>
      <c r="O287" s="1361" t="n"/>
      <c r="P287" s="1379" t="n"/>
      <c r="Q287" s="1361" t="n"/>
      <c r="R287" s="1361" t="n"/>
      <c r="S287" s="1361" t="n"/>
      <c r="T287" s="1361" t="n"/>
      <c r="U287" s="1379" t="n"/>
      <c r="V287" s="1361" t="n"/>
      <c r="W287" s="1361" t="n"/>
      <c r="X287" s="1361" t="n"/>
      <c r="Y287" s="1361" t="n"/>
      <c r="Z287" s="1379" t="n"/>
      <c r="AA287" s="1361" t="n"/>
      <c r="AB287" s="1361" t="n"/>
      <c r="AC287" s="1361" t="n"/>
      <c r="AD287" s="1361" t="n"/>
      <c r="AE287" s="1379" t="n"/>
      <c r="AF287" s="1361" t="n"/>
      <c r="AG287" s="1361">
        <f>AG454+(AG257-AF257)</f>
        <v/>
      </c>
      <c r="AH287" s="1361">
        <f>AH454+(AH257-AG257)</f>
        <v/>
      </c>
      <c r="AI287" s="1361">
        <f>AI454+(AI257-AH257)</f>
        <v/>
      </c>
      <c r="AJ287" s="1379" t="n"/>
      <c r="AK287" s="1361">
        <f>AK454+(AK257-AI257)</f>
        <v/>
      </c>
      <c r="AL287" s="1361">
        <f>AL454+(AL257-AK257)</f>
        <v/>
      </c>
      <c r="AM287" s="1361">
        <f>AM454+(AM257-AL257)</f>
        <v/>
      </c>
      <c r="AN287" s="1361">
        <f>AN454+(AN257-AM257)</f>
        <v/>
      </c>
      <c r="AO287" s="1379">
        <f>AO454+(AO257-AJ257)</f>
        <v/>
      </c>
      <c r="AP287" s="1361">
        <f>AP454+(AP257-AN257)</f>
        <v/>
      </c>
      <c r="AQ287" s="1361">
        <f>AQ454+(AQ257-AP257)</f>
        <v/>
      </c>
      <c r="AR287" s="1361">
        <f>AR454+(AR257-AQ257)</f>
        <v/>
      </c>
      <c r="AS287" s="1361">
        <f>AS454+(AS257-AR257)</f>
        <v/>
      </c>
      <c r="AT287" s="1379">
        <f>AT454+(AT257-AO257)</f>
        <v/>
      </c>
      <c r="AU287" s="1361">
        <f>AU454+(AU257-AS257)</f>
        <v/>
      </c>
      <c r="AV287" s="1361">
        <f>AV454+(AV257-AU257)</f>
        <v/>
      </c>
      <c r="AW287" s="1361">
        <f>AW454+(AW257-AV257)</f>
        <v/>
      </c>
      <c r="AX287" s="1361">
        <f>AX454+(AX257-AW257)</f>
        <v/>
      </c>
      <c r="AY287" s="1379">
        <f>AY454+(AY257-AT257)</f>
        <v/>
      </c>
      <c r="AZ287" s="1361">
        <f>AZ454+(AZ257-AX257)</f>
        <v/>
      </c>
      <c r="BA287" s="1361">
        <f>BA454+(BA257-AZ257)</f>
        <v/>
      </c>
      <c r="BB287" s="1361">
        <f>BB454+(BB257-BA257)</f>
        <v/>
      </c>
      <c r="BC287" s="1361">
        <f>BC454+(BC257-BB257)</f>
        <v/>
      </c>
      <c r="BD287" s="1379">
        <f>BD454+(BD257-AY257)</f>
        <v/>
      </c>
      <c r="BE287" s="1361">
        <f>BE454+(BE257-BC257)</f>
        <v/>
      </c>
      <c r="BF287" s="1361">
        <f>BF454+(BF257-BE257)</f>
        <v/>
      </c>
      <c r="BG287" s="1361">
        <f>BG454+(BG257-BF257)</f>
        <v/>
      </c>
      <c r="BH287" s="1361">
        <f>BH454+(BH257-BG257)</f>
        <v/>
      </c>
      <c r="BI287" s="1379">
        <f>BI454+(BI257-BD257)</f>
        <v/>
      </c>
      <c r="BJ287" s="1361">
        <f>BJ454+(BJ257-BH257)</f>
        <v/>
      </c>
      <c r="BK287" s="1361">
        <f>BK454+(BK257-BJ257)</f>
        <v/>
      </c>
      <c r="BL287" s="1361">
        <f>BL454+(BL257-BK257)</f>
        <v/>
      </c>
      <c r="BM287" s="1361">
        <f>BM454+(BM257-BL257)</f>
        <v/>
      </c>
      <c r="BN287" s="1379">
        <f>BN454+(BN257-BI257)</f>
        <v/>
      </c>
      <c r="BO287" s="1361">
        <f>BO454+(BO257-BM257)</f>
        <v/>
      </c>
      <c r="BP287" s="1361">
        <f>BP454+(BP257-BO257)</f>
        <v/>
      </c>
      <c r="BQ287" s="1363">
        <f>BQ454+(BQ257-BP257)</f>
        <v/>
      </c>
      <c r="BR287" s="1361" t="n"/>
      <c r="BS287" s="1379" t="n"/>
      <c r="BT287" s="1361" t="n"/>
      <c r="BU287" s="1361" t="n"/>
      <c r="BV287" s="1361" t="n"/>
      <c r="BW287" s="1361" t="n"/>
      <c r="BX287" s="1379" t="n"/>
      <c r="BY287" s="1379" t="n"/>
      <c r="BZ287" s="1379" t="n"/>
      <c r="CA287" s="1379" t="n"/>
      <c r="CB287" s="1364" t="n"/>
    </row>
    <row r="288" hidden="1" outlineLevel="2" ht="14.4" customFormat="1" customHeight="1" s="1460">
      <c r="A288" s="1492" t="inlineStr">
        <is>
          <t>CRPO bookings growth y/y, %</t>
        </is>
      </c>
      <c r="B288" s="1462" t="n"/>
      <c r="C288" s="1463" t="n"/>
      <c r="D288" s="1463" t="n"/>
      <c r="E288" s="1463" t="n"/>
      <c r="F288" s="1463" t="n"/>
      <c r="G288" s="1466" t="n"/>
      <c r="H288" s="1466" t="n"/>
      <c r="I288" s="1466" t="n"/>
      <c r="J288" s="1466" t="n"/>
      <c r="K288" s="1463" t="n"/>
      <c r="L288" s="1466" t="n"/>
      <c r="M288" s="1466" t="n"/>
      <c r="N288" s="1466" t="n"/>
      <c r="O288" s="1466" t="n"/>
      <c r="P288" s="1463" t="n"/>
      <c r="Q288" s="1466" t="n"/>
      <c r="R288" s="1466" t="n"/>
      <c r="S288" s="1466" t="n"/>
      <c r="T288" s="1466" t="n"/>
      <c r="U288" s="1463" t="n"/>
      <c r="V288" s="1466" t="n"/>
      <c r="W288" s="1466" t="n"/>
      <c r="X288" s="1466" t="n"/>
      <c r="Y288" s="1466" t="n"/>
      <c r="Z288" s="1463" t="n"/>
      <c r="AA288" s="1466" t="n"/>
      <c r="AB288" s="1466" t="n"/>
      <c r="AC288" s="1466" t="n"/>
      <c r="AD288" s="1466" t="n"/>
      <c r="AE288" s="1463" t="n"/>
      <c r="AF288" s="1466" t="n"/>
      <c r="AG288" s="1466" t="n"/>
      <c r="AH288" s="1466" t="n"/>
      <c r="AI288" s="1466" t="n"/>
      <c r="AJ288" s="1463" t="n"/>
      <c r="AK288" s="1466" t="n"/>
      <c r="AL288" s="1466">
        <f>AL287/AG287-1</f>
        <v/>
      </c>
      <c r="AM288" s="1466">
        <f>AM287/AH287-1</f>
        <v/>
      </c>
      <c r="AN288" s="1466">
        <f>AN287/AI287-1</f>
        <v/>
      </c>
      <c r="AO288" s="1463" t="n"/>
      <c r="AP288" s="1466">
        <f>AP287/AK287-1</f>
        <v/>
      </c>
      <c r="AQ288" s="1466">
        <f>AQ287/AL287-1</f>
        <v/>
      </c>
      <c r="AR288" s="1466">
        <f>AR287/AM287-1</f>
        <v/>
      </c>
      <c r="AS288" s="1466">
        <f>AS287/AN287-1</f>
        <v/>
      </c>
      <c r="AT288" s="1463">
        <f>AT287/AO287-1</f>
        <v/>
      </c>
      <c r="AU288" s="1466">
        <f>AU287/AP287-1</f>
        <v/>
      </c>
      <c r="AV288" s="1466">
        <f>AV287/AQ287-1</f>
        <v/>
      </c>
      <c r="AW288" s="1466">
        <f>AW287/AR287-1</f>
        <v/>
      </c>
      <c r="AX288" s="1466">
        <f>AX287/AS287-1</f>
        <v/>
      </c>
      <c r="AY288" s="1463">
        <f>AY287/AT287-1</f>
        <v/>
      </c>
      <c r="AZ288" s="1466">
        <f>AZ287/AU287-1</f>
        <v/>
      </c>
      <c r="BA288" s="1466">
        <f>BA287/AV287-1</f>
        <v/>
      </c>
      <c r="BB288" s="1466">
        <f>BB287/AW287-1</f>
        <v/>
      </c>
      <c r="BC288" s="1466">
        <f>BC287/AX287-1</f>
        <v/>
      </c>
      <c r="BD288" s="1463">
        <f>BD287/AY287-1</f>
        <v/>
      </c>
      <c r="BE288" s="1466">
        <f>BE287/AZ287-1</f>
        <v/>
      </c>
      <c r="BF288" s="1466">
        <f>BF287/BA287-1</f>
        <v/>
      </c>
      <c r="BG288" s="1466">
        <f>BG287/BB287-1</f>
        <v/>
      </c>
      <c r="BH288" s="1466">
        <f>BH287/BC287-1</f>
        <v/>
      </c>
      <c r="BI288" s="1463">
        <f>BI287/BD287-1</f>
        <v/>
      </c>
      <c r="BJ288" s="1466">
        <f>BJ287/BE287-1</f>
        <v/>
      </c>
      <c r="BK288" s="1466">
        <f>BK287/BF287-1</f>
        <v/>
      </c>
      <c r="BL288" s="1466">
        <f>BL287/BG287-1</f>
        <v/>
      </c>
      <c r="BM288" s="1466">
        <f>BM287/BH287-1</f>
        <v/>
      </c>
      <c r="BN288" s="1463">
        <f>BN287/BI287-1</f>
        <v/>
      </c>
      <c r="BO288" s="1466">
        <f>BO287/BJ287-1</f>
        <v/>
      </c>
      <c r="BP288" s="1466">
        <f>BP287/BK287-1</f>
        <v/>
      </c>
      <c r="BQ288" s="1491">
        <f>BQ287/BL287-1</f>
        <v/>
      </c>
      <c r="BR288" s="1466" t="n"/>
      <c r="BS288" s="1463" t="n"/>
      <c r="BT288" s="1466" t="n"/>
      <c r="BU288" s="1466" t="n"/>
      <c r="BV288" s="1466" t="n"/>
      <c r="BW288" s="1466" t="n"/>
      <c r="BX288" s="1463" t="n"/>
      <c r="BY288" s="1463" t="n"/>
      <c r="BZ288" s="1463" t="n"/>
      <c r="CA288" s="1463" t="n"/>
      <c r="CB288" s="1465" t="n"/>
    </row>
    <row r="289" hidden="1" outlineLevel="2" ht="14.4" customFormat="1" customHeight="1" s="1359">
      <c r="A289" s="1503" t="n"/>
      <c r="B289" s="1377" t="n"/>
      <c r="C289" s="1379" t="n"/>
      <c r="D289" s="1379" t="n"/>
      <c r="E289" s="1379" t="n"/>
      <c r="F289" s="1379" t="n"/>
      <c r="G289" s="1361" t="n"/>
      <c r="H289" s="1361" t="n"/>
      <c r="I289" s="1361" t="n"/>
      <c r="J289" s="1361" t="n"/>
      <c r="K289" s="1379" t="n"/>
      <c r="L289" s="1361" t="n"/>
      <c r="M289" s="1361" t="n"/>
      <c r="N289" s="1361" t="n"/>
      <c r="O289" s="1361" t="n"/>
      <c r="P289" s="1379" t="n"/>
      <c r="Q289" s="1361" t="n"/>
      <c r="R289" s="1361" t="n"/>
      <c r="S289" s="1361" t="n"/>
      <c r="T289" s="1361" t="n"/>
      <c r="U289" s="1379" t="n"/>
      <c r="V289" s="1361" t="n"/>
      <c r="W289" s="1361" t="n"/>
      <c r="X289" s="1361" t="n"/>
      <c r="Y289" s="1361" t="n"/>
      <c r="Z289" s="1379" t="n"/>
      <c r="AA289" s="1361" t="n"/>
      <c r="AB289" s="1361" t="n"/>
      <c r="AC289" s="1361" t="n"/>
      <c r="AD289" s="1361" t="n"/>
      <c r="AE289" s="1379" t="n"/>
      <c r="AF289" s="1361" t="n"/>
      <c r="AG289" s="1361" t="n"/>
      <c r="AH289" s="1361" t="n"/>
      <c r="AI289" s="1361" t="n"/>
      <c r="AJ289" s="1379" t="n"/>
      <c r="AK289" s="1361" t="n"/>
      <c r="AL289" s="1361" t="n"/>
      <c r="AM289" s="1361" t="n"/>
      <c r="AN289" s="1361" t="n"/>
      <c r="AO289" s="1379" t="n"/>
      <c r="AP289" s="1361" t="n"/>
      <c r="AQ289" s="1361" t="n"/>
      <c r="AR289" s="1361" t="n"/>
      <c r="AS289" s="1361" t="n"/>
      <c r="AT289" s="1379" t="n"/>
      <c r="AU289" s="1361" t="n"/>
      <c r="AV289" s="1361" t="n"/>
      <c r="AW289" s="1361" t="n"/>
      <c r="AX289" s="1361" t="n"/>
      <c r="AY289" s="1379" t="n"/>
      <c r="AZ289" s="1361" t="n"/>
      <c r="BA289" s="1361" t="n"/>
      <c r="BB289" s="1361" t="n"/>
      <c r="BC289" s="1361" t="n"/>
      <c r="BD289" s="1379" t="n"/>
      <c r="BE289" s="1361" t="n"/>
      <c r="BF289" s="1361" t="n"/>
      <c r="BG289" s="1361" t="n"/>
      <c r="BH289" s="1361" t="n"/>
      <c r="BI289" s="1379" t="n"/>
      <c r="BJ289" s="1361" t="n"/>
      <c r="BK289" s="1361" t="n"/>
      <c r="BL289" s="1361" t="n"/>
      <c r="BM289" s="1361" t="n"/>
      <c r="BN289" s="1379" t="n"/>
      <c r="BO289" s="1361" t="n"/>
      <c r="BP289" s="1361" t="n"/>
      <c r="BQ289" s="1363" t="n"/>
      <c r="BR289" s="1361" t="n"/>
      <c r="BS289" s="1379" t="n"/>
      <c r="BT289" s="1361" t="n"/>
      <c r="BU289" s="1361" t="n"/>
      <c r="BV289" s="1361" t="n"/>
      <c r="BW289" s="1361" t="n"/>
      <c r="BX289" s="1379" t="n"/>
      <c r="BY289" s="1379" t="n"/>
      <c r="BZ289" s="1379" t="n"/>
      <c r="CA289" s="1379" t="n"/>
      <c r="CB289" s="1364" t="n"/>
    </row>
    <row r="290" hidden="1" outlineLevel="2" ht="14.4" customFormat="1" customHeight="1" s="1460">
      <c r="A290" s="1492" t="inlineStr">
        <is>
          <t>RPO growth y/y, %</t>
        </is>
      </c>
      <c r="B290" s="1462" t="n"/>
      <c r="C290" s="1463" t="n"/>
      <c r="D290" s="1463" t="n"/>
      <c r="E290" s="1463" t="n"/>
      <c r="F290" s="1463" t="n"/>
      <c r="G290" s="1466" t="n"/>
      <c r="H290" s="1466" t="n"/>
      <c r="I290" s="1466" t="n"/>
      <c r="J290" s="1466" t="n"/>
      <c r="K290" s="1463" t="n"/>
      <c r="L290" s="1466" t="n"/>
      <c r="M290" s="1466" t="n"/>
      <c r="N290" s="1466" t="n"/>
      <c r="O290" s="1466" t="n"/>
      <c r="P290" s="1463" t="n"/>
      <c r="Q290" s="1466" t="n"/>
      <c r="R290" s="1466" t="n"/>
      <c r="S290" s="1466" t="n"/>
      <c r="T290" s="1466" t="n"/>
      <c r="U290" s="1463" t="n"/>
      <c r="V290" s="1466" t="n"/>
      <c r="W290" s="1466" t="n"/>
      <c r="X290" s="1466" t="n"/>
      <c r="Y290" s="1466" t="n"/>
      <c r="Z290" s="1463" t="n"/>
      <c r="AA290" s="1466" t="n"/>
      <c r="AB290" s="1466" t="n"/>
      <c r="AC290" s="1466" t="n"/>
      <c r="AD290" s="1466" t="n"/>
      <c r="AE290" s="1463" t="n"/>
      <c r="AF290" s="1466" t="n"/>
      <c r="AG290" s="1466" t="n"/>
      <c r="AH290" s="1466" t="n"/>
      <c r="AI290" s="1466" t="n"/>
      <c r="AJ290" s="1463" t="n"/>
      <c r="AK290" s="1466">
        <f>AK259/AF259-1</f>
        <v/>
      </c>
      <c r="AL290" s="1466">
        <f>AL259/AG259-1</f>
        <v/>
      </c>
      <c r="AM290" s="1466">
        <f>AM259/AH259-1</f>
        <v/>
      </c>
      <c r="AN290" s="1466">
        <f>AN259/AI259-1</f>
        <v/>
      </c>
      <c r="AO290" s="1463">
        <f>AO259/AJ259-1</f>
        <v/>
      </c>
      <c r="AP290" s="1466">
        <f>AP259/AK259-1</f>
        <v/>
      </c>
      <c r="AQ290" s="1466">
        <f>AQ259/AL259-1</f>
        <v/>
      </c>
      <c r="AR290" s="1466">
        <f>AR259/AM259-1</f>
        <v/>
      </c>
      <c r="AS290" s="1466">
        <f>AS259/AN259-1</f>
        <v/>
      </c>
      <c r="AT290" s="1463">
        <f>AT259/AO259-1</f>
        <v/>
      </c>
      <c r="AU290" s="1466">
        <f>AU259/AP259-1</f>
        <v/>
      </c>
      <c r="AV290" s="1466">
        <f>AV259/AQ259-1</f>
        <v/>
      </c>
      <c r="AW290" s="1466">
        <f>AW259/AR259-1</f>
        <v/>
      </c>
      <c r="AX290" s="1466">
        <f>AX259/AS259-1</f>
        <v/>
      </c>
      <c r="AY290" s="1463">
        <f>AY259/AT259-1</f>
        <v/>
      </c>
      <c r="AZ290" s="1466">
        <f>AZ259/AU259-1</f>
        <v/>
      </c>
      <c r="BA290" s="1466">
        <f>BA259/AV259-1</f>
        <v/>
      </c>
      <c r="BB290" s="1466">
        <f>BB259/AW259-1</f>
        <v/>
      </c>
      <c r="BC290" s="1466">
        <f>BC259/AX259-1</f>
        <v/>
      </c>
      <c r="BD290" s="1463">
        <f>BD259/AY259-1</f>
        <v/>
      </c>
      <c r="BE290" s="1466">
        <f>BE259/AZ259-1</f>
        <v/>
      </c>
      <c r="BF290" s="1466">
        <f>BF259/BA259-1</f>
        <v/>
      </c>
      <c r="BG290" s="1466">
        <f>BG259/BB259-1</f>
        <v/>
      </c>
      <c r="BH290" s="1466">
        <f>BH259/BC259-1</f>
        <v/>
      </c>
      <c r="BI290" s="1463">
        <f>BI259/BD259-1</f>
        <v/>
      </c>
      <c r="BJ290" s="1466">
        <f>BJ259/BE259-1</f>
        <v/>
      </c>
      <c r="BK290" s="1466">
        <f>BK259/BF259-1</f>
        <v/>
      </c>
      <c r="BL290" s="1466">
        <f>BL259/BG259-1</f>
        <v/>
      </c>
      <c r="BM290" s="1466">
        <f>BM259/BH259-1</f>
        <v/>
      </c>
      <c r="BN290" s="1463">
        <f>BN259/BI259-1</f>
        <v/>
      </c>
      <c r="BO290" s="1466">
        <f>BO259/BJ259-1</f>
        <v/>
      </c>
      <c r="BP290" s="1466">
        <f>BP259/BK259-1</f>
        <v/>
      </c>
      <c r="BQ290" s="1491">
        <f>BQ259/BL259-1</f>
        <v/>
      </c>
      <c r="BR290" s="1466" t="n"/>
      <c r="BS290" s="1463" t="n"/>
      <c r="BT290" s="1466" t="n"/>
      <c r="BU290" s="1466" t="n"/>
      <c r="BV290" s="1466" t="n"/>
      <c r="BW290" s="1466" t="n"/>
      <c r="BX290" s="1463" t="n"/>
      <c r="BY290" s="1463" t="n"/>
      <c r="BZ290" s="1463" t="n"/>
      <c r="CA290" s="1463" t="n"/>
      <c r="CB290" s="1465" t="n"/>
    </row>
    <row r="291" hidden="1" outlineLevel="2" ht="14.4" customFormat="1" customHeight="1" s="1359">
      <c r="A291" s="1503" t="inlineStr">
        <is>
          <t>RPO bookings, mm</t>
        </is>
      </c>
      <c r="B291" s="1377" t="n"/>
      <c r="C291" s="1379" t="n"/>
      <c r="D291" s="1379" t="n"/>
      <c r="E291" s="1379" t="n"/>
      <c r="F291" s="1379" t="n"/>
      <c r="G291" s="1361" t="n"/>
      <c r="H291" s="1361" t="n"/>
      <c r="I291" s="1361" t="n"/>
      <c r="J291" s="1361" t="n"/>
      <c r="K291" s="1379" t="n"/>
      <c r="L291" s="1361" t="n"/>
      <c r="M291" s="1361" t="n"/>
      <c r="N291" s="1361" t="n"/>
      <c r="O291" s="1361" t="n"/>
      <c r="P291" s="1379" t="n"/>
      <c r="Q291" s="1361" t="n"/>
      <c r="R291" s="1361" t="n"/>
      <c r="S291" s="1361" t="n"/>
      <c r="T291" s="1361" t="n"/>
      <c r="U291" s="1379" t="n"/>
      <c r="V291" s="1361" t="n"/>
      <c r="W291" s="1361" t="n"/>
      <c r="X291" s="1361" t="n"/>
      <c r="Y291" s="1361" t="n"/>
      <c r="Z291" s="1379" t="n"/>
      <c r="AA291" s="1361" t="n"/>
      <c r="AB291" s="1361" t="n"/>
      <c r="AC291" s="1361" t="n"/>
      <c r="AD291" s="1361" t="n"/>
      <c r="AE291" s="1379" t="n"/>
      <c r="AF291" s="1361" t="n"/>
      <c r="AG291" s="1361">
        <f>AG454+(AG259-AF259)</f>
        <v/>
      </c>
      <c r="AH291" s="1361">
        <f>AH454+(AH259-AG259)</f>
        <v/>
      </c>
      <c r="AI291" s="1361">
        <f>AI454+(AI259-AH259)</f>
        <v/>
      </c>
      <c r="AJ291" s="1379" t="n"/>
      <c r="AK291" s="1361">
        <f>AK454+(AK259-AI259)</f>
        <v/>
      </c>
      <c r="AL291" s="1361">
        <f>AL454+(AL259-AK259)</f>
        <v/>
      </c>
      <c r="AM291" s="1361">
        <f>AM454+(AM259-AL259)</f>
        <v/>
      </c>
      <c r="AN291" s="1361">
        <f>AN454+(AN259-AM259)</f>
        <v/>
      </c>
      <c r="AO291" s="1379">
        <f>AO454+(AO259-AJ259)</f>
        <v/>
      </c>
      <c r="AP291" s="1361">
        <f>AP454+(AP259-AN259)</f>
        <v/>
      </c>
      <c r="AQ291" s="1361">
        <f>AQ454+(AQ259-AP259)</f>
        <v/>
      </c>
      <c r="AR291" s="1361">
        <f>AR454+(AR259-AQ259)</f>
        <v/>
      </c>
      <c r="AS291" s="1361">
        <f>AS454+(AS259-AR259)</f>
        <v/>
      </c>
      <c r="AT291" s="1379">
        <f>AT454+(AT259-AO259)</f>
        <v/>
      </c>
      <c r="AU291" s="1361">
        <f>AU454+(AU259-AS259)</f>
        <v/>
      </c>
      <c r="AV291" s="1361">
        <f>AV454+(AV259-AU259)</f>
        <v/>
      </c>
      <c r="AW291" s="1361">
        <f>AW454+(AW259-AV259)</f>
        <v/>
      </c>
      <c r="AX291" s="1361">
        <f>AX454+(AX259-AW259)</f>
        <v/>
      </c>
      <c r="AY291" s="1379">
        <f>AY454+(AY259-AT259)</f>
        <v/>
      </c>
      <c r="AZ291" s="1361">
        <f>AZ454+(AZ259-AX259)</f>
        <v/>
      </c>
      <c r="BA291" s="1361">
        <f>BA454+(BA259-AZ259)</f>
        <v/>
      </c>
      <c r="BB291" s="1361">
        <f>BB454+(BB259-BA259)</f>
        <v/>
      </c>
      <c r="BC291" s="1361">
        <f>BC454+(BC259-BB259)</f>
        <v/>
      </c>
      <c r="BD291" s="1379">
        <f>BD454+(BD259-AY259)</f>
        <v/>
      </c>
      <c r="BE291" s="1361">
        <f>BE454+(BE259-BC259)</f>
        <v/>
      </c>
      <c r="BF291" s="1361">
        <f>BF454+(BF259-BE259)</f>
        <v/>
      </c>
      <c r="BG291" s="1361">
        <f>BG454+(BG259-BF259)</f>
        <v/>
      </c>
      <c r="BH291" s="1361">
        <f>BH454+(BH259-BG259)</f>
        <v/>
      </c>
      <c r="BI291" s="1379">
        <f>BI454+(BI259-BD259)</f>
        <v/>
      </c>
      <c r="BJ291" s="1361">
        <f>BJ454+(BJ259-BH259)</f>
        <v/>
      </c>
      <c r="BK291" s="1361">
        <f>BK454+(BK259-BJ259)</f>
        <v/>
      </c>
      <c r="BL291" s="1361">
        <f>BL454+(BL259-BK259)</f>
        <v/>
      </c>
      <c r="BM291" s="1361">
        <f>BM454+(BM259-BL259)</f>
        <v/>
      </c>
      <c r="BN291" s="1379">
        <f>BN454+(BN259-BI259)</f>
        <v/>
      </c>
      <c r="BO291" s="1361">
        <f>BO454+(BO259-BM259)</f>
        <v/>
      </c>
      <c r="BP291" s="1361">
        <f>BP454+(BP259-BO259)</f>
        <v/>
      </c>
      <c r="BQ291" s="1363">
        <f>BQ454+(BQ259-BP259)</f>
        <v/>
      </c>
      <c r="BR291" s="1361" t="n"/>
      <c r="BS291" s="1379" t="n"/>
      <c r="BT291" s="1361" t="n"/>
      <c r="BU291" s="1361" t="n"/>
      <c r="BV291" s="1361" t="n"/>
      <c r="BW291" s="1361" t="n"/>
      <c r="BX291" s="1379" t="n"/>
      <c r="BY291" s="1379" t="n"/>
      <c r="BZ291" s="1379" t="n"/>
      <c r="CA291" s="1379" t="n"/>
      <c r="CB291" s="1364" t="n"/>
    </row>
    <row r="292" hidden="1" outlineLevel="2" ht="14.4" customFormat="1" customHeight="1" s="1460">
      <c r="A292" s="1492" t="inlineStr">
        <is>
          <t>RPO bookings growth y/y, %</t>
        </is>
      </c>
      <c r="B292" s="1462" t="n"/>
      <c r="C292" s="1463" t="n"/>
      <c r="D292" s="1463" t="n"/>
      <c r="E292" s="1463" t="n"/>
      <c r="F292" s="1463" t="n"/>
      <c r="G292" s="1466" t="n"/>
      <c r="H292" s="1466" t="n"/>
      <c r="I292" s="1466" t="n"/>
      <c r="J292" s="1466" t="n"/>
      <c r="K292" s="1463" t="n"/>
      <c r="L292" s="1466" t="n"/>
      <c r="M292" s="1466" t="n"/>
      <c r="N292" s="1466" t="n"/>
      <c r="O292" s="1466" t="n"/>
      <c r="P292" s="1463" t="n"/>
      <c r="Q292" s="1466" t="n"/>
      <c r="R292" s="1466" t="n"/>
      <c r="S292" s="1466" t="n"/>
      <c r="T292" s="1466" t="n"/>
      <c r="U292" s="1463" t="n"/>
      <c r="V292" s="1466" t="n"/>
      <c r="W292" s="1466" t="n"/>
      <c r="X292" s="1466" t="n"/>
      <c r="Y292" s="1466" t="n"/>
      <c r="Z292" s="1463" t="n"/>
      <c r="AA292" s="1466" t="n"/>
      <c r="AB292" s="1466" t="n"/>
      <c r="AC292" s="1466" t="n"/>
      <c r="AD292" s="1466" t="n"/>
      <c r="AE292" s="1463" t="n"/>
      <c r="AF292" s="1466" t="n"/>
      <c r="AG292" s="1466" t="n"/>
      <c r="AH292" s="1466" t="n"/>
      <c r="AI292" s="1466" t="n"/>
      <c r="AJ292" s="1463" t="n"/>
      <c r="AK292" s="1466" t="n"/>
      <c r="AL292" s="1466">
        <f>AL291/AG291-1</f>
        <v/>
      </c>
      <c r="AM292" s="1466">
        <f>AM291/AH291-1</f>
        <v/>
      </c>
      <c r="AN292" s="1466">
        <f>AN291/AI291-1</f>
        <v/>
      </c>
      <c r="AO292" s="1463" t="n"/>
      <c r="AP292" s="1466">
        <f>AP291/AK291-1</f>
        <v/>
      </c>
      <c r="AQ292" s="1466">
        <f>AQ291/AL291-1</f>
        <v/>
      </c>
      <c r="AR292" s="1466">
        <f>AR291/AM291-1</f>
        <v/>
      </c>
      <c r="AS292" s="1466">
        <f>AS291/AN291-1</f>
        <v/>
      </c>
      <c r="AT292" s="1463">
        <f>AT291/AO291-1</f>
        <v/>
      </c>
      <c r="AU292" s="1466">
        <f>AU291/AP291-1</f>
        <v/>
      </c>
      <c r="AV292" s="1466">
        <f>AV291/AQ291-1</f>
        <v/>
      </c>
      <c r="AW292" s="1466">
        <f>AW291/AR291-1</f>
        <v/>
      </c>
      <c r="AX292" s="1466">
        <f>AX291/AS291-1</f>
        <v/>
      </c>
      <c r="AY292" s="1463">
        <f>AY291/AT291-1</f>
        <v/>
      </c>
      <c r="AZ292" s="1466">
        <f>AZ291/AU291-1</f>
        <v/>
      </c>
      <c r="BA292" s="1466">
        <f>BA291/AV291-1</f>
        <v/>
      </c>
      <c r="BB292" s="1466">
        <f>BB291/AW291-1</f>
        <v/>
      </c>
      <c r="BC292" s="1466">
        <f>BC291/AX291-1</f>
        <v/>
      </c>
      <c r="BD292" s="1463">
        <f>BD291/AY291-1</f>
        <v/>
      </c>
      <c r="BE292" s="1466">
        <f>BE291/AZ291-1</f>
        <v/>
      </c>
      <c r="BF292" s="1466">
        <f>BF291/BA291-1</f>
        <v/>
      </c>
      <c r="BG292" s="1466">
        <f>BG291/BB291-1</f>
        <v/>
      </c>
      <c r="BH292" s="1466">
        <f>BH291/BC291-1</f>
        <v/>
      </c>
      <c r="BI292" s="1463">
        <f>BI291/BD291-1</f>
        <v/>
      </c>
      <c r="BJ292" s="1466">
        <f>BJ291/BE291-1</f>
        <v/>
      </c>
      <c r="BK292" s="1466">
        <f>BK291/BF291-1</f>
        <v/>
      </c>
      <c r="BL292" s="1466">
        <f>BL291/BG291-1</f>
        <v/>
      </c>
      <c r="BM292" s="1466">
        <f>BM291/BH291-1</f>
        <v/>
      </c>
      <c r="BN292" s="1463">
        <f>BN291/BI291-1</f>
        <v/>
      </c>
      <c r="BO292" s="1466">
        <f>BO291/BJ291-1</f>
        <v/>
      </c>
      <c r="BP292" s="1466">
        <f>BP291/BK291-1</f>
        <v/>
      </c>
      <c r="BQ292" s="1491">
        <f>BQ291/BL291-1</f>
        <v/>
      </c>
      <c r="BR292" s="1466" t="n"/>
      <c r="BS292" s="1463" t="n"/>
      <c r="BT292" s="1466" t="n"/>
      <c r="BU292" s="1466" t="n"/>
      <c r="BV292" s="1466" t="n"/>
      <c r="BW292" s="1466" t="n"/>
      <c r="BX292" s="1463" t="n"/>
      <c r="BY292" s="1463" t="n"/>
      <c r="BZ292" s="1463" t="n"/>
      <c r="CA292" s="1463" t="n"/>
      <c r="CB292" s="1465" t="n"/>
    </row>
    <row r="293" hidden="1" outlineLevel="2" ht="14.4" customFormat="1" customHeight="1" s="1359">
      <c r="A293" s="1503" t="n"/>
      <c r="B293" s="1377" t="n"/>
      <c r="C293" s="1379" t="n"/>
      <c r="D293" s="1379" t="n"/>
      <c r="E293" s="1379" t="n"/>
      <c r="F293" s="1379" t="n"/>
      <c r="G293" s="1361" t="n"/>
      <c r="H293" s="1361" t="n"/>
      <c r="I293" s="1361" t="n"/>
      <c r="J293" s="1361" t="n"/>
      <c r="K293" s="1379" t="n"/>
      <c r="L293" s="1361" t="n"/>
      <c r="M293" s="1361" t="n"/>
      <c r="N293" s="1361" t="n"/>
      <c r="O293" s="1361" t="n"/>
      <c r="P293" s="1379" t="n"/>
      <c r="Q293" s="1361" t="n"/>
      <c r="R293" s="1361" t="n"/>
      <c r="S293" s="1361" t="n"/>
      <c r="T293" s="1361" t="n"/>
      <c r="U293" s="1379" t="n"/>
      <c r="V293" s="1361" t="n"/>
      <c r="W293" s="1361" t="n"/>
      <c r="X293" s="1361" t="n"/>
      <c r="Y293" s="1361" t="n"/>
      <c r="Z293" s="1379" t="n"/>
      <c r="AA293" s="1361" t="n"/>
      <c r="AB293" s="1361" t="n"/>
      <c r="AC293" s="1361" t="n"/>
      <c r="AD293" s="1361" t="n"/>
      <c r="AE293" s="1379" t="n"/>
      <c r="AF293" s="1361" t="n"/>
      <c r="AG293" s="1361" t="n"/>
      <c r="AH293" s="1361" t="n"/>
      <c r="AI293" s="1361" t="n"/>
      <c r="AJ293" s="1379" t="n"/>
      <c r="AK293" s="1361" t="n"/>
      <c r="AL293" s="1361" t="n"/>
      <c r="AM293" s="1361" t="n"/>
      <c r="AN293" s="1361" t="n"/>
      <c r="AO293" s="1379" t="n"/>
      <c r="AP293" s="1361" t="n"/>
      <c r="AQ293" s="1361" t="n"/>
      <c r="AR293" s="1361" t="n"/>
      <c r="AS293" s="1361" t="n"/>
      <c r="AT293" s="1379" t="n"/>
      <c r="AU293" s="1361" t="n"/>
      <c r="AV293" s="1361" t="n"/>
      <c r="AW293" s="1361" t="n"/>
      <c r="AX293" s="1361" t="n"/>
      <c r="AY293" s="1379" t="n"/>
      <c r="AZ293" s="1361" t="n"/>
      <c r="BA293" s="1361" t="n"/>
      <c r="BB293" s="1361" t="n"/>
      <c r="BC293" s="1361" t="n"/>
      <c r="BD293" s="1379" t="n"/>
      <c r="BE293" s="1361" t="n"/>
      <c r="BF293" s="1361" t="n"/>
      <c r="BG293" s="1361" t="n"/>
      <c r="BH293" s="1361" t="n"/>
      <c r="BI293" s="1379" t="n"/>
      <c r="BJ293" s="1361" t="n"/>
      <c r="BK293" s="1361" t="n"/>
      <c r="BL293" s="1361" t="n"/>
      <c r="BM293" s="1361" t="n"/>
      <c r="BN293" s="1379" t="n"/>
      <c r="BO293" s="1361" t="n"/>
      <c r="BP293" s="1361" t="n"/>
      <c r="BQ293" s="1363" t="n"/>
      <c r="BR293" s="1361" t="n"/>
      <c r="BS293" s="1379" t="n"/>
      <c r="BT293" s="1361" t="n"/>
      <c r="BU293" s="1361" t="n"/>
      <c r="BV293" s="1361" t="n"/>
      <c r="BW293" s="1361" t="n"/>
      <c r="BX293" s="1379" t="n"/>
      <c r="BY293" s="1379" t="n"/>
      <c r="BZ293" s="1379" t="n"/>
      <c r="CA293" s="1379" t="n"/>
      <c r="CB293" s="1364" t="n"/>
    </row>
    <row r="294" hidden="1" outlineLevel="2" ht="14.4" customFormat="1" customHeight="1" s="1359">
      <c r="A294" s="1503" t="inlineStr">
        <is>
          <t>Canalyst calculated billings, mm</t>
        </is>
      </c>
      <c r="B294" s="1377" t="n"/>
      <c r="C294" s="1379" t="n"/>
      <c r="D294" s="1379" t="n"/>
      <c r="E294" s="1379" t="n"/>
      <c r="F294" s="1379" t="n"/>
      <c r="G294" s="1361" t="n"/>
      <c r="H294" s="1361" t="n"/>
      <c r="I294" s="1361" t="n"/>
      <c r="J294" s="1361" t="n"/>
      <c r="K294" s="1379" t="n"/>
      <c r="L294" s="1361" t="n"/>
      <c r="M294" s="1361" t="n"/>
      <c r="N294" s="1361" t="n"/>
      <c r="O294" s="1361" t="n"/>
      <c r="P294" s="1379" t="n"/>
      <c r="Q294" s="1361" t="n"/>
      <c r="R294" s="1361" t="n"/>
      <c r="S294" s="1361" t="n"/>
      <c r="T294" s="1361" t="n"/>
      <c r="U294" s="1379" t="n"/>
      <c r="V294" s="1361" t="n"/>
      <c r="W294" s="1361" t="n"/>
      <c r="X294" s="1361" t="n"/>
      <c r="Y294" s="1361" t="n"/>
      <c r="Z294" s="1379" t="n"/>
      <c r="AA294" s="1361" t="n"/>
      <c r="AB294" s="1361" t="n"/>
      <c r="AC294" s="1361" t="n"/>
      <c r="AD294" s="1361" t="n"/>
      <c r="AE294" s="1379" t="n"/>
      <c r="AF294" s="1361">
        <f>AF454+((AF1231+AF1235)-(AD1231+AD1235))-(AF264-AD264)</f>
        <v/>
      </c>
      <c r="AG294" s="1361">
        <f>AG454+((AG1231+AG1235)-(AF1231+AF1235))-(AG264-AF264)</f>
        <v/>
      </c>
      <c r="AH294" s="1361">
        <f>AH454+((AH1231+AH1235)-(AG1231+AG1235))-(AH264-AG264)</f>
        <v/>
      </c>
      <c r="AI294" s="1361">
        <f>AI454+((AI1231+AI1235)-(AH1231+AH1235))-(AI264-AH264)</f>
        <v/>
      </c>
      <c r="AJ294" s="1379">
        <f>AJ454+((AJ1231+AJ1235)-(AE1231+AE1235))-(AJ264-AE264)</f>
        <v/>
      </c>
      <c r="AK294" s="1361">
        <f>AK454+((AK1231+AK1235)-(AI1231+AI1235))-(AK264-AI264)</f>
        <v/>
      </c>
      <c r="AL294" s="1361">
        <f>AL454+((AL1231+AL1235)-(AK1231+AK1235))-(AL264-AK264)</f>
        <v/>
      </c>
      <c r="AM294" s="1361">
        <f>AM454+((AM1231+AM1235)-(AL1231+AL1235))-(AM264-AL264)</f>
        <v/>
      </c>
      <c r="AN294" s="1361">
        <f>AN454+((AN1231+AN1235)-(AM1231+AM1235))-(AN264-AM264)</f>
        <v/>
      </c>
      <c r="AO294" s="1379">
        <f>AO454+((AO1231+AO1235)-(AJ1231+AJ1235))-(AO264-AJ264)</f>
        <v/>
      </c>
      <c r="AP294" s="1361">
        <f>AP454+((AP1231+AP1235)-(AN1231+AN1235))-(AP264-AN264)</f>
        <v/>
      </c>
      <c r="AQ294" s="1361">
        <f>AQ454+((AQ1231+AQ1235)-(AP1231+AP1235))-(AQ264-AP264)</f>
        <v/>
      </c>
      <c r="AR294" s="1361">
        <f>AR454+((AR1231+AR1235)-(AQ1231+AQ1235))-(AR264-AQ264)</f>
        <v/>
      </c>
      <c r="AS294" s="1361">
        <f>AS454+((AS1231+AS1235)-(AR1231+AR1235))-(AS264-AR264)</f>
        <v/>
      </c>
      <c r="AT294" s="1379">
        <f>AT454+((AT1231+AT1235)-(AO1231+AO1235))-(AT264-AO264)</f>
        <v/>
      </c>
      <c r="AU294" s="1361">
        <f>AU454+((AU1231+AU1235)-(AS1231+AS1235))-(AU264-AS264)</f>
        <v/>
      </c>
      <c r="AV294" s="1361">
        <f>AV454+((AV1231+AV1235)-(AU1231+AU1235))-(AV264-AU264)</f>
        <v/>
      </c>
      <c r="AW294" s="1361">
        <f>AW454+((AW1231+AW1235)-(AV1231+AV1235))-(AW264-AV264)</f>
        <v/>
      </c>
      <c r="AX294" s="1361">
        <f>AX454+((AX1231+AX1235)-(AW1231+AW1235))-(AX264-AW264)</f>
        <v/>
      </c>
      <c r="AY294" s="1379">
        <f>AY454+((AY1231+AY1235)-(AT1231+AT1235))-(AY264-AT264)</f>
        <v/>
      </c>
      <c r="AZ294" s="1361">
        <f>AZ454+((AZ1231+AZ1235)-(AX1231+AX1235))-(AZ264-AX264)</f>
        <v/>
      </c>
      <c r="BA294" s="1361">
        <f>BA454+((BA1231+BA1235)-(AZ1231+AZ1235))-(BA264-AZ264)</f>
        <v/>
      </c>
      <c r="BB294" s="1361">
        <f>BB454+((BB1231+BB1235)-(BA1231+BA1235))-(BB264-BA264)</f>
        <v/>
      </c>
      <c r="BC294" s="1361">
        <f>BC454+((BC1231+BC1235)-(BB1231+BB1235))-(BC264-BB264)</f>
        <v/>
      </c>
      <c r="BD294" s="1379">
        <f>BD454+((BD1231+BD1235)-(AY1231+AY1235))-(BD264-AY264)</f>
        <v/>
      </c>
      <c r="BE294" s="1361">
        <f>BE454+((BE1231+BE1235)-(BC1231+BC1235))-(BE264-BC264)</f>
        <v/>
      </c>
      <c r="BF294" s="1361">
        <f>BF454+((BF1231+BF1235)-(BE1231+BE1235))-(BF264-BE264)</f>
        <v/>
      </c>
      <c r="BG294" s="1361">
        <f>BG454+((BG1231+BG1235)-(BF1231+BF1235))-(BG264-BF264)</f>
        <v/>
      </c>
      <c r="BH294" s="1361">
        <f>BH454+((BH1231+BH1235)-(BG1231+BG1235))-(BH264-BG264)</f>
        <v/>
      </c>
      <c r="BI294" s="1379">
        <f>BI454+((BI1231+BI1235)-(BD1231+BD1235))-(BI264-BD264)</f>
        <v/>
      </c>
      <c r="BJ294" s="1361">
        <f>BJ454+((BJ1231+BJ1235)-(BH1231+BH1235))-(BJ264-BH264)</f>
        <v/>
      </c>
      <c r="BK294" s="1361">
        <f>BK454+((BK1231+BK1235)-(BJ1231+BJ1235))-(BK264-BJ264)</f>
        <v/>
      </c>
      <c r="BL294" s="1361">
        <f>BL454+((BL1231+BL1235)-(BK1231+BK1235))-(BL264-BK264)</f>
        <v/>
      </c>
      <c r="BM294" s="1361">
        <f>BM454+((BM1231+BM1235)-(BL1231+BL1235))-(BM264-BL264)</f>
        <v/>
      </c>
      <c r="BN294" s="1379">
        <f>BN454+((BN1231+BN1235)-(BI1231+BI1235))-(BN264-BI264)</f>
        <v/>
      </c>
      <c r="BO294" s="1361">
        <f>BO454+((BO1231+BO1235)-(BM1231+BM1235))-(BO264-BM264)</f>
        <v/>
      </c>
      <c r="BP294" s="1361">
        <f>BP454+((BP1231+BP1235)-(BO1231+BO1235))-(BP264-BO264)</f>
        <v/>
      </c>
      <c r="BQ294" s="1363">
        <f>BQ454+((BQ1231+BQ1235)-(BP1231+BP1235))-(BQ264-BP264)</f>
        <v/>
      </c>
      <c r="BR294" s="1361" t="n"/>
      <c r="BS294" s="1379" t="n"/>
      <c r="BT294" s="1361" t="n"/>
      <c r="BU294" s="1361" t="n"/>
      <c r="BV294" s="1361" t="n"/>
      <c r="BW294" s="1361" t="n"/>
      <c r="BX294" s="1379" t="n"/>
      <c r="BY294" s="1379" t="n"/>
      <c r="BZ294" s="1379" t="n"/>
      <c r="CA294" s="1379" t="n"/>
      <c r="CB294" s="1364" t="n"/>
    </row>
    <row r="295" hidden="1" outlineLevel="2" ht="14.4" customFormat="1" customHeight="1" s="1460">
      <c r="A295" s="1492" t="inlineStr">
        <is>
          <t>Canalyst calculated billings growth y/y, %</t>
        </is>
      </c>
      <c r="B295" s="1462" t="n"/>
      <c r="C295" s="1463" t="n"/>
      <c r="D295" s="1463" t="n"/>
      <c r="E295" s="1463" t="n"/>
      <c r="F295" s="1463" t="n"/>
      <c r="G295" s="1466" t="n"/>
      <c r="H295" s="1466" t="n"/>
      <c r="I295" s="1466" t="n"/>
      <c r="J295" s="1466" t="n"/>
      <c r="K295" s="1463" t="n"/>
      <c r="L295" s="1466" t="n"/>
      <c r="M295" s="1466" t="n"/>
      <c r="N295" s="1466" t="n"/>
      <c r="O295" s="1466" t="n"/>
      <c r="P295" s="1463" t="n"/>
      <c r="Q295" s="1466" t="n"/>
      <c r="R295" s="1466" t="n"/>
      <c r="S295" s="1466" t="n"/>
      <c r="T295" s="1466" t="n"/>
      <c r="U295" s="1463" t="n"/>
      <c r="V295" s="1466" t="n"/>
      <c r="W295" s="1466" t="n"/>
      <c r="X295" s="1466" t="n"/>
      <c r="Y295" s="1466" t="n"/>
      <c r="Z295" s="1463" t="n"/>
      <c r="AA295" s="1466" t="n"/>
      <c r="AB295" s="1466" t="n"/>
      <c r="AC295" s="1466" t="n"/>
      <c r="AD295" s="1466" t="n"/>
      <c r="AE295" s="1463" t="n"/>
      <c r="AF295" s="1466" t="n"/>
      <c r="AG295" s="1466" t="n"/>
      <c r="AH295" s="1466" t="n"/>
      <c r="AI295" s="1466" t="n"/>
      <c r="AJ295" s="1463" t="n"/>
      <c r="AK295" s="1466">
        <f>AK294/AF294-1</f>
        <v/>
      </c>
      <c r="AL295" s="1466">
        <f>AL294/AG294-1</f>
        <v/>
      </c>
      <c r="AM295" s="1466">
        <f>AM294/AH294-1</f>
        <v/>
      </c>
      <c r="AN295" s="1466">
        <f>AN294/AI294-1</f>
        <v/>
      </c>
      <c r="AO295" s="1463">
        <f>AO294/AJ294-1</f>
        <v/>
      </c>
      <c r="AP295" s="1466">
        <f>AP294/AK294-1</f>
        <v/>
      </c>
      <c r="AQ295" s="1466">
        <f>AQ294/AL294-1</f>
        <v/>
      </c>
      <c r="AR295" s="1466">
        <f>AR294/AM294-1</f>
        <v/>
      </c>
      <c r="AS295" s="1466">
        <f>AS294/AN294-1</f>
        <v/>
      </c>
      <c r="AT295" s="1463">
        <f>AT294/AO294-1</f>
        <v/>
      </c>
      <c r="AU295" s="1466">
        <f>AU294/AP294-1</f>
        <v/>
      </c>
      <c r="AV295" s="1466">
        <f>AV294/AQ294-1</f>
        <v/>
      </c>
      <c r="AW295" s="1466">
        <f>AW294/AR294-1</f>
        <v/>
      </c>
      <c r="AX295" s="1466">
        <f>AX294/AS294-1</f>
        <v/>
      </c>
      <c r="AY295" s="1463">
        <f>AY294/AT294-1</f>
        <v/>
      </c>
      <c r="AZ295" s="1466">
        <f>AZ294/AU294-1</f>
        <v/>
      </c>
      <c r="BA295" s="1466">
        <f>BA294/AV294-1</f>
        <v/>
      </c>
      <c r="BB295" s="1466">
        <f>BB294/AW294-1</f>
        <v/>
      </c>
      <c r="BC295" s="1466">
        <f>BC294/AX294-1</f>
        <v/>
      </c>
      <c r="BD295" s="1463">
        <f>BD294/AY294-1</f>
        <v/>
      </c>
      <c r="BE295" s="1466">
        <f>BE294/AZ294-1</f>
        <v/>
      </c>
      <c r="BF295" s="1466">
        <f>BF294/BA294-1</f>
        <v/>
      </c>
      <c r="BG295" s="1466">
        <f>BG294/BB294-1</f>
        <v/>
      </c>
      <c r="BH295" s="1466">
        <f>BH294/BC294-1</f>
        <v/>
      </c>
      <c r="BI295" s="1463">
        <f>BI294/BD294-1</f>
        <v/>
      </c>
      <c r="BJ295" s="1466">
        <f>BJ294/BE294-1</f>
        <v/>
      </c>
      <c r="BK295" s="1466">
        <f>BK294/BF294-1</f>
        <v/>
      </c>
      <c r="BL295" s="1466">
        <f>BL294/BG294-1</f>
        <v/>
      </c>
      <c r="BM295" s="1466">
        <f>BM294/BH294-1</f>
        <v/>
      </c>
      <c r="BN295" s="1463">
        <f>BN294/BI294-1</f>
        <v/>
      </c>
      <c r="BO295" s="1466">
        <f>BO294/BJ294-1</f>
        <v/>
      </c>
      <c r="BP295" s="1466">
        <f>BP294/BK294-1</f>
        <v/>
      </c>
      <c r="BQ295" s="1491">
        <f>BQ294/BL294-1</f>
        <v/>
      </c>
      <c r="BR295" s="1466" t="n"/>
      <c r="BS295" s="1463" t="n"/>
      <c r="BT295" s="1466" t="n"/>
      <c r="BU295" s="1466" t="n"/>
      <c r="BV295" s="1466" t="n"/>
      <c r="BW295" s="1466" t="n"/>
      <c r="BX295" s="1463" t="n"/>
      <c r="BY295" s="1463" t="n"/>
      <c r="BZ295" s="1463" t="n"/>
      <c r="CA295" s="1463" t="n"/>
      <c r="CB295" s="1465" t="n"/>
    </row>
    <row r="296" hidden="1" outlineLevel="2" ht="14.4" customFormat="1" customHeight="1" s="1359">
      <c r="A296" s="1503" t="n"/>
      <c r="B296" s="1377" t="n"/>
      <c r="C296" s="1379" t="n"/>
      <c r="D296" s="1379" t="n"/>
      <c r="E296" s="1379" t="n"/>
      <c r="F296" s="1379" t="n"/>
      <c r="G296" s="1361" t="n"/>
      <c r="H296" s="1361" t="n"/>
      <c r="I296" s="1361" t="n"/>
      <c r="J296" s="1361" t="n"/>
      <c r="K296" s="1379" t="n"/>
      <c r="L296" s="1361" t="n"/>
      <c r="M296" s="1361" t="n"/>
      <c r="N296" s="1361" t="n"/>
      <c r="O296" s="1361" t="n"/>
      <c r="P296" s="1379" t="n"/>
      <c r="Q296" s="1361" t="n"/>
      <c r="R296" s="1361" t="n"/>
      <c r="S296" s="1361" t="n"/>
      <c r="T296" s="1361" t="n"/>
      <c r="U296" s="1379" t="n"/>
      <c r="V296" s="1361" t="n"/>
      <c r="W296" s="1361" t="n"/>
      <c r="X296" s="1361" t="n"/>
      <c r="Y296" s="1361" t="n"/>
      <c r="Z296" s="1379" t="n"/>
      <c r="AA296" s="1361" t="n"/>
      <c r="AB296" s="1361" t="n"/>
      <c r="AC296" s="1361" t="n"/>
      <c r="AD296" s="1361" t="n"/>
      <c r="AE296" s="1379" t="n"/>
      <c r="AF296" s="1361" t="n"/>
      <c r="AG296" s="1361" t="n"/>
      <c r="AH296" s="1361" t="n"/>
      <c r="AI296" s="1361" t="n"/>
      <c r="AJ296" s="1379" t="n"/>
      <c r="AK296" s="1361" t="n"/>
      <c r="AL296" s="1361" t="n"/>
      <c r="AM296" s="1361" t="n"/>
      <c r="AN296" s="1361" t="n"/>
      <c r="AO296" s="1379" t="n"/>
      <c r="AP296" s="1361" t="n"/>
      <c r="AQ296" s="1361" t="n"/>
      <c r="AR296" s="1361" t="n"/>
      <c r="AS296" s="1361" t="n"/>
      <c r="AT296" s="1379" t="n"/>
      <c r="AU296" s="1361" t="n"/>
      <c r="AV296" s="1361" t="n"/>
      <c r="AW296" s="1361" t="n"/>
      <c r="AX296" s="1361" t="n"/>
      <c r="AY296" s="1379" t="n"/>
      <c r="AZ296" s="1361" t="n"/>
      <c r="BA296" s="1361" t="n"/>
      <c r="BB296" s="1361" t="n"/>
      <c r="BC296" s="1361" t="n"/>
      <c r="BD296" s="1379" t="n"/>
      <c r="BE296" s="1361" t="n"/>
      <c r="BF296" s="1361" t="n"/>
      <c r="BG296" s="1361" t="n"/>
      <c r="BH296" s="1361" t="n"/>
      <c r="BI296" s="1379" t="n"/>
      <c r="BJ296" s="1361" t="n"/>
      <c r="BK296" s="1361" t="n"/>
      <c r="BL296" s="1361" t="n"/>
      <c r="BM296" s="1361" t="n"/>
      <c r="BN296" s="1379" t="n"/>
      <c r="BO296" s="1361" t="n"/>
      <c r="BP296" s="1361" t="n"/>
      <c r="BQ296" s="1363" t="n"/>
      <c r="BR296" s="1361" t="n"/>
      <c r="BS296" s="1379" t="n"/>
      <c r="BT296" s="1361" t="n"/>
      <c r="BU296" s="1361" t="n"/>
      <c r="BV296" s="1361" t="n"/>
      <c r="BW296" s="1361" t="n"/>
      <c r="BX296" s="1379" t="n"/>
      <c r="BY296" s="1379" t="n"/>
      <c r="BZ296" s="1379" t="n"/>
      <c r="CA296" s="1379" t="n"/>
      <c r="CB296" s="1364" t="n"/>
    </row>
    <row r="297" hidden="1" outlineLevel="3" ht="14.4" customFormat="1" customHeight="1" s="1359">
      <c r="A297" s="1474" t="inlineStr">
        <is>
          <t>Free Cash Flow, mm</t>
        </is>
      </c>
      <c r="B297" s="1377" t="n"/>
      <c r="C297" s="1379">
        <f>C1110+C938</f>
        <v/>
      </c>
      <c r="D297" s="1379">
        <f>D1110+D938</f>
        <v/>
      </c>
      <c r="E297" s="1379">
        <f>E1110+E938</f>
        <v/>
      </c>
      <c r="F297" s="1379">
        <f>F1110+F938</f>
        <v/>
      </c>
      <c r="G297" s="1361">
        <f>G1110+G938</f>
        <v/>
      </c>
      <c r="H297" s="1361">
        <f>H1110+H938</f>
        <v/>
      </c>
      <c r="I297" s="1361">
        <f>I1110+I938</f>
        <v/>
      </c>
      <c r="J297" s="1361">
        <f>J1110+J938</f>
        <v/>
      </c>
      <c r="K297" s="1379">
        <f>K1110+K938</f>
        <v/>
      </c>
      <c r="L297" s="1361">
        <f>L1110+L938</f>
        <v/>
      </c>
      <c r="M297" s="1361">
        <f>M1110+M938</f>
        <v/>
      </c>
      <c r="N297" s="1361">
        <f>N1110+N938</f>
        <v/>
      </c>
      <c r="O297" s="1361">
        <f>O1110+O938</f>
        <v/>
      </c>
      <c r="P297" s="1379">
        <f>P1110+P938</f>
        <v/>
      </c>
      <c r="Q297" s="1361">
        <f>Q1110+Q938</f>
        <v/>
      </c>
      <c r="R297" s="1361">
        <f>R1110+R938</f>
        <v/>
      </c>
      <c r="S297" s="1361">
        <f>S1110+S938</f>
        <v/>
      </c>
      <c r="T297" s="1361">
        <f>T1110+T938</f>
        <v/>
      </c>
      <c r="U297" s="1379">
        <f>U1110+U938</f>
        <v/>
      </c>
      <c r="V297" s="1361">
        <f>V1110+V938</f>
        <v/>
      </c>
      <c r="W297" s="1361">
        <f>W1110+W938</f>
        <v/>
      </c>
      <c r="X297" s="1361">
        <f>X1110+X938</f>
        <v/>
      </c>
      <c r="Y297" s="1361">
        <f>Y1110+Y938</f>
        <v/>
      </c>
      <c r="Z297" s="1379">
        <f>Z1110+Z938</f>
        <v/>
      </c>
      <c r="AA297" s="1361">
        <f>AA1110+AA938</f>
        <v/>
      </c>
      <c r="AB297" s="1361">
        <f>AB1110+AB938</f>
        <v/>
      </c>
      <c r="AC297" s="1361">
        <f>AC1110+AC938</f>
        <v/>
      </c>
      <c r="AD297" s="1361">
        <f>AD1110+AD938</f>
        <v/>
      </c>
      <c r="AE297" s="1379">
        <f>AE1110+AE938</f>
        <v/>
      </c>
      <c r="AF297" s="1361">
        <f>AF1110+AF938</f>
        <v/>
      </c>
      <c r="AG297" s="1361">
        <f>AG1110+AG938</f>
        <v/>
      </c>
      <c r="AH297" s="1361">
        <f>AH1110+AH938</f>
        <v/>
      </c>
      <c r="AI297" s="1361">
        <f>AI1110+AI938</f>
        <v/>
      </c>
      <c r="AJ297" s="1379">
        <f>AJ1110+AJ938</f>
        <v/>
      </c>
      <c r="AK297" s="1361">
        <f>AK1110+AK938</f>
        <v/>
      </c>
      <c r="AL297" s="1361">
        <f>AL1110+AL938</f>
        <v/>
      </c>
      <c r="AM297" s="1361">
        <f>AM1110+AM938</f>
        <v/>
      </c>
      <c r="AN297" s="1361">
        <f>AN1110+AN938</f>
        <v/>
      </c>
      <c r="AO297" s="1379">
        <f>AO1110+AO938</f>
        <v/>
      </c>
      <c r="AP297" s="1361">
        <f>AP1110+AP938</f>
        <v/>
      </c>
      <c r="AQ297" s="1361">
        <f>AQ1110+AQ938</f>
        <v/>
      </c>
      <c r="AR297" s="1361">
        <f>AR1110+AR938</f>
        <v/>
      </c>
      <c r="AS297" s="1361">
        <f>AS1110+AS938</f>
        <v/>
      </c>
      <c r="AT297" s="1379">
        <f>AT1110+AT938</f>
        <v/>
      </c>
      <c r="AU297" s="1361">
        <f>AU1110+AU938</f>
        <v/>
      </c>
      <c r="AV297" s="1361">
        <f>AV1110+AV938</f>
        <v/>
      </c>
      <c r="AW297" s="1361">
        <f>AW1110+AW938</f>
        <v/>
      </c>
      <c r="AX297" s="1361">
        <f>AX1110+AX938</f>
        <v/>
      </c>
      <c r="AY297" s="1379">
        <f>AY1110+AY938</f>
        <v/>
      </c>
      <c r="AZ297" s="1361">
        <f>AZ1110+AZ938</f>
        <v/>
      </c>
      <c r="BA297" s="1361">
        <f>BA1110+BA938</f>
        <v/>
      </c>
      <c r="BB297" s="1361">
        <f>BB1110+BB938</f>
        <v/>
      </c>
      <c r="BC297" s="1361">
        <f>BC1110+BC938</f>
        <v/>
      </c>
      <c r="BD297" s="1379">
        <f>BD1110+BD938</f>
        <v/>
      </c>
      <c r="BE297" s="1361">
        <f>BE1110+BE938</f>
        <v/>
      </c>
      <c r="BF297" s="1361">
        <f>BF1110+BF938</f>
        <v/>
      </c>
      <c r="BG297" s="1361">
        <f>BG1110+BG938</f>
        <v/>
      </c>
      <c r="BH297" s="1361">
        <f>BH1110+BH938</f>
        <v/>
      </c>
      <c r="BI297" s="1379">
        <f>BI1110+BI938</f>
        <v/>
      </c>
      <c r="BJ297" s="1361">
        <f>BJ1110+BJ938</f>
        <v/>
      </c>
      <c r="BK297" s="1361">
        <f>BK1110+BK938</f>
        <v/>
      </c>
      <c r="BL297" s="1361">
        <f>BL1110+BL938</f>
        <v/>
      </c>
      <c r="BM297" s="1361">
        <f>BM1110+BM938</f>
        <v/>
      </c>
      <c r="BN297" s="1379">
        <f>BN1110+BN938</f>
        <v/>
      </c>
      <c r="BO297" s="1361">
        <f>BO1110+BO938</f>
        <v/>
      </c>
      <c r="BP297" s="1361">
        <f>BP1110+BP938</f>
        <v/>
      </c>
      <c r="BQ297" s="1363">
        <f>BQ1110+BQ938</f>
        <v/>
      </c>
      <c r="BR297" s="1361" t="n"/>
      <c r="BS297" s="1379" t="n"/>
      <c r="BT297" s="1361" t="n"/>
      <c r="BU297" s="1361" t="n"/>
      <c r="BV297" s="1361" t="n"/>
      <c r="BW297" s="1361" t="n"/>
      <c r="BX297" s="1379" t="n"/>
      <c r="BY297" s="1379" t="n"/>
      <c r="BZ297" s="1379" t="n"/>
      <c r="CA297" s="1379" t="n"/>
      <c r="CB297" s="1364" t="n"/>
    </row>
    <row r="298" hidden="1" outlineLevel="3" ht="14.4" customFormat="1" customHeight="1" s="1359">
      <c r="A298" s="1474" t="inlineStr">
        <is>
          <t>Free Cash Flow LTM, mm</t>
        </is>
      </c>
      <c r="B298" s="1377" t="n"/>
      <c r="C298" s="1379">
        <f>C297</f>
        <v/>
      </c>
      <c r="D298" s="1379">
        <f>D297</f>
        <v/>
      </c>
      <c r="E298" s="1379">
        <f>E297</f>
        <v/>
      </c>
      <c r="F298" s="1379">
        <f>F297</f>
        <v/>
      </c>
      <c r="G298" s="1361" t="n"/>
      <c r="H298" s="1361" t="n"/>
      <c r="I298" s="1361" t="n"/>
      <c r="J298" s="1361">
        <f>J297+I297+H297+G297</f>
        <v/>
      </c>
      <c r="K298" s="1379">
        <f>K297</f>
        <v/>
      </c>
      <c r="L298" s="1361">
        <f>L297+J297+I297+H297</f>
        <v/>
      </c>
      <c r="M298" s="1361">
        <f>M297+L297+J297+I297</f>
        <v/>
      </c>
      <c r="N298" s="1361">
        <f>N297+M297+L297+J297</f>
        <v/>
      </c>
      <c r="O298" s="1361">
        <f>O297+N297+M297+L297</f>
        <v/>
      </c>
      <c r="P298" s="1379">
        <f>P297</f>
        <v/>
      </c>
      <c r="Q298" s="1361">
        <f>Q297+O297+N297+M297</f>
        <v/>
      </c>
      <c r="R298" s="1361">
        <f>R297+Q297+O297+N297</f>
        <v/>
      </c>
      <c r="S298" s="1361">
        <f>S297+R297+Q297+O297</f>
        <v/>
      </c>
      <c r="T298" s="1361">
        <f>T297+S297+R297+Q297</f>
        <v/>
      </c>
      <c r="U298" s="1379">
        <f>U297</f>
        <v/>
      </c>
      <c r="V298" s="1361">
        <f>V297+T297+S297+R297</f>
        <v/>
      </c>
      <c r="W298" s="1361">
        <f>W297+V297+T297+S297</f>
        <v/>
      </c>
      <c r="X298" s="1361">
        <f>X297+W297+V297+T297</f>
        <v/>
      </c>
      <c r="Y298" s="1361">
        <f>Y297+X297+W297+V297</f>
        <v/>
      </c>
      <c r="Z298" s="1379">
        <f>Z297</f>
        <v/>
      </c>
      <c r="AA298" s="1361">
        <f>AA297+Y297+X297+W297</f>
        <v/>
      </c>
      <c r="AB298" s="1361">
        <f>AB297+AA297+Y297+X297</f>
        <v/>
      </c>
      <c r="AC298" s="1361">
        <f>AC297+AB297+AA297+Y297</f>
        <v/>
      </c>
      <c r="AD298" s="1361">
        <f>AD297+AC297+AB297+AA297</f>
        <v/>
      </c>
      <c r="AE298" s="1379">
        <f>AE297</f>
        <v/>
      </c>
      <c r="AF298" s="1361">
        <f>AF297+AD297+AC297+AB297</f>
        <v/>
      </c>
      <c r="AG298" s="1361">
        <f>AG297+AF297+AD297+AC297</f>
        <v/>
      </c>
      <c r="AH298" s="1361">
        <f>AH297+AG297+AF297+AD297</f>
        <v/>
      </c>
      <c r="AI298" s="1361">
        <f>AI297+AH297+AG297+AF297</f>
        <v/>
      </c>
      <c r="AJ298" s="1379">
        <f>AJ297</f>
        <v/>
      </c>
      <c r="AK298" s="1361">
        <f>AK297+AI297+AH297+AG297</f>
        <v/>
      </c>
      <c r="AL298" s="1361">
        <f>AL297+AK297+AI297+AH297</f>
        <v/>
      </c>
      <c r="AM298" s="1361">
        <f>AM297+AL297+AK297+AI297</f>
        <v/>
      </c>
      <c r="AN298" s="1361">
        <f>AN297+AM297+AL297+AK297</f>
        <v/>
      </c>
      <c r="AO298" s="1379">
        <f>AO297</f>
        <v/>
      </c>
      <c r="AP298" s="1361">
        <f>AP297+AN297+AM297+AL297</f>
        <v/>
      </c>
      <c r="AQ298" s="1361">
        <f>AQ297+AP297+AN297+AM297</f>
        <v/>
      </c>
      <c r="AR298" s="1361">
        <f>AR297+AQ297+AP297+AN297</f>
        <v/>
      </c>
      <c r="AS298" s="1361">
        <f>AS297+AR297+AQ297+AP297</f>
        <v/>
      </c>
      <c r="AT298" s="1379">
        <f>AT297</f>
        <v/>
      </c>
      <c r="AU298" s="1361">
        <f>AU297+AS297+AR297+AQ297</f>
        <v/>
      </c>
      <c r="AV298" s="1361">
        <f>AV297+AU297+AS297+AR297</f>
        <v/>
      </c>
      <c r="AW298" s="1361">
        <f>AW297+AV297+AU297+AS297</f>
        <v/>
      </c>
      <c r="AX298" s="1361">
        <f>AX297+AW297+AV297+AU297</f>
        <v/>
      </c>
      <c r="AY298" s="1379">
        <f>AY297</f>
        <v/>
      </c>
      <c r="AZ298" s="1361">
        <f>AZ297+AX297+AW297+AV297</f>
        <v/>
      </c>
      <c r="BA298" s="1361">
        <f>BA297+AZ297+AX297+AW297</f>
        <v/>
      </c>
      <c r="BB298" s="1361">
        <f>BB297+BA297+AZ297+AX297</f>
        <v/>
      </c>
      <c r="BC298" s="1361">
        <f>BC297+BB297+BA297+AZ297</f>
        <v/>
      </c>
      <c r="BD298" s="1379">
        <f>BD297</f>
        <v/>
      </c>
      <c r="BE298" s="1361">
        <f>BE297+BC297+BB297+BA297</f>
        <v/>
      </c>
      <c r="BF298" s="1361">
        <f>BF297+BE297+BC297+BB297</f>
        <v/>
      </c>
      <c r="BG298" s="1361">
        <f>BG297+BF297+BE297+BC297</f>
        <v/>
      </c>
      <c r="BH298" s="1361">
        <f>BH297+BG297+BF297+BE297</f>
        <v/>
      </c>
      <c r="BI298" s="1379">
        <f>BI297</f>
        <v/>
      </c>
      <c r="BJ298" s="1361">
        <f>BJ297+BH297+BG297+BF297</f>
        <v/>
      </c>
      <c r="BK298" s="1361">
        <f>BK297+BJ297+BH297+BG297</f>
        <v/>
      </c>
      <c r="BL298" s="1361">
        <f>BL297+BK297+BJ297+BH297</f>
        <v/>
      </c>
      <c r="BM298" s="1361">
        <f>BM297+BL297+BK297+BJ297</f>
        <v/>
      </c>
      <c r="BN298" s="1379">
        <f>BN297</f>
        <v/>
      </c>
      <c r="BO298" s="1361">
        <f>BO297+BM297+BL297+BK297</f>
        <v/>
      </c>
      <c r="BP298" s="1361">
        <f>BP297+BO297+BM297+BL297</f>
        <v/>
      </c>
      <c r="BQ298" s="1363">
        <f>BQ297+BP297+BO297+BM297</f>
        <v/>
      </c>
      <c r="BR298" s="1361" t="n"/>
      <c r="BS298" s="1379" t="n"/>
      <c r="BT298" s="1361" t="n"/>
      <c r="BU298" s="1361" t="n"/>
      <c r="BV298" s="1361" t="n"/>
      <c r="BW298" s="1361" t="n"/>
      <c r="BX298" s="1379" t="n"/>
      <c r="BY298" s="1379" t="n"/>
      <c r="BZ298" s="1379" t="n"/>
      <c r="CA298" s="1379" t="n"/>
      <c r="CB298" s="1364" t="n"/>
    </row>
    <row r="299" hidden="1" outlineLevel="3" ht="14.4" customFormat="1" customHeight="1" s="1359">
      <c r="A299" s="1474" t="inlineStr">
        <is>
          <t>Revenue LTM, mm</t>
        </is>
      </c>
      <c r="B299" s="1377" t="n"/>
      <c r="C299" s="1379">
        <f>C454</f>
        <v/>
      </c>
      <c r="D299" s="1379">
        <f>D454</f>
        <v/>
      </c>
      <c r="E299" s="1379">
        <f>E454</f>
        <v/>
      </c>
      <c r="F299" s="1379">
        <f>F454</f>
        <v/>
      </c>
      <c r="G299" s="1361" t="n"/>
      <c r="H299" s="1361" t="n"/>
      <c r="I299" s="1361" t="n"/>
      <c r="J299" s="1361">
        <f>J454+I454+H454+G454</f>
        <v/>
      </c>
      <c r="K299" s="1379">
        <f>J299</f>
        <v/>
      </c>
      <c r="L299" s="1361">
        <f>L454+J454+I454+H454</f>
        <v/>
      </c>
      <c r="M299" s="1361">
        <f>M454+L454+J454+I454</f>
        <v/>
      </c>
      <c r="N299" s="1361">
        <f>N454+M454+L454+J454</f>
        <v/>
      </c>
      <c r="O299" s="1361">
        <f>O454+N454+M454+L454</f>
        <v/>
      </c>
      <c r="P299" s="1379">
        <f>O299</f>
        <v/>
      </c>
      <c r="Q299" s="1361">
        <f>Q454+O454+N454+M454</f>
        <v/>
      </c>
      <c r="R299" s="1361">
        <f>R454+Q454+O454+N454</f>
        <v/>
      </c>
      <c r="S299" s="1361">
        <f>S454+R454+Q454+O454</f>
        <v/>
      </c>
      <c r="T299" s="1361">
        <f>T454+S454+R454+Q454</f>
        <v/>
      </c>
      <c r="U299" s="1379">
        <f>T299</f>
        <v/>
      </c>
      <c r="V299" s="1361">
        <f>V454+T454+S454+R454</f>
        <v/>
      </c>
      <c r="W299" s="1361">
        <f>W454+V454+T454+S454</f>
        <v/>
      </c>
      <c r="X299" s="1361">
        <f>X454+W454+V454+T454</f>
        <v/>
      </c>
      <c r="Y299" s="1361">
        <f>Y454+X454+W454+V454</f>
        <v/>
      </c>
      <c r="Z299" s="1379">
        <f>Y299</f>
        <v/>
      </c>
      <c r="AA299" s="1361">
        <f>AA454+Y454+X454+W454</f>
        <v/>
      </c>
      <c r="AB299" s="1361">
        <f>AB454+AA454+Y454+X454</f>
        <v/>
      </c>
      <c r="AC299" s="1361">
        <f>AC454+AB454+AA454+Y454</f>
        <v/>
      </c>
      <c r="AD299" s="1361">
        <f>AD454+AC454+AB454+AA454</f>
        <v/>
      </c>
      <c r="AE299" s="1379">
        <f>AD299</f>
        <v/>
      </c>
      <c r="AF299" s="1361">
        <f>AF454+AD454+AC454+AB454</f>
        <v/>
      </c>
      <c r="AG299" s="1361">
        <f>AG454+AF454+AD454+AC454</f>
        <v/>
      </c>
      <c r="AH299" s="1361">
        <f>AH454+AG454+AF454+AD454</f>
        <v/>
      </c>
      <c r="AI299" s="1361">
        <f>AI454+AH454+AG454+AF454</f>
        <v/>
      </c>
      <c r="AJ299" s="1379">
        <f>AI299</f>
        <v/>
      </c>
      <c r="AK299" s="1361">
        <f>AK454+AI454+AH454+AG454</f>
        <v/>
      </c>
      <c r="AL299" s="1361">
        <f>AL454+AK454+AI454+AH454</f>
        <v/>
      </c>
      <c r="AM299" s="1361">
        <f>AM454+AL454+AK454+AI454</f>
        <v/>
      </c>
      <c r="AN299" s="1361">
        <f>AN454+AM454+AL454+AK454</f>
        <v/>
      </c>
      <c r="AO299" s="1379">
        <f>AN299</f>
        <v/>
      </c>
      <c r="AP299" s="1361">
        <f>AP454+AN454+AM454+AL454</f>
        <v/>
      </c>
      <c r="AQ299" s="1361">
        <f>AQ454+AP454+AN454+AM454</f>
        <v/>
      </c>
      <c r="AR299" s="1361">
        <f>AR454+AQ454+AP454+AN454</f>
        <v/>
      </c>
      <c r="AS299" s="1361">
        <f>AS454+AR454+AQ454+AP454</f>
        <v/>
      </c>
      <c r="AT299" s="1379">
        <f>AS299</f>
        <v/>
      </c>
      <c r="AU299" s="1361">
        <f>AU454+AS454+AR454+AQ454</f>
        <v/>
      </c>
      <c r="AV299" s="1361">
        <f>AV454+AU454+AS454+AR454</f>
        <v/>
      </c>
      <c r="AW299" s="1361">
        <f>AW454+AV454+AU454+AS454</f>
        <v/>
      </c>
      <c r="AX299" s="1361">
        <f>AX454+AW454+AV454+AU454</f>
        <v/>
      </c>
      <c r="AY299" s="1379">
        <f>AX299</f>
        <v/>
      </c>
      <c r="AZ299" s="1361">
        <f>AZ454+AX454+AW454+AV454</f>
        <v/>
      </c>
      <c r="BA299" s="1361">
        <f>BA454+AZ454+AX454+AW454</f>
        <v/>
      </c>
      <c r="BB299" s="1361">
        <f>BB454+BA454+AZ454+AX454</f>
        <v/>
      </c>
      <c r="BC299" s="1361">
        <f>BC454+BB454+BA454+AZ454</f>
        <v/>
      </c>
      <c r="BD299" s="1379">
        <f>BC299</f>
        <v/>
      </c>
      <c r="BE299" s="1361">
        <f>BE454+BC454+BB454+BA454</f>
        <v/>
      </c>
      <c r="BF299" s="1361">
        <f>BF454+BE454+BC454+BB454</f>
        <v/>
      </c>
      <c r="BG299" s="1361">
        <f>BG454+BF454+BE454+BC454</f>
        <v/>
      </c>
      <c r="BH299" s="1361">
        <f>BH454+BG454+BF454+BE454</f>
        <v/>
      </c>
      <c r="BI299" s="1379">
        <f>BH299</f>
        <v/>
      </c>
      <c r="BJ299" s="1361">
        <f>BJ454+BH454+BG454+BF454</f>
        <v/>
      </c>
      <c r="BK299" s="1361">
        <f>BK454+BJ454+BH454+BG454</f>
        <v/>
      </c>
      <c r="BL299" s="1361">
        <f>BL454+BK454+BJ454+BH454</f>
        <v/>
      </c>
      <c r="BM299" s="1361">
        <f>BM454+BL454+BK454+BJ454</f>
        <v/>
      </c>
      <c r="BN299" s="1379">
        <f>BM299</f>
        <v/>
      </c>
      <c r="BO299" s="1361">
        <f>BO454+BM454+BL454+BK454</f>
        <v/>
      </c>
      <c r="BP299" s="1361">
        <f>BP454+BO454+BM454+BL454</f>
        <v/>
      </c>
      <c r="BQ299" s="1363">
        <f>BQ454+BP454+BO454+BM454</f>
        <v/>
      </c>
      <c r="BR299" s="1361" t="n"/>
      <c r="BS299" s="1379" t="n"/>
      <c r="BT299" s="1361" t="n"/>
      <c r="BU299" s="1361" t="n"/>
      <c r="BV299" s="1361" t="n"/>
      <c r="BW299" s="1361" t="n"/>
      <c r="BX299" s="1379" t="n"/>
      <c r="BY299" s="1379" t="n"/>
      <c r="BZ299" s="1379" t="n"/>
      <c r="CA299" s="1379" t="n"/>
      <c r="CB299" s="1364" t="n"/>
    </row>
    <row r="300" hidden="1" outlineLevel="3" ht="14.4" customFormat="1" customHeight="1" s="1460">
      <c r="A300" s="1486" t="inlineStr">
        <is>
          <t>Revenue growth LTM, %</t>
        </is>
      </c>
      <c r="B300" s="1462" t="n"/>
      <c r="C300" s="1463" t="n"/>
      <c r="D300" s="1463">
        <f>D299/C299-1</f>
        <v/>
      </c>
      <c r="E300" s="1463">
        <f>E299/D299-1</f>
        <v/>
      </c>
      <c r="F300" s="1463">
        <f>F299/E299-1</f>
        <v/>
      </c>
      <c r="G300" s="1466" t="n"/>
      <c r="H300" s="1466" t="n"/>
      <c r="I300" s="1466" t="n"/>
      <c r="J300" s="1466">
        <f>K300</f>
        <v/>
      </c>
      <c r="K300" s="1463">
        <f>K299/F299-1</f>
        <v/>
      </c>
      <c r="L300" s="1466" t="n"/>
      <c r="M300" s="1466" t="n"/>
      <c r="N300" s="1466" t="n"/>
      <c r="O300" s="1466">
        <f>O299/J299-1</f>
        <v/>
      </c>
      <c r="P300" s="1463">
        <f>P299/K299-1</f>
        <v/>
      </c>
      <c r="Q300" s="1466">
        <f>Q299/L299-1</f>
        <v/>
      </c>
      <c r="R300" s="1466">
        <f>R299/M299-1</f>
        <v/>
      </c>
      <c r="S300" s="1466">
        <f>S299/N299-1</f>
        <v/>
      </c>
      <c r="T300" s="1466">
        <f>T299/O299-1</f>
        <v/>
      </c>
      <c r="U300" s="1463">
        <f>U299/P299-1</f>
        <v/>
      </c>
      <c r="V300" s="1466">
        <f>V299/Q299-1</f>
        <v/>
      </c>
      <c r="W300" s="1466">
        <f>W299/R299-1</f>
        <v/>
      </c>
      <c r="X300" s="1466">
        <f>X299/S299-1</f>
        <v/>
      </c>
      <c r="Y300" s="1466">
        <f>Y299/T299-1</f>
        <v/>
      </c>
      <c r="Z300" s="1463">
        <f>Z299/U299-1</f>
        <v/>
      </c>
      <c r="AA300" s="1466">
        <f>AA299/V299-1</f>
        <v/>
      </c>
      <c r="AB300" s="1466">
        <f>AB299/W299-1</f>
        <v/>
      </c>
      <c r="AC300" s="1466">
        <f>AC299/X299-1</f>
        <v/>
      </c>
      <c r="AD300" s="1466">
        <f>AD299/Y299-1</f>
        <v/>
      </c>
      <c r="AE300" s="1463">
        <f>AE299/Z299-1</f>
        <v/>
      </c>
      <c r="AF300" s="1466">
        <f>AF299/AA299-1</f>
        <v/>
      </c>
      <c r="AG300" s="1466">
        <f>AG299/AB299-1</f>
        <v/>
      </c>
      <c r="AH300" s="1466">
        <f>AH299/AC299-1</f>
        <v/>
      </c>
      <c r="AI300" s="1466">
        <f>AI299/AD299-1</f>
        <v/>
      </c>
      <c r="AJ300" s="1463">
        <f>AJ299/AE299-1</f>
        <v/>
      </c>
      <c r="AK300" s="1466">
        <f>AK299/AF299-1</f>
        <v/>
      </c>
      <c r="AL300" s="1466">
        <f>AL299/AG299-1</f>
        <v/>
      </c>
      <c r="AM300" s="1466">
        <f>AM299/AH299-1</f>
        <v/>
      </c>
      <c r="AN300" s="1466">
        <f>AN299/AI299-1</f>
        <v/>
      </c>
      <c r="AO300" s="1463">
        <f>AO299/AJ299-1</f>
        <v/>
      </c>
      <c r="AP300" s="1466">
        <f>AP299/AK299-1</f>
        <v/>
      </c>
      <c r="AQ300" s="1466">
        <f>AQ299/AL299-1</f>
        <v/>
      </c>
      <c r="AR300" s="1466">
        <f>AR299/AM299-1</f>
        <v/>
      </c>
      <c r="AS300" s="1466">
        <f>AS299/AN299-1</f>
        <v/>
      </c>
      <c r="AT300" s="1463">
        <f>AT299/AO299-1</f>
        <v/>
      </c>
      <c r="AU300" s="1466">
        <f>AU299/AP299-1</f>
        <v/>
      </c>
      <c r="AV300" s="1466">
        <f>AV299/AQ299-1</f>
        <v/>
      </c>
      <c r="AW300" s="1466">
        <f>AW299/AR299-1</f>
        <v/>
      </c>
      <c r="AX300" s="1466">
        <f>AX299/AS299-1</f>
        <v/>
      </c>
      <c r="AY300" s="1463">
        <f>AY299/AT299-1</f>
        <v/>
      </c>
      <c r="AZ300" s="1466">
        <f>AZ299/AU299-1</f>
        <v/>
      </c>
      <c r="BA300" s="1466">
        <f>BA299/AV299-1</f>
        <v/>
      </c>
      <c r="BB300" s="1466">
        <f>BB299/AW299-1</f>
        <v/>
      </c>
      <c r="BC300" s="1466">
        <f>BC299/AX299-1</f>
        <v/>
      </c>
      <c r="BD300" s="1463">
        <f>BD299/AY299-1</f>
        <v/>
      </c>
      <c r="BE300" s="1466">
        <f>BE299/AZ299-1</f>
        <v/>
      </c>
      <c r="BF300" s="1466">
        <f>BF299/BA299-1</f>
        <v/>
      </c>
      <c r="BG300" s="1466">
        <f>BG299/BB299-1</f>
        <v/>
      </c>
      <c r="BH300" s="1466">
        <f>BH299/BC299-1</f>
        <v/>
      </c>
      <c r="BI300" s="1463">
        <f>BI299/BD299-1</f>
        <v/>
      </c>
      <c r="BJ300" s="1466">
        <f>BJ299/BE299-1</f>
        <v/>
      </c>
      <c r="BK300" s="1466">
        <f>BK299/BF299-1</f>
        <v/>
      </c>
      <c r="BL300" s="1466">
        <f>BL299/BG299-1</f>
        <v/>
      </c>
      <c r="BM300" s="1466">
        <f>BM299/BH299-1</f>
        <v/>
      </c>
      <c r="BN300" s="1463">
        <f>BN299/BI299-1</f>
        <v/>
      </c>
      <c r="BO300" s="1466">
        <f>BO299/BJ299-1</f>
        <v/>
      </c>
      <c r="BP300" s="1466">
        <f>BP299/BK299-1</f>
        <v/>
      </c>
      <c r="BQ300" s="1491">
        <f>BQ299/BL299-1</f>
        <v/>
      </c>
      <c r="BR300" s="1466" t="n"/>
      <c r="BS300" s="1463" t="n"/>
      <c r="BT300" s="1466" t="n"/>
      <c r="BU300" s="1466" t="n"/>
      <c r="BV300" s="1466" t="n"/>
      <c r="BW300" s="1466" t="n"/>
      <c r="BX300" s="1463" t="n"/>
      <c r="BY300" s="1463" t="n"/>
      <c r="BZ300" s="1463" t="n"/>
      <c r="CA300" s="1463" t="n"/>
      <c r="CB300" s="1465" t="n"/>
    </row>
    <row r="301" hidden="1" outlineLevel="3" ht="14.4" customFormat="1" customHeight="1" s="1460">
      <c r="A301" s="1486" t="inlineStr">
        <is>
          <t>Free Cash Flow margin LTM, %</t>
        </is>
      </c>
      <c r="B301" s="1462" t="n"/>
      <c r="C301" s="1463">
        <f>C298/C299</f>
        <v/>
      </c>
      <c r="D301" s="1463">
        <f>D298/D299</f>
        <v/>
      </c>
      <c r="E301" s="1463">
        <f>E298/E299</f>
        <v/>
      </c>
      <c r="F301" s="1463">
        <f>F298/F299</f>
        <v/>
      </c>
      <c r="G301" s="1466" t="n"/>
      <c r="H301" s="1466" t="n"/>
      <c r="I301" s="1466" t="n"/>
      <c r="J301" s="1466">
        <f>J298/J299</f>
        <v/>
      </c>
      <c r="K301" s="1463">
        <f>K298/K299</f>
        <v/>
      </c>
      <c r="L301" s="1466">
        <f>L298/L299</f>
        <v/>
      </c>
      <c r="M301" s="1466">
        <f>M298/M299</f>
        <v/>
      </c>
      <c r="N301" s="1466">
        <f>N298/N299</f>
        <v/>
      </c>
      <c r="O301" s="1466">
        <f>O298/O299</f>
        <v/>
      </c>
      <c r="P301" s="1463">
        <f>P298/P299</f>
        <v/>
      </c>
      <c r="Q301" s="1466">
        <f>Q298/Q299</f>
        <v/>
      </c>
      <c r="R301" s="1466">
        <f>R298/R299</f>
        <v/>
      </c>
      <c r="S301" s="1466">
        <f>S298/S299</f>
        <v/>
      </c>
      <c r="T301" s="1466">
        <f>T298/T299</f>
        <v/>
      </c>
      <c r="U301" s="1463">
        <f>U298/U299</f>
        <v/>
      </c>
      <c r="V301" s="1466">
        <f>V298/V299</f>
        <v/>
      </c>
      <c r="W301" s="1466">
        <f>W298/W299</f>
        <v/>
      </c>
      <c r="X301" s="1466">
        <f>X298/X299</f>
        <v/>
      </c>
      <c r="Y301" s="1466">
        <f>Y298/Y299</f>
        <v/>
      </c>
      <c r="Z301" s="1463">
        <f>Z298/Z299</f>
        <v/>
      </c>
      <c r="AA301" s="1466">
        <f>AA298/AA299</f>
        <v/>
      </c>
      <c r="AB301" s="1466">
        <f>AB298/AB299</f>
        <v/>
      </c>
      <c r="AC301" s="1466">
        <f>AC298/AC299</f>
        <v/>
      </c>
      <c r="AD301" s="1466">
        <f>AD298/AD299</f>
        <v/>
      </c>
      <c r="AE301" s="1463">
        <f>AE298/AE299</f>
        <v/>
      </c>
      <c r="AF301" s="1466">
        <f>AF298/AF299</f>
        <v/>
      </c>
      <c r="AG301" s="1466">
        <f>AG298/AG299</f>
        <v/>
      </c>
      <c r="AH301" s="1466">
        <f>AH298/AH299</f>
        <v/>
      </c>
      <c r="AI301" s="1466">
        <f>AI298/AI299</f>
        <v/>
      </c>
      <c r="AJ301" s="1463">
        <f>AJ298/AJ299</f>
        <v/>
      </c>
      <c r="AK301" s="1466">
        <f>AK298/AK299</f>
        <v/>
      </c>
      <c r="AL301" s="1466">
        <f>AL298/AL299</f>
        <v/>
      </c>
      <c r="AM301" s="1466">
        <f>AM298/AM299</f>
        <v/>
      </c>
      <c r="AN301" s="1466">
        <f>AN298/AN299</f>
        <v/>
      </c>
      <c r="AO301" s="1463">
        <f>AO298/AO299</f>
        <v/>
      </c>
      <c r="AP301" s="1466">
        <f>AP298/AP299</f>
        <v/>
      </c>
      <c r="AQ301" s="1466">
        <f>AQ298/AQ299</f>
        <v/>
      </c>
      <c r="AR301" s="1466">
        <f>AR298/AR299</f>
        <v/>
      </c>
      <c r="AS301" s="1466">
        <f>AS298/AS299</f>
        <v/>
      </c>
      <c r="AT301" s="1463">
        <f>AT298/AT299</f>
        <v/>
      </c>
      <c r="AU301" s="1466">
        <f>AU298/AU299</f>
        <v/>
      </c>
      <c r="AV301" s="1466">
        <f>AV298/AV299</f>
        <v/>
      </c>
      <c r="AW301" s="1466">
        <f>AW298/AW299</f>
        <v/>
      </c>
      <c r="AX301" s="1466">
        <f>AX298/AX299</f>
        <v/>
      </c>
      <c r="AY301" s="1463">
        <f>AY298/AY299</f>
        <v/>
      </c>
      <c r="AZ301" s="1466">
        <f>AZ298/AZ299</f>
        <v/>
      </c>
      <c r="BA301" s="1466">
        <f>BA298/BA299</f>
        <v/>
      </c>
      <c r="BB301" s="1466">
        <f>BB298/BB299</f>
        <v/>
      </c>
      <c r="BC301" s="1466">
        <f>BC298/BC299</f>
        <v/>
      </c>
      <c r="BD301" s="1463">
        <f>BD298/BD299</f>
        <v/>
      </c>
      <c r="BE301" s="1466">
        <f>BE298/BE299</f>
        <v/>
      </c>
      <c r="BF301" s="1466">
        <f>BF298/BF299</f>
        <v/>
      </c>
      <c r="BG301" s="1466">
        <f>BG298/BG299</f>
        <v/>
      </c>
      <c r="BH301" s="1466">
        <f>BH298/BH299</f>
        <v/>
      </c>
      <c r="BI301" s="1463">
        <f>BI298/BI299</f>
        <v/>
      </c>
      <c r="BJ301" s="1466">
        <f>BJ298/BJ299</f>
        <v/>
      </c>
      <c r="BK301" s="1466">
        <f>BK298/BK299</f>
        <v/>
      </c>
      <c r="BL301" s="1466">
        <f>BL298/BL299</f>
        <v/>
      </c>
      <c r="BM301" s="1466">
        <f>BM298/BM299</f>
        <v/>
      </c>
      <c r="BN301" s="1463">
        <f>BN298/BN299</f>
        <v/>
      </c>
      <c r="BO301" s="1466">
        <f>BO298/BO299</f>
        <v/>
      </c>
      <c r="BP301" s="1466">
        <f>BP298/BP299</f>
        <v/>
      </c>
      <c r="BQ301" s="1491">
        <f>BQ298/BQ299</f>
        <v/>
      </c>
      <c r="BR301" s="1466" t="n"/>
      <c r="BS301" s="1463" t="n"/>
      <c r="BT301" s="1466" t="n"/>
      <c r="BU301" s="1466" t="n"/>
      <c r="BV301" s="1466" t="n"/>
      <c r="BW301" s="1466" t="n"/>
      <c r="BX301" s="1463" t="n"/>
      <c r="BY301" s="1463" t="n"/>
      <c r="BZ301" s="1463" t="n"/>
      <c r="CA301" s="1463" t="n"/>
      <c r="CB301" s="1465" t="n"/>
    </row>
    <row r="302" hidden="1" outlineLevel="2" collapsed="1" ht="14.4" customFormat="1" customHeight="1" s="986">
      <c r="A302" s="347" t="inlineStr">
        <is>
          <t>The Rule of 40</t>
        </is>
      </c>
      <c r="B302" s="348" t="n"/>
      <c r="C302" s="1152" t="n"/>
      <c r="D302" s="1152">
        <f>D300+D301</f>
        <v/>
      </c>
      <c r="E302" s="1152">
        <f>E300+E301</f>
        <v/>
      </c>
      <c r="F302" s="1152">
        <f>F300+F301</f>
        <v/>
      </c>
      <c r="G302" s="350" t="n"/>
      <c r="H302" s="350" t="n"/>
      <c r="I302" s="350" t="n"/>
      <c r="J302" s="350">
        <f>J300+J301</f>
        <v/>
      </c>
      <c r="K302" s="1152">
        <f>K300+K301</f>
        <v/>
      </c>
      <c r="L302" s="350" t="n"/>
      <c r="M302" s="350" t="n"/>
      <c r="N302" s="350" t="n"/>
      <c r="O302" s="350">
        <f>O300+O301</f>
        <v/>
      </c>
      <c r="P302" s="1152">
        <f>P300+P301</f>
        <v/>
      </c>
      <c r="Q302" s="350">
        <f>Q300+Q301</f>
        <v/>
      </c>
      <c r="R302" s="350">
        <f>R300+R301</f>
        <v/>
      </c>
      <c r="S302" s="350">
        <f>S300+S301</f>
        <v/>
      </c>
      <c r="T302" s="350">
        <f>T300+T301</f>
        <v/>
      </c>
      <c r="U302" s="1152">
        <f>U300+U301</f>
        <v/>
      </c>
      <c r="V302" s="350">
        <f>V300+V301</f>
        <v/>
      </c>
      <c r="W302" s="350">
        <f>W300+W301</f>
        <v/>
      </c>
      <c r="X302" s="350">
        <f>X300+X301</f>
        <v/>
      </c>
      <c r="Y302" s="350">
        <f>Y300+Y301</f>
        <v/>
      </c>
      <c r="Z302" s="1152">
        <f>Z300+Z301</f>
        <v/>
      </c>
      <c r="AA302" s="350">
        <f>AA300+AA301</f>
        <v/>
      </c>
      <c r="AB302" s="350">
        <f>AB300+AB301</f>
        <v/>
      </c>
      <c r="AC302" s="350">
        <f>AC300+AC301</f>
        <v/>
      </c>
      <c r="AD302" s="350">
        <f>AD300+AD301</f>
        <v/>
      </c>
      <c r="AE302" s="1152">
        <f>AE300+AE301</f>
        <v/>
      </c>
      <c r="AF302" s="350">
        <f>AF300+AF301</f>
        <v/>
      </c>
      <c r="AG302" s="350">
        <f>AG300+AG301</f>
        <v/>
      </c>
      <c r="AH302" s="350">
        <f>AH300+AH301</f>
        <v/>
      </c>
      <c r="AI302" s="350">
        <f>AI300+AI301</f>
        <v/>
      </c>
      <c r="AJ302" s="1152">
        <f>AJ300+AJ301</f>
        <v/>
      </c>
      <c r="AK302" s="350">
        <f>AK300+AK301</f>
        <v/>
      </c>
      <c r="AL302" s="350">
        <f>AL300+AL301</f>
        <v/>
      </c>
      <c r="AM302" s="350">
        <f>AM300+AM301</f>
        <v/>
      </c>
      <c r="AN302" s="350">
        <f>AN300+AN301</f>
        <v/>
      </c>
      <c r="AO302" s="1152">
        <f>AO300+AO301</f>
        <v/>
      </c>
      <c r="AP302" s="350">
        <f>AP300+AP301</f>
        <v/>
      </c>
      <c r="AQ302" s="350">
        <f>AQ300+AQ301</f>
        <v/>
      </c>
      <c r="AR302" s="350">
        <f>AR300+AR301</f>
        <v/>
      </c>
      <c r="AS302" s="350">
        <f>AS300+AS301</f>
        <v/>
      </c>
      <c r="AT302" s="1152">
        <f>AT300+AT301</f>
        <v/>
      </c>
      <c r="AU302" s="350">
        <f>AU300+AU301</f>
        <v/>
      </c>
      <c r="AV302" s="350">
        <f>AV300+AV301</f>
        <v/>
      </c>
      <c r="AW302" s="350">
        <f>AW300+AW301</f>
        <v/>
      </c>
      <c r="AX302" s="350">
        <f>AX300+AX301</f>
        <v/>
      </c>
      <c r="AY302" s="1152">
        <f>AY300+AY301</f>
        <v/>
      </c>
      <c r="AZ302" s="350">
        <f>AZ300+AZ301</f>
        <v/>
      </c>
      <c r="BA302" s="350">
        <f>BA300+BA301</f>
        <v/>
      </c>
      <c r="BB302" s="350">
        <f>BB300+BB301</f>
        <v/>
      </c>
      <c r="BC302" s="350">
        <f>BC300+BC301</f>
        <v/>
      </c>
      <c r="BD302" s="1152">
        <f>BD300+BD301</f>
        <v/>
      </c>
      <c r="BE302" s="350">
        <f>BE300+BE301</f>
        <v/>
      </c>
      <c r="BF302" s="350">
        <f>BF300+BF301</f>
        <v/>
      </c>
      <c r="BG302" s="350">
        <f>BG300+BG301</f>
        <v/>
      </c>
      <c r="BH302" s="350">
        <f>BH300+BH301</f>
        <v/>
      </c>
      <c r="BI302" s="1152">
        <f>BI300+BI301</f>
        <v/>
      </c>
      <c r="BJ302" s="350">
        <f>BJ300+BJ301</f>
        <v/>
      </c>
      <c r="BK302" s="350">
        <f>BK300+BK301</f>
        <v/>
      </c>
      <c r="BL302" s="350">
        <f>BL300+BL301</f>
        <v/>
      </c>
      <c r="BM302" s="350">
        <f>BM300+BM301</f>
        <v/>
      </c>
      <c r="BN302" s="1152">
        <f>BN300+BN301</f>
        <v/>
      </c>
      <c r="BO302" s="350">
        <f>BO300+BO301</f>
        <v/>
      </c>
      <c r="BP302" s="350">
        <f>BP300+BP301</f>
        <v/>
      </c>
      <c r="BQ302" s="676">
        <f>BQ300+BQ301</f>
        <v/>
      </c>
      <c r="BR302" s="350" t="n"/>
      <c r="BS302" s="1152" t="n"/>
      <c r="BT302" s="350" t="n"/>
      <c r="BU302" s="350" t="n"/>
      <c r="BV302" s="350" t="n"/>
      <c r="BW302" s="350" t="n"/>
      <c r="BX302" s="1152" t="n"/>
      <c r="BY302" s="1152" t="n"/>
      <c r="BZ302" s="1152" t="n"/>
      <c r="CA302" s="1152" t="n"/>
      <c r="CB302" s="351" t="n"/>
    </row>
    <row r="303" hidden="1" outlineLevel="2" ht="14.4" customFormat="1" customHeight="1" s="1359">
      <c r="A303" s="1503" t="n"/>
      <c r="B303" s="1377" t="n"/>
      <c r="C303" s="1379" t="n"/>
      <c r="D303" s="1379" t="n"/>
      <c r="E303" s="1379" t="n"/>
      <c r="F303" s="1379" t="n"/>
      <c r="G303" s="1361" t="n"/>
      <c r="H303" s="1361" t="n"/>
      <c r="I303" s="1361" t="n"/>
      <c r="J303" s="1361" t="n"/>
      <c r="K303" s="1379" t="n"/>
      <c r="L303" s="1361" t="n"/>
      <c r="M303" s="1361" t="n"/>
      <c r="N303" s="1361" t="n"/>
      <c r="O303" s="1361" t="n"/>
      <c r="P303" s="1379" t="n"/>
      <c r="Q303" s="1361" t="n"/>
      <c r="R303" s="1361" t="n"/>
      <c r="S303" s="1361" t="n"/>
      <c r="T303" s="1361" t="n"/>
      <c r="U303" s="1379" t="n"/>
      <c r="V303" s="1361" t="n"/>
      <c r="W303" s="1361" t="n"/>
      <c r="X303" s="1361" t="n"/>
      <c r="Y303" s="1361" t="n"/>
      <c r="Z303" s="1379" t="n"/>
      <c r="AA303" s="1361" t="n"/>
      <c r="AB303" s="1361" t="n"/>
      <c r="AC303" s="1361" t="n"/>
      <c r="AD303" s="1361" t="n"/>
      <c r="AE303" s="1379" t="n"/>
      <c r="AF303" s="1361" t="n"/>
      <c r="AG303" s="1361" t="n"/>
      <c r="AH303" s="1361" t="n"/>
      <c r="AI303" s="1361" t="n"/>
      <c r="AJ303" s="1379" t="n"/>
      <c r="AK303" s="1361" t="n"/>
      <c r="AL303" s="1361" t="n"/>
      <c r="AM303" s="1361" t="n"/>
      <c r="AN303" s="1361" t="n"/>
      <c r="AO303" s="1379" t="n"/>
      <c r="AP303" s="1361" t="n"/>
      <c r="AQ303" s="1361" t="n"/>
      <c r="AR303" s="1361" t="n"/>
      <c r="AS303" s="1361" t="n"/>
      <c r="AT303" s="1379" t="n"/>
      <c r="AU303" s="1361" t="n"/>
      <c r="AV303" s="1361" t="n"/>
      <c r="AW303" s="1361" t="n"/>
      <c r="AX303" s="1361" t="n"/>
      <c r="AY303" s="1379" t="n"/>
      <c r="AZ303" s="1361" t="n"/>
      <c r="BA303" s="1361" t="n"/>
      <c r="BB303" s="1361" t="n"/>
      <c r="BC303" s="1361" t="n"/>
      <c r="BD303" s="1379" t="n"/>
      <c r="BE303" s="1361" t="n"/>
      <c r="BF303" s="1361" t="n"/>
      <c r="BG303" s="1361" t="n"/>
      <c r="BH303" s="1361" t="n"/>
      <c r="BI303" s="1379" t="n"/>
      <c r="BJ303" s="1361" t="n"/>
      <c r="BK303" s="1361" t="n"/>
      <c r="BL303" s="1361" t="n"/>
      <c r="BM303" s="1361" t="n"/>
      <c r="BN303" s="1379" t="n"/>
      <c r="BO303" s="1361" t="n"/>
      <c r="BP303" s="1361" t="n"/>
      <c r="BQ303" s="1363" t="n"/>
      <c r="BR303" s="1361" t="n"/>
      <c r="BS303" s="1379" t="n"/>
      <c r="BT303" s="1361" t="n"/>
      <c r="BU303" s="1361" t="n"/>
      <c r="BV303" s="1361" t="n"/>
      <c r="BW303" s="1361" t="n"/>
      <c r="BX303" s="1379" t="n"/>
      <c r="BY303" s="1379" t="n"/>
      <c r="BZ303" s="1379" t="n"/>
      <c r="CA303" s="1379" t="n"/>
      <c r="CB303" s="1364" t="n"/>
    </row>
    <row r="304" hidden="1" outlineLevel="2" ht="14.4" customFormat="1" customHeight="1" s="1460">
      <c r="A304" s="1492" t="inlineStr">
        <is>
          <t>Contribution margin, %</t>
        </is>
      </c>
      <c r="B304" s="1462" t="n"/>
      <c r="C304" s="1463">
        <f>(C454-((C458+C459+C460)+(C472-C473)))/C454</f>
        <v/>
      </c>
      <c r="D304" s="1463">
        <f>(D454-((D458+D459+D460)+(D472-D473)))/D454</f>
        <v/>
      </c>
      <c r="E304" s="1463">
        <f>(E454-((E458+E459+E460)+(E472-E473)))/E454</f>
        <v/>
      </c>
      <c r="F304" s="1463">
        <f>(F454-((F458+F459+F460)+(F472-F473)))/F454</f>
        <v/>
      </c>
      <c r="G304" s="1466">
        <f>(G454-((G458+G459+G460)+(G472-G473)))/G454</f>
        <v/>
      </c>
      <c r="H304" s="1466">
        <f>(H454-((H458+H459+H460)+(H472-H473)))/H454</f>
        <v/>
      </c>
      <c r="I304" s="1466">
        <f>(I454-((I458+I459+I460)+(I472-I473)))/I454</f>
        <v/>
      </c>
      <c r="J304" s="1466">
        <f>(J454-((J458+J459+J460)+(J472-J473)))/J454</f>
        <v/>
      </c>
      <c r="K304" s="1463">
        <f>(K454-((K458+K459+K460)+(K472-K473)))/K454</f>
        <v/>
      </c>
      <c r="L304" s="1466">
        <f>(L454-((L458+L459+L460)+(L472-L473)))/L454</f>
        <v/>
      </c>
      <c r="M304" s="1466">
        <f>(M454-((M458+M459+M460)+(M472-M473)))/M454</f>
        <v/>
      </c>
      <c r="N304" s="1466">
        <f>(N454-((N458+N459+N460)+(N472-N473)))/N454</f>
        <v/>
      </c>
      <c r="O304" s="1466">
        <f>(O454-((O458+O459+O460)+(O472-O473)))/O454</f>
        <v/>
      </c>
      <c r="P304" s="1463">
        <f>(P454-((P458+P459+P460)+(P472-P473)))/P454</f>
        <v/>
      </c>
      <c r="Q304" s="1466">
        <f>(Q454-((Q458+Q459+Q460)+(Q472-Q473)))/Q454</f>
        <v/>
      </c>
      <c r="R304" s="1466">
        <f>(R454-((R458+R459+R460)+(R472-R473)))/R454</f>
        <v/>
      </c>
      <c r="S304" s="1466">
        <f>(S454-((S458+S459+S460)+(S472-S473)))/S454</f>
        <v/>
      </c>
      <c r="T304" s="1466">
        <f>(T454-((T458+T459+T460)+(T472-T473)))/T454</f>
        <v/>
      </c>
      <c r="U304" s="1463">
        <f>(U454-((U458+U459+U460)+(U472-U473)))/U454</f>
        <v/>
      </c>
      <c r="V304" s="1466">
        <f>(V454-((V458+V459+V460)+(V472-V473)))/V454</f>
        <v/>
      </c>
      <c r="W304" s="1466">
        <f>(W454-((W458+W459+W460)+(W472-W473)))/W454</f>
        <v/>
      </c>
      <c r="X304" s="1466">
        <f>(X454-((X458+X459+X460)+(X472-X473)))/X454</f>
        <v/>
      </c>
      <c r="Y304" s="1466">
        <f>(Y454-((Y458+Y459+Y460)+(Y472-Y473)))/Y454</f>
        <v/>
      </c>
      <c r="Z304" s="1463">
        <f>(Z454-((Z458+Z459+Z460)+(Z472-Z473)))/Z454</f>
        <v/>
      </c>
      <c r="AA304" s="1466">
        <f>(AA454-((AA458+AA459+AA460)+(AA472-AA473)))/AA454</f>
        <v/>
      </c>
      <c r="AB304" s="1466">
        <f>(AB454-((AB458+AB459+AB460)+(AB472-AB473)))/AB454</f>
        <v/>
      </c>
      <c r="AC304" s="1466">
        <f>(AC454-((AC458+AC459+AC460)+(AC472-AC473)))/AC454</f>
        <v/>
      </c>
      <c r="AD304" s="1466">
        <f>(AD454-((AD458+AD459+AD460)+(AD472-AD473)))/AD454</f>
        <v/>
      </c>
      <c r="AE304" s="1463">
        <f>(AE454-((AE458+AE459+AE460)+(AE472-AE473)))/AE454</f>
        <v/>
      </c>
      <c r="AF304" s="1466">
        <f>(AF454-((AF458+AF459+AF460)+(AF472-AF473)))/AF454</f>
        <v/>
      </c>
      <c r="AG304" s="1466">
        <f>(AG454-((AG458+AG459+AG460)+(AG472-AG473)))/AG454</f>
        <v/>
      </c>
      <c r="AH304" s="1466">
        <f>(AH454-((AH458+AH459+AH460)+(AH472-AH473)))/AH454</f>
        <v/>
      </c>
      <c r="AI304" s="1466">
        <f>(AI454-((AI458+AI459+AI460)+(AI472-AI473)))/AI454</f>
        <v/>
      </c>
      <c r="AJ304" s="1463">
        <f>(AJ454-((AJ458+AJ459+AJ460)+(AJ472-AJ473)))/AJ454</f>
        <v/>
      </c>
      <c r="AK304" s="1466">
        <f>(AK454-((AK458+AK459+AK460)+(AK472-AK473)))/AK454</f>
        <v/>
      </c>
      <c r="AL304" s="1466">
        <f>(AL454-((AL458+AL459+AL460)+(AL472-AL473)))/AL454</f>
        <v/>
      </c>
      <c r="AM304" s="1466">
        <f>(AM454-((AM458+AM459+AM460)+(AM472-AM473)))/AM454</f>
        <v/>
      </c>
      <c r="AN304" s="1466">
        <f>(AN454-((AN458+AN459+AN460)+(AN472-AN473)))/AN454</f>
        <v/>
      </c>
      <c r="AO304" s="1463">
        <f>(AO454-((AO458+AO459+AO460)+(AO472-AO473)))/AO454</f>
        <v/>
      </c>
      <c r="AP304" s="1466">
        <f>(AP454-((AP458+AP459+AP460)+(AP472-AP473)))/AP454</f>
        <v/>
      </c>
      <c r="AQ304" s="1466">
        <f>(AQ454-((AQ458+AQ459+AQ460)+(AQ472-AQ473)))/AQ454</f>
        <v/>
      </c>
      <c r="AR304" s="1466">
        <f>(AR454-((AR458+AR459+AR460)+(AR472-AR473)))/AR454</f>
        <v/>
      </c>
      <c r="AS304" s="1466">
        <f>(AS454-((AS458+AS459+AS460)+(AS472-AS473)))/AS454</f>
        <v/>
      </c>
      <c r="AT304" s="1463">
        <f>(AT454-((AT458+AT459+AT460)+(AT472-AT473)))/AT454</f>
        <v/>
      </c>
      <c r="AU304" s="1466">
        <f>(AU454-((AU458+AU459+AU460)+(AU472-AU473)))/AU454</f>
        <v/>
      </c>
      <c r="AV304" s="1466">
        <f>(AV454-((AV458+AV459+AV460)+(AV472-AV473)))/AV454</f>
        <v/>
      </c>
      <c r="AW304" s="1466">
        <f>(AW454-((AW458+AW459+AW460)+(AW472-AW473)))/AW454</f>
        <v/>
      </c>
      <c r="AX304" s="1466">
        <f>(AX454-((AX458+AX459+AX460)+(AX472-AX473)))/AX454</f>
        <v/>
      </c>
      <c r="AY304" s="1463">
        <f>(AY454-((AY458+AY459+AY460)+(AY472-AY473)))/AY454</f>
        <v/>
      </c>
      <c r="AZ304" s="1466">
        <f>(AZ454-((AZ458+AZ459+AZ460)+(AZ472-AZ473)))/AZ454</f>
        <v/>
      </c>
      <c r="BA304" s="1466">
        <f>(BA454-((BA458+BA459+BA460)+(BA472-BA473)))/BA454</f>
        <v/>
      </c>
      <c r="BB304" s="1466">
        <f>(BB454-((BB458+BB459+BB460)+(BB472-BB473)))/BB454</f>
        <v/>
      </c>
      <c r="BC304" s="1466">
        <f>(BC454-((BC458+BC459+BC460)+(BC472-BC473)))/BC454</f>
        <v/>
      </c>
      <c r="BD304" s="1463">
        <f>(BD454-((BD458+BD459+BD460)+(BD472-BD473)))/BD454</f>
        <v/>
      </c>
      <c r="BE304" s="1466">
        <f>(BE454-((BE458+BE459+BE460)+(BE472-BE473)))/BE454</f>
        <v/>
      </c>
      <c r="BF304" s="1466">
        <f>(BF454-((BF458+BF459+BF460)+(BF472-BF473)))/BF454</f>
        <v/>
      </c>
      <c r="BG304" s="1466">
        <f>(BG454-((BG458+BG459+BG460)+(BG472-BG473)))/BG454</f>
        <v/>
      </c>
      <c r="BH304" s="1466">
        <f>(BH454-((BH458+BH459+BH460)+(BH472-BH473)))/BH454</f>
        <v/>
      </c>
      <c r="BI304" s="1463">
        <f>(BI454-((BI458+BI459+BI460)+(BI472-BI473)))/BI454</f>
        <v/>
      </c>
      <c r="BJ304" s="1466">
        <f>(BJ454-((BJ458+BJ459+BJ460)+(BJ472-BJ473)))/BJ454</f>
        <v/>
      </c>
      <c r="BK304" s="1466">
        <f>(BK454-((BK458+BK459+BK460)+(BK472-BK473)))/BK454</f>
        <v/>
      </c>
      <c r="BL304" s="1466">
        <f>(BL454-((BL458+BL459+BL460)+(BL472-BL473)))/BL454</f>
        <v/>
      </c>
      <c r="BM304" s="1466">
        <f>(BM454-((BM458+BM459+BM460)+(BM472-BM473)))/BM454</f>
        <v/>
      </c>
      <c r="BN304" s="1463">
        <f>(BN454-((BN458+BN459+BN460)+(BN472-BN473)))/BN454</f>
        <v/>
      </c>
      <c r="BO304" s="1466">
        <f>(BO454-((BO458+BO459+BO460)+(BO472-BO473)))/BO454</f>
        <v/>
      </c>
      <c r="BP304" s="1466">
        <f>(BP454-((BP458+BP459+BP460)+(BP472-BP473)))/BP454</f>
        <v/>
      </c>
      <c r="BQ304" s="1491">
        <f>(BQ454-((BQ458+BQ459+BQ460)+(BQ472-BQ473)))/BQ454</f>
        <v/>
      </c>
      <c r="BR304" s="1466" t="n"/>
      <c r="BS304" s="1463" t="n"/>
      <c r="BT304" s="1466" t="n"/>
      <c r="BU304" s="1466" t="n"/>
      <c r="BV304" s="1466" t="n"/>
      <c r="BW304" s="1466" t="n"/>
      <c r="BX304" s="1463" t="n"/>
      <c r="BY304" s="1463" t="n"/>
      <c r="BZ304" s="1463" t="n"/>
      <c r="CA304" s="1463" t="n"/>
      <c r="CB304" s="1465" t="n"/>
    </row>
    <row r="305" hidden="1" outlineLevel="2" ht="14.4" customFormat="1" customHeight="1" s="1359">
      <c r="A305" s="1503" t="n"/>
      <c r="B305" s="1377" t="n"/>
      <c r="C305" s="1379" t="n"/>
      <c r="D305" s="1379" t="n"/>
      <c r="E305" s="1379" t="n"/>
      <c r="F305" s="1379" t="n"/>
      <c r="G305" s="1361" t="n"/>
      <c r="H305" s="1361" t="n"/>
      <c r="I305" s="1361" t="n"/>
      <c r="J305" s="1361" t="n"/>
      <c r="K305" s="1379" t="n"/>
      <c r="L305" s="1361" t="n"/>
      <c r="M305" s="1361" t="n"/>
      <c r="N305" s="1361" t="n"/>
      <c r="O305" s="1361" t="n"/>
      <c r="P305" s="1379" t="n"/>
      <c r="Q305" s="1361" t="n"/>
      <c r="R305" s="1361" t="n"/>
      <c r="S305" s="1361" t="n"/>
      <c r="T305" s="1361" t="n"/>
      <c r="U305" s="1379" t="n"/>
      <c r="V305" s="1361" t="n"/>
      <c r="W305" s="1361" t="n"/>
      <c r="X305" s="1361" t="n"/>
      <c r="Y305" s="1361" t="n"/>
      <c r="Z305" s="1379" t="n"/>
      <c r="AA305" s="1361" t="n"/>
      <c r="AB305" s="1361" t="n"/>
      <c r="AC305" s="1361" t="n"/>
      <c r="AD305" s="1361" t="n"/>
      <c r="AE305" s="1379" t="n"/>
      <c r="AF305" s="1361" t="n"/>
      <c r="AG305" s="1361" t="n"/>
      <c r="AH305" s="1361" t="n"/>
      <c r="AI305" s="1361" t="n"/>
      <c r="AJ305" s="1379" t="n"/>
      <c r="AK305" s="1361" t="n"/>
      <c r="AL305" s="1361" t="n"/>
      <c r="AM305" s="1361" t="n"/>
      <c r="AN305" s="1361" t="n"/>
      <c r="AO305" s="1379" t="n"/>
      <c r="AP305" s="1361" t="n"/>
      <c r="AQ305" s="1361" t="n"/>
      <c r="AR305" s="1361" t="n"/>
      <c r="AS305" s="1361" t="n"/>
      <c r="AT305" s="1379" t="n"/>
      <c r="AU305" s="1361" t="n"/>
      <c r="AV305" s="1361" t="n"/>
      <c r="AW305" s="1361" t="n"/>
      <c r="AX305" s="1361" t="n"/>
      <c r="AY305" s="1379" t="n"/>
      <c r="AZ305" s="1361" t="n"/>
      <c r="BA305" s="1361" t="n"/>
      <c r="BB305" s="1361" t="n"/>
      <c r="BC305" s="1361" t="n"/>
      <c r="BD305" s="1379" t="n"/>
      <c r="BE305" s="1361" t="n"/>
      <c r="BF305" s="1361" t="n"/>
      <c r="BG305" s="1361" t="n"/>
      <c r="BH305" s="1361" t="n"/>
      <c r="BI305" s="1379" t="n"/>
      <c r="BJ305" s="1361" t="n"/>
      <c r="BK305" s="1361" t="n"/>
      <c r="BL305" s="1361" t="n"/>
      <c r="BM305" s="1361" t="n"/>
      <c r="BN305" s="1379" t="n"/>
      <c r="BO305" s="1361" t="n"/>
      <c r="BP305" s="1361" t="n"/>
      <c r="BQ305" s="1363" t="n"/>
      <c r="BR305" s="1361" t="n"/>
      <c r="BS305" s="1379" t="n"/>
      <c r="BT305" s="1361" t="n"/>
      <c r="BU305" s="1361" t="n"/>
      <c r="BV305" s="1361" t="n"/>
      <c r="BW305" s="1361" t="n"/>
      <c r="BX305" s="1379" t="n"/>
      <c r="BY305" s="1379" t="n"/>
      <c r="BZ305" s="1379" t="n"/>
      <c r="CA305" s="1379" t="n"/>
      <c r="CB305" s="1364" t="n"/>
    </row>
    <row r="306" hidden="1" outlineLevel="2" ht="14.4" customFormat="1" customHeight="1" s="1359">
      <c r="A306" s="1503" t="inlineStr">
        <is>
          <t>Implied ARR, mm</t>
        </is>
      </c>
      <c r="B306" s="1377" t="n"/>
      <c r="C306" s="1379" t="n"/>
      <c r="D306" s="1379" t="n"/>
      <c r="E306" s="1379" t="n"/>
      <c r="F306" s="1379" t="n"/>
      <c r="G306" s="1361">
        <f>G20*4*90%</f>
        <v/>
      </c>
      <c r="H306" s="1361">
        <f>H20*4*90%</f>
        <v/>
      </c>
      <c r="I306" s="1361">
        <f>I20*4*90%</f>
        <v/>
      </c>
      <c r="J306" s="1361">
        <f>J20*4*90%</f>
        <v/>
      </c>
      <c r="K306" s="1379">
        <f>J306</f>
        <v/>
      </c>
      <c r="L306" s="1361">
        <f>L20*4*90%</f>
        <v/>
      </c>
      <c r="M306" s="1361">
        <f>M20*4*90%</f>
        <v/>
      </c>
      <c r="N306" s="1361">
        <f>N20*4*90%</f>
        <v/>
      </c>
      <c r="O306" s="1361">
        <f>O20*4*90%</f>
        <v/>
      </c>
      <c r="P306" s="1379">
        <f>O306</f>
        <v/>
      </c>
      <c r="Q306" s="1361">
        <f>Q20*4*90%</f>
        <v/>
      </c>
      <c r="R306" s="1361">
        <f>R20*4*90%</f>
        <v/>
      </c>
      <c r="S306" s="1361">
        <f>S20*4*90%</f>
        <v/>
      </c>
      <c r="T306" s="1361">
        <f>T20*4*90%</f>
        <v/>
      </c>
      <c r="U306" s="1379">
        <f>T306</f>
        <v/>
      </c>
      <c r="V306" s="1361">
        <f>V20*4*90%</f>
        <v/>
      </c>
      <c r="W306" s="1361">
        <f>W20*4*90%</f>
        <v/>
      </c>
      <c r="X306" s="1361">
        <f>X20*4*90%</f>
        <v/>
      </c>
      <c r="Y306" s="1361">
        <f>Y20*4*90%</f>
        <v/>
      </c>
      <c r="Z306" s="1379">
        <f>Y306</f>
        <v/>
      </c>
      <c r="AA306" s="1361">
        <f>AA20*4*90%</f>
        <v/>
      </c>
      <c r="AB306" s="1361">
        <f>AB20*4*90%</f>
        <v/>
      </c>
      <c r="AC306" s="1361">
        <f>AC20*4*90%</f>
        <v/>
      </c>
      <c r="AD306" s="1361">
        <f>AD20*4*90%</f>
        <v/>
      </c>
      <c r="AE306" s="1379">
        <f>AD306</f>
        <v/>
      </c>
      <c r="AF306" s="1361">
        <f>AF20*4*90%</f>
        <v/>
      </c>
      <c r="AG306" s="1361">
        <f>AG20*4*90%</f>
        <v/>
      </c>
      <c r="AH306" s="1361">
        <f>AH20*4*90%</f>
        <v/>
      </c>
      <c r="AI306" s="1361">
        <f>AI20*4*90%</f>
        <v/>
      </c>
      <c r="AJ306" s="1379">
        <f>AI306</f>
        <v/>
      </c>
      <c r="AK306" s="1361">
        <f>AK20*4*87.5%</f>
        <v/>
      </c>
      <c r="AL306" s="1361">
        <f>AL20*4*87.5%</f>
        <v/>
      </c>
      <c r="AM306" s="1361">
        <f>AM20*4*87.5%</f>
        <v/>
      </c>
      <c r="AN306" s="1361">
        <f>AN20*4*87.5%</f>
        <v/>
      </c>
      <c r="AO306" s="1379">
        <f>AN306</f>
        <v/>
      </c>
      <c r="AP306" s="1361">
        <f>AP20*4*87.5%</f>
        <v/>
      </c>
      <c r="AQ306" s="1361">
        <f>AQ20*4*87.5%</f>
        <v/>
      </c>
      <c r="AR306" s="1361">
        <f>AR20*4*87.5%</f>
        <v/>
      </c>
      <c r="AS306" s="1361">
        <f>AS20*4*87.5%</f>
        <v/>
      </c>
      <c r="AT306" s="1379">
        <f>AS306</f>
        <v/>
      </c>
      <c r="AU306" s="1361">
        <f>AU20*4*87.5%</f>
        <v/>
      </c>
      <c r="AV306" s="1361">
        <f>AV20*4*87.5%</f>
        <v/>
      </c>
      <c r="AW306" s="1361">
        <f>AW20*4*87.5%</f>
        <v/>
      </c>
      <c r="AX306" s="1361">
        <f>AX20*4*87.5%</f>
        <v/>
      </c>
      <c r="AY306" s="1379">
        <f>AX306</f>
        <v/>
      </c>
      <c r="AZ306" s="1361">
        <f>AZ20*4*87.5%</f>
        <v/>
      </c>
      <c r="BA306" s="1361">
        <f>BA20*4*87.5%</f>
        <v/>
      </c>
      <c r="BB306" s="1361">
        <f>BB20*4*87.5%</f>
        <v/>
      </c>
      <c r="BC306" s="1361">
        <f>BC20*4*87.5%</f>
        <v/>
      </c>
      <c r="BD306" s="1379">
        <f>BC306</f>
        <v/>
      </c>
      <c r="BE306" s="1361">
        <f>BE20*4*85%</f>
        <v/>
      </c>
      <c r="BF306" s="1361">
        <f>BF20*4*85%</f>
        <v/>
      </c>
      <c r="BG306" s="1361">
        <f>BG20*4*85%</f>
        <v/>
      </c>
      <c r="BH306" s="1361">
        <f>BH20*4*84%</f>
        <v/>
      </c>
      <c r="BI306" s="1379">
        <f>BH306</f>
        <v/>
      </c>
      <c r="BJ306" s="1361">
        <f>BJ20*4*87%</f>
        <v/>
      </c>
      <c r="BK306" s="1361">
        <f>BK20*4*88%</f>
        <v/>
      </c>
      <c r="BL306" s="1361">
        <f>BL20*4*82%</f>
        <v/>
      </c>
      <c r="BM306" s="1361">
        <f>BM20*4*82.6%</f>
        <v/>
      </c>
      <c r="BN306" s="1379">
        <f>BM306</f>
        <v/>
      </c>
      <c r="BO306" s="1361">
        <f>BO20*4*80%</f>
        <v/>
      </c>
      <c r="BP306" s="1361">
        <f>BP20*4*78%</f>
        <v/>
      </c>
      <c r="BQ306" s="1363">
        <f>BQ20*4*82%</f>
        <v/>
      </c>
      <c r="BR306" s="1361" t="n"/>
      <c r="BS306" s="1379" t="n"/>
      <c r="BT306" s="1361" t="n"/>
      <c r="BU306" s="1361" t="n"/>
      <c r="BV306" s="1361" t="n"/>
      <c r="BW306" s="1361" t="n"/>
      <c r="BX306" s="1379" t="n"/>
      <c r="BY306" s="1379" t="n"/>
      <c r="BZ306" s="1379" t="n"/>
      <c r="CA306" s="1379" t="n"/>
      <c r="CB306" s="1364" t="n"/>
    </row>
    <row r="307" hidden="1" outlineLevel="2" ht="14.4" customFormat="1" customHeight="1" s="1460">
      <c r="A307" s="1492" t="inlineStr">
        <is>
          <t>Implied ARR growth y/y, %</t>
        </is>
      </c>
      <c r="B307" s="1462" t="n"/>
      <c r="C307" s="1463" t="n"/>
      <c r="D307" s="1463" t="n"/>
      <c r="E307" s="1463" t="n"/>
      <c r="F307" s="1463" t="n"/>
      <c r="G307" s="1466" t="n"/>
      <c r="H307" s="1466" t="n"/>
      <c r="I307" s="1466" t="n"/>
      <c r="J307" s="1466" t="n"/>
      <c r="K307" s="1463" t="n"/>
      <c r="L307" s="1466">
        <f>L306/G306-1</f>
        <v/>
      </c>
      <c r="M307" s="1466">
        <f>M306/H306-1</f>
        <v/>
      </c>
      <c r="N307" s="1466">
        <f>N306/I306-1</f>
        <v/>
      </c>
      <c r="O307" s="1466">
        <f>O306/J306-1</f>
        <v/>
      </c>
      <c r="P307" s="1463">
        <f>P306/K306-1</f>
        <v/>
      </c>
      <c r="Q307" s="1466">
        <f>Q306/L306-1</f>
        <v/>
      </c>
      <c r="R307" s="1466">
        <f>R306/M306-1</f>
        <v/>
      </c>
      <c r="S307" s="1466">
        <f>S306/N306-1</f>
        <v/>
      </c>
      <c r="T307" s="1466">
        <f>T306/O306-1</f>
        <v/>
      </c>
      <c r="U307" s="1463">
        <f>U306/P306-1</f>
        <v/>
      </c>
      <c r="V307" s="1466">
        <f>V306/Q306-1</f>
        <v/>
      </c>
      <c r="W307" s="1466">
        <f>W306/R306-1</f>
        <v/>
      </c>
      <c r="X307" s="1466">
        <f>X306/S306-1</f>
        <v/>
      </c>
      <c r="Y307" s="1466">
        <f>Y306/T306-1</f>
        <v/>
      </c>
      <c r="Z307" s="1463">
        <f>Z306/U306-1</f>
        <v/>
      </c>
      <c r="AA307" s="1466">
        <f>AA306/V306-1</f>
        <v/>
      </c>
      <c r="AB307" s="1466">
        <f>AB306/W306-1</f>
        <v/>
      </c>
      <c r="AC307" s="1466">
        <f>AC306/X306-1</f>
        <v/>
      </c>
      <c r="AD307" s="1466">
        <f>AD306/Y306-1</f>
        <v/>
      </c>
      <c r="AE307" s="1463">
        <f>AE306/Z306-1</f>
        <v/>
      </c>
      <c r="AF307" s="1466">
        <f>AF306/AA306-1</f>
        <v/>
      </c>
      <c r="AG307" s="1466">
        <f>AG306/AB306-1</f>
        <v/>
      </c>
      <c r="AH307" s="1466">
        <f>AH306/AC306-1</f>
        <v/>
      </c>
      <c r="AI307" s="1466">
        <f>AI306/AD306-1</f>
        <v/>
      </c>
      <c r="AJ307" s="1463">
        <f>AJ306/AE306-1</f>
        <v/>
      </c>
      <c r="AK307" s="1466">
        <f>AK306/AF306-1</f>
        <v/>
      </c>
      <c r="AL307" s="1466">
        <f>AL306/AG306-1</f>
        <v/>
      </c>
      <c r="AM307" s="1466">
        <f>AM306/AH306-1</f>
        <v/>
      </c>
      <c r="AN307" s="1466">
        <f>AN306/AI306-1</f>
        <v/>
      </c>
      <c r="AO307" s="1463">
        <f>AO306/AJ306-1</f>
        <v/>
      </c>
      <c r="AP307" s="1466">
        <f>AP306/AK306-1</f>
        <v/>
      </c>
      <c r="AQ307" s="1466">
        <f>AQ306/AL306-1</f>
        <v/>
      </c>
      <c r="AR307" s="1466">
        <f>AR306/AM306-1</f>
        <v/>
      </c>
      <c r="AS307" s="1466">
        <f>AS306/AN306-1</f>
        <v/>
      </c>
      <c r="AT307" s="1463">
        <f>AT306/AO306-1</f>
        <v/>
      </c>
      <c r="AU307" s="1466">
        <f>AU306/AP306-1</f>
        <v/>
      </c>
      <c r="AV307" s="1466">
        <f>AV306/AQ306-1</f>
        <v/>
      </c>
      <c r="AW307" s="1466">
        <f>AW306/AR306-1</f>
        <v/>
      </c>
      <c r="AX307" s="1466">
        <f>AX306/AS306-1</f>
        <v/>
      </c>
      <c r="AY307" s="1463">
        <f>AY306/AT306-1</f>
        <v/>
      </c>
      <c r="AZ307" s="1466">
        <f>AZ306/AU306-1</f>
        <v/>
      </c>
      <c r="BA307" s="1466">
        <f>BA306/AV306-1</f>
        <v/>
      </c>
      <c r="BB307" s="1466">
        <f>BB306/AW306-1</f>
        <v/>
      </c>
      <c r="BC307" s="1466">
        <f>BC306/AX306-1</f>
        <v/>
      </c>
      <c r="BD307" s="1463">
        <f>BD306/AY306-1</f>
        <v/>
      </c>
      <c r="BE307" s="1466">
        <f>BE306/AZ306-1</f>
        <v/>
      </c>
      <c r="BF307" s="1466">
        <f>BF306/BA306-1</f>
        <v/>
      </c>
      <c r="BG307" s="1466">
        <f>BG306/BB306-1</f>
        <v/>
      </c>
      <c r="BH307" s="1466">
        <f>BH306/BC306-1</f>
        <v/>
      </c>
      <c r="BI307" s="1463">
        <f>BI306/BD306-1</f>
        <v/>
      </c>
      <c r="BJ307" s="1466">
        <f>BJ306/BE306-1</f>
        <v/>
      </c>
      <c r="BK307" s="1466">
        <f>BK306/BF306-1</f>
        <v/>
      </c>
      <c r="BL307" s="1466">
        <f>BL306/BG306-1</f>
        <v/>
      </c>
      <c r="BM307" s="1466">
        <f>BM306/BH306-1</f>
        <v/>
      </c>
      <c r="BN307" s="1463">
        <f>BN306/BI306-1</f>
        <v/>
      </c>
      <c r="BO307" s="1466">
        <f>BO306/BJ306-1</f>
        <v/>
      </c>
      <c r="BP307" s="1466">
        <f>BP306/BK306-1</f>
        <v/>
      </c>
      <c r="BQ307" s="1491">
        <f>BQ306/BL306-1</f>
        <v/>
      </c>
      <c r="BR307" s="1466" t="n"/>
      <c r="BS307" s="1463" t="n"/>
      <c r="BT307" s="1466" t="n"/>
      <c r="BU307" s="1466" t="n"/>
      <c r="BV307" s="1466" t="n"/>
      <c r="BW307" s="1466" t="n"/>
      <c r="BX307" s="1463" t="n"/>
      <c r="BY307" s="1463" t="n"/>
      <c r="BZ307" s="1463" t="n"/>
      <c r="CA307" s="1463" t="n"/>
      <c r="CB307" s="1465" t="n"/>
    </row>
    <row r="308" hidden="1" outlineLevel="2" ht="14.4" customFormat="1" customHeight="1" s="1359">
      <c r="A308" s="1503" t="inlineStr">
        <is>
          <t>Implied Net New ARR, mm</t>
        </is>
      </c>
      <c r="B308" s="1377" t="n"/>
      <c r="C308" s="1379" t="n"/>
      <c r="D308" s="1379" t="n"/>
      <c r="E308" s="1379" t="n"/>
      <c r="F308" s="1379" t="n"/>
      <c r="G308" s="1361" t="n"/>
      <c r="H308" s="1361">
        <f>H306-G306</f>
        <v/>
      </c>
      <c r="I308" s="1361">
        <f>I306-H306</f>
        <v/>
      </c>
      <c r="J308" s="1361">
        <f>J306-I306</f>
        <v/>
      </c>
      <c r="K308" s="1379" t="n"/>
      <c r="L308" s="1361">
        <f>L306-J306</f>
        <v/>
      </c>
      <c r="M308" s="1361">
        <f>M306-L306</f>
        <v/>
      </c>
      <c r="N308" s="1361">
        <f>N306-M306</f>
        <v/>
      </c>
      <c r="O308" s="1361">
        <f>O306-N306</f>
        <v/>
      </c>
      <c r="P308" s="1379">
        <f>P306-K306</f>
        <v/>
      </c>
      <c r="Q308" s="1361">
        <f>Q306-O306</f>
        <v/>
      </c>
      <c r="R308" s="1361">
        <f>R306-Q306</f>
        <v/>
      </c>
      <c r="S308" s="1361">
        <f>S306-R306</f>
        <v/>
      </c>
      <c r="T308" s="1361">
        <f>T306-S306</f>
        <v/>
      </c>
      <c r="U308" s="1379">
        <f>U306-P306</f>
        <v/>
      </c>
      <c r="V308" s="1361">
        <f>V306-T306</f>
        <v/>
      </c>
      <c r="W308" s="1361">
        <f>W306-V306</f>
        <v/>
      </c>
      <c r="X308" s="1361">
        <f>X306-W306</f>
        <v/>
      </c>
      <c r="Y308" s="1361">
        <f>Y306-X306</f>
        <v/>
      </c>
      <c r="Z308" s="1379">
        <f>Z306-U306</f>
        <v/>
      </c>
      <c r="AA308" s="1361">
        <f>AA306-Y306</f>
        <v/>
      </c>
      <c r="AB308" s="1361">
        <f>AB306-AA306</f>
        <v/>
      </c>
      <c r="AC308" s="1361">
        <f>AC306-AB306</f>
        <v/>
      </c>
      <c r="AD308" s="1361">
        <f>AD306-AC306</f>
        <v/>
      </c>
      <c r="AE308" s="1379">
        <f>AE306-Z306</f>
        <v/>
      </c>
      <c r="AF308" s="1361">
        <f>AF306-AD306</f>
        <v/>
      </c>
      <c r="AG308" s="1361">
        <f>AG306-AF306</f>
        <v/>
      </c>
      <c r="AH308" s="1361">
        <f>AH306-AG306</f>
        <v/>
      </c>
      <c r="AI308" s="1361">
        <f>AI306-AH306</f>
        <v/>
      </c>
      <c r="AJ308" s="1379">
        <f>AJ306-AE306</f>
        <v/>
      </c>
      <c r="AK308" s="1361">
        <f>AK306-AI306</f>
        <v/>
      </c>
      <c r="AL308" s="1361">
        <f>AL306-AK306</f>
        <v/>
      </c>
      <c r="AM308" s="1361">
        <f>AM306-AL306</f>
        <v/>
      </c>
      <c r="AN308" s="1361">
        <f>AN306-AM306</f>
        <v/>
      </c>
      <c r="AO308" s="1379">
        <f>AO306-AJ306</f>
        <v/>
      </c>
      <c r="AP308" s="1361">
        <f>AP306-AN306</f>
        <v/>
      </c>
      <c r="AQ308" s="1361">
        <f>AQ306-AP306</f>
        <v/>
      </c>
      <c r="AR308" s="1361">
        <f>AR306-AQ306</f>
        <v/>
      </c>
      <c r="AS308" s="1361">
        <f>AS306-AR306</f>
        <v/>
      </c>
      <c r="AT308" s="1379">
        <f>AT306-AO306</f>
        <v/>
      </c>
      <c r="AU308" s="1361">
        <f>AU306-AS306</f>
        <v/>
      </c>
      <c r="AV308" s="1361">
        <f>AV306-AU306</f>
        <v/>
      </c>
      <c r="AW308" s="1361">
        <f>AW306-AV306</f>
        <v/>
      </c>
      <c r="AX308" s="1361">
        <f>AX306-AW306</f>
        <v/>
      </c>
      <c r="AY308" s="1379">
        <f>AY306-AT306</f>
        <v/>
      </c>
      <c r="AZ308" s="1361">
        <f>AZ306-AX306</f>
        <v/>
      </c>
      <c r="BA308" s="1361">
        <f>BA306-AZ306</f>
        <v/>
      </c>
      <c r="BB308" s="1361">
        <f>BB306-BA306</f>
        <v/>
      </c>
      <c r="BC308" s="1361">
        <f>BC306-BB306</f>
        <v/>
      </c>
      <c r="BD308" s="1379">
        <f>BD306-AY306</f>
        <v/>
      </c>
      <c r="BE308" s="1361">
        <f>BE306-BC306</f>
        <v/>
      </c>
      <c r="BF308" s="1361">
        <f>BF306-BE306</f>
        <v/>
      </c>
      <c r="BG308" s="1361">
        <f>BG306-BF306</f>
        <v/>
      </c>
      <c r="BH308" s="1361">
        <f>BH306-BG306</f>
        <v/>
      </c>
      <c r="BI308" s="1379">
        <f>BI306-BD306</f>
        <v/>
      </c>
      <c r="BJ308" s="1361">
        <f>BJ306-BH306</f>
        <v/>
      </c>
      <c r="BK308" s="1361">
        <f>BK306-BJ306</f>
        <v/>
      </c>
      <c r="BL308" s="1361">
        <f>BL306-BK306</f>
        <v/>
      </c>
      <c r="BM308" s="1361">
        <f>BM306-BL306</f>
        <v/>
      </c>
      <c r="BN308" s="1379">
        <f>BN306-BI306</f>
        <v/>
      </c>
      <c r="BO308" s="1361">
        <f>BO306-BM306</f>
        <v/>
      </c>
      <c r="BP308" s="1361">
        <f>BP306-BO306</f>
        <v/>
      </c>
      <c r="BQ308" s="1363">
        <f>BQ306-BP306</f>
        <v/>
      </c>
      <c r="BR308" s="1361" t="n"/>
      <c r="BS308" s="1379" t="n"/>
      <c r="BT308" s="1361" t="n"/>
      <c r="BU308" s="1361" t="n"/>
      <c r="BV308" s="1361" t="n"/>
      <c r="BW308" s="1361" t="n"/>
      <c r="BX308" s="1379" t="n"/>
      <c r="BY308" s="1379" t="n"/>
      <c r="BZ308" s="1379" t="n"/>
      <c r="CA308" s="1379" t="n"/>
      <c r="CB308" s="1364" t="n"/>
    </row>
    <row r="309" hidden="1" outlineLevel="2" ht="14.4" customFormat="1" customHeight="1" s="1359">
      <c r="A309" s="1503" t="inlineStr">
        <is>
          <t>Implied Magic Number</t>
        </is>
      </c>
      <c r="B309" s="1377" t="n"/>
      <c r="C309" s="1379" t="n"/>
      <c r="D309" s="1379" t="n"/>
      <c r="E309" s="1379" t="n"/>
      <c r="F309" s="1379" t="n"/>
      <c r="G309" s="1361" t="n"/>
      <c r="H309" s="1361">
        <f>H308/(G472-G473)</f>
        <v/>
      </c>
      <c r="I309" s="1361">
        <f>I308/(H472-H473)</f>
        <v/>
      </c>
      <c r="J309" s="1361">
        <f>J308/(I472-I473)</f>
        <v/>
      </c>
      <c r="K309" s="1379" t="n"/>
      <c r="L309" s="1361">
        <f>L308/(J472-J473)</f>
        <v/>
      </c>
      <c r="M309" s="1361">
        <f>M308/(L472-L473)</f>
        <v/>
      </c>
      <c r="N309" s="1361">
        <f>N308/(M472-M473)</f>
        <v/>
      </c>
      <c r="O309" s="1361">
        <f>O308/(N472-N473)</f>
        <v/>
      </c>
      <c r="P309" s="1379">
        <f>P308/(K472-K473)</f>
        <v/>
      </c>
      <c r="Q309" s="1361">
        <f>Q308/(O472-O473)</f>
        <v/>
      </c>
      <c r="R309" s="1361">
        <f>R308/(Q472-Q473)</f>
        <v/>
      </c>
      <c r="S309" s="1361">
        <f>S308/(R472-R473)</f>
        <v/>
      </c>
      <c r="T309" s="1361">
        <f>T308/(S472-S473)</f>
        <v/>
      </c>
      <c r="U309" s="1379">
        <f>U308/(P472-P473)</f>
        <v/>
      </c>
      <c r="V309" s="1361">
        <f>V308/(T472-T473)</f>
        <v/>
      </c>
      <c r="W309" s="1361">
        <f>W308/(V472-V473)</f>
        <v/>
      </c>
      <c r="X309" s="1361">
        <f>X308/(W472-W473)</f>
        <v/>
      </c>
      <c r="Y309" s="1361">
        <f>Y308/(X472-X473)</f>
        <v/>
      </c>
      <c r="Z309" s="1379">
        <f>Z308/(U472-U473)</f>
        <v/>
      </c>
      <c r="AA309" s="1361">
        <f>AA308/(Y472-Y473)</f>
        <v/>
      </c>
      <c r="AB309" s="1361">
        <f>AB308/(AA472-AA473)</f>
        <v/>
      </c>
      <c r="AC309" s="1361">
        <f>AC308/(AB472-AB473)</f>
        <v/>
      </c>
      <c r="AD309" s="1361">
        <f>AD308/(AC472-AC473)</f>
        <v/>
      </c>
      <c r="AE309" s="1379">
        <f>AE308/(Z472-Z473)</f>
        <v/>
      </c>
      <c r="AF309" s="1361">
        <f>AF308/(AD472-AD473)</f>
        <v/>
      </c>
      <c r="AG309" s="1361">
        <f>AG308/(AF472-AF473)</f>
        <v/>
      </c>
      <c r="AH309" s="1361">
        <f>AH308/(AG472-AG473)</f>
        <v/>
      </c>
      <c r="AI309" s="1361">
        <f>AI308/(AH472-AH473)</f>
        <v/>
      </c>
      <c r="AJ309" s="1379">
        <f>AJ308/(AE472-AE473)</f>
        <v/>
      </c>
      <c r="AK309" s="1361">
        <f>AK308/(AI472-AI473)</f>
        <v/>
      </c>
      <c r="AL309" s="1361">
        <f>AL308/(AK472-AK473)</f>
        <v/>
      </c>
      <c r="AM309" s="1361">
        <f>AM308/(AL472-AL473)</f>
        <v/>
      </c>
      <c r="AN309" s="1361">
        <f>AN308/(AM472-AM473)</f>
        <v/>
      </c>
      <c r="AO309" s="1379">
        <f>AO308/(AJ472-AJ473)</f>
        <v/>
      </c>
      <c r="AP309" s="1361">
        <f>AP308/(AN472-AN473)</f>
        <v/>
      </c>
      <c r="AQ309" s="1361">
        <f>AQ308/(AP472-AP473)</f>
        <v/>
      </c>
      <c r="AR309" s="1361">
        <f>AR308/(AQ472-AQ473)</f>
        <v/>
      </c>
      <c r="AS309" s="1361">
        <f>AS308/(AR472-AR473)</f>
        <v/>
      </c>
      <c r="AT309" s="1379">
        <f>AT308/(AO472-AO473)</f>
        <v/>
      </c>
      <c r="AU309" s="1361">
        <f>AU308/(AS472-AS473)</f>
        <v/>
      </c>
      <c r="AV309" s="1361">
        <f>AV308/(AU472-AU473)</f>
        <v/>
      </c>
      <c r="AW309" s="1361">
        <f>AW308/(AV472-AV473)</f>
        <v/>
      </c>
      <c r="AX309" s="1361">
        <f>AX308/(AW472-AW473)</f>
        <v/>
      </c>
      <c r="AY309" s="1379">
        <f>AY308/(AT472-AT473)</f>
        <v/>
      </c>
      <c r="AZ309" s="1361">
        <f>AZ308/(AX472-AX473)</f>
        <v/>
      </c>
      <c r="BA309" s="1361">
        <f>BA308/(AZ472-AZ473)</f>
        <v/>
      </c>
      <c r="BB309" s="1361">
        <f>BB308/(BA472-BA473)</f>
        <v/>
      </c>
      <c r="BC309" s="1361">
        <f>BC308/(BB472-BB473)</f>
        <v/>
      </c>
      <c r="BD309" s="1379">
        <f>BD308/(AY472-AY473)</f>
        <v/>
      </c>
      <c r="BE309" s="1361">
        <f>BE308/(BC472-BC473)</f>
        <v/>
      </c>
      <c r="BF309" s="1361">
        <f>BF308/(BE472-BE473)</f>
        <v/>
      </c>
      <c r="BG309" s="1361">
        <f>BG308/(BF472-BF473)</f>
        <v/>
      </c>
      <c r="BH309" s="1361">
        <f>BH308/(BG472-BG473)</f>
        <v/>
      </c>
      <c r="BI309" s="1379">
        <f>BI308/(BD472-BD473)</f>
        <v/>
      </c>
      <c r="BJ309" s="1361">
        <f>BJ308/(BH472-BH473)</f>
        <v/>
      </c>
      <c r="BK309" s="1361">
        <f>BK308/(BJ472-BJ473)</f>
        <v/>
      </c>
      <c r="BL309" s="1361">
        <f>BL308/(BK472-BK473)</f>
        <v/>
      </c>
      <c r="BM309" s="1361">
        <f>BM308/(BL472-BL473)</f>
        <v/>
      </c>
      <c r="BN309" s="1379">
        <f>BN308/(BI472-BI473)</f>
        <v/>
      </c>
      <c r="BO309" s="1361">
        <f>BO308/(BM472-BM473)</f>
        <v/>
      </c>
      <c r="BP309" s="1361">
        <f>BP308/(BO472-BO473)</f>
        <v/>
      </c>
      <c r="BQ309" s="1363">
        <f>BQ308/(BP472-BP473)</f>
        <v/>
      </c>
      <c r="BR309" s="1361" t="n"/>
      <c r="BS309" s="1379" t="n"/>
      <c r="BT309" s="1361" t="n"/>
      <c r="BU309" s="1361" t="n"/>
      <c r="BV309" s="1361" t="n"/>
      <c r="BW309" s="1361" t="n"/>
      <c r="BX309" s="1379" t="n"/>
      <c r="BY309" s="1379" t="n"/>
      <c r="BZ309" s="1379" t="n"/>
      <c r="CA309" s="1379" t="n"/>
      <c r="CB309" s="1364" t="n"/>
    </row>
    <row r="310" hidden="1" outlineLevel="2" ht="14.4" customFormat="1" customHeight="1" s="1359">
      <c r="A310" s="1503" t="n"/>
      <c r="B310" s="1377" t="n"/>
      <c r="C310" s="1379" t="n"/>
      <c r="D310" s="1379" t="n"/>
      <c r="E310" s="1379" t="n"/>
      <c r="F310" s="1379" t="n"/>
      <c r="G310" s="1361" t="n"/>
      <c r="H310" s="1361" t="n"/>
      <c r="I310" s="1361" t="n"/>
      <c r="J310" s="1361" t="n"/>
      <c r="K310" s="1379" t="n"/>
      <c r="L310" s="1361" t="n"/>
      <c r="M310" s="1361" t="n"/>
      <c r="N310" s="1361" t="n"/>
      <c r="O310" s="1361" t="n"/>
      <c r="P310" s="1379" t="n"/>
      <c r="Q310" s="1361" t="n"/>
      <c r="R310" s="1361" t="n"/>
      <c r="S310" s="1361" t="n"/>
      <c r="T310" s="1361" t="n"/>
      <c r="U310" s="1379" t="n"/>
      <c r="V310" s="1361" t="n"/>
      <c r="W310" s="1361" t="n"/>
      <c r="X310" s="1361" t="n"/>
      <c r="Y310" s="1361" t="n"/>
      <c r="Z310" s="1379" t="n"/>
      <c r="AA310" s="1361" t="n"/>
      <c r="AB310" s="1361" t="n"/>
      <c r="AC310" s="1361" t="n"/>
      <c r="AD310" s="1361" t="n"/>
      <c r="AE310" s="1379" t="n"/>
      <c r="AF310" s="1361" t="n"/>
      <c r="AG310" s="1361" t="n"/>
      <c r="AH310" s="1361" t="n"/>
      <c r="AI310" s="1361" t="n"/>
      <c r="AJ310" s="1379" t="n"/>
      <c r="AK310" s="1361" t="n"/>
      <c r="AL310" s="1361" t="n"/>
      <c r="AM310" s="1361" t="n"/>
      <c r="AN310" s="1361" t="n"/>
      <c r="AO310" s="1379" t="n"/>
      <c r="AP310" s="1361" t="n"/>
      <c r="AQ310" s="1361" t="n"/>
      <c r="AR310" s="1361" t="n"/>
      <c r="AS310" s="1361" t="n"/>
      <c r="AT310" s="1379" t="n"/>
      <c r="AU310" s="1361" t="n"/>
      <c r="AV310" s="1361" t="n"/>
      <c r="AW310" s="1361" t="n"/>
      <c r="AX310" s="1361" t="n"/>
      <c r="AY310" s="1379" t="n"/>
      <c r="AZ310" s="1361" t="n"/>
      <c r="BA310" s="1361" t="n"/>
      <c r="BB310" s="1361" t="n"/>
      <c r="BC310" s="1361" t="n"/>
      <c r="BD310" s="1379" t="n"/>
      <c r="BE310" s="1361" t="n"/>
      <c r="BF310" s="1361" t="n"/>
      <c r="BG310" s="1361" t="n"/>
      <c r="BH310" s="1361" t="n"/>
      <c r="BI310" s="1379" t="n"/>
      <c r="BJ310" s="1361" t="n"/>
      <c r="BK310" s="1361" t="n"/>
      <c r="BL310" s="1361" t="n"/>
      <c r="BM310" s="1361" t="n"/>
      <c r="BN310" s="1379" t="n"/>
      <c r="BO310" s="1361" t="n"/>
      <c r="BP310" s="1361" t="n"/>
      <c r="BQ310" s="1363" t="n"/>
      <c r="BR310" s="1361" t="n"/>
      <c r="BS310" s="1379" t="n"/>
      <c r="BT310" s="1361" t="n"/>
      <c r="BU310" s="1361" t="n"/>
      <c r="BV310" s="1361" t="n"/>
      <c r="BW310" s="1361" t="n"/>
      <c r="BX310" s="1379" t="n"/>
      <c r="BY310" s="1379" t="n"/>
      <c r="BZ310" s="1379" t="n"/>
      <c r="CA310" s="1379" t="n"/>
      <c r="CB310" s="1364" t="n"/>
    </row>
    <row r="311" hidden="1" outlineLevel="2" ht="14.4" customFormat="1" customHeight="1" s="1359">
      <c r="A311" s="1503" t="inlineStr">
        <is>
          <t>Implied CAC payback, months</t>
        </is>
      </c>
      <c r="B311" s="1377" t="n"/>
      <c r="C311" s="1379" t="n"/>
      <c r="D311" s="1379" t="n"/>
      <c r="E311" s="1379" t="n"/>
      <c r="F311" s="1379" t="n"/>
      <c r="G311" s="1361" t="n"/>
      <c r="H311" s="1553">
        <f>12/(H309*(H454-(H458+H459+H460))/H454)</f>
        <v/>
      </c>
      <c r="I311" s="1553">
        <f>12/(I309*(I454-(I458+I459+I460))/I454)</f>
        <v/>
      </c>
      <c r="J311" s="1553">
        <f>12/(J309*(J454-(J458+J459+J460))/J454)</f>
        <v/>
      </c>
      <c r="K311" s="1554" t="n"/>
      <c r="L311" s="1553">
        <f>12/(L309*(L454-(L458+L459+L460))/L454)</f>
        <v/>
      </c>
      <c r="M311" s="1553">
        <f>12/(M309*(M454-(M458+M459+M460))/M454)</f>
        <v/>
      </c>
      <c r="N311" s="1553">
        <f>12/(N309*(N454-(N458+N459+N460))/N454)</f>
        <v/>
      </c>
      <c r="O311" s="1553">
        <f>12/(O309*(O454-(O458+O459+O460))/O454)</f>
        <v/>
      </c>
      <c r="P311" s="1554">
        <f>12/(P309*(P454-(P458+P459+P460))/P454)</f>
        <v/>
      </c>
      <c r="Q311" s="1555" t="inlineStr">
        <is>
          <t>NMF</t>
        </is>
      </c>
      <c r="R311" s="1553">
        <f>12/(R309*(R454-(R458+R459+R460))/R454)</f>
        <v/>
      </c>
      <c r="S311" s="1553">
        <f>12/(S309*(S454-(S458+S459+S460))/S454)</f>
        <v/>
      </c>
      <c r="T311" s="1553">
        <f>12/(T309*(T454-(T458+T459+T460))/T454)</f>
        <v/>
      </c>
      <c r="U311" s="1554">
        <f>12/(U309*(U454-(U458+U459+U460))/U454)</f>
        <v/>
      </c>
      <c r="V311" s="1553">
        <f>12/(V309*(V454-(V458+V459+V460))/V454)</f>
        <v/>
      </c>
      <c r="W311" s="1553">
        <f>12/(W309*(W454-(W458+W459+W460))/W454)</f>
        <v/>
      </c>
      <c r="X311" s="1555" t="inlineStr">
        <is>
          <t>NMF</t>
        </is>
      </c>
      <c r="Y311" s="1553">
        <f>12/(Y309*(Y454-(Y458+Y459+Y460))/Y454)</f>
        <v/>
      </c>
      <c r="Z311" s="1554">
        <f>12/(Z309*(Z454-(Z458+Z459+Z460))/Z454)</f>
        <v/>
      </c>
      <c r="AA311" s="1553">
        <f>12/(AA309*(AA454-(AA458+AA459+AA460))/AA454)</f>
        <v/>
      </c>
      <c r="AB311" s="1553">
        <f>12/(AB309*(AB454-(AB458+AB459+AB460))/AB454)</f>
        <v/>
      </c>
      <c r="AC311" s="1553">
        <f>12/(AC309*(AC454-(AC458+AC459+AC460))/AC454)</f>
        <v/>
      </c>
      <c r="AD311" s="1553">
        <f>12/(AD309*(AD454-(AD458+AD459+AD460))/AD454)</f>
        <v/>
      </c>
      <c r="AE311" s="1554">
        <f>12/(AE309*(AE454-(AE458+AE459+AE460))/AE454)</f>
        <v/>
      </c>
      <c r="AF311" s="1553">
        <f>12/(AF309*(AF454-(AF458+AF459+AF460))/AF454)</f>
        <v/>
      </c>
      <c r="AG311" s="1553">
        <f>12/(AG309*(AG454-(AG458+AG459+AG460))/AG454)</f>
        <v/>
      </c>
      <c r="AH311" s="1553">
        <f>12/(AH309*(AH454-(AH458+AH459+AH460))/AH454)</f>
        <v/>
      </c>
      <c r="AI311" s="1553">
        <f>12/(AI309*(AI454-(AI458+AI459+AI460))/AI454)</f>
        <v/>
      </c>
      <c r="AJ311" s="1554">
        <f>12/(AJ309*(AJ454-(AJ458+AJ459+AJ460))/AJ454)</f>
        <v/>
      </c>
      <c r="AK311" s="1555" t="inlineStr">
        <is>
          <t>NMF</t>
        </is>
      </c>
      <c r="AL311" s="1553">
        <f>12/(AL309*(AL454-(AL458+AL459+AL460))/AL454)</f>
        <v/>
      </c>
      <c r="AM311" s="1555" t="inlineStr">
        <is>
          <t>NMF</t>
        </is>
      </c>
      <c r="AN311" s="1553">
        <f>12/(AN309*(AN454-(AN458+AN459+AN460))/AN454)</f>
        <v/>
      </c>
      <c r="AO311" s="1554">
        <f>12/(AO309*(AO454-(AO458+AO459+AO460))/AO454)</f>
        <v/>
      </c>
      <c r="AP311" s="1553">
        <f>12/(AP309*(AP454-(AP458+AP459+AP460))/AP454)</f>
        <v/>
      </c>
      <c r="AQ311" s="1553">
        <f>12/(AQ309*(AQ454-(AQ458+AQ459+AQ460))/AQ454)</f>
        <v/>
      </c>
      <c r="AR311" s="1553">
        <f>12/(AR309*(AR454-(AR458+AR459+AR460))/AR454)</f>
        <v/>
      </c>
      <c r="AS311" s="1553">
        <f>12/(AS309*(AS454-(AS458+AS459+AS460))/AS454)</f>
        <v/>
      </c>
      <c r="AT311" s="1554">
        <f>12/(AT309*(AT454-(AT458+AT459+AT460))/AT454)</f>
        <v/>
      </c>
      <c r="AU311" s="1555" t="inlineStr">
        <is>
          <t>NMF</t>
        </is>
      </c>
      <c r="AV311" s="1555" t="inlineStr">
        <is>
          <t>NMF</t>
        </is>
      </c>
      <c r="AW311" s="1553">
        <f>12/(AW309*(AW454-(AW458+AW459+AW460))/AW454)</f>
        <v/>
      </c>
      <c r="AX311" s="1553">
        <f>12/(AX309*(AX454-(AX458+AX459+AX460))/AX454)</f>
        <v/>
      </c>
      <c r="AY311" s="1554">
        <f>12/(AY309*(AY454-(AY458+AY459+AY460))/AY454)</f>
        <v/>
      </c>
      <c r="AZ311" s="1553">
        <f>12/(AZ309*(AZ454-(AZ458+AZ459+AZ460))/AZ454)</f>
        <v/>
      </c>
      <c r="BA311" s="1553">
        <f>12/(BA309*(BA454-(BA458+BA459+BA460))/BA454)</f>
        <v/>
      </c>
      <c r="BB311" s="1553">
        <f>12/(BB309*(BB454-(BB458+BB459+BB460))/BB454)</f>
        <v/>
      </c>
      <c r="BC311" s="1553">
        <f>12/(BC309*(BC454-(BC458+BC459+BC460))/BC454)</f>
        <v/>
      </c>
      <c r="BD311" s="1554">
        <f>12/(BD309*(BD454-(BD458+BD459+BD460))/BD454)</f>
        <v/>
      </c>
      <c r="BE311" s="1553">
        <f>12/(BE309*(BE454-(BE458+BE459+BE460))/BE454)</f>
        <v/>
      </c>
      <c r="BF311" s="1553">
        <f>12/(BF309*(BF454-(BF458+BF459+BF460))/BF454)</f>
        <v/>
      </c>
      <c r="BG311" s="1553">
        <f>12/(BG309*(BG454-(BG458+BG459+BG460))/BG454)</f>
        <v/>
      </c>
      <c r="BH311" s="1553">
        <f>12/(BH309*(BH454-(BH458+BH459+BH460))/BH454)</f>
        <v/>
      </c>
      <c r="BI311" s="1554">
        <f>12/(BI309*(BI454-(BI458+BI459+BI460))/BI454)</f>
        <v/>
      </c>
      <c r="BJ311" s="1553">
        <f>12/(BJ309*(BJ454-(BJ458+BJ459+BJ460))/BJ454)</f>
        <v/>
      </c>
      <c r="BK311" s="1553">
        <f>12/(BK309*(BK454-(BK458+BK459+BK460))/BK454)</f>
        <v/>
      </c>
      <c r="BL311" s="1553">
        <f>12/(BL309*(BL454-(BL458+BL459+BL460))/BL454)</f>
        <v/>
      </c>
      <c r="BM311" s="1553">
        <f>12/(BM309*(BM454-(BM458+BM459+BM460))/BM454)</f>
        <v/>
      </c>
      <c r="BN311" s="1554">
        <f>12/(BN309*(BN454-(BN458+BN459+BN460))/BN454)</f>
        <v/>
      </c>
      <c r="BO311" s="1553">
        <f>12/(BO309*(BO454-(BO458+BO459+BO460))/BO454)</f>
        <v/>
      </c>
      <c r="BP311" s="1553">
        <f>12/(BP309*(BP454-(BP458+BP459+BP460))/BP454)</f>
        <v/>
      </c>
      <c r="BQ311" s="1556">
        <f>12/(BQ309*(BQ454-(BQ458+BQ459+BQ460))/BQ454)</f>
        <v/>
      </c>
      <c r="BR311" s="1361" t="n"/>
      <c r="BS311" s="1379" t="n"/>
      <c r="BT311" s="1361" t="n"/>
      <c r="BU311" s="1361" t="n"/>
      <c r="BV311" s="1361" t="n"/>
      <c r="BW311" s="1361" t="n"/>
      <c r="BX311" s="1379" t="n"/>
      <c r="BY311" s="1379" t="n"/>
      <c r="BZ311" s="1379" t="n"/>
      <c r="CA311" s="1379" t="n"/>
      <c r="CB311" s="1364" t="n"/>
    </row>
    <row r="312" hidden="1" outlineLevel="1" collapsed="1" ht="14.4" customFormat="1" customHeight="1" s="1359">
      <c r="A312" s="1474" t="n"/>
      <c r="B312" s="1377" t="n"/>
      <c r="C312" s="1379" t="n"/>
      <c r="D312" s="1379" t="n"/>
      <c r="E312" s="1379" t="n"/>
      <c r="F312" s="1379" t="n"/>
      <c r="G312" s="1361" t="n"/>
      <c r="H312" s="1361" t="n"/>
      <c r="I312" s="1361" t="n"/>
      <c r="J312" s="1361" t="n"/>
      <c r="K312" s="1379" t="n"/>
      <c r="L312" s="1361" t="n"/>
      <c r="M312" s="1361" t="n"/>
      <c r="N312" s="1361" t="n"/>
      <c r="O312" s="1361" t="n"/>
      <c r="P312" s="1379" t="n"/>
      <c r="Q312" s="1361" t="n"/>
      <c r="R312" s="1361" t="n"/>
      <c r="S312" s="1361" t="n"/>
      <c r="T312" s="1361" t="n"/>
      <c r="U312" s="1379" t="n"/>
      <c r="V312" s="1361" t="n"/>
      <c r="W312" s="1361" t="n"/>
      <c r="X312" s="1361" t="n"/>
      <c r="Y312" s="1361" t="n"/>
      <c r="Z312" s="1379" t="n"/>
      <c r="AA312" s="1361" t="n"/>
      <c r="AB312" s="1361" t="n"/>
      <c r="AC312" s="1361" t="n"/>
      <c r="AD312" s="1361" t="n"/>
      <c r="AE312" s="1379" t="n"/>
      <c r="AF312" s="1361" t="n"/>
      <c r="AG312" s="1361" t="n"/>
      <c r="AH312" s="1361" t="n"/>
      <c r="AI312" s="1361" t="n"/>
      <c r="AJ312" s="1379" t="n"/>
      <c r="AK312" s="1361" t="n"/>
      <c r="AL312" s="1361" t="n"/>
      <c r="AM312" s="1361" t="n"/>
      <c r="AN312" s="1361" t="n"/>
      <c r="AO312" s="1379" t="n"/>
      <c r="AP312" s="1361" t="n"/>
      <c r="AQ312" s="1361" t="n"/>
      <c r="AR312" s="1361" t="n"/>
      <c r="AS312" s="1361" t="n"/>
      <c r="AT312" s="1379" t="n"/>
      <c r="AU312" s="1361" t="n"/>
      <c r="AV312" s="1361" t="n"/>
      <c r="AW312" s="1361" t="n"/>
      <c r="AX312" s="1361" t="n"/>
      <c r="AY312" s="1379" t="n"/>
      <c r="AZ312" s="1361" t="n"/>
      <c r="BA312" s="1361" t="n"/>
      <c r="BB312" s="1361" t="n"/>
      <c r="BC312" s="1361" t="n"/>
      <c r="BD312" s="1379" t="n"/>
      <c r="BE312" s="1361" t="n"/>
      <c r="BF312" s="1361" t="n"/>
      <c r="BG312" s="1361" t="n"/>
      <c r="BH312" s="1361" t="n"/>
      <c r="BI312" s="1379" t="n"/>
      <c r="BJ312" s="1361" t="n"/>
      <c r="BK312" s="1361" t="n"/>
      <c r="BL312" s="1361" t="n"/>
      <c r="BM312" s="1361" t="n"/>
      <c r="BN312" s="1379" t="n"/>
      <c r="BO312" s="1361" t="n"/>
      <c r="BP312" s="1361" t="n"/>
      <c r="BQ312" s="1363" t="n"/>
      <c r="BR312" s="1361" t="n"/>
      <c r="BS312" s="1379" t="n"/>
      <c r="BT312" s="1361" t="n"/>
      <c r="BU312" s="1361" t="n"/>
      <c r="BV312" s="1361" t="n"/>
      <c r="BW312" s="1361" t="n"/>
      <c r="BX312" s="1379" t="n"/>
      <c r="BY312" s="1379" t="n"/>
      <c r="BZ312" s="1379" t="n"/>
      <c r="CA312" s="1379" t="n"/>
      <c r="CB312" s="1364" t="n"/>
    </row>
    <row r="313" hidden="1" outlineLevel="1" ht="14.4" customFormat="1" customHeight="1" s="1372">
      <c r="A313" s="1373" t="inlineStr">
        <is>
          <t>Key Metrics - Headcount and DSO (FS)</t>
        </is>
      </c>
      <c r="B313" s="1373" t="n"/>
      <c r="C313" s="1373" t="n"/>
      <c r="D313" s="1373" t="n"/>
      <c r="E313" s="1373" t="n"/>
      <c r="F313" s="1373" t="n"/>
      <c r="G313" s="1373" t="n"/>
      <c r="H313" s="1373" t="n"/>
      <c r="I313" s="1373" t="n"/>
      <c r="J313" s="1373" t="n"/>
      <c r="K313" s="1373" t="n"/>
      <c r="L313" s="1373" t="n"/>
      <c r="M313" s="1373" t="n"/>
      <c r="N313" s="1373" t="n"/>
      <c r="O313" s="1373" t="n"/>
      <c r="P313" s="1373" t="n"/>
      <c r="Q313" s="1373" t="n"/>
      <c r="R313" s="1373" t="n"/>
      <c r="S313" s="1373" t="n"/>
      <c r="T313" s="1373" t="n"/>
      <c r="U313" s="1373" t="n"/>
      <c r="V313" s="1373" t="n"/>
      <c r="W313" s="1373" t="n"/>
      <c r="X313" s="1373" t="n"/>
      <c r="Y313" s="1373" t="n"/>
      <c r="Z313" s="1373" t="n"/>
      <c r="AA313" s="1373" t="n"/>
      <c r="AB313" s="1373" t="n"/>
      <c r="AC313" s="1373" t="n"/>
      <c r="AD313" s="1373" t="n"/>
      <c r="AE313" s="1373" t="n"/>
      <c r="AF313" s="1373" t="n"/>
      <c r="AG313" s="1373" t="n"/>
      <c r="AH313" s="1373" t="n"/>
      <c r="AI313" s="1373" t="n"/>
      <c r="AJ313" s="1373" t="n"/>
      <c r="AK313" s="1373" t="n"/>
      <c r="AL313" s="1373" t="n"/>
      <c r="AM313" s="1373" t="n"/>
      <c r="AN313" s="1373" t="n"/>
      <c r="AO313" s="1373" t="n"/>
      <c r="AP313" s="1373" t="n"/>
      <c r="AQ313" s="1373" t="n"/>
      <c r="AR313" s="1373" t="n"/>
      <c r="AS313" s="1373" t="n"/>
      <c r="AT313" s="1373" t="n"/>
      <c r="AU313" s="1373" t="n"/>
      <c r="AV313" s="1373" t="n"/>
      <c r="AW313" s="1373" t="n"/>
      <c r="AX313" s="1373" t="n"/>
      <c r="AY313" s="1373" t="n"/>
      <c r="AZ313" s="1373" t="n"/>
      <c r="BA313" s="1373" t="n"/>
      <c r="BB313" s="1373" t="n"/>
      <c r="BC313" s="1373" t="n"/>
      <c r="BD313" s="1373" t="n"/>
      <c r="BE313" s="1373" t="n"/>
      <c r="BF313" s="1373" t="n"/>
      <c r="BG313" s="1373" t="n"/>
      <c r="BH313" s="1373" t="n"/>
      <c r="BI313" s="1373" t="n"/>
      <c r="BJ313" s="1373" t="n"/>
      <c r="BK313" s="1373" t="n"/>
      <c r="BL313" s="1373" t="n"/>
      <c r="BM313" s="1373" t="n"/>
      <c r="BN313" s="1373" t="n"/>
      <c r="BO313" s="1373" t="n"/>
      <c r="BP313" s="1373" t="n"/>
      <c r="BQ313" s="1374" t="n"/>
      <c r="BR313" s="1373" t="n"/>
      <c r="BS313" s="1373" t="n"/>
      <c r="BT313" s="1373" t="n"/>
      <c r="BU313" s="1373" t="n"/>
      <c r="BV313" s="1373" t="n"/>
      <c r="BW313" s="1373" t="n"/>
      <c r="BX313" s="1373" t="n"/>
      <c r="BY313" s="1373" t="n"/>
      <c r="BZ313" s="1373" t="n"/>
      <c r="CA313" s="1373" t="n"/>
      <c r="CB313" s="1375" t="n"/>
    </row>
    <row r="314" hidden="1" outlineLevel="1" ht="14.4" customFormat="1" customHeight="1" s="1549">
      <c r="A314" s="1550" t="inlineStr">
        <is>
          <t>Days Sales Outstanding, # of days</t>
        </is>
      </c>
      <c r="B314" s="1551" t="n"/>
      <c r="C314" s="1469" t="n"/>
      <c r="D314" s="1469" t="n"/>
      <c r="E314" s="1469" t="n"/>
      <c r="F314" s="1469" t="n"/>
      <c r="G314" s="1488" t="n">
        <v>20</v>
      </c>
      <c r="H314" s="1488" t="n">
        <v>24</v>
      </c>
      <c r="I314" s="1488" t="n">
        <v>26</v>
      </c>
      <c r="J314" s="1488" t="n">
        <v>27</v>
      </c>
      <c r="K314" s="1469" t="n"/>
      <c r="L314" s="1488" t="n">
        <v>27</v>
      </c>
      <c r="M314" s="1488" t="n">
        <v>26</v>
      </c>
      <c r="N314" s="1488" t="n">
        <v>25</v>
      </c>
      <c r="O314" s="1488" t="n">
        <v>27</v>
      </c>
      <c r="P314" s="1469" t="n"/>
      <c r="Q314" s="1488" t="n">
        <v>30</v>
      </c>
      <c r="R314" s="1488" t="n">
        <v>29</v>
      </c>
      <c r="S314" s="1488" t="n">
        <v>28</v>
      </c>
      <c r="T314" s="1488" t="n">
        <v>35</v>
      </c>
      <c r="U314" s="1469" t="n"/>
      <c r="V314" s="1488" t="n">
        <v>32</v>
      </c>
      <c r="W314" s="1488" t="n">
        <v>35</v>
      </c>
      <c r="X314" s="1488" t="n">
        <v>34</v>
      </c>
      <c r="Y314" s="1488" t="n">
        <v>33</v>
      </c>
      <c r="Z314" s="1469" t="n"/>
      <c r="AA314" s="1488" t="n">
        <v>37</v>
      </c>
      <c r="AB314" s="1488" t="n">
        <v>31</v>
      </c>
      <c r="AC314" s="1488" t="n">
        <v>34</v>
      </c>
      <c r="AD314" s="1488" t="n">
        <v>36</v>
      </c>
      <c r="AE314" s="1469" t="n"/>
      <c r="AF314" s="1488" t="n">
        <v>41</v>
      </c>
      <c r="AG314" s="1488" t="n">
        <v>39</v>
      </c>
      <c r="AH314" s="1488" t="n">
        <v>42</v>
      </c>
      <c r="AI314" s="1488" t="n">
        <v>48</v>
      </c>
      <c r="AJ314" s="1469" t="n"/>
      <c r="AK314" s="1488" t="n">
        <v>42</v>
      </c>
      <c r="AL314" s="1488" t="n">
        <v>38</v>
      </c>
      <c r="AM314" s="1488" t="n">
        <v>43</v>
      </c>
      <c r="AN314" s="1488" t="n">
        <v>47</v>
      </c>
      <c r="AO314" s="1469" t="n"/>
      <c r="AP314" s="1488" t="n">
        <v>42</v>
      </c>
      <c r="AQ314" s="1488" t="n">
        <v>45</v>
      </c>
      <c r="AR314" s="1488" t="n">
        <v>41</v>
      </c>
      <c r="AS314" s="1488" t="n">
        <v>44</v>
      </c>
      <c r="AT314" s="1469" t="n"/>
      <c r="AU314" s="1488" t="n">
        <v>48</v>
      </c>
      <c r="AV314" s="1488" t="n">
        <v>49</v>
      </c>
      <c r="AW314" s="1488" t="n">
        <v>40</v>
      </c>
      <c r="AX314" s="1488" t="n">
        <v>40</v>
      </c>
      <c r="AY314" s="1469" t="n"/>
      <c r="AZ314" s="1488" t="n">
        <v>37</v>
      </c>
      <c r="BA314" s="1488" t="n">
        <v>42</v>
      </c>
      <c r="BB314" s="1488" t="n">
        <v>40</v>
      </c>
      <c r="BC314" s="1488" t="n">
        <v>49</v>
      </c>
      <c r="BD314" s="1469" t="n"/>
      <c r="BE314" s="1488" t="n">
        <v>44</v>
      </c>
      <c r="BF314" s="1488" t="n">
        <v>42</v>
      </c>
      <c r="BG314" s="1488" t="n">
        <v>39</v>
      </c>
      <c r="BH314" s="1488" t="n">
        <v>43</v>
      </c>
      <c r="BI314" s="1469" t="n"/>
      <c r="BJ314" s="1488" t="n">
        <v>36</v>
      </c>
      <c r="BK314" s="1488" t="n">
        <v>49</v>
      </c>
      <c r="BL314" s="1488" t="n">
        <v>44</v>
      </c>
      <c r="BM314" s="1488" t="n">
        <v>48</v>
      </c>
      <c r="BN314" s="1469" t="n"/>
      <c r="BO314" s="1488" t="n">
        <v>44</v>
      </c>
      <c r="BP314" s="1488" t="n">
        <v>51</v>
      </c>
      <c r="BQ314" s="1552" t="n">
        <v>55</v>
      </c>
      <c r="BR314" s="1471" t="n"/>
      <c r="BS314" s="1469" t="n"/>
      <c r="BT314" s="1471" t="n"/>
      <c r="BU314" s="1471" t="n"/>
      <c r="BV314" s="1471" t="n"/>
      <c r="BW314" s="1471" t="n"/>
      <c r="BX314" s="1469" t="n"/>
      <c r="BY314" s="1469" t="n"/>
      <c r="BZ314" s="1469" t="n"/>
      <c r="CA314" s="1469" t="n"/>
      <c r="CB314" s="1472" t="n"/>
    </row>
    <row r="315" hidden="1" outlineLevel="1" ht="14.4" customFormat="1" customHeight="1" s="1549">
      <c r="A315" s="1550" t="inlineStr">
        <is>
          <t>Employees, # of employees</t>
        </is>
      </c>
      <c r="B315" s="1551" t="n"/>
      <c r="C315" s="1469" t="n"/>
      <c r="D315" s="1469" t="n"/>
      <c r="E315" s="1489" t="n">
        <v>4700</v>
      </c>
      <c r="F315" s="1489" t="n">
        <v>5189</v>
      </c>
      <c r="G315" s="1488" t="n">
        <v>5312</v>
      </c>
      <c r="H315" s="1488" t="n">
        <v>5767</v>
      </c>
      <c r="I315" s="1488" t="n">
        <v>5862</v>
      </c>
      <c r="J315" s="1488" t="n">
        <v>5734</v>
      </c>
      <c r="K315" s="1469">
        <f>J315</f>
        <v/>
      </c>
      <c r="L315" s="1488" t="n">
        <v>5835</v>
      </c>
      <c r="M315" s="1488" t="n">
        <v>6044</v>
      </c>
      <c r="N315" s="1488" t="n">
        <v>6082</v>
      </c>
      <c r="O315" s="1488" t="n">
        <v>6106</v>
      </c>
      <c r="P315" s="1469">
        <f>O315</f>
        <v/>
      </c>
      <c r="Q315" s="1488" t="n">
        <v>6260</v>
      </c>
      <c r="R315" s="1488" t="n">
        <v>6405</v>
      </c>
      <c r="S315" s="1488" t="n">
        <v>6567</v>
      </c>
      <c r="T315" s="1488" t="n">
        <v>6664</v>
      </c>
      <c r="U315" s="1469">
        <f>T315</f>
        <v/>
      </c>
      <c r="V315" s="1488" t="n">
        <v>6786</v>
      </c>
      <c r="W315" s="1488" t="n">
        <v>6945</v>
      </c>
      <c r="X315" s="1488" t="n">
        <v>7113</v>
      </c>
      <c r="Y315" s="1488" t="n">
        <v>7094</v>
      </c>
      <c r="Z315" s="1469">
        <f>Y315</f>
        <v/>
      </c>
      <c r="AA315" s="1488" t="n">
        <v>7101</v>
      </c>
      <c r="AB315" s="1488" t="n">
        <v>7190</v>
      </c>
      <c r="AC315" s="1488" t="n">
        <v>7233</v>
      </c>
      <c r="AD315" s="1488" t="n">
        <v>7214</v>
      </c>
      <c r="AE315" s="1469">
        <f>AD315</f>
        <v/>
      </c>
      <c r="AF315" s="1488" t="n">
        <v>7229</v>
      </c>
      <c r="AG315" s="1488" t="n">
        <v>7288</v>
      </c>
      <c r="AH315" s="1488" t="n">
        <v>7417</v>
      </c>
      <c r="AI315" s="1488" t="n">
        <v>7499</v>
      </c>
      <c r="AJ315" s="1469">
        <f>AI315</f>
        <v/>
      </c>
      <c r="AK315" s="1488" t="n">
        <v>7570</v>
      </c>
      <c r="AL315" s="1488" t="n">
        <v>7743</v>
      </c>
      <c r="AM315" s="1488" t="n">
        <v>8016</v>
      </c>
      <c r="AN315" s="1488" t="n">
        <v>8078</v>
      </c>
      <c r="AO315" s="1469">
        <f>AN315</f>
        <v/>
      </c>
      <c r="AP315" s="1488" t="n">
        <v>8205</v>
      </c>
      <c r="AQ315" s="1488" t="n">
        <v>8375</v>
      </c>
      <c r="AR315" s="1488" t="n">
        <v>8674</v>
      </c>
      <c r="AS315" s="1488" t="n">
        <v>8746</v>
      </c>
      <c r="AT315" s="1469">
        <f>AS315</f>
        <v/>
      </c>
      <c r="AU315" s="1488" t="n">
        <v>8990</v>
      </c>
      <c r="AV315" s="1488" t="n">
        <v>9092</v>
      </c>
      <c r="AW315" s="1488" t="n">
        <v>9257</v>
      </c>
      <c r="AX315" s="1488" t="n">
        <v>9298</v>
      </c>
      <c r="AY315" s="1469">
        <f>AX315</f>
        <v/>
      </c>
      <c r="AZ315" s="1488" t="n">
        <v>9411</v>
      </c>
      <c r="BA315" s="1488" t="n">
        <v>9570</v>
      </c>
      <c r="BB315" s="1488" t="n">
        <v>9994</v>
      </c>
      <c r="BC315" s="1488" t="n">
        <v>10228</v>
      </c>
      <c r="BD315" s="1469">
        <f>BC315</f>
        <v/>
      </c>
      <c r="BE315" s="1488" t="n">
        <v>10579</v>
      </c>
      <c r="BF315" s="1488" t="n">
        <v>10832</v>
      </c>
      <c r="BG315" s="1488" t="n">
        <v>11139</v>
      </c>
      <c r="BH315" s="1488" t="n">
        <v>11226</v>
      </c>
      <c r="BI315" s="1469">
        <f>BH315</f>
        <v/>
      </c>
      <c r="BJ315" s="1488" t="n">
        <v>11753</v>
      </c>
      <c r="BK315" s="1488" t="n">
        <v>12665</v>
      </c>
      <c r="BL315" s="1488" t="n">
        <v>12703</v>
      </c>
      <c r="BM315" s="1488" t="n">
        <v>12705</v>
      </c>
      <c r="BN315" s="1469">
        <f>BM315</f>
        <v/>
      </c>
      <c r="BO315" s="1488" t="n">
        <v>12837</v>
      </c>
      <c r="BP315" s="1488" t="n">
        <v>13152</v>
      </c>
      <c r="BQ315" s="1552" t="n">
        <v>13693</v>
      </c>
      <c r="BR315" s="1471" t="n"/>
      <c r="BS315" s="1469" t="n"/>
      <c r="BT315" s="1471" t="n"/>
      <c r="BU315" s="1471" t="n"/>
      <c r="BV315" s="1471" t="n"/>
      <c r="BW315" s="1471" t="n"/>
      <c r="BX315" s="1469" t="n"/>
      <c r="BY315" s="1469" t="n"/>
      <c r="BZ315" s="1469" t="n"/>
      <c r="CA315" s="1469" t="n"/>
      <c r="CB315" s="1472" t="n"/>
    </row>
    <row r="316" collapsed="1" ht="14.4" customFormat="1" customHeight="1" s="1372">
      <c r="A316" s="1447" t="n"/>
      <c r="B316" s="1448" t="n"/>
      <c r="C316" s="1449" t="n"/>
      <c r="D316" s="1449" t="n"/>
      <c r="E316" s="1449" t="n"/>
      <c r="F316" s="1449" t="n"/>
      <c r="G316" s="1450" t="n"/>
      <c r="H316" s="1450" t="n"/>
      <c r="I316" s="1450" t="n"/>
      <c r="J316" s="1450" t="n"/>
      <c r="K316" s="1449" t="n"/>
      <c r="L316" s="1450" t="n"/>
      <c r="M316" s="1450" t="n"/>
      <c r="N316" s="1450" t="n"/>
      <c r="O316" s="1450" t="n"/>
      <c r="P316" s="1449" t="n"/>
      <c r="Q316" s="1450" t="n"/>
      <c r="R316" s="1450" t="n"/>
      <c r="S316" s="1450" t="n"/>
      <c r="T316" s="1450" t="n"/>
      <c r="U316" s="1449" t="n"/>
      <c r="V316" s="1450" t="n"/>
      <c r="W316" s="1450" t="n"/>
      <c r="X316" s="1450" t="n"/>
      <c r="Y316" s="1450" t="n"/>
      <c r="Z316" s="1449" t="n"/>
      <c r="AA316" s="1450" t="n"/>
      <c r="AB316" s="1450" t="n"/>
      <c r="AC316" s="1450" t="n"/>
      <c r="AD316" s="1450" t="n"/>
      <c r="AE316" s="1449" t="n"/>
      <c r="AF316" s="1450" t="n"/>
      <c r="AG316" s="1450" t="n"/>
      <c r="AH316" s="1450" t="n"/>
      <c r="AI316" s="1450" t="n"/>
      <c r="AJ316" s="1449" t="n"/>
      <c r="AK316" s="1450" t="n"/>
      <c r="AL316" s="1450" t="n"/>
      <c r="AM316" s="1450" t="n"/>
      <c r="AN316" s="1450" t="n"/>
      <c r="AO316" s="1449" t="n"/>
      <c r="AP316" s="1450" t="n"/>
      <c r="AQ316" s="1450" t="n"/>
      <c r="AR316" s="1450" t="n"/>
      <c r="AS316" s="1450" t="n"/>
      <c r="AT316" s="1449" t="n"/>
      <c r="AU316" s="1450" t="n"/>
      <c r="AV316" s="1450" t="n"/>
      <c r="AW316" s="1450" t="n"/>
      <c r="AX316" s="1450" t="n"/>
      <c r="AY316" s="1449" t="n"/>
      <c r="AZ316" s="1450" t="n"/>
      <c r="BA316" s="1450" t="n"/>
      <c r="BB316" s="1450" t="n"/>
      <c r="BC316" s="1450" t="n"/>
      <c r="BD316" s="1449" t="n"/>
      <c r="BE316" s="1450" t="n"/>
      <c r="BF316" s="1450" t="n"/>
      <c r="BG316" s="1450" t="n"/>
      <c r="BH316" s="1450" t="n"/>
      <c r="BI316" s="1449" t="n"/>
      <c r="BJ316" s="1450" t="n"/>
      <c r="BK316" s="1450" t="n"/>
      <c r="BL316" s="1450" t="n"/>
      <c r="BM316" s="1450" t="n"/>
      <c r="BN316" s="1449" t="n"/>
      <c r="BO316" s="1450" t="n"/>
      <c r="BP316" s="1450" t="n"/>
      <c r="BQ316" s="1451" t="n"/>
      <c r="BR316" s="1450" t="n"/>
      <c r="BS316" s="1449" t="n"/>
      <c r="BT316" s="1450" t="n"/>
      <c r="BU316" s="1450" t="n"/>
      <c r="BV316" s="1450" t="n"/>
      <c r="BW316" s="1450" t="n"/>
      <c r="BX316" s="1449" t="n"/>
      <c r="BY316" s="1449" t="n"/>
      <c r="BZ316" s="1449" t="n"/>
      <c r="CA316" s="1449" t="n"/>
      <c r="CB316" s="1375" t="n"/>
    </row>
    <row r="317" ht="14.4" customFormat="1" customHeight="1" s="1504">
      <c r="A317" s="1505" t="inlineStr">
        <is>
          <t>Margin Analysis</t>
        </is>
      </c>
      <c r="B317" s="1505" t="n"/>
      <c r="C317" s="1505" t="n"/>
      <c r="D317" s="1505" t="n"/>
      <c r="E317" s="1505" t="n"/>
      <c r="F317" s="1505" t="n"/>
      <c r="G317" s="1505" t="n"/>
      <c r="H317" s="1505" t="n"/>
      <c r="I317" s="1505" t="n"/>
      <c r="J317" s="1505" t="n"/>
      <c r="K317" s="1505" t="n"/>
      <c r="L317" s="1505" t="n"/>
      <c r="M317" s="1505" t="n"/>
      <c r="N317" s="1505" t="n"/>
      <c r="O317" s="1505" t="n"/>
      <c r="P317" s="1505" t="n"/>
      <c r="Q317" s="1505" t="n"/>
      <c r="R317" s="1505" t="n"/>
      <c r="S317" s="1505" t="n"/>
      <c r="T317" s="1505" t="n"/>
      <c r="U317" s="1505" t="n"/>
      <c r="V317" s="1505" t="n"/>
      <c r="W317" s="1505" t="n"/>
      <c r="X317" s="1505" t="n"/>
      <c r="Y317" s="1505" t="n"/>
      <c r="Z317" s="1505" t="n"/>
      <c r="AA317" s="1505" t="n"/>
      <c r="AB317" s="1505" t="n"/>
      <c r="AC317" s="1505" t="n"/>
      <c r="AD317" s="1505" t="n"/>
      <c r="AE317" s="1505" t="n"/>
      <c r="AF317" s="1505" t="n"/>
      <c r="AG317" s="1505" t="n"/>
      <c r="AH317" s="1505" t="n"/>
      <c r="AI317" s="1505" t="n"/>
      <c r="AJ317" s="1505" t="n"/>
      <c r="AK317" s="1505" t="n"/>
      <c r="AL317" s="1505" t="n"/>
      <c r="AM317" s="1505" t="n"/>
      <c r="AN317" s="1505" t="n"/>
      <c r="AO317" s="1505" t="n"/>
      <c r="AP317" s="1505" t="n"/>
      <c r="AQ317" s="1505" t="n"/>
      <c r="AR317" s="1505" t="n"/>
      <c r="AS317" s="1505" t="n"/>
      <c r="AT317" s="1505" t="n"/>
      <c r="AU317" s="1505" t="n"/>
      <c r="AV317" s="1505" t="n"/>
      <c r="AW317" s="1505" t="n"/>
      <c r="AX317" s="1505" t="n"/>
      <c r="AY317" s="1505" t="n"/>
      <c r="AZ317" s="1505" t="n"/>
      <c r="BA317" s="1505" t="n"/>
      <c r="BB317" s="1505" t="n"/>
      <c r="BC317" s="1505" t="n"/>
      <c r="BD317" s="1505" t="n"/>
      <c r="BE317" s="1505" t="n"/>
      <c r="BF317" s="1505" t="n"/>
      <c r="BG317" s="1505" t="n"/>
      <c r="BH317" s="1505" t="n"/>
      <c r="BI317" s="1505" t="n"/>
      <c r="BJ317" s="1505" t="n"/>
      <c r="BK317" s="1505" t="n"/>
      <c r="BL317" s="1505" t="n"/>
      <c r="BM317" s="1505" t="n"/>
      <c r="BN317" s="1505" t="n"/>
      <c r="BO317" s="1505" t="n"/>
      <c r="BP317" s="1505" t="n"/>
      <c r="BQ317" s="1506" t="n"/>
      <c r="BR317" s="1505" t="n"/>
      <c r="BS317" s="1505" t="n"/>
      <c r="BT317" s="1505" t="n"/>
      <c r="BU317" s="1505" t="n"/>
      <c r="BV317" s="1505" t="n"/>
      <c r="BW317" s="1505" t="n"/>
      <c r="BX317" s="1505" t="n"/>
      <c r="BY317" s="1505" t="n"/>
      <c r="BZ317" s="1505" t="n"/>
      <c r="CA317" s="1505" t="n"/>
      <c r="CB317" s="1507" t="n"/>
    </row>
    <row r="318" hidden="1" outlineLevel="2" ht="14.4" customFormat="1" customHeight="1" s="1460">
      <c r="A318" s="1557" t="inlineStr">
        <is>
          <t>GAAP COGS Margin, %</t>
        </is>
      </c>
      <c r="B318" s="1558" t="n"/>
      <c r="C318" s="1559">
        <f>C458/C454</f>
        <v/>
      </c>
      <c r="D318" s="1559">
        <f>D458/D454</f>
        <v/>
      </c>
      <c r="E318" s="1559">
        <f>E458/E454</f>
        <v/>
      </c>
      <c r="F318" s="1559">
        <f>F458/F454</f>
        <v/>
      </c>
      <c r="G318" s="1560">
        <f>G458/G454</f>
        <v/>
      </c>
      <c r="H318" s="1560">
        <f>H458/H454</f>
        <v/>
      </c>
      <c r="I318" s="1560">
        <f>I458/I454</f>
        <v/>
      </c>
      <c r="J318" s="1560">
        <f>J458/J454</f>
        <v/>
      </c>
      <c r="K318" s="1559">
        <f>K458/K454</f>
        <v/>
      </c>
      <c r="L318" s="1560">
        <f>L458/L454</f>
        <v/>
      </c>
      <c r="M318" s="1560">
        <f>M458/M454</f>
        <v/>
      </c>
      <c r="N318" s="1560">
        <f>N458/N454</f>
        <v/>
      </c>
      <c r="O318" s="1560">
        <f>O458/O454</f>
        <v/>
      </c>
      <c r="P318" s="1559">
        <f>P458/P454</f>
        <v/>
      </c>
      <c r="Q318" s="1560">
        <f>Q458/Q454</f>
        <v/>
      </c>
      <c r="R318" s="1560">
        <f>R458/R454</f>
        <v/>
      </c>
      <c r="S318" s="1560">
        <f>S458/S454</f>
        <v/>
      </c>
      <c r="T318" s="1560">
        <f>T458/T454</f>
        <v/>
      </c>
      <c r="U318" s="1559">
        <f>U458/U454</f>
        <v/>
      </c>
      <c r="V318" s="1560">
        <f>V458/V454</f>
        <v/>
      </c>
      <c r="W318" s="1560">
        <f>W458/W454</f>
        <v/>
      </c>
      <c r="X318" s="1560">
        <f>X458/X454</f>
        <v/>
      </c>
      <c r="Y318" s="1560">
        <f>Y458/Y454</f>
        <v/>
      </c>
      <c r="Z318" s="1561">
        <f>Z458/Z454</f>
        <v/>
      </c>
      <c r="AA318" s="1560">
        <f>AA458/AA454</f>
        <v/>
      </c>
      <c r="AB318" s="1560">
        <f>AB458/AB454</f>
        <v/>
      </c>
      <c r="AC318" s="1560">
        <f>AC458/AC454</f>
        <v/>
      </c>
      <c r="AD318" s="1560">
        <f>AD458/AD454</f>
        <v/>
      </c>
      <c r="AE318" s="1561">
        <f>AE458/AE454</f>
        <v/>
      </c>
      <c r="AF318" s="1560">
        <f>AF458/AF454</f>
        <v/>
      </c>
      <c r="AG318" s="1560">
        <f>AG458/AG454</f>
        <v/>
      </c>
      <c r="AH318" s="1560">
        <f>AH458/AH454</f>
        <v/>
      </c>
      <c r="AI318" s="1560">
        <f>AI458/AI454</f>
        <v/>
      </c>
      <c r="AJ318" s="1561">
        <f>AJ458/AJ454</f>
        <v/>
      </c>
      <c r="AK318" s="1560">
        <f>AK458/AK454</f>
        <v/>
      </c>
      <c r="AL318" s="1560">
        <f>AL458/AL454</f>
        <v/>
      </c>
      <c r="AM318" s="1560">
        <f>AM458/AM454</f>
        <v/>
      </c>
      <c r="AN318" s="1560">
        <f>AN458/AN454</f>
        <v/>
      </c>
      <c r="AO318" s="1561">
        <f>AO458/AO454</f>
        <v/>
      </c>
      <c r="AP318" s="1560">
        <f>AP458/AP454</f>
        <v/>
      </c>
      <c r="AQ318" s="1560">
        <f>AQ458/AQ454</f>
        <v/>
      </c>
      <c r="AR318" s="1560">
        <f>AR458/AR454</f>
        <v/>
      </c>
      <c r="AS318" s="1560">
        <f>AS458/AS454</f>
        <v/>
      </c>
      <c r="AT318" s="1561">
        <f>AT458/AT454</f>
        <v/>
      </c>
      <c r="AU318" s="1560">
        <f>AU458/AU454</f>
        <v/>
      </c>
      <c r="AV318" s="1560">
        <f>AV458/AV454</f>
        <v/>
      </c>
      <c r="AW318" s="1560">
        <f>AW458/AW454</f>
        <v/>
      </c>
      <c r="AX318" s="1560">
        <f>AX458/AX454</f>
        <v/>
      </c>
      <c r="AY318" s="1561">
        <f>AY458/AY454</f>
        <v/>
      </c>
      <c r="AZ318" s="1560">
        <f>AZ458/AZ454</f>
        <v/>
      </c>
      <c r="BA318" s="1560">
        <f>BA458/BA454</f>
        <v/>
      </c>
      <c r="BB318" s="1560">
        <f>BB458/BB454</f>
        <v/>
      </c>
      <c r="BC318" s="1560">
        <f>BC458/BC454</f>
        <v/>
      </c>
      <c r="BD318" s="1561">
        <f>BD458/BD454</f>
        <v/>
      </c>
      <c r="BE318" s="1560">
        <f>BE458/BE454</f>
        <v/>
      </c>
      <c r="BF318" s="1560">
        <f>BF458/BF454</f>
        <v/>
      </c>
      <c r="BG318" s="1560">
        <f>BG458/BG454</f>
        <v/>
      </c>
      <c r="BH318" s="1560">
        <f>BH458/BH454</f>
        <v/>
      </c>
      <c r="BI318" s="1561">
        <f>BI458/BI454</f>
        <v/>
      </c>
      <c r="BJ318" s="1560">
        <f>BJ458/BJ454</f>
        <v/>
      </c>
      <c r="BK318" s="1560">
        <f>BK458/BK454</f>
        <v/>
      </c>
      <c r="BL318" s="1560">
        <f>BL458/BL454</f>
        <v/>
      </c>
      <c r="BM318" s="1560">
        <f>BM458/BM454</f>
        <v/>
      </c>
      <c r="BN318" s="1561">
        <f>BN458/BN454</f>
        <v/>
      </c>
      <c r="BO318" s="1560">
        <f>BO458/BO454</f>
        <v/>
      </c>
      <c r="BP318" s="1560">
        <f>BP458/BP454</f>
        <v/>
      </c>
      <c r="BQ318" s="1562">
        <f>BQ458/BQ454</f>
        <v/>
      </c>
      <c r="BR318" s="1560">
        <f>BR458/BR454</f>
        <v/>
      </c>
      <c r="BS318" s="1561">
        <f>BS458/BS454</f>
        <v/>
      </c>
      <c r="BT318" s="1560">
        <f>BT458/BT454</f>
        <v/>
      </c>
      <c r="BU318" s="1560">
        <f>BU458/BU454</f>
        <v/>
      </c>
      <c r="BV318" s="1560">
        <f>BV458/BV454</f>
        <v/>
      </c>
      <c r="BW318" s="1560">
        <f>BW458/BW454</f>
        <v/>
      </c>
      <c r="BX318" s="1561">
        <f>BX458/BX454</f>
        <v/>
      </c>
      <c r="BY318" s="1561">
        <f>BY458/BY454</f>
        <v/>
      </c>
      <c r="BZ318" s="1561">
        <f>BZ458/BZ454</f>
        <v/>
      </c>
      <c r="CA318" s="1561">
        <f>CA458/CA454</f>
        <v/>
      </c>
      <c r="CB318" s="1465" t="n"/>
    </row>
    <row r="319" hidden="1" outlineLevel="2" ht="14.4" customFormat="1" customHeight="1" s="1460">
      <c r="A319" s="1563" t="inlineStr">
        <is>
          <t>GAAP Gross Margin, %</t>
        </is>
      </c>
      <c r="B319" s="1564" t="n"/>
      <c r="C319" s="1565">
        <f>1-C318</f>
        <v/>
      </c>
      <c r="D319" s="1565">
        <f>1-D318</f>
        <v/>
      </c>
      <c r="E319" s="1565">
        <f>1-E318</f>
        <v/>
      </c>
      <c r="F319" s="1565">
        <f>1-F318</f>
        <v/>
      </c>
      <c r="G319" s="1566">
        <f>1-G318</f>
        <v/>
      </c>
      <c r="H319" s="1566">
        <f>1-H318</f>
        <v/>
      </c>
      <c r="I319" s="1566">
        <f>1-I318</f>
        <v/>
      </c>
      <c r="J319" s="1566">
        <f>1-J318</f>
        <v/>
      </c>
      <c r="K319" s="1565">
        <f>1-K318</f>
        <v/>
      </c>
      <c r="L319" s="1566">
        <f>1-L318</f>
        <v/>
      </c>
      <c r="M319" s="1566">
        <f>1-M318</f>
        <v/>
      </c>
      <c r="N319" s="1566">
        <f>1-N318</f>
        <v/>
      </c>
      <c r="O319" s="1566">
        <f>1-O318</f>
        <v/>
      </c>
      <c r="P319" s="1565">
        <f>1-P318</f>
        <v/>
      </c>
      <c r="Q319" s="1566">
        <f>1-Q318</f>
        <v/>
      </c>
      <c r="R319" s="1566">
        <f>1-R318</f>
        <v/>
      </c>
      <c r="S319" s="1566">
        <f>1-S318</f>
        <v/>
      </c>
      <c r="T319" s="1566">
        <f>1-T318</f>
        <v/>
      </c>
      <c r="U319" s="1565">
        <f>1-U318</f>
        <v/>
      </c>
      <c r="V319" s="1566">
        <f>1-V318</f>
        <v/>
      </c>
      <c r="W319" s="1566">
        <f>1-W318</f>
        <v/>
      </c>
      <c r="X319" s="1566">
        <f>1-X318</f>
        <v/>
      </c>
      <c r="Y319" s="1566">
        <f>1-Y318</f>
        <v/>
      </c>
      <c r="Z319" s="1532">
        <f>1-Z318</f>
        <v/>
      </c>
      <c r="AA319" s="1566">
        <f>1-AA318</f>
        <v/>
      </c>
      <c r="AB319" s="1566">
        <f>1-AB318</f>
        <v/>
      </c>
      <c r="AC319" s="1566">
        <f>1-AC318</f>
        <v/>
      </c>
      <c r="AD319" s="1566">
        <f>1-AD318</f>
        <v/>
      </c>
      <c r="AE319" s="1532">
        <f>1-AE318</f>
        <v/>
      </c>
      <c r="AF319" s="1566">
        <f>1-AF318</f>
        <v/>
      </c>
      <c r="AG319" s="1566">
        <f>1-AG318</f>
        <v/>
      </c>
      <c r="AH319" s="1566">
        <f>1-AH318</f>
        <v/>
      </c>
      <c r="AI319" s="1566">
        <f>1-AI318</f>
        <v/>
      </c>
      <c r="AJ319" s="1532">
        <f>1-AJ318</f>
        <v/>
      </c>
      <c r="AK319" s="1566">
        <f>1-AK318</f>
        <v/>
      </c>
      <c r="AL319" s="1566">
        <f>1-AL318</f>
        <v/>
      </c>
      <c r="AM319" s="1566">
        <f>1-AM318</f>
        <v/>
      </c>
      <c r="AN319" s="1566">
        <f>1-AN318</f>
        <v/>
      </c>
      <c r="AO319" s="1532">
        <f>1-AO318</f>
        <v/>
      </c>
      <c r="AP319" s="1566">
        <f>1-AP318</f>
        <v/>
      </c>
      <c r="AQ319" s="1566">
        <f>1-AQ318</f>
        <v/>
      </c>
      <c r="AR319" s="1566">
        <f>1-AR318</f>
        <v/>
      </c>
      <c r="AS319" s="1566">
        <f>1-AS318</f>
        <v/>
      </c>
      <c r="AT319" s="1532">
        <f>1-AT318</f>
        <v/>
      </c>
      <c r="AU319" s="1566">
        <f>1-AU318</f>
        <v/>
      </c>
      <c r="AV319" s="1566">
        <f>1-AV318</f>
        <v/>
      </c>
      <c r="AW319" s="1566">
        <f>1-AW318</f>
        <v/>
      </c>
      <c r="AX319" s="1566">
        <f>1-AX318</f>
        <v/>
      </c>
      <c r="AY319" s="1532">
        <f>1-AY318</f>
        <v/>
      </c>
      <c r="AZ319" s="1566">
        <f>1-AZ318</f>
        <v/>
      </c>
      <c r="BA319" s="1566">
        <f>1-BA318</f>
        <v/>
      </c>
      <c r="BB319" s="1566">
        <f>1-BB318</f>
        <v/>
      </c>
      <c r="BC319" s="1566">
        <f>1-BC318</f>
        <v/>
      </c>
      <c r="BD319" s="1532">
        <f>1-BD318</f>
        <v/>
      </c>
      <c r="BE319" s="1566">
        <f>1-BE318</f>
        <v/>
      </c>
      <c r="BF319" s="1566">
        <f>1-BF318</f>
        <v/>
      </c>
      <c r="BG319" s="1566">
        <f>1-BG318</f>
        <v/>
      </c>
      <c r="BH319" s="1566">
        <f>1-BH318</f>
        <v/>
      </c>
      <c r="BI319" s="1532">
        <f>1-BI318</f>
        <v/>
      </c>
      <c r="BJ319" s="1566">
        <f>1-BJ318</f>
        <v/>
      </c>
      <c r="BK319" s="1566">
        <f>1-BK318</f>
        <v/>
      </c>
      <c r="BL319" s="1566">
        <f>1-BL318</f>
        <v/>
      </c>
      <c r="BM319" s="1566">
        <f>1-BM318</f>
        <v/>
      </c>
      <c r="BN319" s="1532">
        <f>1-BN318</f>
        <v/>
      </c>
      <c r="BO319" s="1566">
        <f>1-BO318</f>
        <v/>
      </c>
      <c r="BP319" s="1566">
        <f>1-BP318</f>
        <v/>
      </c>
      <c r="BQ319" s="1567">
        <f>1-BQ318</f>
        <v/>
      </c>
      <c r="BR319" s="1566">
        <f>1-BR318</f>
        <v/>
      </c>
      <c r="BS319" s="1532">
        <f>1-BS318</f>
        <v/>
      </c>
      <c r="BT319" s="1566">
        <f>1-BT318</f>
        <v/>
      </c>
      <c r="BU319" s="1566">
        <f>1-BU318</f>
        <v/>
      </c>
      <c r="BV319" s="1566">
        <f>1-BV318</f>
        <v/>
      </c>
      <c r="BW319" s="1566">
        <f>1-BW318</f>
        <v/>
      </c>
      <c r="BX319" s="1532">
        <f>1-BX318</f>
        <v/>
      </c>
      <c r="BY319" s="1532">
        <f>1-BY318</f>
        <v/>
      </c>
      <c r="BZ319" s="1532">
        <f>1-BZ318</f>
        <v/>
      </c>
      <c r="CA319" s="1532">
        <f>1-CA318</f>
        <v/>
      </c>
      <c r="CB319" s="1465" t="n"/>
    </row>
    <row r="320" hidden="1" outlineLevel="2" ht="7.5" customFormat="1" customHeight="1" s="1460">
      <c r="A320" s="1563" t="n"/>
      <c r="B320" s="1564" t="n"/>
      <c r="C320" s="1565" t="n"/>
      <c r="D320" s="1565" t="n"/>
      <c r="E320" s="1565" t="n"/>
      <c r="F320" s="1565" t="n"/>
      <c r="G320" s="1566" t="n"/>
      <c r="H320" s="1566" t="n"/>
      <c r="I320" s="1566" t="n"/>
      <c r="J320" s="1566" t="n"/>
      <c r="K320" s="1565" t="n"/>
      <c r="L320" s="1566" t="n"/>
      <c r="M320" s="1566" t="n"/>
      <c r="N320" s="1566" t="n"/>
      <c r="O320" s="1566" t="n"/>
      <c r="P320" s="1565" t="n"/>
      <c r="Q320" s="1566" t="n"/>
      <c r="R320" s="1566" t="n"/>
      <c r="S320" s="1566" t="n"/>
      <c r="T320" s="1566" t="n"/>
      <c r="U320" s="1565" t="n"/>
      <c r="V320" s="1566" t="n"/>
      <c r="W320" s="1566" t="n"/>
      <c r="X320" s="1566" t="n"/>
      <c r="Y320" s="1566" t="n"/>
      <c r="Z320" s="1532" t="n"/>
      <c r="AA320" s="1566" t="n"/>
      <c r="AB320" s="1566" t="n"/>
      <c r="AC320" s="1566" t="n"/>
      <c r="AD320" s="1566" t="n"/>
      <c r="AE320" s="1532" t="n"/>
      <c r="AF320" s="1566" t="n"/>
      <c r="AG320" s="1566" t="n"/>
      <c r="AH320" s="1566" t="n"/>
      <c r="AI320" s="1566" t="n"/>
      <c r="AJ320" s="1532" t="n"/>
      <c r="AK320" s="1566" t="n"/>
      <c r="AL320" s="1566" t="n"/>
      <c r="AM320" s="1566" t="n"/>
      <c r="AN320" s="1566" t="n"/>
      <c r="AO320" s="1532" t="n"/>
      <c r="AP320" s="1566" t="n"/>
      <c r="AQ320" s="1566" t="n"/>
      <c r="AR320" s="1566" t="n"/>
      <c r="AS320" s="1566" t="n"/>
      <c r="AT320" s="1532" t="n"/>
      <c r="AU320" s="1566" t="n"/>
      <c r="AV320" s="1566" t="n"/>
      <c r="AW320" s="1566" t="n"/>
      <c r="AX320" s="1566" t="n"/>
      <c r="AY320" s="1532" t="n"/>
      <c r="AZ320" s="1566" t="n"/>
      <c r="BA320" s="1566" t="n"/>
      <c r="BB320" s="1566" t="n"/>
      <c r="BC320" s="1566" t="n"/>
      <c r="BD320" s="1532" t="n"/>
      <c r="BE320" s="1566" t="n"/>
      <c r="BF320" s="1566" t="n"/>
      <c r="BG320" s="1566" t="n"/>
      <c r="BH320" s="1566" t="n"/>
      <c r="BI320" s="1532" t="n"/>
      <c r="BJ320" s="1566" t="n"/>
      <c r="BK320" s="1566" t="n"/>
      <c r="BL320" s="1566" t="n"/>
      <c r="BM320" s="1566" t="n"/>
      <c r="BN320" s="1532" t="n"/>
      <c r="BO320" s="1566" t="n"/>
      <c r="BP320" s="1566" t="n"/>
      <c r="BQ320" s="1567" t="n"/>
      <c r="BR320" s="1566" t="n"/>
      <c r="BS320" s="1532" t="n"/>
      <c r="BT320" s="1566" t="n"/>
      <c r="BU320" s="1566" t="n"/>
      <c r="BV320" s="1566" t="n"/>
      <c r="BW320" s="1566" t="n"/>
      <c r="BX320" s="1532" t="n"/>
      <c r="BY320" s="1532" t="n"/>
      <c r="BZ320" s="1532" t="n"/>
      <c r="CA320" s="1532" t="n"/>
      <c r="CB320" s="1465" t="n"/>
    </row>
    <row r="321" hidden="1" outlineLevel="2" ht="14.4" customFormat="1" customHeight="1" s="1460">
      <c r="A321" s="1563" t="inlineStr">
        <is>
          <t>GAAP R&amp;D Margin, %</t>
        </is>
      </c>
      <c r="B321" s="1564" t="n"/>
      <c r="C321" s="1565">
        <f>C464/C454</f>
        <v/>
      </c>
      <c r="D321" s="1565">
        <f>D464/D454</f>
        <v/>
      </c>
      <c r="E321" s="1565">
        <f>E464/E454</f>
        <v/>
      </c>
      <c r="F321" s="1565">
        <f>F464/F454</f>
        <v/>
      </c>
      <c r="G321" s="1566">
        <f>G464/G454</f>
        <v/>
      </c>
      <c r="H321" s="1566">
        <f>H464/H454</f>
        <v/>
      </c>
      <c r="I321" s="1566">
        <f>I464/I454</f>
        <v/>
      </c>
      <c r="J321" s="1566">
        <f>J464/J454</f>
        <v/>
      </c>
      <c r="K321" s="1565">
        <f>K464/K454</f>
        <v/>
      </c>
      <c r="L321" s="1566">
        <f>L464/L454</f>
        <v/>
      </c>
      <c r="M321" s="1566">
        <f>M464/M454</f>
        <v/>
      </c>
      <c r="N321" s="1566">
        <f>N464/N454</f>
        <v/>
      </c>
      <c r="O321" s="1566">
        <f>O464/O454</f>
        <v/>
      </c>
      <c r="P321" s="1565">
        <f>P464/P454</f>
        <v/>
      </c>
      <c r="Q321" s="1566">
        <f>Q464/Q454</f>
        <v/>
      </c>
      <c r="R321" s="1566">
        <f>R464/R454</f>
        <v/>
      </c>
      <c r="S321" s="1566">
        <f>S464/S454</f>
        <v/>
      </c>
      <c r="T321" s="1566">
        <f>T464/T454</f>
        <v/>
      </c>
      <c r="U321" s="1565">
        <f>U464/U454</f>
        <v/>
      </c>
      <c r="V321" s="1566">
        <f>V464/V454</f>
        <v/>
      </c>
      <c r="W321" s="1566">
        <f>W464/W454</f>
        <v/>
      </c>
      <c r="X321" s="1566">
        <f>X464/X454</f>
        <v/>
      </c>
      <c r="Y321" s="1566">
        <f>Y464/Y454</f>
        <v/>
      </c>
      <c r="Z321" s="1532">
        <f>Z464/Z454</f>
        <v/>
      </c>
      <c r="AA321" s="1566">
        <f>AA464/AA454</f>
        <v/>
      </c>
      <c r="AB321" s="1566">
        <f>AB464/AB454</f>
        <v/>
      </c>
      <c r="AC321" s="1566">
        <f>AC464/AC454</f>
        <v/>
      </c>
      <c r="AD321" s="1566">
        <f>AD464/AD454</f>
        <v/>
      </c>
      <c r="AE321" s="1532">
        <f>AE464/AE454</f>
        <v/>
      </c>
      <c r="AF321" s="1566">
        <f>AF464/AF454</f>
        <v/>
      </c>
      <c r="AG321" s="1566">
        <f>AG464/AG454</f>
        <v/>
      </c>
      <c r="AH321" s="1566">
        <f>AH464/AH454</f>
        <v/>
      </c>
      <c r="AI321" s="1566">
        <f>AI464/AI454</f>
        <v/>
      </c>
      <c r="AJ321" s="1532">
        <f>AJ464/AJ454</f>
        <v/>
      </c>
      <c r="AK321" s="1566">
        <f>AK464/AK454</f>
        <v/>
      </c>
      <c r="AL321" s="1566">
        <f>AL464/AL454</f>
        <v/>
      </c>
      <c r="AM321" s="1566">
        <f>AM464/AM454</f>
        <v/>
      </c>
      <c r="AN321" s="1566">
        <f>AN464/AN454</f>
        <v/>
      </c>
      <c r="AO321" s="1532">
        <f>AO464/AO454</f>
        <v/>
      </c>
      <c r="AP321" s="1566">
        <f>AP464/AP454</f>
        <v/>
      </c>
      <c r="AQ321" s="1566">
        <f>AQ464/AQ454</f>
        <v/>
      </c>
      <c r="AR321" s="1566">
        <f>AR464/AR454</f>
        <v/>
      </c>
      <c r="AS321" s="1566">
        <f>AS464/AS454</f>
        <v/>
      </c>
      <c r="AT321" s="1532">
        <f>AT464/AT454</f>
        <v/>
      </c>
      <c r="AU321" s="1566">
        <f>AU464/AU454</f>
        <v/>
      </c>
      <c r="AV321" s="1566">
        <f>AV464/AV454</f>
        <v/>
      </c>
      <c r="AW321" s="1566">
        <f>AW464/AW454</f>
        <v/>
      </c>
      <c r="AX321" s="1566">
        <f>AX464/AX454</f>
        <v/>
      </c>
      <c r="AY321" s="1532">
        <f>AY464/AY454</f>
        <v/>
      </c>
      <c r="AZ321" s="1566">
        <f>AZ464/AZ454</f>
        <v/>
      </c>
      <c r="BA321" s="1566">
        <f>BA464/BA454</f>
        <v/>
      </c>
      <c r="BB321" s="1566">
        <f>BB464/BB454</f>
        <v/>
      </c>
      <c r="BC321" s="1566">
        <f>BC464/BC454</f>
        <v/>
      </c>
      <c r="BD321" s="1532">
        <f>BD464/BD454</f>
        <v/>
      </c>
      <c r="BE321" s="1566">
        <f>BE464/BE454</f>
        <v/>
      </c>
      <c r="BF321" s="1566">
        <f>BF464/BF454</f>
        <v/>
      </c>
      <c r="BG321" s="1566">
        <f>BG464/BG454</f>
        <v/>
      </c>
      <c r="BH321" s="1566">
        <f>BH464/BH454</f>
        <v/>
      </c>
      <c r="BI321" s="1532">
        <f>BI464/BI454</f>
        <v/>
      </c>
      <c r="BJ321" s="1566">
        <f>BJ464/BJ454</f>
        <v/>
      </c>
      <c r="BK321" s="1566">
        <f>BK464/BK454</f>
        <v/>
      </c>
      <c r="BL321" s="1566">
        <f>BL464/BL454</f>
        <v/>
      </c>
      <c r="BM321" s="1566">
        <f>BM464/BM454</f>
        <v/>
      </c>
      <c r="BN321" s="1532">
        <f>BN464/BN454</f>
        <v/>
      </c>
      <c r="BO321" s="1566">
        <f>BO464/BO454</f>
        <v/>
      </c>
      <c r="BP321" s="1566">
        <f>BP464/BP454</f>
        <v/>
      </c>
      <c r="BQ321" s="1567">
        <f>BQ464/BQ454</f>
        <v/>
      </c>
      <c r="BR321" s="1566">
        <f>BR464/BR454</f>
        <v/>
      </c>
      <c r="BS321" s="1532">
        <f>BS464/BS454</f>
        <v/>
      </c>
      <c r="BT321" s="1566">
        <f>BT464/BT454</f>
        <v/>
      </c>
      <c r="BU321" s="1566">
        <f>BU464/BU454</f>
        <v/>
      </c>
      <c r="BV321" s="1566">
        <f>BV464/BV454</f>
        <v/>
      </c>
      <c r="BW321" s="1566">
        <f>BW464/BW454</f>
        <v/>
      </c>
      <c r="BX321" s="1532">
        <f>BX464/BX454</f>
        <v/>
      </c>
      <c r="BY321" s="1532">
        <f>BY464/BY454</f>
        <v/>
      </c>
      <c r="BZ321" s="1532">
        <f>BZ464/BZ454</f>
        <v/>
      </c>
      <c r="CA321" s="1532">
        <f>CA464/CA454</f>
        <v/>
      </c>
      <c r="CB321" s="1465" t="n"/>
    </row>
    <row r="322" hidden="1" outlineLevel="2" ht="14.4" customFormat="1" customHeight="1" s="1460">
      <c r="A322" s="1563" t="inlineStr">
        <is>
          <t>GAAP G&amp;A Margin, %</t>
        </is>
      </c>
      <c r="B322" s="1564" t="n"/>
      <c r="C322" s="1565">
        <f>C468/C454</f>
        <v/>
      </c>
      <c r="D322" s="1565">
        <f>D468/D454</f>
        <v/>
      </c>
      <c r="E322" s="1565">
        <f>E468/E454</f>
        <v/>
      </c>
      <c r="F322" s="1565">
        <f>F468/F454</f>
        <v/>
      </c>
      <c r="G322" s="1566">
        <f>G468/G454</f>
        <v/>
      </c>
      <c r="H322" s="1566">
        <f>H468/H454</f>
        <v/>
      </c>
      <c r="I322" s="1566">
        <f>I468/I454</f>
        <v/>
      </c>
      <c r="J322" s="1566">
        <f>J468/J454</f>
        <v/>
      </c>
      <c r="K322" s="1565">
        <f>K468/K454</f>
        <v/>
      </c>
      <c r="L322" s="1566">
        <f>L468/L454</f>
        <v/>
      </c>
      <c r="M322" s="1566">
        <f>M468/M454</f>
        <v/>
      </c>
      <c r="N322" s="1566">
        <f>N468/N454</f>
        <v/>
      </c>
      <c r="O322" s="1566">
        <f>O468/O454</f>
        <v/>
      </c>
      <c r="P322" s="1565">
        <f>P468/P454</f>
        <v/>
      </c>
      <c r="Q322" s="1566">
        <f>Q468/Q454</f>
        <v/>
      </c>
      <c r="R322" s="1566">
        <f>R468/R454</f>
        <v/>
      </c>
      <c r="S322" s="1566">
        <f>S468/S454</f>
        <v/>
      </c>
      <c r="T322" s="1566">
        <f>T468/T454</f>
        <v/>
      </c>
      <c r="U322" s="1565">
        <f>U468/U454</f>
        <v/>
      </c>
      <c r="V322" s="1566">
        <f>V468/V454</f>
        <v/>
      </c>
      <c r="W322" s="1566">
        <f>W468/W454</f>
        <v/>
      </c>
      <c r="X322" s="1566">
        <f>X468/X454</f>
        <v/>
      </c>
      <c r="Y322" s="1566">
        <f>Y468/Y454</f>
        <v/>
      </c>
      <c r="Z322" s="1532">
        <f>Z468/Z454</f>
        <v/>
      </c>
      <c r="AA322" s="1566">
        <f>AA468/AA454</f>
        <v/>
      </c>
      <c r="AB322" s="1566">
        <f>AB468/AB454</f>
        <v/>
      </c>
      <c r="AC322" s="1566">
        <f>AC468/AC454</f>
        <v/>
      </c>
      <c r="AD322" s="1566">
        <f>AD468/AD454</f>
        <v/>
      </c>
      <c r="AE322" s="1532">
        <f>AE468/AE454</f>
        <v/>
      </c>
      <c r="AF322" s="1566">
        <f>AF468/AF454</f>
        <v/>
      </c>
      <c r="AG322" s="1566">
        <f>AG468/AG454</f>
        <v/>
      </c>
      <c r="AH322" s="1566">
        <f>AH468/AH454</f>
        <v/>
      </c>
      <c r="AI322" s="1566">
        <f>AI468/AI454</f>
        <v/>
      </c>
      <c r="AJ322" s="1532">
        <f>AJ468/AJ454</f>
        <v/>
      </c>
      <c r="AK322" s="1566">
        <f>AK468/AK454</f>
        <v/>
      </c>
      <c r="AL322" s="1566">
        <f>AL468/AL454</f>
        <v/>
      </c>
      <c r="AM322" s="1566">
        <f>AM468/AM454</f>
        <v/>
      </c>
      <c r="AN322" s="1566">
        <f>AN468/AN454</f>
        <v/>
      </c>
      <c r="AO322" s="1532">
        <f>AO468/AO454</f>
        <v/>
      </c>
      <c r="AP322" s="1566">
        <f>AP468/AP454</f>
        <v/>
      </c>
      <c r="AQ322" s="1566">
        <f>AQ468/AQ454</f>
        <v/>
      </c>
      <c r="AR322" s="1566">
        <f>AR468/AR454</f>
        <v/>
      </c>
      <c r="AS322" s="1566">
        <f>AS468/AS454</f>
        <v/>
      </c>
      <c r="AT322" s="1532">
        <f>AT468/AT454</f>
        <v/>
      </c>
      <c r="AU322" s="1566">
        <f>AU468/AU454</f>
        <v/>
      </c>
      <c r="AV322" s="1566">
        <f>AV468/AV454</f>
        <v/>
      </c>
      <c r="AW322" s="1566">
        <f>AW468/AW454</f>
        <v/>
      </c>
      <c r="AX322" s="1566">
        <f>AX468/AX454</f>
        <v/>
      </c>
      <c r="AY322" s="1532">
        <f>AY468/AY454</f>
        <v/>
      </c>
      <c r="AZ322" s="1566">
        <f>AZ468/AZ454</f>
        <v/>
      </c>
      <c r="BA322" s="1566">
        <f>BA468/BA454</f>
        <v/>
      </c>
      <c r="BB322" s="1566">
        <f>BB468/BB454</f>
        <v/>
      </c>
      <c r="BC322" s="1566">
        <f>BC468/BC454</f>
        <v/>
      </c>
      <c r="BD322" s="1532">
        <f>BD468/BD454</f>
        <v/>
      </c>
      <c r="BE322" s="1566">
        <f>BE468/BE454</f>
        <v/>
      </c>
      <c r="BF322" s="1566">
        <f>BF468/BF454</f>
        <v/>
      </c>
      <c r="BG322" s="1566">
        <f>BG468/BG454</f>
        <v/>
      </c>
      <c r="BH322" s="1566">
        <f>BH468/BH454</f>
        <v/>
      </c>
      <c r="BI322" s="1532">
        <f>BI468/BI454</f>
        <v/>
      </c>
      <c r="BJ322" s="1566">
        <f>BJ468/BJ454</f>
        <v/>
      </c>
      <c r="BK322" s="1566">
        <f>BK468/BK454</f>
        <v/>
      </c>
      <c r="BL322" s="1566">
        <f>BL468/BL454</f>
        <v/>
      </c>
      <c r="BM322" s="1566">
        <f>BM468/BM454</f>
        <v/>
      </c>
      <c r="BN322" s="1532">
        <f>BN468/BN454</f>
        <v/>
      </c>
      <c r="BO322" s="1566">
        <f>BO468/BO454</f>
        <v/>
      </c>
      <c r="BP322" s="1566">
        <f>BP468/BP454</f>
        <v/>
      </c>
      <c r="BQ322" s="1567">
        <f>BQ468/BQ454</f>
        <v/>
      </c>
      <c r="BR322" s="1566">
        <f>BR468/BR454</f>
        <v/>
      </c>
      <c r="BS322" s="1532">
        <f>BS468/BS454</f>
        <v/>
      </c>
      <c r="BT322" s="1566">
        <f>BT468/BT454</f>
        <v/>
      </c>
      <c r="BU322" s="1566">
        <f>BU468/BU454</f>
        <v/>
      </c>
      <c r="BV322" s="1566">
        <f>BV468/BV454</f>
        <v/>
      </c>
      <c r="BW322" s="1566">
        <f>BW468/BW454</f>
        <v/>
      </c>
      <c r="BX322" s="1532">
        <f>BX468/BX454</f>
        <v/>
      </c>
      <c r="BY322" s="1532">
        <f>BY468/BY454</f>
        <v/>
      </c>
      <c r="BZ322" s="1532">
        <f>BZ468/BZ454</f>
        <v/>
      </c>
      <c r="CA322" s="1532">
        <f>CA468/CA454</f>
        <v/>
      </c>
      <c r="CB322" s="1465" t="n"/>
    </row>
    <row r="323" hidden="1" outlineLevel="2" ht="14.4" customFormat="1" customHeight="1" s="1460">
      <c r="A323" s="1568" t="inlineStr">
        <is>
          <t>GAAP S&amp;M Margin, %</t>
        </is>
      </c>
      <c r="B323" s="1558" t="n"/>
      <c r="C323" s="1559">
        <f>C472/C454</f>
        <v/>
      </c>
      <c r="D323" s="1559">
        <f>D472/D454</f>
        <v/>
      </c>
      <c r="E323" s="1559">
        <f>E472/E454</f>
        <v/>
      </c>
      <c r="F323" s="1559">
        <f>F472/F454</f>
        <v/>
      </c>
      <c r="G323" s="1560">
        <f>G472/G454</f>
        <v/>
      </c>
      <c r="H323" s="1560">
        <f>H472/H454</f>
        <v/>
      </c>
      <c r="I323" s="1560">
        <f>I472/I454</f>
        <v/>
      </c>
      <c r="J323" s="1560">
        <f>J472/J454</f>
        <v/>
      </c>
      <c r="K323" s="1559">
        <f>K472/K454</f>
        <v/>
      </c>
      <c r="L323" s="1560">
        <f>L472/L454</f>
        <v/>
      </c>
      <c r="M323" s="1560">
        <f>M472/M454</f>
        <v/>
      </c>
      <c r="N323" s="1560">
        <f>N472/N454</f>
        <v/>
      </c>
      <c r="O323" s="1560">
        <f>O472/O454</f>
        <v/>
      </c>
      <c r="P323" s="1559">
        <f>P472/P454</f>
        <v/>
      </c>
      <c r="Q323" s="1560">
        <f>Q472/Q454</f>
        <v/>
      </c>
      <c r="R323" s="1560">
        <f>R472/R454</f>
        <v/>
      </c>
      <c r="S323" s="1560">
        <f>S472/S454</f>
        <v/>
      </c>
      <c r="T323" s="1560">
        <f>T472/T454</f>
        <v/>
      </c>
      <c r="U323" s="1559">
        <f>U472/U454</f>
        <v/>
      </c>
      <c r="V323" s="1560">
        <f>V472/V454</f>
        <v/>
      </c>
      <c r="W323" s="1560">
        <f>W472/W454</f>
        <v/>
      </c>
      <c r="X323" s="1560">
        <f>X472/X454</f>
        <v/>
      </c>
      <c r="Y323" s="1560">
        <f>Y472/Y454</f>
        <v/>
      </c>
      <c r="Z323" s="1561">
        <f>Z472/Z454</f>
        <v/>
      </c>
      <c r="AA323" s="1560">
        <f>AA472/AA454</f>
        <v/>
      </c>
      <c r="AB323" s="1560">
        <f>AB472/AB454</f>
        <v/>
      </c>
      <c r="AC323" s="1560">
        <f>AC472/AC454</f>
        <v/>
      </c>
      <c r="AD323" s="1560">
        <f>AD472/AD454</f>
        <v/>
      </c>
      <c r="AE323" s="1561">
        <f>AE472/AE454</f>
        <v/>
      </c>
      <c r="AF323" s="1560">
        <f>AF472/AF454</f>
        <v/>
      </c>
      <c r="AG323" s="1560">
        <f>AG472/AG454</f>
        <v/>
      </c>
      <c r="AH323" s="1560">
        <f>AH472/AH454</f>
        <v/>
      </c>
      <c r="AI323" s="1560">
        <f>AI472/AI454</f>
        <v/>
      </c>
      <c r="AJ323" s="1561">
        <f>AJ472/AJ454</f>
        <v/>
      </c>
      <c r="AK323" s="1560">
        <f>AK472/AK454</f>
        <v/>
      </c>
      <c r="AL323" s="1560">
        <f>AL472/AL454</f>
        <v/>
      </c>
      <c r="AM323" s="1560">
        <f>AM472/AM454</f>
        <v/>
      </c>
      <c r="AN323" s="1560">
        <f>AN472/AN454</f>
        <v/>
      </c>
      <c r="AO323" s="1561">
        <f>AO472/AO454</f>
        <v/>
      </c>
      <c r="AP323" s="1560">
        <f>AP472/AP454</f>
        <v/>
      </c>
      <c r="AQ323" s="1560">
        <f>AQ472/AQ454</f>
        <v/>
      </c>
      <c r="AR323" s="1560">
        <f>AR472/AR454</f>
        <v/>
      </c>
      <c r="AS323" s="1560">
        <f>AS472/AS454</f>
        <v/>
      </c>
      <c r="AT323" s="1561">
        <f>AT472/AT454</f>
        <v/>
      </c>
      <c r="AU323" s="1560">
        <f>AU472/AU454</f>
        <v/>
      </c>
      <c r="AV323" s="1560">
        <f>AV472/AV454</f>
        <v/>
      </c>
      <c r="AW323" s="1560">
        <f>AW472/AW454</f>
        <v/>
      </c>
      <c r="AX323" s="1560">
        <f>AX472/AX454</f>
        <v/>
      </c>
      <c r="AY323" s="1561">
        <f>AY472/AY454</f>
        <v/>
      </c>
      <c r="AZ323" s="1560">
        <f>AZ472/AZ454</f>
        <v/>
      </c>
      <c r="BA323" s="1560">
        <f>BA472/BA454</f>
        <v/>
      </c>
      <c r="BB323" s="1560">
        <f>BB472/BB454</f>
        <v/>
      </c>
      <c r="BC323" s="1560">
        <f>BC472/BC454</f>
        <v/>
      </c>
      <c r="BD323" s="1561">
        <f>BD472/BD454</f>
        <v/>
      </c>
      <c r="BE323" s="1560">
        <f>BE472/BE454</f>
        <v/>
      </c>
      <c r="BF323" s="1560">
        <f>BF472/BF454</f>
        <v/>
      </c>
      <c r="BG323" s="1560">
        <f>BG472/BG454</f>
        <v/>
      </c>
      <c r="BH323" s="1560">
        <f>BH472/BH454</f>
        <v/>
      </c>
      <c r="BI323" s="1561">
        <f>BI472/BI454</f>
        <v/>
      </c>
      <c r="BJ323" s="1560">
        <f>BJ472/BJ454</f>
        <v/>
      </c>
      <c r="BK323" s="1560">
        <f>BK472/BK454</f>
        <v/>
      </c>
      <c r="BL323" s="1560">
        <f>BL472/BL454</f>
        <v/>
      </c>
      <c r="BM323" s="1560">
        <f>BM472/BM454</f>
        <v/>
      </c>
      <c r="BN323" s="1561">
        <f>BN472/BN454</f>
        <v/>
      </c>
      <c r="BO323" s="1560">
        <f>BO472/BO454</f>
        <v/>
      </c>
      <c r="BP323" s="1560">
        <f>BP472/BP454</f>
        <v/>
      </c>
      <c r="BQ323" s="1562">
        <f>BQ472/BQ454</f>
        <v/>
      </c>
      <c r="BR323" s="1560">
        <f>BR472/BR454</f>
        <v/>
      </c>
      <c r="BS323" s="1561">
        <f>BS472/BS454</f>
        <v/>
      </c>
      <c r="BT323" s="1560">
        <f>BT472/BT454</f>
        <v/>
      </c>
      <c r="BU323" s="1560">
        <f>BU472/BU454</f>
        <v/>
      </c>
      <c r="BV323" s="1560">
        <f>BV472/BV454</f>
        <v/>
      </c>
      <c r="BW323" s="1560">
        <f>BW472/BW454</f>
        <v/>
      </c>
      <c r="BX323" s="1561">
        <f>BX472/BX454</f>
        <v/>
      </c>
      <c r="BY323" s="1561">
        <f>BY472/BY454</f>
        <v/>
      </c>
      <c r="BZ323" s="1561">
        <f>BZ472/BZ454</f>
        <v/>
      </c>
      <c r="CA323" s="1561">
        <f>CA472/CA454</f>
        <v/>
      </c>
      <c r="CB323" s="1465" t="n"/>
    </row>
    <row r="324" hidden="1" outlineLevel="2" ht="14.4" customFormat="1" customHeight="1" s="1460">
      <c r="A324" s="1530" t="inlineStr">
        <is>
          <t>GAAP Operating Income Margin, %</t>
        </is>
      </c>
      <c r="B324" s="1564" t="n"/>
      <c r="C324" s="1565">
        <f>C355/C342</f>
        <v/>
      </c>
      <c r="D324" s="1565">
        <f>D355/D342</f>
        <v/>
      </c>
      <c r="E324" s="1565">
        <f>E355/E342</f>
        <v/>
      </c>
      <c r="F324" s="1565">
        <f>F355/F342</f>
        <v/>
      </c>
      <c r="G324" s="1566">
        <f>G355/G342</f>
        <v/>
      </c>
      <c r="H324" s="1566">
        <f>H355/H342</f>
        <v/>
      </c>
      <c r="I324" s="1566">
        <f>I355/I342</f>
        <v/>
      </c>
      <c r="J324" s="1566">
        <f>J355/J342</f>
        <v/>
      </c>
      <c r="K324" s="1565">
        <f>K355/K342</f>
        <v/>
      </c>
      <c r="L324" s="1566">
        <f>L355/L342</f>
        <v/>
      </c>
      <c r="M324" s="1566">
        <f>M355/M342</f>
        <v/>
      </c>
      <c r="N324" s="1566">
        <f>N355/N342</f>
        <v/>
      </c>
      <c r="O324" s="1566">
        <f>O355/O342</f>
        <v/>
      </c>
      <c r="P324" s="1565">
        <f>P355/P342</f>
        <v/>
      </c>
      <c r="Q324" s="1566">
        <f>Q355/Q342</f>
        <v/>
      </c>
      <c r="R324" s="1566">
        <f>R355/R342</f>
        <v/>
      </c>
      <c r="S324" s="1566">
        <f>S355/S342</f>
        <v/>
      </c>
      <c r="T324" s="1566">
        <f>T355/T342</f>
        <v/>
      </c>
      <c r="U324" s="1565">
        <f>U355/U342</f>
        <v/>
      </c>
      <c r="V324" s="1566">
        <f>V355/V342</f>
        <v/>
      </c>
      <c r="W324" s="1566">
        <f>W355/W342</f>
        <v/>
      </c>
      <c r="X324" s="1566">
        <f>X355/X342</f>
        <v/>
      </c>
      <c r="Y324" s="1566">
        <f>Y355/Y342</f>
        <v/>
      </c>
      <c r="Z324" s="1532">
        <f>Z355/Z342</f>
        <v/>
      </c>
      <c r="AA324" s="1566">
        <f>AA355/AA342</f>
        <v/>
      </c>
      <c r="AB324" s="1566">
        <f>AB355/AB342</f>
        <v/>
      </c>
      <c r="AC324" s="1566">
        <f>AC355/AC342</f>
        <v/>
      </c>
      <c r="AD324" s="1566">
        <f>AD355/AD342</f>
        <v/>
      </c>
      <c r="AE324" s="1532">
        <f>AE355/AE342</f>
        <v/>
      </c>
      <c r="AF324" s="1566">
        <f>AF355/AF342</f>
        <v/>
      </c>
      <c r="AG324" s="1566">
        <f>AG355/AG342</f>
        <v/>
      </c>
      <c r="AH324" s="1566">
        <f>AH355/AH342</f>
        <v/>
      </c>
      <c r="AI324" s="1566">
        <f>AI355/AI342</f>
        <v/>
      </c>
      <c r="AJ324" s="1532">
        <f>AJ355/AJ342</f>
        <v/>
      </c>
      <c r="AK324" s="1566">
        <f>AK355/AK342</f>
        <v/>
      </c>
      <c r="AL324" s="1566">
        <f>AL355/AL342</f>
        <v/>
      </c>
      <c r="AM324" s="1566">
        <f>AM355/AM342</f>
        <v/>
      </c>
      <c r="AN324" s="1566">
        <f>AN355/AN342</f>
        <v/>
      </c>
      <c r="AO324" s="1532">
        <f>AO355/AO342</f>
        <v/>
      </c>
      <c r="AP324" s="1566">
        <f>AP355/AP342</f>
        <v/>
      </c>
      <c r="AQ324" s="1566">
        <f>AQ355/AQ342</f>
        <v/>
      </c>
      <c r="AR324" s="1566">
        <f>AR355/AR342</f>
        <v/>
      </c>
      <c r="AS324" s="1566">
        <f>AS355/AS342</f>
        <v/>
      </c>
      <c r="AT324" s="1532">
        <f>AT355/AT342</f>
        <v/>
      </c>
      <c r="AU324" s="1566">
        <f>AU355/AU342</f>
        <v/>
      </c>
      <c r="AV324" s="1566">
        <f>AV355/AV342</f>
        <v/>
      </c>
      <c r="AW324" s="1566">
        <f>AW355/AW342</f>
        <v/>
      </c>
      <c r="AX324" s="1566">
        <f>AX355/AX342</f>
        <v/>
      </c>
      <c r="AY324" s="1532">
        <f>AY355/AY342</f>
        <v/>
      </c>
      <c r="AZ324" s="1566">
        <f>AZ355/AZ342</f>
        <v/>
      </c>
      <c r="BA324" s="1566">
        <f>BA355/BA342</f>
        <v/>
      </c>
      <c r="BB324" s="1566">
        <f>BB355/BB342</f>
        <v/>
      </c>
      <c r="BC324" s="1566">
        <f>BC355/BC342</f>
        <v/>
      </c>
      <c r="BD324" s="1532">
        <f>BD355/BD342</f>
        <v/>
      </c>
      <c r="BE324" s="1566">
        <f>BE355/BE342</f>
        <v/>
      </c>
      <c r="BF324" s="1566">
        <f>BF355/BF342</f>
        <v/>
      </c>
      <c r="BG324" s="1566">
        <f>BG355/BG342</f>
        <v/>
      </c>
      <c r="BH324" s="1566">
        <f>BH355/BH342</f>
        <v/>
      </c>
      <c r="BI324" s="1532">
        <f>BI355/BI342</f>
        <v/>
      </c>
      <c r="BJ324" s="1566">
        <f>BJ355/BJ342</f>
        <v/>
      </c>
      <c r="BK324" s="1566">
        <f>BK355/BK342</f>
        <v/>
      </c>
      <c r="BL324" s="1566">
        <f>BL355/BL342</f>
        <v/>
      </c>
      <c r="BM324" s="1566">
        <f>BM355/BM342</f>
        <v/>
      </c>
      <c r="BN324" s="1532">
        <f>BN355/BN342</f>
        <v/>
      </c>
      <c r="BO324" s="1566">
        <f>BO355/BO342</f>
        <v/>
      </c>
      <c r="BP324" s="1566">
        <f>BP355/BP342</f>
        <v/>
      </c>
      <c r="BQ324" s="1567">
        <f>BQ355/BQ342</f>
        <v/>
      </c>
      <c r="BR324" s="1566">
        <f>BR95</f>
        <v/>
      </c>
      <c r="BS324" s="1532">
        <f>BS95</f>
        <v/>
      </c>
      <c r="BT324" s="1566">
        <f>BT95</f>
        <v/>
      </c>
      <c r="BU324" s="1566">
        <f>BU95</f>
        <v/>
      </c>
      <c r="BV324" s="1566">
        <f>BV95</f>
        <v/>
      </c>
      <c r="BW324" s="1566">
        <f>BW95</f>
        <v/>
      </c>
      <c r="BX324" s="1532">
        <f>BX95</f>
        <v/>
      </c>
      <c r="BY324" s="1532">
        <f>BY95</f>
        <v/>
      </c>
      <c r="BZ324" s="1532">
        <f>BZ95</f>
        <v/>
      </c>
      <c r="CA324" s="1532">
        <f>CA95</f>
        <v/>
      </c>
      <c r="CB324" s="1465" t="n"/>
    </row>
    <row r="325" hidden="1" outlineLevel="2" ht="14.4" customFormat="1" customHeight="1" s="1460">
      <c r="A325" s="1530" t="n"/>
      <c r="B325" s="1564" t="n"/>
      <c r="C325" s="1565" t="n"/>
      <c r="D325" s="1565" t="n"/>
      <c r="E325" s="1565" t="n"/>
      <c r="F325" s="1565" t="n"/>
      <c r="G325" s="1566" t="n"/>
      <c r="H325" s="1566" t="n"/>
      <c r="I325" s="1566" t="n"/>
      <c r="J325" s="1566" t="n"/>
      <c r="K325" s="1565" t="n"/>
      <c r="L325" s="1566" t="n"/>
      <c r="M325" s="1566" t="n"/>
      <c r="N325" s="1566" t="n"/>
      <c r="O325" s="1566" t="n"/>
      <c r="P325" s="1565" t="n"/>
      <c r="Q325" s="1566" t="n"/>
      <c r="R325" s="1566" t="n"/>
      <c r="S325" s="1566" t="n"/>
      <c r="T325" s="1566" t="n"/>
      <c r="U325" s="1565" t="n"/>
      <c r="V325" s="1566" t="n"/>
      <c r="W325" s="1566" t="n"/>
      <c r="X325" s="1566" t="n"/>
      <c r="Y325" s="1566" t="n"/>
      <c r="Z325" s="1532" t="n"/>
      <c r="AA325" s="1566" t="n"/>
      <c r="AB325" s="1566" t="n"/>
      <c r="AC325" s="1566" t="n"/>
      <c r="AD325" s="1566" t="n"/>
      <c r="AE325" s="1532" t="n"/>
      <c r="AF325" s="1566" t="n"/>
      <c r="AG325" s="1566" t="n"/>
      <c r="AH325" s="1566" t="n"/>
      <c r="AI325" s="1566" t="n"/>
      <c r="AJ325" s="1532" t="n"/>
      <c r="AK325" s="1566" t="n"/>
      <c r="AL325" s="1566" t="n"/>
      <c r="AM325" s="1566" t="n"/>
      <c r="AN325" s="1566" t="n"/>
      <c r="AO325" s="1532" t="n"/>
      <c r="AP325" s="1566" t="n"/>
      <c r="AQ325" s="1566" t="n"/>
      <c r="AR325" s="1566" t="n"/>
      <c r="AS325" s="1566" t="n"/>
      <c r="AT325" s="1532" t="n"/>
      <c r="AU325" s="1566" t="n"/>
      <c r="AV325" s="1566" t="n"/>
      <c r="AW325" s="1566" t="n"/>
      <c r="AX325" s="1566" t="n"/>
      <c r="AY325" s="1532" t="n"/>
      <c r="AZ325" s="1566" t="n"/>
      <c r="BA325" s="1566" t="n"/>
      <c r="BB325" s="1566" t="n"/>
      <c r="BC325" s="1566" t="n"/>
      <c r="BD325" s="1532" t="n"/>
      <c r="BE325" s="1566" t="n"/>
      <c r="BF325" s="1566" t="n"/>
      <c r="BG325" s="1566" t="n"/>
      <c r="BH325" s="1566" t="n"/>
      <c r="BI325" s="1532" t="n"/>
      <c r="BJ325" s="1566" t="n"/>
      <c r="BK325" s="1566" t="n"/>
      <c r="BL325" s="1566" t="n"/>
      <c r="BM325" s="1566" t="n"/>
      <c r="BN325" s="1532" t="n"/>
      <c r="BO325" s="1566" t="n"/>
      <c r="BP325" s="1566" t="n"/>
      <c r="BQ325" s="1567" t="n"/>
      <c r="BR325" s="1566" t="n"/>
      <c r="BS325" s="1532" t="n"/>
      <c r="BT325" s="1566" t="n"/>
      <c r="BU325" s="1566" t="n"/>
      <c r="BV325" s="1566" t="n"/>
      <c r="BW325" s="1566" t="n"/>
      <c r="BX325" s="1532" t="n"/>
      <c r="BY325" s="1532" t="n"/>
      <c r="BZ325" s="1532" t="n"/>
      <c r="CA325" s="1532" t="n"/>
      <c r="CB325" s="1465" t="n"/>
    </row>
    <row r="326" hidden="1" outlineLevel="1" collapsed="1" ht="14.4" customFormat="1" customHeight="1" s="1460">
      <c r="A326" s="1557" t="inlineStr">
        <is>
          <t>Non-GAAP COGS Margin, %</t>
        </is>
      </c>
      <c r="B326" s="1558" t="n"/>
      <c r="C326" s="1559" t="n"/>
      <c r="D326" s="1559">
        <f>(D454-D462)/D454</f>
        <v/>
      </c>
      <c r="E326" s="1559">
        <f>(E454-E462)/E454</f>
        <v/>
      </c>
      <c r="F326" s="1559">
        <f>(F454-F462)/F454</f>
        <v/>
      </c>
      <c r="G326" s="1560">
        <f>(G454-G462)/G454</f>
        <v/>
      </c>
      <c r="H326" s="1560">
        <f>(H454-H462)/H454</f>
        <v/>
      </c>
      <c r="I326" s="1560">
        <f>(I454-I462)/I454</f>
        <v/>
      </c>
      <c r="J326" s="1560">
        <f>(J454-J462)/J454</f>
        <v/>
      </c>
      <c r="K326" s="1559">
        <f>(K454-K462)/K454</f>
        <v/>
      </c>
      <c r="L326" s="1560">
        <f>(L454-L462)/L454</f>
        <v/>
      </c>
      <c r="M326" s="1560">
        <f>(M454-M462)/M454</f>
        <v/>
      </c>
      <c r="N326" s="1560">
        <f>(N454-N462)/N454</f>
        <v/>
      </c>
      <c r="O326" s="1560">
        <f>(O454-O462)/O454</f>
        <v/>
      </c>
      <c r="P326" s="1559">
        <f>(P454-P462)/P454</f>
        <v/>
      </c>
      <c r="Q326" s="1560">
        <f>(Q454-Q462)/Q454</f>
        <v/>
      </c>
      <c r="R326" s="1560">
        <f>(R454-R462)/R454</f>
        <v/>
      </c>
      <c r="S326" s="1560">
        <f>(S454-S462)/S454</f>
        <v/>
      </c>
      <c r="T326" s="1560">
        <f>(T454-T462)/T454</f>
        <v/>
      </c>
      <c r="U326" s="1559">
        <f>(U454-U462)/U454</f>
        <v/>
      </c>
      <c r="V326" s="1560">
        <f>(V454-V462)/V454</f>
        <v/>
      </c>
      <c r="W326" s="1560">
        <f>(W454-W462)/W454</f>
        <v/>
      </c>
      <c r="X326" s="1560">
        <f>(X454-X462)/X454</f>
        <v/>
      </c>
      <c r="Y326" s="1560">
        <f>(Y454-Y462)/Y454</f>
        <v/>
      </c>
      <c r="Z326" s="1561">
        <f>(Z454-Z462)/Z454</f>
        <v/>
      </c>
      <c r="AA326" s="1560">
        <f>(AA454-AA462)/AA454</f>
        <v/>
      </c>
      <c r="AB326" s="1560">
        <f>(AB454-AB462)/AB454</f>
        <v/>
      </c>
      <c r="AC326" s="1560">
        <f>(AC454-AC462)/AC454</f>
        <v/>
      </c>
      <c r="AD326" s="1560">
        <f>(AD454-AD462)/AD454</f>
        <v/>
      </c>
      <c r="AE326" s="1561">
        <f>(AE454-AE462)/AE454</f>
        <v/>
      </c>
      <c r="AF326" s="1560">
        <f>(AF454-AF462)/AF454</f>
        <v/>
      </c>
      <c r="AG326" s="1560">
        <f>(AG454-AG462)/AG454</f>
        <v/>
      </c>
      <c r="AH326" s="1560">
        <f>(AH454-AH462)/AH454</f>
        <v/>
      </c>
      <c r="AI326" s="1560">
        <f>(AI454-AI462)/AI454</f>
        <v/>
      </c>
      <c r="AJ326" s="1561">
        <f>(AJ454-AJ462)/AJ454</f>
        <v/>
      </c>
      <c r="AK326" s="1560">
        <f>(AK454-AK462)/AK454</f>
        <v/>
      </c>
      <c r="AL326" s="1560">
        <f>(AL454-AL462)/AL454</f>
        <v/>
      </c>
      <c r="AM326" s="1560">
        <f>(AM454-AM462)/AM454</f>
        <v/>
      </c>
      <c r="AN326" s="1560">
        <f>(AN454-AN462)/AN454</f>
        <v/>
      </c>
      <c r="AO326" s="1561">
        <f>(AO454-AO462)/AO454</f>
        <v/>
      </c>
      <c r="AP326" s="1560">
        <f>(AP454-AP462)/AP454</f>
        <v/>
      </c>
      <c r="AQ326" s="1560">
        <f>(AQ454-AQ462)/AQ454</f>
        <v/>
      </c>
      <c r="AR326" s="1560">
        <f>(AR454-AR462)/AR454</f>
        <v/>
      </c>
      <c r="AS326" s="1560">
        <f>(AS454-AS462)/AS454</f>
        <v/>
      </c>
      <c r="AT326" s="1561">
        <f>(AT454-AT462)/AT454</f>
        <v/>
      </c>
      <c r="AU326" s="1560">
        <f>(AU454-AU462)/AU454</f>
        <v/>
      </c>
      <c r="AV326" s="1560">
        <f>(AV454-AV462)/AV454</f>
        <v/>
      </c>
      <c r="AW326" s="1560">
        <f>(AW454-AW462)/AW454</f>
        <v/>
      </c>
      <c r="AX326" s="1560">
        <f>(AX454-AX462)/AX454</f>
        <v/>
      </c>
      <c r="AY326" s="1561">
        <f>(AY454-AY462)/AY454</f>
        <v/>
      </c>
      <c r="AZ326" s="1560">
        <f>(AZ454-AZ462)/AZ454</f>
        <v/>
      </c>
      <c r="BA326" s="1560">
        <f>(BA454-BA462)/BA454</f>
        <v/>
      </c>
      <c r="BB326" s="1560">
        <f>(BB454-BB462)/BB454</f>
        <v/>
      </c>
      <c r="BC326" s="1560">
        <f>(BC454-BC462)/BC454</f>
        <v/>
      </c>
      <c r="BD326" s="1561">
        <f>(BD454-BD462)/BD454</f>
        <v/>
      </c>
      <c r="BE326" s="1560">
        <f>(BE454-BE462)/BE454</f>
        <v/>
      </c>
      <c r="BF326" s="1560">
        <f>(BF454-BF462)/BF454</f>
        <v/>
      </c>
      <c r="BG326" s="1560">
        <f>(BG454-BG462)/BG454</f>
        <v/>
      </c>
      <c r="BH326" s="1560">
        <f>(BH454-BH462)/BH454</f>
        <v/>
      </c>
      <c r="BI326" s="1561">
        <f>(BI454-BI462)/BI454</f>
        <v/>
      </c>
      <c r="BJ326" s="1560">
        <f>(BJ454-BJ462)/BJ454</f>
        <v/>
      </c>
      <c r="BK326" s="1560">
        <f>(BK454-BK462)/BK454</f>
        <v/>
      </c>
      <c r="BL326" s="1560">
        <f>(BL454-BL462)/BL454</f>
        <v/>
      </c>
      <c r="BM326" s="1560">
        <f>(BM454-BM462)/BM454</f>
        <v/>
      </c>
      <c r="BN326" s="1561">
        <f>(BN454-BN462)/BN454</f>
        <v/>
      </c>
      <c r="BO326" s="1560">
        <f>(BO454-BO462)/BO454</f>
        <v/>
      </c>
      <c r="BP326" s="1560">
        <f>(BP454-BP462)/BP454</f>
        <v/>
      </c>
      <c r="BQ326" s="1562">
        <f>(BQ454-BQ462)/BQ454</f>
        <v/>
      </c>
      <c r="BR326" s="1560">
        <f>(BR454-BR462)/BR454</f>
        <v/>
      </c>
      <c r="BS326" s="1561">
        <f>(BS454-BS462)/BS454</f>
        <v/>
      </c>
      <c r="BT326" s="1560">
        <f>(BT454-BT462)/BT454</f>
        <v/>
      </c>
      <c r="BU326" s="1560">
        <f>(BU454-BU462)/BU454</f>
        <v/>
      </c>
      <c r="BV326" s="1560">
        <f>(BV454-BV462)/BV454</f>
        <v/>
      </c>
      <c r="BW326" s="1560">
        <f>(BW454-BW462)/BW454</f>
        <v/>
      </c>
      <c r="BX326" s="1561">
        <f>(BX454-BX462)/BX454</f>
        <v/>
      </c>
      <c r="BY326" s="1561">
        <f>(BY454-BY462)/BY454</f>
        <v/>
      </c>
      <c r="BZ326" s="1561">
        <f>(BZ454-BZ462)/BZ454</f>
        <v/>
      </c>
      <c r="CA326" s="1561">
        <f>(CA454-CA462)/CA454</f>
        <v/>
      </c>
      <c r="CB326" s="1465" t="n"/>
    </row>
    <row r="327" hidden="1" outlineLevel="1" ht="14.4" customFormat="1" customHeight="1" s="1460">
      <c r="A327" s="1563" t="inlineStr">
        <is>
          <t>Non-GAAP Gross Margin, %</t>
        </is>
      </c>
      <c r="B327" s="1564" t="n"/>
      <c r="C327" s="1565" t="n"/>
      <c r="D327" s="1565">
        <f>1-D326</f>
        <v/>
      </c>
      <c r="E327" s="1565">
        <f>1-E326</f>
        <v/>
      </c>
      <c r="F327" s="1565">
        <f>1-F326</f>
        <v/>
      </c>
      <c r="G327" s="1566">
        <f>1-G326</f>
        <v/>
      </c>
      <c r="H327" s="1566">
        <f>1-H326</f>
        <v/>
      </c>
      <c r="I327" s="1566">
        <f>1-I326</f>
        <v/>
      </c>
      <c r="J327" s="1566">
        <f>1-J326</f>
        <v/>
      </c>
      <c r="K327" s="1565">
        <f>1-K326</f>
        <v/>
      </c>
      <c r="L327" s="1566">
        <f>1-L326</f>
        <v/>
      </c>
      <c r="M327" s="1566">
        <f>1-M326</f>
        <v/>
      </c>
      <c r="N327" s="1566">
        <f>1-N326</f>
        <v/>
      </c>
      <c r="O327" s="1566">
        <f>1-O326</f>
        <v/>
      </c>
      <c r="P327" s="1565">
        <f>1-P326</f>
        <v/>
      </c>
      <c r="Q327" s="1566">
        <f>1-Q326</f>
        <v/>
      </c>
      <c r="R327" s="1566">
        <f>1-R326</f>
        <v/>
      </c>
      <c r="S327" s="1566">
        <f>1-S326</f>
        <v/>
      </c>
      <c r="T327" s="1566">
        <f>1-T326</f>
        <v/>
      </c>
      <c r="U327" s="1565">
        <f>1-U326</f>
        <v/>
      </c>
      <c r="V327" s="1566">
        <f>1-V326</f>
        <v/>
      </c>
      <c r="W327" s="1566">
        <f>1-W326</f>
        <v/>
      </c>
      <c r="X327" s="1566">
        <f>1-X326</f>
        <v/>
      </c>
      <c r="Y327" s="1566">
        <f>1-Y326</f>
        <v/>
      </c>
      <c r="Z327" s="1532">
        <f>1-Z326</f>
        <v/>
      </c>
      <c r="AA327" s="1566">
        <f>1-AA326</f>
        <v/>
      </c>
      <c r="AB327" s="1566">
        <f>1-AB326</f>
        <v/>
      </c>
      <c r="AC327" s="1566">
        <f>1-AC326</f>
        <v/>
      </c>
      <c r="AD327" s="1566">
        <f>1-AD326</f>
        <v/>
      </c>
      <c r="AE327" s="1532">
        <f>1-AE326</f>
        <v/>
      </c>
      <c r="AF327" s="1566">
        <f>1-AF326</f>
        <v/>
      </c>
      <c r="AG327" s="1566">
        <f>1-AG326</f>
        <v/>
      </c>
      <c r="AH327" s="1566">
        <f>1-AH326</f>
        <v/>
      </c>
      <c r="AI327" s="1566">
        <f>1-AI326</f>
        <v/>
      </c>
      <c r="AJ327" s="1532">
        <f>1-AJ326</f>
        <v/>
      </c>
      <c r="AK327" s="1566">
        <f>1-AK326</f>
        <v/>
      </c>
      <c r="AL327" s="1566">
        <f>1-AL326</f>
        <v/>
      </c>
      <c r="AM327" s="1566">
        <f>1-AM326</f>
        <v/>
      </c>
      <c r="AN327" s="1566">
        <f>1-AN326</f>
        <v/>
      </c>
      <c r="AO327" s="1532">
        <f>1-AO326</f>
        <v/>
      </c>
      <c r="AP327" s="1566">
        <f>1-AP326</f>
        <v/>
      </c>
      <c r="AQ327" s="1566">
        <f>1-AQ326</f>
        <v/>
      </c>
      <c r="AR327" s="1566">
        <f>1-AR326</f>
        <v/>
      </c>
      <c r="AS327" s="1566">
        <f>1-AS326</f>
        <v/>
      </c>
      <c r="AT327" s="1532">
        <f>1-AT326</f>
        <v/>
      </c>
      <c r="AU327" s="1566">
        <f>1-AU326</f>
        <v/>
      </c>
      <c r="AV327" s="1566">
        <f>1-AV326</f>
        <v/>
      </c>
      <c r="AW327" s="1566">
        <f>1-AW326</f>
        <v/>
      </c>
      <c r="AX327" s="1566">
        <f>1-AX326</f>
        <v/>
      </c>
      <c r="AY327" s="1532">
        <f>1-AY326</f>
        <v/>
      </c>
      <c r="AZ327" s="1566">
        <f>1-AZ326</f>
        <v/>
      </c>
      <c r="BA327" s="1566">
        <f>1-BA326</f>
        <v/>
      </c>
      <c r="BB327" s="1566">
        <f>1-BB326</f>
        <v/>
      </c>
      <c r="BC327" s="1566">
        <f>1-BC326</f>
        <v/>
      </c>
      <c r="BD327" s="1532">
        <f>1-BD326</f>
        <v/>
      </c>
      <c r="BE327" s="1566">
        <f>1-BE326</f>
        <v/>
      </c>
      <c r="BF327" s="1566">
        <f>1-BF326</f>
        <v/>
      </c>
      <c r="BG327" s="1566">
        <f>1-BG326</f>
        <v/>
      </c>
      <c r="BH327" s="1566">
        <f>1-BH326</f>
        <v/>
      </c>
      <c r="BI327" s="1532">
        <f>1-BI326</f>
        <v/>
      </c>
      <c r="BJ327" s="1566">
        <f>1-BJ326</f>
        <v/>
      </c>
      <c r="BK327" s="1566">
        <f>1-BK326</f>
        <v/>
      </c>
      <c r="BL327" s="1566">
        <f>1-BL326</f>
        <v/>
      </c>
      <c r="BM327" s="1566">
        <f>1-BM326</f>
        <v/>
      </c>
      <c r="BN327" s="1532">
        <f>1-BN326</f>
        <v/>
      </c>
      <c r="BO327" s="1566">
        <f>1-BO326</f>
        <v/>
      </c>
      <c r="BP327" s="1566">
        <f>1-BP326</f>
        <v/>
      </c>
      <c r="BQ327" s="1567">
        <f>1-BQ326</f>
        <v/>
      </c>
      <c r="BR327" s="1566">
        <f>1-BR326</f>
        <v/>
      </c>
      <c r="BS327" s="1532">
        <f>1-BS326</f>
        <v/>
      </c>
      <c r="BT327" s="1566">
        <f>1-BT326</f>
        <v/>
      </c>
      <c r="BU327" s="1566">
        <f>1-BU326</f>
        <v/>
      </c>
      <c r="BV327" s="1566">
        <f>1-BV326</f>
        <v/>
      </c>
      <c r="BW327" s="1566">
        <f>1-BW326</f>
        <v/>
      </c>
      <c r="BX327" s="1532">
        <f>1-BX326</f>
        <v/>
      </c>
      <c r="BY327" s="1532">
        <f>1-BY326</f>
        <v/>
      </c>
      <c r="BZ327" s="1532">
        <f>1-BZ326</f>
        <v/>
      </c>
      <c r="CA327" s="1532">
        <f>1-CA326</f>
        <v/>
      </c>
      <c r="CB327" s="1465" t="n"/>
    </row>
    <row r="328" hidden="1" outlineLevel="1" ht="14.4" customFormat="1" customHeight="1" s="1460">
      <c r="A328" s="1501">
        <f>CONCATENATE("Consensus Estimates - ",IFERROR(LEFT(A327,FIND("(",A327)-1),A327))</f>
        <v/>
      </c>
      <c r="B328" s="1569" t="n"/>
      <c r="C328" s="1570" t="n"/>
      <c r="D328" s="1570" t="n"/>
      <c r="E328" s="1570" t="n"/>
      <c r="F328" s="1570" t="n"/>
      <c r="G328" s="1571" t="n"/>
      <c r="H328" s="1571" t="n"/>
      <c r="I328" s="1571" t="n"/>
      <c r="J328" s="1571" t="n"/>
      <c r="K328" s="1570" t="n"/>
      <c r="L328" s="1571" t="n"/>
      <c r="M328" s="1571" t="n"/>
      <c r="N328" s="1571" t="n"/>
      <c r="O328" s="1571" t="n"/>
      <c r="P328" s="1570" t="n"/>
      <c r="Q328" s="1571" t="n"/>
      <c r="R328" s="1571" t="n"/>
      <c r="S328" s="1571" t="n"/>
      <c r="T328" s="1571" t="n"/>
      <c r="U328" s="1570" t="n"/>
      <c r="V328" s="1571" t="n"/>
      <c r="W328" s="1571" t="n"/>
      <c r="X328" s="1571" t="n"/>
      <c r="Y328" s="1571" t="n"/>
      <c r="Z328" s="1382" t="n"/>
      <c r="AA328" s="1571" t="n"/>
      <c r="AB328" s="1571" t="n"/>
      <c r="AC328" s="1571" t="n"/>
      <c r="AD328" s="1571" t="n"/>
      <c r="AE328" s="1382" t="n"/>
      <c r="AF328" s="1571" t="n"/>
      <c r="AG328" s="1571" t="n"/>
      <c r="AH328" s="1571" t="n"/>
      <c r="AI328" s="1571" t="n"/>
      <c r="AJ328" s="1382" t="n"/>
      <c r="AK328" s="1571" t="n"/>
      <c r="AL328" s="1571" t="n"/>
      <c r="AM328" s="1571" t="n"/>
      <c r="AN328" s="1571" t="n"/>
      <c r="AO328" s="1382" t="n"/>
      <c r="AP328" s="1571" t="n"/>
      <c r="AQ328" s="1571" t="n"/>
      <c r="AR328" s="1571" t="n"/>
      <c r="AS328" s="1571" t="n"/>
      <c r="AT328" s="1382" t="n"/>
      <c r="AU328" s="1571" t="n"/>
      <c r="AV328" s="1571" t="n"/>
      <c r="AW328" s="1571" t="n"/>
      <c r="AX328" s="1571" t="n"/>
      <c r="AY328" s="1382" t="n"/>
      <c r="AZ328" s="1571" t="n"/>
      <c r="BA328" s="1571" t="n"/>
      <c r="BB328" s="1571" t="n"/>
      <c r="BC328" s="1571" t="n"/>
      <c r="BD328" s="1382" t="n"/>
      <c r="BE328" s="1571" t="n"/>
      <c r="BF328" s="1571" t="n"/>
      <c r="BG328" s="1571" t="n"/>
      <c r="BH328" s="1571" t="n"/>
      <c r="BI328" s="1382" t="n"/>
      <c r="BJ328" s="1571" t="n"/>
      <c r="BK328" s="1571" t="n"/>
      <c r="BL328" s="1571" t="n"/>
      <c r="BM328" s="1571" t="n"/>
      <c r="BN328" s="1382" t="n"/>
      <c r="BO328" s="1571" t="n"/>
      <c r="BP328" s="1571" t="n"/>
      <c r="BQ328" s="1572" t="n"/>
      <c r="BR328" s="1483">
        <f>IFERROR(VLOOKUP($A328,tb_ConsensusEstimate,MATCH(BR$5,OFFSET(tb_ConsensusEstimate,0,0,1,COLUMNS(tb_ConsensusEstimate)),0),FALSE),"-")</f>
        <v/>
      </c>
      <c r="BS328" s="1484">
        <f>IFERROR(VLOOKUP($A328,tb_ConsensusEstimate,MATCH(BS$5,OFFSET(tb_ConsensusEstimate,0,0,1,COLUMNS(tb_ConsensusEstimate)),0),FALSE),"-")</f>
        <v/>
      </c>
      <c r="BT328" s="1483">
        <f>IFERROR(VLOOKUP($A328,tb_ConsensusEstimate,MATCH(BT$5,OFFSET(tb_ConsensusEstimate,0,0,1,COLUMNS(tb_ConsensusEstimate)),0),FALSE),"-")</f>
        <v/>
      </c>
      <c r="BU328" s="1483">
        <f>IFERROR(VLOOKUP($A328,tb_ConsensusEstimate,MATCH(BU$5,OFFSET(tb_ConsensusEstimate,0,0,1,COLUMNS(tb_ConsensusEstimate)),0),FALSE),"-")</f>
        <v/>
      </c>
      <c r="BV328" s="1483">
        <f>IFERROR(VLOOKUP($A328,tb_ConsensusEstimate,MATCH(BV$5,OFFSET(tb_ConsensusEstimate,0,0,1,COLUMNS(tb_ConsensusEstimate)),0),FALSE),"-")</f>
        <v/>
      </c>
      <c r="BW328" s="1483">
        <f>IFERROR(VLOOKUP($A328,tb_ConsensusEstimate,MATCH(BW$5,OFFSET(tb_ConsensusEstimate,0,0,1,COLUMNS(tb_ConsensusEstimate)),0),FALSE),"-")</f>
        <v/>
      </c>
      <c r="BX328" s="1484">
        <f>IFERROR(VLOOKUP($A328,tb_ConsensusEstimate,MATCH(BX$5,OFFSET(tb_ConsensusEstimate,0,0,1,COLUMNS(tb_ConsensusEstimate)),0),FALSE),"-")</f>
        <v/>
      </c>
      <c r="BY328" s="1484">
        <f>IFERROR(VLOOKUP($A328,tb_ConsensusEstimate,MATCH(BY$5,OFFSET(tb_ConsensusEstimate,0,0,1,COLUMNS(tb_ConsensusEstimate)),0),FALSE),"-")</f>
        <v/>
      </c>
      <c r="BZ328" s="1484">
        <f>IFERROR(VLOOKUP($A328,tb_ConsensusEstimate,MATCH(BZ$5,OFFSET(tb_ConsensusEstimate,0,0,1,COLUMNS(tb_ConsensusEstimate)),0),FALSE),"-")</f>
        <v/>
      </c>
      <c r="CA328" s="1484">
        <f>IFERROR(VLOOKUP($A328,tb_ConsensusEstimate,MATCH(CA$5,OFFSET(tb_ConsensusEstimate,0,0,1,COLUMNS(tb_ConsensusEstimate)),0),FALSE),"-")</f>
        <v/>
      </c>
      <c r="CB328" s="1465" t="n"/>
    </row>
    <row r="329" hidden="1" outlineLevel="1" ht="7.5" customFormat="1" customHeight="1" s="1460">
      <c r="A329" s="1563" t="n"/>
      <c r="B329" s="1564" t="n"/>
      <c r="C329" s="1565" t="n"/>
      <c r="D329" s="1565" t="n"/>
      <c r="E329" s="1565" t="n"/>
      <c r="F329" s="1565" t="n"/>
      <c r="G329" s="1566" t="n"/>
      <c r="H329" s="1566" t="n"/>
      <c r="I329" s="1566" t="n"/>
      <c r="J329" s="1566" t="n"/>
      <c r="K329" s="1565" t="n"/>
      <c r="L329" s="1566" t="n"/>
      <c r="M329" s="1566" t="n"/>
      <c r="N329" s="1566" t="n"/>
      <c r="O329" s="1566" t="n"/>
      <c r="P329" s="1565" t="n"/>
      <c r="Q329" s="1566" t="n"/>
      <c r="R329" s="1566" t="n"/>
      <c r="S329" s="1566" t="n"/>
      <c r="T329" s="1566" t="n"/>
      <c r="U329" s="1565" t="n"/>
      <c r="V329" s="1566" t="n"/>
      <c r="W329" s="1566" t="n"/>
      <c r="X329" s="1566" t="n"/>
      <c r="Y329" s="1566" t="n"/>
      <c r="Z329" s="1532" t="n"/>
      <c r="AA329" s="1566" t="n"/>
      <c r="AB329" s="1566" t="n"/>
      <c r="AC329" s="1566" t="n"/>
      <c r="AD329" s="1566" t="n"/>
      <c r="AE329" s="1532" t="n"/>
      <c r="AF329" s="1566" t="n"/>
      <c r="AG329" s="1566" t="n"/>
      <c r="AH329" s="1566" t="n"/>
      <c r="AI329" s="1566" t="n"/>
      <c r="AJ329" s="1532" t="n"/>
      <c r="AK329" s="1566" t="n"/>
      <c r="AL329" s="1566" t="n"/>
      <c r="AM329" s="1566" t="n"/>
      <c r="AN329" s="1566" t="n"/>
      <c r="AO329" s="1532" t="n"/>
      <c r="AP329" s="1566" t="n"/>
      <c r="AQ329" s="1566" t="n"/>
      <c r="AR329" s="1566" t="n"/>
      <c r="AS329" s="1566" t="n"/>
      <c r="AT329" s="1532" t="n"/>
      <c r="AU329" s="1566" t="n"/>
      <c r="AV329" s="1566" t="n"/>
      <c r="AW329" s="1566" t="n"/>
      <c r="AX329" s="1566" t="n"/>
      <c r="AY329" s="1532" t="n"/>
      <c r="AZ329" s="1566" t="n"/>
      <c r="BA329" s="1566" t="n"/>
      <c r="BB329" s="1566" t="n"/>
      <c r="BC329" s="1566" t="n"/>
      <c r="BD329" s="1532" t="n"/>
      <c r="BE329" s="1566" t="n"/>
      <c r="BF329" s="1566" t="n"/>
      <c r="BG329" s="1566" t="n"/>
      <c r="BH329" s="1566" t="n"/>
      <c r="BI329" s="1532" t="n"/>
      <c r="BJ329" s="1566" t="n"/>
      <c r="BK329" s="1566" t="n"/>
      <c r="BL329" s="1566" t="n"/>
      <c r="BM329" s="1566" t="n"/>
      <c r="BN329" s="1532" t="n"/>
      <c r="BO329" s="1566" t="n"/>
      <c r="BP329" s="1566" t="n"/>
      <c r="BQ329" s="1567" t="n"/>
      <c r="BR329" s="1566" t="n"/>
      <c r="BS329" s="1532" t="n"/>
      <c r="BT329" s="1566" t="n"/>
      <c r="BU329" s="1566" t="n"/>
      <c r="BV329" s="1566" t="n"/>
      <c r="BW329" s="1566" t="n"/>
      <c r="BX329" s="1532" t="n"/>
      <c r="BY329" s="1532" t="n"/>
      <c r="BZ329" s="1532" t="n"/>
      <c r="CA329" s="1532" t="n"/>
      <c r="CB329" s="1465" t="n"/>
    </row>
    <row r="330" hidden="1" outlineLevel="1" ht="14.4" customFormat="1" customHeight="1" s="1460">
      <c r="A330" s="1563" t="inlineStr">
        <is>
          <t>Non-GAAP R&amp;D Margin, %</t>
        </is>
      </c>
      <c r="B330" s="1564" t="n"/>
      <c r="C330" s="1565" t="n"/>
      <c r="D330" s="1565">
        <f>D467/D454</f>
        <v/>
      </c>
      <c r="E330" s="1565">
        <f>E467/E454</f>
        <v/>
      </c>
      <c r="F330" s="1565">
        <f>F467/F454</f>
        <v/>
      </c>
      <c r="G330" s="1566">
        <f>G467/G454</f>
        <v/>
      </c>
      <c r="H330" s="1566">
        <f>H467/H454</f>
        <v/>
      </c>
      <c r="I330" s="1566">
        <f>I467/I454</f>
        <v/>
      </c>
      <c r="J330" s="1566">
        <f>J467/J454</f>
        <v/>
      </c>
      <c r="K330" s="1565">
        <f>K467/K454</f>
        <v/>
      </c>
      <c r="L330" s="1566">
        <f>L467/L454</f>
        <v/>
      </c>
      <c r="M330" s="1566">
        <f>M467/M454</f>
        <v/>
      </c>
      <c r="N330" s="1566">
        <f>N467/N454</f>
        <v/>
      </c>
      <c r="O330" s="1566">
        <f>O467/O454</f>
        <v/>
      </c>
      <c r="P330" s="1565">
        <f>P467/P454</f>
        <v/>
      </c>
      <c r="Q330" s="1566">
        <f>Q467/Q454</f>
        <v/>
      </c>
      <c r="R330" s="1566">
        <f>R467/R454</f>
        <v/>
      </c>
      <c r="S330" s="1566">
        <f>S467/S454</f>
        <v/>
      </c>
      <c r="T330" s="1566">
        <f>T467/T454</f>
        <v/>
      </c>
      <c r="U330" s="1565">
        <f>U467/U454</f>
        <v/>
      </c>
      <c r="V330" s="1566">
        <f>V467/V454</f>
        <v/>
      </c>
      <c r="W330" s="1566">
        <f>W467/W454</f>
        <v/>
      </c>
      <c r="X330" s="1566">
        <f>X467/X454</f>
        <v/>
      </c>
      <c r="Y330" s="1566">
        <f>Y467/Y454</f>
        <v/>
      </c>
      <c r="Z330" s="1532">
        <f>Z467/Z454</f>
        <v/>
      </c>
      <c r="AA330" s="1566">
        <f>AA467/AA454</f>
        <v/>
      </c>
      <c r="AB330" s="1566">
        <f>AB467/AB454</f>
        <v/>
      </c>
      <c r="AC330" s="1566">
        <f>AC467/AC454</f>
        <v/>
      </c>
      <c r="AD330" s="1566">
        <f>AD467/AD454</f>
        <v/>
      </c>
      <c r="AE330" s="1532">
        <f>AE467/AE454</f>
        <v/>
      </c>
      <c r="AF330" s="1566">
        <f>AF467/AF454</f>
        <v/>
      </c>
      <c r="AG330" s="1566">
        <f>AG467/AG454</f>
        <v/>
      </c>
      <c r="AH330" s="1566">
        <f>AH467/AH454</f>
        <v/>
      </c>
      <c r="AI330" s="1566">
        <f>AI467/AI454</f>
        <v/>
      </c>
      <c r="AJ330" s="1532">
        <f>AJ467/AJ454</f>
        <v/>
      </c>
      <c r="AK330" s="1566">
        <f>AK467/AK454</f>
        <v/>
      </c>
      <c r="AL330" s="1566">
        <f>AL467/AL454</f>
        <v/>
      </c>
      <c r="AM330" s="1566">
        <f>AM467/AM454</f>
        <v/>
      </c>
      <c r="AN330" s="1566">
        <f>AN467/AN454</f>
        <v/>
      </c>
      <c r="AO330" s="1532">
        <f>AO467/AO454</f>
        <v/>
      </c>
      <c r="AP330" s="1566">
        <f>AP467/AP454</f>
        <v/>
      </c>
      <c r="AQ330" s="1566">
        <f>AQ467/AQ454</f>
        <v/>
      </c>
      <c r="AR330" s="1566">
        <f>AR467/AR454</f>
        <v/>
      </c>
      <c r="AS330" s="1566">
        <f>AS467/AS454</f>
        <v/>
      </c>
      <c r="AT330" s="1532">
        <f>AT467/AT454</f>
        <v/>
      </c>
      <c r="AU330" s="1566">
        <f>AU467/AU454</f>
        <v/>
      </c>
      <c r="AV330" s="1566">
        <f>AV467/AV454</f>
        <v/>
      </c>
      <c r="AW330" s="1566">
        <f>AW467/AW454</f>
        <v/>
      </c>
      <c r="AX330" s="1566">
        <f>AX467/AX454</f>
        <v/>
      </c>
      <c r="AY330" s="1532">
        <f>AY467/AY454</f>
        <v/>
      </c>
      <c r="AZ330" s="1566">
        <f>AZ467/AZ454</f>
        <v/>
      </c>
      <c r="BA330" s="1566">
        <f>BA467/BA454</f>
        <v/>
      </c>
      <c r="BB330" s="1566">
        <f>BB467/BB454</f>
        <v/>
      </c>
      <c r="BC330" s="1566">
        <f>BC467/BC454</f>
        <v/>
      </c>
      <c r="BD330" s="1532">
        <f>BD467/BD454</f>
        <v/>
      </c>
      <c r="BE330" s="1566">
        <f>BE467/BE454</f>
        <v/>
      </c>
      <c r="BF330" s="1566">
        <f>BF467/BF454</f>
        <v/>
      </c>
      <c r="BG330" s="1566">
        <f>BG467/BG454</f>
        <v/>
      </c>
      <c r="BH330" s="1566">
        <f>BH467/BH454</f>
        <v/>
      </c>
      <c r="BI330" s="1532">
        <f>BI467/BI454</f>
        <v/>
      </c>
      <c r="BJ330" s="1566">
        <f>BJ467/BJ454</f>
        <v/>
      </c>
      <c r="BK330" s="1566">
        <f>BK467/BK454</f>
        <v/>
      </c>
      <c r="BL330" s="1566">
        <f>BL467/BL454</f>
        <v/>
      </c>
      <c r="BM330" s="1566">
        <f>BM467/BM454</f>
        <v/>
      </c>
      <c r="BN330" s="1532">
        <f>BN467/BN454</f>
        <v/>
      </c>
      <c r="BO330" s="1566">
        <f>BO467/BO454</f>
        <v/>
      </c>
      <c r="BP330" s="1566">
        <f>BP467/BP454</f>
        <v/>
      </c>
      <c r="BQ330" s="1567">
        <f>BQ467/BQ454</f>
        <v/>
      </c>
      <c r="BR330" s="1566">
        <f>BR467/BR454</f>
        <v/>
      </c>
      <c r="BS330" s="1532">
        <f>BS467/BS454</f>
        <v/>
      </c>
      <c r="BT330" s="1566">
        <f>BT467/BT454</f>
        <v/>
      </c>
      <c r="BU330" s="1566">
        <f>BU467/BU454</f>
        <v/>
      </c>
      <c r="BV330" s="1566">
        <f>BV467/BV454</f>
        <v/>
      </c>
      <c r="BW330" s="1566">
        <f>BW467/BW454</f>
        <v/>
      </c>
      <c r="BX330" s="1532">
        <f>BX467/BX454</f>
        <v/>
      </c>
      <c r="BY330" s="1532">
        <f>BY467/BY454</f>
        <v/>
      </c>
      <c r="BZ330" s="1532">
        <f>BZ467/BZ454</f>
        <v/>
      </c>
      <c r="CA330" s="1532">
        <f>CA467/CA454</f>
        <v/>
      </c>
      <c r="CB330" s="1465" t="n"/>
    </row>
    <row r="331" hidden="1" outlineLevel="1" ht="14.4" customFormat="1" customHeight="1" s="1460">
      <c r="A331" s="1563" t="inlineStr">
        <is>
          <t>Non-GAAP G&amp;A Margin, %</t>
        </is>
      </c>
      <c r="B331" s="1564" t="n"/>
      <c r="C331" s="1565" t="n"/>
      <c r="D331" s="1565">
        <f>D471/D454</f>
        <v/>
      </c>
      <c r="E331" s="1565">
        <f>E471/E454</f>
        <v/>
      </c>
      <c r="F331" s="1565">
        <f>F471/F454</f>
        <v/>
      </c>
      <c r="G331" s="1566">
        <f>G471/G454</f>
        <v/>
      </c>
      <c r="H331" s="1566">
        <f>H471/H454</f>
        <v/>
      </c>
      <c r="I331" s="1566">
        <f>I471/I454</f>
        <v/>
      </c>
      <c r="J331" s="1566">
        <f>J471/J454</f>
        <v/>
      </c>
      <c r="K331" s="1565">
        <f>K471/K454</f>
        <v/>
      </c>
      <c r="L331" s="1566">
        <f>L471/L454</f>
        <v/>
      </c>
      <c r="M331" s="1566">
        <f>M471/M454</f>
        <v/>
      </c>
      <c r="N331" s="1566">
        <f>N471/N454</f>
        <v/>
      </c>
      <c r="O331" s="1566">
        <f>O471/O454</f>
        <v/>
      </c>
      <c r="P331" s="1565">
        <f>P471/P454</f>
        <v/>
      </c>
      <c r="Q331" s="1566">
        <f>Q471/Q454</f>
        <v/>
      </c>
      <c r="R331" s="1566">
        <f>R471/R454</f>
        <v/>
      </c>
      <c r="S331" s="1566">
        <f>S471/S454</f>
        <v/>
      </c>
      <c r="T331" s="1566">
        <f>T471/T454</f>
        <v/>
      </c>
      <c r="U331" s="1565">
        <f>U471/U454</f>
        <v/>
      </c>
      <c r="V331" s="1566">
        <f>V471/V454</f>
        <v/>
      </c>
      <c r="W331" s="1566">
        <f>W471/W454</f>
        <v/>
      </c>
      <c r="X331" s="1566">
        <f>X471/X454</f>
        <v/>
      </c>
      <c r="Y331" s="1566">
        <f>Y471/Y454</f>
        <v/>
      </c>
      <c r="Z331" s="1532">
        <f>Z471/Z454</f>
        <v/>
      </c>
      <c r="AA331" s="1566">
        <f>AA471/AA454</f>
        <v/>
      </c>
      <c r="AB331" s="1566">
        <f>AB471/AB454</f>
        <v/>
      </c>
      <c r="AC331" s="1566">
        <f>AC471/AC454</f>
        <v/>
      </c>
      <c r="AD331" s="1566">
        <f>AD471/AD454</f>
        <v/>
      </c>
      <c r="AE331" s="1532">
        <f>AE471/AE454</f>
        <v/>
      </c>
      <c r="AF331" s="1566">
        <f>AF471/AF454</f>
        <v/>
      </c>
      <c r="AG331" s="1566">
        <f>AG471/AG454</f>
        <v/>
      </c>
      <c r="AH331" s="1566">
        <f>AH471/AH454</f>
        <v/>
      </c>
      <c r="AI331" s="1566">
        <f>AI471/AI454</f>
        <v/>
      </c>
      <c r="AJ331" s="1532">
        <f>AJ471/AJ454</f>
        <v/>
      </c>
      <c r="AK331" s="1566">
        <f>AK471/AK454</f>
        <v/>
      </c>
      <c r="AL331" s="1566">
        <f>AL471/AL454</f>
        <v/>
      </c>
      <c r="AM331" s="1566">
        <f>AM471/AM454</f>
        <v/>
      </c>
      <c r="AN331" s="1566">
        <f>AN471/AN454</f>
        <v/>
      </c>
      <c r="AO331" s="1532">
        <f>AO471/AO454</f>
        <v/>
      </c>
      <c r="AP331" s="1566">
        <f>AP471/AP454</f>
        <v/>
      </c>
      <c r="AQ331" s="1566">
        <f>AQ471/AQ454</f>
        <v/>
      </c>
      <c r="AR331" s="1566">
        <f>AR471/AR454</f>
        <v/>
      </c>
      <c r="AS331" s="1566">
        <f>AS471/AS454</f>
        <v/>
      </c>
      <c r="AT331" s="1532">
        <f>AT471/AT454</f>
        <v/>
      </c>
      <c r="AU331" s="1566">
        <f>AU471/AU454</f>
        <v/>
      </c>
      <c r="AV331" s="1566">
        <f>AV471/AV454</f>
        <v/>
      </c>
      <c r="AW331" s="1566">
        <f>AW471/AW454</f>
        <v/>
      </c>
      <c r="AX331" s="1566">
        <f>AX471/AX454</f>
        <v/>
      </c>
      <c r="AY331" s="1532">
        <f>AY471/AY454</f>
        <v/>
      </c>
      <c r="AZ331" s="1566">
        <f>AZ471/AZ454</f>
        <v/>
      </c>
      <c r="BA331" s="1566">
        <f>BA471/BA454</f>
        <v/>
      </c>
      <c r="BB331" s="1566">
        <f>BB471/BB454</f>
        <v/>
      </c>
      <c r="BC331" s="1566">
        <f>BC471/BC454</f>
        <v/>
      </c>
      <c r="BD331" s="1532">
        <f>BD471/BD454</f>
        <v/>
      </c>
      <c r="BE331" s="1566">
        <f>BE471/BE454</f>
        <v/>
      </c>
      <c r="BF331" s="1566">
        <f>BF471/BF454</f>
        <v/>
      </c>
      <c r="BG331" s="1566">
        <f>BG471/BG454</f>
        <v/>
      </c>
      <c r="BH331" s="1566">
        <f>BH471/BH454</f>
        <v/>
      </c>
      <c r="BI331" s="1532">
        <f>BI471/BI454</f>
        <v/>
      </c>
      <c r="BJ331" s="1566">
        <f>BJ471/BJ454</f>
        <v/>
      </c>
      <c r="BK331" s="1566">
        <f>BK471/BK454</f>
        <v/>
      </c>
      <c r="BL331" s="1566">
        <f>BL471/BL454</f>
        <v/>
      </c>
      <c r="BM331" s="1566">
        <f>BM471/BM454</f>
        <v/>
      </c>
      <c r="BN331" s="1532">
        <f>BN471/BN454</f>
        <v/>
      </c>
      <c r="BO331" s="1566">
        <f>BO471/BO454</f>
        <v/>
      </c>
      <c r="BP331" s="1566">
        <f>BP471/BP454</f>
        <v/>
      </c>
      <c r="BQ331" s="1567">
        <f>BQ471/BQ454</f>
        <v/>
      </c>
      <c r="BR331" s="1566">
        <f>BR471/BR454</f>
        <v/>
      </c>
      <c r="BS331" s="1532">
        <f>BS471/BS454</f>
        <v/>
      </c>
      <c r="BT331" s="1566">
        <f>BT471/BT454</f>
        <v/>
      </c>
      <c r="BU331" s="1566">
        <f>BU471/BU454</f>
        <v/>
      </c>
      <c r="BV331" s="1566">
        <f>BV471/BV454</f>
        <v/>
      </c>
      <c r="BW331" s="1566">
        <f>BW471/BW454</f>
        <v/>
      </c>
      <c r="BX331" s="1532">
        <f>BX471/BX454</f>
        <v/>
      </c>
      <c r="BY331" s="1532">
        <f>BY471/BY454</f>
        <v/>
      </c>
      <c r="BZ331" s="1532">
        <f>BZ471/BZ454</f>
        <v/>
      </c>
      <c r="CA331" s="1532">
        <f>CA471/CA454</f>
        <v/>
      </c>
      <c r="CB331" s="1465" t="n"/>
    </row>
    <row r="332" hidden="1" outlineLevel="1" ht="14.4" customFormat="1" customHeight="1" s="1460">
      <c r="A332" s="1568" t="inlineStr">
        <is>
          <t>Non-GAAP S&amp;M Margin, %</t>
        </is>
      </c>
      <c r="B332" s="1558" t="n"/>
      <c r="C332" s="1559" t="n"/>
      <c r="D332" s="1559">
        <f>D475/D454</f>
        <v/>
      </c>
      <c r="E332" s="1559">
        <f>E475/E454</f>
        <v/>
      </c>
      <c r="F332" s="1559">
        <f>F475/F454</f>
        <v/>
      </c>
      <c r="G332" s="1560">
        <f>G475/G454</f>
        <v/>
      </c>
      <c r="H332" s="1560">
        <f>H475/H454</f>
        <v/>
      </c>
      <c r="I332" s="1560">
        <f>I475/I454</f>
        <v/>
      </c>
      <c r="J332" s="1560">
        <f>J475/J454</f>
        <v/>
      </c>
      <c r="K332" s="1559">
        <f>K475/K454</f>
        <v/>
      </c>
      <c r="L332" s="1560">
        <f>L475/L454</f>
        <v/>
      </c>
      <c r="M332" s="1560">
        <f>M475/M454</f>
        <v/>
      </c>
      <c r="N332" s="1560">
        <f>N475/N454</f>
        <v/>
      </c>
      <c r="O332" s="1560">
        <f>O475/O454</f>
        <v/>
      </c>
      <c r="P332" s="1559">
        <f>P475/P454</f>
        <v/>
      </c>
      <c r="Q332" s="1560">
        <f>Q475/Q454</f>
        <v/>
      </c>
      <c r="R332" s="1560">
        <f>R475/R454</f>
        <v/>
      </c>
      <c r="S332" s="1560">
        <f>S475/S454</f>
        <v/>
      </c>
      <c r="T332" s="1560">
        <f>T475/T454</f>
        <v/>
      </c>
      <c r="U332" s="1559">
        <f>U475/U454</f>
        <v/>
      </c>
      <c r="V332" s="1560">
        <f>V475/V454</f>
        <v/>
      </c>
      <c r="W332" s="1560">
        <f>W475/W454</f>
        <v/>
      </c>
      <c r="X332" s="1560">
        <f>X475/X454</f>
        <v/>
      </c>
      <c r="Y332" s="1560">
        <f>Y475/Y454</f>
        <v/>
      </c>
      <c r="Z332" s="1561">
        <f>Z475/Z454</f>
        <v/>
      </c>
      <c r="AA332" s="1560">
        <f>AA475/AA454</f>
        <v/>
      </c>
      <c r="AB332" s="1560">
        <f>AB475/AB454</f>
        <v/>
      </c>
      <c r="AC332" s="1560">
        <f>AC475/AC454</f>
        <v/>
      </c>
      <c r="AD332" s="1560">
        <f>AD475/AD454</f>
        <v/>
      </c>
      <c r="AE332" s="1561">
        <f>AE475/AE454</f>
        <v/>
      </c>
      <c r="AF332" s="1560">
        <f>AF475/AF454</f>
        <v/>
      </c>
      <c r="AG332" s="1560">
        <f>AG475/AG454</f>
        <v/>
      </c>
      <c r="AH332" s="1560">
        <f>AH475/AH454</f>
        <v/>
      </c>
      <c r="AI332" s="1560">
        <f>AI475/AI454</f>
        <v/>
      </c>
      <c r="AJ332" s="1561">
        <f>AJ475/AJ454</f>
        <v/>
      </c>
      <c r="AK332" s="1560">
        <f>AK475/AK454</f>
        <v/>
      </c>
      <c r="AL332" s="1560">
        <f>AL475/AL454</f>
        <v/>
      </c>
      <c r="AM332" s="1560">
        <f>AM475/AM454</f>
        <v/>
      </c>
      <c r="AN332" s="1560">
        <f>AN475/AN454</f>
        <v/>
      </c>
      <c r="AO332" s="1561">
        <f>AO475/AO454</f>
        <v/>
      </c>
      <c r="AP332" s="1560">
        <f>AP475/AP454</f>
        <v/>
      </c>
      <c r="AQ332" s="1560">
        <f>AQ475/AQ454</f>
        <v/>
      </c>
      <c r="AR332" s="1560">
        <f>AR475/AR454</f>
        <v/>
      </c>
      <c r="AS332" s="1560">
        <f>AS475/AS454</f>
        <v/>
      </c>
      <c r="AT332" s="1561">
        <f>AT475/AT454</f>
        <v/>
      </c>
      <c r="AU332" s="1560">
        <f>AU475/AU454</f>
        <v/>
      </c>
      <c r="AV332" s="1560">
        <f>AV475/AV454</f>
        <v/>
      </c>
      <c r="AW332" s="1560">
        <f>AW475/AW454</f>
        <v/>
      </c>
      <c r="AX332" s="1560">
        <f>AX475/AX454</f>
        <v/>
      </c>
      <c r="AY332" s="1561">
        <f>AY475/AY454</f>
        <v/>
      </c>
      <c r="AZ332" s="1560">
        <f>AZ475/AZ454</f>
        <v/>
      </c>
      <c r="BA332" s="1560">
        <f>BA475/BA454</f>
        <v/>
      </c>
      <c r="BB332" s="1560">
        <f>BB475/BB454</f>
        <v/>
      </c>
      <c r="BC332" s="1560">
        <f>BC475/BC454</f>
        <v/>
      </c>
      <c r="BD332" s="1561">
        <f>BD475/BD454</f>
        <v/>
      </c>
      <c r="BE332" s="1560">
        <f>BE475/BE454</f>
        <v/>
      </c>
      <c r="BF332" s="1560">
        <f>BF475/BF454</f>
        <v/>
      </c>
      <c r="BG332" s="1560">
        <f>BG475/BG454</f>
        <v/>
      </c>
      <c r="BH332" s="1560">
        <f>BH475/BH454</f>
        <v/>
      </c>
      <c r="BI332" s="1561">
        <f>BI475/BI454</f>
        <v/>
      </c>
      <c r="BJ332" s="1560">
        <f>BJ475/BJ454</f>
        <v/>
      </c>
      <c r="BK332" s="1560">
        <f>BK475/BK454</f>
        <v/>
      </c>
      <c r="BL332" s="1560">
        <f>BL475/BL454</f>
        <v/>
      </c>
      <c r="BM332" s="1560">
        <f>BM475/BM454</f>
        <v/>
      </c>
      <c r="BN332" s="1561">
        <f>BN475/BN454</f>
        <v/>
      </c>
      <c r="BO332" s="1560">
        <f>BO475/BO454</f>
        <v/>
      </c>
      <c r="BP332" s="1560">
        <f>BP475/BP454</f>
        <v/>
      </c>
      <c r="BQ332" s="1562">
        <f>BQ475/BQ454</f>
        <v/>
      </c>
      <c r="BR332" s="1560">
        <f>BR475/BR454</f>
        <v/>
      </c>
      <c r="BS332" s="1561">
        <f>BS475/BS454</f>
        <v/>
      </c>
      <c r="BT332" s="1560">
        <f>BT475/BT454</f>
        <v/>
      </c>
      <c r="BU332" s="1560">
        <f>BU475/BU454</f>
        <v/>
      </c>
      <c r="BV332" s="1560">
        <f>BV475/BV454</f>
        <v/>
      </c>
      <c r="BW332" s="1560">
        <f>BW475/BW454</f>
        <v/>
      </c>
      <c r="BX332" s="1561">
        <f>BX475/BX454</f>
        <v/>
      </c>
      <c r="BY332" s="1561">
        <f>BY475/BY454</f>
        <v/>
      </c>
      <c r="BZ332" s="1561">
        <f>BZ475/BZ454</f>
        <v/>
      </c>
      <c r="CA332" s="1561">
        <f>CA475/CA454</f>
        <v/>
      </c>
      <c r="CB332" s="1465" t="n"/>
    </row>
    <row r="333" hidden="1" outlineLevel="1" ht="14.4" customFormat="1" customHeight="1" s="1460">
      <c r="A333" s="1530" t="inlineStr">
        <is>
          <t>Non-GAAP Operating Income Margin, %</t>
        </is>
      </c>
      <c r="B333" s="1564" t="n"/>
      <c r="C333" s="1565" t="n"/>
      <c r="D333" s="1565">
        <f>D476/D454</f>
        <v/>
      </c>
      <c r="E333" s="1565">
        <f>E476/E454</f>
        <v/>
      </c>
      <c r="F333" s="1565">
        <f>F476/F454</f>
        <v/>
      </c>
      <c r="G333" s="1566">
        <f>G476/G454</f>
        <v/>
      </c>
      <c r="H333" s="1566">
        <f>H476/H454</f>
        <v/>
      </c>
      <c r="I333" s="1566">
        <f>I476/I454</f>
        <v/>
      </c>
      <c r="J333" s="1566">
        <f>J476/J454</f>
        <v/>
      </c>
      <c r="K333" s="1565">
        <f>K476/K454</f>
        <v/>
      </c>
      <c r="L333" s="1566">
        <f>L476/L454</f>
        <v/>
      </c>
      <c r="M333" s="1566">
        <f>M476/M454</f>
        <v/>
      </c>
      <c r="N333" s="1566">
        <f>N476/N454</f>
        <v/>
      </c>
      <c r="O333" s="1566">
        <f>O476/O454</f>
        <v/>
      </c>
      <c r="P333" s="1565">
        <f>P476/P454</f>
        <v/>
      </c>
      <c r="Q333" s="1566">
        <f>Q476/Q454</f>
        <v/>
      </c>
      <c r="R333" s="1566">
        <f>R476/R454</f>
        <v/>
      </c>
      <c r="S333" s="1566">
        <f>S476/S454</f>
        <v/>
      </c>
      <c r="T333" s="1566">
        <f>T476/T454</f>
        <v/>
      </c>
      <c r="U333" s="1565">
        <f>U476/U454</f>
        <v/>
      </c>
      <c r="V333" s="1566">
        <f>V476/V454</f>
        <v/>
      </c>
      <c r="W333" s="1566">
        <f>W476/W454</f>
        <v/>
      </c>
      <c r="X333" s="1566">
        <f>X476/X454</f>
        <v/>
      </c>
      <c r="Y333" s="1566">
        <f>Y476/Y454</f>
        <v/>
      </c>
      <c r="Z333" s="1532">
        <f>Z476/Z454</f>
        <v/>
      </c>
      <c r="AA333" s="1566">
        <f>AA476/AA454</f>
        <v/>
      </c>
      <c r="AB333" s="1566">
        <f>AB476/AB454</f>
        <v/>
      </c>
      <c r="AC333" s="1566">
        <f>AC476/AC454</f>
        <v/>
      </c>
      <c r="AD333" s="1566">
        <f>AD476/AD454</f>
        <v/>
      </c>
      <c r="AE333" s="1532">
        <f>AE476/AE454</f>
        <v/>
      </c>
      <c r="AF333" s="1566">
        <f>AF476/AF454</f>
        <v/>
      </c>
      <c r="AG333" s="1566">
        <f>AG476/AG454</f>
        <v/>
      </c>
      <c r="AH333" s="1566">
        <f>AH476/AH454</f>
        <v/>
      </c>
      <c r="AI333" s="1566">
        <f>AI476/AI454</f>
        <v/>
      </c>
      <c r="AJ333" s="1532">
        <f>AJ476/AJ454</f>
        <v/>
      </c>
      <c r="AK333" s="1566">
        <f>AK476/AK454</f>
        <v/>
      </c>
      <c r="AL333" s="1566">
        <f>AL476/AL454</f>
        <v/>
      </c>
      <c r="AM333" s="1566">
        <f>AM476/AM454</f>
        <v/>
      </c>
      <c r="AN333" s="1566">
        <f>AN476/AN454</f>
        <v/>
      </c>
      <c r="AO333" s="1532">
        <f>AO476/AO454</f>
        <v/>
      </c>
      <c r="AP333" s="1566">
        <f>AP476/AP454</f>
        <v/>
      </c>
      <c r="AQ333" s="1566">
        <f>AQ476/AQ454</f>
        <v/>
      </c>
      <c r="AR333" s="1566">
        <f>AR476/AR454</f>
        <v/>
      </c>
      <c r="AS333" s="1566">
        <f>AS476/AS454</f>
        <v/>
      </c>
      <c r="AT333" s="1532">
        <f>AT476/AT454</f>
        <v/>
      </c>
      <c r="AU333" s="1566">
        <f>AU476/AU454</f>
        <v/>
      </c>
      <c r="AV333" s="1566">
        <f>AV476/AV454</f>
        <v/>
      </c>
      <c r="AW333" s="1566">
        <f>AW476/AW454</f>
        <v/>
      </c>
      <c r="AX333" s="1566">
        <f>AX476/AX454</f>
        <v/>
      </c>
      <c r="AY333" s="1532">
        <f>AY476/AY454</f>
        <v/>
      </c>
      <c r="AZ333" s="1566">
        <f>AZ476/AZ454</f>
        <v/>
      </c>
      <c r="BA333" s="1566">
        <f>BA476/BA454</f>
        <v/>
      </c>
      <c r="BB333" s="1566">
        <f>BB476/BB454</f>
        <v/>
      </c>
      <c r="BC333" s="1566">
        <f>BC476/BC454</f>
        <v/>
      </c>
      <c r="BD333" s="1532">
        <f>BD476/BD454</f>
        <v/>
      </c>
      <c r="BE333" s="1566">
        <f>BE476/BE454</f>
        <v/>
      </c>
      <c r="BF333" s="1566">
        <f>BF476/BF454</f>
        <v/>
      </c>
      <c r="BG333" s="1566">
        <f>BG476/BG454</f>
        <v/>
      </c>
      <c r="BH333" s="1566">
        <f>BH476/BH454</f>
        <v/>
      </c>
      <c r="BI333" s="1532">
        <f>BI476/BI454</f>
        <v/>
      </c>
      <c r="BJ333" s="1566">
        <f>BJ476/BJ454</f>
        <v/>
      </c>
      <c r="BK333" s="1566">
        <f>BK476/BK454</f>
        <v/>
      </c>
      <c r="BL333" s="1566">
        <f>BL476/BL454</f>
        <v/>
      </c>
      <c r="BM333" s="1566">
        <f>BM476/BM454</f>
        <v/>
      </c>
      <c r="BN333" s="1532">
        <f>BN476/BN454</f>
        <v/>
      </c>
      <c r="BO333" s="1566">
        <f>BO476/BO454</f>
        <v/>
      </c>
      <c r="BP333" s="1566">
        <f>BP476/BP454</f>
        <v/>
      </c>
      <c r="BQ333" s="1567">
        <f>BQ476/BQ454</f>
        <v/>
      </c>
      <c r="BR333" s="1566">
        <f>BR476/BR454</f>
        <v/>
      </c>
      <c r="BS333" s="1532">
        <f>BS476/BS454</f>
        <v/>
      </c>
      <c r="BT333" s="1566">
        <f>BT476/BT454</f>
        <v/>
      </c>
      <c r="BU333" s="1566">
        <f>BU476/BU454</f>
        <v/>
      </c>
      <c r="BV333" s="1566">
        <f>BV476/BV454</f>
        <v/>
      </c>
      <c r="BW333" s="1566">
        <f>BW476/BW454</f>
        <v/>
      </c>
      <c r="BX333" s="1532">
        <f>BX476/BX454</f>
        <v/>
      </c>
      <c r="BY333" s="1532">
        <f>BY476/BY454</f>
        <v/>
      </c>
      <c r="BZ333" s="1532">
        <f>BZ476/BZ454</f>
        <v/>
      </c>
      <c r="CA333" s="1532">
        <f>CA476/CA454</f>
        <v/>
      </c>
      <c r="CB333" s="1465" t="n"/>
    </row>
    <row r="334" hidden="1" outlineLevel="1" ht="14.4" customFormat="1" customHeight="1" s="1460">
      <c r="A334" s="1530" t="inlineStr">
        <is>
          <t>Company Reported Non-GAAP Operating Income Margin, %</t>
        </is>
      </c>
      <c r="B334" s="1564" t="n"/>
      <c r="C334" s="1565" t="n"/>
      <c r="D334" s="1565">
        <f>D478/D454</f>
        <v/>
      </c>
      <c r="E334" s="1565">
        <f>E478/E454</f>
        <v/>
      </c>
      <c r="F334" s="1565">
        <f>F478/F454</f>
        <v/>
      </c>
      <c r="G334" s="1566">
        <f>G478/G454</f>
        <v/>
      </c>
      <c r="H334" s="1566">
        <f>H478/H454</f>
        <v/>
      </c>
      <c r="I334" s="1566">
        <f>I478/I454</f>
        <v/>
      </c>
      <c r="J334" s="1566">
        <f>J478/J454</f>
        <v/>
      </c>
      <c r="K334" s="1565">
        <f>K478/K454</f>
        <v/>
      </c>
      <c r="L334" s="1566">
        <f>L478/L454</f>
        <v/>
      </c>
      <c r="M334" s="1566">
        <f>M478/M454</f>
        <v/>
      </c>
      <c r="N334" s="1566">
        <f>N478/N454</f>
        <v/>
      </c>
      <c r="O334" s="1566">
        <f>O478/O454</f>
        <v/>
      </c>
      <c r="P334" s="1565">
        <f>P478/P454</f>
        <v/>
      </c>
      <c r="Q334" s="1566">
        <f>Q478/Q454</f>
        <v/>
      </c>
      <c r="R334" s="1566">
        <f>R478/R454</f>
        <v/>
      </c>
      <c r="S334" s="1566">
        <f>S478/S454</f>
        <v/>
      </c>
      <c r="T334" s="1566">
        <f>T478/T454</f>
        <v/>
      </c>
      <c r="U334" s="1565">
        <f>U478/U454</f>
        <v/>
      </c>
      <c r="V334" s="1566">
        <f>V478/V454</f>
        <v/>
      </c>
      <c r="W334" s="1566">
        <f>W478/W454</f>
        <v/>
      </c>
      <c r="X334" s="1566">
        <f>X478/X454</f>
        <v/>
      </c>
      <c r="Y334" s="1566">
        <f>Y478/Y454</f>
        <v/>
      </c>
      <c r="Z334" s="1532">
        <f>Z478/Z454</f>
        <v/>
      </c>
      <c r="AA334" s="1566">
        <f>AA478/AA454</f>
        <v/>
      </c>
      <c r="AB334" s="1566">
        <f>AB478/AB454</f>
        <v/>
      </c>
      <c r="AC334" s="1566">
        <f>AC478/AC454</f>
        <v/>
      </c>
      <c r="AD334" s="1566">
        <f>AD478/AD454</f>
        <v/>
      </c>
      <c r="AE334" s="1532">
        <f>AE478/AE454</f>
        <v/>
      </c>
      <c r="AF334" s="1566">
        <f>AF478/AF454</f>
        <v/>
      </c>
      <c r="AG334" s="1566">
        <f>AG478/AG454</f>
        <v/>
      </c>
      <c r="AH334" s="1566">
        <f>AH478/AH454</f>
        <v/>
      </c>
      <c r="AI334" s="1566">
        <f>AI478/AI454</f>
        <v/>
      </c>
      <c r="AJ334" s="1532">
        <f>AJ478/AJ454</f>
        <v/>
      </c>
      <c r="AK334" s="1566">
        <f>AK478/AK454</f>
        <v/>
      </c>
      <c r="AL334" s="1566">
        <f>AL478/AL454</f>
        <v/>
      </c>
      <c r="AM334" s="1566">
        <f>AM478/AM454</f>
        <v/>
      </c>
      <c r="AN334" s="1566">
        <f>AN478/AN454</f>
        <v/>
      </c>
      <c r="AO334" s="1532">
        <f>AO478/AO454</f>
        <v/>
      </c>
      <c r="AP334" s="1566">
        <f>AP478/AP454</f>
        <v/>
      </c>
      <c r="AQ334" s="1566">
        <f>AQ478/AQ454</f>
        <v/>
      </c>
      <c r="AR334" s="1566">
        <f>AR478/AR454</f>
        <v/>
      </c>
      <c r="AS334" s="1566">
        <f>AS478/AS454</f>
        <v/>
      </c>
      <c r="AT334" s="1532">
        <f>AT478/AT454</f>
        <v/>
      </c>
      <c r="AU334" s="1566">
        <f>AU478/AU454</f>
        <v/>
      </c>
      <c r="AV334" s="1566">
        <f>AV478/AV454</f>
        <v/>
      </c>
      <c r="AW334" s="1566">
        <f>AW478/AW454</f>
        <v/>
      </c>
      <c r="AX334" s="1566">
        <f>AX478/AX454</f>
        <v/>
      </c>
      <c r="AY334" s="1532">
        <f>AY478/AY454</f>
        <v/>
      </c>
      <c r="AZ334" s="1566">
        <f>AZ478/AZ454</f>
        <v/>
      </c>
      <c r="BA334" s="1566">
        <f>BA478/BA454</f>
        <v/>
      </c>
      <c r="BB334" s="1566">
        <f>BB478/BB454</f>
        <v/>
      </c>
      <c r="BC334" s="1566">
        <f>BC478/BC454</f>
        <v/>
      </c>
      <c r="BD334" s="1532">
        <f>BD478/BD454</f>
        <v/>
      </c>
      <c r="BE334" s="1566">
        <f>BE478/BE454</f>
        <v/>
      </c>
      <c r="BF334" s="1566">
        <f>BF478/BF454</f>
        <v/>
      </c>
      <c r="BG334" s="1566">
        <f>BG478/BG454</f>
        <v/>
      </c>
      <c r="BH334" s="1566">
        <f>BH478/BH454</f>
        <v/>
      </c>
      <c r="BI334" s="1532">
        <f>BI478/BI454</f>
        <v/>
      </c>
      <c r="BJ334" s="1566">
        <f>BJ478/BJ454</f>
        <v/>
      </c>
      <c r="BK334" s="1566">
        <f>BK478/BK454</f>
        <v/>
      </c>
      <c r="BL334" s="1566">
        <f>BL478/BL454</f>
        <v/>
      </c>
      <c r="BM334" s="1566">
        <f>BM478/BM454</f>
        <v/>
      </c>
      <c r="BN334" s="1532">
        <f>BN478/BN454</f>
        <v/>
      </c>
      <c r="BO334" s="1566">
        <f>BO478/BO454</f>
        <v/>
      </c>
      <c r="BP334" s="1566">
        <f>BP478/BP454</f>
        <v/>
      </c>
      <c r="BQ334" s="1567">
        <f>BQ478/BQ454</f>
        <v/>
      </c>
      <c r="BR334" s="1566">
        <f>BR478/BR454</f>
        <v/>
      </c>
      <c r="BS334" s="1532">
        <f>BS478/BS454</f>
        <v/>
      </c>
      <c r="BT334" s="1566">
        <f>BT478/BT454</f>
        <v/>
      </c>
      <c r="BU334" s="1566">
        <f>BU478/BU454</f>
        <v/>
      </c>
      <c r="BV334" s="1566">
        <f>BV478/BV454</f>
        <v/>
      </c>
      <c r="BW334" s="1566">
        <f>BW478/BW454</f>
        <v/>
      </c>
      <c r="BX334" s="1532">
        <f>BX478/BX454</f>
        <v/>
      </c>
      <c r="BY334" s="1532">
        <f>BY478/BY454</f>
        <v/>
      </c>
      <c r="BZ334" s="1532">
        <f>BZ478/BZ454</f>
        <v/>
      </c>
      <c r="CA334" s="1532">
        <f>CA478/CA454</f>
        <v/>
      </c>
      <c r="CB334" s="1465" t="n"/>
    </row>
    <row r="335" hidden="1" outlineLevel="1" ht="14.4" customFormat="1" customHeight="1" s="1460">
      <c r="A335" s="1501" t="inlineStr">
        <is>
          <t>Consensus Estimates - Company Reported Non-GAAP Operating Income Margin, %</t>
        </is>
      </c>
      <c r="B335" s="1569" t="n"/>
      <c r="C335" s="1570" t="n"/>
      <c r="D335" s="1570" t="n"/>
      <c r="E335" s="1570" t="n"/>
      <c r="F335" s="1570" t="n"/>
      <c r="G335" s="1571" t="n"/>
      <c r="H335" s="1571" t="n"/>
      <c r="I335" s="1571" t="n"/>
      <c r="J335" s="1571" t="n"/>
      <c r="K335" s="1570" t="n"/>
      <c r="L335" s="1571" t="n"/>
      <c r="M335" s="1571" t="n"/>
      <c r="N335" s="1571" t="n"/>
      <c r="O335" s="1571" t="n"/>
      <c r="P335" s="1570" t="n"/>
      <c r="Q335" s="1571" t="n"/>
      <c r="R335" s="1571" t="n"/>
      <c r="S335" s="1571" t="n"/>
      <c r="T335" s="1571" t="n"/>
      <c r="U335" s="1570" t="n"/>
      <c r="V335" s="1571" t="n"/>
      <c r="W335" s="1571" t="n"/>
      <c r="X335" s="1571" t="n"/>
      <c r="Y335" s="1571" t="n"/>
      <c r="Z335" s="1382" t="n"/>
      <c r="AA335" s="1571" t="n"/>
      <c r="AB335" s="1571" t="n"/>
      <c r="AC335" s="1571" t="n"/>
      <c r="AD335" s="1571" t="n"/>
      <c r="AE335" s="1382" t="n"/>
      <c r="AF335" s="1571" t="n"/>
      <c r="AG335" s="1571" t="n"/>
      <c r="AH335" s="1571" t="n"/>
      <c r="AI335" s="1571" t="n"/>
      <c r="AJ335" s="1382" t="n"/>
      <c r="AK335" s="1571" t="n"/>
      <c r="AL335" s="1571" t="n"/>
      <c r="AM335" s="1571" t="n"/>
      <c r="AN335" s="1571" t="n"/>
      <c r="AO335" s="1382" t="n"/>
      <c r="AP335" s="1571" t="n"/>
      <c r="AQ335" s="1571" t="n"/>
      <c r="AR335" s="1571" t="n"/>
      <c r="AS335" s="1571" t="n"/>
      <c r="AT335" s="1382" t="n"/>
      <c r="AU335" s="1571" t="n"/>
      <c r="AV335" s="1571" t="n"/>
      <c r="AW335" s="1571" t="n"/>
      <c r="AX335" s="1571" t="n"/>
      <c r="AY335" s="1382" t="n"/>
      <c r="AZ335" s="1571" t="n"/>
      <c r="BA335" s="1571" t="n"/>
      <c r="BB335" s="1571" t="n"/>
      <c r="BC335" s="1571" t="n"/>
      <c r="BD335" s="1382" t="n"/>
      <c r="BE335" s="1571" t="n"/>
      <c r="BF335" s="1571" t="n"/>
      <c r="BG335" s="1571" t="n"/>
      <c r="BH335" s="1571" t="n"/>
      <c r="BI335" s="1382" t="n"/>
      <c r="BJ335" s="1571" t="n"/>
      <c r="BK335" s="1571" t="n"/>
      <c r="BL335" s="1571" t="n"/>
      <c r="BM335" s="1571" t="n"/>
      <c r="BN335" s="1382" t="n"/>
      <c r="BO335" s="1571" t="n"/>
      <c r="BP335" s="1571" t="n"/>
      <c r="BQ335" s="1572" t="n"/>
      <c r="BR335" s="1483">
        <f>IFERROR(BR479/BR455,0)</f>
        <v/>
      </c>
      <c r="BS335" s="1484">
        <f>IFERROR(BS479/BS455,0)</f>
        <v/>
      </c>
      <c r="BT335" s="1483">
        <f>IFERROR(BT479/BT455,0)</f>
        <v/>
      </c>
      <c r="BU335" s="1483">
        <f>IFERROR(BU479/BU455,0)</f>
        <v/>
      </c>
      <c r="BV335" s="1483">
        <f>IFERROR(BV479/BV455,0)</f>
        <v/>
      </c>
      <c r="BW335" s="1483">
        <f>IFERROR(BW479/BW455,0)</f>
        <v/>
      </c>
      <c r="BX335" s="1484">
        <f>IFERROR(BX479/BX455,0)</f>
        <v/>
      </c>
      <c r="BY335" s="1484">
        <f>IFERROR(BY479/BY455,0)</f>
        <v/>
      </c>
      <c r="BZ335" s="1484">
        <f>IFERROR(BZ479/BZ455,0)</f>
        <v/>
      </c>
      <c r="CA335" s="1484">
        <f>IFERROR(CA479/CA455,0)</f>
        <v/>
      </c>
      <c r="CB335" s="1465" t="n"/>
    </row>
    <row r="336" hidden="1" outlineLevel="1" ht="14.4" customFormat="1" customHeight="1" s="1460">
      <c r="A336" s="1501">
        <f>CONCATENATE("Guidance - ",IFERROR(LEFT(A334,FIND("(",A334)-1),A334))</f>
        <v/>
      </c>
      <c r="B336" s="1569" t="n"/>
      <c r="C336" s="1570" t="n"/>
      <c r="D336" s="1570" t="n"/>
      <c r="E336" s="1570" t="n"/>
      <c r="F336" s="1570" t="n"/>
      <c r="G336" s="1571" t="n"/>
      <c r="H336" s="1571" t="n"/>
      <c r="I336" s="1571" t="n"/>
      <c r="J336" s="1571" t="n"/>
      <c r="K336" s="1570" t="n"/>
      <c r="L336" s="1571" t="n"/>
      <c r="M336" s="1571" t="n"/>
      <c r="N336" s="1571" t="n"/>
      <c r="O336" s="1571" t="n"/>
      <c r="P336" s="1570" t="n"/>
      <c r="Q336" s="1571" t="n"/>
      <c r="R336" s="1571" t="n"/>
      <c r="S336" s="1571" t="n"/>
      <c r="T336" s="1571" t="n"/>
      <c r="U336" s="1570" t="n"/>
      <c r="V336" s="1571" t="n"/>
      <c r="W336" s="1571" t="n"/>
      <c r="X336" s="1571" t="n"/>
      <c r="Y336" s="1571" t="n"/>
      <c r="Z336" s="1382" t="n"/>
      <c r="AA336" s="1571" t="n"/>
      <c r="AB336" s="1571" t="n"/>
      <c r="AC336" s="1571" t="n"/>
      <c r="AD336" s="1571" t="n"/>
      <c r="AE336" s="1382" t="n"/>
      <c r="AF336" s="1571" t="n"/>
      <c r="AG336" s="1571" t="n"/>
      <c r="AH336" s="1571" t="n"/>
      <c r="AI336" s="1571" t="n"/>
      <c r="AJ336" s="1382" t="n"/>
      <c r="AK336" s="1571" t="n"/>
      <c r="AL336" s="1571" t="n"/>
      <c r="AM336" s="1571">
        <f>AM792</f>
        <v/>
      </c>
      <c r="AN336" s="1571">
        <f>AN792</f>
        <v/>
      </c>
      <c r="AO336" s="1382">
        <f>AO792</f>
        <v/>
      </c>
      <c r="AP336" s="1571">
        <f>AP792</f>
        <v/>
      </c>
      <c r="AQ336" s="1571">
        <f>AQ792</f>
        <v/>
      </c>
      <c r="AR336" s="1571">
        <f>AR792</f>
        <v/>
      </c>
      <c r="AS336" s="1571">
        <f>AS792</f>
        <v/>
      </c>
      <c r="AT336" s="1382">
        <f>AT792</f>
        <v/>
      </c>
      <c r="AU336" s="1571">
        <f>AU792</f>
        <v/>
      </c>
      <c r="AV336" s="1571">
        <f>AV792</f>
        <v/>
      </c>
      <c r="AW336" s="1571">
        <f>AW792</f>
        <v/>
      </c>
      <c r="AX336" s="1571">
        <f>AX792</f>
        <v/>
      </c>
      <c r="AY336" s="1382">
        <f>AY792</f>
        <v/>
      </c>
      <c r="AZ336" s="1571">
        <f>AZ792</f>
        <v/>
      </c>
      <c r="BA336" s="1571">
        <f>BA792</f>
        <v/>
      </c>
      <c r="BB336" s="1571">
        <f>BB792</f>
        <v/>
      </c>
      <c r="BC336" s="1571">
        <f>BC792</f>
        <v/>
      </c>
      <c r="BD336" s="1382">
        <f>BD792</f>
        <v/>
      </c>
      <c r="BE336" s="1571">
        <f>BE792</f>
        <v/>
      </c>
      <c r="BF336" s="1571">
        <f>BF792</f>
        <v/>
      </c>
      <c r="BG336" s="1571">
        <f>BG792</f>
        <v/>
      </c>
      <c r="BH336" s="1571">
        <f>BH792</f>
        <v/>
      </c>
      <c r="BI336" s="1382">
        <f>BI792</f>
        <v/>
      </c>
      <c r="BJ336" s="1571">
        <f>BJ792</f>
        <v/>
      </c>
      <c r="BK336" s="1571">
        <f>BK792</f>
        <v/>
      </c>
      <c r="BL336" s="1571">
        <f>BL792</f>
        <v/>
      </c>
      <c r="BM336" s="1571">
        <f>BM792</f>
        <v/>
      </c>
      <c r="BN336" s="1382">
        <f>BN792</f>
        <v/>
      </c>
      <c r="BO336" s="1571">
        <f>BO792</f>
        <v/>
      </c>
      <c r="BP336" s="1571">
        <f>BP792</f>
        <v/>
      </c>
      <c r="BQ336" s="1572">
        <f>BQ792</f>
        <v/>
      </c>
      <c r="BR336" s="1571">
        <f>BR792</f>
        <v/>
      </c>
      <c r="BS336" s="1382">
        <f>BS792</f>
        <v/>
      </c>
      <c r="BT336" s="1571">
        <f>BT792</f>
        <v/>
      </c>
      <c r="BU336" s="1571">
        <f>BU792</f>
        <v/>
      </c>
      <c r="BV336" s="1571">
        <f>BV792</f>
        <v/>
      </c>
      <c r="BW336" s="1571">
        <f>BW792</f>
        <v/>
      </c>
      <c r="BX336" s="1382">
        <f>BX792</f>
        <v/>
      </c>
      <c r="BY336" s="1382">
        <f>BY792</f>
        <v/>
      </c>
      <c r="BZ336" s="1382">
        <f>BZ792</f>
        <v/>
      </c>
      <c r="CA336" s="1382">
        <f>CA792</f>
        <v/>
      </c>
      <c r="CB336" s="1465" t="n"/>
    </row>
    <row r="337" collapsed="1" ht="14.4" customFormat="1" customHeight="1" s="1460">
      <c r="A337" s="1530" t="n"/>
      <c r="B337" s="1564" t="n"/>
      <c r="C337" s="1565" t="n"/>
      <c r="D337" s="1565" t="n"/>
      <c r="E337" s="1565" t="n"/>
      <c r="F337" s="1565" t="n"/>
      <c r="G337" s="1566" t="n"/>
      <c r="H337" s="1566" t="n"/>
      <c r="I337" s="1566" t="n"/>
      <c r="J337" s="1566" t="n"/>
      <c r="K337" s="1565" t="n"/>
      <c r="L337" s="1566" t="n"/>
      <c r="M337" s="1566" t="n"/>
      <c r="N337" s="1566" t="n"/>
      <c r="O337" s="1566" t="n"/>
      <c r="P337" s="1565" t="n"/>
      <c r="Q337" s="1566" t="n"/>
      <c r="R337" s="1566" t="n"/>
      <c r="S337" s="1566" t="n"/>
      <c r="T337" s="1566" t="n"/>
      <c r="U337" s="1565" t="n"/>
      <c r="V337" s="1566" t="n"/>
      <c r="W337" s="1566" t="n"/>
      <c r="X337" s="1566" t="n"/>
      <c r="Y337" s="1566" t="n"/>
      <c r="Z337" s="1532" t="n"/>
      <c r="AA337" s="1566" t="n"/>
      <c r="AB337" s="1566" t="n"/>
      <c r="AC337" s="1566" t="n"/>
      <c r="AD337" s="1566" t="n"/>
      <c r="AE337" s="1532" t="n"/>
      <c r="AF337" s="1566" t="n"/>
      <c r="AG337" s="1566" t="n"/>
      <c r="AH337" s="1566" t="n"/>
      <c r="AI337" s="1566" t="n"/>
      <c r="AJ337" s="1532" t="n"/>
      <c r="AK337" s="1566" t="n"/>
      <c r="AL337" s="1566" t="n"/>
      <c r="AM337" s="1566" t="n"/>
      <c r="AN337" s="1566" t="n"/>
      <c r="AO337" s="1532" t="n"/>
      <c r="AP337" s="1566" t="n"/>
      <c r="AQ337" s="1566" t="n"/>
      <c r="AR337" s="1566" t="n"/>
      <c r="AS337" s="1566" t="n"/>
      <c r="AT337" s="1532" t="n"/>
      <c r="AU337" s="1566" t="n"/>
      <c r="AV337" s="1566" t="n"/>
      <c r="AW337" s="1566" t="n"/>
      <c r="AX337" s="1566" t="n"/>
      <c r="AY337" s="1532" t="n"/>
      <c r="AZ337" s="1566" t="n"/>
      <c r="BA337" s="1566" t="n"/>
      <c r="BB337" s="1566" t="n"/>
      <c r="BC337" s="1566" t="n"/>
      <c r="BD337" s="1532" t="n"/>
      <c r="BE337" s="1566" t="n"/>
      <c r="BF337" s="1566" t="n"/>
      <c r="BG337" s="1566" t="n"/>
      <c r="BH337" s="1566" t="n"/>
      <c r="BI337" s="1532" t="n"/>
      <c r="BJ337" s="1566" t="n"/>
      <c r="BK337" s="1566" t="n"/>
      <c r="BL337" s="1566" t="n"/>
      <c r="BM337" s="1566" t="n"/>
      <c r="BN337" s="1532" t="n"/>
      <c r="BO337" s="1566" t="n"/>
      <c r="BP337" s="1566" t="n"/>
      <c r="BQ337" s="1567" t="n"/>
      <c r="BR337" s="1566" t="n"/>
      <c r="BS337" s="1532" t="n"/>
      <c r="BT337" s="1566" t="n"/>
      <c r="BU337" s="1566" t="n"/>
      <c r="BV337" s="1566" t="n"/>
      <c r="BW337" s="1566" t="n"/>
      <c r="BX337" s="1532" t="n"/>
      <c r="BY337" s="1532" t="n"/>
      <c r="BZ337" s="1532" t="n"/>
      <c r="CA337" s="1532" t="n"/>
      <c r="CB337" s="1465" t="n"/>
    </row>
    <row r="338" ht="14.4" customFormat="1" customHeight="1" s="1372">
      <c r="A338" s="1373" t="inlineStr">
        <is>
          <t>Income Statement - As Reported</t>
        </is>
      </c>
      <c r="B338" s="1373" t="n"/>
      <c r="C338" s="1373" t="n"/>
      <c r="D338" s="1373" t="n"/>
      <c r="E338" s="1373" t="n"/>
      <c r="F338" s="1373" t="n"/>
      <c r="G338" s="1373" t="n"/>
      <c r="H338" s="1373" t="n"/>
      <c r="I338" s="1373" t="n"/>
      <c r="J338" s="1373" t="n"/>
      <c r="K338" s="1373" t="n"/>
      <c r="L338" s="1373" t="n"/>
      <c r="M338" s="1373" t="n"/>
      <c r="N338" s="1373" t="n"/>
      <c r="O338" s="1373" t="n"/>
      <c r="P338" s="1373" t="n"/>
      <c r="Q338" s="1373" t="n"/>
      <c r="R338" s="1373" t="n"/>
      <c r="S338" s="1373" t="n"/>
      <c r="T338" s="1373" t="n"/>
      <c r="U338" s="1373" t="n"/>
      <c r="V338" s="1373" t="n"/>
      <c r="W338" s="1373" t="n"/>
      <c r="X338" s="1373" t="n"/>
      <c r="Y338" s="1373" t="n"/>
      <c r="Z338" s="1373" t="n"/>
      <c r="AA338" s="1373" t="n"/>
      <c r="AB338" s="1373" t="n"/>
      <c r="AC338" s="1373" t="n"/>
      <c r="AD338" s="1373" t="n"/>
      <c r="AE338" s="1373" t="n"/>
      <c r="AF338" s="1373" t="n"/>
      <c r="AG338" s="1373" t="n"/>
      <c r="AH338" s="1373" t="n"/>
      <c r="AI338" s="1373" t="n"/>
      <c r="AJ338" s="1373" t="n"/>
      <c r="AK338" s="1373" t="n"/>
      <c r="AL338" s="1373" t="n"/>
      <c r="AM338" s="1373" t="n"/>
      <c r="AN338" s="1373" t="n"/>
      <c r="AO338" s="1373" t="n"/>
      <c r="AP338" s="1373" t="n"/>
      <c r="AQ338" s="1373" t="n"/>
      <c r="AR338" s="1373" t="n"/>
      <c r="AS338" s="1373" t="n"/>
      <c r="AT338" s="1373" t="n"/>
      <c r="AU338" s="1373" t="n"/>
      <c r="AV338" s="1373" t="n"/>
      <c r="AW338" s="1373" t="n"/>
      <c r="AX338" s="1373" t="n"/>
      <c r="AY338" s="1373" t="n"/>
      <c r="AZ338" s="1373" t="n"/>
      <c r="BA338" s="1373" t="n"/>
      <c r="BB338" s="1373" t="n"/>
      <c r="BC338" s="1373" t="n"/>
      <c r="BD338" s="1373" t="n"/>
      <c r="BE338" s="1373" t="n"/>
      <c r="BF338" s="1373" t="n"/>
      <c r="BG338" s="1373" t="n"/>
      <c r="BH338" s="1373" t="n"/>
      <c r="BI338" s="1373" t="n"/>
      <c r="BJ338" s="1373" t="n"/>
      <c r="BK338" s="1373" t="n"/>
      <c r="BL338" s="1373" t="n"/>
      <c r="BM338" s="1373" t="n"/>
      <c r="BN338" s="1373" t="n"/>
      <c r="BO338" s="1373" t="n"/>
      <c r="BP338" s="1373" t="n"/>
      <c r="BQ338" s="1374" t="n"/>
      <c r="BR338" s="1373" t="n"/>
      <c r="BS338" s="1373" t="n"/>
      <c r="BT338" s="1373" t="n"/>
      <c r="BU338" s="1373" t="n"/>
      <c r="BV338" s="1373" t="n"/>
      <c r="BW338" s="1373" t="n"/>
      <c r="BX338" s="1373" t="n"/>
      <c r="BY338" s="1373" t="n"/>
      <c r="BZ338" s="1373" t="n"/>
      <c r="CA338" s="1373" t="n"/>
      <c r="CB338" s="1375" t="n"/>
    </row>
    <row r="339" hidden="1" outlineLevel="1" ht="14.4" customFormat="1" customHeight="1" s="1359">
      <c r="A339" s="1394" t="inlineStr">
        <is>
          <t>Product and maintenance</t>
        </is>
      </c>
      <c r="B339" s="1512" t="n"/>
      <c r="C339" s="1494" t="n">
        <v>400.773</v>
      </c>
      <c r="D339" s="1494" t="n">
        <v>471.598</v>
      </c>
      <c r="E339" s="1494" t="n">
        <v>1033.143</v>
      </c>
      <c r="F339" s="1494" t="n">
        <v>1212.429</v>
      </c>
      <c r="G339" s="1493" t="n">
        <v>328.271</v>
      </c>
      <c r="H339" s="1493" t="n">
        <v>337.983</v>
      </c>
      <c r="I339" s="1493" t="n">
        <v>341.601</v>
      </c>
      <c r="J339" s="1493" t="n">
        <v>350.079</v>
      </c>
      <c r="K339" s="1494" t="n">
        <v>1357.934</v>
      </c>
      <c r="L339" s="1493" t="n">
        <v>357.35</v>
      </c>
      <c r="M339" s="1493" t="n">
        <v>354.468</v>
      </c>
      <c r="N339" s="1493" t="n">
        <v>374.11</v>
      </c>
      <c r="O339" s="1493" t="n">
        <v>393.223</v>
      </c>
      <c r="P339" s="1494" t="n">
        <v>1479.151</v>
      </c>
      <c r="Q339" s="1493" t="n">
        <v>383.637</v>
      </c>
      <c r="R339" s="1493" t="n">
        <v>384.951</v>
      </c>
      <c r="S339" s="1493" t="n">
        <v>396.867</v>
      </c>
      <c r="T339" s="1493" t="n">
        <v>413.489</v>
      </c>
      <c r="U339" s="1494" t="n">
        <v>1578.944</v>
      </c>
      <c r="V339" s="1493" t="n">
        <v>411.744</v>
      </c>
      <c r="W339" s="1493" t="n">
        <v>419.963</v>
      </c>
      <c r="X339" s="1493" t="n">
        <v>415.37</v>
      </c>
      <c r="Y339" s="1364">
        <f>Z339-SUM(V339,W339,X339)</f>
        <v/>
      </c>
      <c r="Z339" s="1494" t="n">
        <v>1683.771</v>
      </c>
      <c r="AA339" s="1493" t="n">
        <v>451.407</v>
      </c>
      <c r="AB339" s="1493" t="n">
        <v>443.847</v>
      </c>
      <c r="AC339" s="1493" t="n">
        <v>451.229</v>
      </c>
      <c r="AD339" s="1364">
        <f>AE339-SUM(AA339,AB339,AC339)</f>
        <v/>
      </c>
      <c r="AE339" s="1494" t="n">
        <v>1813.987</v>
      </c>
      <c r="AF339" s="1493" t="n">
        <v>480.609</v>
      </c>
      <c r="AG339" s="1493" t="n">
        <v>487.87</v>
      </c>
      <c r="AH339" s="1493" t="n">
        <v>494.99</v>
      </c>
      <c r="AI339" s="1364">
        <f>AJ339-SUM(AF339,AG339,AH339)</f>
        <v/>
      </c>
      <c r="AJ339" s="1494" t="n">
        <v>1997.887</v>
      </c>
      <c r="AK339" s="1493" t="n">
        <v>543.518</v>
      </c>
      <c r="AL339" s="1493" t="n">
        <v>548.028</v>
      </c>
      <c r="AM339" s="1493" t="n">
        <v>548.105</v>
      </c>
      <c r="AN339" s="1364">
        <f>AO339-SUM(AK339,AL339,AM339)</f>
        <v/>
      </c>
      <c r="AO339" s="1494" t="n">
        <v>2204.615</v>
      </c>
      <c r="AP339" s="1493" t="n">
        <v>581.699</v>
      </c>
      <c r="AQ339" s="1493" t="n">
        <v>601.356</v>
      </c>
      <c r="AR339" s="1493" t="n">
        <v>630.329</v>
      </c>
      <c r="AS339" s="1364">
        <f>AT339-SUM(AP339,AQ339,AR339)</f>
        <v/>
      </c>
      <c r="AT339" s="1494" t="n">
        <v>2536.617</v>
      </c>
      <c r="AU339" s="1493" t="n">
        <v>699.054</v>
      </c>
      <c r="AV339" s="1493" t="n">
        <v>687.884</v>
      </c>
      <c r="AW339" s="1493" t="n">
        <v>706.16</v>
      </c>
      <c r="AX339" s="1364">
        <f>AY339-SUM(AU339,AV339,AW339)</f>
        <v/>
      </c>
      <c r="AY339" s="1494" t="n">
        <v>2812.947</v>
      </c>
      <c r="AZ339" s="1493" t="n">
        <v>846.244</v>
      </c>
      <c r="BA339" s="1493" t="n">
        <v>802.285</v>
      </c>
      <c r="BB339" s="1493" t="n">
        <v>845.788</v>
      </c>
      <c r="BC339" s="1364">
        <f>BD339-SUM(AZ339,BA339,BB339)</f>
        <v/>
      </c>
      <c r="BD339" s="1494" t="n">
        <v>3340.197</v>
      </c>
      <c r="BE339" s="1493" t="n">
        <v>963.742</v>
      </c>
      <c r="BF339" s="1493" t="n">
        <v>922.79</v>
      </c>
      <c r="BG339" s="1493" t="n">
        <v>965.84</v>
      </c>
      <c r="BH339" s="1364">
        <f>BI339-SUM(BE339,BF339,BG339)</f>
        <v/>
      </c>
      <c r="BI339" s="1494" t="n">
        <v>3834.359</v>
      </c>
      <c r="BJ339" s="1493" t="n">
        <v>913.385</v>
      </c>
      <c r="BK339" s="1493" t="n">
        <v>960.457</v>
      </c>
      <c r="BL339" s="1493" t="n">
        <v>1100.38</v>
      </c>
      <c r="BM339" s="1364">
        <f>BN339-SUM(BJ339,BK339,BL339)</f>
        <v/>
      </c>
      <c r="BN339" s="1494" t="n">
        <v>4213.509</v>
      </c>
      <c r="BO339" s="1493" t="n">
        <v>1110.85</v>
      </c>
      <c r="BP339" s="1493" t="n">
        <v>1170.51</v>
      </c>
      <c r="BQ339" s="1502" t="n">
        <v>1207.703</v>
      </c>
      <c r="BR339" s="1361" t="n"/>
      <c r="BS339" s="1379" t="n"/>
      <c r="BT339" s="1361" t="n"/>
      <c r="BU339" s="1361" t="n"/>
      <c r="BV339" s="1361" t="n"/>
      <c r="BW339" s="1361" t="n"/>
      <c r="BX339" s="1379" t="n"/>
      <c r="BY339" s="1379" t="n"/>
      <c r="BZ339" s="1379" t="n"/>
      <c r="CA339" s="1379" t="n"/>
      <c r="CB339" s="1364" t="n"/>
    </row>
    <row r="340" hidden="1" outlineLevel="1" ht="14.4" customFormat="1" customHeight="1" s="1359">
      <c r="A340" s="1394" t="inlineStr">
        <is>
          <t>Services</t>
        </is>
      </c>
      <c r="B340" s="1512" t="n"/>
      <c r="C340" s="1494" t="n">
        <v>106.555</v>
      </c>
      <c r="D340" s="1494" t="n">
        <v>100.891</v>
      </c>
      <c r="E340" s="1494" t="n">
        <v>116.692</v>
      </c>
      <c r="F340" s="1494" t="n">
        <v>113.995</v>
      </c>
      <c r="G340" s="1493" t="n">
        <v>25.995</v>
      </c>
      <c r="H340" s="1493" t="n">
        <v>24.498</v>
      </c>
      <c r="I340" s="1493" t="n">
        <v>25.046</v>
      </c>
      <c r="J340" s="1493" t="n">
        <v>26.643</v>
      </c>
      <c r="K340" s="1494" t="n">
        <v>102.182</v>
      </c>
      <c r="L340" s="1493" t="n">
        <v>21.2</v>
      </c>
      <c r="M340" s="1493" t="n">
        <v>24.32</v>
      </c>
      <c r="N340" s="1493" t="n">
        <v>26.386</v>
      </c>
      <c r="O340" s="1493" t="n">
        <v>29.875</v>
      </c>
      <c r="P340" s="1494" t="n">
        <v>101.781</v>
      </c>
      <c r="Q340" s="1493" t="n">
        <v>27.729</v>
      </c>
      <c r="R340" s="1493" t="n">
        <v>30.932</v>
      </c>
      <c r="S340" s="1493" t="n">
        <v>36.896</v>
      </c>
      <c r="T340" s="1493" t="n">
        <v>27.59</v>
      </c>
      <c r="U340" s="1494" t="n">
        <v>123.147</v>
      </c>
      <c r="V340" s="1493" t="n">
        <v>36.118</v>
      </c>
      <c r="W340" s="1493" t="n">
        <v>33.058</v>
      </c>
      <c r="X340" s="1493" t="n">
        <v>30.85</v>
      </c>
      <c r="Y340" s="1364">
        <f>Z340-SUM(V340,W340,X340)</f>
        <v/>
      </c>
      <c r="Z340" s="1494" t="n">
        <v>132.312</v>
      </c>
      <c r="AA340" s="1493" t="n">
        <v>25.504</v>
      </c>
      <c r="AB340" s="1493" t="n">
        <v>35.154</v>
      </c>
      <c r="AC340" s="1493" t="n">
        <v>34.169</v>
      </c>
      <c r="AD340" s="1364">
        <f>AE340-SUM(AA340,AB340,AC340)</f>
        <v/>
      </c>
      <c r="AE340" s="1494" t="n">
        <v>129.045</v>
      </c>
      <c r="AF340" s="1493" t="n">
        <v>36.704</v>
      </c>
      <c r="AG340" s="1493" t="n">
        <v>30.521</v>
      </c>
      <c r="AH340" s="1493" t="n">
        <v>37.478</v>
      </c>
      <c r="AI340" s="1364">
        <f>AJ340-SUM(AF340,AG340,AH340)</f>
        <v/>
      </c>
      <c r="AJ340" s="1494" t="n">
        <v>140.135</v>
      </c>
      <c r="AK340" s="1493" t="n">
        <v>33.224</v>
      </c>
      <c r="AL340" s="1493" t="n">
        <v>32.391</v>
      </c>
      <c r="AM340" s="1493" t="n">
        <v>31.498</v>
      </c>
      <c r="AN340" s="1364">
        <f>AO340-SUM(AK340,AL340,AM340)</f>
        <v/>
      </c>
      <c r="AO340" s="1494" t="n">
        <v>131.704</v>
      </c>
      <c r="AP340" s="1493" t="n">
        <v>36.258</v>
      </c>
      <c r="AQ340" s="1493" t="n">
        <v>37.062</v>
      </c>
      <c r="AR340" s="1493" t="n">
        <v>36.278</v>
      </c>
      <c r="AS340" s="1364">
        <f>AT340-SUM(AP340,AQ340,AR340)</f>
        <v/>
      </c>
      <c r="AT340" s="1494" t="n">
        <v>146.274</v>
      </c>
      <c r="AU340" s="1493" t="n">
        <v>36.974</v>
      </c>
      <c r="AV340" s="1493" t="n">
        <v>40.401</v>
      </c>
      <c r="AW340" s="1493" t="n">
        <v>44.735</v>
      </c>
      <c r="AX340" s="1364">
        <f>AY340-SUM(AU340,AV340,AW340)</f>
        <v/>
      </c>
      <c r="AY340" s="1494" t="n">
        <v>175.297</v>
      </c>
      <c r="AZ340" s="1493" t="n">
        <v>55.522</v>
      </c>
      <c r="BA340" s="1493" t="n">
        <v>55.236</v>
      </c>
      <c r="BB340" s="1493" t="n">
        <v>56.766</v>
      </c>
      <c r="BC340" s="1364">
        <f>BD340-SUM(AZ340,BA340,BB340)</f>
        <v/>
      </c>
      <c r="BD340" s="1494" t="n">
        <v>221.521</v>
      </c>
      <c r="BE340" s="1493" t="n">
        <v>57.948</v>
      </c>
      <c r="BF340" s="1493" t="n">
        <v>53.789</v>
      </c>
      <c r="BG340" s="1493" t="n">
        <v>57.254</v>
      </c>
      <c r="BH340" s="1364">
        <f>BI340-SUM(BE340,BF340,BG340)</f>
        <v/>
      </c>
      <c r="BI340" s="1494" t="n">
        <v>255.627</v>
      </c>
      <c r="BJ340" s="1493" t="n">
        <v>95.718</v>
      </c>
      <c r="BK340" s="1493" t="n">
        <v>100.224</v>
      </c>
      <c r="BL340" s="1493" t="n">
        <v>115.119</v>
      </c>
      <c r="BM340" s="1364">
        <f>BN340-SUM(BJ340,BK340,BL340)</f>
        <v/>
      </c>
      <c r="BN340" s="1494" t="n">
        <v>427.755</v>
      </c>
      <c r="BO340" s="1493" t="n">
        <v>131.516</v>
      </c>
      <c r="BP340" s="1493" t="n">
        <v>104.931</v>
      </c>
      <c r="BQ340" s="1502" t="n">
        <v>131.135</v>
      </c>
      <c r="BR340" s="1361" t="n"/>
      <c r="BS340" s="1379" t="n"/>
      <c r="BT340" s="1361" t="n"/>
      <c r="BU340" s="1361" t="n"/>
      <c r="BV340" s="1361" t="n"/>
      <c r="BW340" s="1361" t="n"/>
      <c r="BX340" s="1379" t="n"/>
      <c r="BY340" s="1379" t="n"/>
      <c r="BZ340" s="1379" t="n"/>
      <c r="CA340" s="1379" t="n"/>
      <c r="CB340" s="1364" t="n"/>
    </row>
    <row r="341" hidden="1" outlineLevel="1" ht="14.4" customFormat="1" customHeight="1" s="1359">
      <c r="A341" s="1453" t="inlineStr">
        <is>
          <t>Maintenance</t>
        </is>
      </c>
      <c r="B341" s="1514" t="n"/>
      <c r="C341" s="1480" t="n">
        <v>345.304</v>
      </c>
      <c r="D341" s="1480" t="n">
        <v>363.465</v>
      </c>
      <c r="E341" s="1455" t="n"/>
      <c r="F341" s="1455" t="n"/>
      <c r="G341" s="1456" t="n"/>
      <c r="H341" s="1456" t="n"/>
      <c r="I341" s="1456" t="n"/>
      <c r="J341" s="1456" t="n"/>
      <c r="K341" s="1455" t="n"/>
      <c r="L341" s="1456" t="n"/>
      <c r="M341" s="1456" t="n"/>
      <c r="N341" s="1456" t="n"/>
      <c r="O341" s="1456" t="n"/>
      <c r="P341" s="1455" t="n"/>
      <c r="Q341" s="1456" t="n"/>
      <c r="R341" s="1456" t="n"/>
      <c r="S341" s="1456" t="n"/>
      <c r="T341" s="1456" t="n"/>
      <c r="U341" s="1455" t="n"/>
      <c r="V341" s="1456" t="n"/>
      <c r="W341" s="1456" t="n"/>
      <c r="X341" s="1456" t="n"/>
      <c r="Y341" s="1510">
        <f>Z341-SUM(V341,W341,X341)</f>
        <v/>
      </c>
      <c r="Z341" s="1455" t="n"/>
      <c r="AA341" s="1456" t="n"/>
      <c r="AB341" s="1456" t="n"/>
      <c r="AC341" s="1456" t="n"/>
      <c r="AD341" s="1510">
        <f>AE341-SUM(AA341,AB341,AC341)</f>
        <v/>
      </c>
      <c r="AE341" s="1455" t="n"/>
      <c r="AF341" s="1456" t="n"/>
      <c r="AG341" s="1456" t="n"/>
      <c r="AH341" s="1456" t="n"/>
      <c r="AI341" s="1510">
        <f>AJ341-SUM(AF341,AG341,AH341)</f>
        <v/>
      </c>
      <c r="AJ341" s="1455" t="n"/>
      <c r="AK341" s="1456" t="n"/>
      <c r="AL341" s="1456" t="n"/>
      <c r="AM341" s="1456" t="n"/>
      <c r="AN341" s="1456" t="n"/>
      <c r="AO341" s="1455" t="n"/>
      <c r="AP341" s="1456" t="n"/>
      <c r="AQ341" s="1456" t="n"/>
      <c r="AR341" s="1456" t="n"/>
      <c r="AS341" s="1456" t="n"/>
      <c r="AT341" s="1455" t="n"/>
      <c r="AU341" s="1456" t="n"/>
      <c r="AV341" s="1456" t="n"/>
      <c r="AW341" s="1456" t="n"/>
      <c r="AX341" s="1456" t="n"/>
      <c r="AY341" s="1455" t="n"/>
      <c r="AZ341" s="1456" t="n"/>
      <c r="BA341" s="1456" t="n"/>
      <c r="BB341" s="1456" t="n"/>
      <c r="BC341" s="1456" t="n"/>
      <c r="BD341" s="1455" t="n"/>
      <c r="BE341" s="1456" t="n"/>
      <c r="BF341" s="1456" t="n"/>
      <c r="BG341" s="1456" t="n"/>
      <c r="BH341" s="1456" t="n"/>
      <c r="BI341" s="1455" t="n"/>
      <c r="BJ341" s="1456" t="n"/>
      <c r="BK341" s="1456" t="n"/>
      <c r="BL341" s="1456" t="n"/>
      <c r="BM341" s="1456" t="n"/>
      <c r="BN341" s="1455" t="n"/>
      <c r="BO341" s="1456" t="n"/>
      <c r="BP341" s="1456" t="n"/>
      <c r="BQ341" s="1457" t="n"/>
      <c r="BR341" s="1456" t="n"/>
      <c r="BS341" s="1455" t="n"/>
      <c r="BT341" s="1456" t="n"/>
      <c r="BU341" s="1456" t="n"/>
      <c r="BV341" s="1456" t="n"/>
      <c r="BW341" s="1456" t="n"/>
      <c r="BX341" s="1455" t="n"/>
      <c r="BY341" s="1455" t="n"/>
      <c r="BZ341" s="1455" t="n"/>
      <c r="CA341" s="1455" t="n"/>
      <c r="CB341" s="1364" t="n"/>
    </row>
    <row r="342" hidden="1" outlineLevel="1" ht="14.4" customFormat="1" customHeight="1" s="1372">
      <c r="A342" s="1400" t="inlineStr">
        <is>
          <t>Total revenue</t>
        </is>
      </c>
      <c r="B342" s="1516" t="n"/>
      <c r="C342" s="1402">
        <f>SUM(C339:C341)</f>
        <v/>
      </c>
      <c r="D342" s="1402">
        <f>SUM(D339:D341)</f>
        <v/>
      </c>
      <c r="E342" s="1402">
        <f>SUM(E339:E341)</f>
        <v/>
      </c>
      <c r="F342" s="1402">
        <f>SUM(F339:F341)</f>
        <v/>
      </c>
      <c r="G342" s="1403">
        <f>SUM(G339:G341)</f>
        <v/>
      </c>
      <c r="H342" s="1403">
        <f>SUM(H339:H341)</f>
        <v/>
      </c>
      <c r="I342" s="1403">
        <f>SUM(I339:I341)</f>
        <v/>
      </c>
      <c r="J342" s="1403">
        <f>SUM(J339:J341)</f>
        <v/>
      </c>
      <c r="K342" s="1402">
        <f>SUM(K339:K341)</f>
        <v/>
      </c>
      <c r="L342" s="1403">
        <f>SUM(L339:L341)</f>
        <v/>
      </c>
      <c r="M342" s="1403">
        <f>SUM(M339:M341)</f>
        <v/>
      </c>
      <c r="N342" s="1403">
        <f>SUM(N339:N341)</f>
        <v/>
      </c>
      <c r="O342" s="1403">
        <f>SUM(O339:O341)</f>
        <v/>
      </c>
      <c r="P342" s="1402">
        <f>SUM(P339:P341)</f>
        <v/>
      </c>
      <c r="Q342" s="1403">
        <f>SUM(Q339:Q341)</f>
        <v/>
      </c>
      <c r="R342" s="1403">
        <f>SUM(R339:R341)</f>
        <v/>
      </c>
      <c r="S342" s="1403">
        <f>SUM(S339:S341)</f>
        <v/>
      </c>
      <c r="T342" s="1403">
        <f>SUM(T339:T341)</f>
        <v/>
      </c>
      <c r="U342" s="1402">
        <f>SUM(U339:U341)</f>
        <v/>
      </c>
      <c r="V342" s="1403">
        <f>SUM(V339:V341)</f>
        <v/>
      </c>
      <c r="W342" s="1403">
        <f>SUM(W339:W341)</f>
        <v/>
      </c>
      <c r="X342" s="1403">
        <f>SUM(X339:X341)</f>
        <v/>
      </c>
      <c r="Y342" s="1404">
        <f>SUM(Y339:Y341)</f>
        <v/>
      </c>
      <c r="Z342" s="1405">
        <f>SUM(Z339:Z341)</f>
        <v/>
      </c>
      <c r="AA342" s="1403">
        <f>SUM(AA339:AA341)</f>
        <v/>
      </c>
      <c r="AB342" s="1403">
        <f>SUM(AB339:AB341)</f>
        <v/>
      </c>
      <c r="AC342" s="1403">
        <f>SUM(AC339:AC341)</f>
        <v/>
      </c>
      <c r="AD342" s="1404">
        <f>SUM(AD339:AD341)</f>
        <v/>
      </c>
      <c r="AE342" s="1405">
        <f>SUM(AE339:AE341)</f>
        <v/>
      </c>
      <c r="AF342" s="1403">
        <f>SUM(AF339:AF341)</f>
        <v/>
      </c>
      <c r="AG342" s="1403">
        <f>SUM(AG339:AG341)</f>
        <v/>
      </c>
      <c r="AH342" s="1403">
        <f>SUM(AH339:AH341)</f>
        <v/>
      </c>
      <c r="AI342" s="1404">
        <f>SUM(AI339:AI341)</f>
        <v/>
      </c>
      <c r="AJ342" s="1405">
        <f>SUM(AJ339:AJ341)</f>
        <v/>
      </c>
      <c r="AK342" s="1403">
        <f>SUM(AK339:AK341)</f>
        <v/>
      </c>
      <c r="AL342" s="1403">
        <f>SUM(AL339:AL341)</f>
        <v/>
      </c>
      <c r="AM342" s="1403">
        <f>SUM(AM339:AM341)</f>
        <v/>
      </c>
      <c r="AN342" s="1404">
        <f>SUM(AN339:AN341)</f>
        <v/>
      </c>
      <c r="AO342" s="1405">
        <f>SUM(AO339:AO341)</f>
        <v/>
      </c>
      <c r="AP342" s="1403">
        <f>SUM(AP339:AP341)</f>
        <v/>
      </c>
      <c r="AQ342" s="1403">
        <f>SUM(AQ339:AQ341)</f>
        <v/>
      </c>
      <c r="AR342" s="1403">
        <f>SUM(AR339:AR341)</f>
        <v/>
      </c>
      <c r="AS342" s="1404">
        <f>SUM(AS339:AS341)</f>
        <v/>
      </c>
      <c r="AT342" s="1405">
        <f>SUM(AT339:AT341)</f>
        <v/>
      </c>
      <c r="AU342" s="1403">
        <f>SUM(AU339:AU341)</f>
        <v/>
      </c>
      <c r="AV342" s="1403">
        <f>SUM(AV339:AV341)</f>
        <v/>
      </c>
      <c r="AW342" s="1403">
        <f>SUM(AW339:AW341)</f>
        <v/>
      </c>
      <c r="AX342" s="1404">
        <f>SUM(AX339:AX341)</f>
        <v/>
      </c>
      <c r="AY342" s="1405">
        <f>SUM(AY339:AY341)</f>
        <v/>
      </c>
      <c r="AZ342" s="1403">
        <f>SUM(AZ339:AZ341)</f>
        <v/>
      </c>
      <c r="BA342" s="1403">
        <f>SUM(BA339:BA341)</f>
        <v/>
      </c>
      <c r="BB342" s="1403">
        <f>SUM(BB339:BB341)</f>
        <v/>
      </c>
      <c r="BC342" s="1404">
        <f>SUM(BC339:BC341)</f>
        <v/>
      </c>
      <c r="BD342" s="1405">
        <f>SUM(BD339:BD341)</f>
        <v/>
      </c>
      <c r="BE342" s="1403">
        <f>SUM(BE339:BE341)</f>
        <v/>
      </c>
      <c r="BF342" s="1403">
        <f>SUM(BF339:BF341)</f>
        <v/>
      </c>
      <c r="BG342" s="1403">
        <f>SUM(BG339:BG341)</f>
        <v/>
      </c>
      <c r="BH342" s="1404">
        <f>SUM(BH339:BH341)</f>
        <v/>
      </c>
      <c r="BI342" s="1405">
        <f>SUM(BI339:BI341)</f>
        <v/>
      </c>
      <c r="BJ342" s="1403">
        <f>SUM(BJ339:BJ341)</f>
        <v/>
      </c>
      <c r="BK342" s="1403">
        <f>SUM(BK339:BK341)</f>
        <v/>
      </c>
      <c r="BL342" s="1403">
        <f>SUM(BL339:BL341)</f>
        <v/>
      </c>
      <c r="BM342" s="1404">
        <f>SUM(BM339:BM341)</f>
        <v/>
      </c>
      <c r="BN342" s="1405">
        <f>SUM(BN339:BN341)</f>
        <v/>
      </c>
      <c r="BO342" s="1403">
        <f>SUM(BO339:BO341)</f>
        <v/>
      </c>
      <c r="BP342" s="1403">
        <f>SUM(BP339:BP341)</f>
        <v/>
      </c>
      <c r="BQ342" s="1406">
        <f>SUM(BQ339:BQ341)</f>
        <v/>
      </c>
      <c r="BR342" s="1404" t="n"/>
      <c r="BS342" s="1405" t="n"/>
      <c r="BT342" s="1404" t="n"/>
      <c r="BU342" s="1404" t="n"/>
      <c r="BV342" s="1404" t="n"/>
      <c r="BW342" s="1404" t="n"/>
      <c r="BX342" s="1405" t="n"/>
      <c r="BY342" s="1405" t="n"/>
      <c r="BZ342" s="1405" t="n"/>
      <c r="CA342" s="1405" t="n"/>
      <c r="CB342" s="1375" t="n"/>
    </row>
    <row r="343" hidden="1" outlineLevel="1" ht="14.4" customFormat="1" customHeight="1" s="1359">
      <c r="A343" s="1394" t="inlineStr">
        <is>
          <t>Cost of product and maintenance</t>
        </is>
      </c>
      <c r="B343" s="1512" t="n"/>
      <c r="C343" s="1494" t="n">
        <v>32.114</v>
      </c>
      <c r="D343" s="1494" t="n">
        <v>31.421</v>
      </c>
      <c r="E343" s="1494" t="n">
        <v>113.658</v>
      </c>
      <c r="F343" s="1494" t="n">
        <v>118.516</v>
      </c>
      <c r="G343" s="1493" t="n">
        <v>29.847</v>
      </c>
      <c r="H343" s="1493" t="n">
        <v>28.095</v>
      </c>
      <c r="I343" s="1493" t="n">
        <v>32.546</v>
      </c>
      <c r="J343" s="1493" t="n">
        <v>41.757</v>
      </c>
      <c r="K343" s="1494" t="n">
        <v>132.245</v>
      </c>
      <c r="L343" s="1493" t="n">
        <v>42.197</v>
      </c>
      <c r="M343" s="1493" t="n">
        <v>37.707</v>
      </c>
      <c r="N343" s="1493" t="n">
        <v>36.954</v>
      </c>
      <c r="O343" s="1493" t="n">
        <v>39.475</v>
      </c>
      <c r="P343" s="1494" t="n">
        <v>156.333</v>
      </c>
      <c r="Q343" s="1493" t="n">
        <v>42.059</v>
      </c>
      <c r="R343" s="1493" t="n">
        <v>31.715</v>
      </c>
      <c r="S343" s="1493" t="n">
        <v>41.206</v>
      </c>
      <c r="T343" s="1493" t="n">
        <v>40.679</v>
      </c>
      <c r="U343" s="1494" t="n">
        <v>155.659</v>
      </c>
      <c r="V343" s="1493" t="n">
        <v>44.181</v>
      </c>
      <c r="W343" s="1493" t="n">
        <v>42.96</v>
      </c>
      <c r="X343" s="1493" t="n">
        <v>38.74</v>
      </c>
      <c r="Y343" s="1364">
        <f>Z343-SUM(V343,W343,X343)</f>
        <v/>
      </c>
      <c r="Z343" s="1494" t="n">
        <v>183.291</v>
      </c>
      <c r="AA343" s="1493" t="n">
        <v>43.717</v>
      </c>
      <c r="AB343" s="1493" t="n">
        <v>38.829</v>
      </c>
      <c r="AC343" s="1493" t="n">
        <v>34.825</v>
      </c>
      <c r="AD343" s="1364">
        <f>AE343-SUM(AA343,AB343,AC343)</f>
        <v/>
      </c>
      <c r="AE343" s="1494" t="n">
        <v>156.676</v>
      </c>
      <c r="AF343" s="1493" t="n">
        <v>41.73</v>
      </c>
      <c r="AG343" s="1493" t="n">
        <v>40.127</v>
      </c>
      <c r="AH343" s="1493" t="n">
        <v>36.406</v>
      </c>
      <c r="AI343" s="1364">
        <f>AJ343-SUM(AF343,AG343,AH343)</f>
        <v/>
      </c>
      <c r="AJ343" s="1494" t="n">
        <v>173.011</v>
      </c>
      <c r="AK343" s="1493" t="n">
        <v>50.522</v>
      </c>
      <c r="AL343" s="1493" t="n">
        <v>43.388</v>
      </c>
      <c r="AM343" s="1493" t="n">
        <v>41.715</v>
      </c>
      <c r="AN343" s="1364">
        <f>AO343-SUM(AK343,AL343,AM343)</f>
        <v/>
      </c>
      <c r="AO343" s="1494" t="n">
        <v>189.146</v>
      </c>
      <c r="AP343" s="1493" t="n">
        <v>55.446</v>
      </c>
      <c r="AQ343" s="1493" t="n">
        <v>55.669</v>
      </c>
      <c r="AR343" s="1493" t="n">
        <v>64.8</v>
      </c>
      <c r="AS343" s="1364">
        <f>AT343-SUM(AP343,AQ343,AR343)</f>
        <v/>
      </c>
      <c r="AT343" s="1494" t="n">
        <v>231.026</v>
      </c>
      <c r="AU343" s="1493" t="n">
        <v>64.90600000000001</v>
      </c>
      <c r="AV343" s="1493" t="n">
        <v>55.842</v>
      </c>
      <c r="AW343" s="1493" t="n">
        <v>54.185</v>
      </c>
      <c r="AX343" s="1364">
        <f>AY343-SUM(AU343,AV343,AW343)</f>
        <v/>
      </c>
      <c r="AY343" s="1494" t="n">
        <v>222.647</v>
      </c>
      <c r="AZ343" s="1493" t="n">
        <v>72.795</v>
      </c>
      <c r="BA343" s="1493" t="n">
        <v>68.717</v>
      </c>
      <c r="BB343" s="1493" t="n">
        <v>62.351</v>
      </c>
      <c r="BC343" s="1364">
        <f>BD343-SUM(AZ343,BA343,BB343)</f>
        <v/>
      </c>
      <c r="BD343" s="1494" t="n">
        <v>273.565</v>
      </c>
      <c r="BE343" s="1493" t="n">
        <v>100.238</v>
      </c>
      <c r="BF343" s="1493" t="n">
        <v>74.218</v>
      </c>
      <c r="BG343" s="1493" t="n">
        <v>85.813</v>
      </c>
      <c r="BH343" s="1364">
        <f>BI343-SUM(BE343,BF343,BG343)</f>
        <v/>
      </c>
      <c r="BI343" s="1494" t="n">
        <v>331.76</v>
      </c>
      <c r="BJ343" s="1493" t="n">
        <v>75.395</v>
      </c>
      <c r="BK343" s="1493" t="n">
        <v>94.363</v>
      </c>
      <c r="BL343" s="1493" t="n">
        <v>109.593</v>
      </c>
      <c r="BM343" s="1364">
        <f>BN343-SUM(BJ343,BK343,BL343)</f>
        <v/>
      </c>
      <c r="BN343" s="1494" t="n">
        <v>436.6</v>
      </c>
      <c r="BO343" s="1493" t="n">
        <v>116.672</v>
      </c>
      <c r="BP343" s="1493" t="n">
        <v>139.298</v>
      </c>
      <c r="BQ343" s="1502" t="n">
        <v>118.702</v>
      </c>
      <c r="BR343" s="1361" t="n"/>
      <c r="BS343" s="1379" t="n"/>
      <c r="BT343" s="1361" t="n"/>
      <c r="BU343" s="1361" t="n"/>
      <c r="BV343" s="1361" t="n"/>
      <c r="BW343" s="1361" t="n"/>
      <c r="BX343" s="1379" t="n"/>
      <c r="BY343" s="1379" t="n"/>
      <c r="BZ343" s="1379" t="n"/>
      <c r="CA343" s="1379" t="n"/>
      <c r="CB343" s="1364" t="n"/>
    </row>
    <row r="344" hidden="1" outlineLevel="1" ht="14.4" customFormat="1" customHeight="1" s="1359">
      <c r="A344" s="1394" t="inlineStr">
        <is>
          <t>Cost of services</t>
        </is>
      </c>
      <c r="B344" s="1512" t="n"/>
      <c r="C344" s="1494" t="n">
        <v>90.536</v>
      </c>
      <c r="D344" s="1494" t="n">
        <v>82.968</v>
      </c>
      <c r="E344" s="1494" t="n">
        <v>81.498</v>
      </c>
      <c r="F344" s="1494" t="n">
        <v>72.607</v>
      </c>
      <c r="G344" s="1493" t="n">
        <v>18.344</v>
      </c>
      <c r="H344" s="1493" t="n">
        <v>15.148</v>
      </c>
      <c r="I344" s="1493" t="n">
        <v>17.19</v>
      </c>
      <c r="J344" s="1493" t="n">
        <v>17.274</v>
      </c>
      <c r="K344" s="1494" t="n">
        <v>67.956</v>
      </c>
      <c r="L344" s="1493" t="n">
        <v>14.902</v>
      </c>
      <c r="M344" s="1493" t="n">
        <v>16.706</v>
      </c>
      <c r="N344" s="1493" t="n">
        <v>17.125</v>
      </c>
      <c r="O344" s="1493" t="n">
        <v>18.64</v>
      </c>
      <c r="P344" s="1494" t="n">
        <v>67.373</v>
      </c>
      <c r="Q344" s="1493" t="n">
        <v>18.526</v>
      </c>
      <c r="R344" s="1493" t="n">
        <v>20.04</v>
      </c>
      <c r="S344" s="1493" t="n">
        <v>24.005</v>
      </c>
      <c r="T344" s="1493" t="n">
        <v>20.223</v>
      </c>
      <c r="U344" s="1494" t="n">
        <v>82.794</v>
      </c>
      <c r="V344" s="1493" t="n">
        <v>17.873</v>
      </c>
      <c r="W344" s="1493" t="n">
        <v>18.823</v>
      </c>
      <c r="X344" s="1493" t="n">
        <v>17.867</v>
      </c>
      <c r="Y344" s="1364">
        <f>Z344-SUM(V344,W344,X344)</f>
        <v/>
      </c>
      <c r="Z344" s="1494" t="n">
        <v>73.20099999999999</v>
      </c>
      <c r="AA344" s="1493" t="n">
        <v>18.075</v>
      </c>
      <c r="AB344" s="1493" t="n">
        <v>22.003</v>
      </c>
      <c r="AC344" s="1493" t="n">
        <v>19.657</v>
      </c>
      <c r="AD344" s="1364">
        <f>AE344-SUM(AA344,AB344,AC344)</f>
        <v/>
      </c>
      <c r="AE344" s="1494" t="n">
        <v>80.714</v>
      </c>
      <c r="AF344" s="1493" t="n">
        <v>21.479</v>
      </c>
      <c r="AG344" s="1493" t="n">
        <v>18.833</v>
      </c>
      <c r="AH344" s="1493" t="n">
        <v>24.048</v>
      </c>
      <c r="AI344" s="1364">
        <f>AJ344-SUM(AF344,AG344,AH344)</f>
        <v/>
      </c>
      <c r="AJ344" s="1494" t="n">
        <v>85.736</v>
      </c>
      <c r="AK344" s="1493" t="n">
        <v>20.063</v>
      </c>
      <c r="AL344" s="1493" t="n">
        <v>18.081</v>
      </c>
      <c r="AM344" s="1493" t="n">
        <v>19.26</v>
      </c>
      <c r="AN344" s="1364">
        <f>AO344-SUM(AK344,AL344,AM344)</f>
        <v/>
      </c>
      <c r="AO344" s="1494" t="n">
        <v>77.211</v>
      </c>
      <c r="AP344" s="1493" t="n">
        <v>19.017</v>
      </c>
      <c r="AQ344" s="1493" t="n">
        <v>19.546</v>
      </c>
      <c r="AR344" s="1493" t="n">
        <v>17.484</v>
      </c>
      <c r="AS344" s="1364">
        <f>AT344-SUM(AP344,AQ344,AR344)</f>
        <v/>
      </c>
      <c r="AT344" s="1494" t="n">
        <v>74.47199999999999</v>
      </c>
      <c r="AU344" s="1493" t="n">
        <v>19.061</v>
      </c>
      <c r="AV344" s="1493" t="n">
        <v>20.917</v>
      </c>
      <c r="AW344" s="1493" t="n">
        <v>22.402</v>
      </c>
      <c r="AX344" s="1364">
        <f>AY344-SUM(AU344,AV344,AW344)</f>
        <v/>
      </c>
      <c r="AY344" s="1494" t="n">
        <v>84.35899999999999</v>
      </c>
      <c r="AZ344" s="1493" t="n">
        <v>25.048</v>
      </c>
      <c r="BA344" s="1493" t="n">
        <v>23.948</v>
      </c>
      <c r="BB344" s="1493" t="n">
        <v>25.249</v>
      </c>
      <c r="BC344" s="1364">
        <f>BD344-SUM(AZ344,BA344,BB344)</f>
        <v/>
      </c>
      <c r="BD344" s="1494" t="n">
        <v>98.05800000000001</v>
      </c>
      <c r="BE344" s="1493" t="n">
        <v>24.234</v>
      </c>
      <c r="BF344" s="1493" t="n">
        <v>22.64</v>
      </c>
      <c r="BG344" s="1493" t="n">
        <v>23.768</v>
      </c>
      <c r="BH344" s="1364">
        <f>BI344-SUM(BE344,BF344,BG344)</f>
        <v/>
      </c>
      <c r="BI344" s="1494" t="n">
        <v>103.281</v>
      </c>
      <c r="BJ344" s="1493" t="n">
        <v>49.802</v>
      </c>
      <c r="BK344" s="1493" t="n">
        <v>44.907</v>
      </c>
      <c r="BL344" s="1493" t="n">
        <v>53.451</v>
      </c>
      <c r="BM344" s="1364">
        <f>BN344-SUM(BJ344,BK344,BL344)</f>
        <v/>
      </c>
      <c r="BN344" s="1494" t="n">
        <v>210.902</v>
      </c>
      <c r="BO344" s="1493" t="n">
        <v>50.461</v>
      </c>
      <c r="BP344" s="1493" t="n">
        <v>44.869</v>
      </c>
      <c r="BQ344" s="1502" t="n">
        <v>63.493</v>
      </c>
      <c r="BR344" s="1361" t="n"/>
      <c r="BS344" s="1379" t="n"/>
      <c r="BT344" s="1361" t="n"/>
      <c r="BU344" s="1361" t="n"/>
      <c r="BV344" s="1361" t="n"/>
      <c r="BW344" s="1361" t="n"/>
      <c r="BX344" s="1379" t="n"/>
      <c r="BY344" s="1379" t="n"/>
      <c r="BZ344" s="1379" t="n"/>
      <c r="CA344" s="1379" t="n"/>
      <c r="CB344" s="1364" t="n"/>
    </row>
    <row r="345" hidden="1" outlineLevel="1" ht="14.4" customFormat="1" customHeight="1" s="1359">
      <c r="A345" s="1453" t="inlineStr">
        <is>
          <t>Cost of maintenance</t>
        </is>
      </c>
      <c r="B345" s="1514" t="n"/>
      <c r="C345" s="1480" t="n">
        <v>46.593</v>
      </c>
      <c r="D345" s="1480" t="n">
        <v>42.054</v>
      </c>
      <c r="E345" s="1455" t="n"/>
      <c r="F345" s="1455" t="n"/>
      <c r="G345" s="1456" t="n"/>
      <c r="H345" s="1456" t="n"/>
      <c r="I345" s="1456" t="n"/>
      <c r="J345" s="1456" t="n"/>
      <c r="K345" s="1455" t="n"/>
      <c r="L345" s="1456" t="n"/>
      <c r="M345" s="1456" t="n"/>
      <c r="N345" s="1456" t="n"/>
      <c r="O345" s="1456" t="n"/>
      <c r="P345" s="1455" t="n"/>
      <c r="Q345" s="1456" t="n"/>
      <c r="R345" s="1456" t="n"/>
      <c r="S345" s="1456" t="n"/>
      <c r="T345" s="1456" t="n"/>
      <c r="U345" s="1455" t="n"/>
      <c r="V345" s="1456" t="n"/>
      <c r="W345" s="1456" t="n"/>
      <c r="X345" s="1456" t="n"/>
      <c r="Y345" s="1510">
        <f>Z345-SUM(V345,W345,X345)</f>
        <v/>
      </c>
      <c r="Z345" s="1455" t="n"/>
      <c r="AA345" s="1456" t="n"/>
      <c r="AB345" s="1456" t="n"/>
      <c r="AC345" s="1456" t="n"/>
      <c r="AD345" s="1510">
        <f>AE345-SUM(AA345,AB345,AC345)</f>
        <v/>
      </c>
      <c r="AE345" s="1455" t="n"/>
      <c r="AF345" s="1456" t="n"/>
      <c r="AG345" s="1456" t="n"/>
      <c r="AH345" s="1456" t="n"/>
      <c r="AI345" s="1510">
        <f>AJ345-SUM(AF345,AG345,AH345)</f>
        <v/>
      </c>
      <c r="AJ345" s="1455" t="n"/>
      <c r="AK345" s="1456" t="n"/>
      <c r="AL345" s="1456" t="n"/>
      <c r="AM345" s="1456" t="n"/>
      <c r="AN345" s="1456" t="n"/>
      <c r="AO345" s="1455" t="n"/>
      <c r="AP345" s="1456" t="n"/>
      <c r="AQ345" s="1456" t="n"/>
      <c r="AR345" s="1456" t="n"/>
      <c r="AS345" s="1456" t="n"/>
      <c r="AT345" s="1455" t="n"/>
      <c r="AU345" s="1456" t="n"/>
      <c r="AV345" s="1456" t="n"/>
      <c r="AW345" s="1456" t="n"/>
      <c r="AX345" s="1456" t="n"/>
      <c r="AY345" s="1455" t="n"/>
      <c r="AZ345" s="1456" t="n"/>
      <c r="BA345" s="1456" t="n"/>
      <c r="BB345" s="1456" t="n"/>
      <c r="BC345" s="1456" t="n"/>
      <c r="BD345" s="1455" t="n"/>
      <c r="BE345" s="1456" t="n"/>
      <c r="BF345" s="1456" t="n"/>
      <c r="BG345" s="1456" t="n"/>
      <c r="BH345" s="1456" t="n"/>
      <c r="BI345" s="1455" t="n"/>
      <c r="BJ345" s="1456" t="n"/>
      <c r="BK345" s="1456" t="n"/>
      <c r="BL345" s="1456" t="n"/>
      <c r="BM345" s="1456" t="n"/>
      <c r="BN345" s="1455" t="n"/>
      <c r="BO345" s="1456" t="n"/>
      <c r="BP345" s="1456" t="n"/>
      <c r="BQ345" s="1457" t="n"/>
      <c r="BR345" s="1456" t="n"/>
      <c r="BS345" s="1455" t="n"/>
      <c r="BT345" s="1456" t="n"/>
      <c r="BU345" s="1456" t="n"/>
      <c r="BV345" s="1456" t="n"/>
      <c r="BW345" s="1456" t="n"/>
      <c r="BX345" s="1455" t="n"/>
      <c r="BY345" s="1455" t="n"/>
      <c r="BZ345" s="1455" t="n"/>
      <c r="CA345" s="1455" t="n"/>
      <c r="CB345" s="1364" t="n"/>
    </row>
    <row r="346" hidden="1" outlineLevel="1" ht="14.4" customFormat="1" customHeight="1" s="1372">
      <c r="A346" s="1400" t="inlineStr">
        <is>
          <t>Total cost of sales</t>
        </is>
      </c>
      <c r="B346" s="1516" t="n"/>
      <c r="C346" s="1402">
        <f>SUM(C343:C345)</f>
        <v/>
      </c>
      <c r="D346" s="1402">
        <f>SUM(D343:D345)</f>
        <v/>
      </c>
      <c r="E346" s="1402">
        <f>SUM(E343:E345)</f>
        <v/>
      </c>
      <c r="F346" s="1402">
        <f>SUM(F343:F345)</f>
        <v/>
      </c>
      <c r="G346" s="1403">
        <f>SUM(G343:G345)</f>
        <v/>
      </c>
      <c r="H346" s="1403">
        <f>SUM(H343:H345)</f>
        <v/>
      </c>
      <c r="I346" s="1403">
        <f>SUM(I343:I345)</f>
        <v/>
      </c>
      <c r="J346" s="1403">
        <f>SUM(J343:J345)</f>
        <v/>
      </c>
      <c r="K346" s="1402">
        <f>SUM(K343:K345)</f>
        <v/>
      </c>
      <c r="L346" s="1403">
        <f>SUM(L343:L345)</f>
        <v/>
      </c>
      <c r="M346" s="1403">
        <f>SUM(M343:M345)</f>
        <v/>
      </c>
      <c r="N346" s="1403">
        <f>SUM(N343:N345)</f>
        <v/>
      </c>
      <c r="O346" s="1403">
        <f>SUM(O343:O345)</f>
        <v/>
      </c>
      <c r="P346" s="1402">
        <f>SUM(P343:P345)</f>
        <v/>
      </c>
      <c r="Q346" s="1403">
        <f>SUM(Q343:Q345)</f>
        <v/>
      </c>
      <c r="R346" s="1403">
        <f>SUM(R343:R345)</f>
        <v/>
      </c>
      <c r="S346" s="1403">
        <f>SUM(S343:S345)</f>
        <v/>
      </c>
      <c r="T346" s="1403">
        <f>SUM(T343:T345)</f>
        <v/>
      </c>
      <c r="U346" s="1402">
        <f>SUM(U343:U345)</f>
        <v/>
      </c>
      <c r="V346" s="1403">
        <f>SUM(V343:V345)</f>
        <v/>
      </c>
      <c r="W346" s="1403">
        <f>SUM(W343:W345)</f>
        <v/>
      </c>
      <c r="X346" s="1403">
        <f>SUM(X343:X345)</f>
        <v/>
      </c>
      <c r="Y346" s="1404">
        <f>SUM(Y343:Y345)</f>
        <v/>
      </c>
      <c r="Z346" s="1405">
        <f>SUM(Z343:Z345)</f>
        <v/>
      </c>
      <c r="AA346" s="1403">
        <f>SUM(AA343:AA345)</f>
        <v/>
      </c>
      <c r="AB346" s="1403">
        <f>SUM(AB343:AB345)</f>
        <v/>
      </c>
      <c r="AC346" s="1403">
        <f>SUM(AC343:AC345)</f>
        <v/>
      </c>
      <c r="AD346" s="1404">
        <f>SUM(AD343:AD345)</f>
        <v/>
      </c>
      <c r="AE346" s="1405">
        <f>SUM(AE343:AE345)</f>
        <v/>
      </c>
      <c r="AF346" s="1403">
        <f>SUM(AF343:AF345)</f>
        <v/>
      </c>
      <c r="AG346" s="1403">
        <f>SUM(AG343:AG345)</f>
        <v/>
      </c>
      <c r="AH346" s="1403">
        <f>SUM(AH343:AH345)</f>
        <v/>
      </c>
      <c r="AI346" s="1404">
        <f>SUM(AI343:AI345)</f>
        <v/>
      </c>
      <c r="AJ346" s="1405">
        <f>SUM(AJ343:AJ345)</f>
        <v/>
      </c>
      <c r="AK346" s="1403">
        <f>SUM(AK343:AK345)</f>
        <v/>
      </c>
      <c r="AL346" s="1403">
        <f>SUM(AL343:AL345)</f>
        <v/>
      </c>
      <c r="AM346" s="1403">
        <f>SUM(AM343:AM345)</f>
        <v/>
      </c>
      <c r="AN346" s="1404">
        <f>SUM(AN343:AN345)</f>
        <v/>
      </c>
      <c r="AO346" s="1405">
        <f>SUM(AO343:AO345)</f>
        <v/>
      </c>
      <c r="AP346" s="1403">
        <f>SUM(AP343:AP345)</f>
        <v/>
      </c>
      <c r="AQ346" s="1403">
        <f>SUM(AQ343:AQ345)</f>
        <v/>
      </c>
      <c r="AR346" s="1403">
        <f>SUM(AR343:AR345)</f>
        <v/>
      </c>
      <c r="AS346" s="1404">
        <f>SUM(AS343:AS345)</f>
        <v/>
      </c>
      <c r="AT346" s="1405">
        <f>SUM(AT343:AT345)</f>
        <v/>
      </c>
      <c r="AU346" s="1403">
        <f>SUM(AU343:AU345)</f>
        <v/>
      </c>
      <c r="AV346" s="1403">
        <f>SUM(AV343:AV345)</f>
        <v/>
      </c>
      <c r="AW346" s="1403">
        <f>SUM(AW343:AW345)</f>
        <v/>
      </c>
      <c r="AX346" s="1404">
        <f>SUM(AX343:AX345)</f>
        <v/>
      </c>
      <c r="AY346" s="1405">
        <f>SUM(AY343:AY345)</f>
        <v/>
      </c>
      <c r="AZ346" s="1403">
        <f>SUM(AZ343:AZ345)</f>
        <v/>
      </c>
      <c r="BA346" s="1403">
        <f>SUM(BA343:BA345)</f>
        <v/>
      </c>
      <c r="BB346" s="1403">
        <f>SUM(BB343:BB345)</f>
        <v/>
      </c>
      <c r="BC346" s="1404">
        <f>SUM(BC343:BC345)</f>
        <v/>
      </c>
      <c r="BD346" s="1405">
        <f>SUM(BD343:BD345)</f>
        <v/>
      </c>
      <c r="BE346" s="1403">
        <f>SUM(BE343:BE345)</f>
        <v/>
      </c>
      <c r="BF346" s="1403">
        <f>SUM(BF343:BF345)</f>
        <v/>
      </c>
      <c r="BG346" s="1403">
        <f>SUM(BG343:BG345)</f>
        <v/>
      </c>
      <c r="BH346" s="1404">
        <f>SUM(BH343:BH345)</f>
        <v/>
      </c>
      <c r="BI346" s="1405">
        <f>SUM(BI343:BI345)</f>
        <v/>
      </c>
      <c r="BJ346" s="1403">
        <f>SUM(BJ343:BJ345)</f>
        <v/>
      </c>
      <c r="BK346" s="1403">
        <f>SUM(BK343:BK345)</f>
        <v/>
      </c>
      <c r="BL346" s="1403">
        <f>SUM(BL343:BL345)</f>
        <v/>
      </c>
      <c r="BM346" s="1404">
        <f>SUM(BM343:BM345)</f>
        <v/>
      </c>
      <c r="BN346" s="1405">
        <f>SUM(BN343:BN345)</f>
        <v/>
      </c>
      <c r="BO346" s="1403">
        <f>SUM(BO343:BO345)</f>
        <v/>
      </c>
      <c r="BP346" s="1403">
        <f>SUM(BP343:BP345)</f>
        <v/>
      </c>
      <c r="BQ346" s="1406">
        <f>SUM(BQ343:BQ345)</f>
        <v/>
      </c>
      <c r="BR346" s="1404" t="n"/>
      <c r="BS346" s="1405" t="n"/>
      <c r="BT346" s="1404" t="n"/>
      <c r="BU346" s="1404" t="n"/>
      <c r="BV346" s="1404" t="n"/>
      <c r="BW346" s="1404" t="n"/>
      <c r="BX346" s="1405" t="n"/>
      <c r="BY346" s="1405" t="n"/>
      <c r="BZ346" s="1405" t="n"/>
      <c r="CA346" s="1405" t="n"/>
      <c r="CB346" s="1375" t="n"/>
    </row>
    <row r="347" hidden="1" outlineLevel="1" ht="14.4" customFormat="1" customHeight="1" s="1372">
      <c r="A347" s="1452" t="inlineStr">
        <is>
          <t>Gross profit</t>
        </is>
      </c>
      <c r="B347" s="1517" t="n"/>
      <c r="C347" s="1458">
        <f>C342-C346</f>
        <v/>
      </c>
      <c r="D347" s="1458">
        <f>D342-D346</f>
        <v/>
      </c>
      <c r="E347" s="1458">
        <f>E342-E346</f>
        <v/>
      </c>
      <c r="F347" s="1458">
        <f>F342-F346</f>
        <v/>
      </c>
      <c r="G347" s="1375">
        <f>G342-G346</f>
        <v/>
      </c>
      <c r="H347" s="1375">
        <f>H342-H346</f>
        <v/>
      </c>
      <c r="I347" s="1375">
        <f>I342-I346</f>
        <v/>
      </c>
      <c r="J347" s="1375">
        <f>J342-J346</f>
        <v/>
      </c>
      <c r="K347" s="1458">
        <f>K342-K346</f>
        <v/>
      </c>
      <c r="L347" s="1375">
        <f>L342-L346</f>
        <v/>
      </c>
      <c r="M347" s="1375">
        <f>M342-M346</f>
        <v/>
      </c>
      <c r="N347" s="1375">
        <f>N342-N346</f>
        <v/>
      </c>
      <c r="O347" s="1375">
        <f>O342-O346</f>
        <v/>
      </c>
      <c r="P347" s="1458">
        <f>P342-P346</f>
        <v/>
      </c>
      <c r="Q347" s="1375">
        <f>Q342-Q346</f>
        <v/>
      </c>
      <c r="R347" s="1375">
        <f>R342-R346</f>
        <v/>
      </c>
      <c r="S347" s="1375">
        <f>S342-S346</f>
        <v/>
      </c>
      <c r="T347" s="1375">
        <f>T342-T346</f>
        <v/>
      </c>
      <c r="U347" s="1458">
        <f>U342-U346</f>
        <v/>
      </c>
      <c r="V347" s="1375">
        <f>V342-V346</f>
        <v/>
      </c>
      <c r="W347" s="1375">
        <f>W342-W346</f>
        <v/>
      </c>
      <c r="X347" s="1375">
        <f>X342-X346</f>
        <v/>
      </c>
      <c r="Y347" s="1450">
        <f>Y342-Y346</f>
        <v/>
      </c>
      <c r="Z347" s="1449">
        <f>Z342-Z346</f>
        <v/>
      </c>
      <c r="AA347" s="1375">
        <f>AA342-AA346</f>
        <v/>
      </c>
      <c r="AB347" s="1375">
        <f>AB342-AB346</f>
        <v/>
      </c>
      <c r="AC347" s="1375">
        <f>AC342-AC346</f>
        <v/>
      </c>
      <c r="AD347" s="1450">
        <f>AD342-AD346</f>
        <v/>
      </c>
      <c r="AE347" s="1449">
        <f>AE342-AE346</f>
        <v/>
      </c>
      <c r="AF347" s="1375">
        <f>AF342-AF346</f>
        <v/>
      </c>
      <c r="AG347" s="1375">
        <f>AG342-AG346</f>
        <v/>
      </c>
      <c r="AH347" s="1375">
        <f>AH342-AH346</f>
        <v/>
      </c>
      <c r="AI347" s="1450">
        <f>AI342-AI346</f>
        <v/>
      </c>
      <c r="AJ347" s="1449">
        <f>AJ342-AJ346</f>
        <v/>
      </c>
      <c r="AK347" s="1375">
        <f>AK342-AK346</f>
        <v/>
      </c>
      <c r="AL347" s="1375">
        <f>AL342-AL346</f>
        <v/>
      </c>
      <c r="AM347" s="1375">
        <f>AM342-AM346</f>
        <v/>
      </c>
      <c r="AN347" s="1450">
        <f>AN342-AN346</f>
        <v/>
      </c>
      <c r="AO347" s="1449">
        <f>AO342-AO346</f>
        <v/>
      </c>
      <c r="AP347" s="1375">
        <f>AP342-AP346</f>
        <v/>
      </c>
      <c r="AQ347" s="1375">
        <f>AQ342-AQ346</f>
        <v/>
      </c>
      <c r="AR347" s="1375">
        <f>AR342-AR346</f>
        <v/>
      </c>
      <c r="AS347" s="1450">
        <f>AS342-AS346</f>
        <v/>
      </c>
      <c r="AT347" s="1449">
        <f>AT342-AT346</f>
        <v/>
      </c>
      <c r="AU347" s="1375">
        <f>AU342-AU346</f>
        <v/>
      </c>
      <c r="AV347" s="1375">
        <f>AV342-AV346</f>
        <v/>
      </c>
      <c r="AW347" s="1375">
        <f>AW342-AW346</f>
        <v/>
      </c>
      <c r="AX347" s="1450">
        <f>AX342-AX346</f>
        <v/>
      </c>
      <c r="AY347" s="1449">
        <f>AY342-AY346</f>
        <v/>
      </c>
      <c r="AZ347" s="1375">
        <f>AZ342-AZ346</f>
        <v/>
      </c>
      <c r="BA347" s="1375">
        <f>BA342-BA346</f>
        <v/>
      </c>
      <c r="BB347" s="1375">
        <f>BB342-BB346</f>
        <v/>
      </c>
      <c r="BC347" s="1450">
        <f>BC342-BC346</f>
        <v/>
      </c>
      <c r="BD347" s="1449">
        <f>BD342-BD346</f>
        <v/>
      </c>
      <c r="BE347" s="1375">
        <f>BE342-BE346</f>
        <v/>
      </c>
      <c r="BF347" s="1375">
        <f>BF342-BF346</f>
        <v/>
      </c>
      <c r="BG347" s="1375">
        <f>BG342-BG346</f>
        <v/>
      </c>
      <c r="BH347" s="1450">
        <f>BH342-BH346</f>
        <v/>
      </c>
      <c r="BI347" s="1449">
        <f>BI342-BI346</f>
        <v/>
      </c>
      <c r="BJ347" s="1375">
        <f>BJ342-BJ346</f>
        <v/>
      </c>
      <c r="BK347" s="1375">
        <f>BK342-BK346</f>
        <v/>
      </c>
      <c r="BL347" s="1375">
        <f>BL342-BL346</f>
        <v/>
      </c>
      <c r="BM347" s="1450">
        <f>BM342-BM346</f>
        <v/>
      </c>
      <c r="BN347" s="1449">
        <f>BN342-BN346</f>
        <v/>
      </c>
      <c r="BO347" s="1375">
        <f>BO342-BO346</f>
        <v/>
      </c>
      <c r="BP347" s="1375">
        <f>BP342-BP346</f>
        <v/>
      </c>
      <c r="BQ347" s="1459">
        <f>BQ342-BQ346</f>
        <v/>
      </c>
      <c r="BR347" s="1450" t="n"/>
      <c r="BS347" s="1449" t="n"/>
      <c r="BT347" s="1450" t="n"/>
      <c r="BU347" s="1450" t="n"/>
      <c r="BV347" s="1450" t="n"/>
      <c r="BW347" s="1450" t="n"/>
      <c r="BX347" s="1449" t="n"/>
      <c r="BY347" s="1449" t="n"/>
      <c r="BZ347" s="1449" t="n"/>
      <c r="CA347" s="1449" t="n"/>
      <c r="CB347" s="1375" t="n"/>
    </row>
    <row r="348" hidden="1" outlineLevel="1" ht="14.4" customFormat="1" customHeight="1" s="1359">
      <c r="A348" s="1394" t="inlineStr">
        <is>
          <t>Marketing and sales</t>
        </is>
      </c>
      <c r="B348" s="1512" t="n"/>
      <c r="C348" s="1494" t="n">
        <v>286.833</v>
      </c>
      <c r="D348" s="1494" t="n">
        <v>305.558</v>
      </c>
      <c r="E348" s="1494" t="n">
        <v>323.798</v>
      </c>
      <c r="F348" s="1494" t="n">
        <v>342.278</v>
      </c>
      <c r="G348" s="1493" t="n">
        <v>90.402</v>
      </c>
      <c r="H348" s="1493" t="n">
        <v>95.277</v>
      </c>
      <c r="I348" s="1493" t="n">
        <v>98.09399999999999</v>
      </c>
      <c r="J348" s="1493" t="n">
        <v>94.384</v>
      </c>
      <c r="K348" s="1494" t="n">
        <v>378.157</v>
      </c>
      <c r="L348" s="1493" t="n">
        <v>98.32299999999999</v>
      </c>
      <c r="M348" s="1493" t="n">
        <v>98.611</v>
      </c>
      <c r="N348" s="1493" t="n">
        <v>100.387</v>
      </c>
      <c r="O348" s="1493" t="n">
        <v>102.367</v>
      </c>
      <c r="P348" s="1494" t="n">
        <v>399.688</v>
      </c>
      <c r="Q348" s="1493" t="n">
        <v>100.268</v>
      </c>
      <c r="R348" s="1493" t="n">
        <v>96.66200000000001</v>
      </c>
      <c r="S348" s="1493" t="n">
        <v>101.95</v>
      </c>
      <c r="T348" s="1493" t="n">
        <v>103.552</v>
      </c>
      <c r="U348" s="1494" t="n">
        <v>402.432</v>
      </c>
      <c r="V348" s="1493" t="n">
        <v>99.2</v>
      </c>
      <c r="W348" s="1493" t="n">
        <v>101.11</v>
      </c>
      <c r="X348" s="1493" t="n">
        <v>96.79300000000001</v>
      </c>
      <c r="Y348" s="1364">
        <f>Z348-SUM(V348,W348,X348)</f>
        <v/>
      </c>
      <c r="Z348" s="1494" t="n">
        <v>395.194</v>
      </c>
      <c r="AA348" s="1493" t="n">
        <v>103.347</v>
      </c>
      <c r="AB348" s="1493" t="n">
        <v>103.897</v>
      </c>
      <c r="AC348" s="1493" t="n">
        <v>104.263</v>
      </c>
      <c r="AD348" s="1364">
        <f>AE348-SUM(AA348,AB348,AC348)</f>
        <v/>
      </c>
      <c r="AE348" s="1494" t="n">
        <v>419.161</v>
      </c>
      <c r="AF348" s="1493" t="n">
        <v>109.148</v>
      </c>
      <c r="AG348" s="1493" t="n">
        <v>109.3</v>
      </c>
      <c r="AH348" s="1493" t="n">
        <v>108.608</v>
      </c>
      <c r="AI348" s="1364">
        <f>AJ348-SUM(AF348,AG348,AH348)</f>
        <v/>
      </c>
      <c r="AJ348" s="1494" t="n">
        <v>439.669</v>
      </c>
      <c r="AK348" s="1493" t="n">
        <v>116.83</v>
      </c>
      <c r="AL348" s="1493" t="n">
        <v>116.208</v>
      </c>
      <c r="AM348" s="1493" t="n">
        <v>121.368</v>
      </c>
      <c r="AN348" s="1364">
        <f>AO348-SUM(AK348,AL348,AM348)</f>
        <v/>
      </c>
      <c r="AO348" s="1494" t="n">
        <v>481.673</v>
      </c>
      <c r="AP348" s="1493" t="n">
        <v>125.744</v>
      </c>
      <c r="AQ348" s="1493" t="n">
        <v>120.476</v>
      </c>
      <c r="AR348" s="1493" t="n">
        <v>123.738</v>
      </c>
      <c r="AS348" s="1364">
        <f>AT348-SUM(AP348,AQ348,AR348)</f>
        <v/>
      </c>
      <c r="AT348" s="1494" t="n">
        <v>516.46</v>
      </c>
      <c r="AU348" s="1493" t="n">
        <v>132.826</v>
      </c>
      <c r="AV348" s="1493" t="n">
        <v>135.967</v>
      </c>
      <c r="AW348" s="1493" t="n">
        <v>143.401</v>
      </c>
      <c r="AX348" s="1364">
        <f>AY348-SUM(AU348,AV348,AW348)</f>
        <v/>
      </c>
      <c r="AY348" s="1494" t="n">
        <v>560.2619999999999</v>
      </c>
      <c r="AZ348" s="1493" t="n">
        <v>140.186</v>
      </c>
      <c r="BA348" s="1493" t="n">
        <v>139.296</v>
      </c>
      <c r="BB348" s="1493" t="n">
        <v>152.925</v>
      </c>
      <c r="BC348" s="1364">
        <f>BD348-SUM(AZ348,BA348,BB348)</f>
        <v/>
      </c>
      <c r="BD348" s="1494" t="n">
        <v>604.224</v>
      </c>
      <c r="BE348" s="1493" t="n">
        <v>166.666</v>
      </c>
      <c r="BF348" s="1493" t="n">
        <v>167.07</v>
      </c>
      <c r="BG348" s="1493" t="n">
        <v>176.215</v>
      </c>
      <c r="BH348" s="1364">
        <f>BI348-SUM(BE348,BF348,BG348)</f>
        <v/>
      </c>
      <c r="BI348" s="1494" t="n">
        <v>690.319</v>
      </c>
      <c r="BJ348" s="1493" t="n">
        <v>180.589</v>
      </c>
      <c r="BK348" s="1493" t="n">
        <v>186.725</v>
      </c>
      <c r="BL348" s="1493" t="n">
        <v>189.763</v>
      </c>
      <c r="BM348" s="1364">
        <f>BN348-SUM(BJ348,BK348,BL348)</f>
        <v/>
      </c>
      <c r="BN348" s="1494" t="n">
        <v>757.4829999999999</v>
      </c>
      <c r="BO348" s="1493" t="n">
        <v>202.7</v>
      </c>
      <c r="BP348" s="1493" t="n">
        <v>200.595</v>
      </c>
      <c r="BQ348" s="1502" t="n">
        <v>192.56</v>
      </c>
      <c r="BR348" s="1361" t="n"/>
      <c r="BS348" s="1379" t="n"/>
      <c r="BT348" s="1361" t="n"/>
      <c r="BU348" s="1361" t="n"/>
      <c r="BV348" s="1361" t="n"/>
      <c r="BW348" s="1361" t="n"/>
      <c r="BX348" s="1379" t="n"/>
      <c r="BY348" s="1379" t="n"/>
      <c r="BZ348" s="1379" t="n"/>
      <c r="CA348" s="1379" t="n"/>
      <c r="CB348" s="1364" t="n"/>
    </row>
    <row r="349" hidden="1" outlineLevel="1" ht="14.4" customFormat="1" customHeight="1" s="1359">
      <c r="A349" s="1394" t="inlineStr">
        <is>
          <t>Research and development</t>
        </is>
      </c>
      <c r="B349" s="1512" t="n"/>
      <c r="C349" s="1494" t="n">
        <v>354.703</v>
      </c>
      <c r="D349" s="1494" t="n">
        <v>376.413</v>
      </c>
      <c r="E349" s="1494" t="n">
        <v>400.745</v>
      </c>
      <c r="F349" s="1494" t="n">
        <v>454.085</v>
      </c>
      <c r="G349" s="1493" t="n">
        <v>124.084</v>
      </c>
      <c r="H349" s="1493" t="n">
        <v>136.395</v>
      </c>
      <c r="I349" s="1493" t="n">
        <v>138.078</v>
      </c>
      <c r="J349" s="1493" t="n">
        <v>135.465</v>
      </c>
      <c r="K349" s="1494" t="n">
        <v>534.022</v>
      </c>
      <c r="L349" s="1493" t="n">
        <v>146.466</v>
      </c>
      <c r="M349" s="1493" t="n">
        <v>152.672</v>
      </c>
      <c r="N349" s="1493" t="n">
        <v>148.744</v>
      </c>
      <c r="O349" s="1493" t="n">
        <v>155.124</v>
      </c>
      <c r="P349" s="1494" t="n">
        <v>603.006</v>
      </c>
      <c r="Q349" s="1493" t="n">
        <v>162.996</v>
      </c>
      <c r="R349" s="1493" t="n">
        <v>157.974</v>
      </c>
      <c r="S349" s="1493" t="n">
        <v>154.627</v>
      </c>
      <c r="T349" s="1493" t="n">
        <v>161.97</v>
      </c>
      <c r="U349" s="1494" t="n">
        <v>637.567</v>
      </c>
      <c r="V349" s="1493" t="n">
        <v>179.906</v>
      </c>
      <c r="W349" s="1493" t="n">
        <v>182.371</v>
      </c>
      <c r="X349" s="1493" t="n">
        <v>191.547</v>
      </c>
      <c r="Y349" s="1364">
        <f>Z349-SUM(V349,W349,X349)</f>
        <v/>
      </c>
      <c r="Z349" s="1494" t="n">
        <v>735.34</v>
      </c>
      <c r="AA349" s="1493" t="n">
        <v>198.286</v>
      </c>
      <c r="AB349" s="1493" t="n">
        <v>195.901</v>
      </c>
      <c r="AC349" s="1493" t="n">
        <v>206.568</v>
      </c>
      <c r="AD349" s="1364">
        <f>AE349-SUM(AA349,AB349,AC349)</f>
        <v/>
      </c>
      <c r="AE349" s="1494" t="n">
        <v>804.223</v>
      </c>
      <c r="AF349" s="1493" t="n">
        <v>224.185</v>
      </c>
      <c r="AG349" s="1493" t="n">
        <v>219.129</v>
      </c>
      <c r="AH349" s="1493" t="n">
        <v>223.231</v>
      </c>
      <c r="AI349" s="1364">
        <f>AJ349-SUM(AF349,AG349,AH349)</f>
        <v/>
      </c>
      <c r="AJ349" s="1494" t="n">
        <v>884.816</v>
      </c>
      <c r="AK349" s="1493" t="n">
        <v>228.21</v>
      </c>
      <c r="AL349" s="1493" t="n">
        <v>231.814</v>
      </c>
      <c r="AM349" s="1493" t="n">
        <v>240.542</v>
      </c>
      <c r="AN349" s="1364">
        <f>AO349-SUM(AK349,AL349,AM349)</f>
        <v/>
      </c>
      <c r="AO349" s="1494" t="n">
        <v>935.938</v>
      </c>
      <c r="AP349" s="1493" t="n">
        <v>241.668</v>
      </c>
      <c r="AQ349" s="1493" t="n">
        <v>250.821</v>
      </c>
      <c r="AR349" s="1493" t="n">
        <v>250.934</v>
      </c>
      <c r="AS349" s="1364">
        <f>AT349-SUM(AP349,AQ349,AR349)</f>
        <v/>
      </c>
      <c r="AT349" s="1494" t="n">
        <v>1033.732</v>
      </c>
      <c r="AU349" s="1493" t="n">
        <v>270.992</v>
      </c>
      <c r="AV349" s="1493" t="n">
        <v>285.227</v>
      </c>
      <c r="AW349" s="1493" t="n">
        <v>289.105</v>
      </c>
      <c r="AX349" s="1364">
        <f>AY349-SUM(AU349,AV349,AW349)</f>
        <v/>
      </c>
      <c r="AY349" s="1494" t="n">
        <v>1134.277</v>
      </c>
      <c r="AZ349" s="1493" t="n">
        <v>290.895</v>
      </c>
      <c r="BA349" s="1493" t="n">
        <v>286.597</v>
      </c>
      <c r="BB349" s="1493" t="n">
        <v>323.629</v>
      </c>
      <c r="BC349" s="1364">
        <f>BD349-SUM(AZ349,BA349,BB349)</f>
        <v/>
      </c>
      <c r="BD349" s="1494" t="n">
        <v>1251.544</v>
      </c>
      <c r="BE349" s="1493" t="n">
        <v>350.295</v>
      </c>
      <c r="BF349" s="1493" t="n">
        <v>354.416</v>
      </c>
      <c r="BG349" s="1493" t="n">
        <v>369.642</v>
      </c>
      <c r="BH349" s="1364">
        <f>BI349-SUM(BE349,BF349,BG349)</f>
        <v/>
      </c>
      <c r="BI349" s="1494" t="n">
        <v>1441.796</v>
      </c>
      <c r="BJ349" s="1493" t="n">
        <v>378.958</v>
      </c>
      <c r="BK349" s="1493" t="n">
        <v>370.74</v>
      </c>
      <c r="BL349" s="1493" t="n">
        <v>407.369</v>
      </c>
      <c r="BM349" s="1364">
        <f>BN349-SUM(BJ349,BK349,BL349)</f>
        <v/>
      </c>
      <c r="BN349" s="1494" t="n">
        <v>1549.093</v>
      </c>
      <c r="BO349" s="1493" t="n">
        <v>439.102</v>
      </c>
      <c r="BP349" s="1493" t="n">
        <v>442.057</v>
      </c>
      <c r="BQ349" s="1502" t="n">
        <v>423.031</v>
      </c>
      <c r="BR349" s="1361" t="n"/>
      <c r="BS349" s="1379" t="n"/>
      <c r="BT349" s="1361" t="n"/>
      <c r="BU349" s="1361" t="n"/>
      <c r="BV349" s="1361" t="n"/>
      <c r="BW349" s="1361" t="n"/>
      <c r="BX349" s="1379" t="n"/>
      <c r="BY349" s="1379" t="n"/>
      <c r="BZ349" s="1379" t="n"/>
      <c r="CA349" s="1379" t="n"/>
      <c r="CB349" s="1364" t="n"/>
    </row>
    <row r="350" hidden="1" outlineLevel="1" ht="14.4" customFormat="1" customHeight="1" s="1359">
      <c r="A350" s="1394" t="inlineStr">
        <is>
          <t>General and administrative</t>
        </is>
      </c>
      <c r="B350" s="1512" t="n"/>
      <c r="C350" s="1494" t="n">
        <v>122.648</v>
      </c>
      <c r="D350" s="1494" t="n">
        <v>86.39400000000001</v>
      </c>
      <c r="E350" s="1494" t="n">
        <v>92.863</v>
      </c>
      <c r="F350" s="1494" t="n">
        <v>112.076</v>
      </c>
      <c r="G350" s="1493" t="n">
        <v>29.81</v>
      </c>
      <c r="H350" s="1493" t="n">
        <v>34.441</v>
      </c>
      <c r="I350" s="1493" t="n">
        <v>27.582</v>
      </c>
      <c r="J350" s="1493" t="n">
        <v>29.481</v>
      </c>
      <c r="K350" s="1494" t="n">
        <v>121.314</v>
      </c>
      <c r="L350" s="1493" t="n">
        <v>28.744</v>
      </c>
      <c r="M350" s="1493" t="n">
        <v>32.042</v>
      </c>
      <c r="N350" s="1493" t="n">
        <v>25.894</v>
      </c>
      <c r="O350" s="1493" t="n">
        <v>26.939</v>
      </c>
      <c r="P350" s="1494" t="n">
        <v>113.619</v>
      </c>
      <c r="Q350" s="1493" t="n">
        <v>27.642</v>
      </c>
      <c r="R350" s="1493" t="n">
        <v>27.467</v>
      </c>
      <c r="S350" s="1493" t="n">
        <v>28.084</v>
      </c>
      <c r="T350" s="1493" t="n">
        <v>26.789</v>
      </c>
      <c r="U350" s="1494" t="n">
        <v>109.982</v>
      </c>
      <c r="V350" s="1493" t="n">
        <v>28.3</v>
      </c>
      <c r="W350" s="1493" t="n">
        <v>36.388</v>
      </c>
      <c r="X350" s="1493" t="n">
        <v>30.441</v>
      </c>
      <c r="Y350" s="1364">
        <f>Z350-SUM(V350,W350,X350)</f>
        <v/>
      </c>
      <c r="Z350" s="1494" t="n">
        <v>125.106</v>
      </c>
      <c r="AA350" s="1493" t="n">
        <v>31.816</v>
      </c>
      <c r="AB350" s="1493" t="n">
        <v>32.774</v>
      </c>
      <c r="AC350" s="1493" t="n">
        <v>36.302</v>
      </c>
      <c r="AD350" s="1364">
        <f>AE350-SUM(AA350,AB350,AC350)</f>
        <v/>
      </c>
      <c r="AE350" s="1494" t="n">
        <v>134.181</v>
      </c>
      <c r="AF350" s="1493" t="n">
        <v>33.299</v>
      </c>
      <c r="AG350" s="1493" t="n">
        <v>34.875</v>
      </c>
      <c r="AH350" s="1493" t="n">
        <v>33.247</v>
      </c>
      <c r="AI350" s="1364">
        <f>AJ350-SUM(AF350,AG350,AH350)</f>
        <v/>
      </c>
      <c r="AJ350" s="1494" t="n">
        <v>133.406</v>
      </c>
      <c r="AK350" s="1493" t="n">
        <v>30.102</v>
      </c>
      <c r="AL350" s="1493" t="n">
        <v>34.407</v>
      </c>
      <c r="AM350" s="1493" t="n">
        <v>33.204</v>
      </c>
      <c r="AN350" s="1364">
        <f>AO350-SUM(AK350,AL350,AM350)</f>
        <v/>
      </c>
      <c r="AO350" s="1494" t="n">
        <v>139.806</v>
      </c>
      <c r="AP350" s="1493" t="n">
        <v>33.592</v>
      </c>
      <c r="AQ350" s="1493" t="n">
        <v>35.641</v>
      </c>
      <c r="AR350" s="1493" t="n">
        <v>35.928</v>
      </c>
      <c r="AS350" s="1364">
        <f>AT350-SUM(AP350,AQ350,AR350)</f>
        <v/>
      </c>
      <c r="AT350" s="1494" t="n">
        <v>154.425</v>
      </c>
      <c r="AU350" s="1493" t="n">
        <v>39.952</v>
      </c>
      <c r="AV350" s="1493" t="n">
        <v>40.333</v>
      </c>
      <c r="AW350" s="1493" t="n">
        <v>42.99</v>
      </c>
      <c r="AX350" s="1364">
        <f>AY350-SUM(AU350,AV350,AW350)</f>
        <v/>
      </c>
      <c r="AY350" s="1494" t="n">
        <v>189.018</v>
      </c>
      <c r="AZ350" s="1493" t="n">
        <v>48.937</v>
      </c>
      <c r="BA350" s="1493" t="n">
        <v>51.426</v>
      </c>
      <c r="BB350" s="1493" t="n">
        <v>73.688</v>
      </c>
      <c r="BC350" s="1364">
        <f>BD350-SUM(AZ350,BA350,BB350)</f>
        <v/>
      </c>
      <c r="BD350" s="1494" t="n">
        <v>242.116</v>
      </c>
      <c r="BE350" s="1493" t="n">
        <v>53.527</v>
      </c>
      <c r="BF350" s="1493" t="n">
        <v>54.605</v>
      </c>
      <c r="BG350" s="1493" t="n">
        <v>58.556</v>
      </c>
      <c r="BH350" s="1364">
        <f>BI350-SUM(BE350,BF350,BG350)</f>
        <v/>
      </c>
      <c r="BI350" s="1494" t="n">
        <v>242.43</v>
      </c>
      <c r="BJ350" s="1493" t="n">
        <v>68.71599999999999</v>
      </c>
      <c r="BK350" s="1493" t="n">
        <v>63.436</v>
      </c>
      <c r="BL350" s="1493" t="n">
        <v>71.581</v>
      </c>
      <c r="BM350" s="1364">
        <f>BN350-SUM(BJ350,BK350,BL350)</f>
        <v/>
      </c>
      <c r="BN350" s="1494" t="n">
        <v>282.283</v>
      </c>
      <c r="BO350" s="1493" t="n">
        <v>63.098</v>
      </c>
      <c r="BP350" s="1493" t="n">
        <v>69.029</v>
      </c>
      <c r="BQ350" s="1502" t="n">
        <v>78.035</v>
      </c>
      <c r="BR350" s="1361" t="n"/>
      <c r="BS350" s="1379" t="n"/>
      <c r="BT350" s="1361" t="n"/>
      <c r="BU350" s="1361" t="n"/>
      <c r="BV350" s="1361" t="n"/>
      <c r="BW350" s="1361" t="n"/>
      <c r="BX350" s="1379" t="n"/>
      <c r="BY350" s="1379" t="n"/>
      <c r="BZ350" s="1379" t="n"/>
      <c r="CA350" s="1379" t="n"/>
      <c r="CB350" s="1364" t="n"/>
    </row>
    <row r="351" hidden="1" outlineLevel="1" ht="14.4" customFormat="1" customHeight="1" s="1359">
      <c r="A351" s="1394" t="inlineStr">
        <is>
          <t>Amortization of acquired intangibles</t>
        </is>
      </c>
      <c r="B351" s="1512" t="n"/>
      <c r="C351" s="1494" t="n">
        <v>11.42</v>
      </c>
      <c r="D351" s="1494" t="n">
        <v>14.16</v>
      </c>
      <c r="E351" s="1494" t="n">
        <v>16.536</v>
      </c>
      <c r="F351" s="1494" t="n">
        <v>15.077</v>
      </c>
      <c r="G351" s="1493" t="n">
        <v>3.791</v>
      </c>
      <c r="H351" s="1493" t="n">
        <v>5.327</v>
      </c>
      <c r="I351" s="1493" t="n">
        <v>5.141</v>
      </c>
      <c r="J351" s="1493" t="n">
        <v>5.157</v>
      </c>
      <c r="K351" s="1494" t="n">
        <v>19.416</v>
      </c>
      <c r="L351" s="1493" t="n">
        <v>5.21</v>
      </c>
      <c r="M351" s="1493" t="n">
        <v>5.579</v>
      </c>
      <c r="N351" s="1493" t="n">
        <v>6.316</v>
      </c>
      <c r="O351" s="1493" t="n">
        <v>6.912</v>
      </c>
      <c r="P351" s="1494" t="n">
        <v>24.017</v>
      </c>
      <c r="Q351" s="1493" t="n">
        <v>6.231</v>
      </c>
      <c r="R351" s="1493" t="n">
        <v>6.119</v>
      </c>
      <c r="S351" s="1493" t="n">
        <v>5.687</v>
      </c>
      <c r="T351" s="1493" t="n">
        <v>5.679</v>
      </c>
      <c r="U351" s="1494" t="n">
        <v>23.716</v>
      </c>
      <c r="V351" s="1493" t="n">
        <v>5.78</v>
      </c>
      <c r="W351" s="1493" t="n">
        <v>4.537</v>
      </c>
      <c r="X351" s="1493" t="n">
        <v>3.889</v>
      </c>
      <c r="Y351" s="1364">
        <f>Z351-SUM(V351,W351,X351)</f>
        <v/>
      </c>
      <c r="Z351" s="1494" t="n">
        <v>18.095</v>
      </c>
      <c r="AA351" s="1493" t="n">
        <v>3.856</v>
      </c>
      <c r="AB351" s="1493" t="n">
        <v>3.836</v>
      </c>
      <c r="AC351" s="1493" t="n">
        <v>3.453</v>
      </c>
      <c r="AD351" s="1364">
        <f>AE351-SUM(AA351,AB351,AC351)</f>
        <v/>
      </c>
      <c r="AE351" s="1494" t="n">
        <v>14.716</v>
      </c>
      <c r="AF351" s="1493" t="n">
        <v>3.63</v>
      </c>
      <c r="AG351" s="1493" t="n">
        <v>3.518</v>
      </c>
      <c r="AH351" s="1493" t="n">
        <v>3.47</v>
      </c>
      <c r="AI351" s="1364">
        <f>AJ351-SUM(AF351,AG351,AH351)</f>
        <v/>
      </c>
      <c r="AJ351" s="1494" t="n">
        <v>14.086</v>
      </c>
      <c r="AK351" s="1493" t="n">
        <v>3.308</v>
      </c>
      <c r="AL351" s="1493" t="n">
        <v>3.159</v>
      </c>
      <c r="AM351" s="1493" t="n">
        <v>2.874</v>
      </c>
      <c r="AN351" s="1364">
        <f>AO351-SUM(AK351,AL351,AM351)</f>
        <v/>
      </c>
      <c r="AO351" s="1494" t="n">
        <v>12.128</v>
      </c>
      <c r="AP351" s="1493" t="n">
        <v>4.206</v>
      </c>
      <c r="AQ351" s="1493" t="n">
        <v>4.59</v>
      </c>
      <c r="AR351" s="1493" t="n">
        <v>4.438</v>
      </c>
      <c r="AS351" s="1364">
        <f>AT351-SUM(AP351,AQ351,AR351)</f>
        <v/>
      </c>
      <c r="AT351" s="1494" t="n">
        <v>18.009</v>
      </c>
      <c r="AU351" s="1493" t="n">
        <v>4.631</v>
      </c>
      <c r="AV351" s="1493" t="n">
        <v>5.03</v>
      </c>
      <c r="AW351" s="1493" t="n">
        <v>5</v>
      </c>
      <c r="AX351" s="1364">
        <f>AY351-SUM(AU351,AV351,AW351)</f>
        <v/>
      </c>
      <c r="AY351" s="1494" t="n">
        <v>19.64</v>
      </c>
      <c r="AZ351" s="1493" t="n">
        <v>4.964</v>
      </c>
      <c r="BA351" s="1493" t="n">
        <v>4.633</v>
      </c>
      <c r="BB351" s="1493" t="n">
        <v>3.946</v>
      </c>
      <c r="BC351" s="1364">
        <f>BD351-SUM(AZ351,BA351,BB351)</f>
        <v/>
      </c>
      <c r="BD351" s="1494" t="n">
        <v>18.47</v>
      </c>
      <c r="BE351" s="1493" t="n">
        <v>4.267</v>
      </c>
      <c r="BF351" s="1493" t="n">
        <v>4.302</v>
      </c>
      <c r="BG351" s="1493" t="n">
        <v>4.612</v>
      </c>
      <c r="BH351" s="1364">
        <f>BI351-SUM(BE351,BF351,BG351)</f>
        <v/>
      </c>
      <c r="BI351" s="1494" t="n">
        <v>18.162</v>
      </c>
      <c r="BJ351" s="1493" t="n">
        <v>5.407</v>
      </c>
      <c r="BK351" s="1493" t="n">
        <v>6.667</v>
      </c>
      <c r="BL351" s="1493" t="n">
        <v>9.148</v>
      </c>
      <c r="BM351" s="1364">
        <f>BN351-SUM(BJ351,BK351,BL351)</f>
        <v/>
      </c>
      <c r="BN351" s="1494" t="n">
        <v>30.375</v>
      </c>
      <c r="BO351" s="1493" t="n">
        <v>8.922000000000001</v>
      </c>
      <c r="BP351" s="1493" t="n">
        <v>9.204000000000001</v>
      </c>
      <c r="BQ351" s="1502" t="n">
        <v>10.233</v>
      </c>
      <c r="BR351" s="1361" t="n"/>
      <c r="BS351" s="1379" t="n"/>
      <c r="BT351" s="1361" t="n"/>
      <c r="BU351" s="1361" t="n"/>
      <c r="BV351" s="1361" t="n"/>
      <c r="BW351" s="1361" t="n"/>
      <c r="BX351" s="1379" t="n"/>
      <c r="BY351" s="1379" t="n"/>
      <c r="BZ351" s="1379" t="n"/>
      <c r="CA351" s="1379" t="n"/>
      <c r="CB351" s="1364" t="n"/>
    </row>
    <row r="352" hidden="1" outlineLevel="1" ht="14.4" customFormat="1" customHeight="1" s="1359">
      <c r="A352" s="1394" t="inlineStr">
        <is>
          <t>Restructuring and other charges</t>
        </is>
      </c>
      <c r="B352" s="1512" t="n"/>
      <c r="C352" s="1494" t="n">
        <v>31.376</v>
      </c>
      <c r="D352" s="1494" t="n">
        <v>10.152</v>
      </c>
      <c r="E352" s="1494" t="n">
        <v>0.36</v>
      </c>
      <c r="F352" s="1494" t="n">
        <v>0.113</v>
      </c>
      <c r="G352" s="1493" t="n">
        <v>-0.148</v>
      </c>
      <c r="H352" s="1493" t="n">
        <v>2.656</v>
      </c>
      <c r="I352" s="1493" t="n">
        <v>0.08599999999999999</v>
      </c>
      <c r="J352" s="1493" t="n">
        <v>15.405</v>
      </c>
      <c r="K352" s="1494" t="n">
        <v>17.999</v>
      </c>
      <c r="L352" s="1493" t="n">
        <v>0.396</v>
      </c>
      <c r="M352" s="1493" t="n">
        <v>-0.026</v>
      </c>
      <c r="N352" s="1493" t="n">
        <v>11.027</v>
      </c>
      <c r="O352" s="1493" t="n">
        <v>-1.145</v>
      </c>
      <c r="P352" s="1494" t="n">
        <v>10.252</v>
      </c>
      <c r="Q352" s="1493" t="n">
        <v>4.359</v>
      </c>
      <c r="R352" s="1493" t="n">
        <v>-0.498</v>
      </c>
      <c r="S352" s="1493" t="n">
        <v>0.303</v>
      </c>
      <c r="T352" s="1493" t="n">
        <v>0.347</v>
      </c>
      <c r="U352" s="1494" t="n">
        <v>4.511</v>
      </c>
      <c r="V352" s="1493" t="n">
        <v>14.586</v>
      </c>
      <c r="W352" s="1493" t="n">
        <v>-0.074</v>
      </c>
      <c r="X352" s="1493" t="n">
        <v>0.101</v>
      </c>
      <c r="Y352" s="1364">
        <f>Z352-SUM(V352,W352,X352)</f>
        <v/>
      </c>
      <c r="Z352" s="1494" t="n">
        <v>40.955</v>
      </c>
      <c r="AA352" s="1493" t="n">
        <v>-1.788</v>
      </c>
      <c r="AB352" s="1493" t="n">
        <v>-0.929</v>
      </c>
      <c r="AC352" s="1493" t="n">
        <v>-0.055</v>
      </c>
      <c r="AD352" s="1364">
        <f>AE352-SUM(AA352,AB352,AC352)</f>
        <v/>
      </c>
      <c r="AE352" s="1494" t="n">
        <v>9.406000000000001</v>
      </c>
      <c r="AF352" s="1493" t="n">
        <v>-1.991</v>
      </c>
      <c r="AG352" s="1493" t="n">
        <v>-0.447</v>
      </c>
      <c r="AH352" s="1493" t="n">
        <v>-0.172</v>
      </c>
      <c r="AI352" s="1364">
        <f>AJ352-SUM(AF352,AG352,AH352)</f>
        <v/>
      </c>
      <c r="AJ352" s="1494" t="n">
        <v>11.089</v>
      </c>
      <c r="AK352" s="1493" t="n">
        <v>-0.6889999999999999</v>
      </c>
      <c r="AL352" s="1493" t="n">
        <v>-0.313</v>
      </c>
      <c r="AM352" s="1493" t="n">
        <v>-0.186</v>
      </c>
      <c r="AN352" s="1364">
        <f>AO352-SUM(AK352,AL352,AM352)</f>
        <v/>
      </c>
      <c r="AO352" s="1494" t="n">
        <v>8.621</v>
      </c>
      <c r="AP352" s="1493" t="n">
        <v>-1.067</v>
      </c>
      <c r="AQ352" s="1493" t="n">
        <v>-0.275</v>
      </c>
      <c r="AR352" s="1493" t="n">
        <v>0.013</v>
      </c>
      <c r="AS352" s="1364">
        <f>AT352-SUM(AP352,AQ352,AR352)</f>
        <v/>
      </c>
      <c r="AT352" s="1494" t="n">
        <v>9.215</v>
      </c>
      <c r="AU352" s="1493" t="n">
        <v>-0.277</v>
      </c>
      <c r="AV352" s="1493" t="n">
        <v>-0.469</v>
      </c>
      <c r="AW352" s="1493" t="n">
        <v>-0.222</v>
      </c>
      <c r="AX352" s="1364">
        <f>AY352-SUM(AU352,AV352,AW352)</f>
        <v/>
      </c>
      <c r="AY352" s="1494" t="n">
        <v>-1.048</v>
      </c>
      <c r="AZ352" s="1493" t="n">
        <v>0.012</v>
      </c>
      <c r="BA352" s="1493" t="n">
        <v>0.016</v>
      </c>
      <c r="BB352" s="1493" t="n">
        <v>0.014</v>
      </c>
      <c r="BC352" s="1364">
        <f>BD352-SUM(AZ352,BA352,BB352)</f>
        <v/>
      </c>
      <c r="BD352" s="1494" t="n">
        <v>0.055</v>
      </c>
      <c r="BE352" s="1361" t="n"/>
      <c r="BF352" s="1361" t="n"/>
      <c r="BG352" s="1493" t="n">
        <v>11.582</v>
      </c>
      <c r="BH352" s="1364">
        <f>BI352-SUM(BE352,BF352,BG352)</f>
        <v/>
      </c>
      <c r="BI352" s="1494" t="n">
        <v>11.013</v>
      </c>
      <c r="BJ352" s="1493" t="n">
        <v>0.28</v>
      </c>
      <c r="BK352" s="1493" t="n">
        <v>-0.033</v>
      </c>
      <c r="BL352" s="1493" t="n">
        <v>24.538</v>
      </c>
      <c r="BM352" s="1364">
        <f>BN352-SUM(BJ352,BK352,BL352)</f>
        <v/>
      </c>
      <c r="BN352" s="1494" t="n">
        <v>23.765</v>
      </c>
      <c r="BO352" s="1493" t="n">
        <v>-0.109</v>
      </c>
      <c r="BP352" s="1493" t="n">
        <v>0.047</v>
      </c>
      <c r="BQ352" s="1502" t="n">
        <v>27.394</v>
      </c>
      <c r="BR352" s="1361" t="n"/>
      <c r="BS352" s="1379" t="n"/>
      <c r="BT352" s="1361" t="n"/>
      <c r="BU352" s="1361" t="n"/>
      <c r="BV352" s="1361" t="n"/>
      <c r="BW352" s="1361" t="n"/>
      <c r="BX352" s="1379" t="n"/>
      <c r="BY352" s="1379" t="n"/>
      <c r="BZ352" s="1379" t="n"/>
      <c r="CA352" s="1379" t="n"/>
      <c r="CB352" s="1364" t="n"/>
    </row>
    <row r="353" hidden="1" outlineLevel="1" ht="14.4" customFormat="1" customHeight="1" s="1359">
      <c r="A353" s="1394" t="inlineStr">
        <is>
          <t>Loss related to contingent liability</t>
        </is>
      </c>
      <c r="B353" s="1512" t="n"/>
      <c r="C353" s="1379" t="n"/>
      <c r="D353" s="1379" t="n"/>
      <c r="E353" s="1379" t="n"/>
      <c r="F353" s="1379" t="n"/>
      <c r="G353" s="1361" t="n"/>
      <c r="H353" s="1361" t="n"/>
      <c r="I353" s="1361" t="n"/>
      <c r="J353" s="1361" t="n"/>
      <c r="K353" s="1379" t="n"/>
      <c r="L353" s="1361" t="n"/>
      <c r="M353" s="1361" t="n"/>
      <c r="N353" s="1361" t="n"/>
      <c r="O353" s="1361" t="n"/>
      <c r="P353" s="1379" t="n"/>
      <c r="Q353" s="1361" t="n"/>
      <c r="R353" s="1361" t="n"/>
      <c r="S353" s="1361" t="n"/>
      <c r="T353" s="1361" t="n"/>
      <c r="U353" s="1379" t="n"/>
      <c r="V353" s="1361" t="n"/>
      <c r="W353" s="1361" t="n"/>
      <c r="X353" s="1361" t="n"/>
      <c r="Y353" s="1361" t="n"/>
      <c r="Z353" s="1379" t="n"/>
      <c r="AA353" s="1361" t="n"/>
      <c r="AB353" s="1361" t="n"/>
      <c r="AC353" s="1361" t="n"/>
      <c r="AD353" s="1361" t="n"/>
      <c r="AE353" s="1379" t="n"/>
      <c r="AF353" s="1361" t="n"/>
      <c r="AG353" s="1361" t="n"/>
      <c r="AH353" s="1361" t="n"/>
      <c r="AI353" s="1361" t="n"/>
      <c r="AJ353" s="1379" t="n"/>
      <c r="AK353" s="1361" t="n"/>
      <c r="AL353" s="1361" t="n"/>
      <c r="AM353" s="1361" t="n"/>
      <c r="AN353" s="1361" t="n"/>
      <c r="AO353" s="1379" t="n"/>
      <c r="AP353" s="1361" t="n"/>
      <c r="AQ353" s="1361" t="n"/>
      <c r="AR353" s="1361" t="n"/>
      <c r="AS353" s="1361" t="n"/>
      <c r="AT353" s="1379" t="n"/>
      <c r="AU353" s="1361" t="n"/>
      <c r="AV353" s="1361" t="n"/>
      <c r="AW353" s="1361" t="n"/>
      <c r="AX353" s="1361" t="n"/>
      <c r="AY353" s="1379" t="n"/>
      <c r="AZ353" s="1361" t="n"/>
      <c r="BA353" s="1361" t="n"/>
      <c r="BB353" s="1361" t="n"/>
      <c r="BC353" s="1361" t="n"/>
      <c r="BD353" s="1379" t="n"/>
      <c r="BE353" s="1361" t="n"/>
      <c r="BF353" s="1361" t="n"/>
      <c r="BG353" s="1361" t="n"/>
      <c r="BH353" s="1361" t="n"/>
      <c r="BI353" s="1379" t="n"/>
      <c r="BJ353" s="1361" t="n"/>
      <c r="BK353" s="1361" t="n"/>
      <c r="BL353" s="1361" t="n"/>
      <c r="BM353" s="1361" t="n"/>
      <c r="BN353" s="1379" t="n"/>
      <c r="BO353" s="1361" t="n"/>
      <c r="BP353" s="1493" t="n">
        <v>128.545</v>
      </c>
      <c r="BQ353" s="1363" t="n"/>
      <c r="BR353" s="1361" t="n"/>
      <c r="BS353" s="1379" t="n"/>
      <c r="BT353" s="1361" t="n"/>
      <c r="BU353" s="1361" t="n"/>
      <c r="BV353" s="1361" t="n"/>
      <c r="BW353" s="1361" t="n"/>
      <c r="BX353" s="1379" t="n"/>
      <c r="BY353" s="1379" t="n"/>
      <c r="BZ353" s="1379" t="n"/>
      <c r="CA353" s="1379" t="n"/>
      <c r="CB353" s="1364" t="n"/>
    </row>
    <row r="354" hidden="1" outlineLevel="1" ht="14.4" customFormat="1" customHeight="1" s="1359">
      <c r="A354" s="1453" t="inlineStr">
        <is>
          <t>Litigation charges</t>
        </is>
      </c>
      <c r="B354" s="1514" t="n"/>
      <c r="C354" s="1455" t="n"/>
      <c r="D354" s="1480" t="n">
        <v>15.8</v>
      </c>
      <c r="E354" s="1455" t="n"/>
      <c r="F354" s="1455" t="n"/>
      <c r="G354" s="1456" t="n"/>
      <c r="H354" s="1456" t="n"/>
      <c r="I354" s="1456" t="n"/>
      <c r="J354" s="1456" t="n"/>
      <c r="K354" s="1455" t="n"/>
      <c r="L354" s="1456" t="n"/>
      <c r="M354" s="1456" t="n"/>
      <c r="N354" s="1456" t="n"/>
      <c r="O354" s="1456" t="n"/>
      <c r="P354" s="1455" t="n"/>
      <c r="Q354" s="1456" t="n"/>
      <c r="R354" s="1456" t="n"/>
      <c r="S354" s="1456" t="n"/>
      <c r="T354" s="1456" t="n"/>
      <c r="U354" s="1455" t="n"/>
      <c r="V354" s="1456" t="n"/>
      <c r="W354" s="1456" t="n"/>
      <c r="X354" s="1456" t="n"/>
      <c r="Y354" s="1510">
        <f>Z354-SUM(V354,W354,X354)</f>
        <v/>
      </c>
      <c r="Z354" s="1480" t="n">
        <v>0</v>
      </c>
      <c r="AA354" s="1479" t="n">
        <v>0</v>
      </c>
      <c r="AB354" s="1456" t="n"/>
      <c r="AC354" s="1456" t="n"/>
      <c r="AD354" s="1510">
        <f>AE354-SUM(AA354,AB354,AC354)</f>
        <v/>
      </c>
      <c r="AE354" s="1455" t="n"/>
      <c r="AF354" s="1456" t="n"/>
      <c r="AG354" s="1456" t="n"/>
      <c r="AH354" s="1456" t="n"/>
      <c r="AI354" s="1510">
        <f>AJ354-SUM(AF354,AG354,AH354)</f>
        <v/>
      </c>
      <c r="AJ354" s="1455" t="n"/>
      <c r="AK354" s="1456" t="n"/>
      <c r="AL354" s="1456" t="n"/>
      <c r="AM354" s="1456" t="n"/>
      <c r="AN354" s="1456" t="n"/>
      <c r="AO354" s="1455" t="n"/>
      <c r="AP354" s="1456" t="n"/>
      <c r="AQ354" s="1456" t="n"/>
      <c r="AR354" s="1456" t="n"/>
      <c r="AS354" s="1456" t="n"/>
      <c r="AT354" s="1455" t="n"/>
      <c r="AU354" s="1456" t="n"/>
      <c r="AV354" s="1456" t="n"/>
      <c r="AW354" s="1456" t="n"/>
      <c r="AX354" s="1456" t="n"/>
      <c r="AY354" s="1455" t="n"/>
      <c r="AZ354" s="1456" t="n"/>
      <c r="BA354" s="1456" t="n"/>
      <c r="BB354" s="1456" t="n"/>
      <c r="BC354" s="1456" t="n"/>
      <c r="BD354" s="1455" t="n"/>
      <c r="BE354" s="1456" t="n"/>
      <c r="BF354" s="1456" t="n"/>
      <c r="BG354" s="1456" t="n"/>
      <c r="BH354" s="1456" t="n"/>
      <c r="BI354" s="1455" t="n"/>
      <c r="BJ354" s="1456" t="n"/>
      <c r="BK354" s="1456" t="n"/>
      <c r="BL354" s="1456" t="n"/>
      <c r="BM354" s="1456" t="n"/>
      <c r="BN354" s="1455" t="n"/>
      <c r="BO354" s="1456" t="n"/>
      <c r="BP354" s="1456" t="n"/>
      <c r="BQ354" s="1457" t="n"/>
      <c r="BR354" s="1456" t="n"/>
      <c r="BS354" s="1455" t="n"/>
      <c r="BT354" s="1456" t="n"/>
      <c r="BU354" s="1456" t="n"/>
      <c r="BV354" s="1456" t="n"/>
      <c r="BW354" s="1456" t="n"/>
      <c r="BX354" s="1455" t="n"/>
      <c r="BY354" s="1455" t="n"/>
      <c r="BZ354" s="1455" t="n"/>
      <c r="CA354" s="1455" t="n"/>
      <c r="CB354" s="1364" t="n"/>
    </row>
    <row r="355" hidden="1" outlineLevel="1" ht="14.4" customFormat="1" customHeight="1" s="1372">
      <c r="A355" s="1400" t="inlineStr">
        <is>
          <t>Income from operations</t>
        </is>
      </c>
      <c r="B355" s="1516" t="n"/>
      <c r="C355" s="1402">
        <f>C347-SUM(C348:C354)</f>
        <v/>
      </c>
      <c r="D355" s="1402">
        <f>D347-SUM(D348:D354)</f>
        <v/>
      </c>
      <c r="E355" s="1402">
        <f>E347-SUM(E348:E354)</f>
        <v/>
      </c>
      <c r="F355" s="1402">
        <f>F347-SUM(F348:F354)</f>
        <v/>
      </c>
      <c r="G355" s="1403">
        <f>G347-SUM(G348:G354)</f>
        <v/>
      </c>
      <c r="H355" s="1403">
        <f>H347-SUM(H348:H354)</f>
        <v/>
      </c>
      <c r="I355" s="1403">
        <f>I347-SUM(I348:I354)</f>
        <v/>
      </c>
      <c r="J355" s="1403">
        <f>J347-SUM(J348:J354)</f>
        <v/>
      </c>
      <c r="K355" s="1402">
        <f>K347-SUM(K348:K354)</f>
        <v/>
      </c>
      <c r="L355" s="1403">
        <f>L347-SUM(L348:L354)</f>
        <v/>
      </c>
      <c r="M355" s="1403">
        <f>M347-SUM(M348:M354)</f>
        <v/>
      </c>
      <c r="N355" s="1403">
        <f>N347-SUM(N348:N354)</f>
        <v/>
      </c>
      <c r="O355" s="1403">
        <f>O347-SUM(O348:O354)</f>
        <v/>
      </c>
      <c r="P355" s="1402">
        <f>P347-SUM(P348:P354)</f>
        <v/>
      </c>
      <c r="Q355" s="1403">
        <f>Q347-SUM(Q348:Q354)</f>
        <v/>
      </c>
      <c r="R355" s="1403">
        <f>R347-SUM(R348:R354)</f>
        <v/>
      </c>
      <c r="S355" s="1403">
        <f>S347-SUM(S348:S354)</f>
        <v/>
      </c>
      <c r="T355" s="1403">
        <f>T347-SUM(T348:T354)</f>
        <v/>
      </c>
      <c r="U355" s="1402">
        <f>U347-SUM(U348:U354)</f>
        <v/>
      </c>
      <c r="V355" s="1403">
        <f>V347-SUM(V348:V354)</f>
        <v/>
      </c>
      <c r="W355" s="1403">
        <f>W347-SUM(W348:W354)</f>
        <v/>
      </c>
      <c r="X355" s="1403">
        <f>X347-SUM(X348:X354)</f>
        <v/>
      </c>
      <c r="Y355" s="1404">
        <f>Y347-SUM(Y348:Y354)</f>
        <v/>
      </c>
      <c r="Z355" s="1405">
        <f>Z347-SUM(Z348:Z354)</f>
        <v/>
      </c>
      <c r="AA355" s="1403">
        <f>AA347-SUM(AA348:AA354)</f>
        <v/>
      </c>
      <c r="AB355" s="1403">
        <f>AB347-SUM(AB348:AB354)</f>
        <v/>
      </c>
      <c r="AC355" s="1403">
        <f>AC347-SUM(AC348:AC354)</f>
        <v/>
      </c>
      <c r="AD355" s="1404">
        <f>AD347-SUM(AD348:AD354)</f>
        <v/>
      </c>
      <c r="AE355" s="1405">
        <f>AE347-SUM(AE348:AE354)</f>
        <v/>
      </c>
      <c r="AF355" s="1403">
        <f>AF347-SUM(AF348:AF354)</f>
        <v/>
      </c>
      <c r="AG355" s="1403">
        <f>AG347-SUM(AG348:AG354)</f>
        <v/>
      </c>
      <c r="AH355" s="1403">
        <f>AH347-SUM(AH348:AH354)</f>
        <v/>
      </c>
      <c r="AI355" s="1404">
        <f>AI347-SUM(AI348:AI354)</f>
        <v/>
      </c>
      <c r="AJ355" s="1405">
        <f>AJ347-SUM(AJ348:AJ354)</f>
        <v/>
      </c>
      <c r="AK355" s="1403">
        <f>AK347-SUM(AK348:AK354)</f>
        <v/>
      </c>
      <c r="AL355" s="1403">
        <f>AL347-SUM(AL348:AL354)</f>
        <v/>
      </c>
      <c r="AM355" s="1403">
        <f>AM347-SUM(AM348:AM354)</f>
        <v/>
      </c>
      <c r="AN355" s="1404">
        <f>AN347-SUM(AN348:AN354)</f>
        <v/>
      </c>
      <c r="AO355" s="1405">
        <f>AO347-SUM(AO348:AO354)</f>
        <v/>
      </c>
      <c r="AP355" s="1403">
        <f>AP347-SUM(AP348:AP354)</f>
        <v/>
      </c>
      <c r="AQ355" s="1403">
        <f>AQ347-SUM(AQ348:AQ354)</f>
        <v/>
      </c>
      <c r="AR355" s="1403">
        <f>AR347-SUM(AR348:AR354)</f>
        <v/>
      </c>
      <c r="AS355" s="1404">
        <f>AS347-SUM(AS348:AS354)</f>
        <v/>
      </c>
      <c r="AT355" s="1405">
        <f>AT347-SUM(AT348:AT354)</f>
        <v/>
      </c>
      <c r="AU355" s="1403">
        <f>AU347-SUM(AU348:AU354)</f>
        <v/>
      </c>
      <c r="AV355" s="1403">
        <f>AV347-SUM(AV348:AV354)</f>
        <v/>
      </c>
      <c r="AW355" s="1403">
        <f>AW347-SUM(AW348:AW354)</f>
        <v/>
      </c>
      <c r="AX355" s="1404">
        <f>AX347-SUM(AX348:AX354)</f>
        <v/>
      </c>
      <c r="AY355" s="1405">
        <f>AY347-SUM(AY348:AY354)</f>
        <v/>
      </c>
      <c r="AZ355" s="1403">
        <f>AZ347-SUM(AZ348:AZ354)</f>
        <v/>
      </c>
      <c r="BA355" s="1403">
        <f>BA347-SUM(BA348:BA354)</f>
        <v/>
      </c>
      <c r="BB355" s="1403">
        <f>BB347-SUM(BB348:BB354)</f>
        <v/>
      </c>
      <c r="BC355" s="1404">
        <f>BC347-SUM(BC348:BC354)</f>
        <v/>
      </c>
      <c r="BD355" s="1405">
        <f>BD347-SUM(BD348:BD354)</f>
        <v/>
      </c>
      <c r="BE355" s="1403">
        <f>BE347-SUM(BE348:BE354)</f>
        <v/>
      </c>
      <c r="BF355" s="1403">
        <f>BF347-SUM(BF348:BF354)</f>
        <v/>
      </c>
      <c r="BG355" s="1403">
        <f>BG347-SUM(BG348:BG354)</f>
        <v/>
      </c>
      <c r="BH355" s="1404">
        <f>BH347-SUM(BH348:BH354)</f>
        <v/>
      </c>
      <c r="BI355" s="1405">
        <f>BI347-SUM(BI348:BI354)</f>
        <v/>
      </c>
      <c r="BJ355" s="1403">
        <f>BJ347-SUM(BJ348:BJ354)</f>
        <v/>
      </c>
      <c r="BK355" s="1403">
        <f>BK347-SUM(BK348:BK354)</f>
        <v/>
      </c>
      <c r="BL355" s="1403">
        <f>BL347-SUM(BL348:BL354)</f>
        <v/>
      </c>
      <c r="BM355" s="1404">
        <f>BM347-SUM(BM348:BM354)</f>
        <v/>
      </c>
      <c r="BN355" s="1405">
        <f>BN347-SUM(BN348:BN354)</f>
        <v/>
      </c>
      <c r="BO355" s="1403">
        <f>BO347-SUM(BO348:BO354)</f>
        <v/>
      </c>
      <c r="BP355" s="1403">
        <f>BP347-SUM(BP348:BP354)</f>
        <v/>
      </c>
      <c r="BQ355" s="1406">
        <f>BQ347-SUM(BQ348:BQ354)</f>
        <v/>
      </c>
      <c r="BR355" s="1404" t="n"/>
      <c r="BS355" s="1405" t="n"/>
      <c r="BT355" s="1404" t="n"/>
      <c r="BU355" s="1404" t="n"/>
      <c r="BV355" s="1404" t="n"/>
      <c r="BW355" s="1404" t="n"/>
      <c r="BX355" s="1405" t="n"/>
      <c r="BY355" s="1405" t="n"/>
      <c r="BZ355" s="1405" t="n"/>
      <c r="CA355" s="1405" t="n"/>
      <c r="CB355" s="1375" t="n"/>
    </row>
    <row r="356" hidden="1" outlineLevel="1" ht="14.4" customFormat="1" customHeight="1" s="1359">
      <c r="A356" s="1394" t="inlineStr">
        <is>
          <t>Interest expense</t>
        </is>
      </c>
      <c r="B356" s="1512" t="n"/>
      <c r="C356" s="1494" t="n">
        <v>-28.872</v>
      </c>
      <c r="D356" s="1494" t="n">
        <v>-36.343</v>
      </c>
      <c r="E356" s="1494" t="n">
        <v>-43.025</v>
      </c>
      <c r="F356" s="1494" t="n">
        <v>-34.742</v>
      </c>
      <c r="G356" s="1493" t="n">
        <v>-9.262</v>
      </c>
      <c r="H356" s="1493" t="n">
        <v>-9.528</v>
      </c>
      <c r="I356" s="1493" t="n">
        <v>-9.583</v>
      </c>
      <c r="J356" s="1493" t="n">
        <v>-9.208</v>
      </c>
      <c r="K356" s="1494" t="n">
        <v>-37.581</v>
      </c>
      <c r="L356" s="1493" t="n">
        <v>-7.268</v>
      </c>
      <c r="M356" s="1493" t="n">
        <v>-7.369</v>
      </c>
      <c r="N356" s="1493" t="n">
        <v>-7.523</v>
      </c>
      <c r="O356" s="1493" t="n">
        <v>-11.961</v>
      </c>
      <c r="P356" s="1494" t="n">
        <v>-34.121</v>
      </c>
      <c r="Q356" s="1493" t="n">
        <v>-11.754</v>
      </c>
      <c r="R356" s="1493" t="n">
        <v>-8.18</v>
      </c>
      <c r="S356" s="1493" t="n">
        <v>-4.177</v>
      </c>
      <c r="T356" s="1493" t="n">
        <v>-4.2</v>
      </c>
      <c r="U356" s="1494" t="n">
        <v>-28.311</v>
      </c>
      <c r="V356" s="1493" t="n">
        <v>-5.357</v>
      </c>
      <c r="W356" s="1493" t="n">
        <v>-5.896</v>
      </c>
      <c r="X356" s="1493" t="n">
        <v>-6.053</v>
      </c>
      <c r="Y356" s="1364">
        <f>Z356-SUM(V356,W356,X356)</f>
        <v/>
      </c>
      <c r="Z356" s="1494" t="n">
        <v>-23.67</v>
      </c>
      <c r="AA356" s="1493" t="n">
        <v>-6.479</v>
      </c>
      <c r="AB356" s="1493" t="n">
        <v>-6.248</v>
      </c>
      <c r="AC356" s="1493" t="n">
        <v>-6.225</v>
      </c>
      <c r="AD356" s="1364">
        <f>AE356-SUM(AA356,AB356,AC356)</f>
        <v/>
      </c>
      <c r="AE356" s="1494" t="n">
        <v>-25.664</v>
      </c>
      <c r="AF356" s="1493" t="n">
        <v>-6.975</v>
      </c>
      <c r="AG356" s="1493" t="n">
        <v>-6.669</v>
      </c>
      <c r="AH356" s="1493" t="n">
        <v>-5.177</v>
      </c>
      <c r="AI356" s="1364">
        <f>AJ356-SUM(AF356,AG356,AH356)</f>
        <v/>
      </c>
      <c r="AJ356" s="1494" t="n">
        <v>-23.139</v>
      </c>
      <c r="AK356" s="1493" t="n">
        <v>-5.391</v>
      </c>
      <c r="AL356" s="1493" t="n">
        <v>-4.976</v>
      </c>
      <c r="AM356" s="1493" t="n">
        <v>-4.24</v>
      </c>
      <c r="AN356" s="1364">
        <f>AO356-SUM(AK356,AL356,AM356)</f>
        <v/>
      </c>
      <c r="AO356" s="1494" t="n">
        <v>-18.829</v>
      </c>
      <c r="AP356" s="1493" t="n">
        <v>-4.637</v>
      </c>
      <c r="AQ356" s="1493" t="n">
        <v>-5.914</v>
      </c>
      <c r="AR356" s="1493" t="n">
        <v>-5.325</v>
      </c>
      <c r="AS356" s="1364">
        <f>AT356-SUM(AP356,AQ356,AR356)</f>
        <v/>
      </c>
      <c r="AT356" s="1494" t="n">
        <v>-20.749</v>
      </c>
      <c r="AU356" s="1493" t="n">
        <v>-4.217</v>
      </c>
      <c r="AV356" s="1493" t="n">
        <v>-4.316</v>
      </c>
      <c r="AW356" s="1493" t="n">
        <v>-4.196</v>
      </c>
      <c r="AX356" s="1364">
        <f>AY356-SUM(AU356,AV356,AW356)</f>
        <v/>
      </c>
      <c r="AY356" s="1494" t="n">
        <v>-16.98</v>
      </c>
      <c r="AZ356" s="1493" t="n">
        <v>-4.108</v>
      </c>
      <c r="BA356" s="1493" t="n">
        <v>-4.281</v>
      </c>
      <c r="BB356" s="1493" t="n">
        <v>-5.463</v>
      </c>
      <c r="BC356" s="1364">
        <f>BD356-SUM(AZ356,BA356,BB356)</f>
        <v/>
      </c>
      <c r="BD356" s="1494" t="n">
        <v>-22.934</v>
      </c>
      <c r="BE356" s="1493" t="n">
        <v>-9.26</v>
      </c>
      <c r="BF356" s="1493" t="n">
        <v>-8.877000000000001</v>
      </c>
      <c r="BG356" s="1493" t="n">
        <v>-9.058999999999999</v>
      </c>
      <c r="BH356" s="1364">
        <f>BI356-SUM(BE356,BF356,BG356)</f>
        <v/>
      </c>
      <c r="BI356" s="1494" t="n">
        <v>-36.185</v>
      </c>
      <c r="BJ356" s="1493" t="n">
        <v>-8.692</v>
      </c>
      <c r="BK356" s="1493" t="n">
        <v>-12.905</v>
      </c>
      <c r="BL356" s="1493" t="n">
        <v>-24.495</v>
      </c>
      <c r="BM356" s="1364">
        <f>BN356-SUM(BJ356,BK356,BL356)</f>
        <v/>
      </c>
      <c r="BN356" s="1494" t="n">
        <v>-75.999</v>
      </c>
      <c r="BO356" s="1493" t="n">
        <v>-29.118</v>
      </c>
      <c r="BP356" s="1493" t="n">
        <v>-28.948</v>
      </c>
      <c r="BQ356" s="1502" t="n">
        <v>-29.035</v>
      </c>
      <c r="BR356" s="1361" t="n"/>
      <c r="BS356" s="1379" t="n"/>
      <c r="BT356" s="1361" t="n"/>
      <c r="BU356" s="1361" t="n"/>
      <c r="BV356" s="1361" t="n"/>
      <c r="BW356" s="1361" t="n"/>
      <c r="BX356" s="1379" t="n"/>
      <c r="BY356" s="1379" t="n"/>
      <c r="BZ356" s="1379" t="n"/>
      <c r="CA356" s="1379" t="n"/>
      <c r="CB356" s="1364" t="n"/>
    </row>
    <row r="357" hidden="1" outlineLevel="1" ht="14.4" customFormat="1" customHeight="1" s="1359">
      <c r="A357" s="1453" t="inlineStr">
        <is>
          <t>Other income, net</t>
        </is>
      </c>
      <c r="B357" s="1514" t="n"/>
      <c r="C357" s="1480" t="n">
        <v>-1.042</v>
      </c>
      <c r="D357" s="1480" t="n">
        <v>2.541</v>
      </c>
      <c r="E357" s="1480" t="n">
        <v>18.074</v>
      </c>
      <c r="F357" s="1480" t="n">
        <v>11.341</v>
      </c>
      <c r="G357" s="1479" t="n">
        <v>2.175</v>
      </c>
      <c r="H357" s="1479" t="n">
        <v>2.018</v>
      </c>
      <c r="I357" s="1479" t="n">
        <v>2.535</v>
      </c>
      <c r="J357" s="1479" t="n">
        <v>0.842</v>
      </c>
      <c r="K357" s="1480" t="n">
        <v>7.57</v>
      </c>
      <c r="L357" s="1479" t="n">
        <v>3.382</v>
      </c>
      <c r="M357" s="1479" t="n">
        <v>1.635</v>
      </c>
      <c r="N357" s="1479" t="n">
        <v>-0.417</v>
      </c>
      <c r="O357" s="1479" t="n">
        <v>3.879</v>
      </c>
      <c r="P357" s="1480" t="n">
        <v>8.478999999999999</v>
      </c>
      <c r="Q357" s="1479" t="n">
        <v>4.781</v>
      </c>
      <c r="R357" s="1479" t="n">
        <v>1.347</v>
      </c>
      <c r="S357" s="1479" t="n">
        <v>1.839</v>
      </c>
      <c r="T357" s="1479" t="n">
        <v>2.51</v>
      </c>
      <c r="U357" s="1480" t="n">
        <v>10.477</v>
      </c>
      <c r="V357" s="1479" t="n">
        <v>4.763</v>
      </c>
      <c r="W357" s="1479" t="n">
        <v>2.842</v>
      </c>
      <c r="X357" s="1479" t="n">
        <v>2.836</v>
      </c>
      <c r="Y357" s="1510">
        <f>Z357-SUM(V357,W357,X357)</f>
        <v/>
      </c>
      <c r="Z357" s="1480" t="n">
        <v>15.922</v>
      </c>
      <c r="AA357" s="1479" t="n">
        <v>1.059</v>
      </c>
      <c r="AB357" s="1479" t="n">
        <v>0.924</v>
      </c>
      <c r="AC357" s="1479" t="n">
        <v>12.387</v>
      </c>
      <c r="AD357" s="1510">
        <f>AE357-SUM(AA357,AB357,AC357)</f>
        <v/>
      </c>
      <c r="AE357" s="1480" t="n">
        <v>16.755</v>
      </c>
      <c r="AF357" s="1479" t="n">
        <v>-0.6889999999999999</v>
      </c>
      <c r="AG357" s="1479" t="n">
        <v>3.638</v>
      </c>
      <c r="AH357" s="1479" t="n">
        <v>1.106</v>
      </c>
      <c r="AI357" s="1510">
        <f>AJ357-SUM(AF357,AG357,AH357)</f>
        <v/>
      </c>
      <c r="AJ357" s="1480" t="n">
        <v>3.32</v>
      </c>
      <c r="AK357" s="1479" t="n">
        <v>5.241</v>
      </c>
      <c r="AL357" s="1479" t="n">
        <v>-0.11</v>
      </c>
      <c r="AM357" s="1479" t="n">
        <v>0.122</v>
      </c>
      <c r="AN357" s="1510">
        <f>AO357-SUM(AK357,AL357,AM357)</f>
        <v/>
      </c>
      <c r="AO357" s="1480" t="n">
        <v>6.001</v>
      </c>
      <c r="AP357" s="1479" t="n">
        <v>-4.534</v>
      </c>
      <c r="AQ357" s="1479" t="n">
        <v>4.63</v>
      </c>
      <c r="AR357" s="1479" t="n">
        <v>1.766</v>
      </c>
      <c r="AS357" s="1510">
        <f>AT357-SUM(AP357,AQ357,AR357)</f>
        <v/>
      </c>
      <c r="AT357" s="1480" t="n">
        <v>7.945</v>
      </c>
      <c r="AU357" s="1479" t="n">
        <v>2.701</v>
      </c>
      <c r="AV357" s="1479" t="n">
        <v>2.143</v>
      </c>
      <c r="AW357" s="1479" t="n">
        <v>-1.143</v>
      </c>
      <c r="AX357" s="1510">
        <f>AY357-SUM(AU357,AV357,AW357)</f>
        <v/>
      </c>
      <c r="AY357" s="1480" t="n">
        <v>6.326</v>
      </c>
      <c r="AZ357" s="1479" t="n">
        <v>-4.9</v>
      </c>
      <c r="BA357" s="1479" t="n">
        <v>-5.962</v>
      </c>
      <c r="BB357" s="1479" t="n">
        <v>-3.017</v>
      </c>
      <c r="BC357" s="1510">
        <f>BD357-SUM(AZ357,BA357,BB357)</f>
        <v/>
      </c>
      <c r="BD357" s="1480" t="n">
        <v>-5.389</v>
      </c>
      <c r="BE357" s="1479" t="n">
        <v>8.284000000000001</v>
      </c>
      <c r="BF357" s="1479" t="n">
        <v>7.973</v>
      </c>
      <c r="BG357" s="1479" t="n">
        <v>16.106</v>
      </c>
      <c r="BH357" s="1510">
        <f>BI357-SUM(BE357,BF357,BG357)</f>
        <v/>
      </c>
      <c r="BI357" s="1480" t="n">
        <v>66.886</v>
      </c>
      <c r="BJ357" s="1479" t="n">
        <v>68.779</v>
      </c>
      <c r="BK357" s="1479" t="n">
        <v>34.739</v>
      </c>
      <c r="BL357" s="1479" t="n">
        <v>7.853</v>
      </c>
      <c r="BM357" s="1510">
        <f>BN357-SUM(BJ357,BK357,BL357)</f>
        <v/>
      </c>
      <c r="BN357" s="1480" t="n">
        <v>121.055</v>
      </c>
      <c r="BO357" s="1479" t="n">
        <v>23.29</v>
      </c>
      <c r="BP357" s="1479" t="n">
        <v>67.758</v>
      </c>
      <c r="BQ357" s="1515" t="n">
        <v>-3.572</v>
      </c>
      <c r="BR357" s="1456" t="n"/>
      <c r="BS357" s="1455" t="n"/>
      <c r="BT357" s="1456" t="n"/>
      <c r="BU357" s="1456" t="n"/>
      <c r="BV357" s="1456" t="n"/>
      <c r="BW357" s="1456" t="n"/>
      <c r="BX357" s="1455" t="n"/>
      <c r="BY357" s="1455" t="n"/>
      <c r="BZ357" s="1455" t="n"/>
      <c r="CA357" s="1455" t="n"/>
      <c r="CB357" s="1364" t="n"/>
    </row>
    <row r="358" hidden="1" outlineLevel="1" ht="14.4" customFormat="1" customHeight="1" s="1372">
      <c r="A358" s="1400" t="inlineStr">
        <is>
          <t>Income before income taxes</t>
        </is>
      </c>
      <c r="B358" s="1516" t="n"/>
      <c r="C358" s="1402">
        <f>C355+SUM(C356:C357)</f>
        <v/>
      </c>
      <c r="D358" s="1402">
        <f>D355+SUM(D356:D357)</f>
        <v/>
      </c>
      <c r="E358" s="1402">
        <f>E355+SUM(E356:E357)</f>
        <v/>
      </c>
      <c r="F358" s="1402">
        <f>F355+SUM(F356:F357)</f>
        <v/>
      </c>
      <c r="G358" s="1403">
        <f>G355+SUM(G356:G357)</f>
        <v/>
      </c>
      <c r="H358" s="1403">
        <f>H355+SUM(H356:H357)</f>
        <v/>
      </c>
      <c r="I358" s="1403">
        <f>I355+SUM(I356:I357)</f>
        <v/>
      </c>
      <c r="J358" s="1403">
        <f>J355+SUM(J356:J357)</f>
        <v/>
      </c>
      <c r="K358" s="1402">
        <f>K355+SUM(K356:K357)</f>
        <v/>
      </c>
      <c r="L358" s="1403">
        <f>L355+SUM(L356:L357)</f>
        <v/>
      </c>
      <c r="M358" s="1403">
        <f>M355+SUM(M356:M357)</f>
        <v/>
      </c>
      <c r="N358" s="1403">
        <f>N355+SUM(N356:N357)</f>
        <v/>
      </c>
      <c r="O358" s="1403">
        <f>O355+SUM(O356:O357)</f>
        <v/>
      </c>
      <c r="P358" s="1402">
        <f>P355+SUM(P356:P357)</f>
        <v/>
      </c>
      <c r="Q358" s="1403">
        <f>Q355+SUM(Q356:Q357)</f>
        <v/>
      </c>
      <c r="R358" s="1403">
        <f>R355+SUM(R356:R357)</f>
        <v/>
      </c>
      <c r="S358" s="1403">
        <f>S355+SUM(S356:S357)</f>
        <v/>
      </c>
      <c r="T358" s="1403">
        <f>T355+SUM(T356:T357)</f>
        <v/>
      </c>
      <c r="U358" s="1402">
        <f>U355+SUM(U356:U357)</f>
        <v/>
      </c>
      <c r="V358" s="1403">
        <f>V355+SUM(V356:V357)</f>
        <v/>
      </c>
      <c r="W358" s="1403">
        <f>W355+SUM(W356:W357)</f>
        <v/>
      </c>
      <c r="X358" s="1403">
        <f>X355+SUM(X356:X357)</f>
        <v/>
      </c>
      <c r="Y358" s="1404">
        <f>Y355+SUM(Y356:Y357)</f>
        <v/>
      </c>
      <c r="Z358" s="1405">
        <f>Z355+SUM(Z356:Z357)</f>
        <v/>
      </c>
      <c r="AA358" s="1403">
        <f>AA355+SUM(AA356:AA357)</f>
        <v/>
      </c>
      <c r="AB358" s="1403">
        <f>AB355+SUM(AB356:AB357)</f>
        <v/>
      </c>
      <c r="AC358" s="1403">
        <f>AC355+SUM(AC356:AC357)</f>
        <v/>
      </c>
      <c r="AD358" s="1404">
        <f>AD355+SUM(AD356:AD357)</f>
        <v/>
      </c>
      <c r="AE358" s="1405">
        <f>AE355+SUM(AE356:AE357)</f>
        <v/>
      </c>
      <c r="AF358" s="1403">
        <f>AF355+SUM(AF356:AF357)</f>
        <v/>
      </c>
      <c r="AG358" s="1403">
        <f>AG355+SUM(AG356:AG357)</f>
        <v/>
      </c>
      <c r="AH358" s="1403">
        <f>ROUND(AH355+SUM(AH356:AH357),6)</f>
        <v/>
      </c>
      <c r="AI358" s="1404">
        <f>AI355+SUM(AI356:AI357)</f>
        <v/>
      </c>
      <c r="AJ358" s="1405">
        <f>AJ355+SUM(AJ356:AJ357)</f>
        <v/>
      </c>
      <c r="AK358" s="1403">
        <f>AK355+SUM(AK356:AK357)</f>
        <v/>
      </c>
      <c r="AL358" s="1403">
        <f>AL355+SUM(AL356:AL357)</f>
        <v/>
      </c>
      <c r="AM358" s="1403">
        <f>ROUND(AM355+SUM(AM356:AM357),6)</f>
        <v/>
      </c>
      <c r="AN358" s="1404">
        <f>AN355+SUM(AN356:AN357)</f>
        <v/>
      </c>
      <c r="AO358" s="1405">
        <f>AO355+SUM(AO356:AO357)</f>
        <v/>
      </c>
      <c r="AP358" s="1403">
        <f>AP355+SUM(AP356:AP357)</f>
        <v/>
      </c>
      <c r="AQ358" s="1403">
        <f>AQ355+SUM(AQ356:AQ357)</f>
        <v/>
      </c>
      <c r="AR358" s="1403">
        <f>ROUND(AR355+SUM(AR356:AR357),6)</f>
        <v/>
      </c>
      <c r="AS358" s="1404">
        <f>AS355+SUM(AS356:AS357)</f>
        <v/>
      </c>
      <c r="AT358" s="1405">
        <f>AT355+SUM(AT356:AT357)</f>
        <v/>
      </c>
      <c r="AU358" s="1403">
        <f>AU355+SUM(AU356:AU357)</f>
        <v/>
      </c>
      <c r="AV358" s="1403">
        <f>AV355+SUM(AV356:AV357)</f>
        <v/>
      </c>
      <c r="AW358" s="1403">
        <f>ROUND(AW355+SUM(AW356:AW357),6)</f>
        <v/>
      </c>
      <c r="AX358" s="1404">
        <f>AX355+SUM(AX356:AX357)</f>
        <v/>
      </c>
      <c r="AY358" s="1405">
        <f>AY355+SUM(AY356:AY357)</f>
        <v/>
      </c>
      <c r="AZ358" s="1403">
        <f>AZ355+SUM(AZ356:AZ357)</f>
        <v/>
      </c>
      <c r="BA358" s="1403">
        <f>BA355+SUM(BA356:BA357)</f>
        <v/>
      </c>
      <c r="BB358" s="1403">
        <f>ROUND(BB355+SUM(BB356:BB357),6)</f>
        <v/>
      </c>
      <c r="BC358" s="1404">
        <f>BC355+SUM(BC356:BC357)</f>
        <v/>
      </c>
      <c r="BD358" s="1405">
        <f>BD355+SUM(BD356:BD357)</f>
        <v/>
      </c>
      <c r="BE358" s="1403">
        <f>BE355+SUM(BE356:BE357)</f>
        <v/>
      </c>
      <c r="BF358" s="1403">
        <f>BF355+SUM(BF356:BF357)</f>
        <v/>
      </c>
      <c r="BG358" s="1403">
        <f>ROUND(BG355+SUM(BG356:BG357),6)</f>
        <v/>
      </c>
      <c r="BH358" s="1404">
        <f>BH355+SUM(BH356:BH357)</f>
        <v/>
      </c>
      <c r="BI358" s="1405">
        <f>BI355+SUM(BI356:BI357)</f>
        <v/>
      </c>
      <c r="BJ358" s="1403">
        <f>BJ355+SUM(BJ356:BJ357)</f>
        <v/>
      </c>
      <c r="BK358" s="1403">
        <f>BK355+SUM(BK356:BK357)</f>
        <v/>
      </c>
      <c r="BL358" s="1403">
        <f>ROUND(BL355+SUM(BL356:BL357),6)</f>
        <v/>
      </c>
      <c r="BM358" s="1404">
        <f>BM355+SUM(BM356:BM357)</f>
        <v/>
      </c>
      <c r="BN358" s="1405">
        <f>BN355+SUM(BN356:BN357)</f>
        <v/>
      </c>
      <c r="BO358" s="1403">
        <f>BO355+SUM(BO356:BO357)</f>
        <v/>
      </c>
      <c r="BP358" s="1403">
        <f>BP355+SUM(BP356:BP357)</f>
        <v/>
      </c>
      <c r="BQ358" s="1406">
        <f>ROUND(BQ355+SUM(BQ356:BQ357),6)</f>
        <v/>
      </c>
      <c r="BR358" s="1404" t="n"/>
      <c r="BS358" s="1405" t="n"/>
      <c r="BT358" s="1404" t="n"/>
      <c r="BU358" s="1404" t="n"/>
      <c r="BV358" s="1404" t="n"/>
      <c r="BW358" s="1404" t="n"/>
      <c r="BX358" s="1405" t="n"/>
      <c r="BY358" s="1405" t="n"/>
      <c r="BZ358" s="1405" t="n"/>
      <c r="CA358" s="1405" t="n"/>
      <c r="CB358" s="1375" t="n"/>
    </row>
    <row r="359" hidden="1" outlineLevel="1" ht="14.4" customFormat="1" customHeight="1" s="1359">
      <c r="A359" s="1453" t="inlineStr">
        <is>
          <t>Income taxes</t>
        </is>
      </c>
      <c r="B359" s="1514" t="n"/>
      <c r="C359" s="1480" t="n">
        <v>-3.634</v>
      </c>
      <c r="D359" s="1480" t="n">
        <v>-189.306</v>
      </c>
      <c r="E359" s="1480" t="n">
        <v>23.197</v>
      </c>
      <c r="F359" s="1480" t="n">
        <v>-251.677</v>
      </c>
      <c r="G359" s="1479" t="n">
        <v>-27.56</v>
      </c>
      <c r="H359" s="1479" t="n">
        <v>28.203</v>
      </c>
      <c r="I359" s="1479" t="n">
        <v>2.382</v>
      </c>
      <c r="J359" s="1479" t="n">
        <v>-8.272</v>
      </c>
      <c r="K359" s="1480" t="n">
        <v>-5.247</v>
      </c>
      <c r="L359" s="1479" t="n">
        <v>5.356</v>
      </c>
      <c r="M359" s="1479" t="n">
        <v>6.5</v>
      </c>
      <c r="N359" s="1479" t="n">
        <v>8.574</v>
      </c>
      <c r="O359" s="1479" t="n">
        <v>1.674</v>
      </c>
      <c r="P359" s="1480" t="n">
        <v>22.104</v>
      </c>
      <c r="Q359" s="1479" t="n">
        <v>6.053</v>
      </c>
      <c r="R359" s="1479" t="n">
        <v>11.411</v>
      </c>
      <c r="S359" s="1479" t="n">
        <v>-2.061</v>
      </c>
      <c r="T359" s="1479" t="n">
        <v>-0.224</v>
      </c>
      <c r="U359" s="1480" t="n">
        <v>15.179</v>
      </c>
      <c r="V359" s="1479" t="n">
        <v>6.88</v>
      </c>
      <c r="W359" s="1479" t="n">
        <v>14.517</v>
      </c>
      <c r="X359" s="1479" t="n">
        <v>-1.087</v>
      </c>
      <c r="Y359" s="1510">
        <f>Z359-SUM(V359,W359,X359)</f>
        <v/>
      </c>
      <c r="Z359" s="1480" t="n">
        <v>34.067</v>
      </c>
      <c r="AA359" s="1479" t="n">
        <v>5.923</v>
      </c>
      <c r="AB359" s="1479" t="n">
        <v>8.239000000000001</v>
      </c>
      <c r="AC359" s="1479" t="n">
        <v>5.39</v>
      </c>
      <c r="AD359" s="1510">
        <f>AE359-SUM(AA359,AB359,AC359)</f>
        <v/>
      </c>
      <c r="AE359" s="1480" t="n">
        <v>110.945</v>
      </c>
      <c r="AF359" s="1479" t="n">
        <v>5.284</v>
      </c>
      <c r="AG359" s="1479" t="n">
        <v>14.876</v>
      </c>
      <c r="AH359" s="1479" t="n">
        <v>0.241</v>
      </c>
      <c r="AI359" s="1510">
        <f>AJ359-SUM(AF359,AG359,AH359)</f>
        <v/>
      </c>
      <c r="AJ359" s="1480" t="n">
        <v>30.613</v>
      </c>
      <c r="AK359" s="1479" t="n">
        <v>7.691</v>
      </c>
      <c r="AL359" s="1479" t="n">
        <v>21.354</v>
      </c>
      <c r="AM359" s="1479" t="n">
        <v>15.194</v>
      </c>
      <c r="AN359" s="1510">
        <f>AO359-SUM(AK359,AL359,AM359)</f>
        <v/>
      </c>
      <c r="AO359" s="1480" t="n">
        <v>-510.011</v>
      </c>
      <c r="AP359" s="1479" t="n">
        <v>6.192</v>
      </c>
      <c r="AQ359" s="1479" t="n">
        <v>19.378</v>
      </c>
      <c r="AR359" s="1479" t="n">
        <v>4.083</v>
      </c>
      <c r="AS359" s="1510">
        <f>AT359-SUM(AP359,AQ359,AR359)</f>
        <v/>
      </c>
      <c r="AT359" s="1480" t="n">
        <v>42.104</v>
      </c>
      <c r="AU359" s="1479" t="n">
        <v>15.252</v>
      </c>
      <c r="AV359" s="1479" t="n">
        <v>27.365</v>
      </c>
      <c r="AW359" s="1479" t="n">
        <v>12.388</v>
      </c>
      <c r="AX359" s="1510">
        <f>AY359-SUM(AU359,AV359,AW359)</f>
        <v/>
      </c>
      <c r="AY359" s="1480" t="n">
        <v>72.48</v>
      </c>
      <c r="AZ359" s="1479" t="n">
        <v>74.586</v>
      </c>
      <c r="BA359" s="1479" t="n">
        <v>85.72499999999999</v>
      </c>
      <c r="BB359" s="1479" t="n">
        <v>65.967</v>
      </c>
      <c r="BC359" s="1510">
        <f>BD359-SUM(AZ359,BA359,BB359)</f>
        <v/>
      </c>
      <c r="BD359" s="1480" t="n">
        <v>196.411</v>
      </c>
      <c r="BE359" s="1479" t="n">
        <v>79.68300000000001</v>
      </c>
      <c r="BF359" s="1479" t="n">
        <v>77.304</v>
      </c>
      <c r="BG359" s="1479" t="n">
        <v>45.632</v>
      </c>
      <c r="BH359" s="1510">
        <f>BI359-SUM(BE359,BF359,BG359)</f>
        <v/>
      </c>
      <c r="BI359" s="1480" t="n">
        <v>240.782</v>
      </c>
      <c r="BJ359" s="1479" t="n">
        <v>62.4</v>
      </c>
      <c r="BK359" s="1479" t="n">
        <v>86.19</v>
      </c>
      <c r="BL359" s="1479" t="n">
        <v>95.303</v>
      </c>
      <c r="BM359" s="1510">
        <f>BN359-SUM(BJ359,BK359,BL359)</f>
        <v/>
      </c>
      <c r="BN359" s="1480" t="n">
        <v>340.335</v>
      </c>
      <c r="BO359" s="1479" t="n">
        <v>82.113</v>
      </c>
      <c r="BP359" s="1479" t="n">
        <v>120.556</v>
      </c>
      <c r="BQ359" s="1515" t="n">
        <v>105.661</v>
      </c>
      <c r="BR359" s="1456" t="n"/>
      <c r="BS359" s="1455" t="n"/>
      <c r="BT359" s="1456" t="n"/>
      <c r="BU359" s="1456" t="n"/>
      <c r="BV359" s="1456" t="n"/>
      <c r="BW359" s="1456" t="n"/>
      <c r="BX359" s="1455" t="n"/>
      <c r="BY359" s="1455" t="n"/>
      <c r="BZ359" s="1455" t="n"/>
      <c r="CA359" s="1455" t="n"/>
      <c r="CB359" s="1364" t="n"/>
    </row>
    <row r="360" hidden="1" outlineLevel="1" ht="14.4" customFormat="1" customHeight="1" s="1372">
      <c r="A360" s="1573" t="inlineStr">
        <is>
          <t>Net income</t>
        </is>
      </c>
      <c r="B360" s="1574" t="n"/>
      <c r="C360" s="1575">
        <f>C358-C359</f>
        <v/>
      </c>
      <c r="D360" s="1575">
        <f>D358-D359</f>
        <v/>
      </c>
      <c r="E360" s="1575">
        <f>E358-E359</f>
        <v/>
      </c>
      <c r="F360" s="1575">
        <f>F358-F359</f>
        <v/>
      </c>
      <c r="G360" s="1576">
        <f>G358-G359</f>
        <v/>
      </c>
      <c r="H360" s="1576">
        <f>H358-H359</f>
        <v/>
      </c>
      <c r="I360" s="1576">
        <f>I358-I359</f>
        <v/>
      </c>
      <c r="J360" s="1576">
        <f>J358-J359</f>
        <v/>
      </c>
      <c r="K360" s="1575">
        <f>K358-K359</f>
        <v/>
      </c>
      <c r="L360" s="1576">
        <f>L358-L359</f>
        <v/>
      </c>
      <c r="M360" s="1576">
        <f>M358-M359</f>
        <v/>
      </c>
      <c r="N360" s="1576">
        <f>N358-N359</f>
        <v/>
      </c>
      <c r="O360" s="1576">
        <f>O358-O359</f>
        <v/>
      </c>
      <c r="P360" s="1575">
        <f>P358-P359</f>
        <v/>
      </c>
      <c r="Q360" s="1576">
        <f>Q358-Q359</f>
        <v/>
      </c>
      <c r="R360" s="1576">
        <f>R358-R359</f>
        <v/>
      </c>
      <c r="S360" s="1576">
        <f>S358-S359</f>
        <v/>
      </c>
      <c r="T360" s="1576">
        <f>T358-T359</f>
        <v/>
      </c>
      <c r="U360" s="1575">
        <f>U358-U359</f>
        <v/>
      </c>
      <c r="V360" s="1576">
        <f>V358-V359</f>
        <v/>
      </c>
      <c r="W360" s="1576">
        <f>W358-W359</f>
        <v/>
      </c>
      <c r="X360" s="1576">
        <f>X358-X359</f>
        <v/>
      </c>
      <c r="Y360" s="1577">
        <f>Y358-Y359</f>
        <v/>
      </c>
      <c r="Z360" s="1578">
        <f>Z358-Z359</f>
        <v/>
      </c>
      <c r="AA360" s="1576">
        <f>AA358-AA359</f>
        <v/>
      </c>
      <c r="AB360" s="1576">
        <f>AB358-AB359</f>
        <v/>
      </c>
      <c r="AC360" s="1576">
        <f>AC358-AC359</f>
        <v/>
      </c>
      <c r="AD360" s="1577">
        <f>AD358-AD359</f>
        <v/>
      </c>
      <c r="AE360" s="1578">
        <f>AE358-AE359</f>
        <v/>
      </c>
      <c r="AF360" s="1576">
        <f>AF358-AF359</f>
        <v/>
      </c>
      <c r="AG360" s="1576">
        <f>AG358-AG359</f>
        <v/>
      </c>
      <c r="AH360" s="1576">
        <f>AH358-AH359</f>
        <v/>
      </c>
      <c r="AI360" s="1577">
        <f>AI358-AI359</f>
        <v/>
      </c>
      <c r="AJ360" s="1578">
        <f>AJ358-AJ359</f>
        <v/>
      </c>
      <c r="AK360" s="1576">
        <f>AK358-AK359</f>
        <v/>
      </c>
      <c r="AL360" s="1576">
        <f>AL358-AL359</f>
        <v/>
      </c>
      <c r="AM360" s="1576">
        <f>AM358-AM359</f>
        <v/>
      </c>
      <c r="AN360" s="1577">
        <f>AN358-AN359</f>
        <v/>
      </c>
      <c r="AO360" s="1578">
        <f>AO358-AO359</f>
        <v/>
      </c>
      <c r="AP360" s="1576">
        <f>AP358-AP359</f>
        <v/>
      </c>
      <c r="AQ360" s="1576">
        <f>AQ358-AQ359</f>
        <v/>
      </c>
      <c r="AR360" s="1576">
        <f>AR358-AR359</f>
        <v/>
      </c>
      <c r="AS360" s="1577">
        <f>AS358-AS359</f>
        <v/>
      </c>
      <c r="AT360" s="1578">
        <f>AT358-AT359</f>
        <v/>
      </c>
      <c r="AU360" s="1576">
        <f>AU358-AU359</f>
        <v/>
      </c>
      <c r="AV360" s="1576">
        <f>AV358-AV359</f>
        <v/>
      </c>
      <c r="AW360" s="1576">
        <f>AW358-AW359</f>
        <v/>
      </c>
      <c r="AX360" s="1577">
        <f>AX358-AX359</f>
        <v/>
      </c>
      <c r="AY360" s="1578">
        <f>AY358-AY359</f>
        <v/>
      </c>
      <c r="AZ360" s="1576">
        <f>AZ358-AZ359</f>
        <v/>
      </c>
      <c r="BA360" s="1576">
        <f>BA358-BA359</f>
        <v/>
      </c>
      <c r="BB360" s="1576">
        <f>BB358-BB359</f>
        <v/>
      </c>
      <c r="BC360" s="1577">
        <f>BC358-BC359</f>
        <v/>
      </c>
      <c r="BD360" s="1578">
        <f>BD358-BD359</f>
        <v/>
      </c>
      <c r="BE360" s="1576">
        <f>BE358-BE359</f>
        <v/>
      </c>
      <c r="BF360" s="1576">
        <f>BF358-BF359</f>
        <v/>
      </c>
      <c r="BG360" s="1576">
        <f>BG358-BG359</f>
        <v/>
      </c>
      <c r="BH360" s="1577">
        <f>BH358-BH359</f>
        <v/>
      </c>
      <c r="BI360" s="1578">
        <f>BI358-BI359</f>
        <v/>
      </c>
      <c r="BJ360" s="1576">
        <f>BJ358-BJ359</f>
        <v/>
      </c>
      <c r="BK360" s="1576">
        <f>BK358-BK359</f>
        <v/>
      </c>
      <c r="BL360" s="1576">
        <f>BL358-BL359</f>
        <v/>
      </c>
      <c r="BM360" s="1577">
        <f>BM358-BM359</f>
        <v/>
      </c>
      <c r="BN360" s="1578">
        <f>BN358-BN359</f>
        <v/>
      </c>
      <c r="BO360" s="1576">
        <f>BO358-BO359</f>
        <v/>
      </c>
      <c r="BP360" s="1576">
        <f>BP358-BP359</f>
        <v/>
      </c>
      <c r="BQ360" s="1579">
        <f>BQ358-BQ359</f>
        <v/>
      </c>
      <c r="BR360" s="1577" t="n"/>
      <c r="BS360" s="1578" t="n"/>
      <c r="BT360" s="1577" t="n"/>
      <c r="BU360" s="1577" t="n"/>
      <c r="BV360" s="1577" t="n"/>
      <c r="BW360" s="1577" t="n"/>
      <c r="BX360" s="1578" t="n"/>
      <c r="BY360" s="1578" t="n"/>
      <c r="BZ360" s="1578" t="n"/>
      <c r="CA360" s="1578" t="n"/>
      <c r="CB360" s="1375" t="n"/>
    </row>
    <row r="361" hidden="1" outlineLevel="1" ht="14.4" customFormat="1" customHeight="1" s="1359">
      <c r="A361" s="1580" t="n"/>
      <c r="B361" s="1581" t="n"/>
      <c r="C361" s="1582" t="n"/>
      <c r="D361" s="1582" t="n"/>
      <c r="E361" s="1582" t="n"/>
      <c r="F361" s="1582" t="n"/>
      <c r="G361" s="1583" t="n"/>
      <c r="H361" s="1583" t="n"/>
      <c r="I361" s="1583" t="n"/>
      <c r="J361" s="1583" t="n"/>
      <c r="K361" s="1582" t="n"/>
      <c r="L361" s="1583" t="n"/>
      <c r="M361" s="1583" t="n"/>
      <c r="N361" s="1583" t="n"/>
      <c r="O361" s="1583" t="n"/>
      <c r="P361" s="1582" t="n"/>
      <c r="Q361" s="1583" t="n"/>
      <c r="R361" s="1583" t="n"/>
      <c r="S361" s="1583" t="n"/>
      <c r="T361" s="1583" t="n"/>
      <c r="U361" s="1582" t="n"/>
      <c r="V361" s="1583" t="n"/>
      <c r="W361" s="1583" t="n"/>
      <c r="X361" s="1583" t="n"/>
      <c r="Y361" s="1583" t="n"/>
      <c r="Z361" s="1582" t="n"/>
      <c r="AA361" s="1583" t="n"/>
      <c r="AB361" s="1583" t="n"/>
      <c r="AC361" s="1583" t="n"/>
      <c r="AD361" s="1583" t="n"/>
      <c r="AE361" s="1582" t="n"/>
      <c r="AF361" s="1583" t="n"/>
      <c r="AG361" s="1583" t="n"/>
      <c r="AH361" s="1583" t="n"/>
      <c r="AI361" s="1583" t="n"/>
      <c r="AJ361" s="1582" t="n"/>
      <c r="AK361" s="1583" t="n"/>
      <c r="AL361" s="1583" t="n"/>
      <c r="AM361" s="1583" t="n"/>
      <c r="AN361" s="1583" t="n"/>
      <c r="AO361" s="1582" t="n"/>
      <c r="AP361" s="1583" t="n"/>
      <c r="AQ361" s="1583" t="n"/>
      <c r="AR361" s="1583" t="n"/>
      <c r="AS361" s="1583" t="n"/>
      <c r="AT361" s="1582" t="n"/>
      <c r="AU361" s="1583" t="n"/>
      <c r="AV361" s="1583" t="n"/>
      <c r="AW361" s="1583" t="n"/>
      <c r="AX361" s="1583" t="n"/>
      <c r="AY361" s="1582" t="n"/>
      <c r="AZ361" s="1583" t="n"/>
      <c r="BA361" s="1583" t="n"/>
      <c r="BB361" s="1583" t="n"/>
      <c r="BC361" s="1583" t="n"/>
      <c r="BD361" s="1582" t="n"/>
      <c r="BE361" s="1583" t="n"/>
      <c r="BF361" s="1583" t="n"/>
      <c r="BG361" s="1583" t="n"/>
      <c r="BH361" s="1583" t="n"/>
      <c r="BI361" s="1582" t="n"/>
      <c r="BJ361" s="1583" t="n"/>
      <c r="BK361" s="1583" t="n"/>
      <c r="BL361" s="1583" t="n"/>
      <c r="BM361" s="1583" t="n"/>
      <c r="BN361" s="1582" t="n"/>
      <c r="BO361" s="1583" t="n"/>
      <c r="BP361" s="1583" t="n"/>
      <c r="BQ361" s="1584" t="n"/>
      <c r="BR361" s="1583" t="n"/>
      <c r="BS361" s="1582" t="n"/>
      <c r="BT361" s="1583" t="n"/>
      <c r="BU361" s="1583" t="n"/>
      <c r="BV361" s="1583" t="n"/>
      <c r="BW361" s="1583" t="n"/>
      <c r="BX361" s="1582" t="n"/>
      <c r="BY361" s="1582" t="n"/>
      <c r="BZ361" s="1582" t="n"/>
      <c r="CA361" s="1582" t="n"/>
      <c r="CB361" s="1364" t="n"/>
    </row>
    <row r="362" hidden="1" outlineLevel="1" ht="14.4" customFormat="1" customHeight="1" s="1359">
      <c r="A362" s="1585" t="inlineStr">
        <is>
          <t>IS Check</t>
        </is>
      </c>
      <c r="B362" s="1585" t="n"/>
      <c r="C362" s="1586">
        <f>IF(ISBLANK(INDEX(MO_IS_FirstRow,0,COLUMN())),0,ROUND(C360-C1084,6))</f>
        <v/>
      </c>
      <c r="D362" s="1586">
        <f>IF(ISBLANK(INDEX(MO_IS_FirstRow,0,COLUMN())),0,ROUND(D360-D1084,6))</f>
        <v/>
      </c>
      <c r="E362" s="1586">
        <f>IF(ISBLANK(INDEX(MO_IS_FirstRow,0,COLUMN())),0,ROUND(E360-E1084,6))</f>
        <v/>
      </c>
      <c r="F362" s="1586">
        <f>IF(ISBLANK(INDEX(MO_IS_FirstRow,0,COLUMN())),0,ROUND(F360-F1084,6))</f>
        <v/>
      </c>
      <c r="G362" s="1586">
        <f>IF(ISBLANK(INDEX(MO_IS_FirstRow,0,COLUMN())),0,ROUND(G360-G1084,6))</f>
        <v/>
      </c>
      <c r="H362" s="1586">
        <f>IF(ISBLANK(INDEX(MO_IS_FirstRow,0,COLUMN())),0,ROUND(H360-H1084,6))</f>
        <v/>
      </c>
      <c r="I362" s="1586">
        <f>IF(ISBLANK(INDEX(MO_IS_FirstRow,0,COLUMN())),0,ROUND(I360-I1084,6))</f>
        <v/>
      </c>
      <c r="J362" s="1586">
        <f>IF(ISBLANK(INDEX(MO_IS_FirstRow,0,COLUMN())),0,ROUND(J360-J1084,6))</f>
        <v/>
      </c>
      <c r="K362" s="1586">
        <f>IF(ISBLANK(INDEX(MO_IS_FirstRow,0,COLUMN())),0,ROUND(K360-K1084,6))</f>
        <v/>
      </c>
      <c r="L362" s="1586">
        <f>IF(ISBLANK(INDEX(MO_IS_FirstRow,0,COLUMN())),0,ROUND(L360-L1084,6))</f>
        <v/>
      </c>
      <c r="M362" s="1586">
        <f>IF(ISBLANK(INDEX(MO_IS_FirstRow,0,COLUMN())),0,ROUND(M360-M1084,6))</f>
        <v/>
      </c>
      <c r="N362" s="1586">
        <f>IF(ISBLANK(INDEX(MO_IS_FirstRow,0,COLUMN())),0,ROUND(N360-N1084,6))</f>
        <v/>
      </c>
      <c r="O362" s="1586">
        <f>IF(ISBLANK(INDEX(MO_IS_FirstRow,0,COLUMN())),0,ROUND(O360-O1084,6))</f>
        <v/>
      </c>
      <c r="P362" s="1586">
        <f>IF(ISBLANK(INDEX(MO_IS_FirstRow,0,COLUMN())),0,ROUND(P360-P1084,6))</f>
        <v/>
      </c>
      <c r="Q362" s="1586">
        <f>IF(ISBLANK(INDEX(MO_IS_FirstRow,0,COLUMN())),0,ROUND(Q360-Q1084,6))</f>
        <v/>
      </c>
      <c r="R362" s="1586">
        <f>IF(ISBLANK(INDEX(MO_IS_FirstRow,0,COLUMN())),0,ROUND(R360-R1084,6))</f>
        <v/>
      </c>
      <c r="S362" s="1586">
        <f>IF(ISBLANK(INDEX(MO_IS_FirstRow,0,COLUMN())),0,ROUND(S360-S1084,6))</f>
        <v/>
      </c>
      <c r="T362" s="1586">
        <f>IF(ISBLANK(INDEX(MO_IS_FirstRow,0,COLUMN())),0,ROUND(T360-T1084,6))</f>
        <v/>
      </c>
      <c r="U362" s="1586">
        <f>IF(ISBLANK(INDEX(MO_IS_FirstRow,0,COLUMN())),0,ROUND(U360-U1084,6))</f>
        <v/>
      </c>
      <c r="V362" s="1586">
        <f>IF(ISBLANK(INDEX(MO_IS_FirstRow,0,COLUMN())),0,ROUND(V360-V1084,6))</f>
        <v/>
      </c>
      <c r="W362" s="1586">
        <f>IF(ISBLANK(INDEX(MO_IS_FirstRow,0,COLUMN())),0,ROUND(W360-W1084,6))</f>
        <v/>
      </c>
      <c r="X362" s="1586">
        <f>IF(ISBLANK(INDEX(MO_IS_FirstRow,0,COLUMN())),0,ROUND(X360-X1084,6))</f>
        <v/>
      </c>
      <c r="Y362" s="1586">
        <f>IF(ISBLANK(INDEX(MO_IS_FirstRow,0,COLUMN())),0,ROUND(Y360-Y1084,6))</f>
        <v/>
      </c>
      <c r="Z362" s="1586">
        <f>IF(ISBLANK(INDEX(MO_IS_FirstRow,0,COLUMN())),0,ROUND(Z360-Z1084,6))</f>
        <v/>
      </c>
      <c r="AA362" s="1586">
        <f>IF(ISBLANK(INDEX(MO_IS_FirstRow,0,COLUMN())),0,ROUND(AA360-AA1084,6))</f>
        <v/>
      </c>
      <c r="AB362" s="1586">
        <f>IF(ISBLANK(INDEX(MO_IS_FirstRow,0,COLUMN())),0,ROUND(AB360-AB1084,6))</f>
        <v/>
      </c>
      <c r="AC362" s="1586">
        <f>IF(ISBLANK(INDEX(MO_IS_FirstRow,0,COLUMN())),0,ROUND(AC360-AC1084,6))</f>
        <v/>
      </c>
      <c r="AD362" s="1586">
        <f>IF(ISBLANK(INDEX(MO_IS_FirstRow,0,COLUMN())),0,ROUND(AD360-AD1084,6))</f>
        <v/>
      </c>
      <c r="AE362" s="1586">
        <f>IF(ISBLANK(INDEX(MO_IS_FirstRow,0,COLUMN())),0,ROUND(AE360-AE1084,6))</f>
        <v/>
      </c>
      <c r="AF362" s="1586">
        <f>IF(ISBLANK(INDEX(MO_IS_FirstRow,0,COLUMN())),0,ROUND(AF360-AF1084,6))</f>
        <v/>
      </c>
      <c r="AG362" s="1586">
        <f>IF(ISBLANK(INDEX(MO_IS_FirstRow,0,COLUMN())),0,ROUND(AG360-AG1084,6))</f>
        <v/>
      </c>
      <c r="AH362" s="1586">
        <f>IF(ISBLANK(INDEX(MO_IS_FirstRow,0,COLUMN())),0,ROUND(AH360-AH1084,6))</f>
        <v/>
      </c>
      <c r="AI362" s="1586">
        <f>IF(ISBLANK(INDEX(MO_IS_FirstRow,0,COLUMN())),0,ROUND(AI360-AI1084,6))</f>
        <v/>
      </c>
      <c r="AJ362" s="1586">
        <f>IF(ISBLANK(INDEX(MO_IS_FirstRow,0,COLUMN())),0,ROUND(AJ360-AJ1084,6))</f>
        <v/>
      </c>
      <c r="AK362" s="1586">
        <f>IF(ISBLANK(INDEX(MO_IS_FirstRow,0,COLUMN())),0,ROUND(AK360-AK1084,6))</f>
        <v/>
      </c>
      <c r="AL362" s="1586">
        <f>IF(ISBLANK(INDEX(MO_IS_FirstRow,0,COLUMN())),0,ROUND(AL360-AL1084,6))</f>
        <v/>
      </c>
      <c r="AM362" s="1586">
        <f>IF(ISBLANK(INDEX(MO_IS_FirstRow,0,COLUMN())),0,ROUND(AM360-AM1084,6))</f>
        <v/>
      </c>
      <c r="AN362" s="1586">
        <f>IF(ISBLANK(INDEX(MO_IS_FirstRow,0,COLUMN())),0,ROUND(AN360-AN1084,6))</f>
        <v/>
      </c>
      <c r="AO362" s="1586">
        <f>IF(ISBLANK(INDEX(MO_IS_FirstRow,0,COLUMN())),0,ROUND(AO360-AO1084,6))</f>
        <v/>
      </c>
      <c r="AP362" s="1586">
        <f>IF(ISBLANK(INDEX(MO_IS_FirstRow,0,COLUMN())),0,ROUND(AP360-AP1084,6))</f>
        <v/>
      </c>
      <c r="AQ362" s="1586">
        <f>IF(ISBLANK(INDEX(MO_IS_FirstRow,0,COLUMN())),0,ROUND(AQ360-AQ1084,6))</f>
        <v/>
      </c>
      <c r="AR362" s="1586">
        <f>IF(ISBLANK(INDEX(MO_IS_FirstRow,0,COLUMN())),0,ROUND(AR360-AR1084,6))</f>
        <v/>
      </c>
      <c r="AS362" s="1586">
        <f>IF(ISBLANK(INDEX(MO_IS_FirstRow,0,COLUMN())),0,ROUND(AS360-AS1084,6))</f>
        <v/>
      </c>
      <c r="AT362" s="1586">
        <f>IF(ISBLANK(INDEX(MO_IS_FirstRow,0,COLUMN())),0,ROUND(AT360-AT1084,6))</f>
        <v/>
      </c>
      <c r="AU362" s="1586">
        <f>IF(ISBLANK(INDEX(MO_IS_FirstRow,0,COLUMN())),0,ROUND(AU360-AU1084,6))</f>
        <v/>
      </c>
      <c r="AV362" s="1586">
        <f>IF(ISBLANK(INDEX(MO_IS_FirstRow,0,COLUMN())),0,ROUND(AV360-AV1084,6))</f>
        <v/>
      </c>
      <c r="AW362" s="1586">
        <f>IF(ISBLANK(INDEX(MO_IS_FirstRow,0,COLUMN())),0,ROUND(AW360-AW1084,6))</f>
        <v/>
      </c>
      <c r="AX362" s="1586">
        <f>IF(ISBLANK(INDEX(MO_IS_FirstRow,0,COLUMN())),0,ROUND(AX360-AX1084,6))</f>
        <v/>
      </c>
      <c r="AY362" s="1586">
        <f>IF(ISBLANK(INDEX(MO_IS_FirstRow,0,COLUMN())),0,ROUND(AY360-AY1084,6))</f>
        <v/>
      </c>
      <c r="AZ362" s="1586">
        <f>IF(ISBLANK(INDEX(MO_IS_FirstRow,0,COLUMN())),0,ROUND(AZ360-AZ1084,6))</f>
        <v/>
      </c>
      <c r="BA362" s="1586">
        <f>IF(ISBLANK(INDEX(MO_IS_FirstRow,0,COLUMN())),0,ROUND(BA360-BA1084,6))</f>
        <v/>
      </c>
      <c r="BB362" s="1586">
        <f>IF(ISBLANK(INDEX(MO_IS_FirstRow,0,COLUMN())),0,ROUND(BB360-BB1084,6))</f>
        <v/>
      </c>
      <c r="BC362" s="1586">
        <f>IF(ISBLANK(INDEX(MO_IS_FirstRow,0,COLUMN())),0,ROUND(BC360-BC1084,6))</f>
        <v/>
      </c>
      <c r="BD362" s="1586">
        <f>IF(ISBLANK(INDEX(MO_IS_FirstRow,0,COLUMN())),0,ROUND(BD360-BD1084,6))</f>
        <v/>
      </c>
      <c r="BE362" s="1586">
        <f>IF(ISBLANK(INDEX(MO_IS_FirstRow,0,COLUMN())),0,ROUND(BE360-BE1084,6))</f>
        <v/>
      </c>
      <c r="BF362" s="1586">
        <f>IF(ISBLANK(INDEX(MO_IS_FirstRow,0,COLUMN())),0,ROUND(BF360-BF1084,6))</f>
        <v/>
      </c>
      <c r="BG362" s="1586">
        <f>IF(ISBLANK(INDEX(MO_IS_FirstRow,0,COLUMN())),0,ROUND(BG360-BG1084,6))</f>
        <v/>
      </c>
      <c r="BH362" s="1586">
        <f>IF(ISBLANK(INDEX(MO_IS_FirstRow,0,COLUMN())),0,ROUND(BH360-BH1084,6))</f>
        <v/>
      </c>
      <c r="BI362" s="1586">
        <f>IF(ISBLANK(INDEX(MO_IS_FirstRow,0,COLUMN())),0,ROUND(BI360-BI1084,6))</f>
        <v/>
      </c>
      <c r="BJ362" s="1586">
        <f>IF(ISBLANK(INDEX(MO_IS_FirstRow,0,COLUMN())),0,ROUND(BJ360-BJ1084,6))</f>
        <v/>
      </c>
      <c r="BK362" s="1586">
        <f>IF(ISBLANK(INDEX(MO_IS_FirstRow,0,COLUMN())),0,ROUND(BK360-BK1084,6))</f>
        <v/>
      </c>
      <c r="BL362" s="1586">
        <f>IF(ISBLANK(INDEX(MO_IS_FirstRow,0,COLUMN())),0,ROUND(BL360-BL1084,6))</f>
        <v/>
      </c>
      <c r="BM362" s="1586">
        <f>IF(ISBLANK(INDEX(MO_IS_FirstRow,0,COLUMN())),0,ROUND(BM360-BM1084,6))</f>
        <v/>
      </c>
      <c r="BN362" s="1586">
        <f>IF(ISBLANK(INDEX(MO_IS_FirstRow,0,COLUMN())),0,ROUND(BN360-BN1084,6))</f>
        <v/>
      </c>
      <c r="BO362" s="1586">
        <f>IF(ISBLANK(INDEX(MO_IS_FirstRow,0,COLUMN())),0,ROUND(BO360-BO1084,6))</f>
        <v/>
      </c>
      <c r="BP362" s="1586">
        <f>IF(ISBLANK(INDEX(MO_IS_FirstRow,0,COLUMN())),0,ROUND(BP360-BP1084,6))</f>
        <v/>
      </c>
      <c r="BQ362" s="1587">
        <f>IF(ISBLANK(INDEX(MO_IS_FirstRow,0,COLUMN())),0,ROUND(BQ360-BQ1084,6))</f>
        <v/>
      </c>
      <c r="BR362" s="1586" t="n"/>
      <c r="BS362" s="1586" t="n"/>
      <c r="BT362" s="1586" t="n"/>
      <c r="BU362" s="1586" t="n"/>
      <c r="BV362" s="1586" t="n"/>
      <c r="BW362" s="1586" t="n"/>
      <c r="BX362" s="1586" t="n"/>
      <c r="BY362" s="1586" t="n"/>
      <c r="BZ362" s="1586" t="n"/>
      <c r="CA362" s="1586" t="n"/>
      <c r="CB362" s="1364" t="n"/>
    </row>
    <row r="363" collapsed="1" ht="14.4" customFormat="1" customHeight="1" s="1359">
      <c r="A363" s="1474" t="n"/>
      <c r="B363" s="1512" t="n"/>
      <c r="C363" s="1379" t="n"/>
      <c r="D363" s="1379" t="n"/>
      <c r="E363" s="1379" t="n"/>
      <c r="F363" s="1379" t="n"/>
      <c r="G363" s="1361" t="n"/>
      <c r="H363" s="1361" t="n"/>
      <c r="I363" s="1361" t="n"/>
      <c r="J363" s="1361" t="n"/>
      <c r="K363" s="1379" t="n"/>
      <c r="L363" s="1361" t="n"/>
      <c r="M363" s="1361" t="n"/>
      <c r="N363" s="1361" t="n"/>
      <c r="O363" s="1361" t="n"/>
      <c r="P363" s="1379" t="n"/>
      <c r="Q363" s="1361" t="n"/>
      <c r="R363" s="1361" t="n"/>
      <c r="S363" s="1361" t="n"/>
      <c r="T363" s="1361" t="n"/>
      <c r="U363" s="1379" t="n"/>
      <c r="V363" s="1361" t="n"/>
      <c r="W363" s="1361" t="n"/>
      <c r="X363" s="1361" t="n"/>
      <c r="Y363" s="1361" t="n"/>
      <c r="Z363" s="1379" t="n"/>
      <c r="AA363" s="1361" t="n"/>
      <c r="AB363" s="1361" t="n"/>
      <c r="AC363" s="1361" t="n"/>
      <c r="AD363" s="1361" t="n"/>
      <c r="AE363" s="1379" t="n"/>
      <c r="AF363" s="1361" t="n"/>
      <c r="AG363" s="1361" t="n"/>
      <c r="AH363" s="1361" t="n"/>
      <c r="AI363" s="1361" t="n"/>
      <c r="AJ363" s="1379" t="n"/>
      <c r="AK363" s="1361" t="n"/>
      <c r="AL363" s="1361" t="n"/>
      <c r="AM363" s="1361" t="n"/>
      <c r="AN363" s="1361" t="n"/>
      <c r="AO363" s="1379" t="n"/>
      <c r="AP363" s="1361" t="n"/>
      <c r="AQ363" s="1361" t="n"/>
      <c r="AR363" s="1361" t="n"/>
      <c r="AS363" s="1361" t="n"/>
      <c r="AT363" s="1379" t="n"/>
      <c r="AU363" s="1361" t="n"/>
      <c r="AV363" s="1361" t="n"/>
      <c r="AW363" s="1361" t="n"/>
      <c r="AX363" s="1361" t="n"/>
      <c r="AY363" s="1379" t="n"/>
      <c r="AZ363" s="1361" t="n"/>
      <c r="BA363" s="1361" t="n"/>
      <c r="BB363" s="1361" t="n"/>
      <c r="BC363" s="1361" t="n"/>
      <c r="BD363" s="1379" t="n"/>
      <c r="BE363" s="1361" t="n"/>
      <c r="BF363" s="1361" t="n"/>
      <c r="BG363" s="1361" t="n"/>
      <c r="BH363" s="1361" t="n"/>
      <c r="BI363" s="1379" t="n"/>
      <c r="BJ363" s="1361" t="n"/>
      <c r="BK363" s="1361" t="n"/>
      <c r="BL363" s="1361" t="n"/>
      <c r="BM363" s="1361" t="n"/>
      <c r="BN363" s="1379" t="n"/>
      <c r="BO363" s="1361" t="n"/>
      <c r="BP363" s="1361" t="n"/>
      <c r="BQ363" s="1363" t="n"/>
      <c r="BR363" s="1361" t="n"/>
      <c r="BS363" s="1379" t="n"/>
      <c r="BT363" s="1361" t="n"/>
      <c r="BU363" s="1361" t="n"/>
      <c r="BV363" s="1361" t="n"/>
      <c r="BW363" s="1361" t="n"/>
      <c r="BX363" s="1379" t="n"/>
      <c r="BY363" s="1379" t="n"/>
      <c r="BZ363" s="1379" t="n"/>
      <c r="CA363" s="1379" t="n"/>
      <c r="CB363" s="1364" t="n"/>
    </row>
    <row r="364" ht="14.4" customFormat="1" customHeight="1" s="1372">
      <c r="A364" s="1373" t="inlineStr">
        <is>
          <t>Adjusted Numbers - As Reported</t>
        </is>
      </c>
      <c r="B364" s="1373" t="n"/>
      <c r="C364" s="1373" t="n"/>
      <c r="D364" s="1373" t="n"/>
      <c r="E364" s="1373" t="n"/>
      <c r="F364" s="1373" t="n"/>
      <c r="G364" s="1373" t="n"/>
      <c r="H364" s="1373" t="n"/>
      <c r="I364" s="1373" t="n"/>
      <c r="J364" s="1373" t="n"/>
      <c r="K364" s="1373" t="n"/>
      <c r="L364" s="1373" t="n"/>
      <c r="M364" s="1373" t="n"/>
      <c r="N364" s="1373" t="n"/>
      <c r="O364" s="1373" t="n"/>
      <c r="P364" s="1373" t="n"/>
      <c r="Q364" s="1373" t="n"/>
      <c r="R364" s="1373" t="n"/>
      <c r="S364" s="1373" t="n"/>
      <c r="T364" s="1373" t="n"/>
      <c r="U364" s="1373" t="n"/>
      <c r="V364" s="1373" t="n"/>
      <c r="W364" s="1373" t="n"/>
      <c r="X364" s="1373" t="n"/>
      <c r="Y364" s="1373" t="n"/>
      <c r="Z364" s="1373" t="n"/>
      <c r="AA364" s="1373" t="n"/>
      <c r="AB364" s="1373" t="n"/>
      <c r="AC364" s="1373" t="n"/>
      <c r="AD364" s="1373" t="n"/>
      <c r="AE364" s="1373" t="n"/>
      <c r="AF364" s="1373" t="n"/>
      <c r="AG364" s="1373" t="n"/>
      <c r="AH364" s="1373" t="n"/>
      <c r="AI364" s="1373" t="n"/>
      <c r="AJ364" s="1373" t="n"/>
      <c r="AK364" s="1373" t="n"/>
      <c r="AL364" s="1373" t="n"/>
      <c r="AM364" s="1373" t="n"/>
      <c r="AN364" s="1373" t="n"/>
      <c r="AO364" s="1373" t="n"/>
      <c r="AP364" s="1373" t="n"/>
      <c r="AQ364" s="1373" t="n"/>
      <c r="AR364" s="1373" t="n"/>
      <c r="AS364" s="1373" t="n"/>
      <c r="AT364" s="1373" t="n"/>
      <c r="AU364" s="1373" t="n"/>
      <c r="AV364" s="1373" t="n"/>
      <c r="AW364" s="1373" t="n"/>
      <c r="AX364" s="1373" t="n"/>
      <c r="AY364" s="1373" t="n"/>
      <c r="AZ364" s="1373" t="n"/>
      <c r="BA364" s="1373" t="n"/>
      <c r="BB364" s="1373" t="n"/>
      <c r="BC364" s="1373" t="n"/>
      <c r="BD364" s="1373" t="n"/>
      <c r="BE364" s="1373" t="n"/>
      <c r="BF364" s="1373" t="n"/>
      <c r="BG364" s="1373" t="n"/>
      <c r="BH364" s="1373" t="n"/>
      <c r="BI364" s="1373" t="n"/>
      <c r="BJ364" s="1373" t="n"/>
      <c r="BK364" s="1373" t="n"/>
      <c r="BL364" s="1373" t="n"/>
      <c r="BM364" s="1373" t="n"/>
      <c r="BN364" s="1373" t="n"/>
      <c r="BO364" s="1373" t="n"/>
      <c r="BP364" s="1373" t="n"/>
      <c r="BQ364" s="1374" t="n"/>
      <c r="BR364" s="1373" t="n"/>
      <c r="BS364" s="1373" t="n"/>
      <c r="BT364" s="1373" t="n"/>
      <c r="BU364" s="1373" t="n"/>
      <c r="BV364" s="1373" t="n"/>
      <c r="BW364" s="1373" t="n"/>
      <c r="BX364" s="1373" t="n"/>
      <c r="BY364" s="1373" t="n"/>
      <c r="BZ364" s="1373" t="n"/>
      <c r="CA364" s="1373" t="n"/>
      <c r="CB364" s="1375" t="n"/>
    </row>
    <row r="365" hidden="1" outlineLevel="1" ht="14.4" customFormat="1" customHeight="1" s="1372">
      <c r="A365" s="1452" t="inlineStr">
        <is>
          <t>GAAP net income</t>
        </is>
      </c>
      <c r="B365" s="1517" t="n"/>
      <c r="C365" s="1458">
        <f>C360</f>
        <v/>
      </c>
      <c r="D365" s="1458">
        <f>D360</f>
        <v/>
      </c>
      <c r="E365" s="1458">
        <f>E360</f>
        <v/>
      </c>
      <c r="F365" s="1458">
        <f>F360</f>
        <v/>
      </c>
      <c r="G365" s="1375">
        <f>G360</f>
        <v/>
      </c>
      <c r="H365" s="1375">
        <f>H360</f>
        <v/>
      </c>
      <c r="I365" s="1375">
        <f>I360</f>
        <v/>
      </c>
      <c r="J365" s="1375">
        <f>J360</f>
        <v/>
      </c>
      <c r="K365" s="1458">
        <f>K360</f>
        <v/>
      </c>
      <c r="L365" s="1375">
        <f>L360</f>
        <v/>
      </c>
      <c r="M365" s="1375">
        <f>M360</f>
        <v/>
      </c>
      <c r="N365" s="1375">
        <f>N360</f>
        <v/>
      </c>
      <c r="O365" s="1375">
        <f>O360</f>
        <v/>
      </c>
      <c r="P365" s="1458">
        <f>P360</f>
        <v/>
      </c>
      <c r="Q365" s="1375">
        <f>Q360</f>
        <v/>
      </c>
      <c r="R365" s="1375">
        <f>R360</f>
        <v/>
      </c>
      <c r="S365" s="1375">
        <f>S360</f>
        <v/>
      </c>
      <c r="T365" s="1375">
        <f>T360</f>
        <v/>
      </c>
      <c r="U365" s="1458">
        <f>U360</f>
        <v/>
      </c>
      <c r="V365" s="1375">
        <f>V360</f>
        <v/>
      </c>
      <c r="W365" s="1375">
        <f>W360</f>
        <v/>
      </c>
      <c r="X365" s="1375">
        <f>X360</f>
        <v/>
      </c>
      <c r="Y365" s="1450">
        <f>Y360</f>
        <v/>
      </c>
      <c r="Z365" s="1449">
        <f>Z360</f>
        <v/>
      </c>
      <c r="AA365" s="1375">
        <f>AA360</f>
        <v/>
      </c>
      <c r="AB365" s="1375">
        <f>AB360</f>
        <v/>
      </c>
      <c r="AC365" s="1375">
        <f>AC360</f>
        <v/>
      </c>
      <c r="AD365" s="1450">
        <f>AD360</f>
        <v/>
      </c>
      <c r="AE365" s="1449">
        <f>AE360</f>
        <v/>
      </c>
      <c r="AF365" s="1375">
        <f>AF360</f>
        <v/>
      </c>
      <c r="AG365" s="1375">
        <f>AG360</f>
        <v/>
      </c>
      <c r="AH365" s="1375">
        <f>AH360</f>
        <v/>
      </c>
      <c r="AI365" s="1450">
        <f>AI360</f>
        <v/>
      </c>
      <c r="AJ365" s="1449">
        <f>AJ360</f>
        <v/>
      </c>
      <c r="AK365" s="1375">
        <f>AK360</f>
        <v/>
      </c>
      <c r="AL365" s="1375">
        <f>AL360</f>
        <v/>
      </c>
      <c r="AM365" s="1375">
        <f>AM360</f>
        <v/>
      </c>
      <c r="AN365" s="1450">
        <f>AN360</f>
        <v/>
      </c>
      <c r="AO365" s="1449">
        <f>AO360</f>
        <v/>
      </c>
      <c r="AP365" s="1375">
        <f>AP360</f>
        <v/>
      </c>
      <c r="AQ365" s="1375">
        <f>AQ360</f>
        <v/>
      </c>
      <c r="AR365" s="1375">
        <f>AR360</f>
        <v/>
      </c>
      <c r="AS365" s="1450">
        <f>AS360</f>
        <v/>
      </c>
      <c r="AT365" s="1449">
        <f>AT360</f>
        <v/>
      </c>
      <c r="AU365" s="1375">
        <f>AU360</f>
        <v/>
      </c>
      <c r="AV365" s="1375">
        <f>AV360</f>
        <v/>
      </c>
      <c r="AW365" s="1375">
        <f>AW360</f>
        <v/>
      </c>
      <c r="AX365" s="1450">
        <f>AX360</f>
        <v/>
      </c>
      <c r="AY365" s="1449">
        <f>AY360</f>
        <v/>
      </c>
      <c r="AZ365" s="1375">
        <f>AZ360</f>
        <v/>
      </c>
      <c r="BA365" s="1375">
        <f>BA360</f>
        <v/>
      </c>
      <c r="BB365" s="1375">
        <f>BB360</f>
        <v/>
      </c>
      <c r="BC365" s="1450">
        <f>BC360</f>
        <v/>
      </c>
      <c r="BD365" s="1449">
        <f>BD360</f>
        <v/>
      </c>
      <c r="BE365" s="1375">
        <f>BE360</f>
        <v/>
      </c>
      <c r="BF365" s="1375">
        <f>BF360</f>
        <v/>
      </c>
      <c r="BG365" s="1375">
        <f>BG360</f>
        <v/>
      </c>
      <c r="BH365" s="1450">
        <f>BH360</f>
        <v/>
      </c>
      <c r="BI365" s="1449">
        <f>BI360</f>
        <v/>
      </c>
      <c r="BJ365" s="1375">
        <f>BJ360</f>
        <v/>
      </c>
      <c r="BK365" s="1375">
        <f>BK360</f>
        <v/>
      </c>
      <c r="BL365" s="1375">
        <f>BL360</f>
        <v/>
      </c>
      <c r="BM365" s="1450">
        <f>BM360</f>
        <v/>
      </c>
      <c r="BN365" s="1449">
        <f>BN360</f>
        <v/>
      </c>
      <c r="BO365" s="1375">
        <f>BO360</f>
        <v/>
      </c>
      <c r="BP365" s="1375">
        <f>BP360</f>
        <v/>
      </c>
      <c r="BQ365" s="1459">
        <f>BQ360</f>
        <v/>
      </c>
      <c r="BR365" s="1450" t="n"/>
      <c r="BS365" s="1449" t="n"/>
      <c r="BT365" s="1450" t="n"/>
      <c r="BU365" s="1450" t="n"/>
      <c r="BV365" s="1450" t="n"/>
      <c r="BW365" s="1450" t="n"/>
      <c r="BX365" s="1449" t="n"/>
      <c r="BY365" s="1449" t="n"/>
      <c r="BZ365" s="1449" t="n"/>
      <c r="CA365" s="1449" t="n"/>
      <c r="CB365" s="1375" t="n"/>
    </row>
    <row r="366" hidden="1" outlineLevel="1" ht="14.4" customFormat="1" customHeight="1" s="1359">
      <c r="A366" s="1394" t="inlineStr">
        <is>
          <t>Amortization of acquired intangibles</t>
        </is>
      </c>
      <c r="B366" s="1512" t="n"/>
      <c r="C366" s="1494" t="n">
        <v>19.941</v>
      </c>
      <c r="D366" s="1494" t="n">
        <v>20.808</v>
      </c>
      <c r="E366" s="1494" t="n">
        <v>27.016</v>
      </c>
      <c r="F366" s="1494" t="n">
        <v>28.618</v>
      </c>
      <c r="G366" s="1493" t="n">
        <v>7.598</v>
      </c>
      <c r="H366" s="1493" t="n">
        <v>11.087</v>
      </c>
      <c r="I366" s="1493" t="n">
        <v>13.027</v>
      </c>
      <c r="J366" s="1493" t="n">
        <v>12.422</v>
      </c>
      <c r="K366" s="1494" t="n">
        <v>44.134</v>
      </c>
      <c r="L366" s="1493" t="n">
        <v>12.786</v>
      </c>
      <c r="M366" s="1493" t="n">
        <v>14.192</v>
      </c>
      <c r="N366" s="1493" t="n">
        <v>16.387</v>
      </c>
      <c r="O366" s="1493" t="n">
        <v>17.559</v>
      </c>
      <c r="P366" s="1494" t="n">
        <v>60.924</v>
      </c>
      <c r="Q366" s="1493" t="n">
        <v>16.404</v>
      </c>
      <c r="R366" s="1493" t="n">
        <v>16.224</v>
      </c>
      <c r="S366" s="1493" t="n">
        <v>15.794</v>
      </c>
      <c r="T366" s="1493" t="n">
        <v>15.826</v>
      </c>
      <c r="U366" s="1494" t="n">
        <v>64.248</v>
      </c>
      <c r="V366" s="1493" t="n">
        <v>16.443</v>
      </c>
      <c r="W366" s="1493" t="n">
        <v>15.083</v>
      </c>
      <c r="X366" s="1493" t="n">
        <v>14.482</v>
      </c>
      <c r="Y366" s="1493" t="n">
        <v>14.474</v>
      </c>
      <c r="Z366" s="1494" t="n">
        <v>60.482</v>
      </c>
      <c r="AA366" s="1493" t="n">
        <v>14.434</v>
      </c>
      <c r="AB366" s="1493" t="n">
        <v>14.704</v>
      </c>
      <c r="AC366" s="1493" t="n">
        <v>13.618</v>
      </c>
      <c r="AD366" s="1493" t="n">
        <v>13.741</v>
      </c>
      <c r="AE366" s="1494" t="n">
        <v>56.497</v>
      </c>
      <c r="AF366" s="1493" t="n">
        <v>13.907</v>
      </c>
      <c r="AG366" s="1493" t="n">
        <v>13.509</v>
      </c>
      <c r="AH366" s="1493" t="n">
        <v>12.975</v>
      </c>
      <c r="AI366" s="1493" t="n">
        <v>12.942</v>
      </c>
      <c r="AJ366" s="1494" t="n">
        <v>53.333</v>
      </c>
      <c r="AK366" s="1493" t="n">
        <v>13.162</v>
      </c>
      <c r="AL366" s="1493" t="n">
        <v>14.458</v>
      </c>
      <c r="AM366" s="1493" t="n">
        <v>12.799</v>
      </c>
      <c r="AN366" s="1493" t="n">
        <v>12.66</v>
      </c>
      <c r="AO366" s="1494" t="n">
        <v>53.079</v>
      </c>
      <c r="AP366" s="1493" t="n">
        <v>15.066</v>
      </c>
      <c r="AQ366" s="1493" t="n">
        <v>16.074</v>
      </c>
      <c r="AR366" s="1493" t="n">
        <v>15.885</v>
      </c>
      <c r="AS366" s="1493" t="n">
        <v>17.168</v>
      </c>
      <c r="AT366" s="1494" t="n">
        <v>64.193</v>
      </c>
      <c r="AU366" s="1493" t="n">
        <v>16.399</v>
      </c>
      <c r="AV366" s="1493" t="n">
        <v>17.262</v>
      </c>
      <c r="AW366" s="1493" t="n">
        <v>16.774</v>
      </c>
      <c r="AX366" s="1493" t="n">
        <v>16.781</v>
      </c>
      <c r="AY366" s="1494" t="n">
        <v>67.21599999999999</v>
      </c>
      <c r="AZ366" s="1493" t="n">
        <v>16.935</v>
      </c>
      <c r="BA366" s="1493" t="n">
        <v>14.701</v>
      </c>
      <c r="BB366" s="1493" t="n">
        <v>12.813</v>
      </c>
      <c r="BC366" s="1493" t="n">
        <v>15.369</v>
      </c>
      <c r="BD366" s="1494" t="n">
        <v>59.818</v>
      </c>
      <c r="BE366" s="1493" t="n">
        <v>14.527</v>
      </c>
      <c r="BF366" s="1493" t="n">
        <v>14.92</v>
      </c>
      <c r="BG366" s="1493" t="n">
        <v>15.603</v>
      </c>
      <c r="BH366" s="1493" t="n">
        <v>16.92</v>
      </c>
      <c r="BI366" s="1494" t="n">
        <v>61.97</v>
      </c>
      <c r="BJ366" s="1493" t="n">
        <v>16.755</v>
      </c>
      <c r="BK366" s="1493" t="n">
        <v>20.155</v>
      </c>
      <c r="BL366" s="1493" t="n">
        <v>26.763</v>
      </c>
      <c r="BM366" s="1493" t="n">
        <v>26.776</v>
      </c>
      <c r="BN366" s="1494" t="n">
        <v>90.449</v>
      </c>
      <c r="BO366" s="1493" t="n">
        <v>25.416</v>
      </c>
      <c r="BP366" s="1493" t="n">
        <v>23.703</v>
      </c>
      <c r="BQ366" s="1502" t="n">
        <v>25.984</v>
      </c>
      <c r="BR366" s="1361" t="n"/>
      <c r="BS366" s="1379" t="n"/>
      <c r="BT366" s="1361" t="n"/>
      <c r="BU366" s="1361" t="n"/>
      <c r="BV366" s="1361" t="n"/>
      <c r="BW366" s="1361" t="n"/>
      <c r="BX366" s="1379" t="n"/>
      <c r="BY366" s="1379" t="n"/>
      <c r="BZ366" s="1379" t="n"/>
      <c r="CA366" s="1379" t="n"/>
      <c r="CB366" s="1364" t="n"/>
    </row>
    <row r="367" hidden="1" outlineLevel="1" ht="14.4" customFormat="1" customHeight="1" s="1359">
      <c r="A367" s="1394" t="inlineStr">
        <is>
          <t>SBC</t>
        </is>
      </c>
      <c r="B367" s="1512" t="n"/>
      <c r="C367" s="1494" t="n">
        <v>54.706</v>
      </c>
      <c r="D367" s="1494" t="n">
        <v>43.46</v>
      </c>
      <c r="E367" s="1494" t="n">
        <v>43.588</v>
      </c>
      <c r="F367" s="1494" t="n">
        <v>47.561</v>
      </c>
      <c r="G367" s="1493" t="n">
        <v>13.81</v>
      </c>
      <c r="H367" s="1493" t="n">
        <v>15.111</v>
      </c>
      <c r="I367" s="1493" t="n">
        <v>18.566</v>
      </c>
      <c r="J367" s="1493" t="n">
        <v>18.798</v>
      </c>
      <c r="K367" s="1494" t="n">
        <v>66.285</v>
      </c>
      <c r="L367" s="1493" t="n">
        <v>18.864</v>
      </c>
      <c r="M367" s="1493" t="n">
        <v>19.077</v>
      </c>
      <c r="N367" s="1493" t="n">
        <v>22.877</v>
      </c>
      <c r="O367" s="1493" t="n">
        <v>22.974</v>
      </c>
      <c r="P367" s="1494" t="n">
        <v>83.792</v>
      </c>
      <c r="Q367" s="1493" t="n">
        <v>21.861</v>
      </c>
      <c r="R367" s="1493" t="n">
        <v>21.703</v>
      </c>
      <c r="S367" s="1493" t="n">
        <v>24.117</v>
      </c>
      <c r="T367" s="1493" t="n">
        <v>24.66</v>
      </c>
      <c r="U367" s="1494" t="n">
        <v>92.34099999999999</v>
      </c>
      <c r="V367" s="1493" t="n">
        <v>24.632</v>
      </c>
      <c r="W367" s="1493" t="n">
        <v>25.356</v>
      </c>
      <c r="X367" s="1493" t="n">
        <v>29.998</v>
      </c>
      <c r="Y367" s="1493" t="n">
        <v>29.231</v>
      </c>
      <c r="Z367" s="1494" t="n">
        <v>109.217</v>
      </c>
      <c r="AA367" s="1493" t="n">
        <v>27.436</v>
      </c>
      <c r="AB367" s="1493" t="n">
        <v>30.482</v>
      </c>
      <c r="AC367" s="1493" t="n">
        <v>36.09</v>
      </c>
      <c r="AD367" s="1493" t="n">
        <v>36.015</v>
      </c>
      <c r="AE367" s="1494" t="n">
        <v>130.023</v>
      </c>
      <c r="AF367" s="1493" t="n">
        <v>37.901</v>
      </c>
      <c r="AG367" s="1493" t="n">
        <v>40.956</v>
      </c>
      <c r="AH367" s="1493" t="n">
        <v>46.264</v>
      </c>
      <c r="AI367" s="1493" t="n">
        <v>42.594</v>
      </c>
      <c r="AJ367" s="1494" t="n">
        <v>167.715</v>
      </c>
      <c r="AK367" s="1493" t="n">
        <v>42.253</v>
      </c>
      <c r="AL367" s="1493" t="n">
        <v>44.257</v>
      </c>
      <c r="AM367" s="1493" t="n">
        <v>48.279</v>
      </c>
      <c r="AN367" s="1493" t="n">
        <v>46.758</v>
      </c>
      <c r="AO367" s="1494" t="n">
        <v>181.547</v>
      </c>
      <c r="AP367" s="1493" t="n">
        <v>46.482</v>
      </c>
      <c r="AQ367" s="1493" t="n">
        <v>46.907</v>
      </c>
      <c r="AR367" s="1493" t="n">
        <v>45.334</v>
      </c>
      <c r="AS367" s="1493" t="n">
        <v>58.545</v>
      </c>
      <c r="AT367" s="1494" t="n">
        <v>197.268</v>
      </c>
      <c r="AU367" s="1493" t="n">
        <v>52.596</v>
      </c>
      <c r="AV367" s="1493" t="n">
        <v>50.518</v>
      </c>
      <c r="AW367" s="1493" t="n">
        <v>52.746</v>
      </c>
      <c r="AX367" s="1493" t="n">
        <v>54.23</v>
      </c>
      <c r="AY367" s="1494" t="n">
        <v>210.09</v>
      </c>
      <c r="AZ367" s="1493" t="n">
        <v>59.469</v>
      </c>
      <c r="BA367" s="1493" t="n">
        <v>64.27</v>
      </c>
      <c r="BB367" s="1493" t="n">
        <v>73.45099999999999</v>
      </c>
      <c r="BC367" s="1493" t="n">
        <v>73.249</v>
      </c>
      <c r="BD367" s="1494" t="n">
        <v>270.439</v>
      </c>
      <c r="BE367" s="1493" t="n">
        <v>74.288</v>
      </c>
      <c r="BF367" s="1493" t="n">
        <v>76.608</v>
      </c>
      <c r="BG367" s="1493" t="n">
        <v>88.032</v>
      </c>
      <c r="BH367" s="1493" t="n">
        <v>86.68300000000001</v>
      </c>
      <c r="BI367" s="1494" t="n">
        <v>325.611</v>
      </c>
      <c r="BJ367" s="1493" t="n">
        <v>88.129</v>
      </c>
      <c r="BK367" s="1493" t="n">
        <v>87.569</v>
      </c>
      <c r="BL367" s="1493" t="n">
        <v>109.013</v>
      </c>
      <c r="BM367" s="1493" t="n">
        <v>106.508</v>
      </c>
      <c r="BN367" s="1494" t="n">
        <v>391.219</v>
      </c>
      <c r="BO367" s="1493" t="n">
        <v>107.613</v>
      </c>
      <c r="BP367" s="1493" t="n">
        <v>118.325</v>
      </c>
      <c r="BQ367" s="1502" t="n">
        <v>116.073</v>
      </c>
      <c r="BR367" s="1361" t="n"/>
      <c r="BS367" s="1379" t="n"/>
      <c r="BT367" s="1361" t="n"/>
      <c r="BU367" s="1361" t="n"/>
      <c r="BV367" s="1361" t="n"/>
      <c r="BW367" s="1361" t="n"/>
      <c r="BX367" s="1379" t="n"/>
      <c r="BY367" s="1379" t="n"/>
      <c r="BZ367" s="1379" t="n"/>
      <c r="CA367" s="1379" t="n"/>
      <c r="CB367" s="1364" t="n"/>
    </row>
    <row r="368" hidden="1" outlineLevel="1" ht="14.4" customFormat="1" customHeight="1" s="1359">
      <c r="A368" s="1394" t="inlineStr">
        <is>
          <t>Non-qualified deferred compensation expenses</t>
        </is>
      </c>
      <c r="B368" s="1512" t="n"/>
      <c r="C368" s="1494" t="n">
        <v>-0.644</v>
      </c>
      <c r="D368" s="1494" t="n">
        <v>2.906</v>
      </c>
      <c r="E368" s="1494" t="n">
        <v>-0.383</v>
      </c>
      <c r="F368" s="1494" t="n">
        <v>4.453</v>
      </c>
      <c r="G368" s="1493" t="n">
        <v>0.152</v>
      </c>
      <c r="H368" s="1493" t="n">
        <v>1.699</v>
      </c>
      <c r="I368" s="1493" t="n">
        <v>0.186</v>
      </c>
      <c r="J368" s="1493" t="n">
        <v>1.256</v>
      </c>
      <c r="K368" s="1494" t="n">
        <v>3.293</v>
      </c>
      <c r="L368" s="1493" t="n">
        <v>2.063</v>
      </c>
      <c r="M368" s="1493" t="n">
        <v>1.047</v>
      </c>
      <c r="N368" s="1493" t="n">
        <v>-0.104</v>
      </c>
      <c r="O368" s="1493" t="n">
        <v>0.409</v>
      </c>
      <c r="P368" s="1494" t="n">
        <v>3.415</v>
      </c>
      <c r="Q368" s="1493" t="n">
        <v>0.527</v>
      </c>
      <c r="R368" s="1493" t="n">
        <v>0.037</v>
      </c>
      <c r="S368" s="1493" t="n">
        <v>-1.508</v>
      </c>
      <c r="T368" s="1493" t="n">
        <v>0.575</v>
      </c>
      <c r="U368" s="1494" t="n">
        <v>-0.369</v>
      </c>
      <c r="V368" s="1493" t="n">
        <v>-0.083</v>
      </c>
      <c r="W368" s="1493" t="n">
        <v>0.359</v>
      </c>
      <c r="X368" s="1493" t="n">
        <v>0.921</v>
      </c>
      <c r="Y368" s="1493" t="n">
        <v>0.544</v>
      </c>
      <c r="Z368" s="1494" t="n">
        <v>1.741</v>
      </c>
      <c r="AA368" s="1493" t="n">
        <v>1.269</v>
      </c>
      <c r="AB368" s="1493" t="n">
        <v>0.756</v>
      </c>
      <c r="AC368" s="1493" t="n">
        <v>2.825</v>
      </c>
      <c r="AD368" s="1493" t="n">
        <v>1.295</v>
      </c>
      <c r="AE368" s="1494" t="n">
        <v>6.145</v>
      </c>
      <c r="AF368" s="1493" t="n">
        <v>0.127</v>
      </c>
      <c r="AG368" s="1493" t="n">
        <v>0.468</v>
      </c>
      <c r="AH368" s="1493" t="n">
        <v>1.12</v>
      </c>
      <c r="AI368" s="1493" t="n">
        <v>-3.186</v>
      </c>
      <c r="AJ368" s="1494" t="n">
        <v>-1.471</v>
      </c>
      <c r="AK368" s="1493" t="n">
        <v>2.54</v>
      </c>
      <c r="AL368" s="1493" t="n">
        <v>0.862</v>
      </c>
      <c r="AM368" s="1493" t="n">
        <v>0.052</v>
      </c>
      <c r="AN368" s="1493" t="n">
        <v>1.948</v>
      </c>
      <c r="AO368" s="1494" t="n">
        <v>5.402</v>
      </c>
      <c r="AP368" s="1493" t="n">
        <v>-4.796</v>
      </c>
      <c r="AQ368" s="1493" t="n">
        <v>3.618</v>
      </c>
      <c r="AR368" s="1493" t="n">
        <v>1.779</v>
      </c>
      <c r="AS368" s="1493" t="n">
        <v>4.28</v>
      </c>
      <c r="AT368" s="1494" t="n">
        <v>4.881</v>
      </c>
      <c r="AU368" s="1493" t="n">
        <v>1.898</v>
      </c>
      <c r="AV368" s="1493" t="n">
        <v>2.411</v>
      </c>
      <c r="AW368" s="1493" t="n">
        <v>-0.351</v>
      </c>
      <c r="AX368" s="1493" t="n">
        <v>2.205</v>
      </c>
      <c r="AY368" s="1494" t="n">
        <v>6.163</v>
      </c>
      <c r="AZ368" s="1493" t="n">
        <v>-2.568</v>
      </c>
      <c r="BA368" s="1493" t="n">
        <v>-6.524</v>
      </c>
      <c r="BB368" s="1493" t="n">
        <v>-2.885</v>
      </c>
      <c r="BC368" s="1493" t="n">
        <v>3.233</v>
      </c>
      <c r="BD368" s="1494" t="n">
        <v>-8.744</v>
      </c>
      <c r="BE368" s="1493" t="n">
        <v>3.15</v>
      </c>
      <c r="BF368" s="1493" t="n">
        <v>3.155</v>
      </c>
      <c r="BG368" s="1493" t="n">
        <v>-1.749</v>
      </c>
      <c r="BH368" s="1493" t="n">
        <v>6.295</v>
      </c>
      <c r="BI368" s="1494" t="n">
        <v>10.851</v>
      </c>
      <c r="BJ368" s="1493" t="n">
        <v>4.588</v>
      </c>
      <c r="BK368" s="1493" t="n">
        <v>1.697</v>
      </c>
      <c r="BL368" s="1493" t="n">
        <v>4.567</v>
      </c>
      <c r="BM368" s="1493" t="n">
        <v>0.293</v>
      </c>
      <c r="BN368" s="1494" t="n">
        <v>11.145</v>
      </c>
      <c r="BO368" s="1493" t="n">
        <v>-1.573</v>
      </c>
      <c r="BP368" s="1493" t="n">
        <v>7.778</v>
      </c>
      <c r="BQ368" s="1502" t="n">
        <v>5.76</v>
      </c>
      <c r="BR368" s="1361" t="n"/>
      <c r="BS368" s="1379" t="n"/>
      <c r="BT368" s="1361" t="n"/>
      <c r="BU368" s="1361" t="n"/>
      <c r="BV368" s="1361" t="n"/>
      <c r="BW368" s="1361" t="n"/>
      <c r="BX368" s="1379" t="n"/>
      <c r="BY368" s="1379" t="n"/>
      <c r="BZ368" s="1379" t="n"/>
      <c r="CA368" s="1379" t="n"/>
      <c r="CB368" s="1364" t="n"/>
    </row>
    <row r="369" hidden="1" outlineLevel="1" ht="14.4" customFormat="1" customHeight="1" s="1359">
      <c r="A369" s="1394" t="inlineStr">
        <is>
          <t>Restructuring and other charges</t>
        </is>
      </c>
      <c r="B369" s="1512" t="n"/>
      <c r="C369" s="1494" t="n">
        <v>31.376</v>
      </c>
      <c r="D369" s="1494" t="n">
        <v>10.152</v>
      </c>
      <c r="E369" s="1494" t="n">
        <v>0.36</v>
      </c>
      <c r="F369" s="1494" t="n">
        <v>0.113</v>
      </c>
      <c r="G369" s="1493" t="n">
        <v>-0.148</v>
      </c>
      <c r="H369" s="1493" t="n">
        <v>2.656</v>
      </c>
      <c r="I369" s="1493" t="n">
        <v>0.08599999999999999</v>
      </c>
      <c r="J369" s="1493" t="n">
        <v>15.405</v>
      </c>
      <c r="K369" s="1494" t="n">
        <v>17.999</v>
      </c>
      <c r="L369" s="1493" t="n">
        <v>0.396</v>
      </c>
      <c r="M369" s="1493" t="n">
        <v>-0.026</v>
      </c>
      <c r="N369" s="1493" t="n">
        <v>11.027</v>
      </c>
      <c r="O369" s="1493" t="n">
        <v>-1.145</v>
      </c>
      <c r="P369" s="1494" t="n">
        <v>10.252</v>
      </c>
      <c r="Q369" s="1493" t="n">
        <v>4.359</v>
      </c>
      <c r="R369" s="1493" t="n">
        <v>-0.498</v>
      </c>
      <c r="S369" s="1493" t="n">
        <v>0.303</v>
      </c>
      <c r="T369" s="1493" t="n">
        <v>0.347</v>
      </c>
      <c r="U369" s="1494" t="n">
        <v>4.511</v>
      </c>
      <c r="V369" s="1493" t="n">
        <v>14.586</v>
      </c>
      <c r="W369" s="1493" t="n">
        <v>-0.074</v>
      </c>
      <c r="X369" s="1493" t="n">
        <v>0.101</v>
      </c>
      <c r="Y369" s="1493" t="n">
        <v>26.342</v>
      </c>
      <c r="Z369" s="1494" t="n">
        <v>40.955</v>
      </c>
      <c r="AA369" s="1493" t="n">
        <v>-1.788</v>
      </c>
      <c r="AB369" s="1493" t="n">
        <v>-0.929</v>
      </c>
      <c r="AC369" s="1493" t="n">
        <v>-0.055</v>
      </c>
      <c r="AD369" s="1493" t="n">
        <v>12.178</v>
      </c>
      <c r="AE369" s="1494" t="n">
        <v>9.406000000000001</v>
      </c>
      <c r="AF369" s="1493" t="n">
        <v>-1.991</v>
      </c>
      <c r="AG369" s="1493" t="n">
        <v>-0.447</v>
      </c>
      <c r="AH369" s="1493" t="n">
        <v>-0.172</v>
      </c>
      <c r="AI369" s="1493" t="n">
        <v>13.699</v>
      </c>
      <c r="AJ369" s="1494" t="n">
        <v>11.089</v>
      </c>
      <c r="AK369" s="1493" t="n">
        <v>-0.6889999999999999</v>
      </c>
      <c r="AL369" s="1493" t="n">
        <v>-0.313</v>
      </c>
      <c r="AM369" s="1493" t="n">
        <v>-0.186</v>
      </c>
      <c r="AN369" s="1493" t="n">
        <v>9.808999999999999</v>
      </c>
      <c r="AO369" s="1494" t="n">
        <v>8.621</v>
      </c>
      <c r="AP369" s="1493" t="n">
        <v>-1.067</v>
      </c>
      <c r="AQ369" s="1493" t="n">
        <v>-0.275</v>
      </c>
      <c r="AR369" s="1493" t="n">
        <v>0.013</v>
      </c>
      <c r="AS369" s="1493" t="n">
        <v>10.544</v>
      </c>
      <c r="AT369" s="1494" t="n">
        <v>9.215</v>
      </c>
      <c r="AU369" s="1493" t="n">
        <v>-0.277</v>
      </c>
      <c r="AV369" s="1493" t="n">
        <v>-0.469</v>
      </c>
      <c r="AW369" s="1493" t="n">
        <v>-0.222</v>
      </c>
      <c r="AX369" s="1493" t="n">
        <v>-0.08</v>
      </c>
      <c r="AY369" s="1494" t="n">
        <v>-1.048</v>
      </c>
      <c r="AZ369" s="1493" t="n">
        <v>0.012</v>
      </c>
      <c r="BA369" s="1493" t="n">
        <v>0.016</v>
      </c>
      <c r="BB369" s="1493" t="n">
        <v>0.014</v>
      </c>
      <c r="BC369" s="1493" t="n">
        <v>0.013</v>
      </c>
      <c r="BD369" s="1494" t="n">
        <v>0.055</v>
      </c>
      <c r="BE369" s="1493" t="n">
        <v>0</v>
      </c>
      <c r="BF369" s="1493" t="n">
        <v>0</v>
      </c>
      <c r="BG369" s="1493" t="n">
        <v>11.582</v>
      </c>
      <c r="BH369" s="1493" t="n">
        <v>-0.569</v>
      </c>
      <c r="BI369" s="1494" t="n">
        <v>11.013</v>
      </c>
      <c r="BJ369" s="1493" t="n">
        <v>0.28</v>
      </c>
      <c r="BK369" s="1493" t="n">
        <v>-0.033</v>
      </c>
      <c r="BL369" s="1493" t="n">
        <v>24.538</v>
      </c>
      <c r="BM369" s="1493" t="n">
        <v>-1.02</v>
      </c>
      <c r="BN369" s="1494" t="n">
        <v>23.765</v>
      </c>
      <c r="BO369" s="1493" t="n">
        <v>-0.109</v>
      </c>
      <c r="BP369" s="1493" t="n">
        <v>0.047</v>
      </c>
      <c r="BQ369" s="1502" t="n">
        <v>27.394</v>
      </c>
      <c r="BR369" s="1361" t="n"/>
      <c r="BS369" s="1379" t="n"/>
      <c r="BT369" s="1361" t="n"/>
      <c r="BU369" s="1361" t="n"/>
      <c r="BV369" s="1361" t="n"/>
      <c r="BW369" s="1361" t="n"/>
      <c r="BX369" s="1379" t="n"/>
      <c r="BY369" s="1379" t="n"/>
      <c r="BZ369" s="1379" t="n"/>
      <c r="CA369" s="1379" t="n"/>
      <c r="CB369" s="1364" t="n"/>
    </row>
    <row r="370" hidden="1" outlineLevel="1" ht="14.4" customFormat="1" customHeight="1" s="1359">
      <c r="A370" s="1394" t="inlineStr">
        <is>
          <t>Shareholder litigation costs</t>
        </is>
      </c>
      <c r="B370" s="1512" t="n"/>
      <c r="C370" s="1494" t="n">
        <v>0</v>
      </c>
      <c r="D370" s="1494" t="n">
        <v>4.328</v>
      </c>
      <c r="E370" s="1494" t="n">
        <v>1.545</v>
      </c>
      <c r="F370" s="1494" t="n">
        <v>0.046</v>
      </c>
      <c r="G370" s="1493" t="n">
        <v>0</v>
      </c>
      <c r="H370" s="1493" t="n">
        <v>0</v>
      </c>
      <c r="I370" s="1493" t="n">
        <v>0</v>
      </c>
      <c r="J370" s="1493" t="n">
        <v>0</v>
      </c>
      <c r="K370" s="1494" t="n">
        <v>0</v>
      </c>
      <c r="L370" s="1493" t="n">
        <v>0</v>
      </c>
      <c r="M370" s="1493" t="n">
        <v>0</v>
      </c>
      <c r="N370" s="1493" t="n">
        <v>0</v>
      </c>
      <c r="O370" s="1493" t="n">
        <v>0</v>
      </c>
      <c r="P370" s="1494" t="n">
        <v>0</v>
      </c>
      <c r="Q370" s="1493" t="n">
        <v>0</v>
      </c>
      <c r="R370" s="1493" t="n">
        <v>0</v>
      </c>
      <c r="S370" s="1493" t="n">
        <v>0</v>
      </c>
      <c r="T370" s="1493" t="n">
        <v>0</v>
      </c>
      <c r="U370" s="1494" t="n">
        <v>0</v>
      </c>
      <c r="V370" s="1493" t="n">
        <v>0</v>
      </c>
      <c r="W370" s="1361" t="n"/>
      <c r="X370" s="1361" t="n"/>
      <c r="Y370" s="1361" t="n"/>
      <c r="Z370" s="1379" t="n"/>
      <c r="AA370" s="1361" t="n"/>
      <c r="AB370" s="1361" t="n"/>
      <c r="AC370" s="1361" t="n"/>
      <c r="AD370" s="1361" t="n"/>
      <c r="AE370" s="1379" t="n"/>
      <c r="AF370" s="1361" t="n"/>
      <c r="AG370" s="1361" t="n"/>
      <c r="AH370" s="1361" t="n"/>
      <c r="AI370" s="1361" t="n"/>
      <c r="AJ370" s="1379" t="n"/>
      <c r="AK370" s="1361" t="n"/>
      <c r="AL370" s="1361" t="n"/>
      <c r="AM370" s="1361" t="n"/>
      <c r="AN370" s="1361" t="n"/>
      <c r="AO370" s="1379" t="n"/>
      <c r="AP370" s="1361" t="n"/>
      <c r="AQ370" s="1361" t="n"/>
      <c r="AR370" s="1361" t="n"/>
      <c r="AS370" s="1361" t="n"/>
      <c r="AT370" s="1379" t="n"/>
      <c r="AU370" s="1361" t="n"/>
      <c r="AV370" s="1361" t="n"/>
      <c r="AW370" s="1361" t="n"/>
      <c r="AX370" s="1361" t="n"/>
      <c r="AY370" s="1379" t="n"/>
      <c r="AZ370" s="1361" t="n"/>
      <c r="BA370" s="1361" t="n"/>
      <c r="BB370" s="1361" t="n"/>
      <c r="BC370" s="1361" t="n"/>
      <c r="BD370" s="1379" t="n"/>
      <c r="BE370" s="1361" t="n"/>
      <c r="BF370" s="1361" t="n"/>
      <c r="BG370" s="1361" t="n"/>
      <c r="BH370" s="1361" t="n"/>
      <c r="BI370" s="1379" t="n"/>
      <c r="BJ370" s="1361" t="n"/>
      <c r="BK370" s="1361" t="n"/>
      <c r="BL370" s="1361" t="n"/>
      <c r="BM370" s="1361" t="n"/>
      <c r="BN370" s="1379" t="n"/>
      <c r="BO370" s="1361" t="n"/>
      <c r="BP370" s="1361" t="n"/>
      <c r="BQ370" s="1363" t="n"/>
      <c r="BR370" s="1361" t="n"/>
      <c r="BS370" s="1379" t="n"/>
      <c r="BT370" s="1361" t="n"/>
      <c r="BU370" s="1361" t="n"/>
      <c r="BV370" s="1361" t="n"/>
      <c r="BW370" s="1361" t="n"/>
      <c r="BX370" s="1379" t="n"/>
      <c r="BY370" s="1379" t="n"/>
      <c r="BZ370" s="1379" t="n"/>
      <c r="CA370" s="1379" t="n"/>
      <c r="CB370" s="1364" t="n"/>
    </row>
    <row r="371" hidden="1" outlineLevel="1" ht="14.4" customFormat="1" customHeight="1" s="1359">
      <c r="A371" s="1394" t="inlineStr">
        <is>
          <t>Litigation charges</t>
        </is>
      </c>
      <c r="B371" s="1512" t="n"/>
      <c r="C371" s="1494" t="n">
        <v>0</v>
      </c>
      <c r="D371" s="1494" t="n">
        <v>15.8</v>
      </c>
      <c r="E371" s="1494" t="n">
        <v>0</v>
      </c>
      <c r="F371" s="1494" t="n">
        <v>0</v>
      </c>
      <c r="G371" s="1493" t="n">
        <v>0</v>
      </c>
      <c r="H371" s="1493" t="n">
        <v>0</v>
      </c>
      <c r="I371" s="1493" t="n">
        <v>0</v>
      </c>
      <c r="J371" s="1493" t="n">
        <v>0</v>
      </c>
      <c r="K371" s="1494" t="n">
        <v>0</v>
      </c>
      <c r="L371" s="1493" t="n">
        <v>0</v>
      </c>
      <c r="M371" s="1493" t="n">
        <v>0</v>
      </c>
      <c r="N371" s="1493" t="n">
        <v>0</v>
      </c>
      <c r="O371" s="1493" t="n">
        <v>0</v>
      </c>
      <c r="P371" s="1494" t="n">
        <v>0</v>
      </c>
      <c r="Q371" s="1493" t="n">
        <v>0</v>
      </c>
      <c r="R371" s="1493" t="n">
        <v>0</v>
      </c>
      <c r="S371" s="1493" t="n">
        <v>0</v>
      </c>
      <c r="T371" s="1493" t="n">
        <v>0</v>
      </c>
      <c r="U371" s="1494" t="n">
        <v>0</v>
      </c>
      <c r="V371" s="1493" t="n">
        <v>0</v>
      </c>
      <c r="W371" s="1361" t="n"/>
      <c r="X371" s="1361" t="n"/>
      <c r="Y371" s="1361" t="n"/>
      <c r="Z371" s="1379" t="n"/>
      <c r="AA371" s="1361" t="n"/>
      <c r="AB371" s="1361" t="n"/>
      <c r="AC371" s="1361" t="n"/>
      <c r="AD371" s="1361" t="n"/>
      <c r="AE371" s="1379" t="n"/>
      <c r="AF371" s="1361" t="n"/>
      <c r="AG371" s="1361" t="n"/>
      <c r="AH371" s="1361" t="n"/>
      <c r="AI371" s="1361" t="n"/>
      <c r="AJ371" s="1379" t="n"/>
      <c r="AK371" s="1361" t="n"/>
      <c r="AL371" s="1361" t="n"/>
      <c r="AM371" s="1361" t="n"/>
      <c r="AN371" s="1361" t="n"/>
      <c r="AO371" s="1379" t="n"/>
      <c r="AP371" s="1361" t="n"/>
      <c r="AQ371" s="1361" t="n"/>
      <c r="AR371" s="1361" t="n"/>
      <c r="AS371" s="1361" t="n"/>
      <c r="AT371" s="1379" t="n"/>
      <c r="AU371" s="1361" t="n"/>
      <c r="AV371" s="1361" t="n"/>
      <c r="AW371" s="1361" t="n"/>
      <c r="AX371" s="1361" t="n"/>
      <c r="AY371" s="1379" t="n"/>
      <c r="AZ371" s="1361" t="n"/>
      <c r="BA371" s="1361" t="n"/>
      <c r="BB371" s="1361" t="n"/>
      <c r="BC371" s="1361" t="n"/>
      <c r="BD371" s="1379" t="n"/>
      <c r="BE371" s="1361" t="n"/>
      <c r="BF371" s="1361" t="n"/>
      <c r="BG371" s="1361" t="n"/>
      <c r="BH371" s="1361" t="n"/>
      <c r="BI371" s="1379" t="n"/>
      <c r="BJ371" s="1361" t="n"/>
      <c r="BK371" s="1361" t="n"/>
      <c r="BL371" s="1361" t="n"/>
      <c r="BM371" s="1361" t="n"/>
      <c r="BN371" s="1379" t="n"/>
      <c r="BO371" s="1361" t="n"/>
      <c r="BP371" s="1361" t="n"/>
      <c r="BQ371" s="1363" t="n"/>
      <c r="BR371" s="1361" t="n"/>
      <c r="BS371" s="1379" t="n"/>
      <c r="BT371" s="1361" t="n"/>
      <c r="BU371" s="1361" t="n"/>
      <c r="BV371" s="1361" t="n"/>
      <c r="BW371" s="1361" t="n"/>
      <c r="BX371" s="1379" t="n"/>
      <c r="BY371" s="1379" t="n"/>
      <c r="BZ371" s="1379" t="n"/>
      <c r="CA371" s="1379" t="n"/>
      <c r="CB371" s="1364" t="n"/>
    </row>
    <row r="372" hidden="1" outlineLevel="1" ht="14.4" customFormat="1" customHeight="1" s="1359">
      <c r="A372" s="1394" t="inlineStr">
        <is>
          <t>Acquisition and other integration related charges</t>
        </is>
      </c>
      <c r="B372" s="1512" t="n"/>
      <c r="C372" s="1494" t="n">
        <v>0.665</v>
      </c>
      <c r="D372" s="1494" t="n">
        <v>12.17</v>
      </c>
      <c r="E372" s="1494" t="n">
        <v>2.598</v>
      </c>
      <c r="F372" s="1494" t="n">
        <v>9.278</v>
      </c>
      <c r="G372" s="1493" t="n">
        <v>4.935</v>
      </c>
      <c r="H372" s="1493" t="n">
        <v>10.093</v>
      </c>
      <c r="I372" s="1493" t="n">
        <v>8.041</v>
      </c>
      <c r="J372" s="1493" t="n">
        <v>8.903</v>
      </c>
      <c r="K372" s="1494" t="n">
        <v>31.972</v>
      </c>
      <c r="L372" s="1493" t="n">
        <v>7.118</v>
      </c>
      <c r="M372" s="1493" t="n">
        <v>8.787000000000001</v>
      </c>
      <c r="N372" s="1493" t="n">
        <v>4.435</v>
      </c>
      <c r="O372" s="1493" t="n">
        <v>4.28</v>
      </c>
      <c r="P372" s="1494" t="n">
        <v>24.62</v>
      </c>
      <c r="Q372" s="1493" t="n">
        <v>3.75</v>
      </c>
      <c r="R372" s="1493" t="n">
        <v>1.681</v>
      </c>
      <c r="S372" s="1493" t="n">
        <v>0.948</v>
      </c>
      <c r="T372" s="1493" t="n">
        <v>1.596</v>
      </c>
      <c r="U372" s="1494" t="n">
        <v>7.975</v>
      </c>
      <c r="V372" s="1493" t="n">
        <v>0.804</v>
      </c>
      <c r="W372" s="1493" t="n">
        <v>7.19</v>
      </c>
      <c r="X372" s="1493" t="n">
        <v>1.841</v>
      </c>
      <c r="Y372" s="1493" t="n">
        <v>1.433</v>
      </c>
      <c r="Z372" s="1494" t="n">
        <v>11.268</v>
      </c>
      <c r="AA372" s="1493" t="n">
        <v>1.357</v>
      </c>
      <c r="AB372" s="1493" t="n">
        <v>0.651</v>
      </c>
      <c r="AC372" s="1493" t="n">
        <v>0.748</v>
      </c>
      <c r="AD372" s="1493" t="n">
        <v>5.712</v>
      </c>
      <c r="AE372" s="1494" t="n">
        <v>8.468</v>
      </c>
      <c r="AF372" s="1493" t="n">
        <v>7.783</v>
      </c>
      <c r="AG372" s="1493" t="n">
        <v>6.765</v>
      </c>
      <c r="AH372" s="1493" t="n">
        <v>6.67</v>
      </c>
      <c r="AI372" s="1493" t="n">
        <v>-1.36</v>
      </c>
      <c r="AJ372" s="1494" t="n">
        <v>19.858</v>
      </c>
      <c r="AK372" s="1493" t="n">
        <v>0.914</v>
      </c>
      <c r="AL372" s="1493" t="n">
        <v>1.889</v>
      </c>
      <c r="AM372" s="1493" t="n">
        <v>1.838</v>
      </c>
      <c r="AN372" s="1493" t="n">
        <v>3.466</v>
      </c>
      <c r="AO372" s="1494" t="n">
        <v>8.106999999999999</v>
      </c>
      <c r="AP372" s="1493" t="n">
        <v>3.97</v>
      </c>
      <c r="AQ372" s="1493" t="n">
        <v>5.315</v>
      </c>
      <c r="AR372" s="1493" t="n">
        <v>6.739</v>
      </c>
      <c r="AS372" s="1493" t="n">
        <v>6.556</v>
      </c>
      <c r="AT372" s="1494" t="n">
        <v>22.58</v>
      </c>
      <c r="AU372" s="1493" t="n">
        <v>5.51</v>
      </c>
      <c r="AV372" s="1493" t="n">
        <v>5.631</v>
      </c>
      <c r="AW372" s="1493" t="n">
        <v>5.326</v>
      </c>
      <c r="AX372" s="1493" t="n">
        <v>5.946</v>
      </c>
      <c r="AY372" s="1494" t="n">
        <v>22.413</v>
      </c>
      <c r="AZ372" s="1493" t="n">
        <v>3.897</v>
      </c>
      <c r="BA372" s="1493" t="n">
        <v>8.278</v>
      </c>
      <c r="BB372" s="1493" t="n">
        <v>11.418</v>
      </c>
      <c r="BC372" s="1493" t="n">
        <v>17.51</v>
      </c>
      <c r="BD372" s="1494" t="n">
        <v>41.103</v>
      </c>
      <c r="BE372" s="1493" t="n">
        <v>15.8</v>
      </c>
      <c r="BF372" s="1493" t="n">
        <v>13.946</v>
      </c>
      <c r="BG372" s="1493" t="n">
        <v>14.213</v>
      </c>
      <c r="BH372" s="1493" t="n">
        <v>12.583</v>
      </c>
      <c r="BI372" s="1494" t="n">
        <v>56.542</v>
      </c>
      <c r="BJ372" s="1493" t="n">
        <v>22.086</v>
      </c>
      <c r="BK372" s="1493" t="n">
        <v>20.715</v>
      </c>
      <c r="BL372" s="1493" t="n">
        <v>29.284</v>
      </c>
      <c r="BM372" s="1493" t="n">
        <v>23.477</v>
      </c>
      <c r="BN372" s="1494" t="n">
        <v>95.562</v>
      </c>
      <c r="BO372" s="1493" t="n">
        <v>23.105</v>
      </c>
      <c r="BP372" s="1493" t="n">
        <v>26.021</v>
      </c>
      <c r="BQ372" s="1502" t="n">
        <v>37.295</v>
      </c>
      <c r="BR372" s="1361" t="n"/>
      <c r="BS372" s="1379" t="n"/>
      <c r="BT372" s="1361" t="n"/>
      <c r="BU372" s="1361" t="n"/>
      <c r="BV372" s="1361" t="n"/>
      <c r="BW372" s="1361" t="n"/>
      <c r="BX372" s="1379" t="n"/>
      <c r="BY372" s="1379" t="n"/>
      <c r="BZ372" s="1379" t="n"/>
      <c r="CA372" s="1379" t="n"/>
      <c r="CB372" s="1364" t="n"/>
    </row>
    <row r="373" hidden="1" outlineLevel="1" ht="14.4" customFormat="1" customHeight="1" s="1359">
      <c r="A373" s="1394" t="inlineStr">
        <is>
          <t>Executive severance costs</t>
        </is>
      </c>
      <c r="B373" s="1512" t="n"/>
      <c r="C373" s="1494" t="n">
        <v>0</v>
      </c>
      <c r="D373" s="1494" t="n">
        <v>1.627</v>
      </c>
      <c r="E373" s="1494" t="n">
        <v>6.178</v>
      </c>
      <c r="F373" s="1494" t="n">
        <v>0</v>
      </c>
      <c r="G373" s="1493" t="n">
        <v>0</v>
      </c>
      <c r="H373" s="1493" t="n">
        <v>0</v>
      </c>
      <c r="I373" s="1493" t="n">
        <v>0.745</v>
      </c>
      <c r="J373" s="1493" t="n">
        <v>0.216</v>
      </c>
      <c r="K373" s="1494" t="n">
        <v>0.961</v>
      </c>
      <c r="L373" s="1361" t="n"/>
      <c r="M373" s="1361" t="n"/>
      <c r="N373" s="1361" t="n"/>
      <c r="O373" s="1361" t="n"/>
      <c r="P373" s="1379" t="n"/>
      <c r="Q373" s="1361" t="n"/>
      <c r="R373" s="1361" t="n"/>
      <c r="S373" s="1361" t="n"/>
      <c r="T373" s="1361" t="n"/>
      <c r="U373" s="1379" t="n"/>
      <c r="V373" s="1361" t="n"/>
      <c r="W373" s="1361" t="n"/>
      <c r="X373" s="1361" t="n"/>
      <c r="Y373" s="1361" t="n"/>
      <c r="Z373" s="1379" t="n"/>
      <c r="AA373" s="1361" t="n"/>
      <c r="AB373" s="1361" t="n"/>
      <c r="AC373" s="1361" t="n"/>
      <c r="AD373" s="1361" t="n"/>
      <c r="AE373" s="1379" t="n"/>
      <c r="AF373" s="1361" t="n"/>
      <c r="AG373" s="1361" t="n"/>
      <c r="AH373" s="1361" t="n"/>
      <c r="AI373" s="1361" t="n"/>
      <c r="AJ373" s="1379" t="n"/>
      <c r="AK373" s="1361" t="n"/>
      <c r="AL373" s="1361" t="n"/>
      <c r="AM373" s="1361" t="n"/>
      <c r="AN373" s="1361" t="n"/>
      <c r="AO373" s="1379" t="n"/>
      <c r="AP373" s="1361" t="n"/>
      <c r="AQ373" s="1361" t="n"/>
      <c r="AR373" s="1361" t="n"/>
      <c r="AS373" s="1361" t="n"/>
      <c r="AT373" s="1379" t="n"/>
      <c r="AU373" s="1361" t="n"/>
      <c r="AV373" s="1361" t="n"/>
      <c r="AW373" s="1361" t="n"/>
      <c r="AX373" s="1361" t="n"/>
      <c r="AY373" s="1379" t="n"/>
      <c r="AZ373" s="1361" t="n"/>
      <c r="BA373" s="1361" t="n"/>
      <c r="BB373" s="1361" t="n"/>
      <c r="BC373" s="1361" t="n"/>
      <c r="BD373" s="1379" t="n"/>
      <c r="BE373" s="1361" t="n"/>
      <c r="BF373" s="1361" t="n"/>
      <c r="BG373" s="1361" t="n"/>
      <c r="BH373" s="1361" t="n"/>
      <c r="BI373" s="1379" t="n"/>
      <c r="BJ373" s="1361" t="n"/>
      <c r="BK373" s="1361" t="n"/>
      <c r="BL373" s="1361" t="n"/>
      <c r="BM373" s="1361" t="n"/>
      <c r="BN373" s="1379" t="n"/>
      <c r="BO373" s="1361" t="n"/>
      <c r="BP373" s="1361" t="n"/>
      <c r="BQ373" s="1363" t="n"/>
      <c r="BR373" s="1361" t="n"/>
      <c r="BS373" s="1379" t="n"/>
      <c r="BT373" s="1361" t="n"/>
      <c r="BU373" s="1361" t="n"/>
      <c r="BV373" s="1361" t="n"/>
      <c r="BW373" s="1361" t="n"/>
      <c r="BX373" s="1379" t="n"/>
      <c r="BY373" s="1379" t="n"/>
      <c r="BZ373" s="1379" t="n"/>
      <c r="CA373" s="1379" t="n"/>
      <c r="CB373" s="1364" t="n"/>
    </row>
    <row r="374" hidden="1" outlineLevel="1" ht="14.4" customFormat="1" customHeight="1" s="1359">
      <c r="A374" s="1474" t="inlineStr">
        <is>
          <t>Amortization of debt discount on convertible notes</t>
        </is>
      </c>
      <c r="B374" s="1512" t="n"/>
      <c r="C374" s="1494" t="n">
        <v>19.104</v>
      </c>
      <c r="D374" s="1494" t="n">
        <v>22.936</v>
      </c>
      <c r="E374" s="1494" t="n">
        <v>26.214</v>
      </c>
      <c r="F374" s="1494" t="n">
        <v>20.846</v>
      </c>
      <c r="G374" s="1493" t="n">
        <v>5.536</v>
      </c>
      <c r="H374" s="1493" t="n">
        <v>5.571</v>
      </c>
      <c r="I374" s="1493" t="n">
        <v>5.693</v>
      </c>
      <c r="J374" s="1493" t="n">
        <v>5.515</v>
      </c>
      <c r="K374" s="1494" t="n">
        <v>22.315</v>
      </c>
      <c r="L374" s="1493" t="n">
        <v>4.209</v>
      </c>
      <c r="M374" s="1493" t="n">
        <v>4.241</v>
      </c>
      <c r="N374" s="1493" t="n">
        <v>4.37</v>
      </c>
      <c r="O374" s="1493" t="n">
        <v>4.782</v>
      </c>
      <c r="P374" s="1494" t="n">
        <v>17.602</v>
      </c>
      <c r="Q374" s="1493" t="n">
        <v>5.026</v>
      </c>
      <c r="R374" s="1493" t="n">
        <v>2.47</v>
      </c>
      <c r="S374" s="1493" t="n">
        <v>0</v>
      </c>
      <c r="T374" s="1493" t="n">
        <v>0</v>
      </c>
      <c r="U374" s="1494" t="n">
        <v>7.496</v>
      </c>
      <c r="V374" s="1493" t="n">
        <v>0</v>
      </c>
      <c r="W374" s="1361" t="n"/>
      <c r="X374" s="1361" t="n"/>
      <c r="Y374" s="1361" t="n"/>
      <c r="Z374" s="1379" t="n"/>
      <c r="AA374" s="1361" t="n"/>
      <c r="AB374" s="1361" t="n"/>
      <c r="AC374" s="1361" t="n"/>
      <c r="AD374" s="1361" t="n"/>
      <c r="AE374" s="1379" t="n"/>
      <c r="AF374" s="1361" t="n"/>
      <c r="AG374" s="1361" t="n"/>
      <c r="AH374" s="1361" t="n"/>
      <c r="AI374" s="1361" t="n"/>
      <c r="AJ374" s="1379" t="n"/>
      <c r="AK374" s="1361" t="n"/>
      <c r="AL374" s="1361" t="n"/>
      <c r="AM374" s="1361" t="n"/>
      <c r="AN374" s="1361" t="n"/>
      <c r="AO374" s="1379" t="n"/>
      <c r="AP374" s="1361" t="n"/>
      <c r="AQ374" s="1361" t="n"/>
      <c r="AR374" s="1361" t="n"/>
      <c r="AS374" s="1361" t="n"/>
      <c r="AT374" s="1379" t="n"/>
      <c r="AU374" s="1361" t="n"/>
      <c r="AV374" s="1361" t="n"/>
      <c r="AW374" s="1361" t="n"/>
      <c r="AX374" s="1361" t="n"/>
      <c r="AY374" s="1379" t="n"/>
      <c r="AZ374" s="1361" t="n"/>
      <c r="BA374" s="1361" t="n"/>
      <c r="BB374" s="1361" t="n"/>
      <c r="BC374" s="1361" t="n"/>
      <c r="BD374" s="1379" t="n"/>
      <c r="BE374" s="1361" t="n"/>
      <c r="BF374" s="1361" t="n"/>
      <c r="BG374" s="1361" t="n"/>
      <c r="BH374" s="1361" t="n"/>
      <c r="BI374" s="1379" t="n"/>
      <c r="BJ374" s="1361" t="n"/>
      <c r="BK374" s="1361" t="n"/>
      <c r="BL374" s="1361" t="n"/>
      <c r="BM374" s="1361" t="n"/>
      <c r="BN374" s="1379" t="n"/>
      <c r="BO374" s="1361" t="n"/>
      <c r="BP374" s="1361" t="n"/>
      <c r="BQ374" s="1363" t="n"/>
      <c r="BR374" s="1361" t="n"/>
      <c r="BS374" s="1379" t="n"/>
      <c r="BT374" s="1361" t="n"/>
      <c r="BU374" s="1361" t="n"/>
      <c r="BV374" s="1361" t="n"/>
      <c r="BW374" s="1361" t="n"/>
      <c r="BX374" s="1379" t="n"/>
      <c r="BY374" s="1379" t="n"/>
      <c r="BZ374" s="1379" t="n"/>
      <c r="CA374" s="1379" t="n"/>
      <c r="CB374" s="1361" t="n"/>
    </row>
    <row r="375" hidden="1" outlineLevel="1" ht="14.4" customFormat="1" customHeight="1" s="1359">
      <c r="A375" s="1394" t="inlineStr">
        <is>
          <t>Other income or expense related to investments</t>
        </is>
      </c>
      <c r="B375" s="1512" t="n"/>
      <c r="C375" s="1494" t="n">
        <v>6.738</v>
      </c>
      <c r="D375" s="1494" t="n">
        <v>-5.875</v>
      </c>
      <c r="E375" s="1494" t="n">
        <v>-15.682</v>
      </c>
      <c r="F375" s="1494" t="n">
        <v>-6.296</v>
      </c>
      <c r="G375" s="1493" t="n">
        <v>-0.99</v>
      </c>
      <c r="H375" s="1493" t="n">
        <v>-1.193</v>
      </c>
      <c r="I375" s="1493" t="n">
        <v>-1.544</v>
      </c>
      <c r="J375" s="1493" t="n">
        <v>-1.553</v>
      </c>
      <c r="K375" s="1494" t="n">
        <v>-5.28</v>
      </c>
      <c r="L375" s="1493" t="n">
        <v>-3.609</v>
      </c>
      <c r="M375" s="1493" t="n">
        <v>-1.48</v>
      </c>
      <c r="N375" s="1493" t="n">
        <v>1.944</v>
      </c>
      <c r="O375" s="1493" t="n">
        <v>-1.484</v>
      </c>
      <c r="P375" s="1494" t="n">
        <v>-4.629</v>
      </c>
      <c r="Q375" s="1493" t="n">
        <v>-1.263</v>
      </c>
      <c r="R375" s="1493" t="n">
        <v>-0.311</v>
      </c>
      <c r="S375" s="1493" t="n">
        <v>0.174</v>
      </c>
      <c r="T375" s="1493" t="n">
        <v>-0.579</v>
      </c>
      <c r="U375" s="1494" t="n">
        <v>-1.979</v>
      </c>
      <c r="V375" s="1493" t="n">
        <v>-2.617</v>
      </c>
      <c r="W375" s="1493" t="n">
        <v>-0.594</v>
      </c>
      <c r="X375" s="1493" t="n">
        <v>-0.806</v>
      </c>
      <c r="Y375" s="1493" t="n">
        <v>-0.655</v>
      </c>
      <c r="Z375" s="1494" t="n">
        <v>-4.672</v>
      </c>
      <c r="AA375" s="1493" t="n">
        <v>-1.228</v>
      </c>
      <c r="AB375" s="1493" t="n">
        <v>-0.855</v>
      </c>
      <c r="AC375" s="1493" t="n">
        <v>-12.242</v>
      </c>
      <c r="AD375" s="1493" t="n">
        <v>-1.368</v>
      </c>
      <c r="AE375" s="1494" t="n">
        <v>-15.693</v>
      </c>
      <c r="AF375" s="1493" t="n">
        <v>-1.123</v>
      </c>
      <c r="AG375" s="1493" t="n">
        <v>-1.013</v>
      </c>
      <c r="AH375" s="1493" t="n">
        <v>-0.498</v>
      </c>
      <c r="AI375" s="1493" t="n">
        <v>1.356</v>
      </c>
      <c r="AJ375" s="1494" t="n">
        <v>-1.278</v>
      </c>
      <c r="AK375" s="1493" t="n">
        <v>-5.187</v>
      </c>
      <c r="AL375" s="1493" t="n">
        <v>2.042</v>
      </c>
      <c r="AM375" s="1493" t="n">
        <v>2.344</v>
      </c>
      <c r="AN375" s="1493" t="n">
        <v>-0.513</v>
      </c>
      <c r="AO375" s="1494" t="n">
        <v>-1.314</v>
      </c>
      <c r="AP375" s="1493" t="n">
        <v>8.010999999999999</v>
      </c>
      <c r="AQ375" s="1493" t="n">
        <v>-2.797</v>
      </c>
      <c r="AR375" s="1493" t="n">
        <v>-0.876</v>
      </c>
      <c r="AS375" s="1493" t="n">
        <v>-4.86</v>
      </c>
      <c r="AT375" s="1494" t="n">
        <v>-0.522</v>
      </c>
      <c r="AU375" s="1493" t="n">
        <v>-3.332</v>
      </c>
      <c r="AV375" s="1493" t="n">
        <v>-1.774</v>
      </c>
      <c r="AW375" s="1493" t="n">
        <v>0.8149999999999999</v>
      </c>
      <c r="AX375" s="1493" t="n">
        <v>-2.454</v>
      </c>
      <c r="AY375" s="1494" t="n">
        <v>-6.745</v>
      </c>
      <c r="AZ375" s="1493" t="n">
        <v>4.606</v>
      </c>
      <c r="BA375" s="1493" t="n">
        <v>7.61</v>
      </c>
      <c r="BB375" s="1493" t="n">
        <v>4.539</v>
      </c>
      <c r="BC375" s="1493" t="n">
        <v>-2.584</v>
      </c>
      <c r="BD375" s="1494" t="n">
        <v>14.171</v>
      </c>
      <c r="BE375" s="1493" t="n">
        <v>-3.273</v>
      </c>
      <c r="BF375" s="1493" t="n">
        <v>-2.508</v>
      </c>
      <c r="BG375" s="1493" t="n">
        <v>-11.755</v>
      </c>
      <c r="BH375" s="1493" t="n">
        <v>-27.966</v>
      </c>
      <c r="BI375" s="1494" t="n">
        <v>-45.502</v>
      </c>
      <c r="BJ375" s="1493" t="n">
        <v>-59.986</v>
      </c>
      <c r="BK375" s="1493" t="n">
        <v>-27.048</v>
      </c>
      <c r="BL375" s="1493" t="n">
        <v>11.582</v>
      </c>
      <c r="BM375" s="1493" t="n">
        <v>14.654</v>
      </c>
      <c r="BN375" s="1494" t="n">
        <v>-60.798</v>
      </c>
      <c r="BO375" s="1493" t="n">
        <v>3.332</v>
      </c>
      <c r="BP375" s="1493" t="n">
        <v>-46.248</v>
      </c>
      <c r="BQ375" s="1502" t="n">
        <v>8.741</v>
      </c>
      <c r="BR375" s="1361" t="n"/>
      <c r="BS375" s="1379" t="n"/>
      <c r="BT375" s="1361" t="n"/>
      <c r="BU375" s="1361" t="n"/>
      <c r="BV375" s="1361" t="n"/>
      <c r="BW375" s="1361" t="n"/>
      <c r="BX375" s="1379" t="n"/>
      <c r="BY375" s="1379" t="n"/>
      <c r="BZ375" s="1379" t="n"/>
      <c r="CA375" s="1379" t="n"/>
      <c r="CB375" s="1364" t="n"/>
    </row>
    <row r="376" hidden="1" outlineLevel="1" ht="14.4" customFormat="1" customHeight="1" s="1359">
      <c r="A376" s="1394" t="inlineStr">
        <is>
          <t>Other income or expense related foreign currency forward exchange contract associated with a pending acquisition</t>
        </is>
      </c>
      <c r="B376" s="1512" t="n"/>
      <c r="C376" s="1379" t="n"/>
      <c r="D376" s="1379" t="n"/>
      <c r="E376" s="1379" t="n"/>
      <c r="F376" s="1379" t="n"/>
      <c r="G376" s="1361" t="n"/>
      <c r="H376" s="1361" t="n"/>
      <c r="I376" s="1361" t="n"/>
      <c r="J376" s="1361" t="n"/>
      <c r="K376" s="1379" t="n"/>
      <c r="L376" s="1361" t="n"/>
      <c r="M376" s="1361" t="n"/>
      <c r="N376" s="1361" t="n"/>
      <c r="O376" s="1361" t="n"/>
      <c r="P376" s="1379" t="n"/>
      <c r="Q376" s="1361" t="n"/>
      <c r="R376" s="1361" t="n"/>
      <c r="S376" s="1361" t="n"/>
      <c r="T376" s="1361" t="n"/>
      <c r="U376" s="1379" t="n"/>
      <c r="V376" s="1361" t="n"/>
      <c r="W376" s="1361" t="n"/>
      <c r="X376" s="1361" t="n"/>
      <c r="Y376" s="1361" t="n"/>
      <c r="Z376" s="1379" t="n"/>
      <c r="AA376" s="1361" t="n"/>
      <c r="AB376" s="1361" t="n"/>
      <c r="AC376" s="1361" t="n"/>
      <c r="AD376" s="1361" t="n"/>
      <c r="AE376" s="1379" t="n"/>
      <c r="AF376" s="1361" t="n"/>
      <c r="AG376" s="1361" t="n"/>
      <c r="AH376" s="1361" t="n"/>
      <c r="AI376" s="1361" t="n"/>
      <c r="AJ376" s="1379" t="n"/>
      <c r="AK376" s="1361" t="n"/>
      <c r="AL376" s="1361" t="n"/>
      <c r="AM376" s="1361" t="n"/>
      <c r="AN376" s="1361" t="n"/>
      <c r="AO376" s="1379" t="n"/>
      <c r="AP376" s="1361" t="n"/>
      <c r="AQ376" s="1361" t="n"/>
      <c r="AR376" s="1361" t="n"/>
      <c r="AS376" s="1361" t="n"/>
      <c r="AT376" s="1379" t="n"/>
      <c r="AU376" s="1361" t="n"/>
      <c r="AV376" s="1361" t="n"/>
      <c r="AW376" s="1361" t="n"/>
      <c r="AX376" s="1361" t="n"/>
      <c r="AY376" s="1379" t="n"/>
      <c r="AZ376" s="1361" t="n"/>
      <c r="BA376" s="1361" t="n"/>
      <c r="BB376" s="1361" t="n"/>
      <c r="BC376" s="1361" t="n"/>
      <c r="BD376" s="1379" t="n"/>
      <c r="BE376" s="1361" t="n"/>
      <c r="BF376" s="1361" t="n"/>
      <c r="BG376" s="1361" t="n"/>
      <c r="BH376" s="1361" t="n"/>
      <c r="BI376" s="1379" t="n"/>
      <c r="BJ376" s="1361" t="n"/>
      <c r="BK376" s="1361" t="n"/>
      <c r="BL376" s="1361" t="n"/>
      <c r="BM376" s="1361" t="n"/>
      <c r="BN376" s="1379" t="n"/>
      <c r="BO376" s="1361" t="n"/>
      <c r="BP376" s="1361" t="n"/>
      <c r="BQ376" s="1502" t="n">
        <v>18.561</v>
      </c>
      <c r="BR376" s="1361" t="n"/>
      <c r="BS376" s="1379" t="n"/>
      <c r="BT376" s="1361" t="n"/>
      <c r="BU376" s="1361" t="n"/>
      <c r="BV376" s="1361" t="n"/>
      <c r="BW376" s="1361" t="n"/>
      <c r="BX376" s="1379" t="n"/>
      <c r="BY376" s="1379" t="n"/>
      <c r="BZ376" s="1379" t="n"/>
      <c r="CA376" s="1379" t="n"/>
      <c r="CB376" s="1364" t="n"/>
    </row>
    <row r="377" hidden="1" outlineLevel="1" ht="14.4" customFormat="1" customHeight="1" s="1359">
      <c r="A377" s="1394" t="inlineStr">
        <is>
          <t>Loss on extinguishment of debt</t>
        </is>
      </c>
      <c r="B377" s="1512" t="n"/>
      <c r="C377" s="1494" t="n">
        <v>0</v>
      </c>
      <c r="D377" s="1494" t="n">
        <v>5.705</v>
      </c>
      <c r="E377" s="1494" t="n">
        <v>0</v>
      </c>
      <c r="F377" s="1494" t="n">
        <v>0</v>
      </c>
      <c r="G377" s="1493" t="n">
        <v>0</v>
      </c>
      <c r="H377" s="1493" t="n">
        <v>0</v>
      </c>
      <c r="I377" s="1493" t="n">
        <v>0</v>
      </c>
      <c r="J377" s="1493" t="n">
        <v>0</v>
      </c>
      <c r="K377" s="1494" t="n">
        <v>0</v>
      </c>
      <c r="L377" s="1493" t="n">
        <v>0</v>
      </c>
      <c r="M377" s="1493" t="n">
        <v>0</v>
      </c>
      <c r="N377" s="1493" t="n">
        <v>0</v>
      </c>
      <c r="O377" s="1493" t="n">
        <v>0</v>
      </c>
      <c r="P377" s="1494" t="n">
        <v>0</v>
      </c>
      <c r="Q377" s="1493" t="n">
        <v>0</v>
      </c>
      <c r="R377" s="1493" t="n">
        <v>0</v>
      </c>
      <c r="S377" s="1493" t="n">
        <v>0</v>
      </c>
      <c r="T377" s="1493" t="n">
        <v>0</v>
      </c>
      <c r="U377" s="1494" t="n">
        <v>0</v>
      </c>
      <c r="V377" s="1493" t="n">
        <v>0</v>
      </c>
      <c r="W377" s="1361" t="n"/>
      <c r="X377" s="1361" t="n"/>
      <c r="Y377" s="1361" t="n"/>
      <c r="Z377" s="1379" t="n"/>
      <c r="AA377" s="1361" t="n"/>
      <c r="AB377" s="1361" t="n"/>
      <c r="AC377" s="1361" t="n"/>
      <c r="AD377" s="1361" t="n"/>
      <c r="AE377" s="1379" t="n"/>
      <c r="AF377" s="1361" t="n"/>
      <c r="AG377" s="1361" t="n"/>
      <c r="AH377" s="1361" t="n"/>
      <c r="AI377" s="1361" t="n"/>
      <c r="AJ377" s="1379" t="n"/>
      <c r="AK377" s="1361" t="n"/>
      <c r="AL377" s="1361" t="n"/>
      <c r="AM377" s="1361" t="n"/>
      <c r="AN377" s="1361" t="n"/>
      <c r="AO377" s="1379" t="n"/>
      <c r="AP377" s="1361" t="n"/>
      <c r="AQ377" s="1361" t="n"/>
      <c r="AR377" s="1361" t="n"/>
      <c r="AS377" s="1361" t="n"/>
      <c r="AT377" s="1379" t="n"/>
      <c r="AU377" s="1361" t="n"/>
      <c r="AV377" s="1361" t="n"/>
      <c r="AW377" s="1361" t="n"/>
      <c r="AX377" s="1361" t="n"/>
      <c r="AY377" s="1379" t="n"/>
      <c r="AZ377" s="1361" t="n"/>
      <c r="BA377" s="1361" t="n"/>
      <c r="BB377" s="1361" t="n"/>
      <c r="BC377" s="1361" t="n"/>
      <c r="BD377" s="1379" t="n"/>
      <c r="BE377" s="1361" t="n"/>
      <c r="BF377" s="1361" t="n"/>
      <c r="BG377" s="1361" t="n"/>
      <c r="BH377" s="1361" t="n"/>
      <c r="BI377" s="1379" t="n"/>
      <c r="BJ377" s="1361" t="n"/>
      <c r="BK377" s="1361" t="n"/>
      <c r="BL377" s="1361" t="n"/>
      <c r="BM377" s="1361" t="n"/>
      <c r="BN377" s="1379" t="n"/>
      <c r="BO377" s="1361" t="n"/>
      <c r="BP377" s="1361" t="n"/>
      <c r="BQ377" s="1363" t="n"/>
      <c r="BR377" s="1361" t="n"/>
      <c r="BS377" s="1379" t="n"/>
      <c r="BT377" s="1361" t="n"/>
      <c r="BU377" s="1361" t="n"/>
      <c r="BV377" s="1361" t="n"/>
      <c r="BW377" s="1361" t="n"/>
      <c r="BX377" s="1379" t="n"/>
      <c r="BY377" s="1379" t="n"/>
      <c r="BZ377" s="1379" t="n"/>
      <c r="CA377" s="1379" t="n"/>
      <c r="CB377" s="1364" t="n"/>
    </row>
    <row r="378" hidden="1" outlineLevel="1" ht="14.4" customFormat="1" customHeight="1" s="1359">
      <c r="A378" s="1394" t="inlineStr">
        <is>
          <t>Loss related to contingent liability</t>
        </is>
      </c>
      <c r="B378" s="1512" t="n"/>
      <c r="C378" s="1379" t="n"/>
      <c r="D378" s="1379" t="n"/>
      <c r="E378" s="1379" t="n"/>
      <c r="F378" s="1379" t="n"/>
      <c r="G378" s="1361" t="n"/>
      <c r="H378" s="1361" t="n"/>
      <c r="I378" s="1361" t="n"/>
      <c r="J378" s="1361" t="n"/>
      <c r="K378" s="1379" t="n"/>
      <c r="L378" s="1361" t="n"/>
      <c r="M378" s="1361" t="n"/>
      <c r="N378" s="1361" t="n"/>
      <c r="O378" s="1361" t="n"/>
      <c r="P378" s="1379" t="n"/>
      <c r="Q378" s="1361" t="n"/>
      <c r="R378" s="1361" t="n"/>
      <c r="S378" s="1361" t="n"/>
      <c r="T378" s="1361" t="n"/>
      <c r="U378" s="1379" t="n"/>
      <c r="V378" s="1361" t="n"/>
      <c r="W378" s="1361" t="n"/>
      <c r="X378" s="1361" t="n"/>
      <c r="Y378" s="1361" t="n"/>
      <c r="Z378" s="1379" t="n"/>
      <c r="AA378" s="1361" t="n"/>
      <c r="AB378" s="1361" t="n"/>
      <c r="AC378" s="1361" t="n"/>
      <c r="AD378" s="1361" t="n"/>
      <c r="AE378" s="1379" t="n"/>
      <c r="AF378" s="1361" t="n"/>
      <c r="AG378" s="1361" t="n"/>
      <c r="AH378" s="1361" t="n"/>
      <c r="AI378" s="1361" t="n"/>
      <c r="AJ378" s="1379" t="n"/>
      <c r="AK378" s="1361" t="n"/>
      <c r="AL378" s="1361" t="n"/>
      <c r="AM378" s="1361" t="n"/>
      <c r="AN378" s="1361" t="n"/>
      <c r="AO378" s="1379" t="n"/>
      <c r="AP378" s="1361" t="n"/>
      <c r="AQ378" s="1361" t="n"/>
      <c r="AR378" s="1361" t="n"/>
      <c r="AS378" s="1361" t="n"/>
      <c r="AT378" s="1379" t="n"/>
      <c r="AU378" s="1361" t="n"/>
      <c r="AV378" s="1361" t="n"/>
      <c r="AW378" s="1361" t="n"/>
      <c r="AX378" s="1361" t="n"/>
      <c r="AY378" s="1379" t="n"/>
      <c r="AZ378" s="1361" t="n"/>
      <c r="BA378" s="1361" t="n"/>
      <c r="BB378" s="1361" t="n"/>
      <c r="BC378" s="1361" t="n"/>
      <c r="BD378" s="1379" t="n"/>
      <c r="BE378" s="1361" t="n"/>
      <c r="BF378" s="1361" t="n"/>
      <c r="BG378" s="1361" t="n"/>
      <c r="BH378" s="1361" t="n"/>
      <c r="BI378" s="1379" t="n"/>
      <c r="BJ378" s="1361" t="n"/>
      <c r="BK378" s="1361" t="n"/>
      <c r="BL378" s="1361" t="n"/>
      <c r="BM378" s="1361" t="n"/>
      <c r="BN378" s="1379" t="n"/>
      <c r="BO378" s="1361" t="n"/>
      <c r="BP378" s="1493" t="n">
        <v>128.545</v>
      </c>
      <c r="BQ378" s="1363" t="n"/>
      <c r="BR378" s="1361" t="n"/>
      <c r="BS378" s="1379" t="n"/>
      <c r="BT378" s="1361" t="n"/>
      <c r="BU378" s="1361" t="n"/>
      <c r="BV378" s="1361" t="n"/>
      <c r="BW378" s="1361" t="n"/>
      <c r="BX378" s="1379" t="n"/>
      <c r="BY378" s="1379" t="n"/>
      <c r="BZ378" s="1379" t="n"/>
      <c r="CA378" s="1379" t="n"/>
      <c r="CB378" s="1364" t="n"/>
    </row>
    <row r="379" hidden="1" outlineLevel="1" ht="14.4" customFormat="1" customHeight="1" s="1359">
      <c r="A379" s="1394" t="inlineStr">
        <is>
          <t>Income tax benefit of valuation allowance release</t>
        </is>
      </c>
      <c r="B379" s="1512" t="n"/>
      <c r="C379" s="1494" t="n">
        <v>0</v>
      </c>
      <c r="D379" s="1494" t="n">
        <v>0</v>
      </c>
      <c r="E379" s="1494" t="n">
        <v>0</v>
      </c>
      <c r="F379" s="1494" t="n">
        <v>-219.601</v>
      </c>
      <c r="G379" s="1493" t="n">
        <v>0</v>
      </c>
      <c r="H379" s="1493" t="n">
        <v>0</v>
      </c>
      <c r="I379" s="1493" t="n">
        <v>0</v>
      </c>
      <c r="J379" s="1493" t="n">
        <v>0</v>
      </c>
      <c r="K379" s="1494" t="n">
        <v>0</v>
      </c>
      <c r="L379" s="1493" t="n">
        <v>0</v>
      </c>
      <c r="M379" s="1493" t="n">
        <v>0</v>
      </c>
      <c r="N379" s="1493" t="n">
        <v>0</v>
      </c>
      <c r="O379" s="1493" t="n">
        <v>0</v>
      </c>
      <c r="P379" s="1494" t="n">
        <v>0</v>
      </c>
      <c r="Q379" s="1493" t="n">
        <v>0</v>
      </c>
      <c r="R379" s="1493" t="n">
        <v>0</v>
      </c>
      <c r="S379" s="1493" t="n">
        <v>0</v>
      </c>
      <c r="T379" s="1493" t="n">
        <v>0</v>
      </c>
      <c r="U379" s="1494" t="n">
        <v>0</v>
      </c>
      <c r="V379" s="1493" t="n">
        <v>0</v>
      </c>
      <c r="W379" s="1361" t="n"/>
      <c r="X379" s="1361" t="n"/>
      <c r="Y379" s="1361" t="n"/>
      <c r="Z379" s="1379" t="n"/>
      <c r="AA379" s="1361" t="n"/>
      <c r="AB379" s="1361" t="n"/>
      <c r="AC379" s="1361" t="n"/>
      <c r="AD379" s="1361" t="n"/>
      <c r="AE379" s="1379" t="n"/>
      <c r="AF379" s="1361" t="n"/>
      <c r="AG379" s="1361" t="n"/>
      <c r="AH379" s="1361" t="n"/>
      <c r="AI379" s="1361" t="n"/>
      <c r="AJ379" s="1379" t="n"/>
      <c r="AK379" s="1361" t="n"/>
      <c r="AL379" s="1361" t="n"/>
      <c r="AM379" s="1361" t="n"/>
      <c r="AN379" s="1361" t="n"/>
      <c r="AO379" s="1379" t="n"/>
      <c r="AP379" s="1361" t="n"/>
      <c r="AQ379" s="1361" t="n"/>
      <c r="AR379" s="1361" t="n"/>
      <c r="AS379" s="1361" t="n"/>
      <c r="AT379" s="1379" t="n"/>
      <c r="AU379" s="1361" t="n"/>
      <c r="AV379" s="1361" t="n"/>
      <c r="AW379" s="1361" t="n"/>
      <c r="AX379" s="1361" t="n"/>
      <c r="AY379" s="1379" t="n"/>
      <c r="AZ379" s="1361" t="n"/>
      <c r="BA379" s="1361" t="n"/>
      <c r="BB379" s="1361" t="n"/>
      <c r="BC379" s="1361" t="n"/>
      <c r="BD379" s="1379" t="n"/>
      <c r="BE379" s="1361" t="n"/>
      <c r="BF379" s="1361" t="n"/>
      <c r="BG379" s="1361" t="n"/>
      <c r="BH379" s="1361" t="n"/>
      <c r="BI379" s="1379" t="n"/>
      <c r="BJ379" s="1361" t="n"/>
      <c r="BK379" s="1361" t="n"/>
      <c r="BL379" s="1361" t="n"/>
      <c r="BM379" s="1361" t="n"/>
      <c r="BN379" s="1379" t="n"/>
      <c r="BO379" s="1361" t="n"/>
      <c r="BP379" s="1361" t="n"/>
      <c r="BQ379" s="1363" t="n"/>
      <c r="BR379" s="1361" t="n"/>
      <c r="BS379" s="1379" t="n"/>
      <c r="BT379" s="1361" t="n"/>
      <c r="BU379" s="1361" t="n"/>
      <c r="BV379" s="1361" t="n"/>
      <c r="BW379" s="1361" t="n"/>
      <c r="BX379" s="1379" t="n"/>
      <c r="BY379" s="1379" t="n"/>
      <c r="BZ379" s="1379" t="n"/>
      <c r="CA379" s="1379" t="n"/>
      <c r="CB379" s="1364" t="n"/>
    </row>
    <row r="380" hidden="1" outlineLevel="1" ht="14.4" customFormat="1" customHeight="1" s="1359">
      <c r="A380" s="1394" t="inlineStr">
        <is>
          <t>Income tax benefit of State of California settlement</t>
        </is>
      </c>
      <c r="B380" s="1512" t="n"/>
      <c r="C380" s="1494" t="n">
        <v>0</v>
      </c>
      <c r="D380" s="1494" t="n">
        <v>0</v>
      </c>
      <c r="E380" s="1494" t="n">
        <v>0</v>
      </c>
      <c r="F380" s="1494" t="n">
        <v>-36.564</v>
      </c>
      <c r="G380" s="1493" t="n">
        <v>0</v>
      </c>
      <c r="H380" s="1493" t="n">
        <v>0</v>
      </c>
      <c r="I380" s="1493" t="n">
        <v>0</v>
      </c>
      <c r="J380" s="1493" t="n">
        <v>0</v>
      </c>
      <c r="K380" s="1494" t="n">
        <v>0</v>
      </c>
      <c r="L380" s="1493" t="n">
        <v>0</v>
      </c>
      <c r="M380" s="1493" t="n">
        <v>0</v>
      </c>
      <c r="N380" s="1493" t="n">
        <v>0</v>
      </c>
      <c r="O380" s="1493" t="n">
        <v>0</v>
      </c>
      <c r="P380" s="1494" t="n">
        <v>0</v>
      </c>
      <c r="Q380" s="1493" t="n">
        <v>0</v>
      </c>
      <c r="R380" s="1493" t="n">
        <v>0</v>
      </c>
      <c r="S380" s="1493" t="n">
        <v>0</v>
      </c>
      <c r="T380" s="1493" t="n">
        <v>0</v>
      </c>
      <c r="U380" s="1494" t="n">
        <v>0</v>
      </c>
      <c r="V380" s="1493" t="n">
        <v>0</v>
      </c>
      <c r="W380" s="1361" t="n"/>
      <c r="X380" s="1361" t="n"/>
      <c r="Y380" s="1361" t="n"/>
      <c r="Z380" s="1379" t="n"/>
      <c r="AA380" s="1361" t="n"/>
      <c r="AB380" s="1361" t="n"/>
      <c r="AC380" s="1361" t="n"/>
      <c r="AD380" s="1361" t="n"/>
      <c r="AE380" s="1379" t="n"/>
      <c r="AF380" s="1361" t="n"/>
      <c r="AG380" s="1361" t="n"/>
      <c r="AH380" s="1361" t="n"/>
      <c r="AI380" s="1361" t="n"/>
      <c r="AJ380" s="1379" t="n"/>
      <c r="AK380" s="1361" t="n"/>
      <c r="AL380" s="1361" t="n"/>
      <c r="AM380" s="1361" t="n"/>
      <c r="AN380" s="1361" t="n"/>
      <c r="AO380" s="1379" t="n"/>
      <c r="AP380" s="1361" t="n"/>
      <c r="AQ380" s="1361" t="n"/>
      <c r="AR380" s="1361" t="n"/>
      <c r="AS380" s="1361" t="n"/>
      <c r="AT380" s="1379" t="n"/>
      <c r="AU380" s="1361" t="n"/>
      <c r="AV380" s="1361" t="n"/>
      <c r="AW380" s="1361" t="n"/>
      <c r="AX380" s="1361" t="n"/>
      <c r="AY380" s="1379" t="n"/>
      <c r="AZ380" s="1361" t="n"/>
      <c r="BA380" s="1361" t="n"/>
      <c r="BB380" s="1361" t="n"/>
      <c r="BC380" s="1361" t="n"/>
      <c r="BD380" s="1379" t="n"/>
      <c r="BE380" s="1361" t="n"/>
      <c r="BF380" s="1361" t="n"/>
      <c r="BG380" s="1361" t="n"/>
      <c r="BH380" s="1361" t="n"/>
      <c r="BI380" s="1379" t="n"/>
      <c r="BJ380" s="1361" t="n"/>
      <c r="BK380" s="1361" t="n"/>
      <c r="BL380" s="1361" t="n"/>
      <c r="BM380" s="1361" t="n"/>
      <c r="BN380" s="1379" t="n"/>
      <c r="BO380" s="1361" t="n"/>
      <c r="BP380" s="1361" t="n"/>
      <c r="BQ380" s="1363" t="n"/>
      <c r="BR380" s="1361" t="n"/>
      <c r="BS380" s="1379" t="n"/>
      <c r="BT380" s="1361" t="n"/>
      <c r="BU380" s="1361" t="n"/>
      <c r="BV380" s="1361" t="n"/>
      <c r="BW380" s="1361" t="n"/>
      <c r="BX380" s="1379" t="n"/>
      <c r="BY380" s="1379" t="n"/>
      <c r="BZ380" s="1379" t="n"/>
      <c r="CA380" s="1379" t="n"/>
      <c r="CB380" s="1364" t="n"/>
    </row>
    <row r="381" hidden="1" outlineLevel="1" ht="14.4" customFormat="1" customHeight="1" s="1359">
      <c r="A381" s="1394" t="inlineStr">
        <is>
          <t>Acquisition-related income tax benefit</t>
        </is>
      </c>
      <c r="B381" s="1512" t="n"/>
      <c r="C381" s="1494" t="n">
        <v>0</v>
      </c>
      <c r="D381" s="1494" t="n">
        <v>-66.70699999999999</v>
      </c>
      <c r="E381" s="1494" t="n">
        <v>-5.021</v>
      </c>
      <c r="F381" s="1494" t="n">
        <v>-14.806</v>
      </c>
      <c r="G381" s="1493" t="n">
        <v>0</v>
      </c>
      <c r="H381" s="1493" t="n">
        <v>0</v>
      </c>
      <c r="I381" s="1493" t="n">
        <v>0</v>
      </c>
      <c r="J381" s="1493" t="n">
        <v>0</v>
      </c>
      <c r="K381" s="1494" t="n">
        <v>0</v>
      </c>
      <c r="L381" s="1493" t="n">
        <v>0</v>
      </c>
      <c r="M381" s="1493" t="n">
        <v>0</v>
      </c>
      <c r="N381" s="1493" t="n">
        <v>0</v>
      </c>
      <c r="O381" s="1493" t="n">
        <v>0</v>
      </c>
      <c r="P381" s="1494" t="n">
        <v>0</v>
      </c>
      <c r="Q381" s="1493" t="n">
        <v>0</v>
      </c>
      <c r="R381" s="1493" t="n">
        <v>0</v>
      </c>
      <c r="S381" s="1493" t="n">
        <v>0</v>
      </c>
      <c r="T381" s="1493" t="n">
        <v>0</v>
      </c>
      <c r="U381" s="1494" t="n">
        <v>0</v>
      </c>
      <c r="V381" s="1493" t="n">
        <v>0</v>
      </c>
      <c r="W381" s="1361" t="n"/>
      <c r="X381" s="1361" t="n"/>
      <c r="Y381" s="1361" t="n"/>
      <c r="Z381" s="1379" t="n"/>
      <c r="AA381" s="1361" t="n"/>
      <c r="AB381" s="1361" t="n"/>
      <c r="AC381" s="1361" t="n"/>
      <c r="AD381" s="1361" t="n"/>
      <c r="AE381" s="1379" t="n"/>
      <c r="AF381" s="1361" t="n"/>
      <c r="AG381" s="1361" t="n"/>
      <c r="AH381" s="1361" t="n"/>
      <c r="AI381" s="1361" t="n"/>
      <c r="AJ381" s="1379" t="n"/>
      <c r="AK381" s="1361" t="n"/>
      <c r="AL381" s="1361" t="n"/>
      <c r="AM381" s="1361" t="n"/>
      <c r="AN381" s="1361" t="n"/>
      <c r="AO381" s="1379" t="n"/>
      <c r="AP381" s="1361" t="n"/>
      <c r="AQ381" s="1361" t="n"/>
      <c r="AR381" s="1361" t="n"/>
      <c r="AS381" s="1361" t="n"/>
      <c r="AT381" s="1379" t="n"/>
      <c r="AU381" s="1361" t="n"/>
      <c r="AV381" s="1361" t="n"/>
      <c r="AW381" s="1361" t="n"/>
      <c r="AX381" s="1361" t="n"/>
      <c r="AY381" s="1379" t="n"/>
      <c r="AZ381" s="1361" t="n"/>
      <c r="BA381" s="1361" t="n"/>
      <c r="BB381" s="1361" t="n"/>
      <c r="BC381" s="1361" t="n"/>
      <c r="BD381" s="1379" t="n"/>
      <c r="BE381" s="1361" t="n"/>
      <c r="BF381" s="1361" t="n"/>
      <c r="BG381" s="1361" t="n"/>
      <c r="BH381" s="1361" t="n"/>
      <c r="BI381" s="1379" t="n"/>
      <c r="BJ381" s="1361" t="n"/>
      <c r="BK381" s="1361" t="n"/>
      <c r="BL381" s="1361" t="n"/>
      <c r="BM381" s="1361" t="n"/>
      <c r="BN381" s="1379" t="n"/>
      <c r="BO381" s="1361" t="n"/>
      <c r="BP381" s="1361" t="n"/>
      <c r="BQ381" s="1363" t="n"/>
      <c r="BR381" s="1361" t="n"/>
      <c r="BS381" s="1379" t="n"/>
      <c r="BT381" s="1361" t="n"/>
      <c r="BU381" s="1361" t="n"/>
      <c r="BV381" s="1361" t="n"/>
      <c r="BW381" s="1361" t="n"/>
      <c r="BX381" s="1379" t="n"/>
      <c r="BY381" s="1379" t="n"/>
      <c r="BZ381" s="1379" t="n"/>
      <c r="CA381" s="1379" t="n"/>
      <c r="CB381" s="1364" t="n"/>
    </row>
    <row r="382" hidden="1" outlineLevel="1" ht="14.4" customFormat="1" customHeight="1" s="1359">
      <c r="A382" s="1394" t="inlineStr">
        <is>
          <t>Income tax benefit of IRS settlement</t>
        </is>
      </c>
      <c r="B382" s="1512" t="n"/>
      <c r="C382" s="1494" t="n">
        <v>0</v>
      </c>
      <c r="D382" s="1494" t="n">
        <v>-148.302</v>
      </c>
      <c r="E382" s="1494" t="n">
        <v>0</v>
      </c>
      <c r="F382" s="1494" t="n">
        <v>0</v>
      </c>
      <c r="G382" s="1493" t="n">
        <v>0</v>
      </c>
      <c r="H382" s="1493" t="n">
        <v>0</v>
      </c>
      <c r="I382" s="1493" t="n">
        <v>0</v>
      </c>
      <c r="J382" s="1493" t="n">
        <v>0</v>
      </c>
      <c r="K382" s="1494" t="n">
        <v>0</v>
      </c>
      <c r="L382" s="1493" t="n">
        <v>0</v>
      </c>
      <c r="M382" s="1493" t="n">
        <v>0</v>
      </c>
      <c r="N382" s="1493" t="n">
        <v>0</v>
      </c>
      <c r="O382" s="1493" t="n">
        <v>0</v>
      </c>
      <c r="P382" s="1494" t="n">
        <v>0</v>
      </c>
      <c r="Q382" s="1493" t="n">
        <v>0</v>
      </c>
      <c r="R382" s="1493" t="n">
        <v>0</v>
      </c>
      <c r="S382" s="1493" t="n">
        <v>0</v>
      </c>
      <c r="T382" s="1493" t="n">
        <v>0</v>
      </c>
      <c r="U382" s="1494" t="n">
        <v>0</v>
      </c>
      <c r="V382" s="1493" t="n">
        <v>0</v>
      </c>
      <c r="W382" s="1361" t="n"/>
      <c r="X382" s="1361" t="n"/>
      <c r="Y382" s="1361" t="n"/>
      <c r="Z382" s="1379" t="n"/>
      <c r="AA382" s="1361" t="n"/>
      <c r="AB382" s="1361" t="n"/>
      <c r="AC382" s="1361" t="n"/>
      <c r="AD382" s="1361" t="n"/>
      <c r="AE382" s="1379" t="n"/>
      <c r="AF382" s="1361" t="n"/>
      <c r="AG382" s="1361" t="n"/>
      <c r="AH382" s="1361" t="n"/>
      <c r="AI382" s="1361" t="n"/>
      <c r="AJ382" s="1379" t="n"/>
      <c r="AK382" s="1361" t="n"/>
      <c r="AL382" s="1361" t="n"/>
      <c r="AM382" s="1361" t="n"/>
      <c r="AN382" s="1361" t="n"/>
      <c r="AO382" s="1379" t="n"/>
      <c r="AP382" s="1361" t="n"/>
      <c r="AQ382" s="1361" t="n"/>
      <c r="AR382" s="1361" t="n"/>
      <c r="AS382" s="1361" t="n"/>
      <c r="AT382" s="1379" t="n"/>
      <c r="AU382" s="1361" t="n"/>
      <c r="AV382" s="1361" t="n"/>
      <c r="AW382" s="1361" t="n"/>
      <c r="AX382" s="1361" t="n"/>
      <c r="AY382" s="1379" t="n"/>
      <c r="AZ382" s="1361" t="n"/>
      <c r="BA382" s="1361" t="n"/>
      <c r="BB382" s="1361" t="n"/>
      <c r="BC382" s="1361" t="n"/>
      <c r="BD382" s="1379" t="n"/>
      <c r="BE382" s="1361" t="n"/>
      <c r="BF382" s="1361" t="n"/>
      <c r="BG382" s="1361" t="n"/>
      <c r="BH382" s="1361" t="n"/>
      <c r="BI382" s="1379" t="n"/>
      <c r="BJ382" s="1361" t="n"/>
      <c r="BK382" s="1361" t="n"/>
      <c r="BL382" s="1361" t="n"/>
      <c r="BM382" s="1361" t="n"/>
      <c r="BN382" s="1379" t="n"/>
      <c r="BO382" s="1361" t="n"/>
      <c r="BP382" s="1361" t="n"/>
      <c r="BQ382" s="1363" t="n"/>
      <c r="BR382" s="1361" t="n"/>
      <c r="BS382" s="1379" t="n"/>
      <c r="BT382" s="1361" t="n"/>
      <c r="BU382" s="1361" t="n"/>
      <c r="BV382" s="1361" t="n"/>
      <c r="BW382" s="1361" t="n"/>
      <c r="BX382" s="1379" t="n"/>
      <c r="BY382" s="1379" t="n"/>
      <c r="BZ382" s="1379" t="n"/>
      <c r="CA382" s="1379" t="n"/>
      <c r="CB382" s="1364" t="n"/>
    </row>
    <row r="383" hidden="1" outlineLevel="1" ht="14.4" customFormat="1" customHeight="1" s="1359">
      <c r="A383" s="1394" t="inlineStr">
        <is>
          <t>Income tax benefit due to a release of an uncertain tax position</t>
        </is>
      </c>
      <c r="B383" s="1512" t="n"/>
      <c r="C383" s="1494" t="n">
        <v>0</v>
      </c>
      <c r="D383" s="1494" t="n">
        <v>0</v>
      </c>
      <c r="E383" s="1494" t="n">
        <v>0</v>
      </c>
      <c r="F383" s="1494" t="n">
        <v>0</v>
      </c>
      <c r="G383" s="1493" t="n">
        <v>-33.719</v>
      </c>
      <c r="H383" s="1493" t="n">
        <v>0</v>
      </c>
      <c r="I383" s="1493" t="n">
        <v>0</v>
      </c>
      <c r="J383" s="1493" t="n">
        <v>0</v>
      </c>
      <c r="K383" s="1494" t="n">
        <v>-33.719</v>
      </c>
      <c r="L383" s="1493" t="n">
        <v>0</v>
      </c>
      <c r="M383" s="1493" t="n">
        <v>0</v>
      </c>
      <c r="N383" s="1493" t="n">
        <v>0</v>
      </c>
      <c r="O383" s="1493" t="n">
        <v>0</v>
      </c>
      <c r="P383" s="1494" t="n">
        <v>0</v>
      </c>
      <c r="Q383" s="1493" t="n">
        <v>0</v>
      </c>
      <c r="R383" s="1493" t="n">
        <v>0</v>
      </c>
      <c r="S383" s="1493" t="n">
        <v>0</v>
      </c>
      <c r="T383" s="1493" t="n">
        <v>0</v>
      </c>
      <c r="U383" s="1494" t="n">
        <v>0</v>
      </c>
      <c r="V383" s="1493" t="n">
        <v>0</v>
      </c>
      <c r="W383" s="1361" t="n"/>
      <c r="X383" s="1361" t="n"/>
      <c r="Y383" s="1361" t="n"/>
      <c r="Z383" s="1379" t="n"/>
      <c r="AA383" s="1361" t="n"/>
      <c r="AB383" s="1361" t="n"/>
      <c r="AC383" s="1361" t="n"/>
      <c r="AD383" s="1361" t="n"/>
      <c r="AE383" s="1379" t="n"/>
      <c r="AF383" s="1361" t="n"/>
      <c r="AG383" s="1361" t="n"/>
      <c r="AH383" s="1361" t="n"/>
      <c r="AI383" s="1361" t="n"/>
      <c r="AJ383" s="1379" t="n"/>
      <c r="AK383" s="1361" t="n"/>
      <c r="AL383" s="1361" t="n"/>
      <c r="AM383" s="1361" t="n"/>
      <c r="AN383" s="1361" t="n"/>
      <c r="AO383" s="1379" t="n"/>
      <c r="AP383" s="1361" t="n"/>
      <c r="AQ383" s="1361" t="n"/>
      <c r="AR383" s="1361" t="n"/>
      <c r="AS383" s="1361" t="n"/>
      <c r="AT383" s="1379" t="n"/>
      <c r="AU383" s="1361" t="n"/>
      <c r="AV383" s="1361" t="n"/>
      <c r="AW383" s="1361" t="n"/>
      <c r="AX383" s="1361" t="n"/>
      <c r="AY383" s="1379" t="n"/>
      <c r="AZ383" s="1361" t="n"/>
      <c r="BA383" s="1361" t="n"/>
      <c r="BB383" s="1361" t="n"/>
      <c r="BC383" s="1361" t="n"/>
      <c r="BD383" s="1379" t="n"/>
      <c r="BE383" s="1361" t="n"/>
      <c r="BF383" s="1361" t="n"/>
      <c r="BG383" s="1361" t="n"/>
      <c r="BH383" s="1361" t="n"/>
      <c r="BI383" s="1379" t="n"/>
      <c r="BJ383" s="1361" t="n"/>
      <c r="BK383" s="1361" t="n"/>
      <c r="BL383" s="1361" t="n"/>
      <c r="BM383" s="1361" t="n"/>
      <c r="BN383" s="1379" t="n"/>
      <c r="BO383" s="1361" t="n"/>
      <c r="BP383" s="1361" t="n"/>
      <c r="BQ383" s="1363" t="n"/>
      <c r="BR383" s="1361" t="n"/>
      <c r="BS383" s="1379" t="n"/>
      <c r="BT383" s="1361" t="n"/>
      <c r="BU383" s="1361" t="n"/>
      <c r="BV383" s="1361" t="n"/>
      <c r="BW383" s="1361" t="n"/>
      <c r="BX383" s="1379" t="n"/>
      <c r="BY383" s="1379" t="n"/>
      <c r="BZ383" s="1379" t="n"/>
      <c r="CA383" s="1379" t="n"/>
      <c r="CB383" s="1364" t="n"/>
    </row>
    <row r="384" hidden="1" outlineLevel="1" ht="14.4" customFormat="1" customHeight="1" s="1359">
      <c r="A384" s="1394" t="inlineStr">
        <is>
          <t>Income tax effect of the increase in United States net operating loss carry back period</t>
        </is>
      </c>
      <c r="B384" s="1512" t="n"/>
      <c r="C384" s="1494" t="n">
        <v>-14.825</v>
      </c>
      <c r="D384" s="1494" t="n">
        <v>0</v>
      </c>
      <c r="E384" s="1494" t="n">
        <v>0</v>
      </c>
      <c r="F384" s="1494" t="n">
        <v>0</v>
      </c>
      <c r="G384" s="1493" t="n">
        <v>0</v>
      </c>
      <c r="H384" s="1493" t="n">
        <v>0</v>
      </c>
      <c r="I384" s="1493" t="n">
        <v>0</v>
      </c>
      <c r="J384" s="1493" t="n">
        <v>0</v>
      </c>
      <c r="K384" s="1494" t="n">
        <v>0</v>
      </c>
      <c r="L384" s="1493" t="n">
        <v>0</v>
      </c>
      <c r="M384" s="1493" t="n">
        <v>0</v>
      </c>
      <c r="N384" s="1493" t="n">
        <v>0</v>
      </c>
      <c r="O384" s="1493" t="n">
        <v>0</v>
      </c>
      <c r="P384" s="1494" t="n">
        <v>0</v>
      </c>
      <c r="Q384" s="1493" t="n">
        <v>0</v>
      </c>
      <c r="R384" s="1493" t="n">
        <v>0</v>
      </c>
      <c r="S384" s="1493" t="n">
        <v>0</v>
      </c>
      <c r="T384" s="1493" t="n">
        <v>0</v>
      </c>
      <c r="U384" s="1494" t="n">
        <v>0</v>
      </c>
      <c r="V384" s="1493" t="n">
        <v>0</v>
      </c>
      <c r="W384" s="1361" t="n"/>
      <c r="X384" s="1361" t="n"/>
      <c r="Y384" s="1361" t="n"/>
      <c r="Z384" s="1379" t="n"/>
      <c r="AA384" s="1361" t="n"/>
      <c r="AB384" s="1361" t="n"/>
      <c r="AC384" s="1361" t="n"/>
      <c r="AD384" s="1361" t="n"/>
      <c r="AE384" s="1379" t="n"/>
      <c r="AF384" s="1361" t="n"/>
      <c r="AG384" s="1361" t="n"/>
      <c r="AH384" s="1361" t="n"/>
      <c r="AI384" s="1361" t="n"/>
      <c r="AJ384" s="1379" t="n"/>
      <c r="AK384" s="1361" t="n"/>
      <c r="AL384" s="1361" t="n"/>
      <c r="AM384" s="1361" t="n"/>
      <c r="AN384" s="1361" t="n"/>
      <c r="AO384" s="1379" t="n"/>
      <c r="AP384" s="1361" t="n"/>
      <c r="AQ384" s="1361" t="n"/>
      <c r="AR384" s="1361" t="n"/>
      <c r="AS384" s="1361" t="n"/>
      <c r="AT384" s="1379" t="n"/>
      <c r="AU384" s="1361" t="n"/>
      <c r="AV384" s="1361" t="n"/>
      <c r="AW384" s="1361" t="n"/>
      <c r="AX384" s="1361" t="n"/>
      <c r="AY384" s="1379" t="n"/>
      <c r="AZ384" s="1361" t="n"/>
      <c r="BA384" s="1361" t="n"/>
      <c r="BB384" s="1361" t="n"/>
      <c r="BC384" s="1361" t="n"/>
      <c r="BD384" s="1379" t="n"/>
      <c r="BE384" s="1361" t="n"/>
      <c r="BF384" s="1361" t="n"/>
      <c r="BG384" s="1361" t="n"/>
      <c r="BH384" s="1361" t="n"/>
      <c r="BI384" s="1379" t="n"/>
      <c r="BJ384" s="1361" t="n"/>
      <c r="BK384" s="1361" t="n"/>
      <c r="BL384" s="1361" t="n"/>
      <c r="BM384" s="1361" t="n"/>
      <c r="BN384" s="1379" t="n"/>
      <c r="BO384" s="1361" t="n"/>
      <c r="BP384" s="1361" t="n"/>
      <c r="BQ384" s="1363" t="n"/>
      <c r="BR384" s="1361" t="n"/>
      <c r="BS384" s="1379" t="n"/>
      <c r="BT384" s="1361" t="n"/>
      <c r="BU384" s="1361" t="n"/>
      <c r="BV384" s="1361" t="n"/>
      <c r="BW384" s="1361" t="n"/>
      <c r="BX384" s="1379" t="n"/>
      <c r="BY384" s="1379" t="n"/>
      <c r="BZ384" s="1379" t="n"/>
      <c r="CA384" s="1379" t="n"/>
      <c r="CB384" s="1364" t="n"/>
    </row>
    <row r="385" hidden="1" outlineLevel="1" ht="14.4" customFormat="1" customHeight="1" s="1359">
      <c r="A385" s="1394" t="inlineStr">
        <is>
          <t>Income tax related to transition tax</t>
        </is>
      </c>
      <c r="B385" s="1512" t="n"/>
      <c r="C385" s="1379" t="n"/>
      <c r="D385" s="1379" t="n"/>
      <c r="E385" s="1379" t="n"/>
      <c r="F385" s="1379" t="n"/>
      <c r="G385" s="1361" t="n"/>
      <c r="H385" s="1361" t="n"/>
      <c r="I385" s="1361" t="n"/>
      <c r="J385" s="1361" t="n"/>
      <c r="K385" s="1379" t="n"/>
      <c r="L385" s="1361" t="n"/>
      <c r="M385" s="1361" t="n"/>
      <c r="N385" s="1361" t="n"/>
      <c r="O385" s="1361" t="n"/>
      <c r="P385" s="1379" t="n"/>
      <c r="Q385" s="1361" t="n"/>
      <c r="R385" s="1361" t="n"/>
      <c r="S385" s="1361" t="n"/>
      <c r="T385" s="1361" t="n"/>
      <c r="U385" s="1379" t="n"/>
      <c r="V385" s="1361" t="n"/>
      <c r="W385" s="1361" t="n"/>
      <c r="X385" s="1361" t="n"/>
      <c r="Y385" s="1361" t="n"/>
      <c r="Z385" s="1379" t="n"/>
      <c r="AA385" s="1361" t="n"/>
      <c r="AB385" s="1361" t="n"/>
      <c r="AC385" s="1361" t="n"/>
      <c r="AD385" s="1493" t="n">
        <v>67.188</v>
      </c>
      <c r="AE385" s="1494" t="n">
        <v>67.188</v>
      </c>
      <c r="AF385" s="1361" t="n"/>
      <c r="AG385" s="1361" t="n"/>
      <c r="AH385" s="1361" t="n"/>
      <c r="AI385" s="1361" t="n"/>
      <c r="AJ385" s="1379" t="n"/>
      <c r="AK385" s="1361" t="n"/>
      <c r="AL385" s="1361" t="n"/>
      <c r="AM385" s="1361" t="n"/>
      <c r="AN385" s="1361" t="n"/>
      <c r="AO385" s="1379" t="n"/>
      <c r="AP385" s="1361" t="n"/>
      <c r="AQ385" s="1361" t="n"/>
      <c r="AR385" s="1361" t="n"/>
      <c r="AS385" s="1361" t="n"/>
      <c r="AT385" s="1379" t="n"/>
      <c r="AU385" s="1361" t="n"/>
      <c r="AV385" s="1361" t="n"/>
      <c r="AW385" s="1361" t="n"/>
      <c r="AX385" s="1361" t="n"/>
      <c r="AY385" s="1379" t="n"/>
      <c r="AZ385" s="1361" t="n"/>
      <c r="BA385" s="1361" t="n"/>
      <c r="BB385" s="1361" t="n"/>
      <c r="BC385" s="1361" t="n"/>
      <c r="BD385" s="1379" t="n"/>
      <c r="BE385" s="1361" t="n"/>
      <c r="BF385" s="1361" t="n"/>
      <c r="BG385" s="1361" t="n"/>
      <c r="BH385" s="1361" t="n"/>
      <c r="BI385" s="1379" t="n"/>
      <c r="BJ385" s="1361" t="n"/>
      <c r="BK385" s="1361" t="n"/>
      <c r="BL385" s="1361" t="n"/>
      <c r="BM385" s="1361" t="n"/>
      <c r="BN385" s="1379" t="n"/>
      <c r="BO385" s="1361" t="n"/>
      <c r="BP385" s="1361" t="n"/>
      <c r="BQ385" s="1363" t="n"/>
      <c r="BR385" s="1361" t="n"/>
      <c r="BS385" s="1379" t="n"/>
      <c r="BT385" s="1361" t="n"/>
      <c r="BU385" s="1361" t="n"/>
      <c r="BV385" s="1361" t="n"/>
      <c r="BW385" s="1361" t="n"/>
      <c r="BX385" s="1379" t="n"/>
      <c r="BY385" s="1379" t="n"/>
      <c r="BZ385" s="1379" t="n"/>
      <c r="CA385" s="1379" t="n"/>
      <c r="CB385" s="1364" t="n"/>
    </row>
    <row r="386" hidden="1" outlineLevel="1" ht="14.4" customFormat="1" customHeight="1" s="1359">
      <c r="A386" s="1394" t="inlineStr">
        <is>
          <t>Income tax related to tax rate change</t>
        </is>
      </c>
      <c r="B386" s="1512" t="n"/>
      <c r="C386" s="1379" t="n"/>
      <c r="D386" s="1379" t="n"/>
      <c r="E386" s="1379" t="n"/>
      <c r="F386" s="1379" t="n"/>
      <c r="G386" s="1361" t="n"/>
      <c r="H386" s="1361" t="n"/>
      <c r="I386" s="1361" t="n"/>
      <c r="J386" s="1361" t="n"/>
      <c r="K386" s="1379" t="n"/>
      <c r="L386" s="1361" t="n"/>
      <c r="M386" s="1361" t="n"/>
      <c r="N386" s="1361" t="n"/>
      <c r="O386" s="1361" t="n"/>
      <c r="P386" s="1379" t="n"/>
      <c r="Q386" s="1361" t="n"/>
      <c r="R386" s="1361" t="n"/>
      <c r="S386" s="1361" t="n"/>
      <c r="T386" s="1361" t="n"/>
      <c r="U386" s="1379" t="n"/>
      <c r="V386" s="1361" t="n"/>
      <c r="W386" s="1361" t="n"/>
      <c r="X386" s="1361" t="n"/>
      <c r="Y386" s="1361" t="n"/>
      <c r="Z386" s="1379" t="n"/>
      <c r="AA386" s="1361" t="n"/>
      <c r="AB386" s="1361" t="n"/>
      <c r="AC386" s="1361" t="n"/>
      <c r="AD386" s="1493" t="n">
        <v>25.292</v>
      </c>
      <c r="AE386" s="1494" t="n">
        <v>25.292</v>
      </c>
      <c r="AF386" s="1361" t="n"/>
      <c r="AG386" s="1361" t="n"/>
      <c r="AH386" s="1361" t="n"/>
      <c r="AI386" s="1361" t="n"/>
      <c r="AJ386" s="1379" t="n"/>
      <c r="AK386" s="1361" t="n"/>
      <c r="AL386" s="1361" t="n"/>
      <c r="AM386" s="1361" t="n"/>
      <c r="AN386" s="1361" t="n"/>
      <c r="AO386" s="1379" t="n"/>
      <c r="AP386" s="1361" t="n"/>
      <c r="AQ386" s="1361" t="n"/>
      <c r="AR386" s="1361" t="n"/>
      <c r="AS386" s="1361" t="n"/>
      <c r="AT386" s="1379" t="n"/>
      <c r="AU386" s="1361" t="n"/>
      <c r="AV386" s="1361" t="n"/>
      <c r="AW386" s="1361" t="n"/>
      <c r="AX386" s="1361" t="n"/>
      <c r="AY386" s="1379" t="n"/>
      <c r="AZ386" s="1361" t="n"/>
      <c r="BA386" s="1361" t="n"/>
      <c r="BB386" s="1361" t="n"/>
      <c r="BC386" s="1361" t="n"/>
      <c r="BD386" s="1379" t="n"/>
      <c r="BE386" s="1361" t="n"/>
      <c r="BF386" s="1361" t="n"/>
      <c r="BG386" s="1361" t="n"/>
      <c r="BH386" s="1361" t="n"/>
      <c r="BI386" s="1379" t="n"/>
      <c r="BJ386" s="1361" t="n"/>
      <c r="BK386" s="1361" t="n"/>
      <c r="BL386" s="1361" t="n"/>
      <c r="BM386" s="1361" t="n"/>
      <c r="BN386" s="1379" t="n"/>
      <c r="BO386" s="1361" t="n"/>
      <c r="BP386" s="1361" t="n"/>
      <c r="BQ386" s="1363" t="n"/>
      <c r="BR386" s="1361" t="n"/>
      <c r="BS386" s="1379" t="n"/>
      <c r="BT386" s="1361" t="n"/>
      <c r="BU386" s="1361" t="n"/>
      <c r="BV386" s="1361" t="n"/>
      <c r="BW386" s="1361" t="n"/>
      <c r="BX386" s="1379" t="n"/>
      <c r="BY386" s="1379" t="n"/>
      <c r="BZ386" s="1379" t="n"/>
      <c r="CA386" s="1379" t="n"/>
      <c r="CB386" s="1364" t="n"/>
    </row>
    <row r="387" hidden="1" outlineLevel="1" ht="14.4" customFormat="1" customHeight="1" s="1359">
      <c r="A387" s="1394" t="inlineStr">
        <is>
          <t>Income tax benefit related to intercompany transfers of certain IP rights</t>
        </is>
      </c>
      <c r="B387" s="1512" t="n"/>
      <c r="C387" s="1379" t="n"/>
      <c r="D387" s="1379" t="n"/>
      <c r="E387" s="1379" t="n"/>
      <c r="F387" s="1379" t="n"/>
      <c r="G387" s="1361" t="n"/>
      <c r="H387" s="1361" t="n"/>
      <c r="I387" s="1361" t="n"/>
      <c r="J387" s="1361" t="n"/>
      <c r="K387" s="1379" t="n"/>
      <c r="L387" s="1361" t="n"/>
      <c r="M387" s="1361" t="n"/>
      <c r="N387" s="1361" t="n"/>
      <c r="O387" s="1361" t="n"/>
      <c r="P387" s="1379" t="n"/>
      <c r="Q387" s="1361" t="n"/>
      <c r="R387" s="1361" t="n"/>
      <c r="S387" s="1361" t="n"/>
      <c r="T387" s="1361" t="n"/>
      <c r="U387" s="1379" t="n"/>
      <c r="V387" s="1361" t="n"/>
      <c r="W387" s="1361" t="n"/>
      <c r="X387" s="1361" t="n"/>
      <c r="Y387" s="1361" t="n"/>
      <c r="Z387" s="1379" t="n"/>
      <c r="AA387" s="1361" t="n"/>
      <c r="AB387" s="1361" t="n"/>
      <c r="AC387" s="1361" t="n"/>
      <c r="AD387" s="1361" t="n"/>
      <c r="AE387" s="1379" t="n"/>
      <c r="AF387" s="1361" t="n"/>
      <c r="AG387" s="1361" t="n"/>
      <c r="AH387" s="1361" t="n"/>
      <c r="AI387" s="1361" t="n"/>
      <c r="AJ387" s="1379" t="n"/>
      <c r="AK387" s="1361" t="n"/>
      <c r="AL387" s="1361" t="n"/>
      <c r="AM387" s="1361" t="n"/>
      <c r="AN387" s="1493" t="n">
        <v>-575.6180000000001</v>
      </c>
      <c r="AO387" s="1494" t="n">
        <v>-575.6180000000001</v>
      </c>
      <c r="AP387" s="1361" t="n"/>
      <c r="AQ387" s="1361" t="n"/>
      <c r="AR387" s="1361" t="n"/>
      <c r="AS387" s="1361" t="n"/>
      <c r="AT387" s="1379" t="n"/>
      <c r="AU387" s="1361" t="n"/>
      <c r="AV387" s="1361" t="n"/>
      <c r="AW387" s="1361" t="n"/>
      <c r="AX387" s="1361" t="n"/>
      <c r="AY387" s="1379" t="n"/>
      <c r="AZ387" s="1361" t="n"/>
      <c r="BA387" s="1361" t="n"/>
      <c r="BB387" s="1361" t="n"/>
      <c r="BC387" s="1361" t="n"/>
      <c r="BD387" s="1379" t="n"/>
      <c r="BE387" s="1361" t="n"/>
      <c r="BF387" s="1361" t="n"/>
      <c r="BG387" s="1361" t="n"/>
      <c r="BH387" s="1361" t="n"/>
      <c r="BI387" s="1379" t="n"/>
      <c r="BJ387" s="1361" t="n"/>
      <c r="BK387" s="1361" t="n"/>
      <c r="BL387" s="1361" t="n"/>
      <c r="BM387" s="1361" t="n"/>
      <c r="BN387" s="1379" t="n"/>
      <c r="BO387" s="1361" t="n"/>
      <c r="BP387" s="1361" t="n"/>
      <c r="BQ387" s="1363" t="n"/>
      <c r="BR387" s="1361" t="n"/>
      <c r="BS387" s="1379" t="n"/>
      <c r="BT387" s="1361" t="n"/>
      <c r="BU387" s="1361" t="n"/>
      <c r="BV387" s="1361" t="n"/>
      <c r="BW387" s="1361" t="n"/>
      <c r="BX387" s="1379" t="n"/>
      <c r="BY387" s="1379" t="n"/>
      <c r="BZ387" s="1379" t="n"/>
      <c r="CA387" s="1379" t="n"/>
      <c r="CB387" s="1364" t="n"/>
    </row>
    <row r="388" hidden="1" outlineLevel="1" ht="14.4" customFormat="1" customHeight="1" s="1359">
      <c r="A388" s="1394" t="inlineStr">
        <is>
          <t>Income tax effect on non-GAAP adjustments</t>
        </is>
      </c>
      <c r="B388" s="1512" t="n"/>
      <c r="C388" s="1494" t="n">
        <v>16.812</v>
      </c>
      <c r="D388" s="1494" t="n">
        <v>7.179</v>
      </c>
      <c r="E388" s="1494" t="n">
        <v>-20.366</v>
      </c>
      <c r="F388" s="1494" t="n">
        <v>-56.857</v>
      </c>
      <c r="G388" s="1493" t="n">
        <v>-15.146</v>
      </c>
      <c r="H388" s="1493" t="n">
        <v>6.712</v>
      </c>
      <c r="I388" s="1493" t="n">
        <v>-19.895</v>
      </c>
      <c r="J388" s="1493" t="n">
        <v>-31.775</v>
      </c>
      <c r="K388" s="1494" t="n">
        <v>-60.104</v>
      </c>
      <c r="L388" s="1493" t="n">
        <v>-15.51</v>
      </c>
      <c r="M388" s="1493" t="n">
        <v>-15.849</v>
      </c>
      <c r="N388" s="1493" t="n">
        <v>-19.377</v>
      </c>
      <c r="O388" s="1493" t="n">
        <v>-27.987</v>
      </c>
      <c r="P388" s="1494" t="n">
        <v>-78.723</v>
      </c>
      <c r="Q388" s="1493" t="n">
        <v>-15.331</v>
      </c>
      <c r="R388" s="1493" t="n">
        <v>-14.091</v>
      </c>
      <c r="S388" s="1493" t="n">
        <v>-28.601</v>
      </c>
      <c r="T388" s="1493" t="n">
        <v>-28.627</v>
      </c>
      <c r="U388" s="1494" t="n">
        <v>-86.65000000000001</v>
      </c>
      <c r="V388" s="1493" t="n">
        <v>-18.698</v>
      </c>
      <c r="W388" s="1493" t="n">
        <v>-11.053</v>
      </c>
      <c r="X388" s="1493" t="n">
        <v>-26.424</v>
      </c>
      <c r="Y388" s="1493" t="n">
        <v>-14.672</v>
      </c>
      <c r="Z388" s="1494" t="n">
        <v>-70.84699999999999</v>
      </c>
      <c r="AA388" s="1493" t="n">
        <v>-20.679</v>
      </c>
      <c r="AB388" s="1493" t="n">
        <v>-19.861</v>
      </c>
      <c r="AC388" s="1493" t="n">
        <v>-23.942</v>
      </c>
      <c r="AD388" s="1493" t="n">
        <v>-34.328</v>
      </c>
      <c r="AE388" s="1494" t="n">
        <v>-98.81</v>
      </c>
      <c r="AF388" s="1493" t="n">
        <v>-16.28</v>
      </c>
      <c r="AG388" s="1493" t="n">
        <v>-9.166</v>
      </c>
      <c r="AH388" s="1493" t="n">
        <v>-26.306</v>
      </c>
      <c r="AI388" s="1493" t="n">
        <v>-17.737</v>
      </c>
      <c r="AJ388" s="1494" t="n">
        <v>-69.489</v>
      </c>
      <c r="AK388" s="1493" t="n">
        <v>-21.307</v>
      </c>
      <c r="AL388" s="1493" t="n">
        <v>-9.331</v>
      </c>
      <c r="AM388" s="1493" t="n">
        <v>-13.899</v>
      </c>
      <c r="AN388" s="1493" t="n">
        <v>-7.5</v>
      </c>
      <c r="AO388" s="1494" t="n">
        <v>-52.037</v>
      </c>
      <c r="AP388" s="1493" t="n">
        <v>-25.483</v>
      </c>
      <c r="AQ388" s="1493" t="n">
        <v>-15.786</v>
      </c>
      <c r="AR388" s="1493" t="n">
        <v>-33.451</v>
      </c>
      <c r="AS388" s="1493" t="n">
        <v>-32.097</v>
      </c>
      <c r="AT388" s="1494" t="n">
        <v>-106.817</v>
      </c>
      <c r="AU388" s="1493" t="n">
        <v>-28.782</v>
      </c>
      <c r="AV388" s="1493" t="n">
        <v>-18.023</v>
      </c>
      <c r="AW388" s="1493" t="n">
        <v>-29.817</v>
      </c>
      <c r="AX388" s="1493" t="n">
        <v>-25.834</v>
      </c>
      <c r="AY388" s="1494" t="n">
        <v>-102.456</v>
      </c>
      <c r="AZ388" s="1493" t="n">
        <v>5.938</v>
      </c>
      <c r="BA388" s="1493" t="n">
        <v>22.551</v>
      </c>
      <c r="BB388" s="1493" t="n">
        <v>4.433</v>
      </c>
      <c r="BC388" s="1493" t="n">
        <v>-85.39700000000001</v>
      </c>
      <c r="BD388" s="1494" t="n">
        <v>-52.475</v>
      </c>
      <c r="BE388" s="1493" t="n">
        <v>5.137</v>
      </c>
      <c r="BF388" s="1493" t="n">
        <v>6.509</v>
      </c>
      <c r="BG388" s="1493" t="n">
        <v>-27.147</v>
      </c>
      <c r="BH388" s="1493" t="n">
        <v>-41.638</v>
      </c>
      <c r="BI388" s="1494" t="n">
        <v>-57.139</v>
      </c>
      <c r="BJ388" s="1493" t="n">
        <v>-0.613</v>
      </c>
      <c r="BK388" s="1493" t="n">
        <v>16.89</v>
      </c>
      <c r="BL388" s="1493" t="n">
        <v>6.341</v>
      </c>
      <c r="BM388" s="1493" t="n">
        <v>-5.456</v>
      </c>
      <c r="BN388" s="1494" t="n">
        <v>17.162</v>
      </c>
      <c r="BO388" s="1493" t="n">
        <v>-2.939</v>
      </c>
      <c r="BP388" s="1493" t="n">
        <v>31.658</v>
      </c>
      <c r="BQ388" s="1502" t="n">
        <v>1.283</v>
      </c>
      <c r="BR388" s="1361" t="n"/>
      <c r="BS388" s="1379" t="n"/>
      <c r="BT388" s="1361" t="n"/>
      <c r="BU388" s="1361" t="n"/>
      <c r="BV388" s="1361" t="n"/>
      <c r="BW388" s="1361" t="n"/>
      <c r="BX388" s="1379" t="n"/>
      <c r="BY388" s="1379" t="n"/>
      <c r="BZ388" s="1379" t="n"/>
      <c r="CA388" s="1379" t="n"/>
      <c r="CB388" s="1364" t="n"/>
    </row>
    <row r="389" hidden="1" outlineLevel="1" ht="14.4" customFormat="1" customHeight="1" s="1359">
      <c r="A389" s="1453" t="inlineStr">
        <is>
          <t>Special charges</t>
        </is>
      </c>
      <c r="B389" s="1514" t="n"/>
      <c r="C389" s="1480" t="n">
        <v>0</v>
      </c>
      <c r="D389" s="1480" t="n">
        <v>0</v>
      </c>
      <c r="E389" s="1480" t="n">
        <v>0</v>
      </c>
      <c r="F389" s="1480" t="n">
        <v>0</v>
      </c>
      <c r="G389" s="1479" t="n">
        <v>0</v>
      </c>
      <c r="H389" s="1479" t="n">
        <v>0</v>
      </c>
      <c r="I389" s="1479" t="n">
        <v>0</v>
      </c>
      <c r="J389" s="1479" t="n">
        <v>0</v>
      </c>
      <c r="K389" s="1480" t="n">
        <v>0</v>
      </c>
      <c r="L389" s="1479" t="n">
        <v>0</v>
      </c>
      <c r="M389" s="1479" t="n">
        <v>10.357</v>
      </c>
      <c r="N389" s="1479" t="n">
        <v>0.459</v>
      </c>
      <c r="O389" s="1479" t="n">
        <v>0</v>
      </c>
      <c r="P389" s="1480" t="n">
        <v>10.816</v>
      </c>
      <c r="Q389" s="1479" t="n">
        <v>0</v>
      </c>
      <c r="R389" s="1479" t="n">
        <v>0</v>
      </c>
      <c r="S389" s="1479" t="n">
        <v>0</v>
      </c>
      <c r="T389" s="1479" t="n">
        <v>0.916</v>
      </c>
      <c r="U389" s="1480" t="n">
        <v>0.916</v>
      </c>
      <c r="V389" s="1479" t="n">
        <v>0</v>
      </c>
      <c r="W389" s="1456" t="n"/>
      <c r="X389" s="1456" t="n"/>
      <c r="Y389" s="1456" t="n"/>
      <c r="Z389" s="1455" t="n"/>
      <c r="AA389" s="1456" t="n"/>
      <c r="AB389" s="1456" t="n"/>
      <c r="AC389" s="1456" t="n"/>
      <c r="AD389" s="1456" t="n"/>
      <c r="AE389" s="1455" t="n"/>
      <c r="AF389" s="1456" t="n"/>
      <c r="AG389" s="1456" t="n"/>
      <c r="AH389" s="1456" t="n"/>
      <c r="AI389" s="1456" t="n"/>
      <c r="AJ389" s="1455" t="n"/>
      <c r="AK389" s="1456" t="n"/>
      <c r="AL389" s="1456" t="n"/>
      <c r="AM389" s="1456" t="n"/>
      <c r="AN389" s="1479" t="n">
        <v>0.875</v>
      </c>
      <c r="AO389" s="1480" t="n">
        <v>0.875</v>
      </c>
      <c r="AP389" s="1479" t="n">
        <v>0.124</v>
      </c>
      <c r="AQ389" s="1479" t="n">
        <v>0.27</v>
      </c>
      <c r="AR389" s="1456" t="n"/>
      <c r="AS389" s="1456" t="n"/>
      <c r="AT389" s="1480" t="n">
        <v>0.394</v>
      </c>
      <c r="AU389" s="1456" t="n"/>
      <c r="AV389" s="1479" t="n">
        <v>26.832</v>
      </c>
      <c r="AW389" s="1456" t="n"/>
      <c r="AX389" s="1456" t="n"/>
      <c r="AY389" s="1480" t="n">
        <v>26.832</v>
      </c>
      <c r="AZ389" s="1456" t="n"/>
      <c r="BA389" s="1456" t="n"/>
      <c r="BB389" s="1456" t="n"/>
      <c r="BC389" s="1456" t="n"/>
      <c r="BD389" s="1455" t="n"/>
      <c r="BE389" s="1456" t="n"/>
      <c r="BF389" s="1456" t="n"/>
      <c r="BG389" s="1456" t="n"/>
      <c r="BH389" s="1456" t="n"/>
      <c r="BI389" s="1455" t="n"/>
      <c r="BJ389" s="1456" t="n"/>
      <c r="BK389" s="1479" t="n">
        <v>1.233</v>
      </c>
      <c r="BL389" s="1456" t="n"/>
      <c r="BM389" s="1479" t="n">
        <v>10.224</v>
      </c>
      <c r="BN389" s="1480" t="n">
        <v>11.457</v>
      </c>
      <c r="BO389" s="1479" t="n">
        <v>1.988</v>
      </c>
      <c r="BP389" s="1479" t="n">
        <v>0</v>
      </c>
      <c r="BQ389" s="1457" t="n"/>
      <c r="BR389" s="1456" t="n"/>
      <c r="BS389" s="1455" t="n"/>
      <c r="BT389" s="1456" t="n"/>
      <c r="BU389" s="1456" t="n"/>
      <c r="BV389" s="1456" t="n"/>
      <c r="BW389" s="1456" t="n"/>
      <c r="BX389" s="1455" t="n"/>
      <c r="BY389" s="1455" t="n"/>
      <c r="BZ389" s="1455" t="n"/>
      <c r="CA389" s="1455" t="n"/>
      <c r="CB389" s="1364" t="n"/>
    </row>
    <row r="390" hidden="1" outlineLevel="1" ht="14.4" customFormat="1" customHeight="1" s="1372">
      <c r="A390" s="1400" t="inlineStr">
        <is>
          <t>Non-GAAP net income</t>
        </is>
      </c>
      <c r="B390" s="1516" t="n"/>
      <c r="C390" s="1402">
        <f>SUM(C365:C389)</f>
        <v/>
      </c>
      <c r="D390" s="1402">
        <f>SUM(D365:D389)</f>
        <v/>
      </c>
      <c r="E390" s="1402">
        <f>SUM(E365:E389)</f>
        <v/>
      </c>
      <c r="F390" s="1402">
        <f>SUM(F365:F389)</f>
        <v/>
      </c>
      <c r="G390" s="1403">
        <f>SUM(G365:G389)</f>
        <v/>
      </c>
      <c r="H390" s="1403">
        <f>SUM(H365:H389)</f>
        <v/>
      </c>
      <c r="I390" s="1403">
        <f>SUM(I365:I389)</f>
        <v/>
      </c>
      <c r="J390" s="1403">
        <f>SUM(J365:J389)</f>
        <v/>
      </c>
      <c r="K390" s="1402">
        <f>SUM(K365:K389)</f>
        <v/>
      </c>
      <c r="L390" s="1403">
        <f>SUM(L365:L389)</f>
        <v/>
      </c>
      <c r="M390" s="1403">
        <f>SUM(M365:M389)</f>
        <v/>
      </c>
      <c r="N390" s="1403">
        <f>SUM(N365:N389)</f>
        <v/>
      </c>
      <c r="O390" s="1403">
        <f>SUM(O365:O389)</f>
        <v/>
      </c>
      <c r="P390" s="1402">
        <f>SUM(P365:P389)</f>
        <v/>
      </c>
      <c r="Q390" s="1403">
        <f>SUM(Q365:Q389)</f>
        <v/>
      </c>
      <c r="R390" s="1403">
        <f>SUM(R365:R389)</f>
        <v/>
      </c>
      <c r="S390" s="1403">
        <f>SUM(S365:S389)</f>
        <v/>
      </c>
      <c r="T390" s="1403">
        <f>SUM(T365:T389)</f>
        <v/>
      </c>
      <c r="U390" s="1402">
        <f>SUM(U365:U389)</f>
        <v/>
      </c>
      <c r="V390" s="1403">
        <f>SUM(V365:V389)</f>
        <v/>
      </c>
      <c r="W390" s="1403">
        <f>SUM(W365:W389)</f>
        <v/>
      </c>
      <c r="X390" s="1403">
        <f>SUM(X365:X389)</f>
        <v/>
      </c>
      <c r="Y390" s="1404">
        <f>SUM(Y365:Y389)</f>
        <v/>
      </c>
      <c r="Z390" s="1405">
        <f>SUM(Z365:Z389)</f>
        <v/>
      </c>
      <c r="AA390" s="1403">
        <f>SUM(AA365:AA389)</f>
        <v/>
      </c>
      <c r="AB390" s="1403">
        <f>SUM(AB365:AB389)</f>
        <v/>
      </c>
      <c r="AC390" s="1403">
        <f>SUM(AC365:AC389)</f>
        <v/>
      </c>
      <c r="AD390" s="1404">
        <f>SUM(AD365:AD389)</f>
        <v/>
      </c>
      <c r="AE390" s="1405">
        <f>SUM(AE365:AE389)</f>
        <v/>
      </c>
      <c r="AF390" s="1403">
        <f>SUM(AF365:AF389)</f>
        <v/>
      </c>
      <c r="AG390" s="1403">
        <f>SUM(AG365:AG389)</f>
        <v/>
      </c>
      <c r="AH390" s="1403">
        <f>SUM(AH365:AH389)</f>
        <v/>
      </c>
      <c r="AI390" s="1404">
        <f>SUM(AI365:AI389)</f>
        <v/>
      </c>
      <c r="AJ390" s="1405">
        <f>SUM(AJ365:AJ389)</f>
        <v/>
      </c>
      <c r="AK390" s="1403">
        <f>SUM(AK365:AK389)</f>
        <v/>
      </c>
      <c r="AL390" s="1403">
        <f>SUM(AL365:AL389)</f>
        <v/>
      </c>
      <c r="AM390" s="1403">
        <f>SUM(AM365:AM389)</f>
        <v/>
      </c>
      <c r="AN390" s="1404">
        <f>SUM(AN365:AN389)</f>
        <v/>
      </c>
      <c r="AO390" s="1405">
        <f>SUM(AO365:AO389)</f>
        <v/>
      </c>
      <c r="AP390" s="1403">
        <f>SUM(AP365:AP389)</f>
        <v/>
      </c>
      <c r="AQ390" s="1403">
        <f>SUM(AQ365:AQ389)</f>
        <v/>
      </c>
      <c r="AR390" s="1403">
        <f>SUM(AR365:AR389)</f>
        <v/>
      </c>
      <c r="AS390" s="1404">
        <f>SUM(AS365:AS389)</f>
        <v/>
      </c>
      <c r="AT390" s="1405">
        <f>SUM(AT365:AT389)</f>
        <v/>
      </c>
      <c r="AU390" s="1403">
        <f>SUM(AU365:AU389)</f>
        <v/>
      </c>
      <c r="AV390" s="1403">
        <f>SUM(AV365:AV389)</f>
        <v/>
      </c>
      <c r="AW390" s="1403">
        <f>SUM(AW365:AW389)</f>
        <v/>
      </c>
      <c r="AX390" s="1404">
        <f>SUM(AX365:AX389)</f>
        <v/>
      </c>
      <c r="AY390" s="1405">
        <f>SUM(AY365:AY389)</f>
        <v/>
      </c>
      <c r="AZ390" s="1403">
        <f>SUM(AZ365:AZ389)</f>
        <v/>
      </c>
      <c r="BA390" s="1403">
        <f>SUM(BA365:BA389)</f>
        <v/>
      </c>
      <c r="BB390" s="1403">
        <f>SUM(BB365:BB389)</f>
        <v/>
      </c>
      <c r="BC390" s="1404">
        <f>SUM(BC365:BC389)</f>
        <v/>
      </c>
      <c r="BD390" s="1405">
        <f>SUM(BD365:BD389)</f>
        <v/>
      </c>
      <c r="BE390" s="1403">
        <f>SUM(BE365:BE389)</f>
        <v/>
      </c>
      <c r="BF390" s="1403">
        <f>SUM(BF365:BF389)</f>
        <v/>
      </c>
      <c r="BG390" s="1403">
        <f>SUM(BG365:BG389)</f>
        <v/>
      </c>
      <c r="BH390" s="1404">
        <f>SUM(BH365:BH389)</f>
        <v/>
      </c>
      <c r="BI390" s="1405">
        <f>SUM(BI365:BI389)</f>
        <v/>
      </c>
      <c r="BJ390" s="1403">
        <f>SUM(BJ365:BJ389)</f>
        <v/>
      </c>
      <c r="BK390" s="1403">
        <f>SUM(BK365:BK389)</f>
        <v/>
      </c>
      <c r="BL390" s="1403">
        <f>SUM(BL365:BL389)</f>
        <v/>
      </c>
      <c r="BM390" s="1404">
        <f>SUM(BM365:BM389)</f>
        <v/>
      </c>
      <c r="BN390" s="1405">
        <f>SUM(BN365:BN389)</f>
        <v/>
      </c>
      <c r="BO390" s="1403">
        <f>SUM(BO365:BO389)</f>
        <v/>
      </c>
      <c r="BP390" s="1403">
        <f>SUM(BP365:BP389)</f>
        <v/>
      </c>
      <c r="BQ390" s="1406">
        <f>SUM(BQ365:BQ389)</f>
        <v/>
      </c>
      <c r="BR390" s="1404" t="n"/>
      <c r="BS390" s="1405" t="n"/>
      <c r="BT390" s="1404" t="n"/>
      <c r="BU390" s="1404" t="n"/>
      <c r="BV390" s="1404" t="n"/>
      <c r="BW390" s="1404" t="n"/>
      <c r="BX390" s="1405" t="n"/>
      <c r="BY390" s="1405" t="n"/>
      <c r="BZ390" s="1405" t="n"/>
      <c r="CA390" s="1405" t="n"/>
      <c r="CB390" s="1375" t="n"/>
    </row>
    <row r="391" hidden="1" outlineLevel="1" ht="14.4" customFormat="1" customHeight="1" s="1372">
      <c r="A391" s="1447" t="n"/>
      <c r="B391" s="1517" t="n"/>
      <c r="C391" s="1449" t="n"/>
      <c r="D391" s="1449" t="n"/>
      <c r="E391" s="1449" t="n"/>
      <c r="F391" s="1449" t="n"/>
      <c r="G391" s="1450" t="n"/>
      <c r="H391" s="1450" t="n"/>
      <c r="I391" s="1450" t="n"/>
      <c r="J391" s="1450" t="n"/>
      <c r="K391" s="1449" t="n"/>
      <c r="L391" s="1450" t="n"/>
      <c r="M391" s="1450" t="n"/>
      <c r="N391" s="1450" t="n"/>
      <c r="O391" s="1450" t="n"/>
      <c r="P391" s="1449" t="n"/>
      <c r="Q391" s="1450" t="n"/>
      <c r="R391" s="1450" t="n"/>
      <c r="S391" s="1450" t="n"/>
      <c r="T391" s="1450" t="n"/>
      <c r="U391" s="1449" t="n"/>
      <c r="V391" s="1450" t="n"/>
      <c r="W391" s="1450" t="n"/>
      <c r="X391" s="1450" t="n"/>
      <c r="Y391" s="1450" t="n"/>
      <c r="Z391" s="1449" t="n"/>
      <c r="AA391" s="1450" t="n"/>
      <c r="AB391" s="1450" t="n"/>
      <c r="AC391" s="1450" t="n"/>
      <c r="AD391" s="1450" t="n"/>
      <c r="AE391" s="1449" t="n"/>
      <c r="AF391" s="1450" t="n"/>
      <c r="AG391" s="1450" t="n"/>
      <c r="AH391" s="1450" t="n"/>
      <c r="AI391" s="1450" t="n"/>
      <c r="AJ391" s="1449" t="n"/>
      <c r="AK391" s="1450" t="n"/>
      <c r="AL391" s="1450" t="n"/>
      <c r="AM391" s="1450" t="n"/>
      <c r="AN391" s="1450" t="n"/>
      <c r="AO391" s="1449" t="n"/>
      <c r="AP391" s="1450" t="n"/>
      <c r="AQ391" s="1450" t="n"/>
      <c r="AR391" s="1450" t="n"/>
      <c r="AS391" s="1450" t="n"/>
      <c r="AT391" s="1449" t="n"/>
      <c r="AU391" s="1450" t="n"/>
      <c r="AV391" s="1450" t="n"/>
      <c r="AW391" s="1450" t="n"/>
      <c r="AX391" s="1450" t="n"/>
      <c r="AY391" s="1449" t="n"/>
      <c r="AZ391" s="1450" t="n"/>
      <c r="BA391" s="1450" t="n"/>
      <c r="BB391" s="1450" t="n"/>
      <c r="BC391" s="1450" t="n"/>
      <c r="BD391" s="1449" t="n"/>
      <c r="BE391" s="1450" t="n"/>
      <c r="BF391" s="1450" t="n"/>
      <c r="BG391" s="1450" t="n"/>
      <c r="BH391" s="1450" t="n"/>
      <c r="BI391" s="1449" t="n"/>
      <c r="BJ391" s="1450" t="n"/>
      <c r="BK391" s="1450" t="n"/>
      <c r="BL391" s="1450" t="n"/>
      <c r="BM391" s="1450" t="n"/>
      <c r="BN391" s="1449" t="n"/>
      <c r="BO391" s="1450" t="n"/>
      <c r="BP391" s="1450" t="n"/>
      <c r="BQ391" s="1451" t="n"/>
      <c r="BR391" s="1450" t="n"/>
      <c r="BS391" s="1449" t="n"/>
      <c r="BT391" s="1450" t="n"/>
      <c r="BU391" s="1450" t="n"/>
      <c r="BV391" s="1450" t="n"/>
      <c r="BW391" s="1450" t="n"/>
      <c r="BX391" s="1449" t="n"/>
      <c r="BY391" s="1449" t="n"/>
      <c r="BZ391" s="1449" t="n"/>
      <c r="CA391" s="1449" t="n"/>
      <c r="CB391" s="1375" t="n"/>
    </row>
    <row r="392" hidden="1" outlineLevel="1" ht="14.4" customFormat="1" customHeight="1" s="1372">
      <c r="A392" s="1452" t="inlineStr">
        <is>
          <t>GAAP cost of product and maintenance</t>
        </is>
      </c>
      <c r="B392" s="1517" t="n"/>
      <c r="C392" s="1458">
        <f>C343</f>
        <v/>
      </c>
      <c r="D392" s="1458">
        <f>D343</f>
        <v/>
      </c>
      <c r="E392" s="1458">
        <f>E343</f>
        <v/>
      </c>
      <c r="F392" s="1458">
        <f>F343</f>
        <v/>
      </c>
      <c r="G392" s="1375">
        <f>G343</f>
        <v/>
      </c>
      <c r="H392" s="1375">
        <f>H343</f>
        <v/>
      </c>
      <c r="I392" s="1375">
        <f>I343</f>
        <v/>
      </c>
      <c r="J392" s="1375">
        <f>J343</f>
        <v/>
      </c>
      <c r="K392" s="1458">
        <f>K343</f>
        <v/>
      </c>
      <c r="L392" s="1375">
        <f>L343</f>
        <v/>
      </c>
      <c r="M392" s="1375">
        <f>M343</f>
        <v/>
      </c>
      <c r="N392" s="1375">
        <f>N343</f>
        <v/>
      </c>
      <c r="O392" s="1375">
        <f>O343</f>
        <v/>
      </c>
      <c r="P392" s="1458">
        <f>P343</f>
        <v/>
      </c>
      <c r="Q392" s="1375">
        <f>Q343</f>
        <v/>
      </c>
      <c r="R392" s="1375">
        <f>R343</f>
        <v/>
      </c>
      <c r="S392" s="1375">
        <f>S343</f>
        <v/>
      </c>
      <c r="T392" s="1375">
        <f>T343</f>
        <v/>
      </c>
      <c r="U392" s="1458">
        <f>U343</f>
        <v/>
      </c>
      <c r="V392" s="1375">
        <f>V343</f>
        <v/>
      </c>
      <c r="W392" s="1375">
        <f>W343</f>
        <v/>
      </c>
      <c r="X392" s="1375">
        <f>X343</f>
        <v/>
      </c>
      <c r="Y392" s="1450">
        <f>Y343</f>
        <v/>
      </c>
      <c r="Z392" s="1449">
        <f>Z343</f>
        <v/>
      </c>
      <c r="AA392" s="1375">
        <f>AA343</f>
        <v/>
      </c>
      <c r="AB392" s="1375">
        <f>AB343</f>
        <v/>
      </c>
      <c r="AC392" s="1375">
        <f>AC343</f>
        <v/>
      </c>
      <c r="AD392" s="1450">
        <f>AD343</f>
        <v/>
      </c>
      <c r="AE392" s="1449">
        <f>AE343</f>
        <v/>
      </c>
      <c r="AF392" s="1375">
        <f>AF343</f>
        <v/>
      </c>
      <c r="AG392" s="1375">
        <f>AG343</f>
        <v/>
      </c>
      <c r="AH392" s="1375">
        <f>AH343</f>
        <v/>
      </c>
      <c r="AI392" s="1450">
        <f>AI343</f>
        <v/>
      </c>
      <c r="AJ392" s="1449">
        <f>AJ343</f>
        <v/>
      </c>
      <c r="AK392" s="1375">
        <f>AK343</f>
        <v/>
      </c>
      <c r="AL392" s="1375">
        <f>AL343</f>
        <v/>
      </c>
      <c r="AM392" s="1375">
        <f>AM343</f>
        <v/>
      </c>
      <c r="AN392" s="1450">
        <f>AN343</f>
        <v/>
      </c>
      <c r="AO392" s="1449">
        <f>AO343</f>
        <v/>
      </c>
      <c r="AP392" s="1375">
        <f>AP343</f>
        <v/>
      </c>
      <c r="AQ392" s="1375">
        <f>AQ343</f>
        <v/>
      </c>
      <c r="AR392" s="1375">
        <f>AR343</f>
        <v/>
      </c>
      <c r="AS392" s="1450">
        <f>AS343</f>
        <v/>
      </c>
      <c r="AT392" s="1449">
        <f>AT343</f>
        <v/>
      </c>
      <c r="AU392" s="1375">
        <f>AU343</f>
        <v/>
      </c>
      <c r="AV392" s="1375">
        <f>AV343</f>
        <v/>
      </c>
      <c r="AW392" s="1375">
        <f>AW343</f>
        <v/>
      </c>
      <c r="AX392" s="1450">
        <f>AX343</f>
        <v/>
      </c>
      <c r="AY392" s="1449">
        <f>AY343</f>
        <v/>
      </c>
      <c r="AZ392" s="1375">
        <f>AZ343</f>
        <v/>
      </c>
      <c r="BA392" s="1375">
        <f>BA343</f>
        <v/>
      </c>
      <c r="BB392" s="1375">
        <f>BB343</f>
        <v/>
      </c>
      <c r="BC392" s="1450">
        <f>BC343</f>
        <v/>
      </c>
      <c r="BD392" s="1449">
        <f>BD343</f>
        <v/>
      </c>
      <c r="BE392" s="1375">
        <f>BE343</f>
        <v/>
      </c>
      <c r="BF392" s="1375">
        <f>BF343</f>
        <v/>
      </c>
      <c r="BG392" s="1375">
        <f>BG343</f>
        <v/>
      </c>
      <c r="BH392" s="1450">
        <f>BH343</f>
        <v/>
      </c>
      <c r="BI392" s="1449">
        <f>BI343</f>
        <v/>
      </c>
      <c r="BJ392" s="1375">
        <f>BJ343</f>
        <v/>
      </c>
      <c r="BK392" s="1375">
        <f>BK343</f>
        <v/>
      </c>
      <c r="BL392" s="1375">
        <f>BL343</f>
        <v/>
      </c>
      <c r="BM392" s="1450">
        <f>BM343</f>
        <v/>
      </c>
      <c r="BN392" s="1449">
        <f>BN343</f>
        <v/>
      </c>
      <c r="BO392" s="1375">
        <f>BO343</f>
        <v/>
      </c>
      <c r="BP392" s="1375">
        <f>BP343</f>
        <v/>
      </c>
      <c r="BQ392" s="1459">
        <f>BQ343</f>
        <v/>
      </c>
      <c r="BR392" s="1450" t="n"/>
      <c r="BS392" s="1449" t="n"/>
      <c r="BT392" s="1450" t="n"/>
      <c r="BU392" s="1450" t="n"/>
      <c r="BV392" s="1450" t="n"/>
      <c r="BW392" s="1450" t="n"/>
      <c r="BX392" s="1449" t="n"/>
      <c r="BY392" s="1449" t="n"/>
      <c r="BZ392" s="1449" t="n"/>
      <c r="CA392" s="1449" t="n"/>
      <c r="CB392" s="1375" t="n"/>
    </row>
    <row r="393" hidden="1" outlineLevel="1" ht="14.4" customFormat="1" customHeight="1" s="1359">
      <c r="A393" s="1474" t="inlineStr">
        <is>
          <t>Amortization of acquired intangibles</t>
        </is>
      </c>
      <c r="B393" s="1512" t="n"/>
      <c r="C393" s="1379" t="n"/>
      <c r="D393" s="1494">
        <f>-5.603-1.045</f>
        <v/>
      </c>
      <c r="E393" s="1494" t="n">
        <v>-10.48</v>
      </c>
      <c r="F393" s="1494" t="n">
        <v>-13.541</v>
      </c>
      <c r="G393" s="1493" t="n">
        <v>-3.807</v>
      </c>
      <c r="H393" s="1493" t="n">
        <v>-5.76</v>
      </c>
      <c r="I393" s="1493" t="n">
        <v>-7.886</v>
      </c>
      <c r="J393" s="1493" t="n">
        <v>-7.265</v>
      </c>
      <c r="K393" s="1494" t="n">
        <v>-24.718</v>
      </c>
      <c r="L393" s="1493" t="n">
        <v>-7.576</v>
      </c>
      <c r="M393" s="1493" t="n">
        <v>-8.613</v>
      </c>
      <c r="N393" s="1493" t="n">
        <v>-10.071</v>
      </c>
      <c r="O393" s="1493" t="n">
        <v>-10.647</v>
      </c>
      <c r="P393" s="1494" t="n">
        <v>-36.907</v>
      </c>
      <c r="Q393" s="1493" t="n">
        <v>-10.173</v>
      </c>
      <c r="R393" s="1493" t="n">
        <v>-10.105</v>
      </c>
      <c r="S393" s="1493" t="n">
        <v>-10.107</v>
      </c>
      <c r="T393" s="1493" t="n">
        <v>-10.147</v>
      </c>
      <c r="U393" s="1494" t="n">
        <v>-40.532</v>
      </c>
      <c r="V393" s="1493" t="n">
        <v>-10.663</v>
      </c>
      <c r="W393" s="1493" t="n">
        <v>-10.546</v>
      </c>
      <c r="X393" s="1493" t="n">
        <v>-10.593</v>
      </c>
      <c r="Y393" s="1493" t="n">
        <v>-10.585</v>
      </c>
      <c r="Z393" s="1494" t="n">
        <v>-42.387</v>
      </c>
      <c r="AA393" s="1493" t="n">
        <v>-10.578</v>
      </c>
      <c r="AB393" s="1493" t="n">
        <v>-10.868</v>
      </c>
      <c r="AC393" s="1493" t="n">
        <v>-10.165</v>
      </c>
      <c r="AD393" s="1493" t="n">
        <v>-10.17</v>
      </c>
      <c r="AE393" s="1494" t="n">
        <v>-41.781</v>
      </c>
      <c r="AF393" s="1493" t="n">
        <v>-10.277</v>
      </c>
      <c r="AG393" s="1493" t="n">
        <v>-9.991</v>
      </c>
      <c r="AH393" s="1493" t="n">
        <v>-9.505000000000001</v>
      </c>
      <c r="AI393" s="1493" t="n">
        <v>-9.474</v>
      </c>
      <c r="AJ393" s="1494" t="n">
        <v>-39.247</v>
      </c>
      <c r="AK393" s="1493" t="n">
        <v>-9.853999999999999</v>
      </c>
      <c r="AL393" s="1493" t="n">
        <v>-11.299</v>
      </c>
      <c r="AM393" s="1493" t="n">
        <v>-9.925000000000001</v>
      </c>
      <c r="AN393" s="1493" t="n">
        <v>-9.872999999999999</v>
      </c>
      <c r="AO393" s="1494" t="n">
        <v>-40.951</v>
      </c>
      <c r="AP393" s="1493" t="n">
        <v>-10.86</v>
      </c>
      <c r="AQ393" s="1361">
        <f>-AQ366+AQ433</f>
        <v/>
      </c>
      <c r="AR393" s="1361">
        <f>-AR366+AR433</f>
        <v/>
      </c>
      <c r="AS393" s="1361">
        <f>-AS366+AS433</f>
        <v/>
      </c>
      <c r="AT393" s="1379">
        <f>-AT366+AT433</f>
        <v/>
      </c>
      <c r="AU393" s="1361">
        <f>-AU366+AU433</f>
        <v/>
      </c>
      <c r="AV393" s="1361">
        <f>-AV366+AV433</f>
        <v/>
      </c>
      <c r="AW393" s="1361">
        <f>-AW366+AW433</f>
        <v/>
      </c>
      <c r="AX393" s="1361">
        <f>-AX366+AX433</f>
        <v/>
      </c>
      <c r="AY393" s="1379">
        <f>-AY366+AY433</f>
        <v/>
      </c>
      <c r="AZ393" s="1361">
        <f>-AZ366+AZ433</f>
        <v/>
      </c>
      <c r="BA393" s="1361">
        <f>-BA366+BA433</f>
        <v/>
      </c>
      <c r="BB393" s="1361">
        <f>-BB366+BB433</f>
        <v/>
      </c>
      <c r="BC393" s="1361">
        <f>-BC366+BC433</f>
        <v/>
      </c>
      <c r="BD393" s="1379">
        <f>-BD366+BD433</f>
        <v/>
      </c>
      <c r="BE393" s="1361">
        <f>-BE366+BE433</f>
        <v/>
      </c>
      <c r="BF393" s="1361">
        <f>-BF366+BF433</f>
        <v/>
      </c>
      <c r="BG393" s="1361">
        <f>-BG366+BG433</f>
        <v/>
      </c>
      <c r="BH393" s="1361">
        <f>-BH366+BH433</f>
        <v/>
      </c>
      <c r="BI393" s="1379">
        <f>-BI366+BI433</f>
        <v/>
      </c>
      <c r="BJ393" s="1361">
        <f>-BJ366+BJ433</f>
        <v/>
      </c>
      <c r="BK393" s="1361">
        <f>-BK366+BK433</f>
        <v/>
      </c>
      <c r="BL393" s="1361">
        <f>-BL366+BL433</f>
        <v/>
      </c>
      <c r="BM393" s="1361">
        <f>-BM366+BM433</f>
        <v/>
      </c>
      <c r="BN393" s="1379">
        <f>-BN366+BN433</f>
        <v/>
      </c>
      <c r="BO393" s="1361">
        <f>-BO366+BO433</f>
        <v/>
      </c>
      <c r="BP393" s="1361">
        <f>-BP366+BP433</f>
        <v/>
      </c>
      <c r="BQ393" s="1363">
        <f>-BQ366+BQ433</f>
        <v/>
      </c>
      <c r="BR393" s="1361" t="n"/>
      <c r="BS393" s="1379" t="n"/>
      <c r="BT393" s="1361" t="n"/>
      <c r="BU393" s="1361" t="n"/>
      <c r="BV393" s="1361" t="n"/>
      <c r="BW393" s="1361" t="n"/>
      <c r="BX393" s="1379" t="n"/>
      <c r="BY393" s="1379" t="n"/>
      <c r="BZ393" s="1379" t="n"/>
      <c r="CA393" s="1379" t="n"/>
      <c r="CB393" s="1364" t="n"/>
    </row>
    <row r="394" hidden="1" outlineLevel="1" ht="14.4" customFormat="1" customHeight="1" s="1359">
      <c r="A394" s="1394" t="inlineStr">
        <is>
          <t>Stock based compensation expense</t>
        </is>
      </c>
      <c r="B394" s="1512" t="n"/>
      <c r="C394" s="1379" t="n"/>
      <c r="D394" s="1378">
        <f>-D172</f>
        <v/>
      </c>
      <c r="E394" s="1378">
        <f>-E172</f>
        <v/>
      </c>
      <c r="F394" s="1378">
        <f>-F172</f>
        <v/>
      </c>
      <c r="G394" s="1364">
        <f>-G172</f>
        <v/>
      </c>
      <c r="H394" s="1364">
        <f>-H172</f>
        <v/>
      </c>
      <c r="I394" s="1364">
        <f>-I172</f>
        <v/>
      </c>
      <c r="J394" s="1364">
        <f>-J172</f>
        <v/>
      </c>
      <c r="K394" s="1378">
        <f>-K172</f>
        <v/>
      </c>
      <c r="L394" s="1364">
        <f>-L172</f>
        <v/>
      </c>
      <c r="M394" s="1364">
        <f>-M172</f>
        <v/>
      </c>
      <c r="N394" s="1364">
        <f>-N172</f>
        <v/>
      </c>
      <c r="O394" s="1364">
        <f>-O172</f>
        <v/>
      </c>
      <c r="P394" s="1378">
        <f>-P172</f>
        <v/>
      </c>
      <c r="Q394" s="1364">
        <f>-Q172</f>
        <v/>
      </c>
      <c r="R394" s="1364">
        <f>-R172</f>
        <v/>
      </c>
      <c r="S394" s="1364">
        <f>-S172</f>
        <v/>
      </c>
      <c r="T394" s="1364">
        <f>-T172</f>
        <v/>
      </c>
      <c r="U394" s="1378">
        <f>-U172</f>
        <v/>
      </c>
      <c r="V394" s="1364">
        <f>-V172</f>
        <v/>
      </c>
      <c r="W394" s="1364">
        <f>-W172</f>
        <v/>
      </c>
      <c r="X394" s="1364">
        <f>-X172</f>
        <v/>
      </c>
      <c r="Y394" s="1364">
        <f>-Y172</f>
        <v/>
      </c>
      <c r="Z394" s="1378">
        <f>-Z172</f>
        <v/>
      </c>
      <c r="AA394" s="1364">
        <f>-AA172</f>
        <v/>
      </c>
      <c r="AB394" s="1364">
        <f>-AB172</f>
        <v/>
      </c>
      <c r="AC394" s="1493" t="n">
        <v>-0.612</v>
      </c>
      <c r="AD394" s="1493" t="n">
        <v>-0.586</v>
      </c>
      <c r="AE394" s="1494" t="n">
        <v>-2.218</v>
      </c>
      <c r="AF394" s="1493" t="n">
        <v>-0.59</v>
      </c>
      <c r="AG394" s="1364">
        <f>-AG172</f>
        <v/>
      </c>
      <c r="AH394" s="1493" t="n">
        <v>-0.736</v>
      </c>
      <c r="AI394" s="1493" t="n">
        <v>-0.699</v>
      </c>
      <c r="AJ394" s="1494" t="n">
        <v>-2.631</v>
      </c>
      <c r="AK394" s="1493" t="n">
        <v>-0.681</v>
      </c>
      <c r="AL394" s="1364">
        <f>-AL172</f>
        <v/>
      </c>
      <c r="AM394" s="1364">
        <f>-AM172</f>
        <v/>
      </c>
      <c r="AN394" s="1493" t="n">
        <v>-0.695</v>
      </c>
      <c r="AO394" s="1494" t="n">
        <v>-2.759</v>
      </c>
      <c r="AP394" s="1493" t="n">
        <v>-0.6909999999999999</v>
      </c>
      <c r="AQ394" s="1364">
        <f>-AQ172</f>
        <v/>
      </c>
      <c r="AR394" s="1364">
        <f>-AR172</f>
        <v/>
      </c>
      <c r="AS394" s="1364">
        <f>-AS172</f>
        <v/>
      </c>
      <c r="AT394" s="1378">
        <f>-AT172</f>
        <v/>
      </c>
      <c r="AU394" s="1364">
        <f>-AU172</f>
        <v/>
      </c>
      <c r="AV394" s="1364">
        <f>-AV172</f>
        <v/>
      </c>
      <c r="AW394" s="1364">
        <f>-AW172</f>
        <v/>
      </c>
      <c r="AX394" s="1364">
        <f>-AX172</f>
        <v/>
      </c>
      <c r="AY394" s="1378">
        <f>-AY172</f>
        <v/>
      </c>
      <c r="AZ394" s="1364">
        <f>-AZ172</f>
        <v/>
      </c>
      <c r="BA394" s="1364">
        <f>-BA172</f>
        <v/>
      </c>
      <c r="BB394" s="1364">
        <f>-BB172</f>
        <v/>
      </c>
      <c r="BC394" s="1364">
        <f>-BC172</f>
        <v/>
      </c>
      <c r="BD394" s="1378">
        <f>-BD172</f>
        <v/>
      </c>
      <c r="BE394" s="1364">
        <f>-BE172</f>
        <v/>
      </c>
      <c r="BF394" s="1364">
        <f>-BF172</f>
        <v/>
      </c>
      <c r="BG394" s="1364">
        <f>-BG172</f>
        <v/>
      </c>
      <c r="BH394" s="1364">
        <f>-BH172</f>
        <v/>
      </c>
      <c r="BI394" s="1378">
        <f>-BI172</f>
        <v/>
      </c>
      <c r="BJ394" s="1364">
        <f>-BJ172</f>
        <v/>
      </c>
      <c r="BK394" s="1364">
        <f>-BK172</f>
        <v/>
      </c>
      <c r="BL394" s="1364">
        <f>-BL172</f>
        <v/>
      </c>
      <c r="BM394" s="1364">
        <f>-BM172</f>
        <v/>
      </c>
      <c r="BN394" s="1378">
        <f>-BN172</f>
        <v/>
      </c>
      <c r="BO394" s="1364">
        <f>-BO172</f>
        <v/>
      </c>
      <c r="BP394" s="1364">
        <f>-BP172</f>
        <v/>
      </c>
      <c r="BQ394" s="1395">
        <f>-BQ172</f>
        <v/>
      </c>
      <c r="BR394" s="1361" t="n"/>
      <c r="BS394" s="1379" t="n"/>
      <c r="BT394" s="1361" t="n"/>
      <c r="BU394" s="1361" t="n"/>
      <c r="BV394" s="1361" t="n"/>
      <c r="BW394" s="1361" t="n"/>
      <c r="BX394" s="1379" t="n"/>
      <c r="BY394" s="1379" t="n"/>
      <c r="BZ394" s="1379" t="n"/>
      <c r="CA394" s="1379" t="n"/>
      <c r="CB394" s="1364" t="n"/>
    </row>
    <row r="395" hidden="1" outlineLevel="1" ht="14.4" customFormat="1" customHeight="1" s="1359">
      <c r="A395" s="1394" t="inlineStr">
        <is>
          <t>Non-qualified deferred compensation expenses</t>
        </is>
      </c>
      <c r="B395" s="1512" t="n"/>
      <c r="C395" s="1379" t="n"/>
      <c r="D395" s="1494" t="n">
        <v>-0.013</v>
      </c>
      <c r="E395" s="1494" t="n">
        <v>0.008</v>
      </c>
      <c r="F395" s="1494">
        <f>-0.003-0.044</f>
        <v/>
      </c>
      <c r="G395" s="1493" t="n">
        <v>-0.004</v>
      </c>
      <c r="H395" s="1493" t="n">
        <v>-0.012</v>
      </c>
      <c r="I395" s="1493" t="n">
        <v>-0.015</v>
      </c>
      <c r="J395" s="1493" t="n">
        <v>-0.007</v>
      </c>
      <c r="K395" s="1494" t="n">
        <v>-0.038</v>
      </c>
      <c r="L395" s="1493" t="n">
        <v>-0.024</v>
      </c>
      <c r="M395" s="1493" t="n">
        <v>-0.005</v>
      </c>
      <c r="N395" s="1493" t="n">
        <v>0.001</v>
      </c>
      <c r="O395" s="1493" t="n">
        <v>-0.006</v>
      </c>
      <c r="P395" s="1494" t="n">
        <v>-0.034</v>
      </c>
      <c r="Q395" s="1493" t="n">
        <v>-0.004</v>
      </c>
      <c r="R395" s="1493" t="n">
        <v>0.003</v>
      </c>
      <c r="S395" s="1493" t="n">
        <v>0.008</v>
      </c>
      <c r="T395" s="1493" t="n">
        <v>-0.002</v>
      </c>
      <c r="U395" s="1494" t="n">
        <v>0.005</v>
      </c>
      <c r="V395" s="1361" t="n"/>
      <c r="W395" s="1361" t="n"/>
      <c r="X395" s="1493" t="n">
        <v>-0.005</v>
      </c>
      <c r="Y395" s="1493" t="n">
        <v>-0.008</v>
      </c>
      <c r="Z395" s="1494" t="n">
        <v>-0.013</v>
      </c>
      <c r="AA395" s="1493" t="n">
        <v>-0.007</v>
      </c>
      <c r="AB395" s="1493" t="n">
        <v>-0.006</v>
      </c>
      <c r="AC395" s="1493" t="n">
        <v>-0.042</v>
      </c>
      <c r="AD395" s="1493" t="n">
        <v>-0.008999999999999999</v>
      </c>
      <c r="AE395" s="1494" t="n">
        <v>-0.064</v>
      </c>
      <c r="AF395" s="1361" t="n"/>
      <c r="AG395" s="1493" t="n">
        <v>-0.003</v>
      </c>
      <c r="AH395" s="1493" t="n">
        <v>-0.007</v>
      </c>
      <c r="AI395" s="1493" t="n">
        <v>0.031</v>
      </c>
      <c r="AJ395" s="1494" t="n">
        <v>0.021</v>
      </c>
      <c r="AK395" s="1493" t="n">
        <v>-0.023</v>
      </c>
      <c r="AL395" s="1493" t="n">
        <v>-0.008</v>
      </c>
      <c r="AM395" s="1361" t="n"/>
      <c r="AN395" s="1493" t="n">
        <v>-0.022</v>
      </c>
      <c r="AO395" s="1494" t="n">
        <v>-0.053</v>
      </c>
      <c r="AP395" s="1493" t="n">
        <v>0.048</v>
      </c>
      <c r="AQ395" s="1493" t="n">
        <v>-0.039</v>
      </c>
      <c r="AR395" s="1493" t="n">
        <v>-0.021</v>
      </c>
      <c r="AS395" s="1493" t="n">
        <v>-0.049</v>
      </c>
      <c r="AT395" s="1378">
        <f>SUM(AP395,AQ395,AR395,AS395)</f>
        <v/>
      </c>
      <c r="AU395" s="1493" t="n">
        <v>-0.017</v>
      </c>
      <c r="AV395" s="1493" t="n">
        <v>-0.019</v>
      </c>
      <c r="AW395" s="1493" t="n">
        <v>0.004</v>
      </c>
      <c r="AX395" s="1493" t="n">
        <v>-0.015</v>
      </c>
      <c r="AY395" s="1378">
        <f>SUM(AU395,AV395,AW395,AX395)</f>
        <v/>
      </c>
      <c r="AZ395" s="1493" t="n">
        <v>0.025</v>
      </c>
      <c r="BA395" s="1493" t="n">
        <v>0.05</v>
      </c>
      <c r="BB395" s="1493" t="n">
        <v>0.029</v>
      </c>
      <c r="BC395" s="1493" t="n">
        <v>-0.03</v>
      </c>
      <c r="BD395" s="1494" t="n">
        <v>0.074</v>
      </c>
      <c r="BE395" s="1493" t="n">
        <v>-0.027</v>
      </c>
      <c r="BF395" s="1493" t="n">
        <v>-0.018</v>
      </c>
      <c r="BG395" s="1493" t="n">
        <v>0.019</v>
      </c>
      <c r="BH395" s="1493" t="n">
        <v>-0.051</v>
      </c>
      <c r="BI395" s="1494" t="n">
        <v>-0.077</v>
      </c>
      <c r="BJ395" s="1493" t="n">
        <v>-0.026</v>
      </c>
      <c r="BK395" s="1493" t="n">
        <v>-0.008</v>
      </c>
      <c r="BL395" s="1493" t="n">
        <v>-0.04</v>
      </c>
      <c r="BM395" s="1493" t="n">
        <v>0.011</v>
      </c>
      <c r="BN395" s="1494" t="n">
        <v>-0.063</v>
      </c>
      <c r="BO395" s="1493" t="n">
        <v>0.005</v>
      </c>
      <c r="BP395" s="1493" t="n">
        <v>-0.056</v>
      </c>
      <c r="BQ395" s="1502" t="n">
        <v>-0.041</v>
      </c>
      <c r="BR395" s="1361" t="n"/>
      <c r="BS395" s="1379" t="n"/>
      <c r="BT395" s="1361" t="n"/>
      <c r="BU395" s="1361" t="n"/>
      <c r="BV395" s="1361" t="n"/>
      <c r="BW395" s="1361" t="n"/>
      <c r="BX395" s="1379" t="n"/>
      <c r="BY395" s="1379" t="n"/>
      <c r="BZ395" s="1379" t="n"/>
      <c r="CA395" s="1379" t="n"/>
      <c r="CB395" s="1364" t="n"/>
    </row>
    <row r="396" hidden="1" outlineLevel="1" ht="14.4" customFormat="1" customHeight="1" s="1359">
      <c r="A396" s="1394" t="inlineStr">
        <is>
          <t>Acquisition and integration related costs</t>
        </is>
      </c>
      <c r="B396" s="1512" t="n"/>
      <c r="C396" s="1379" t="n"/>
      <c r="D396" s="1379" t="n"/>
      <c r="E396" s="1379" t="n"/>
      <c r="F396" s="1379" t="n"/>
      <c r="G396" s="1361" t="n"/>
      <c r="H396" s="1361" t="n"/>
      <c r="I396" s="1361" t="n"/>
      <c r="J396" s="1361" t="n"/>
      <c r="K396" s="1379" t="n"/>
      <c r="L396" s="1361" t="n"/>
      <c r="M396" s="1361" t="n"/>
      <c r="N396" s="1361" t="n"/>
      <c r="O396" s="1361" t="n"/>
      <c r="P396" s="1379" t="n"/>
      <c r="Q396" s="1361" t="n"/>
      <c r="R396" s="1361" t="n"/>
      <c r="S396" s="1361" t="n"/>
      <c r="T396" s="1361" t="n"/>
      <c r="U396" s="1379" t="n"/>
      <c r="V396" s="1361" t="n"/>
      <c r="W396" s="1361" t="n"/>
      <c r="X396" s="1361" t="n"/>
      <c r="Y396" s="1361" t="n"/>
      <c r="Z396" s="1379" t="n"/>
      <c r="AA396" s="1361" t="n"/>
      <c r="AB396" s="1361" t="n"/>
      <c r="AC396" s="1361" t="n"/>
      <c r="AD396" s="1361" t="n"/>
      <c r="AE396" s="1379" t="n"/>
      <c r="AF396" s="1361" t="n"/>
      <c r="AG396" s="1361" t="n"/>
      <c r="AH396" s="1361" t="n"/>
      <c r="AI396" s="1361" t="n"/>
      <c r="AJ396" s="1379" t="n"/>
      <c r="AK396" s="1361" t="n"/>
      <c r="AL396" s="1361" t="n"/>
      <c r="AM396" s="1361" t="n"/>
      <c r="AN396" s="1361" t="n"/>
      <c r="AO396" s="1379" t="n"/>
      <c r="AP396" s="1361" t="n"/>
      <c r="AQ396" s="1361" t="n"/>
      <c r="AR396" s="1361" t="n"/>
      <c r="AS396" s="1361" t="n"/>
      <c r="AT396" s="1379" t="n"/>
      <c r="AU396" s="1361" t="n"/>
      <c r="AV396" s="1361" t="n"/>
      <c r="AW396" s="1361" t="n"/>
      <c r="AX396" s="1361" t="n"/>
      <c r="AY396" s="1379" t="n"/>
      <c r="AZ396" s="1361" t="n"/>
      <c r="BA396" s="1361" t="n"/>
      <c r="BB396" s="1493" t="n">
        <v>-0.035</v>
      </c>
      <c r="BC396" s="1493" t="n">
        <v>-0.136</v>
      </c>
      <c r="BD396" s="1494" t="n">
        <v>-0.171</v>
      </c>
      <c r="BE396" s="1493" t="n">
        <v>-0.126</v>
      </c>
      <c r="BF396" s="1493" t="n">
        <v>-0.128</v>
      </c>
      <c r="BG396" s="1493" t="n">
        <v>-0.112</v>
      </c>
      <c r="BH396" s="1493" t="n">
        <v>-0.079</v>
      </c>
      <c r="BI396" s="1494" t="n">
        <v>-0.445</v>
      </c>
      <c r="BJ396" s="1493" t="n">
        <v>-0.078</v>
      </c>
      <c r="BK396" s="1493" t="n">
        <v>-0.078</v>
      </c>
      <c r="BL396" s="1493" t="n">
        <v>-1.089</v>
      </c>
      <c r="BM396" s="1493" t="n">
        <v>-0.954</v>
      </c>
      <c r="BN396" s="1494" t="n">
        <v>-2.199</v>
      </c>
      <c r="BO396" s="1493" t="n">
        <v>-1.019</v>
      </c>
      <c r="BP396" s="1493" t="n">
        <v>-0.822</v>
      </c>
      <c r="BQ396" s="1502" t="n">
        <v>-0.33</v>
      </c>
      <c r="BR396" s="1361" t="n"/>
      <c r="BS396" s="1379" t="n"/>
      <c r="BT396" s="1361" t="n"/>
      <c r="BU396" s="1361" t="n"/>
      <c r="BV396" s="1361" t="n"/>
      <c r="BW396" s="1361" t="n"/>
      <c r="BX396" s="1379" t="n"/>
      <c r="BY396" s="1379" t="n"/>
      <c r="BZ396" s="1379" t="n"/>
      <c r="CA396" s="1379" t="n"/>
      <c r="CB396" s="1364" t="n"/>
    </row>
    <row r="397" hidden="1" outlineLevel="1" ht="14.4" customFormat="1" customHeight="1" s="1359">
      <c r="A397" s="1394" t="inlineStr">
        <is>
          <t>Executive and other employee severance costs</t>
        </is>
      </c>
      <c r="B397" s="1512" t="n"/>
      <c r="C397" s="1379" t="n"/>
      <c r="D397" s="1379" t="n"/>
      <c r="E397" s="1494" t="n">
        <v>-0.192</v>
      </c>
      <c r="F397" s="1379" t="n"/>
      <c r="G397" s="1361" t="n"/>
      <c r="H397" s="1361" t="n"/>
      <c r="I397" s="1361" t="n"/>
      <c r="J397" s="1361" t="n"/>
      <c r="K397" s="1379" t="n"/>
      <c r="L397" s="1361" t="n"/>
      <c r="M397" s="1361" t="n"/>
      <c r="N397" s="1361" t="n"/>
      <c r="O397" s="1361" t="n"/>
      <c r="P397" s="1379" t="n"/>
      <c r="Q397" s="1361" t="n"/>
      <c r="R397" s="1361" t="n"/>
      <c r="S397" s="1361" t="n"/>
      <c r="T397" s="1361" t="n"/>
      <c r="U397" s="1379" t="n"/>
      <c r="V397" s="1361" t="n"/>
      <c r="W397" s="1361" t="n"/>
      <c r="X397" s="1361" t="n"/>
      <c r="Y397" s="1361" t="n"/>
      <c r="Z397" s="1379" t="n"/>
      <c r="AA397" s="1361" t="n"/>
      <c r="AB397" s="1361" t="n"/>
      <c r="AC397" s="1361" t="n"/>
      <c r="AD397" s="1361" t="n"/>
      <c r="AE397" s="1379" t="n"/>
      <c r="AF397" s="1361" t="n"/>
      <c r="AG397" s="1361" t="n"/>
      <c r="AH397" s="1361" t="n"/>
      <c r="AI397" s="1361" t="n"/>
      <c r="AJ397" s="1379" t="n"/>
      <c r="AK397" s="1361" t="n"/>
      <c r="AL397" s="1361" t="n"/>
      <c r="AM397" s="1361" t="n"/>
      <c r="AN397" s="1361" t="n"/>
      <c r="AO397" s="1379" t="n"/>
      <c r="AP397" s="1361" t="n"/>
      <c r="AQ397" s="1361" t="n"/>
      <c r="AR397" s="1361" t="n"/>
      <c r="AS397" s="1361" t="n"/>
      <c r="AT397" s="1379" t="n"/>
      <c r="AU397" s="1361" t="n"/>
      <c r="AV397" s="1361" t="n"/>
      <c r="AW397" s="1361" t="n"/>
      <c r="AX397" s="1361" t="n"/>
      <c r="AY397" s="1379" t="n"/>
      <c r="AZ397" s="1361" t="n"/>
      <c r="BA397" s="1361" t="n"/>
      <c r="BB397" s="1361" t="n"/>
      <c r="BC397" s="1361" t="n"/>
      <c r="BD397" s="1379" t="n"/>
      <c r="BE397" s="1361" t="n"/>
      <c r="BF397" s="1361" t="n"/>
      <c r="BG397" s="1361" t="n"/>
      <c r="BH397" s="1361" t="n"/>
      <c r="BI397" s="1379" t="n"/>
      <c r="BJ397" s="1361" t="n"/>
      <c r="BK397" s="1361" t="n"/>
      <c r="BL397" s="1361" t="n"/>
      <c r="BM397" s="1361" t="n"/>
      <c r="BN397" s="1379" t="n"/>
      <c r="BO397" s="1361" t="n"/>
      <c r="BP397" s="1361" t="n"/>
      <c r="BQ397" s="1363" t="n"/>
      <c r="BR397" s="1361" t="n"/>
      <c r="BS397" s="1379" t="n"/>
      <c r="BT397" s="1361" t="n"/>
      <c r="BU397" s="1361" t="n"/>
      <c r="BV397" s="1361" t="n"/>
      <c r="BW397" s="1361" t="n"/>
      <c r="BX397" s="1379" t="n"/>
      <c r="BY397" s="1379" t="n"/>
      <c r="BZ397" s="1379" t="n"/>
      <c r="CA397" s="1379" t="n"/>
      <c r="CB397" s="1364" t="n"/>
    </row>
    <row r="398" hidden="1" outlineLevel="1" ht="14.4" customFormat="1" customHeight="1" s="1359">
      <c r="A398" s="1453" t="inlineStr">
        <is>
          <t>Special charges</t>
        </is>
      </c>
      <c r="B398" s="1514" t="n"/>
      <c r="C398" s="1455" t="n"/>
      <c r="D398" s="1455" t="n"/>
      <c r="E398" s="1455" t="n"/>
      <c r="F398" s="1455" t="n"/>
      <c r="G398" s="1456" t="n"/>
      <c r="H398" s="1456" t="n"/>
      <c r="I398" s="1456" t="n"/>
      <c r="J398" s="1456" t="n"/>
      <c r="K398" s="1455" t="n"/>
      <c r="L398" s="1456" t="n"/>
      <c r="M398" s="1479" t="n">
        <v>-0.401</v>
      </c>
      <c r="N398" s="1456" t="n"/>
      <c r="O398" s="1456" t="n"/>
      <c r="P398" s="1480" t="n">
        <v>-0.401</v>
      </c>
      <c r="Q398" s="1456" t="n"/>
      <c r="R398" s="1456" t="n"/>
      <c r="S398" s="1456" t="n"/>
      <c r="T398" s="1456" t="n"/>
      <c r="U398" s="1455" t="n"/>
      <c r="V398" s="1456" t="n"/>
      <c r="W398" s="1456" t="n"/>
      <c r="X398" s="1456" t="n"/>
      <c r="Y398" s="1456" t="n"/>
      <c r="Z398" s="1455" t="n"/>
      <c r="AA398" s="1456" t="n"/>
      <c r="AB398" s="1456" t="n"/>
      <c r="AC398" s="1456" t="n"/>
      <c r="AD398" s="1456" t="n"/>
      <c r="AE398" s="1455" t="n"/>
      <c r="AF398" s="1456" t="n"/>
      <c r="AG398" s="1456" t="n"/>
      <c r="AH398" s="1456" t="n"/>
      <c r="AI398" s="1456" t="n"/>
      <c r="AJ398" s="1455" t="n"/>
      <c r="AK398" s="1456" t="n"/>
      <c r="AL398" s="1456" t="n"/>
      <c r="AM398" s="1456" t="n"/>
      <c r="AN398" s="1456" t="n"/>
      <c r="AO398" s="1455" t="n"/>
      <c r="AP398" s="1456" t="n"/>
      <c r="AQ398" s="1456" t="n"/>
      <c r="AR398" s="1456" t="n"/>
      <c r="AS398" s="1456" t="n"/>
      <c r="AT398" s="1455" t="n"/>
      <c r="AU398" s="1456" t="n"/>
      <c r="AV398" s="1479" t="n">
        <v>-0.522</v>
      </c>
      <c r="AW398" s="1456" t="n"/>
      <c r="AX398" s="1456" t="n"/>
      <c r="AY398" s="1480" t="n">
        <v>-0.522</v>
      </c>
      <c r="AZ398" s="1456" t="n"/>
      <c r="BA398" s="1456" t="n"/>
      <c r="BB398" s="1456" t="n"/>
      <c r="BC398" s="1456" t="n"/>
      <c r="BD398" s="1455" t="n"/>
      <c r="BE398" s="1456" t="n"/>
      <c r="BF398" s="1456" t="n"/>
      <c r="BG398" s="1456" t="n"/>
      <c r="BH398" s="1456" t="n"/>
      <c r="BI398" s="1455" t="n"/>
      <c r="BJ398" s="1456" t="n"/>
      <c r="BK398" s="1456" t="n"/>
      <c r="BL398" s="1456" t="n"/>
      <c r="BM398" s="1456" t="n"/>
      <c r="BN398" s="1455" t="n"/>
      <c r="BO398" s="1456" t="n"/>
      <c r="BP398" s="1456" t="n"/>
      <c r="BQ398" s="1457" t="n"/>
      <c r="BR398" s="1456" t="n"/>
      <c r="BS398" s="1455" t="n"/>
      <c r="BT398" s="1456" t="n"/>
      <c r="BU398" s="1456" t="n"/>
      <c r="BV398" s="1456" t="n"/>
      <c r="BW398" s="1456" t="n"/>
      <c r="BX398" s="1455" t="n"/>
      <c r="BY398" s="1455" t="n"/>
      <c r="BZ398" s="1455" t="n"/>
      <c r="CA398" s="1455" t="n"/>
      <c r="CB398" s="1364" t="n"/>
    </row>
    <row r="399" hidden="1" outlineLevel="1" ht="14.4" customFormat="1" customHeight="1" s="1372">
      <c r="A399" s="1400" t="inlineStr">
        <is>
          <t>Non-GAAP cost of product and maintenance</t>
        </is>
      </c>
      <c r="B399" s="1516" t="n"/>
      <c r="C399" s="1405" t="n"/>
      <c r="D399" s="1402">
        <f>SUM(D392:D398)</f>
        <v/>
      </c>
      <c r="E399" s="1402">
        <f>SUM(E392:E398)</f>
        <v/>
      </c>
      <c r="F399" s="1402">
        <f>SUM(F392:F398)</f>
        <v/>
      </c>
      <c r="G399" s="1403">
        <f>SUM(G392:G398)</f>
        <v/>
      </c>
      <c r="H399" s="1403">
        <f>SUM(H392:H398)</f>
        <v/>
      </c>
      <c r="I399" s="1403">
        <f>SUM(I392:I398)</f>
        <v/>
      </c>
      <c r="J399" s="1403">
        <f>SUM(J392:J398)</f>
        <v/>
      </c>
      <c r="K399" s="1402">
        <f>SUM(K392:K398)</f>
        <v/>
      </c>
      <c r="L399" s="1403">
        <f>SUM(L392:L398)</f>
        <v/>
      </c>
      <c r="M399" s="1403">
        <f>SUM(M392:M398)</f>
        <v/>
      </c>
      <c r="N399" s="1403">
        <f>SUM(N392:N398)</f>
        <v/>
      </c>
      <c r="O399" s="1403">
        <f>SUM(O392:O398)</f>
        <v/>
      </c>
      <c r="P399" s="1402">
        <f>SUM(P392:P398)</f>
        <v/>
      </c>
      <c r="Q399" s="1403">
        <f>SUM(Q392:Q398)</f>
        <v/>
      </c>
      <c r="R399" s="1403">
        <f>SUM(R392:R398)</f>
        <v/>
      </c>
      <c r="S399" s="1403">
        <f>SUM(S392:S398)</f>
        <v/>
      </c>
      <c r="T399" s="1403">
        <f>SUM(T392:T398)</f>
        <v/>
      </c>
      <c r="U399" s="1402">
        <f>SUM(U392:U398)</f>
        <v/>
      </c>
      <c r="V399" s="1403">
        <f>SUM(V392:V398)</f>
        <v/>
      </c>
      <c r="W399" s="1403">
        <f>SUM(W392:W398)</f>
        <v/>
      </c>
      <c r="X399" s="1403">
        <f>SUM(X392:X398)</f>
        <v/>
      </c>
      <c r="Y399" s="1404">
        <f>SUM(Y392:Y398)</f>
        <v/>
      </c>
      <c r="Z399" s="1405">
        <f>SUM(Z392:Z398)</f>
        <v/>
      </c>
      <c r="AA399" s="1403">
        <f>SUM(AA392:AA398)</f>
        <v/>
      </c>
      <c r="AB399" s="1403">
        <f>SUM(AB392:AB398)</f>
        <v/>
      </c>
      <c r="AC399" s="1403">
        <f>SUM(AC392:AC398)</f>
        <v/>
      </c>
      <c r="AD399" s="1404">
        <f>SUM(AD392:AD398)</f>
        <v/>
      </c>
      <c r="AE399" s="1405">
        <f>SUM(AE392:AE398)</f>
        <v/>
      </c>
      <c r="AF399" s="1403">
        <f>SUM(AF392:AF398)</f>
        <v/>
      </c>
      <c r="AG399" s="1403">
        <f>SUM(AG392:AG398)</f>
        <v/>
      </c>
      <c r="AH399" s="1545" t="n">
        <v>26.158</v>
      </c>
      <c r="AI399" s="1545" t="n">
        <v>44.606</v>
      </c>
      <c r="AJ399" s="1405">
        <f>SUM(AJ392:AJ398)</f>
        <v/>
      </c>
      <c r="AK399" s="1403">
        <f>SUM(AK392:AK398)</f>
        <v/>
      </c>
      <c r="AL399" s="1403">
        <f>SUM(AL392:AL398)</f>
        <v/>
      </c>
      <c r="AM399" s="1403">
        <f>SUM(AM392:AM398)</f>
        <v/>
      </c>
      <c r="AN399" s="1404">
        <f>SUM(AN392:AN398)</f>
        <v/>
      </c>
      <c r="AO399" s="1405">
        <f>SUM(AO392:AO398)</f>
        <v/>
      </c>
      <c r="AP399" s="1403">
        <f>SUM(AP392:AP398)</f>
        <v/>
      </c>
      <c r="AQ399" s="1403">
        <f>SUM(AQ392:AQ398)</f>
        <v/>
      </c>
      <c r="AR399" s="1403">
        <f>SUM(AR392:AR398)</f>
        <v/>
      </c>
      <c r="AS399" s="1404">
        <f>SUM(AS392:AS398)</f>
        <v/>
      </c>
      <c r="AT399" s="1405">
        <f>SUM(AT392:AT398)</f>
        <v/>
      </c>
      <c r="AU399" s="1403">
        <f>SUM(AU392:AU398)</f>
        <v/>
      </c>
      <c r="AV399" s="1403">
        <f>SUM(AV392:AV398)</f>
        <v/>
      </c>
      <c r="AW399" s="1403">
        <f>SUM(AW392:AW398)</f>
        <v/>
      </c>
      <c r="AX399" s="1404">
        <f>SUM(AX392:AX398)</f>
        <v/>
      </c>
      <c r="AY399" s="1405">
        <f>SUM(AY392:AY398)</f>
        <v/>
      </c>
      <c r="AZ399" s="1403">
        <f>SUM(AZ392:AZ398)</f>
        <v/>
      </c>
      <c r="BA399" s="1403">
        <f>SUM(BA392:BA398)</f>
        <v/>
      </c>
      <c r="BB399" s="1403">
        <f>SUM(BB392:BB398)</f>
        <v/>
      </c>
      <c r="BC399" s="1404">
        <f>SUM(BC392:BC398)</f>
        <v/>
      </c>
      <c r="BD399" s="1405">
        <f>SUM(BD392:BD398)</f>
        <v/>
      </c>
      <c r="BE399" s="1403">
        <f>SUM(BE392:BE398)</f>
        <v/>
      </c>
      <c r="BF399" s="1403">
        <f>SUM(BF392:BF398)</f>
        <v/>
      </c>
      <c r="BG399" s="1403">
        <f>SUM(BG392:BG398)</f>
        <v/>
      </c>
      <c r="BH399" s="1404">
        <f>SUM(BH392:BH398)</f>
        <v/>
      </c>
      <c r="BI399" s="1405">
        <f>SUM(BI392:BI398)</f>
        <v/>
      </c>
      <c r="BJ399" s="1403">
        <f>SUM(BJ392:BJ398)</f>
        <v/>
      </c>
      <c r="BK399" s="1403">
        <f>SUM(BK392:BK398)</f>
        <v/>
      </c>
      <c r="BL399" s="1403">
        <f>SUM(BL392:BL398)</f>
        <v/>
      </c>
      <c r="BM399" s="1404">
        <f>SUM(BM392:BM398)</f>
        <v/>
      </c>
      <c r="BN399" s="1405">
        <f>SUM(BN392:BN398)</f>
        <v/>
      </c>
      <c r="BO399" s="1403">
        <f>SUM(BO392:BO398)</f>
        <v/>
      </c>
      <c r="BP399" s="1403">
        <f>SUM(BP392:BP398)</f>
        <v/>
      </c>
      <c r="BQ399" s="1406">
        <f>SUM(BQ392:BQ398)</f>
        <v/>
      </c>
      <c r="BR399" s="1404" t="n"/>
      <c r="BS399" s="1405" t="n"/>
      <c r="BT399" s="1404" t="n"/>
      <c r="BU399" s="1404" t="n"/>
      <c r="BV399" s="1404" t="n"/>
      <c r="BW399" s="1404" t="n"/>
      <c r="BX399" s="1405" t="n"/>
      <c r="BY399" s="1405" t="n"/>
      <c r="BZ399" s="1405" t="n"/>
      <c r="CA399" s="1405" t="n"/>
      <c r="CB399" s="1375" t="n"/>
    </row>
    <row r="400" hidden="1" outlineLevel="1" ht="14.4" customFormat="1" customHeight="1" s="1372">
      <c r="A400" s="1447" t="n"/>
      <c r="B400" s="1517" t="n"/>
      <c r="C400" s="1449" t="n"/>
      <c r="D400" s="1449" t="n"/>
      <c r="E400" s="1449" t="n"/>
      <c r="F400" s="1449" t="n"/>
      <c r="G400" s="1450" t="n"/>
      <c r="H400" s="1450" t="n"/>
      <c r="I400" s="1450" t="n"/>
      <c r="J400" s="1450" t="n"/>
      <c r="K400" s="1449" t="n"/>
      <c r="L400" s="1450" t="n"/>
      <c r="M400" s="1450" t="n"/>
      <c r="N400" s="1450" t="n"/>
      <c r="O400" s="1450" t="n"/>
      <c r="P400" s="1449" t="n"/>
      <c r="Q400" s="1450" t="n"/>
      <c r="R400" s="1450" t="n"/>
      <c r="S400" s="1450" t="n"/>
      <c r="T400" s="1450" t="n"/>
      <c r="U400" s="1449" t="n"/>
      <c r="V400" s="1450" t="n"/>
      <c r="W400" s="1450" t="n"/>
      <c r="X400" s="1450" t="n"/>
      <c r="Y400" s="1450" t="n"/>
      <c r="Z400" s="1449" t="n"/>
      <c r="AA400" s="1450" t="n"/>
      <c r="AB400" s="1450" t="n"/>
      <c r="AC400" s="1450" t="n"/>
      <c r="AD400" s="1450" t="n"/>
      <c r="AE400" s="1449" t="n"/>
      <c r="AF400" s="1450" t="n"/>
      <c r="AG400" s="1450" t="n"/>
      <c r="AH400" s="1450" t="n"/>
      <c r="AI400" s="1450" t="n"/>
      <c r="AJ400" s="1449" t="n"/>
      <c r="AK400" s="1450" t="n"/>
      <c r="AL400" s="1450" t="n"/>
      <c r="AM400" s="1450" t="n"/>
      <c r="AN400" s="1450" t="n"/>
      <c r="AO400" s="1449" t="n"/>
      <c r="AP400" s="1450" t="n"/>
      <c r="AQ400" s="1450" t="n"/>
      <c r="AR400" s="1450" t="n"/>
      <c r="AS400" s="1450" t="n"/>
      <c r="AT400" s="1449" t="n"/>
      <c r="AU400" s="1450" t="n"/>
      <c r="AV400" s="1450" t="n"/>
      <c r="AW400" s="1450" t="n"/>
      <c r="AX400" s="1450" t="n"/>
      <c r="AY400" s="1449" t="n"/>
      <c r="AZ400" s="1450" t="n"/>
      <c r="BA400" s="1450" t="n"/>
      <c r="BB400" s="1450" t="n"/>
      <c r="BC400" s="1450" t="n"/>
      <c r="BD400" s="1449" t="n"/>
      <c r="BE400" s="1450" t="n"/>
      <c r="BF400" s="1450" t="n"/>
      <c r="BG400" s="1450" t="n"/>
      <c r="BH400" s="1450" t="n"/>
      <c r="BI400" s="1449" t="n"/>
      <c r="BJ400" s="1450" t="n"/>
      <c r="BK400" s="1450" t="n"/>
      <c r="BL400" s="1450" t="n"/>
      <c r="BM400" s="1450" t="n"/>
      <c r="BN400" s="1449" t="n"/>
      <c r="BO400" s="1450" t="n"/>
      <c r="BP400" s="1450" t="n"/>
      <c r="BQ400" s="1451" t="n"/>
      <c r="BR400" s="1450" t="n"/>
      <c r="BS400" s="1449" t="n"/>
      <c r="BT400" s="1450" t="n"/>
      <c r="BU400" s="1450" t="n"/>
      <c r="BV400" s="1450" t="n"/>
      <c r="BW400" s="1450" t="n"/>
      <c r="BX400" s="1449" t="n"/>
      <c r="BY400" s="1449" t="n"/>
      <c r="BZ400" s="1449" t="n"/>
      <c r="CA400" s="1449" t="n"/>
      <c r="CB400" s="1375" t="n"/>
    </row>
    <row r="401" hidden="1" outlineLevel="1" ht="14.4" customFormat="1" customHeight="1" s="1372">
      <c r="A401" s="1452" t="inlineStr">
        <is>
          <t>GAAP cost of services</t>
        </is>
      </c>
      <c r="B401" s="1517" t="n"/>
      <c r="C401" s="1458">
        <f>C344</f>
        <v/>
      </c>
      <c r="D401" s="1458">
        <f>D344</f>
        <v/>
      </c>
      <c r="E401" s="1458">
        <f>E344</f>
        <v/>
      </c>
      <c r="F401" s="1458">
        <f>F344</f>
        <v/>
      </c>
      <c r="G401" s="1375">
        <f>G344</f>
        <v/>
      </c>
      <c r="H401" s="1375">
        <f>H344</f>
        <v/>
      </c>
      <c r="I401" s="1375">
        <f>I344</f>
        <v/>
      </c>
      <c r="J401" s="1375">
        <f>J344</f>
        <v/>
      </c>
      <c r="K401" s="1458">
        <f>K344</f>
        <v/>
      </c>
      <c r="L401" s="1375">
        <f>L344</f>
        <v/>
      </c>
      <c r="M401" s="1375">
        <f>M344</f>
        <v/>
      </c>
      <c r="N401" s="1375">
        <f>N344</f>
        <v/>
      </c>
      <c r="O401" s="1375">
        <f>O344</f>
        <v/>
      </c>
      <c r="P401" s="1458">
        <f>P344</f>
        <v/>
      </c>
      <c r="Q401" s="1375">
        <f>Q344</f>
        <v/>
      </c>
      <c r="R401" s="1375">
        <f>R344</f>
        <v/>
      </c>
      <c r="S401" s="1375">
        <f>S344</f>
        <v/>
      </c>
      <c r="T401" s="1375">
        <f>T344</f>
        <v/>
      </c>
      <c r="U401" s="1458">
        <f>U344</f>
        <v/>
      </c>
      <c r="V401" s="1375">
        <f>V344</f>
        <v/>
      </c>
      <c r="W401" s="1375">
        <f>W344</f>
        <v/>
      </c>
      <c r="X401" s="1375">
        <f>X344</f>
        <v/>
      </c>
      <c r="Y401" s="1450">
        <f>Y344</f>
        <v/>
      </c>
      <c r="Z401" s="1449">
        <f>Z344</f>
        <v/>
      </c>
      <c r="AA401" s="1375">
        <f>AA344</f>
        <v/>
      </c>
      <c r="AB401" s="1375">
        <f>AB344</f>
        <v/>
      </c>
      <c r="AC401" s="1375">
        <f>AC344</f>
        <v/>
      </c>
      <c r="AD401" s="1450">
        <f>AD344</f>
        <v/>
      </c>
      <c r="AE401" s="1449">
        <f>AE344</f>
        <v/>
      </c>
      <c r="AF401" s="1375">
        <f>AF344</f>
        <v/>
      </c>
      <c r="AG401" s="1375">
        <f>AG344</f>
        <v/>
      </c>
      <c r="AH401" s="1375">
        <f>AH344</f>
        <v/>
      </c>
      <c r="AI401" s="1450">
        <f>AI344</f>
        <v/>
      </c>
      <c r="AJ401" s="1449">
        <f>AJ344</f>
        <v/>
      </c>
      <c r="AK401" s="1375">
        <f>AK344</f>
        <v/>
      </c>
      <c r="AL401" s="1375">
        <f>AL344</f>
        <v/>
      </c>
      <c r="AM401" s="1375">
        <f>AM344</f>
        <v/>
      </c>
      <c r="AN401" s="1450">
        <f>AN344</f>
        <v/>
      </c>
      <c r="AO401" s="1449">
        <f>AO344</f>
        <v/>
      </c>
      <c r="AP401" s="1375">
        <f>AP344</f>
        <v/>
      </c>
      <c r="AQ401" s="1375">
        <f>AQ344</f>
        <v/>
      </c>
      <c r="AR401" s="1375">
        <f>AR344</f>
        <v/>
      </c>
      <c r="AS401" s="1450">
        <f>AS344</f>
        <v/>
      </c>
      <c r="AT401" s="1449">
        <f>AT344</f>
        <v/>
      </c>
      <c r="AU401" s="1375">
        <f>AU344</f>
        <v/>
      </c>
      <c r="AV401" s="1375">
        <f>AV344</f>
        <v/>
      </c>
      <c r="AW401" s="1375">
        <f>AW344</f>
        <v/>
      </c>
      <c r="AX401" s="1450">
        <f>AX344</f>
        <v/>
      </c>
      <c r="AY401" s="1449">
        <f>AY344</f>
        <v/>
      </c>
      <c r="AZ401" s="1375">
        <f>AZ344</f>
        <v/>
      </c>
      <c r="BA401" s="1375">
        <f>BA344</f>
        <v/>
      </c>
      <c r="BB401" s="1375">
        <f>BB344</f>
        <v/>
      </c>
      <c r="BC401" s="1450">
        <f>BC344</f>
        <v/>
      </c>
      <c r="BD401" s="1449">
        <f>BD344</f>
        <v/>
      </c>
      <c r="BE401" s="1375">
        <f>BE344</f>
        <v/>
      </c>
      <c r="BF401" s="1375">
        <f>BF344</f>
        <v/>
      </c>
      <c r="BG401" s="1375">
        <f>BG344</f>
        <v/>
      </c>
      <c r="BH401" s="1450">
        <f>BH344</f>
        <v/>
      </c>
      <c r="BI401" s="1449">
        <f>BI344</f>
        <v/>
      </c>
      <c r="BJ401" s="1375">
        <f>BJ344</f>
        <v/>
      </c>
      <c r="BK401" s="1375">
        <f>BK344</f>
        <v/>
      </c>
      <c r="BL401" s="1375">
        <f>BL344</f>
        <v/>
      </c>
      <c r="BM401" s="1450">
        <f>BM344</f>
        <v/>
      </c>
      <c r="BN401" s="1449">
        <f>BN344</f>
        <v/>
      </c>
      <c r="BO401" s="1375">
        <f>BO344</f>
        <v/>
      </c>
      <c r="BP401" s="1375">
        <f>BP344</f>
        <v/>
      </c>
      <c r="BQ401" s="1459">
        <f>BQ344</f>
        <v/>
      </c>
      <c r="BR401" s="1450" t="n"/>
      <c r="BS401" s="1449" t="n"/>
      <c r="BT401" s="1450" t="n"/>
      <c r="BU401" s="1450" t="n"/>
      <c r="BV401" s="1450" t="n"/>
      <c r="BW401" s="1450" t="n"/>
      <c r="BX401" s="1449" t="n"/>
      <c r="BY401" s="1449" t="n"/>
      <c r="BZ401" s="1449" t="n"/>
      <c r="CA401" s="1449" t="n"/>
      <c r="CB401" s="1375" t="n"/>
    </row>
    <row r="402" hidden="1" outlineLevel="1" ht="14.4" customFormat="1" customHeight="1" s="1359">
      <c r="A402" s="1394" t="inlineStr">
        <is>
          <t>Stock based compensation expense</t>
        </is>
      </c>
      <c r="B402" s="1512" t="n"/>
      <c r="C402" s="1379" t="n"/>
      <c r="D402" s="1378">
        <f>-D173</f>
        <v/>
      </c>
      <c r="E402" s="1378">
        <f>-E173</f>
        <v/>
      </c>
      <c r="F402" s="1378">
        <f>-F173</f>
        <v/>
      </c>
      <c r="G402" s="1364">
        <f>-G173</f>
        <v/>
      </c>
      <c r="H402" s="1364">
        <f>-H173</f>
        <v/>
      </c>
      <c r="I402" s="1364">
        <f>-I173</f>
        <v/>
      </c>
      <c r="J402" s="1364">
        <f>-J173</f>
        <v/>
      </c>
      <c r="K402" s="1378">
        <f>-K173</f>
        <v/>
      </c>
      <c r="L402" s="1364">
        <f>-L173</f>
        <v/>
      </c>
      <c r="M402" s="1364">
        <f>-M173</f>
        <v/>
      </c>
      <c r="N402" s="1364">
        <f>-N173</f>
        <v/>
      </c>
      <c r="O402" s="1364">
        <f>-O173</f>
        <v/>
      </c>
      <c r="P402" s="1378">
        <f>-P173</f>
        <v/>
      </c>
      <c r="Q402" s="1364">
        <f>-Q173</f>
        <v/>
      </c>
      <c r="R402" s="1364">
        <f>-R173</f>
        <v/>
      </c>
      <c r="S402" s="1364">
        <f>-S173</f>
        <v/>
      </c>
      <c r="T402" s="1364">
        <f>-T173</f>
        <v/>
      </c>
      <c r="U402" s="1378">
        <f>-U173</f>
        <v/>
      </c>
      <c r="V402" s="1364">
        <f>-V173</f>
        <v/>
      </c>
      <c r="W402" s="1364">
        <f>-W173</f>
        <v/>
      </c>
      <c r="X402" s="1364">
        <f>-X173</f>
        <v/>
      </c>
      <c r="Y402" s="1364">
        <f>-Y173</f>
        <v/>
      </c>
      <c r="Z402" s="1378">
        <f>-Z173</f>
        <v/>
      </c>
      <c r="AA402" s="1364">
        <f>-AA173</f>
        <v/>
      </c>
      <c r="AB402" s="1364">
        <f>-AB173</f>
        <v/>
      </c>
      <c r="AC402" s="1364">
        <f>-AC173</f>
        <v/>
      </c>
      <c r="AD402" s="1493" t="n">
        <v>-0.859</v>
      </c>
      <c r="AE402" s="1494" t="n">
        <v>-3.232</v>
      </c>
      <c r="AF402" s="1493" t="n">
        <v>-0.863</v>
      </c>
      <c r="AG402" s="1364">
        <f>-AG173</f>
        <v/>
      </c>
      <c r="AH402" s="1493" t="n">
        <v>-1.078</v>
      </c>
      <c r="AI402" s="1493" t="n">
        <v>-0.889</v>
      </c>
      <c r="AJ402" s="1494" t="n">
        <v>-3.714</v>
      </c>
      <c r="AK402" s="1493" t="n">
        <v>-0.866</v>
      </c>
      <c r="AL402" s="1364">
        <f>-AL173</f>
        <v/>
      </c>
      <c r="AM402" s="1364">
        <f>-AM173</f>
        <v/>
      </c>
      <c r="AN402" s="1493" t="n">
        <v>-0.884</v>
      </c>
      <c r="AO402" s="1494" t="n">
        <v>-3.51</v>
      </c>
      <c r="AP402" s="1493" t="n">
        <v>-0.88</v>
      </c>
      <c r="AQ402" s="1364">
        <f>-AQ173</f>
        <v/>
      </c>
      <c r="AR402" s="1364">
        <f>-AR173</f>
        <v/>
      </c>
      <c r="AS402" s="1364">
        <f>-AS173</f>
        <v/>
      </c>
      <c r="AT402" s="1378">
        <f>-AT173</f>
        <v/>
      </c>
      <c r="AU402" s="1364">
        <f>-AU173</f>
        <v/>
      </c>
      <c r="AV402" s="1364">
        <f>-AV173</f>
        <v/>
      </c>
      <c r="AW402" s="1364">
        <f>-AW173</f>
        <v/>
      </c>
      <c r="AX402" s="1364">
        <f>-AX173</f>
        <v/>
      </c>
      <c r="AY402" s="1378">
        <f>-AY173</f>
        <v/>
      </c>
      <c r="AZ402" s="1364">
        <f>-AZ173</f>
        <v/>
      </c>
      <c r="BA402" s="1364">
        <f>-BA173</f>
        <v/>
      </c>
      <c r="BB402" s="1364">
        <f>-BB173</f>
        <v/>
      </c>
      <c r="BC402" s="1364">
        <f>-BC173</f>
        <v/>
      </c>
      <c r="BD402" s="1378">
        <f>-BD173</f>
        <v/>
      </c>
      <c r="BE402" s="1364">
        <f>-BE173</f>
        <v/>
      </c>
      <c r="BF402" s="1364">
        <f>-BF173</f>
        <v/>
      </c>
      <c r="BG402" s="1364">
        <f>-BG173</f>
        <v/>
      </c>
      <c r="BH402" s="1364">
        <f>-BH173</f>
        <v/>
      </c>
      <c r="BI402" s="1378">
        <f>-BI173</f>
        <v/>
      </c>
      <c r="BJ402" s="1364">
        <f>-BJ173</f>
        <v/>
      </c>
      <c r="BK402" s="1364">
        <f>-BK173</f>
        <v/>
      </c>
      <c r="BL402" s="1364">
        <f>-BL173</f>
        <v/>
      </c>
      <c r="BM402" s="1364">
        <f>-BM173</f>
        <v/>
      </c>
      <c r="BN402" s="1378">
        <f>-BN173</f>
        <v/>
      </c>
      <c r="BO402" s="1364">
        <f>-BO173</f>
        <v/>
      </c>
      <c r="BP402" s="1364">
        <f>-BP173</f>
        <v/>
      </c>
      <c r="BQ402" s="1395">
        <f>-BQ173</f>
        <v/>
      </c>
      <c r="BR402" s="1361" t="n"/>
      <c r="BS402" s="1379" t="n"/>
      <c r="BT402" s="1361" t="n"/>
      <c r="BU402" s="1361" t="n"/>
      <c r="BV402" s="1361" t="n"/>
      <c r="BW402" s="1361" t="n"/>
      <c r="BX402" s="1379" t="n"/>
      <c r="BY402" s="1379" t="n"/>
      <c r="BZ402" s="1379" t="n"/>
      <c r="CA402" s="1379" t="n"/>
      <c r="CB402" s="1364" t="n"/>
    </row>
    <row r="403" hidden="1" outlineLevel="1" ht="14.4" customFormat="1" customHeight="1" s="1359">
      <c r="A403" s="1474" t="inlineStr">
        <is>
          <t>Non-qualified deferred compensation expenses</t>
        </is>
      </c>
      <c r="B403" s="1512" t="n"/>
      <c r="C403" s="1379" t="n"/>
      <c r="D403" s="1494" t="n">
        <v>-0.022</v>
      </c>
      <c r="E403" s="1494" t="n">
        <v>0.014</v>
      </c>
      <c r="F403" s="1494" t="n">
        <v>-0.068</v>
      </c>
      <c r="G403" s="1493" t="n">
        <v>-0.005</v>
      </c>
      <c r="H403" s="1493" t="n">
        <v>-0.017</v>
      </c>
      <c r="I403" s="1493" t="n">
        <v>-0.021</v>
      </c>
      <c r="J403" s="1493" t="n">
        <v>-0.008999999999999999</v>
      </c>
      <c r="K403" s="1494" t="n">
        <v>-0.052</v>
      </c>
      <c r="L403" s="1493" t="n">
        <v>-0.036</v>
      </c>
      <c r="M403" s="1493" t="n">
        <v>-0.008</v>
      </c>
      <c r="N403" s="1493" t="n">
        <v>0.002</v>
      </c>
      <c r="O403" s="1493" t="n">
        <v>-0.008</v>
      </c>
      <c r="P403" s="1494" t="n">
        <v>-0.05</v>
      </c>
      <c r="Q403" s="1493" t="n">
        <v>-0.006</v>
      </c>
      <c r="R403" s="1493" t="n">
        <v>0.005</v>
      </c>
      <c r="S403" s="1493" t="n">
        <v>0.012</v>
      </c>
      <c r="T403" s="1493" t="n">
        <v>-0.002</v>
      </c>
      <c r="U403" s="1494" t="n">
        <v>0.008999999999999999</v>
      </c>
      <c r="V403" s="1361" t="n"/>
      <c r="W403" s="1361" t="n"/>
      <c r="X403" s="1493" t="n">
        <v>-0.007</v>
      </c>
      <c r="Y403" s="1493" t="n">
        <v>-0.012</v>
      </c>
      <c r="Z403" s="1494" t="n">
        <v>-0.019</v>
      </c>
      <c r="AA403" s="1493" t="n">
        <v>-0.011</v>
      </c>
      <c r="AB403" s="1493" t="n">
        <v>-0.008</v>
      </c>
      <c r="AC403" s="1493" t="n">
        <v>-0.061</v>
      </c>
      <c r="AD403" s="1493" t="n">
        <v>-0.012</v>
      </c>
      <c r="AE403" s="1494" t="n">
        <v>-0.092</v>
      </c>
      <c r="AF403" s="1361" t="n"/>
      <c r="AG403" s="1493" t="n">
        <v>-0.004</v>
      </c>
      <c r="AH403" s="1493" t="n">
        <v>-0.01</v>
      </c>
      <c r="AI403" s="1493" t="n">
        <v>0.044</v>
      </c>
      <c r="AJ403" s="1494" t="n">
        <v>0.03</v>
      </c>
      <c r="AK403" s="1493" t="n">
        <v>-0.032</v>
      </c>
      <c r="AL403" s="1493" t="n">
        <v>-0.011</v>
      </c>
      <c r="AM403" s="1493" t="n">
        <v>-0.001</v>
      </c>
      <c r="AN403" s="1493" t="n">
        <v>-0.032</v>
      </c>
      <c r="AO403" s="1494" t="n">
        <v>-0.076</v>
      </c>
      <c r="AP403" s="1493" t="n">
        <v>0.07000000000000001</v>
      </c>
      <c r="AQ403" s="1493" t="n">
        <v>-0.057</v>
      </c>
      <c r="AR403" s="1493" t="n">
        <v>-0.032</v>
      </c>
      <c r="AS403" s="1493" t="n">
        <v>-0.07199999999999999</v>
      </c>
      <c r="AT403" s="1379">
        <f>SUM(AP403,AQ403,AR403,AS403)</f>
        <v/>
      </c>
      <c r="AU403" s="1493" t="n">
        <v>-0.024</v>
      </c>
      <c r="AV403" s="1493" t="n">
        <v>-0.026</v>
      </c>
      <c r="AW403" s="1493" t="n">
        <v>0.006</v>
      </c>
      <c r="AX403" s="1493" t="n">
        <v>-0.023</v>
      </c>
      <c r="AY403" s="1379">
        <f>SUM(AU403,AV403,AW403,AX403)</f>
        <v/>
      </c>
      <c r="AZ403" s="1493" t="n">
        <v>0.035</v>
      </c>
      <c r="BA403" s="1493" t="n">
        <v>0.073</v>
      </c>
      <c r="BB403" s="1493" t="n">
        <v>0.042</v>
      </c>
      <c r="BC403" s="1493" t="n">
        <v>-0.043</v>
      </c>
      <c r="BD403" s="1494" t="n">
        <v>0.107</v>
      </c>
      <c r="BE403" s="1493" t="n">
        <v>-0.039</v>
      </c>
      <c r="BF403" s="1493" t="n">
        <v>-0.026</v>
      </c>
      <c r="BG403" s="1493" t="n">
        <v>0.027</v>
      </c>
      <c r="BH403" s="1493" t="n">
        <v>-0.074</v>
      </c>
      <c r="BI403" s="1494" t="n">
        <v>-0.112</v>
      </c>
      <c r="BJ403" s="1493" t="n">
        <v>-0.038</v>
      </c>
      <c r="BK403" s="1493" t="n">
        <v>-0.011</v>
      </c>
      <c r="BL403" s="1493" t="n">
        <v>-0.058</v>
      </c>
      <c r="BM403" s="1493" t="n">
        <v>0.016</v>
      </c>
      <c r="BN403" s="1494" t="n">
        <v>-0.091</v>
      </c>
      <c r="BO403" s="1493" t="n">
        <v>0.007</v>
      </c>
      <c r="BP403" s="1493" t="n">
        <v>-0.081</v>
      </c>
      <c r="BQ403" s="1502" t="n">
        <v>-0.059</v>
      </c>
      <c r="BR403" s="1361" t="n"/>
      <c r="BS403" s="1379" t="n"/>
      <c r="BT403" s="1361" t="n"/>
      <c r="BU403" s="1361" t="n"/>
      <c r="BV403" s="1361" t="n"/>
      <c r="BW403" s="1361" t="n"/>
      <c r="BX403" s="1379" t="n"/>
      <c r="BY403" s="1379" t="n"/>
      <c r="BZ403" s="1379" t="n"/>
      <c r="CA403" s="1379" t="n"/>
      <c r="CB403" s="1364" t="n"/>
    </row>
    <row r="404" hidden="1" outlineLevel="1" ht="14.4" customFormat="1" customHeight="1" s="1359">
      <c r="A404" s="1394" t="inlineStr">
        <is>
          <t>Acquisition and integration related costs</t>
        </is>
      </c>
      <c r="B404" s="1512" t="n"/>
      <c r="C404" s="1379" t="n"/>
      <c r="D404" s="1379" t="n"/>
      <c r="E404" s="1379" t="n"/>
      <c r="F404" s="1379" t="n"/>
      <c r="G404" s="1361" t="n"/>
      <c r="H404" s="1361" t="n"/>
      <c r="I404" s="1361" t="n"/>
      <c r="J404" s="1361" t="n"/>
      <c r="K404" s="1379" t="n"/>
      <c r="L404" s="1361" t="n"/>
      <c r="M404" s="1361" t="n"/>
      <c r="N404" s="1361" t="n"/>
      <c r="O404" s="1361" t="n"/>
      <c r="P404" s="1379" t="n"/>
      <c r="Q404" s="1361" t="n"/>
      <c r="R404" s="1361" t="n"/>
      <c r="S404" s="1361" t="n"/>
      <c r="T404" s="1361" t="n"/>
      <c r="U404" s="1379" t="n"/>
      <c r="V404" s="1361" t="n"/>
      <c r="W404" s="1361" t="n"/>
      <c r="X404" s="1361" t="n"/>
      <c r="Y404" s="1361" t="n"/>
      <c r="Z404" s="1379" t="n"/>
      <c r="AA404" s="1361" t="n"/>
      <c r="AB404" s="1361" t="n"/>
      <c r="AC404" s="1361" t="n"/>
      <c r="AD404" s="1361" t="n"/>
      <c r="AE404" s="1379" t="n"/>
      <c r="AF404" s="1361" t="n"/>
      <c r="AG404" s="1361" t="n"/>
      <c r="AH404" s="1361" t="n"/>
      <c r="AI404" s="1361" t="n"/>
      <c r="AJ404" s="1379" t="n"/>
      <c r="AK404" s="1361" t="n"/>
      <c r="AL404" s="1361" t="n"/>
      <c r="AM404" s="1361" t="n"/>
      <c r="AN404" s="1361" t="n"/>
      <c r="AO404" s="1379" t="n"/>
      <c r="AP404" s="1361" t="n"/>
      <c r="AQ404" s="1361" t="n"/>
      <c r="AR404" s="1361" t="n"/>
      <c r="AS404" s="1361" t="n"/>
      <c r="AT404" s="1379" t="n"/>
      <c r="AU404" s="1361" t="n"/>
      <c r="AV404" s="1361" t="n"/>
      <c r="AW404" s="1361" t="n"/>
      <c r="AX404" s="1361" t="n"/>
      <c r="AY404" s="1379" t="n"/>
      <c r="AZ404" s="1361" t="n"/>
      <c r="BA404" s="1361" t="n"/>
      <c r="BB404" s="1493" t="n">
        <v>-0.09</v>
      </c>
      <c r="BC404" s="1493" t="n">
        <v>-0.65</v>
      </c>
      <c r="BD404" s="1494" t="n">
        <v>-0.74</v>
      </c>
      <c r="BE404" s="1493" t="n">
        <v>-0.167</v>
      </c>
      <c r="BF404" s="1493" t="n">
        <v>-0.169</v>
      </c>
      <c r="BG404" s="1493" t="n">
        <v>-0.152</v>
      </c>
      <c r="BH404" s="1493" t="n">
        <v>-0.394</v>
      </c>
      <c r="BI404" s="1494" t="n">
        <v>-0.882</v>
      </c>
      <c r="BJ404" s="1493" t="n">
        <v>-0.983</v>
      </c>
      <c r="BK404" s="1493" t="n">
        <v>-0.928</v>
      </c>
      <c r="BL404" s="1493" t="n">
        <v>-1.038</v>
      </c>
      <c r="BM404" s="1493" t="n">
        <v>-0.92</v>
      </c>
      <c r="BN404" s="1494" t="n">
        <v>-3.869</v>
      </c>
      <c r="BO404" s="1493" t="n">
        <v>-0.511</v>
      </c>
      <c r="BP404" s="1493" t="n">
        <v>-0.506</v>
      </c>
      <c r="BQ404" s="1502" t="n">
        <v>-0.37</v>
      </c>
      <c r="BR404" s="1361" t="n"/>
      <c r="BS404" s="1379" t="n"/>
      <c r="BT404" s="1361" t="n"/>
      <c r="BU404" s="1361" t="n"/>
      <c r="BV404" s="1361" t="n"/>
      <c r="BW404" s="1361" t="n"/>
      <c r="BX404" s="1379" t="n"/>
      <c r="BY404" s="1379" t="n"/>
      <c r="BZ404" s="1379" t="n"/>
      <c r="CA404" s="1379" t="n"/>
      <c r="CB404" s="1364" t="n"/>
    </row>
    <row r="405" hidden="1" outlineLevel="1" ht="14.4" customFormat="1" customHeight="1" s="1359">
      <c r="A405" s="1394" t="inlineStr">
        <is>
          <t>Executive and other employee severance costs</t>
        </is>
      </c>
      <c r="B405" s="1512" t="n"/>
      <c r="C405" s="1379" t="n"/>
      <c r="D405" s="1379" t="n"/>
      <c r="E405" s="1494" t="n">
        <v>-0.259</v>
      </c>
      <c r="F405" s="1379" t="n"/>
      <c r="G405" s="1361" t="n"/>
      <c r="H405" s="1361" t="n"/>
      <c r="I405" s="1361" t="n"/>
      <c r="J405" s="1361" t="n"/>
      <c r="K405" s="1379" t="n"/>
      <c r="L405" s="1361" t="n"/>
      <c r="M405" s="1361" t="n"/>
      <c r="N405" s="1361" t="n"/>
      <c r="O405" s="1361" t="n"/>
      <c r="P405" s="1379" t="n"/>
      <c r="Q405" s="1361" t="n"/>
      <c r="R405" s="1361" t="n"/>
      <c r="S405" s="1361" t="n"/>
      <c r="T405" s="1361" t="n"/>
      <c r="U405" s="1379" t="n"/>
      <c r="V405" s="1361" t="n"/>
      <c r="W405" s="1361" t="n"/>
      <c r="X405" s="1361" t="n"/>
      <c r="Y405" s="1361" t="n"/>
      <c r="Z405" s="1379" t="n"/>
      <c r="AA405" s="1361" t="n"/>
      <c r="AB405" s="1361" t="n"/>
      <c r="AC405" s="1361" t="n"/>
      <c r="AD405" s="1361" t="n"/>
      <c r="AE405" s="1379" t="n"/>
      <c r="AF405" s="1361" t="n"/>
      <c r="AG405" s="1361" t="n"/>
      <c r="AH405" s="1361" t="n"/>
      <c r="AI405" s="1361" t="n"/>
      <c r="AJ405" s="1379" t="n"/>
      <c r="AK405" s="1361" t="n"/>
      <c r="AL405" s="1361" t="n"/>
      <c r="AM405" s="1361" t="n"/>
      <c r="AN405" s="1361" t="n"/>
      <c r="AO405" s="1379" t="n"/>
      <c r="AP405" s="1361" t="n"/>
      <c r="AQ405" s="1361" t="n"/>
      <c r="AR405" s="1361" t="n"/>
      <c r="AS405" s="1361" t="n"/>
      <c r="AT405" s="1379" t="n"/>
      <c r="AU405" s="1361" t="n"/>
      <c r="AV405" s="1361" t="n"/>
      <c r="AW405" s="1361" t="n"/>
      <c r="AX405" s="1361" t="n"/>
      <c r="AY405" s="1379" t="n"/>
      <c r="AZ405" s="1361" t="n"/>
      <c r="BA405" s="1361" t="n"/>
      <c r="BB405" s="1361" t="n"/>
      <c r="BC405" s="1361" t="n"/>
      <c r="BD405" s="1379" t="n"/>
      <c r="BE405" s="1361" t="n"/>
      <c r="BF405" s="1361" t="n"/>
      <c r="BG405" s="1361" t="n"/>
      <c r="BH405" s="1361" t="n"/>
      <c r="BI405" s="1379" t="n"/>
      <c r="BJ405" s="1361" t="n"/>
      <c r="BK405" s="1361" t="n"/>
      <c r="BL405" s="1361" t="n"/>
      <c r="BM405" s="1361" t="n"/>
      <c r="BN405" s="1379" t="n"/>
      <c r="BO405" s="1361" t="n"/>
      <c r="BP405" s="1361" t="n"/>
      <c r="BQ405" s="1363" t="n"/>
      <c r="BR405" s="1361" t="n"/>
      <c r="BS405" s="1379" t="n"/>
      <c r="BT405" s="1361" t="n"/>
      <c r="BU405" s="1361" t="n"/>
      <c r="BV405" s="1361" t="n"/>
      <c r="BW405" s="1361" t="n"/>
      <c r="BX405" s="1379" t="n"/>
      <c r="BY405" s="1379" t="n"/>
      <c r="BZ405" s="1379" t="n"/>
      <c r="CA405" s="1379" t="n"/>
      <c r="CB405" s="1364" t="n"/>
    </row>
    <row r="406" hidden="1" outlineLevel="1" ht="14.4" customFormat="1" customHeight="1" s="1359">
      <c r="A406" s="1453" t="inlineStr">
        <is>
          <t>Special charges</t>
        </is>
      </c>
      <c r="B406" s="1514" t="n"/>
      <c r="C406" s="1455" t="n"/>
      <c r="D406" s="1455" t="n"/>
      <c r="E406" s="1455" t="n"/>
      <c r="F406" s="1455" t="n"/>
      <c r="G406" s="1456" t="n"/>
      <c r="H406" s="1456" t="n"/>
      <c r="I406" s="1456" t="n"/>
      <c r="J406" s="1456" t="n"/>
      <c r="K406" s="1455" t="n"/>
      <c r="L406" s="1456" t="n"/>
      <c r="M406" s="1479" t="n">
        <v>-0.667</v>
      </c>
      <c r="N406" s="1456" t="n"/>
      <c r="O406" s="1456" t="n"/>
      <c r="P406" s="1480" t="n">
        <v>-0.667</v>
      </c>
      <c r="Q406" s="1456" t="n"/>
      <c r="R406" s="1456" t="n"/>
      <c r="S406" s="1456" t="n"/>
      <c r="T406" s="1456" t="n"/>
      <c r="U406" s="1455" t="n"/>
      <c r="V406" s="1456" t="n"/>
      <c r="W406" s="1456" t="n"/>
      <c r="X406" s="1456" t="n"/>
      <c r="Y406" s="1456" t="n"/>
      <c r="Z406" s="1455" t="n"/>
      <c r="AA406" s="1456" t="n"/>
      <c r="AB406" s="1456" t="n"/>
      <c r="AC406" s="1456" t="n"/>
      <c r="AD406" s="1456" t="n"/>
      <c r="AE406" s="1455" t="n"/>
      <c r="AF406" s="1456" t="n"/>
      <c r="AG406" s="1456" t="n"/>
      <c r="AH406" s="1456" t="n"/>
      <c r="AI406" s="1456" t="n"/>
      <c r="AJ406" s="1455" t="n"/>
      <c r="AK406" s="1456" t="n"/>
      <c r="AL406" s="1456" t="n"/>
      <c r="AM406" s="1456" t="n"/>
      <c r="AN406" s="1456" t="n"/>
      <c r="AO406" s="1455" t="n"/>
      <c r="AP406" s="1456" t="n"/>
      <c r="AQ406" s="1456" t="n"/>
      <c r="AR406" s="1456" t="n"/>
      <c r="AS406" s="1456" t="n"/>
      <c r="AT406" s="1455" t="n"/>
      <c r="AU406" s="1456" t="n"/>
      <c r="AV406" s="1479" t="n">
        <v>-2.344</v>
      </c>
      <c r="AW406" s="1456" t="n"/>
      <c r="AX406" s="1456" t="n"/>
      <c r="AY406" s="1480" t="n">
        <v>-2.344</v>
      </c>
      <c r="AZ406" s="1456" t="n"/>
      <c r="BA406" s="1456" t="n"/>
      <c r="BB406" s="1456" t="n"/>
      <c r="BC406" s="1456" t="n"/>
      <c r="BD406" s="1455" t="n"/>
      <c r="BE406" s="1456" t="n"/>
      <c r="BF406" s="1456" t="n"/>
      <c r="BG406" s="1456" t="n"/>
      <c r="BH406" s="1456" t="n"/>
      <c r="BI406" s="1455" t="n"/>
      <c r="BJ406" s="1456" t="n"/>
      <c r="BK406" s="1456" t="n"/>
      <c r="BL406" s="1456" t="n"/>
      <c r="BM406" s="1456" t="n"/>
      <c r="BN406" s="1455" t="n"/>
      <c r="BO406" s="1456" t="n"/>
      <c r="BP406" s="1456" t="n"/>
      <c r="BQ406" s="1457" t="n"/>
      <c r="BR406" s="1456" t="n"/>
      <c r="BS406" s="1455" t="n"/>
      <c r="BT406" s="1456" t="n"/>
      <c r="BU406" s="1456" t="n"/>
      <c r="BV406" s="1456" t="n"/>
      <c r="BW406" s="1456" t="n"/>
      <c r="BX406" s="1455" t="n"/>
      <c r="BY406" s="1455" t="n"/>
      <c r="BZ406" s="1455" t="n"/>
      <c r="CA406" s="1455" t="n"/>
      <c r="CB406" s="1364" t="n"/>
    </row>
    <row r="407" hidden="1" outlineLevel="1" ht="14.4" customFormat="1" customHeight="1" s="1372">
      <c r="A407" s="1400" t="inlineStr">
        <is>
          <t>Non-GAAP cost of services</t>
        </is>
      </c>
      <c r="B407" s="1516" t="n"/>
      <c r="C407" s="1405" t="n"/>
      <c r="D407" s="1402">
        <f>SUM(D401:D406)</f>
        <v/>
      </c>
      <c r="E407" s="1402">
        <f>SUM(E401:E406)</f>
        <v/>
      </c>
      <c r="F407" s="1402">
        <f>SUM(F401:F406)</f>
        <v/>
      </c>
      <c r="G407" s="1403">
        <f>SUM(G401:G406)</f>
        <v/>
      </c>
      <c r="H407" s="1403">
        <f>SUM(H401:H406)</f>
        <v/>
      </c>
      <c r="I407" s="1403">
        <f>SUM(I401:I406)</f>
        <v/>
      </c>
      <c r="J407" s="1403">
        <f>SUM(J401:J406)</f>
        <v/>
      </c>
      <c r="K407" s="1402">
        <f>SUM(K401:K406)</f>
        <v/>
      </c>
      <c r="L407" s="1403">
        <f>SUM(L401:L406)</f>
        <v/>
      </c>
      <c r="M407" s="1403">
        <f>SUM(M401:M406)</f>
        <v/>
      </c>
      <c r="N407" s="1403">
        <f>SUM(N401:N406)</f>
        <v/>
      </c>
      <c r="O407" s="1403">
        <f>SUM(O401:O406)</f>
        <v/>
      </c>
      <c r="P407" s="1402">
        <f>SUM(P401:P406)</f>
        <v/>
      </c>
      <c r="Q407" s="1403">
        <f>SUM(Q401:Q406)</f>
        <v/>
      </c>
      <c r="R407" s="1403">
        <f>SUM(R401:R406)</f>
        <v/>
      </c>
      <c r="S407" s="1403">
        <f>SUM(S401:S406)</f>
        <v/>
      </c>
      <c r="T407" s="1403">
        <f>SUM(T401:T406)</f>
        <v/>
      </c>
      <c r="U407" s="1402">
        <f>SUM(U401:U406)</f>
        <v/>
      </c>
      <c r="V407" s="1403">
        <f>SUM(V401:V406)</f>
        <v/>
      </c>
      <c r="W407" s="1403">
        <f>SUM(W401:W406)</f>
        <v/>
      </c>
      <c r="X407" s="1403">
        <f>SUM(X401:X406)</f>
        <v/>
      </c>
      <c r="Y407" s="1404">
        <f>SUM(Y401:Y406)</f>
        <v/>
      </c>
      <c r="Z407" s="1405">
        <f>SUM(Z401:Z406)</f>
        <v/>
      </c>
      <c r="AA407" s="1403">
        <f>SUM(AA401:AA406)</f>
        <v/>
      </c>
      <c r="AB407" s="1403">
        <f>SUM(AB401:AB406)</f>
        <v/>
      </c>
      <c r="AC407" s="1403">
        <f>SUM(AC401:AC406)</f>
        <v/>
      </c>
      <c r="AD407" s="1404">
        <f>SUM(AD401:AD406)</f>
        <v/>
      </c>
      <c r="AE407" s="1405">
        <f>SUM(AE401:AE406)</f>
        <v/>
      </c>
      <c r="AF407" s="1403">
        <f>SUM(AF401:AF406)</f>
        <v/>
      </c>
      <c r="AG407" s="1403">
        <f>SUM(AG401:AG406)</f>
        <v/>
      </c>
      <c r="AH407" s="1403">
        <f>SUM(AH401:AH406)</f>
        <v/>
      </c>
      <c r="AI407" s="1404">
        <f>SUM(AI401:AI406)</f>
        <v/>
      </c>
      <c r="AJ407" s="1405">
        <f>SUM(AJ401:AJ406)</f>
        <v/>
      </c>
      <c r="AK407" s="1403">
        <f>SUM(AK401:AK406)</f>
        <v/>
      </c>
      <c r="AL407" s="1403">
        <f>SUM(AL401:AL406)</f>
        <v/>
      </c>
      <c r="AM407" s="1403">
        <f>SUM(AM401:AM406)</f>
        <v/>
      </c>
      <c r="AN407" s="1404">
        <f>SUM(AN401:AN406)</f>
        <v/>
      </c>
      <c r="AO407" s="1405">
        <f>SUM(AO401:AO406)</f>
        <v/>
      </c>
      <c r="AP407" s="1403">
        <f>SUM(AP401:AP406)</f>
        <v/>
      </c>
      <c r="AQ407" s="1403">
        <f>SUM(AQ401:AQ406)</f>
        <v/>
      </c>
      <c r="AR407" s="1403">
        <f>SUM(AR401:AR406)</f>
        <v/>
      </c>
      <c r="AS407" s="1404">
        <f>SUM(AS401:AS406)</f>
        <v/>
      </c>
      <c r="AT407" s="1405">
        <f>SUM(AT401:AT406)</f>
        <v/>
      </c>
      <c r="AU407" s="1403">
        <f>SUM(AU401:AU406)</f>
        <v/>
      </c>
      <c r="AV407" s="1403">
        <f>SUM(AV401:AV406)</f>
        <v/>
      </c>
      <c r="AW407" s="1403">
        <f>SUM(AW401:AW406)</f>
        <v/>
      </c>
      <c r="AX407" s="1404">
        <f>SUM(AX401:AX406)</f>
        <v/>
      </c>
      <c r="AY407" s="1405">
        <f>SUM(AY401:AY406)</f>
        <v/>
      </c>
      <c r="AZ407" s="1403">
        <f>SUM(AZ401:AZ406)</f>
        <v/>
      </c>
      <c r="BA407" s="1403">
        <f>SUM(BA401:BA406)</f>
        <v/>
      </c>
      <c r="BB407" s="1403">
        <f>SUM(BB401:BB406)</f>
        <v/>
      </c>
      <c r="BC407" s="1404">
        <f>SUM(BC401:BC406)</f>
        <v/>
      </c>
      <c r="BD407" s="1405">
        <f>SUM(BD401:BD406)</f>
        <v/>
      </c>
      <c r="BE407" s="1403">
        <f>SUM(BE401:BE406)</f>
        <v/>
      </c>
      <c r="BF407" s="1403">
        <f>SUM(BF401:BF406)</f>
        <v/>
      </c>
      <c r="BG407" s="1403">
        <f>SUM(BG401:BG406)</f>
        <v/>
      </c>
      <c r="BH407" s="1404">
        <f>SUM(BH401:BH406)</f>
        <v/>
      </c>
      <c r="BI407" s="1405">
        <f>SUM(BI401:BI406)</f>
        <v/>
      </c>
      <c r="BJ407" s="1403">
        <f>SUM(BJ401:BJ406)</f>
        <v/>
      </c>
      <c r="BK407" s="1403">
        <f>SUM(BK401:BK406)</f>
        <v/>
      </c>
      <c r="BL407" s="1403">
        <f>SUM(BL401:BL406)</f>
        <v/>
      </c>
      <c r="BM407" s="1404">
        <f>SUM(BM401:BM406)</f>
        <v/>
      </c>
      <c r="BN407" s="1405">
        <f>SUM(BN401:BN406)</f>
        <v/>
      </c>
      <c r="BO407" s="1403">
        <f>SUM(BO401:BO406)</f>
        <v/>
      </c>
      <c r="BP407" s="1403">
        <f>SUM(BP401:BP406)</f>
        <v/>
      </c>
      <c r="BQ407" s="1406">
        <f>SUM(BQ401:BQ406)</f>
        <v/>
      </c>
      <c r="BR407" s="1404" t="n"/>
      <c r="BS407" s="1405" t="n"/>
      <c r="BT407" s="1404" t="n"/>
      <c r="BU407" s="1404" t="n"/>
      <c r="BV407" s="1404" t="n"/>
      <c r="BW407" s="1404" t="n"/>
      <c r="BX407" s="1405" t="n"/>
      <c r="BY407" s="1405" t="n"/>
      <c r="BZ407" s="1405" t="n"/>
      <c r="CA407" s="1405" t="n"/>
      <c r="CB407" s="1375" t="n"/>
    </row>
    <row r="408" hidden="1" outlineLevel="1" ht="14.4" customFormat="1" customHeight="1" s="1372">
      <c r="A408" s="1447" t="n"/>
      <c r="B408" s="1517" t="n"/>
      <c r="C408" s="1449" t="n"/>
      <c r="D408" s="1449" t="n"/>
      <c r="E408" s="1449" t="n"/>
      <c r="F408" s="1449" t="n"/>
      <c r="G408" s="1450" t="n"/>
      <c r="H408" s="1450" t="n"/>
      <c r="I408" s="1450" t="n"/>
      <c r="J408" s="1450" t="n"/>
      <c r="K408" s="1449" t="n"/>
      <c r="L408" s="1450" t="n"/>
      <c r="M408" s="1450" t="n"/>
      <c r="N408" s="1450" t="n"/>
      <c r="O408" s="1450" t="n"/>
      <c r="P408" s="1449" t="n"/>
      <c r="Q408" s="1450" t="n"/>
      <c r="R408" s="1450" t="n"/>
      <c r="S408" s="1450" t="n"/>
      <c r="T408" s="1450" t="n"/>
      <c r="U408" s="1449" t="n"/>
      <c r="V408" s="1450" t="n"/>
      <c r="W408" s="1450" t="n"/>
      <c r="X408" s="1450" t="n"/>
      <c r="Y408" s="1450" t="n"/>
      <c r="Z408" s="1449" t="n"/>
      <c r="AA408" s="1450" t="n"/>
      <c r="AB408" s="1450" t="n"/>
      <c r="AC408" s="1450" t="n"/>
      <c r="AD408" s="1450" t="n"/>
      <c r="AE408" s="1449" t="n"/>
      <c r="AF408" s="1450" t="n"/>
      <c r="AG408" s="1450" t="n"/>
      <c r="AH408" s="1450" t="n"/>
      <c r="AI408" s="1450" t="n"/>
      <c r="AJ408" s="1449" t="n"/>
      <c r="AK408" s="1450" t="n"/>
      <c r="AL408" s="1450" t="n"/>
      <c r="AM408" s="1450" t="n"/>
      <c r="AN408" s="1450" t="n"/>
      <c r="AO408" s="1449" t="n"/>
      <c r="AP408" s="1450" t="n"/>
      <c r="AQ408" s="1450" t="n"/>
      <c r="AR408" s="1450" t="n"/>
      <c r="AS408" s="1450" t="n"/>
      <c r="AT408" s="1449" t="n"/>
      <c r="AU408" s="1450" t="n"/>
      <c r="AV408" s="1450" t="n"/>
      <c r="AW408" s="1450" t="n"/>
      <c r="AX408" s="1450" t="n"/>
      <c r="AY408" s="1449" t="n"/>
      <c r="AZ408" s="1450" t="n"/>
      <c r="BA408" s="1450" t="n"/>
      <c r="BB408" s="1450" t="n"/>
      <c r="BC408" s="1450" t="n"/>
      <c r="BD408" s="1449" t="n"/>
      <c r="BE408" s="1450" t="n"/>
      <c r="BF408" s="1450" t="n"/>
      <c r="BG408" s="1450" t="n"/>
      <c r="BH408" s="1450" t="n"/>
      <c r="BI408" s="1449" t="n"/>
      <c r="BJ408" s="1450" t="n"/>
      <c r="BK408" s="1450" t="n"/>
      <c r="BL408" s="1450" t="n"/>
      <c r="BM408" s="1450" t="n"/>
      <c r="BN408" s="1449" t="n"/>
      <c r="BO408" s="1450" t="n"/>
      <c r="BP408" s="1450" t="n"/>
      <c r="BQ408" s="1451" t="n"/>
      <c r="BR408" s="1450" t="n"/>
      <c r="BS408" s="1449" t="n"/>
      <c r="BT408" s="1450" t="n"/>
      <c r="BU408" s="1450" t="n"/>
      <c r="BV408" s="1450" t="n"/>
      <c r="BW408" s="1450" t="n"/>
      <c r="BX408" s="1449" t="n"/>
      <c r="BY408" s="1449" t="n"/>
      <c r="BZ408" s="1449" t="n"/>
      <c r="CA408" s="1449" t="n"/>
      <c r="CB408" s="1375" t="n"/>
    </row>
    <row r="409" hidden="1" outlineLevel="1" ht="14.4" customFormat="1" customHeight="1" s="1372">
      <c r="A409" s="1452" t="inlineStr">
        <is>
          <t>GAAP marketing and sales</t>
        </is>
      </c>
      <c r="B409" s="1517" t="n"/>
      <c r="C409" s="1458">
        <f>C348</f>
        <v/>
      </c>
      <c r="D409" s="1458">
        <f>D348</f>
        <v/>
      </c>
      <c r="E409" s="1458">
        <f>E348</f>
        <v/>
      </c>
      <c r="F409" s="1458">
        <f>F348</f>
        <v/>
      </c>
      <c r="G409" s="1375">
        <f>G348</f>
        <v/>
      </c>
      <c r="H409" s="1375">
        <f>H348</f>
        <v/>
      </c>
      <c r="I409" s="1375">
        <f>I348</f>
        <v/>
      </c>
      <c r="J409" s="1375">
        <f>J348</f>
        <v/>
      </c>
      <c r="K409" s="1458">
        <f>K348</f>
        <v/>
      </c>
      <c r="L409" s="1375">
        <f>L348</f>
        <v/>
      </c>
      <c r="M409" s="1375">
        <f>M348</f>
        <v/>
      </c>
      <c r="N409" s="1375">
        <f>N348</f>
        <v/>
      </c>
      <c r="O409" s="1375">
        <f>O348</f>
        <v/>
      </c>
      <c r="P409" s="1458">
        <f>P348</f>
        <v/>
      </c>
      <c r="Q409" s="1375">
        <f>Q348</f>
        <v/>
      </c>
      <c r="R409" s="1375">
        <f>R348</f>
        <v/>
      </c>
      <c r="S409" s="1375">
        <f>S348</f>
        <v/>
      </c>
      <c r="T409" s="1375">
        <f>T348</f>
        <v/>
      </c>
      <c r="U409" s="1458">
        <f>U348</f>
        <v/>
      </c>
      <c r="V409" s="1375">
        <f>V348</f>
        <v/>
      </c>
      <c r="W409" s="1375">
        <f>W348</f>
        <v/>
      </c>
      <c r="X409" s="1375">
        <f>X348</f>
        <v/>
      </c>
      <c r="Y409" s="1450">
        <f>Y348</f>
        <v/>
      </c>
      <c r="Z409" s="1449">
        <f>Z348</f>
        <v/>
      </c>
      <c r="AA409" s="1375">
        <f>AA348</f>
        <v/>
      </c>
      <c r="AB409" s="1375">
        <f>AB348</f>
        <v/>
      </c>
      <c r="AC409" s="1375">
        <f>AC348</f>
        <v/>
      </c>
      <c r="AD409" s="1450">
        <f>AD348</f>
        <v/>
      </c>
      <c r="AE409" s="1449">
        <f>AE348</f>
        <v/>
      </c>
      <c r="AF409" s="1375">
        <f>AF348</f>
        <v/>
      </c>
      <c r="AG409" s="1375">
        <f>AG348</f>
        <v/>
      </c>
      <c r="AH409" s="1375">
        <f>AH348</f>
        <v/>
      </c>
      <c r="AI409" s="1450">
        <f>AI348</f>
        <v/>
      </c>
      <c r="AJ409" s="1449">
        <f>AJ348</f>
        <v/>
      </c>
      <c r="AK409" s="1375">
        <f>AK348</f>
        <v/>
      </c>
      <c r="AL409" s="1375">
        <f>AL348</f>
        <v/>
      </c>
      <c r="AM409" s="1375">
        <f>AM348</f>
        <v/>
      </c>
      <c r="AN409" s="1450">
        <f>AN348</f>
        <v/>
      </c>
      <c r="AO409" s="1449">
        <f>AO348</f>
        <v/>
      </c>
      <c r="AP409" s="1375">
        <f>AP348</f>
        <v/>
      </c>
      <c r="AQ409" s="1375">
        <f>AQ348</f>
        <v/>
      </c>
      <c r="AR409" s="1375">
        <f>AR348</f>
        <v/>
      </c>
      <c r="AS409" s="1450">
        <f>AS348</f>
        <v/>
      </c>
      <c r="AT409" s="1449">
        <f>AT348</f>
        <v/>
      </c>
      <c r="AU409" s="1375">
        <f>AU348</f>
        <v/>
      </c>
      <c r="AV409" s="1375">
        <f>AV348</f>
        <v/>
      </c>
      <c r="AW409" s="1375">
        <f>AW348</f>
        <v/>
      </c>
      <c r="AX409" s="1450">
        <f>AX348</f>
        <v/>
      </c>
      <c r="AY409" s="1449">
        <f>AY348</f>
        <v/>
      </c>
      <c r="AZ409" s="1375">
        <f>AZ348</f>
        <v/>
      </c>
      <c r="BA409" s="1375">
        <f>BA348</f>
        <v/>
      </c>
      <c r="BB409" s="1375">
        <f>BB348</f>
        <v/>
      </c>
      <c r="BC409" s="1450">
        <f>BC348</f>
        <v/>
      </c>
      <c r="BD409" s="1449">
        <f>BD348</f>
        <v/>
      </c>
      <c r="BE409" s="1375">
        <f>BE348</f>
        <v/>
      </c>
      <c r="BF409" s="1375">
        <f>BF348</f>
        <v/>
      </c>
      <c r="BG409" s="1375">
        <f>BG348</f>
        <v/>
      </c>
      <c r="BH409" s="1450">
        <f>BH348</f>
        <v/>
      </c>
      <c r="BI409" s="1449">
        <f>BI348</f>
        <v/>
      </c>
      <c r="BJ409" s="1375">
        <f>BJ348</f>
        <v/>
      </c>
      <c r="BK409" s="1375">
        <f>BK348</f>
        <v/>
      </c>
      <c r="BL409" s="1375">
        <f>BL348</f>
        <v/>
      </c>
      <c r="BM409" s="1450">
        <f>BM348</f>
        <v/>
      </c>
      <c r="BN409" s="1449">
        <f>BN348</f>
        <v/>
      </c>
      <c r="BO409" s="1375">
        <f>BO348</f>
        <v/>
      </c>
      <c r="BP409" s="1375">
        <f>BP348</f>
        <v/>
      </c>
      <c r="BQ409" s="1459">
        <f>BQ348</f>
        <v/>
      </c>
      <c r="BR409" s="1450" t="n"/>
      <c r="BS409" s="1449" t="n"/>
      <c r="BT409" s="1450" t="n"/>
      <c r="BU409" s="1450" t="n"/>
      <c r="BV409" s="1450" t="n"/>
      <c r="BW409" s="1450" t="n"/>
      <c r="BX409" s="1449" t="n"/>
      <c r="BY409" s="1449" t="n"/>
      <c r="BZ409" s="1449" t="n"/>
      <c r="CA409" s="1449" t="n"/>
      <c r="CB409" s="1375" t="n"/>
    </row>
    <row r="410" hidden="1" outlineLevel="1" ht="14.4" customFormat="1" customHeight="1" s="1359">
      <c r="A410" s="1394" t="inlineStr">
        <is>
          <t>Stock based compensation expense</t>
        </is>
      </c>
      <c r="B410" s="1512" t="n"/>
      <c r="C410" s="1379" t="n"/>
      <c r="D410" s="1378">
        <f>-D175</f>
        <v/>
      </c>
      <c r="E410" s="1378">
        <f>-E175</f>
        <v/>
      </c>
      <c r="F410" s="1378">
        <f>-F175</f>
        <v/>
      </c>
      <c r="G410" s="1364">
        <f>-G175</f>
        <v/>
      </c>
      <c r="H410" s="1364">
        <f>-H175</f>
        <v/>
      </c>
      <c r="I410" s="1364">
        <f>-I175</f>
        <v/>
      </c>
      <c r="J410" s="1364">
        <f>-J175</f>
        <v/>
      </c>
      <c r="K410" s="1378">
        <f>-K175</f>
        <v/>
      </c>
      <c r="L410" s="1364">
        <f>-L175</f>
        <v/>
      </c>
      <c r="M410" s="1364">
        <f>-M175</f>
        <v/>
      </c>
      <c r="N410" s="1364">
        <f>-N175</f>
        <v/>
      </c>
      <c r="O410" s="1364">
        <f>-O175</f>
        <v/>
      </c>
      <c r="P410" s="1378">
        <f>-P175</f>
        <v/>
      </c>
      <c r="Q410" s="1364">
        <f>-Q175</f>
        <v/>
      </c>
      <c r="R410" s="1364">
        <f>-R175</f>
        <v/>
      </c>
      <c r="S410" s="1364">
        <f>-S175</f>
        <v/>
      </c>
      <c r="T410" s="1364">
        <f>-T175</f>
        <v/>
      </c>
      <c r="U410" s="1378">
        <f>-U175</f>
        <v/>
      </c>
      <c r="V410" s="1364">
        <f>-V175</f>
        <v/>
      </c>
      <c r="W410" s="1364">
        <f>-W175</f>
        <v/>
      </c>
      <c r="X410" s="1364">
        <f>-X175</f>
        <v/>
      </c>
      <c r="Y410" s="1364">
        <f>-Y175</f>
        <v/>
      </c>
      <c r="Z410" s="1378">
        <f>-Z175</f>
        <v/>
      </c>
      <c r="AA410" s="1364">
        <f>-AA175</f>
        <v/>
      </c>
      <c r="AB410" s="1364">
        <f>-AB175</f>
        <v/>
      </c>
      <c r="AC410" s="1364">
        <f>-AC175</f>
        <v/>
      </c>
      <c r="AD410" s="1493" t="n">
        <v>-7.171</v>
      </c>
      <c r="AE410" s="1494" t="n">
        <v>-26.838</v>
      </c>
      <c r="AF410" s="1493" t="n">
        <v>-7.614</v>
      </c>
      <c r="AG410" s="1364">
        <f>-AG175</f>
        <v/>
      </c>
      <c r="AH410" s="1493" t="n">
        <v>-9.528</v>
      </c>
      <c r="AI410" s="1493" t="n">
        <v>-9.255000000000001</v>
      </c>
      <c r="AJ410" s="1494" t="n">
        <v>-34.665</v>
      </c>
      <c r="AK410" s="1493" t="n">
        <v>-9.106</v>
      </c>
      <c r="AL410" s="1364">
        <f>-AL175</f>
        <v/>
      </c>
      <c r="AM410" s="1364">
        <f>-AM175</f>
        <v/>
      </c>
      <c r="AN410" s="1493" t="n">
        <v>-10.049</v>
      </c>
      <c r="AO410" s="1494" t="n">
        <v>-39.088</v>
      </c>
      <c r="AP410" s="1493" t="n">
        <v>-10.011</v>
      </c>
      <c r="AQ410" s="1364">
        <f>-AQ175</f>
        <v/>
      </c>
      <c r="AR410" s="1364">
        <f>-AR175</f>
        <v/>
      </c>
      <c r="AS410" s="1364">
        <f>-AS175</f>
        <v/>
      </c>
      <c r="AT410" s="1378">
        <f>-AT175</f>
        <v/>
      </c>
      <c r="AU410" s="1364">
        <f>-AU175</f>
        <v/>
      </c>
      <c r="AV410" s="1364">
        <f>-AV175</f>
        <v/>
      </c>
      <c r="AW410" s="1364">
        <f>-AW175</f>
        <v/>
      </c>
      <c r="AX410" s="1364">
        <f>-AX175</f>
        <v/>
      </c>
      <c r="AY410" s="1378">
        <f>-AY175</f>
        <v/>
      </c>
      <c r="AZ410" s="1364">
        <f>-AZ175</f>
        <v/>
      </c>
      <c r="BA410" s="1364">
        <f>-BA175</f>
        <v/>
      </c>
      <c r="BB410" s="1364">
        <f>-BB175</f>
        <v/>
      </c>
      <c r="BC410" s="1364">
        <f>-BC175</f>
        <v/>
      </c>
      <c r="BD410" s="1378">
        <f>-BD175</f>
        <v/>
      </c>
      <c r="BE410" s="1364">
        <f>-BE175</f>
        <v/>
      </c>
      <c r="BF410" s="1364">
        <f>-BF175</f>
        <v/>
      </c>
      <c r="BG410" s="1364">
        <f>-BG175</f>
        <v/>
      </c>
      <c r="BH410" s="1364">
        <f>-BH175</f>
        <v/>
      </c>
      <c r="BI410" s="1378">
        <f>-BI175</f>
        <v/>
      </c>
      <c r="BJ410" s="1364">
        <f>-BJ175</f>
        <v/>
      </c>
      <c r="BK410" s="1364">
        <f>-BK175</f>
        <v/>
      </c>
      <c r="BL410" s="1364">
        <f>-BL175</f>
        <v/>
      </c>
      <c r="BM410" s="1364">
        <f>-BM175</f>
        <v/>
      </c>
      <c r="BN410" s="1378">
        <f>-BN175</f>
        <v/>
      </c>
      <c r="BO410" s="1364">
        <f>-BO175</f>
        <v/>
      </c>
      <c r="BP410" s="1364">
        <f>-BP175</f>
        <v/>
      </c>
      <c r="BQ410" s="1395">
        <f>-BQ175</f>
        <v/>
      </c>
      <c r="BR410" s="1361" t="n"/>
      <c r="BS410" s="1379" t="n"/>
      <c r="BT410" s="1361" t="n"/>
      <c r="BU410" s="1361" t="n"/>
      <c r="BV410" s="1361" t="n"/>
      <c r="BW410" s="1361" t="n"/>
      <c r="BX410" s="1379" t="n"/>
      <c r="BY410" s="1379" t="n"/>
      <c r="BZ410" s="1379" t="n"/>
      <c r="CA410" s="1379" t="n"/>
      <c r="CB410" s="1364" t="n"/>
    </row>
    <row r="411" hidden="1" outlineLevel="1" ht="14.4" customFormat="1" customHeight="1" s="1359">
      <c r="A411" s="1474" t="inlineStr">
        <is>
          <t>Non-qualified deferred compensation expenses</t>
        </is>
      </c>
      <c r="B411" s="1512" t="n"/>
      <c r="C411" s="1379" t="n"/>
      <c r="D411" s="1494" t="n">
        <v>-0.514</v>
      </c>
      <c r="E411" s="1494" t="n">
        <v>-0.005</v>
      </c>
      <c r="F411" s="1494" t="n">
        <v>-0.492</v>
      </c>
      <c r="G411" s="1493" t="n">
        <v>-0.022</v>
      </c>
      <c r="H411" s="1493" t="n">
        <v>-0.146</v>
      </c>
      <c r="I411" s="1493" t="n">
        <v>-0.003</v>
      </c>
      <c r="J411" s="1493" t="n">
        <v>-0.068</v>
      </c>
      <c r="K411" s="1494" t="n">
        <v>-0.239</v>
      </c>
      <c r="L411" s="1493" t="n">
        <v>-0.111</v>
      </c>
      <c r="M411" s="1493" t="n">
        <v>-0.02</v>
      </c>
      <c r="N411" s="1493" t="n">
        <v>0.001</v>
      </c>
      <c r="O411" s="1493" t="n">
        <v>-0.019</v>
      </c>
      <c r="P411" s="1494" t="n">
        <v>-0.149</v>
      </c>
      <c r="Q411" s="1493" t="n">
        <v>-0.034</v>
      </c>
      <c r="R411" s="1493" t="n">
        <v>0.012</v>
      </c>
      <c r="S411" s="1493" t="n">
        <v>0.07199999999999999</v>
      </c>
      <c r="T411" s="1493" t="n">
        <v>-0.03</v>
      </c>
      <c r="U411" s="1494" t="n">
        <v>0.02</v>
      </c>
      <c r="V411" s="1361" t="n"/>
      <c r="W411" s="1493" t="n">
        <v>-0.012</v>
      </c>
      <c r="X411" s="1493" t="n">
        <v>-0.064</v>
      </c>
      <c r="Y411" s="1493" t="n">
        <v>-0.029</v>
      </c>
      <c r="Z411" s="1494" t="n">
        <v>-0.105</v>
      </c>
      <c r="AA411" s="1493" t="n">
        <v>-0.083</v>
      </c>
      <c r="AB411" s="1493" t="n">
        <v>-0.044</v>
      </c>
      <c r="AC411" s="1493" t="n">
        <v>-0.311</v>
      </c>
      <c r="AD411" s="1493" t="n">
        <v>-0.09</v>
      </c>
      <c r="AE411" s="1494" t="n">
        <v>-0.528</v>
      </c>
      <c r="AF411" s="1493" t="n">
        <v>0.011</v>
      </c>
      <c r="AG411" s="1493" t="n">
        <v>-0.03</v>
      </c>
      <c r="AH411" s="1493" t="n">
        <v>-0.095</v>
      </c>
      <c r="AI411" s="1493" t="n">
        <v>0.281</v>
      </c>
      <c r="AJ411" s="1494" t="n">
        <v>0.167</v>
      </c>
      <c r="AK411" s="1493" t="n">
        <v>-0.253</v>
      </c>
      <c r="AL411" s="1493" t="n">
        <v>-0.096</v>
      </c>
      <c r="AM411" s="1493" t="n">
        <v>-0.01</v>
      </c>
      <c r="AN411" s="1493" t="n">
        <v>-0.248</v>
      </c>
      <c r="AO411" s="1494" t="n">
        <v>-0.607</v>
      </c>
      <c r="AP411" s="1493" t="n">
        <v>0.803</v>
      </c>
      <c r="AQ411" s="1493" t="n">
        <v>-0.5600000000000001</v>
      </c>
      <c r="AR411" s="1493" t="n">
        <v>-0.299</v>
      </c>
      <c r="AS411" s="1493" t="n">
        <v>-0.73</v>
      </c>
      <c r="AT411" s="1379">
        <f>SUM(AP411,AQ411,AR411,AS411)</f>
        <v/>
      </c>
      <c r="AU411" s="1493" t="n">
        <v>-0.331</v>
      </c>
      <c r="AV411" s="1493" t="n">
        <v>-0.403</v>
      </c>
      <c r="AW411" s="1493" t="n">
        <v>0.06</v>
      </c>
      <c r="AX411" s="1493" t="n">
        <v>-0.332</v>
      </c>
      <c r="AY411" s="1379">
        <f>SUM(AU411,AV411,AW411,AX411)</f>
        <v/>
      </c>
      <c r="AZ411" s="1493" t="n">
        <v>0.422</v>
      </c>
      <c r="BA411" s="1493" t="n">
        <v>1.377</v>
      </c>
      <c r="BB411" s="1493" t="n">
        <v>0.485</v>
      </c>
      <c r="BC411" s="1493" t="n">
        <v>-0.5580000000000001</v>
      </c>
      <c r="BD411" s="1494" t="n">
        <v>1.726</v>
      </c>
      <c r="BE411" s="1493" t="n">
        <v>-0.606</v>
      </c>
      <c r="BF411" s="1493" t="n">
        <v>-0.613</v>
      </c>
      <c r="BG411" s="1493" t="n">
        <v>0.341</v>
      </c>
      <c r="BH411" s="1493" t="n">
        <v>-1.182</v>
      </c>
      <c r="BI411" s="1494" t="n">
        <v>-2.06</v>
      </c>
      <c r="BJ411" s="1493" t="n">
        <v>-0.905</v>
      </c>
      <c r="BK411" s="1493" t="n">
        <v>-0.321</v>
      </c>
      <c r="BL411" s="1493" t="n">
        <v>-0.925</v>
      </c>
      <c r="BM411" s="1493" t="n">
        <v>-0.14</v>
      </c>
      <c r="BN411" s="1494" t="n">
        <v>-2.291</v>
      </c>
      <c r="BO411" s="1493" t="n">
        <v>0.473</v>
      </c>
      <c r="BP411" s="1493" t="n">
        <v>-1.559</v>
      </c>
      <c r="BQ411" s="1502" t="n">
        <v>-1.268</v>
      </c>
      <c r="BR411" s="1361" t="n"/>
      <c r="BS411" s="1379" t="n"/>
      <c r="BT411" s="1361" t="n"/>
      <c r="BU411" s="1361" t="n"/>
      <c r="BV411" s="1361" t="n"/>
      <c r="BW411" s="1361" t="n"/>
      <c r="BX411" s="1379" t="n"/>
      <c r="BY411" s="1379" t="n"/>
      <c r="BZ411" s="1379" t="n"/>
      <c r="CA411" s="1379" t="n"/>
      <c r="CB411" s="1364" t="n"/>
    </row>
    <row r="412" hidden="1" outlineLevel="1" ht="14.4" customFormat="1" customHeight="1" s="1359">
      <c r="A412" s="1394" t="inlineStr">
        <is>
          <t>Acquisition and integration related costs</t>
        </is>
      </c>
      <c r="B412" s="1512" t="n"/>
      <c r="C412" s="1379" t="n"/>
      <c r="D412" s="1494" t="n">
        <v>-0.266</v>
      </c>
      <c r="E412" s="1494" t="n">
        <v>-0.469</v>
      </c>
      <c r="F412" s="1494" t="n">
        <v>-0.5620000000000001</v>
      </c>
      <c r="G412" s="1493" t="n">
        <v>-0.064</v>
      </c>
      <c r="H412" s="1493" t="n">
        <v>-0.395</v>
      </c>
      <c r="I412" s="1493" t="n">
        <v>-0.578</v>
      </c>
      <c r="J412" s="1493" t="n">
        <v>-0.43</v>
      </c>
      <c r="K412" s="1494" t="n">
        <v>-1.467</v>
      </c>
      <c r="L412" s="1493" t="n">
        <v>-0.988</v>
      </c>
      <c r="M412" s="1493" t="n">
        <v>-0.499</v>
      </c>
      <c r="N412" s="1493" t="n">
        <v>-0.87</v>
      </c>
      <c r="O412" s="1493" t="n">
        <v>-0.411</v>
      </c>
      <c r="P412" s="1494" t="n">
        <v>-2.768</v>
      </c>
      <c r="Q412" s="1493" t="n">
        <v>-0.275</v>
      </c>
      <c r="R412" s="1493" t="n">
        <v>-0.114</v>
      </c>
      <c r="S412" s="1493" t="n">
        <v>-0.152</v>
      </c>
      <c r="T412" s="1493" t="n">
        <v>-0.113</v>
      </c>
      <c r="U412" s="1494" t="n">
        <v>-0.654</v>
      </c>
      <c r="V412" s="1493" t="n">
        <v>-0.126</v>
      </c>
      <c r="W412" s="1493" t="n">
        <v>-0.093</v>
      </c>
      <c r="X412" s="1493" t="n">
        <v>-0.043</v>
      </c>
      <c r="Y412" s="1493" t="n">
        <v>-0.043</v>
      </c>
      <c r="Z412" s="1494" t="n">
        <v>-0.305</v>
      </c>
      <c r="AA412" s="1493" t="n">
        <v>-0.041</v>
      </c>
      <c r="AB412" s="1493" t="n">
        <v>-0.127</v>
      </c>
      <c r="AC412" s="1493" t="n">
        <v>0</v>
      </c>
      <c r="AD412" s="1361" t="n"/>
      <c r="AE412" s="1494" t="n">
        <v>-0.168</v>
      </c>
      <c r="AF412" s="1361" t="n"/>
      <c r="AG412" s="1361" t="n"/>
      <c r="AH412" s="1361" t="n"/>
      <c r="AI412" s="1361" t="n"/>
      <c r="AJ412" s="1379" t="n"/>
      <c r="AK412" s="1361" t="n"/>
      <c r="AL412" s="1361" t="n"/>
      <c r="AM412" s="1361" t="n"/>
      <c r="AN412" s="1361" t="n"/>
      <c r="AO412" s="1379" t="n"/>
      <c r="AP412" s="1493" t="n">
        <v>-0.013</v>
      </c>
      <c r="AQ412" s="1493" t="n">
        <v>-0.015</v>
      </c>
      <c r="AR412" s="1493" t="n">
        <v>-0.015</v>
      </c>
      <c r="AS412" s="1493" t="n">
        <v>-0.015</v>
      </c>
      <c r="AT412" s="1378">
        <f>SUM(AP412,AQ412,AR412,AS412)</f>
        <v/>
      </c>
      <c r="AU412" s="1493" t="n">
        <v>-0.008</v>
      </c>
      <c r="AV412" s="1493" t="n">
        <v>-0.313</v>
      </c>
      <c r="AW412" s="1493" t="n">
        <v>-0.355</v>
      </c>
      <c r="AX412" s="1493" t="n">
        <v>-0.355</v>
      </c>
      <c r="AY412" s="1378">
        <f>SUM(AU412,AV412,AW412,AX412)</f>
        <v/>
      </c>
      <c r="AZ412" s="1493" t="n">
        <v>-0.352</v>
      </c>
      <c r="BA412" s="1493" t="n">
        <v>-0.15</v>
      </c>
      <c r="BB412" s="1493" t="n">
        <v>-0.9340000000000001</v>
      </c>
      <c r="BC412" s="1493" t="n">
        <v>-2.085</v>
      </c>
      <c r="BD412" s="1494" t="n">
        <v>-3.521</v>
      </c>
      <c r="BE412" s="1493" t="n">
        <v>-1.976</v>
      </c>
      <c r="BF412" s="1493" t="n">
        <v>-1.367</v>
      </c>
      <c r="BG412" s="1493" t="n">
        <v>-1.195</v>
      </c>
      <c r="BH412" s="1493" t="n">
        <v>-0.923</v>
      </c>
      <c r="BI412" s="1494" t="n">
        <v>-5.461</v>
      </c>
      <c r="BJ412" s="1493" t="n">
        <v>-3.766</v>
      </c>
      <c r="BK412" s="1493" t="n">
        <v>-5.033</v>
      </c>
      <c r="BL412" s="1493" t="n">
        <v>-5.921</v>
      </c>
      <c r="BM412" s="1493" t="n">
        <v>-6.1</v>
      </c>
      <c r="BN412" s="1494" t="n">
        <v>-20.82</v>
      </c>
      <c r="BO412" s="1493" t="n">
        <v>-4.914</v>
      </c>
      <c r="BP412" s="1493" t="n">
        <v>-3.671</v>
      </c>
      <c r="BQ412" s="1502" t="n">
        <v>-2.592</v>
      </c>
      <c r="BR412" s="1361" t="n"/>
      <c r="BS412" s="1379" t="n"/>
      <c r="BT412" s="1361" t="n"/>
      <c r="BU412" s="1361" t="n"/>
      <c r="BV412" s="1361" t="n"/>
      <c r="BW412" s="1361" t="n"/>
      <c r="BX412" s="1379" t="n"/>
      <c r="BY412" s="1379" t="n"/>
      <c r="BZ412" s="1379" t="n"/>
      <c r="CA412" s="1379" t="n"/>
      <c r="CB412" s="1364" t="n"/>
    </row>
    <row r="413" hidden="1" outlineLevel="1" ht="14.4" customFormat="1" customHeight="1" s="1359">
      <c r="A413" s="1394" t="inlineStr">
        <is>
          <t>Special charges</t>
        </is>
      </c>
      <c r="B413" s="1512" t="n"/>
      <c r="C413" s="1379" t="n"/>
      <c r="D413" s="1379" t="n"/>
      <c r="E413" s="1379" t="n"/>
      <c r="F413" s="1379" t="n"/>
      <c r="G413" s="1361" t="n"/>
      <c r="H413" s="1361" t="n"/>
      <c r="I413" s="1361" t="n"/>
      <c r="J413" s="1361" t="n"/>
      <c r="K413" s="1379" t="n"/>
      <c r="L413" s="1361" t="n"/>
      <c r="M413" s="1361" t="n"/>
      <c r="N413" s="1361" t="n"/>
      <c r="O413" s="1361" t="n"/>
      <c r="P413" s="1494" t="n">
        <v>-1.913</v>
      </c>
      <c r="Q413" s="1361" t="n"/>
      <c r="R413" s="1361" t="n"/>
      <c r="S413" s="1361" t="n"/>
      <c r="T413" s="1361" t="n"/>
      <c r="U413" s="1379" t="n"/>
      <c r="V413" s="1361" t="n"/>
      <c r="W413" s="1361" t="n"/>
      <c r="X413" s="1361" t="n"/>
      <c r="Y413" s="1361" t="n"/>
      <c r="Z413" s="1379" t="n"/>
      <c r="AA413" s="1361" t="n"/>
      <c r="AB413" s="1361" t="n"/>
      <c r="AC413" s="1361" t="n"/>
      <c r="AD413" s="1361" t="n"/>
      <c r="AE413" s="1379" t="n"/>
      <c r="AF413" s="1361" t="n"/>
      <c r="AG413" s="1361" t="n"/>
      <c r="AH413" s="1361" t="n"/>
      <c r="AI413" s="1361" t="n"/>
      <c r="AJ413" s="1379" t="n"/>
      <c r="AK413" s="1361" t="n"/>
      <c r="AL413" s="1361" t="n"/>
      <c r="AM413" s="1361" t="n"/>
      <c r="AN413" s="1361" t="n"/>
      <c r="AO413" s="1379" t="n"/>
      <c r="AP413" s="1361" t="n"/>
      <c r="AQ413" s="1361" t="n"/>
      <c r="AR413" s="1361" t="n"/>
      <c r="AS413" s="1361" t="n"/>
      <c r="AT413" s="1379" t="n"/>
      <c r="AU413" s="1361" t="n"/>
      <c r="AV413" s="1493" t="n">
        <v>-6.697</v>
      </c>
      <c r="AW413" s="1361" t="n"/>
      <c r="AX413" s="1361" t="n"/>
      <c r="AY413" s="1494" t="n">
        <v>-6.697</v>
      </c>
      <c r="AZ413" s="1361" t="n"/>
      <c r="BA413" s="1361" t="n"/>
      <c r="BB413" s="1361" t="n"/>
      <c r="BC413" s="1361" t="n"/>
      <c r="BD413" s="1379" t="n"/>
      <c r="BE413" s="1361" t="n"/>
      <c r="BF413" s="1361" t="n"/>
      <c r="BG413" s="1361" t="n"/>
      <c r="BH413" s="1361" t="n"/>
      <c r="BI413" s="1379" t="n"/>
      <c r="BJ413" s="1361" t="n"/>
      <c r="BK413" s="1493" t="n">
        <v>-1.233</v>
      </c>
      <c r="BL413" s="1361" t="n"/>
      <c r="BM413" s="1361" t="n"/>
      <c r="BN413" s="1494" t="n">
        <v>-1.233</v>
      </c>
      <c r="BO413" s="1361" t="n"/>
      <c r="BP413" s="1361" t="n"/>
      <c r="BQ413" s="1363" t="n"/>
      <c r="BR413" s="1361" t="n"/>
      <c r="BS413" s="1379" t="n"/>
      <c r="BT413" s="1361" t="n"/>
      <c r="BU413" s="1361" t="n"/>
      <c r="BV413" s="1361" t="n"/>
      <c r="BW413" s="1361" t="n"/>
      <c r="BX413" s="1379" t="n"/>
      <c r="BY413" s="1379" t="n"/>
      <c r="BZ413" s="1379" t="n"/>
      <c r="CA413" s="1379" t="n"/>
      <c r="CB413" s="1364" t="n"/>
    </row>
    <row r="414" hidden="1" outlineLevel="1" ht="14.4" customFormat="1" customHeight="1" s="1359">
      <c r="A414" s="1453" t="inlineStr">
        <is>
          <t>Executive severance costs</t>
        </is>
      </c>
      <c r="B414" s="1514" t="n"/>
      <c r="C414" s="1455" t="n"/>
      <c r="D414" s="1480" t="n">
        <v>-0.572</v>
      </c>
      <c r="E414" s="1480" t="n">
        <v>-3.07</v>
      </c>
      <c r="F414" s="1455" t="n"/>
      <c r="G414" s="1456" t="n"/>
      <c r="H414" s="1456" t="n"/>
      <c r="I414" s="1479" t="n">
        <v>-0.48</v>
      </c>
      <c r="J414" s="1456" t="n"/>
      <c r="K414" s="1480" t="n">
        <v>-0.48</v>
      </c>
      <c r="L414" s="1456" t="n"/>
      <c r="M414" s="1479" t="n">
        <v>-1.913</v>
      </c>
      <c r="N414" s="1456" t="n"/>
      <c r="O414" s="1456" t="n"/>
      <c r="P414" s="1455" t="n"/>
      <c r="Q414" s="1456" t="n"/>
      <c r="R414" s="1456" t="n"/>
      <c r="S414" s="1456" t="n"/>
      <c r="T414" s="1456" t="n"/>
      <c r="U414" s="1455" t="n"/>
      <c r="V414" s="1456" t="n"/>
      <c r="W414" s="1456" t="n"/>
      <c r="X414" s="1456" t="n"/>
      <c r="Y414" s="1456" t="n"/>
      <c r="Z414" s="1455" t="n"/>
      <c r="AA414" s="1456" t="n"/>
      <c r="AB414" s="1456" t="n"/>
      <c r="AC414" s="1456" t="n"/>
      <c r="AD414" s="1456" t="n"/>
      <c r="AE414" s="1455" t="n"/>
      <c r="AF414" s="1456" t="n"/>
      <c r="AG414" s="1456" t="n"/>
      <c r="AH414" s="1456" t="n"/>
      <c r="AI414" s="1456" t="n"/>
      <c r="AJ414" s="1455" t="n"/>
      <c r="AK414" s="1456" t="n"/>
      <c r="AL414" s="1456" t="n"/>
      <c r="AM414" s="1456" t="n"/>
      <c r="AN414" s="1456" t="n"/>
      <c r="AO414" s="1455" t="n"/>
      <c r="AP414" s="1456" t="n"/>
      <c r="AQ414" s="1456" t="n"/>
      <c r="AR414" s="1456" t="n"/>
      <c r="AS414" s="1456" t="n"/>
      <c r="AT414" s="1455" t="n"/>
      <c r="AU414" s="1456" t="n"/>
      <c r="AV414" s="1456" t="n"/>
      <c r="AW414" s="1456" t="n"/>
      <c r="AX414" s="1456" t="n"/>
      <c r="AY414" s="1455" t="n"/>
      <c r="AZ414" s="1456" t="n"/>
      <c r="BA414" s="1456" t="n"/>
      <c r="BB414" s="1456" t="n"/>
      <c r="BC414" s="1456" t="n"/>
      <c r="BD414" s="1455" t="n"/>
      <c r="BE414" s="1456" t="n"/>
      <c r="BF414" s="1456" t="n"/>
      <c r="BG414" s="1456" t="n"/>
      <c r="BH414" s="1456" t="n"/>
      <c r="BI414" s="1455" t="n"/>
      <c r="BJ414" s="1456" t="n"/>
      <c r="BK414" s="1456" t="n"/>
      <c r="BL414" s="1456" t="n"/>
      <c r="BM414" s="1456" t="n"/>
      <c r="BN414" s="1455" t="n"/>
      <c r="BO414" s="1456" t="n"/>
      <c r="BP414" s="1456" t="n"/>
      <c r="BQ414" s="1457" t="n"/>
      <c r="BR414" s="1456" t="n"/>
      <c r="BS414" s="1455" t="n"/>
      <c r="BT414" s="1456" t="n"/>
      <c r="BU414" s="1456" t="n"/>
      <c r="BV414" s="1456" t="n"/>
      <c r="BW414" s="1456" t="n"/>
      <c r="BX414" s="1455" t="n"/>
      <c r="BY414" s="1455" t="n"/>
      <c r="BZ414" s="1455" t="n"/>
      <c r="CA414" s="1455" t="n"/>
      <c r="CB414" s="1364" t="n"/>
    </row>
    <row r="415" hidden="1" outlineLevel="1" ht="14.4" customFormat="1" customHeight="1" s="1372">
      <c r="A415" s="1400" t="inlineStr">
        <is>
          <t>Non-GAAP marketing and sales</t>
        </is>
      </c>
      <c r="B415" s="1516" t="n"/>
      <c r="C415" s="1405" t="n"/>
      <c r="D415" s="1402">
        <f>SUM(D409:D414)</f>
        <v/>
      </c>
      <c r="E415" s="1402">
        <f>SUM(E409:E414)</f>
        <v/>
      </c>
      <c r="F415" s="1402">
        <f>SUM(F409:F414)</f>
        <v/>
      </c>
      <c r="G415" s="1403">
        <f>SUM(G409:G414)</f>
        <v/>
      </c>
      <c r="H415" s="1403">
        <f>SUM(H409:H414)</f>
        <v/>
      </c>
      <c r="I415" s="1403">
        <f>SUM(I409:I414)</f>
        <v/>
      </c>
      <c r="J415" s="1403">
        <f>SUM(J409:J414)</f>
        <v/>
      </c>
      <c r="K415" s="1402">
        <f>SUM(K409:K414)</f>
        <v/>
      </c>
      <c r="L415" s="1403">
        <f>SUM(L409:L414)</f>
        <v/>
      </c>
      <c r="M415" s="1403">
        <f>SUM(M409:M414)</f>
        <v/>
      </c>
      <c r="N415" s="1403">
        <f>SUM(N409:N414)</f>
        <v/>
      </c>
      <c r="O415" s="1403">
        <f>SUM(O409:O414)</f>
        <v/>
      </c>
      <c r="P415" s="1402">
        <f>SUM(P409:P414)</f>
        <v/>
      </c>
      <c r="Q415" s="1403">
        <f>SUM(Q409:Q414)</f>
        <v/>
      </c>
      <c r="R415" s="1403">
        <f>SUM(R409:R414)</f>
        <v/>
      </c>
      <c r="S415" s="1403">
        <f>SUM(S409:S414)</f>
        <v/>
      </c>
      <c r="T415" s="1403">
        <f>SUM(T409:T414)</f>
        <v/>
      </c>
      <c r="U415" s="1402">
        <f>SUM(U409:U414)</f>
        <v/>
      </c>
      <c r="V415" s="1403">
        <f>SUM(V409:V414)</f>
        <v/>
      </c>
      <c r="W415" s="1403">
        <f>SUM(W409:W414)</f>
        <v/>
      </c>
      <c r="X415" s="1403">
        <f>SUM(X409:X414)</f>
        <v/>
      </c>
      <c r="Y415" s="1404">
        <f>SUM(Y409:Y414)</f>
        <v/>
      </c>
      <c r="Z415" s="1405">
        <f>SUM(Z409:Z414)</f>
        <v/>
      </c>
      <c r="AA415" s="1403">
        <f>SUM(AA409:AA414)</f>
        <v/>
      </c>
      <c r="AB415" s="1403">
        <f>SUM(AB409:AB414)</f>
        <v/>
      </c>
      <c r="AC415" s="1403">
        <f>SUM(AC409:AC414)</f>
        <v/>
      </c>
      <c r="AD415" s="1404">
        <f>SUM(AD409:AD414)</f>
        <v/>
      </c>
      <c r="AE415" s="1405">
        <f>SUM(AE409:AE414)</f>
        <v/>
      </c>
      <c r="AF415" s="1403">
        <f>SUM(AF409:AF414)</f>
        <v/>
      </c>
      <c r="AG415" s="1403">
        <f>SUM(AG409:AG414)</f>
        <v/>
      </c>
      <c r="AH415" s="1403">
        <f>SUM(AH409:AH414)</f>
        <v/>
      </c>
      <c r="AI415" s="1404">
        <f>SUM(AI409:AI414)</f>
        <v/>
      </c>
      <c r="AJ415" s="1405">
        <f>SUM(AJ409:AJ414)</f>
        <v/>
      </c>
      <c r="AK415" s="1403">
        <f>SUM(AK409:AK414)</f>
        <v/>
      </c>
      <c r="AL415" s="1403">
        <f>SUM(AL409:AL414)</f>
        <v/>
      </c>
      <c r="AM415" s="1403">
        <f>SUM(AM409:AM414)</f>
        <v/>
      </c>
      <c r="AN415" s="1404">
        <f>SUM(AN409:AN414)</f>
        <v/>
      </c>
      <c r="AO415" s="1405">
        <f>SUM(AO409:AO414)</f>
        <v/>
      </c>
      <c r="AP415" s="1403">
        <f>SUM(AP409:AP414)</f>
        <v/>
      </c>
      <c r="AQ415" s="1403">
        <f>SUM(AQ409:AQ414)</f>
        <v/>
      </c>
      <c r="AR415" s="1403">
        <f>SUM(AR409:AR414)</f>
        <v/>
      </c>
      <c r="AS415" s="1404">
        <f>SUM(AS409:AS414)</f>
        <v/>
      </c>
      <c r="AT415" s="1405">
        <f>SUM(AT409:AT414)</f>
        <v/>
      </c>
      <c r="AU415" s="1403">
        <f>SUM(AU409:AU414)</f>
        <v/>
      </c>
      <c r="AV415" s="1403">
        <f>SUM(AV409:AV414)</f>
        <v/>
      </c>
      <c r="AW415" s="1403">
        <f>SUM(AW409:AW414)</f>
        <v/>
      </c>
      <c r="AX415" s="1404">
        <f>SUM(AX409:AX414)</f>
        <v/>
      </c>
      <c r="AY415" s="1405">
        <f>SUM(AY409:AY414)</f>
        <v/>
      </c>
      <c r="AZ415" s="1403">
        <f>SUM(AZ409:AZ414)</f>
        <v/>
      </c>
      <c r="BA415" s="1403">
        <f>SUM(BA409:BA414)</f>
        <v/>
      </c>
      <c r="BB415" s="1403">
        <f>SUM(BB409:BB414)</f>
        <v/>
      </c>
      <c r="BC415" s="1404">
        <f>SUM(BC409:BC414)</f>
        <v/>
      </c>
      <c r="BD415" s="1405">
        <f>SUM(BD409:BD414)</f>
        <v/>
      </c>
      <c r="BE415" s="1403">
        <f>SUM(BE409:BE414)</f>
        <v/>
      </c>
      <c r="BF415" s="1403">
        <f>SUM(BF409:BF414)</f>
        <v/>
      </c>
      <c r="BG415" s="1403">
        <f>SUM(BG409:BG414)</f>
        <v/>
      </c>
      <c r="BH415" s="1404">
        <f>SUM(BH409:BH414)</f>
        <v/>
      </c>
      <c r="BI415" s="1405">
        <f>SUM(BI409:BI414)</f>
        <v/>
      </c>
      <c r="BJ415" s="1403">
        <f>SUM(BJ409:BJ414)</f>
        <v/>
      </c>
      <c r="BK415" s="1403">
        <f>SUM(BK409:BK414)</f>
        <v/>
      </c>
      <c r="BL415" s="1403">
        <f>SUM(BL409:BL414)</f>
        <v/>
      </c>
      <c r="BM415" s="1404">
        <f>SUM(BM409:BM414)</f>
        <v/>
      </c>
      <c r="BN415" s="1405">
        <f>SUM(BN409:BN414)</f>
        <v/>
      </c>
      <c r="BO415" s="1403">
        <f>SUM(BO409:BO414)</f>
        <v/>
      </c>
      <c r="BP415" s="1403">
        <f>SUM(BP409:BP414)</f>
        <v/>
      </c>
      <c r="BQ415" s="1406">
        <f>SUM(BQ409:BQ414)</f>
        <v/>
      </c>
      <c r="BR415" s="1404" t="n"/>
      <c r="BS415" s="1405" t="n"/>
      <c r="BT415" s="1404" t="n"/>
      <c r="BU415" s="1404" t="n"/>
      <c r="BV415" s="1404" t="n"/>
      <c r="BW415" s="1404" t="n"/>
      <c r="BX415" s="1405" t="n"/>
      <c r="BY415" s="1405" t="n"/>
      <c r="BZ415" s="1405" t="n"/>
      <c r="CA415" s="1405" t="n"/>
      <c r="CB415" s="1375" t="n"/>
    </row>
    <row r="416" hidden="1" outlineLevel="1" ht="14.4" customFormat="1" customHeight="1" s="1372">
      <c r="A416" s="1447" t="n"/>
      <c r="B416" s="1517" t="n"/>
      <c r="C416" s="1449" t="n"/>
      <c r="D416" s="1449" t="n"/>
      <c r="E416" s="1449" t="n"/>
      <c r="F416" s="1449" t="n"/>
      <c r="G416" s="1450" t="n"/>
      <c r="H416" s="1450" t="n"/>
      <c r="I416" s="1450" t="n"/>
      <c r="J416" s="1450" t="n"/>
      <c r="K416" s="1449" t="n"/>
      <c r="L416" s="1450" t="n"/>
      <c r="M416" s="1450" t="n"/>
      <c r="N416" s="1450" t="n"/>
      <c r="O416" s="1450" t="n"/>
      <c r="P416" s="1449" t="n"/>
      <c r="Q416" s="1450" t="n"/>
      <c r="R416" s="1450" t="n"/>
      <c r="S416" s="1450" t="n"/>
      <c r="T416" s="1450" t="n"/>
      <c r="U416" s="1449" t="n"/>
      <c r="V416" s="1450" t="n"/>
      <c r="W416" s="1450" t="n"/>
      <c r="X416" s="1450" t="n"/>
      <c r="Y416" s="1450" t="n"/>
      <c r="Z416" s="1449" t="n"/>
      <c r="AA416" s="1450" t="n"/>
      <c r="AB416" s="1450" t="n"/>
      <c r="AC416" s="1450" t="n"/>
      <c r="AD416" s="1450" t="n"/>
      <c r="AE416" s="1449" t="n"/>
      <c r="AF416" s="1450" t="n"/>
      <c r="AG416" s="1450" t="n"/>
      <c r="AH416" s="1450" t="n"/>
      <c r="AI416" s="1450" t="n"/>
      <c r="AJ416" s="1449" t="n"/>
      <c r="AK416" s="1450" t="n"/>
      <c r="AL416" s="1450" t="n"/>
      <c r="AM416" s="1450" t="n"/>
      <c r="AN416" s="1450" t="n"/>
      <c r="AO416" s="1449" t="n"/>
      <c r="AP416" s="1450" t="n"/>
      <c r="AQ416" s="1450" t="n"/>
      <c r="AR416" s="1450" t="n"/>
      <c r="AS416" s="1450" t="n"/>
      <c r="AT416" s="1449" t="n"/>
      <c r="AU416" s="1450" t="n"/>
      <c r="AV416" s="1450" t="n"/>
      <c r="AW416" s="1450" t="n"/>
      <c r="AX416" s="1450" t="n"/>
      <c r="AY416" s="1449" t="n"/>
      <c r="AZ416" s="1450" t="n"/>
      <c r="BA416" s="1450" t="n"/>
      <c r="BB416" s="1450" t="n"/>
      <c r="BC416" s="1450" t="n"/>
      <c r="BD416" s="1449" t="n"/>
      <c r="BE416" s="1450" t="n"/>
      <c r="BF416" s="1450" t="n"/>
      <c r="BG416" s="1450" t="n"/>
      <c r="BH416" s="1450" t="n"/>
      <c r="BI416" s="1449" t="n"/>
      <c r="BJ416" s="1450" t="n"/>
      <c r="BK416" s="1450" t="n"/>
      <c r="BL416" s="1450" t="n"/>
      <c r="BM416" s="1450" t="n"/>
      <c r="BN416" s="1449" t="n"/>
      <c r="BO416" s="1450" t="n"/>
      <c r="BP416" s="1450" t="n"/>
      <c r="BQ416" s="1451" t="n"/>
      <c r="BR416" s="1450" t="n"/>
      <c r="BS416" s="1449" t="n"/>
      <c r="BT416" s="1450" t="n"/>
      <c r="BU416" s="1450" t="n"/>
      <c r="BV416" s="1450" t="n"/>
      <c r="BW416" s="1450" t="n"/>
      <c r="BX416" s="1449" t="n"/>
      <c r="BY416" s="1449" t="n"/>
      <c r="BZ416" s="1449" t="n"/>
      <c r="CA416" s="1449" t="n"/>
      <c r="CB416" s="1375" t="n"/>
    </row>
    <row r="417" hidden="1" outlineLevel="1" ht="14.4" customFormat="1" customHeight="1" s="1372">
      <c r="A417" s="1452" t="inlineStr">
        <is>
          <t>GAAP research and development</t>
        </is>
      </c>
      <c r="B417" s="1517" t="n"/>
      <c r="C417" s="1458">
        <f>C349</f>
        <v/>
      </c>
      <c r="D417" s="1458">
        <f>D349</f>
        <v/>
      </c>
      <c r="E417" s="1458">
        <f>E349</f>
        <v/>
      </c>
      <c r="F417" s="1458">
        <f>F349</f>
        <v/>
      </c>
      <c r="G417" s="1375">
        <f>G349</f>
        <v/>
      </c>
      <c r="H417" s="1375">
        <f>H349</f>
        <v/>
      </c>
      <c r="I417" s="1375">
        <f>I349</f>
        <v/>
      </c>
      <c r="J417" s="1375">
        <f>J349</f>
        <v/>
      </c>
      <c r="K417" s="1458">
        <f>K349</f>
        <v/>
      </c>
      <c r="L417" s="1375">
        <f>L349</f>
        <v/>
      </c>
      <c r="M417" s="1375">
        <f>M349</f>
        <v/>
      </c>
      <c r="N417" s="1375">
        <f>N349</f>
        <v/>
      </c>
      <c r="O417" s="1375">
        <f>O349</f>
        <v/>
      </c>
      <c r="P417" s="1458">
        <f>P349</f>
        <v/>
      </c>
      <c r="Q417" s="1375">
        <f>Q349</f>
        <v/>
      </c>
      <c r="R417" s="1375">
        <f>R349</f>
        <v/>
      </c>
      <c r="S417" s="1375">
        <f>S349</f>
        <v/>
      </c>
      <c r="T417" s="1375">
        <f>T349</f>
        <v/>
      </c>
      <c r="U417" s="1458">
        <f>U349</f>
        <v/>
      </c>
      <c r="V417" s="1375">
        <f>V349</f>
        <v/>
      </c>
      <c r="W417" s="1375">
        <f>W349</f>
        <v/>
      </c>
      <c r="X417" s="1375">
        <f>X349</f>
        <v/>
      </c>
      <c r="Y417" s="1450">
        <f>Y349</f>
        <v/>
      </c>
      <c r="Z417" s="1449">
        <f>Z349</f>
        <v/>
      </c>
      <c r="AA417" s="1375">
        <f>AA349</f>
        <v/>
      </c>
      <c r="AB417" s="1375">
        <f>AB349</f>
        <v/>
      </c>
      <c r="AC417" s="1375">
        <f>AC349</f>
        <v/>
      </c>
      <c r="AD417" s="1450">
        <f>AD349</f>
        <v/>
      </c>
      <c r="AE417" s="1449">
        <f>AE349</f>
        <v/>
      </c>
      <c r="AF417" s="1375">
        <f>AF349</f>
        <v/>
      </c>
      <c r="AG417" s="1375">
        <f>AG349</f>
        <v/>
      </c>
      <c r="AH417" s="1375">
        <f>AH349</f>
        <v/>
      </c>
      <c r="AI417" s="1450">
        <f>AI349</f>
        <v/>
      </c>
      <c r="AJ417" s="1449">
        <f>AJ349</f>
        <v/>
      </c>
      <c r="AK417" s="1375">
        <f>AK349</f>
        <v/>
      </c>
      <c r="AL417" s="1375">
        <f>AL349</f>
        <v/>
      </c>
      <c r="AM417" s="1375">
        <f>AM349</f>
        <v/>
      </c>
      <c r="AN417" s="1450">
        <f>AN349</f>
        <v/>
      </c>
      <c r="AO417" s="1449">
        <f>AO349</f>
        <v/>
      </c>
      <c r="AP417" s="1375">
        <f>AP349</f>
        <v/>
      </c>
      <c r="AQ417" s="1375">
        <f>AQ349</f>
        <v/>
      </c>
      <c r="AR417" s="1375">
        <f>AR349</f>
        <v/>
      </c>
      <c r="AS417" s="1450">
        <f>AS349</f>
        <v/>
      </c>
      <c r="AT417" s="1449">
        <f>AT349</f>
        <v/>
      </c>
      <c r="AU417" s="1375">
        <f>AU349</f>
        <v/>
      </c>
      <c r="AV417" s="1375">
        <f>AV349</f>
        <v/>
      </c>
      <c r="AW417" s="1375">
        <f>AW349</f>
        <v/>
      </c>
      <c r="AX417" s="1450">
        <f>AX349</f>
        <v/>
      </c>
      <c r="AY417" s="1449">
        <f>AY349</f>
        <v/>
      </c>
      <c r="AZ417" s="1375">
        <f>AZ349</f>
        <v/>
      </c>
      <c r="BA417" s="1375">
        <f>BA349</f>
        <v/>
      </c>
      <c r="BB417" s="1375">
        <f>BB349</f>
        <v/>
      </c>
      <c r="BC417" s="1450">
        <f>BC349</f>
        <v/>
      </c>
      <c r="BD417" s="1449">
        <f>BD349</f>
        <v/>
      </c>
      <c r="BE417" s="1375">
        <f>BE349</f>
        <v/>
      </c>
      <c r="BF417" s="1375">
        <f>BF349</f>
        <v/>
      </c>
      <c r="BG417" s="1375">
        <f>BG349</f>
        <v/>
      </c>
      <c r="BH417" s="1450">
        <f>BH349</f>
        <v/>
      </c>
      <c r="BI417" s="1449">
        <f>BI349</f>
        <v/>
      </c>
      <c r="BJ417" s="1375">
        <f>BJ349</f>
        <v/>
      </c>
      <c r="BK417" s="1375">
        <f>BK349</f>
        <v/>
      </c>
      <c r="BL417" s="1375">
        <f>BL349</f>
        <v/>
      </c>
      <c r="BM417" s="1450">
        <f>BM349</f>
        <v/>
      </c>
      <c r="BN417" s="1449">
        <f>BN349</f>
        <v/>
      </c>
      <c r="BO417" s="1375">
        <f>BO349</f>
        <v/>
      </c>
      <c r="BP417" s="1375">
        <f>BP349</f>
        <v/>
      </c>
      <c r="BQ417" s="1459">
        <f>BQ349</f>
        <v/>
      </c>
      <c r="BR417" s="1450" t="n"/>
      <c r="BS417" s="1449" t="n"/>
      <c r="BT417" s="1450" t="n"/>
      <c r="BU417" s="1450" t="n"/>
      <c r="BV417" s="1450" t="n"/>
      <c r="BW417" s="1450" t="n"/>
      <c r="BX417" s="1449" t="n"/>
      <c r="BY417" s="1449" t="n"/>
      <c r="BZ417" s="1449" t="n"/>
      <c r="CA417" s="1449" t="n"/>
      <c r="CB417" s="1375" t="n"/>
    </row>
    <row r="418" hidden="1" outlineLevel="1" ht="14.4" customFormat="1" customHeight="1" s="1359">
      <c r="A418" s="1394" t="inlineStr">
        <is>
          <t>Stock based compensation expense</t>
        </is>
      </c>
      <c r="B418" s="1512" t="n"/>
      <c r="C418" s="1379" t="n"/>
      <c r="D418" s="1378">
        <f>-D176</f>
        <v/>
      </c>
      <c r="E418" s="1378">
        <f>-E176</f>
        <v/>
      </c>
      <c r="F418" s="1378">
        <f>-F176</f>
        <v/>
      </c>
      <c r="G418" s="1364">
        <f>-G176</f>
        <v/>
      </c>
      <c r="H418" s="1364">
        <f>-H176</f>
        <v/>
      </c>
      <c r="I418" s="1364">
        <f>-I176</f>
        <v/>
      </c>
      <c r="J418" s="1364">
        <f>-J176</f>
        <v/>
      </c>
      <c r="K418" s="1378">
        <f>-K176</f>
        <v/>
      </c>
      <c r="L418" s="1364">
        <f>-L176</f>
        <v/>
      </c>
      <c r="M418" s="1364">
        <f>-M176</f>
        <v/>
      </c>
      <c r="N418" s="1364">
        <f>-N176</f>
        <v/>
      </c>
      <c r="O418" s="1364">
        <f>-O176</f>
        <v/>
      </c>
      <c r="P418" s="1378">
        <f>-P176</f>
        <v/>
      </c>
      <c r="Q418" s="1364">
        <f>-Q176</f>
        <v/>
      </c>
      <c r="R418" s="1364">
        <f>-R176</f>
        <v/>
      </c>
      <c r="S418" s="1364">
        <f>-S176</f>
        <v/>
      </c>
      <c r="T418" s="1364">
        <f>-T176</f>
        <v/>
      </c>
      <c r="U418" s="1378">
        <f>-U176</f>
        <v/>
      </c>
      <c r="V418" s="1364">
        <f>-V176</f>
        <v/>
      </c>
      <c r="W418" s="1364">
        <f>-W176</f>
        <v/>
      </c>
      <c r="X418" s="1364">
        <f>-X176</f>
        <v/>
      </c>
      <c r="Y418" s="1364">
        <f>-Y176</f>
        <v/>
      </c>
      <c r="Z418" s="1378">
        <f>-Z176</f>
        <v/>
      </c>
      <c r="AA418" s="1364">
        <f>-AA176</f>
        <v/>
      </c>
      <c r="AB418" s="1364">
        <f>-AB176</f>
        <v/>
      </c>
      <c r="AC418" s="1364">
        <f>-AC176</f>
        <v/>
      </c>
      <c r="AD418" s="1493" t="n">
        <v>-21.934</v>
      </c>
      <c r="AE418" s="1494" t="n">
        <v>-77.22199999999999</v>
      </c>
      <c r="AF418" s="1493" t="n">
        <v>-23.235</v>
      </c>
      <c r="AG418" s="1364">
        <f>-AG176</f>
        <v/>
      </c>
      <c r="AH418" s="1493" t="n">
        <v>-28.668</v>
      </c>
      <c r="AI418" s="1493" t="n">
        <v>-27.35</v>
      </c>
      <c r="AJ418" s="1494" t="n">
        <v>-104.353</v>
      </c>
      <c r="AK418" s="1493" t="n">
        <v>-26.898</v>
      </c>
      <c r="AL418" s="1364">
        <f>-AL176</f>
        <v/>
      </c>
      <c r="AM418" s="1364">
        <f>-AM176</f>
        <v/>
      </c>
      <c r="AN418" s="1493" t="n">
        <v>-29.641</v>
      </c>
      <c r="AO418" s="1494" t="n">
        <v>-114.656</v>
      </c>
      <c r="AP418" s="1493" t="n">
        <v>-29.346</v>
      </c>
      <c r="AQ418" s="1364">
        <f>-AQ176</f>
        <v/>
      </c>
      <c r="AR418" s="1364">
        <f>-AR176</f>
        <v/>
      </c>
      <c r="AS418" s="1364">
        <f>-AS176</f>
        <v/>
      </c>
      <c r="AT418" s="1378">
        <f>-AT176</f>
        <v/>
      </c>
      <c r="AU418" s="1364">
        <f>-AU176</f>
        <v/>
      </c>
      <c r="AV418" s="1364">
        <f>-AV176</f>
        <v/>
      </c>
      <c r="AW418" s="1364">
        <f>-AW176</f>
        <v/>
      </c>
      <c r="AX418" s="1364">
        <f>-AX176</f>
        <v/>
      </c>
      <c r="AY418" s="1378">
        <f>-AY176</f>
        <v/>
      </c>
      <c r="AZ418" s="1364">
        <f>-AZ176</f>
        <v/>
      </c>
      <c r="BA418" s="1364">
        <f>-BA176</f>
        <v/>
      </c>
      <c r="BB418" s="1364">
        <f>-BB176</f>
        <v/>
      </c>
      <c r="BC418" s="1364">
        <f>-BC176</f>
        <v/>
      </c>
      <c r="BD418" s="1378">
        <f>-BD176</f>
        <v/>
      </c>
      <c r="BE418" s="1364">
        <f>-BE176</f>
        <v/>
      </c>
      <c r="BF418" s="1364">
        <f>-BF176</f>
        <v/>
      </c>
      <c r="BG418" s="1364">
        <f>-BG176</f>
        <v/>
      </c>
      <c r="BH418" s="1364">
        <f>-BH176</f>
        <v/>
      </c>
      <c r="BI418" s="1378">
        <f>-BI176</f>
        <v/>
      </c>
      <c r="BJ418" s="1364">
        <f>-BJ176</f>
        <v/>
      </c>
      <c r="BK418" s="1364">
        <f>-BK176</f>
        <v/>
      </c>
      <c r="BL418" s="1364">
        <f>-BL176</f>
        <v/>
      </c>
      <c r="BM418" s="1364">
        <f>-BM176</f>
        <v/>
      </c>
      <c r="BN418" s="1378">
        <f>-BN176</f>
        <v/>
      </c>
      <c r="BO418" s="1364">
        <f>-BO176</f>
        <v/>
      </c>
      <c r="BP418" s="1364">
        <f>-BP176</f>
        <v/>
      </c>
      <c r="BQ418" s="1395">
        <f>-BQ176</f>
        <v/>
      </c>
      <c r="BR418" s="1361" t="n"/>
      <c r="BS418" s="1379" t="n"/>
      <c r="BT418" s="1361" t="n"/>
      <c r="BU418" s="1361" t="n"/>
      <c r="BV418" s="1361" t="n"/>
      <c r="BW418" s="1361" t="n"/>
      <c r="BX418" s="1379" t="n"/>
      <c r="BY418" s="1379" t="n"/>
      <c r="BZ418" s="1379" t="n"/>
      <c r="CA418" s="1379" t="n"/>
      <c r="CB418" s="1364" t="n"/>
    </row>
    <row r="419" hidden="1" outlineLevel="1" ht="14.4" customFormat="1" customHeight="1" s="1359">
      <c r="A419" s="1474" t="inlineStr">
        <is>
          <t>Non-qualified deferred compensation expenses</t>
        </is>
      </c>
      <c r="B419" s="1512" t="n"/>
      <c r="C419" s="1379" t="n"/>
      <c r="D419" s="1494" t="n">
        <v>-1.448</v>
      </c>
      <c r="E419" s="1494" t="n">
        <v>0.323</v>
      </c>
      <c r="F419" s="1494" t="n">
        <v>-2.144</v>
      </c>
      <c r="G419" s="1493" t="n">
        <v>-0.078</v>
      </c>
      <c r="H419" s="1493" t="n">
        <v>-0.879</v>
      </c>
      <c r="I419" s="1493" t="n">
        <v>-0.06</v>
      </c>
      <c r="J419" s="1493" t="n">
        <v>-0.6830000000000001</v>
      </c>
      <c r="K419" s="1494" t="n">
        <v>-1.7</v>
      </c>
      <c r="L419" s="1493" t="n">
        <v>-1.123</v>
      </c>
      <c r="M419" s="1493" t="n">
        <v>-0.642</v>
      </c>
      <c r="N419" s="1493" t="n">
        <v>0.095</v>
      </c>
      <c r="O419" s="1493" t="n">
        <v>-0.216</v>
      </c>
      <c r="P419" s="1494" t="n">
        <v>-1.886</v>
      </c>
      <c r="Q419" s="1493" t="n">
        <v>-0.362</v>
      </c>
      <c r="R419" s="1493" t="n">
        <v>-0.022</v>
      </c>
      <c r="S419" s="1493" t="n">
        <v>0.9</v>
      </c>
      <c r="T419" s="1493" t="n">
        <v>-0.44</v>
      </c>
      <c r="U419" s="1494" t="n">
        <v>0.076</v>
      </c>
      <c r="V419" s="1493" t="n">
        <v>0.027</v>
      </c>
      <c r="W419" s="1493" t="n">
        <v>-0.294</v>
      </c>
      <c r="X419" s="1493" t="n">
        <v>-0.623</v>
      </c>
      <c r="Y419" s="1493" t="n">
        <v>-0.413</v>
      </c>
      <c r="Z419" s="1494" t="n">
        <v>-1.303</v>
      </c>
      <c r="AA419" s="1493" t="n">
        <v>-0.84</v>
      </c>
      <c r="AB419" s="1493" t="n">
        <v>-0.524</v>
      </c>
      <c r="AC419" s="1493" t="n">
        <v>-0.8090000000000001</v>
      </c>
      <c r="AD419" s="1493" t="n">
        <v>-0.886</v>
      </c>
      <c r="AE419" s="1494" t="n">
        <v>-3.059</v>
      </c>
      <c r="AF419" s="1493" t="n">
        <v>-0.109</v>
      </c>
      <c r="AG419" s="1493" t="n">
        <v>-0.351</v>
      </c>
      <c r="AH419" s="1493" t="n">
        <v>-0.752</v>
      </c>
      <c r="AI419" s="1493" t="n">
        <v>2.16</v>
      </c>
      <c r="AJ419" s="1494" t="n">
        <v>0.948</v>
      </c>
      <c r="AK419" s="1493" t="n">
        <v>-1.663</v>
      </c>
      <c r="AL419" s="1493" t="n">
        <v>-0.556</v>
      </c>
      <c r="AM419" s="1493" t="n">
        <v>-0.041</v>
      </c>
      <c r="AN419" s="1493" t="n">
        <v>-1.123</v>
      </c>
      <c r="AO419" s="1494" t="n">
        <v>-3.383</v>
      </c>
      <c r="AP419" s="1493" t="n">
        <v>2.608</v>
      </c>
      <c r="AQ419" s="1493" t="n">
        <v>-2.063</v>
      </c>
      <c r="AR419" s="1493" t="n">
        <v>-0.969</v>
      </c>
      <c r="AS419" s="1493" t="n">
        <v>-2.405</v>
      </c>
      <c r="AT419" s="1379">
        <f>SUM(AP419,AQ419,AR419,AS419)</f>
        <v/>
      </c>
      <c r="AU419" s="1493" t="n">
        <v>-0.998</v>
      </c>
      <c r="AV419" s="1493" t="n">
        <v>-1.404</v>
      </c>
      <c r="AW419" s="1493" t="n">
        <v>0.176</v>
      </c>
      <c r="AX419" s="1493" t="n">
        <v>-1.302</v>
      </c>
      <c r="AY419" s="1379">
        <f>SUM(AU419,AV419,AW419,AX419)</f>
        <v/>
      </c>
      <c r="AZ419" s="1493" t="n">
        <v>1.652</v>
      </c>
      <c r="BA419" s="1493" t="n">
        <v>3.649</v>
      </c>
      <c r="BB419" s="1493" t="n">
        <v>1.583</v>
      </c>
      <c r="BC419" s="1493" t="n">
        <v>-1.652</v>
      </c>
      <c r="BD419" s="1494" t="n">
        <v>5.232</v>
      </c>
      <c r="BE419" s="1493" t="n">
        <v>-1.913</v>
      </c>
      <c r="BF419" s="1493" t="n">
        <v>-1.877</v>
      </c>
      <c r="BG419" s="1493" t="n">
        <v>1.092</v>
      </c>
      <c r="BH419" s="1493" t="n">
        <v>-3.861</v>
      </c>
      <c r="BI419" s="1494" t="n">
        <v>-6.559</v>
      </c>
      <c r="BJ419" s="1493" t="n">
        <v>-2.732</v>
      </c>
      <c r="BK419" s="1493" t="n">
        <v>-1.106</v>
      </c>
      <c r="BL419" s="1493" t="n">
        <v>-2.608</v>
      </c>
      <c r="BM419" s="1493" t="n">
        <v>-0.431</v>
      </c>
      <c r="BN419" s="1494" t="n">
        <v>-6.877</v>
      </c>
      <c r="BO419" s="1493" t="n">
        <v>1.261</v>
      </c>
      <c r="BP419" s="1493" t="n">
        <v>-4.485</v>
      </c>
      <c r="BQ419" s="1502" t="n">
        <v>-3.28</v>
      </c>
      <c r="BR419" s="1361" t="n"/>
      <c r="BS419" s="1379" t="n"/>
      <c r="BT419" s="1361" t="n"/>
      <c r="BU419" s="1361" t="n"/>
      <c r="BV419" s="1361" t="n"/>
      <c r="BW419" s="1361" t="n"/>
      <c r="BX419" s="1379" t="n"/>
      <c r="BY419" s="1379" t="n"/>
      <c r="BZ419" s="1379" t="n"/>
      <c r="CA419" s="1379" t="n"/>
      <c r="CB419" s="1364" t="n"/>
    </row>
    <row r="420" hidden="1" outlineLevel="1" ht="14.4" customFormat="1" customHeight="1" s="1359">
      <c r="A420" s="1474" t="inlineStr">
        <is>
          <t>Acquisition and integration related costs</t>
        </is>
      </c>
      <c r="B420" s="1512" t="n"/>
      <c r="C420" s="1379" t="n"/>
      <c r="D420" s="1494" t="n">
        <v>-9.917</v>
      </c>
      <c r="E420" s="1494" t="n">
        <v>-0.984</v>
      </c>
      <c r="F420" s="1494" t="n">
        <v>-6.2</v>
      </c>
      <c r="G420" s="1493" t="n">
        <v>-1.297</v>
      </c>
      <c r="H420" s="1493" t="n">
        <v>-4.732</v>
      </c>
      <c r="I420" s="1493" t="n">
        <v>-7.297</v>
      </c>
      <c r="J420" s="1493" t="n">
        <v>-5.378</v>
      </c>
      <c r="K420" s="1494" t="n">
        <v>-18.704</v>
      </c>
      <c r="L420" s="1493" t="n">
        <v>-4.961</v>
      </c>
      <c r="M420" s="1493" t="n">
        <v>-4.98</v>
      </c>
      <c r="N420" s="1493" t="n">
        <v>-3.933</v>
      </c>
      <c r="O420" s="1493" t="n">
        <v>-3.354</v>
      </c>
      <c r="P420" s="1494" t="n">
        <v>-17.228</v>
      </c>
      <c r="Q420" s="1493" t="n">
        <v>-3.414</v>
      </c>
      <c r="R420" s="1493" t="n">
        <v>-1.551</v>
      </c>
      <c r="S420" s="1493" t="n">
        <v>-0.758</v>
      </c>
      <c r="T420" s="1493" t="n">
        <v>-1.034</v>
      </c>
      <c r="U420" s="1494" t="n">
        <v>-6.757</v>
      </c>
      <c r="V420" s="1493" t="n">
        <v>-0.58</v>
      </c>
      <c r="W420" s="1493" t="n">
        <v>-1.148</v>
      </c>
      <c r="X420" s="1493" t="n">
        <v>-1.51</v>
      </c>
      <c r="Y420" s="1493" t="n">
        <v>-1.377</v>
      </c>
      <c r="Z420" s="1494" t="n">
        <v>-4.615</v>
      </c>
      <c r="AA420" s="1493" t="n">
        <v>-1.316</v>
      </c>
      <c r="AB420" s="1493" t="n">
        <v>-0.524</v>
      </c>
      <c r="AC420" s="1493" t="n">
        <v>-0.542</v>
      </c>
      <c r="AD420" s="1493" t="n">
        <v>-4.879</v>
      </c>
      <c r="AE420" s="1494" t="n">
        <v>-7.261</v>
      </c>
      <c r="AF420" s="1493" t="n">
        <v>-7.684</v>
      </c>
      <c r="AG420" s="1493" t="n">
        <v>-6.736</v>
      </c>
      <c r="AH420" s="1493" t="n">
        <v>-6.642</v>
      </c>
      <c r="AI420" s="1493" t="n">
        <v>1.357</v>
      </c>
      <c r="AJ420" s="1494" t="n">
        <v>-19.705</v>
      </c>
      <c r="AK420" s="1493" t="n">
        <v>-0.912</v>
      </c>
      <c r="AL420" s="1493" t="n">
        <v>-1.889</v>
      </c>
      <c r="AM420" s="1493" t="n">
        <v>-1.838</v>
      </c>
      <c r="AN420" s="1493" t="n">
        <v>-1.155</v>
      </c>
      <c r="AO420" s="1494" t="n">
        <v>-5.794</v>
      </c>
      <c r="AP420" s="1493" t="n">
        <v>-3.405</v>
      </c>
      <c r="AQ420" s="1493" t="n">
        <v>-5.179</v>
      </c>
      <c r="AR420" s="1493" t="n">
        <v>-5.068</v>
      </c>
      <c r="AS420" s="1493" t="n">
        <v>-5.011</v>
      </c>
      <c r="AT420" s="1379">
        <f>SUM(AP420,AQ420,AR420,AS420)</f>
        <v/>
      </c>
      <c r="AU420" s="1493" t="n">
        <v>-3.735</v>
      </c>
      <c r="AV420" s="1493" t="n">
        <v>-4.975</v>
      </c>
      <c r="AW420" s="1493" t="n">
        <v>-4.747</v>
      </c>
      <c r="AX420" s="1493" t="n">
        <v>-4.819</v>
      </c>
      <c r="AY420" s="1379">
        <f>SUM(AU420,AV420,AW420,AX420)</f>
        <v/>
      </c>
      <c r="AZ420" s="1493" t="n">
        <v>-3.405</v>
      </c>
      <c r="BA420" s="1493" t="n">
        <v>-1.762</v>
      </c>
      <c r="BB420" s="1493" t="n">
        <v>-4.729</v>
      </c>
      <c r="BC420" s="1493" t="n">
        <v>-12.11</v>
      </c>
      <c r="BD420" s="1494" t="n">
        <v>-22.006</v>
      </c>
      <c r="BE420" s="1493" t="n">
        <v>-9.609999999999999</v>
      </c>
      <c r="BF420" s="1493" t="n">
        <v>-7.957</v>
      </c>
      <c r="BG420" s="1493" t="n">
        <v>-8.16</v>
      </c>
      <c r="BH420" s="1493" t="n">
        <v>-7.613</v>
      </c>
      <c r="BI420" s="1494" t="n">
        <v>-33.34</v>
      </c>
      <c r="BJ420" s="1493" t="n">
        <v>-6.997</v>
      </c>
      <c r="BK420" s="1493" t="n">
        <v>-10.635</v>
      </c>
      <c r="BL420" s="1493" t="n">
        <v>-17.53</v>
      </c>
      <c r="BM420" s="1493" t="n">
        <v>-12.52</v>
      </c>
      <c r="BN420" s="1494" t="n">
        <v>-47.682</v>
      </c>
      <c r="BO420" s="1493" t="n">
        <v>-14.049</v>
      </c>
      <c r="BP420" s="1493" t="n">
        <v>-15.603</v>
      </c>
      <c r="BQ420" s="1502" t="n">
        <v>-16.18</v>
      </c>
      <c r="BR420" s="1361" t="n"/>
      <c r="BS420" s="1379" t="n"/>
      <c r="BT420" s="1361" t="n"/>
      <c r="BU420" s="1361" t="n"/>
      <c r="BV420" s="1361" t="n"/>
      <c r="BW420" s="1361" t="n"/>
      <c r="BX420" s="1379" t="n"/>
      <c r="BY420" s="1379" t="n"/>
      <c r="BZ420" s="1379" t="n"/>
      <c r="CA420" s="1379" t="n"/>
      <c r="CB420" s="1364" t="n"/>
    </row>
    <row r="421" hidden="1" outlineLevel="1" ht="14.4" customFormat="1" customHeight="1" s="1359">
      <c r="A421" s="1453" t="inlineStr">
        <is>
          <t>Special charges</t>
        </is>
      </c>
      <c r="B421" s="1514" t="n"/>
      <c r="C421" s="1455" t="n"/>
      <c r="D421" s="1455" t="n"/>
      <c r="E421" s="1480" t="n">
        <v>-2.181</v>
      </c>
      <c r="F421" s="1455" t="n"/>
      <c r="G421" s="1456" t="n"/>
      <c r="H421" s="1456" t="n"/>
      <c r="I421" s="1456" t="n"/>
      <c r="J421" s="1456" t="n"/>
      <c r="K421" s="1455" t="n"/>
      <c r="L421" s="1456" t="n"/>
      <c r="M421" s="1479" t="n">
        <v>-5.854</v>
      </c>
      <c r="N421" s="1456" t="n"/>
      <c r="O421" s="1456" t="n"/>
      <c r="P421" s="1480" t="n">
        <v>-5.854</v>
      </c>
      <c r="Q421" s="1456" t="n"/>
      <c r="R421" s="1456" t="n"/>
      <c r="S421" s="1456" t="n"/>
      <c r="T421" s="1479" t="n">
        <v>-0.916</v>
      </c>
      <c r="U421" s="1480" t="n">
        <v>-0.916</v>
      </c>
      <c r="V421" s="1456" t="n"/>
      <c r="W421" s="1456" t="n"/>
      <c r="X421" s="1456" t="n"/>
      <c r="Y421" s="1456" t="n"/>
      <c r="Z421" s="1455" t="n"/>
      <c r="AA421" s="1456" t="n"/>
      <c r="AB421" s="1456" t="n"/>
      <c r="AC421" s="1456" t="n"/>
      <c r="AD421" s="1456" t="n"/>
      <c r="AE421" s="1455" t="n"/>
      <c r="AF421" s="1456" t="n"/>
      <c r="AG421" s="1456" t="n"/>
      <c r="AH421" s="1456" t="n"/>
      <c r="AI421" s="1456" t="n"/>
      <c r="AJ421" s="1455" t="n"/>
      <c r="AK421" s="1456" t="n"/>
      <c r="AL421" s="1456" t="n"/>
      <c r="AM421" s="1456" t="n"/>
      <c r="AN421" s="1456" t="n"/>
      <c r="AO421" s="1455" t="n"/>
      <c r="AP421" s="1456" t="n"/>
      <c r="AQ421" s="1456" t="n"/>
      <c r="AR421" s="1456" t="n"/>
      <c r="AS421" s="1456" t="n"/>
      <c r="AT421" s="1455" t="n"/>
      <c r="AU421" s="1456" t="n"/>
      <c r="AV421" s="1479" t="n">
        <v>-14.711</v>
      </c>
      <c r="AW421" s="1456" t="n"/>
      <c r="AX421" s="1456" t="n"/>
      <c r="AY421" s="1480" t="n">
        <v>-14.711</v>
      </c>
      <c r="AZ421" s="1456" t="n"/>
      <c r="BA421" s="1456" t="n"/>
      <c r="BB421" s="1456" t="n"/>
      <c r="BC421" s="1456" t="n"/>
      <c r="BD421" s="1455" t="n"/>
      <c r="BE421" s="1456" t="n"/>
      <c r="BF421" s="1456" t="n"/>
      <c r="BG421" s="1456" t="n"/>
      <c r="BH421" s="1456" t="n"/>
      <c r="BI421" s="1455" t="n"/>
      <c r="BJ421" s="1456" t="n"/>
      <c r="BK421" s="1456" t="n"/>
      <c r="BL421" s="1456" t="n"/>
      <c r="BM421" s="1479" t="n">
        <v>-1</v>
      </c>
      <c r="BN421" s="1480" t="n">
        <v>-1</v>
      </c>
      <c r="BO421" s="1479" t="n">
        <v>-0.825</v>
      </c>
      <c r="BP421" s="1456" t="n"/>
      <c r="BQ421" s="1457" t="n"/>
      <c r="BR421" s="1456" t="n"/>
      <c r="BS421" s="1455" t="n"/>
      <c r="BT421" s="1456" t="n"/>
      <c r="BU421" s="1456" t="n"/>
      <c r="BV421" s="1456" t="n"/>
      <c r="BW421" s="1456" t="n"/>
      <c r="BX421" s="1455" t="n"/>
      <c r="BY421" s="1455" t="n"/>
      <c r="BZ421" s="1455" t="n"/>
      <c r="CA421" s="1455" t="n"/>
      <c r="CB421" s="1364" t="n"/>
    </row>
    <row r="422" hidden="1" outlineLevel="1" ht="14.4" customFormat="1" customHeight="1" s="1372">
      <c r="A422" s="1400" t="inlineStr">
        <is>
          <t>Non-GAAP research and development</t>
        </is>
      </c>
      <c r="B422" s="1516" t="n"/>
      <c r="C422" s="1405" t="n"/>
      <c r="D422" s="1402">
        <f>SUM(D417:D421)</f>
        <v/>
      </c>
      <c r="E422" s="1402">
        <f>SUM(E417:E421)</f>
        <v/>
      </c>
      <c r="F422" s="1402">
        <f>SUM(F417:F421)</f>
        <v/>
      </c>
      <c r="G422" s="1403">
        <f>SUM(G417:G421)</f>
        <v/>
      </c>
      <c r="H422" s="1403">
        <f>SUM(H417:H421)</f>
        <v/>
      </c>
      <c r="I422" s="1403">
        <f>SUM(I417:I421)</f>
        <v/>
      </c>
      <c r="J422" s="1403">
        <f>SUM(J417:J421)</f>
        <v/>
      </c>
      <c r="K422" s="1402">
        <f>SUM(K417:K421)</f>
        <v/>
      </c>
      <c r="L422" s="1403">
        <f>SUM(L417:L421)</f>
        <v/>
      </c>
      <c r="M422" s="1403">
        <f>SUM(M417:M421)</f>
        <v/>
      </c>
      <c r="N422" s="1403">
        <f>SUM(N417:N421)</f>
        <v/>
      </c>
      <c r="O422" s="1403">
        <f>SUM(O417:O421)</f>
        <v/>
      </c>
      <c r="P422" s="1402">
        <f>SUM(P417:P421)</f>
        <v/>
      </c>
      <c r="Q422" s="1403">
        <f>SUM(Q417:Q421)</f>
        <v/>
      </c>
      <c r="R422" s="1403">
        <f>SUM(R417:R421)</f>
        <v/>
      </c>
      <c r="S422" s="1403">
        <f>SUM(S417:S421)</f>
        <v/>
      </c>
      <c r="T422" s="1403">
        <f>SUM(T417:T421)</f>
        <v/>
      </c>
      <c r="U422" s="1402">
        <f>SUM(U417:U421)</f>
        <v/>
      </c>
      <c r="V422" s="1403">
        <f>SUM(V417:V421)</f>
        <v/>
      </c>
      <c r="W422" s="1403">
        <f>SUM(W417:W421)</f>
        <v/>
      </c>
      <c r="X422" s="1403">
        <f>SUM(X417:X421)</f>
        <v/>
      </c>
      <c r="Y422" s="1404">
        <f>SUM(Y417:Y421)</f>
        <v/>
      </c>
      <c r="Z422" s="1405">
        <f>SUM(Z417:Z421)</f>
        <v/>
      </c>
      <c r="AA422" s="1403">
        <f>SUM(AA417:AA421)</f>
        <v/>
      </c>
      <c r="AB422" s="1403">
        <f>SUM(AB417:AB421)</f>
        <v/>
      </c>
      <c r="AC422" s="1403">
        <f>SUM(AC417:AC421)</f>
        <v/>
      </c>
      <c r="AD422" s="1404">
        <f>SUM(AD417:AD421)</f>
        <v/>
      </c>
      <c r="AE422" s="1405">
        <f>SUM(AE417:AE421)</f>
        <v/>
      </c>
      <c r="AF422" s="1403">
        <f>SUM(AF417:AF421)</f>
        <v/>
      </c>
      <c r="AG422" s="1403">
        <f>SUM(AG417:AG421)</f>
        <v/>
      </c>
      <c r="AH422" s="1403">
        <f>SUM(AH417:AH421)</f>
        <v/>
      </c>
      <c r="AI422" s="1404">
        <f>SUM(AI417:AI421)</f>
        <v/>
      </c>
      <c r="AJ422" s="1405">
        <f>SUM(AJ417:AJ421)</f>
        <v/>
      </c>
      <c r="AK422" s="1403">
        <f>SUM(AK417:AK421)</f>
        <v/>
      </c>
      <c r="AL422" s="1403">
        <f>SUM(AL417:AL421)</f>
        <v/>
      </c>
      <c r="AM422" s="1403">
        <f>SUM(AM417:AM421)</f>
        <v/>
      </c>
      <c r="AN422" s="1404">
        <f>SUM(AN417:AN421)</f>
        <v/>
      </c>
      <c r="AO422" s="1405">
        <f>SUM(AO417:AO421)</f>
        <v/>
      </c>
      <c r="AP422" s="1403">
        <f>SUM(AP417:AP421)</f>
        <v/>
      </c>
      <c r="AQ422" s="1403">
        <f>SUM(AQ417:AQ421)</f>
        <v/>
      </c>
      <c r="AR422" s="1403">
        <f>SUM(AR417:AR421)</f>
        <v/>
      </c>
      <c r="AS422" s="1404">
        <f>SUM(AS417:AS421)</f>
        <v/>
      </c>
      <c r="AT422" s="1405">
        <f>SUM(AT417:AT421)</f>
        <v/>
      </c>
      <c r="AU422" s="1403">
        <f>SUM(AU417:AU421)</f>
        <v/>
      </c>
      <c r="AV422" s="1403">
        <f>SUM(AV417:AV421)</f>
        <v/>
      </c>
      <c r="AW422" s="1403">
        <f>SUM(AW417:AW421)</f>
        <v/>
      </c>
      <c r="AX422" s="1404">
        <f>SUM(AX417:AX421)</f>
        <v/>
      </c>
      <c r="AY422" s="1405">
        <f>SUM(AY417:AY421)</f>
        <v/>
      </c>
      <c r="AZ422" s="1403">
        <f>SUM(AZ417:AZ421)</f>
        <v/>
      </c>
      <c r="BA422" s="1403">
        <f>SUM(BA417:BA421)</f>
        <v/>
      </c>
      <c r="BB422" s="1403">
        <f>SUM(BB417:BB421)</f>
        <v/>
      </c>
      <c r="BC422" s="1404">
        <f>SUM(BC417:BC421)</f>
        <v/>
      </c>
      <c r="BD422" s="1405">
        <f>SUM(BD417:BD421)</f>
        <v/>
      </c>
      <c r="BE422" s="1403">
        <f>SUM(BE417:BE421)</f>
        <v/>
      </c>
      <c r="BF422" s="1403">
        <f>SUM(BF417:BF421)</f>
        <v/>
      </c>
      <c r="BG422" s="1403">
        <f>SUM(BG417:BG421)</f>
        <v/>
      </c>
      <c r="BH422" s="1404">
        <f>SUM(BH417:BH421)</f>
        <v/>
      </c>
      <c r="BI422" s="1405">
        <f>SUM(BI417:BI421)</f>
        <v/>
      </c>
      <c r="BJ422" s="1403">
        <f>SUM(BJ417:BJ421)</f>
        <v/>
      </c>
      <c r="BK422" s="1403">
        <f>SUM(BK417:BK421)</f>
        <v/>
      </c>
      <c r="BL422" s="1403">
        <f>SUM(BL417:BL421)</f>
        <v/>
      </c>
      <c r="BM422" s="1404">
        <f>SUM(BM417:BM421)</f>
        <v/>
      </c>
      <c r="BN422" s="1405">
        <f>SUM(BN417:BN421)</f>
        <v/>
      </c>
      <c r="BO422" s="1403">
        <f>SUM(BO417:BO421)</f>
        <v/>
      </c>
      <c r="BP422" s="1403">
        <f>SUM(BP417:BP421)</f>
        <v/>
      </c>
      <c r="BQ422" s="1406">
        <f>SUM(BQ417:BQ421)</f>
        <v/>
      </c>
      <c r="BR422" s="1404" t="n"/>
      <c r="BS422" s="1405" t="n"/>
      <c r="BT422" s="1404" t="n"/>
      <c r="BU422" s="1404" t="n"/>
      <c r="BV422" s="1404" t="n"/>
      <c r="BW422" s="1404" t="n"/>
      <c r="BX422" s="1405" t="n"/>
      <c r="BY422" s="1405" t="n"/>
      <c r="BZ422" s="1405" t="n"/>
      <c r="CA422" s="1405" t="n"/>
      <c r="CB422" s="1375" t="n"/>
    </row>
    <row r="423" hidden="1" outlineLevel="1" ht="14.4" customFormat="1" customHeight="1" s="1372">
      <c r="A423" s="1447" t="n"/>
      <c r="B423" s="1517" t="n"/>
      <c r="C423" s="1449" t="n"/>
      <c r="D423" s="1449" t="n"/>
      <c r="E423" s="1449" t="n"/>
      <c r="F423" s="1449" t="n"/>
      <c r="G423" s="1450" t="n"/>
      <c r="H423" s="1450" t="n"/>
      <c r="I423" s="1450" t="n"/>
      <c r="J423" s="1450" t="n"/>
      <c r="K423" s="1449" t="n"/>
      <c r="L423" s="1450" t="n"/>
      <c r="M423" s="1450" t="n"/>
      <c r="N423" s="1450" t="n"/>
      <c r="O423" s="1450" t="n"/>
      <c r="P423" s="1449" t="n"/>
      <c r="Q423" s="1450" t="n"/>
      <c r="R423" s="1450" t="n"/>
      <c r="S423" s="1450" t="n"/>
      <c r="T423" s="1450" t="n"/>
      <c r="U423" s="1449" t="n"/>
      <c r="V423" s="1450" t="n"/>
      <c r="W423" s="1450" t="n"/>
      <c r="X423" s="1450" t="n"/>
      <c r="Y423" s="1450" t="n"/>
      <c r="Z423" s="1449" t="n"/>
      <c r="AA423" s="1450" t="n"/>
      <c r="AB423" s="1450" t="n"/>
      <c r="AC423" s="1450" t="n"/>
      <c r="AD423" s="1450" t="n"/>
      <c r="AE423" s="1449" t="n"/>
      <c r="AF423" s="1450" t="n"/>
      <c r="AG423" s="1450" t="n"/>
      <c r="AH423" s="1450" t="n"/>
      <c r="AI423" s="1450" t="n"/>
      <c r="AJ423" s="1449" t="n"/>
      <c r="AK423" s="1450" t="n"/>
      <c r="AL423" s="1450" t="n"/>
      <c r="AM423" s="1450" t="n"/>
      <c r="AN423" s="1450" t="n"/>
      <c r="AO423" s="1449" t="n"/>
      <c r="AP423" s="1450" t="n"/>
      <c r="AQ423" s="1450" t="n"/>
      <c r="AR423" s="1450" t="n"/>
      <c r="AS423" s="1450" t="n"/>
      <c r="AT423" s="1449" t="n"/>
      <c r="AU423" s="1450" t="n"/>
      <c r="AV423" s="1450" t="n"/>
      <c r="AW423" s="1450" t="n"/>
      <c r="AX423" s="1450" t="n"/>
      <c r="AY423" s="1449" t="n"/>
      <c r="AZ423" s="1450" t="n"/>
      <c r="BA423" s="1450" t="n"/>
      <c r="BB423" s="1450" t="n"/>
      <c r="BC423" s="1450" t="n"/>
      <c r="BD423" s="1449" t="n"/>
      <c r="BE423" s="1450" t="n"/>
      <c r="BF423" s="1450" t="n"/>
      <c r="BG423" s="1450" t="n"/>
      <c r="BH423" s="1450" t="n"/>
      <c r="BI423" s="1449" t="n"/>
      <c r="BJ423" s="1450" t="n"/>
      <c r="BK423" s="1450" t="n"/>
      <c r="BL423" s="1450" t="n"/>
      <c r="BM423" s="1450" t="n"/>
      <c r="BN423" s="1449" t="n"/>
      <c r="BO423" s="1450" t="n"/>
      <c r="BP423" s="1450" t="n"/>
      <c r="BQ423" s="1451" t="n"/>
      <c r="BR423" s="1450" t="n"/>
      <c r="BS423" s="1449" t="n"/>
      <c r="BT423" s="1450" t="n"/>
      <c r="BU423" s="1450" t="n"/>
      <c r="BV423" s="1450" t="n"/>
      <c r="BW423" s="1450" t="n"/>
      <c r="BX423" s="1449" t="n"/>
      <c r="BY423" s="1449" t="n"/>
      <c r="BZ423" s="1449" t="n"/>
      <c r="CA423" s="1449" t="n"/>
      <c r="CB423" s="1375" t="n"/>
    </row>
    <row r="424" hidden="1" outlineLevel="1" ht="14.4" customFormat="1" customHeight="1" s="1372">
      <c r="A424" s="1452" t="inlineStr">
        <is>
          <t>GAAP general and administrative</t>
        </is>
      </c>
      <c r="B424" s="1517" t="n"/>
      <c r="C424" s="1458">
        <f>C350</f>
        <v/>
      </c>
      <c r="D424" s="1458">
        <f>D350</f>
        <v/>
      </c>
      <c r="E424" s="1458">
        <f>E350</f>
        <v/>
      </c>
      <c r="F424" s="1458">
        <f>F350</f>
        <v/>
      </c>
      <c r="G424" s="1375">
        <f>G350</f>
        <v/>
      </c>
      <c r="H424" s="1375">
        <f>H350</f>
        <v/>
      </c>
      <c r="I424" s="1375">
        <f>I350</f>
        <v/>
      </c>
      <c r="J424" s="1375">
        <f>J350</f>
        <v/>
      </c>
      <c r="K424" s="1458">
        <f>K350</f>
        <v/>
      </c>
      <c r="L424" s="1375">
        <f>L350</f>
        <v/>
      </c>
      <c r="M424" s="1375">
        <f>M350</f>
        <v/>
      </c>
      <c r="N424" s="1375">
        <f>N350</f>
        <v/>
      </c>
      <c r="O424" s="1375">
        <f>O350</f>
        <v/>
      </c>
      <c r="P424" s="1458">
        <f>P350</f>
        <v/>
      </c>
      <c r="Q424" s="1375">
        <f>Q350</f>
        <v/>
      </c>
      <c r="R424" s="1375">
        <f>R350</f>
        <v/>
      </c>
      <c r="S424" s="1375">
        <f>S350</f>
        <v/>
      </c>
      <c r="T424" s="1375">
        <f>T350</f>
        <v/>
      </c>
      <c r="U424" s="1458">
        <f>U350</f>
        <v/>
      </c>
      <c r="V424" s="1375">
        <f>V350</f>
        <v/>
      </c>
      <c r="W424" s="1375">
        <f>W350</f>
        <v/>
      </c>
      <c r="X424" s="1375">
        <f>X350</f>
        <v/>
      </c>
      <c r="Y424" s="1450">
        <f>Y350</f>
        <v/>
      </c>
      <c r="Z424" s="1449">
        <f>Z350</f>
        <v/>
      </c>
      <c r="AA424" s="1375">
        <f>AA350</f>
        <v/>
      </c>
      <c r="AB424" s="1375">
        <f>AB350</f>
        <v/>
      </c>
      <c r="AC424" s="1375">
        <f>AC350</f>
        <v/>
      </c>
      <c r="AD424" s="1450">
        <f>AD350</f>
        <v/>
      </c>
      <c r="AE424" s="1449">
        <f>AE350</f>
        <v/>
      </c>
      <c r="AF424" s="1375">
        <f>AF350</f>
        <v/>
      </c>
      <c r="AG424" s="1375">
        <f>AG350</f>
        <v/>
      </c>
      <c r="AH424" s="1375">
        <f>AH350</f>
        <v/>
      </c>
      <c r="AI424" s="1450">
        <f>AI350</f>
        <v/>
      </c>
      <c r="AJ424" s="1449">
        <f>AJ350</f>
        <v/>
      </c>
      <c r="AK424" s="1375">
        <f>AK350</f>
        <v/>
      </c>
      <c r="AL424" s="1375">
        <f>AL350</f>
        <v/>
      </c>
      <c r="AM424" s="1375">
        <f>AM350</f>
        <v/>
      </c>
      <c r="AN424" s="1450">
        <f>AN350</f>
        <v/>
      </c>
      <c r="AO424" s="1449">
        <f>AO350</f>
        <v/>
      </c>
      <c r="AP424" s="1375">
        <f>AP350</f>
        <v/>
      </c>
      <c r="AQ424" s="1375">
        <f>AQ350</f>
        <v/>
      </c>
      <c r="AR424" s="1375">
        <f>AR350</f>
        <v/>
      </c>
      <c r="AS424" s="1450">
        <f>AS350</f>
        <v/>
      </c>
      <c r="AT424" s="1449">
        <f>AT350</f>
        <v/>
      </c>
      <c r="AU424" s="1375">
        <f>AU350</f>
        <v/>
      </c>
      <c r="AV424" s="1375">
        <f>AV350</f>
        <v/>
      </c>
      <c r="AW424" s="1375">
        <f>AW350</f>
        <v/>
      </c>
      <c r="AX424" s="1450">
        <f>AX350</f>
        <v/>
      </c>
      <c r="AY424" s="1449">
        <f>AY350</f>
        <v/>
      </c>
      <c r="AZ424" s="1375">
        <f>AZ350</f>
        <v/>
      </c>
      <c r="BA424" s="1375">
        <f>BA350</f>
        <v/>
      </c>
      <c r="BB424" s="1375">
        <f>BB350</f>
        <v/>
      </c>
      <c r="BC424" s="1450">
        <f>BC350</f>
        <v/>
      </c>
      <c r="BD424" s="1449">
        <f>BD350</f>
        <v/>
      </c>
      <c r="BE424" s="1375">
        <f>BE350</f>
        <v/>
      </c>
      <c r="BF424" s="1375">
        <f>BF350</f>
        <v/>
      </c>
      <c r="BG424" s="1375">
        <f>BG350</f>
        <v/>
      </c>
      <c r="BH424" s="1450">
        <f>BH350</f>
        <v/>
      </c>
      <c r="BI424" s="1449">
        <f>BI350</f>
        <v/>
      </c>
      <c r="BJ424" s="1375">
        <f>BJ350</f>
        <v/>
      </c>
      <c r="BK424" s="1375">
        <f>BK350</f>
        <v/>
      </c>
      <c r="BL424" s="1375">
        <f>BL350</f>
        <v/>
      </c>
      <c r="BM424" s="1450">
        <f>BM350</f>
        <v/>
      </c>
      <c r="BN424" s="1449">
        <f>BN350</f>
        <v/>
      </c>
      <c r="BO424" s="1375">
        <f>BO350</f>
        <v/>
      </c>
      <c r="BP424" s="1375">
        <f>BP350</f>
        <v/>
      </c>
      <c r="BQ424" s="1459">
        <f>BQ350</f>
        <v/>
      </c>
      <c r="BR424" s="1450" t="n"/>
      <c r="BS424" s="1449" t="n"/>
      <c r="BT424" s="1450" t="n"/>
      <c r="BU424" s="1450" t="n"/>
      <c r="BV424" s="1450" t="n"/>
      <c r="BW424" s="1450" t="n"/>
      <c r="BX424" s="1449" t="n"/>
      <c r="BY424" s="1449" t="n"/>
      <c r="BZ424" s="1449" t="n"/>
      <c r="CA424" s="1449" t="n"/>
      <c r="CB424" s="1375" t="n"/>
    </row>
    <row r="425" hidden="1" outlineLevel="1" ht="14.4" customFormat="1" customHeight="1" s="1359">
      <c r="A425" s="1394" t="inlineStr">
        <is>
          <t>Stock based compensation expense</t>
        </is>
      </c>
      <c r="B425" s="1512" t="n"/>
      <c r="C425" s="1379" t="n"/>
      <c r="D425" s="1378">
        <f>-D177</f>
        <v/>
      </c>
      <c r="E425" s="1378">
        <f>-E177</f>
        <v/>
      </c>
      <c r="F425" s="1378">
        <f>-F177</f>
        <v/>
      </c>
      <c r="G425" s="1364">
        <f>-G177</f>
        <v/>
      </c>
      <c r="H425" s="1364">
        <f>-H177</f>
        <v/>
      </c>
      <c r="I425" s="1364">
        <f>-I177</f>
        <v/>
      </c>
      <c r="J425" s="1364">
        <f>-J177</f>
        <v/>
      </c>
      <c r="K425" s="1378">
        <f>-K177</f>
        <v/>
      </c>
      <c r="L425" s="1364">
        <f>-L177</f>
        <v/>
      </c>
      <c r="M425" s="1364">
        <f>-M177</f>
        <v/>
      </c>
      <c r="N425" s="1364">
        <f>-N177</f>
        <v/>
      </c>
      <c r="O425" s="1364">
        <f>-O177</f>
        <v/>
      </c>
      <c r="P425" s="1378">
        <f>-P177</f>
        <v/>
      </c>
      <c r="Q425" s="1364">
        <f>-Q177</f>
        <v/>
      </c>
      <c r="R425" s="1364">
        <f>-R177</f>
        <v/>
      </c>
      <c r="S425" s="1364">
        <f>-S177</f>
        <v/>
      </c>
      <c r="T425" s="1364">
        <f>-T177</f>
        <v/>
      </c>
      <c r="U425" s="1378">
        <f>-U177</f>
        <v/>
      </c>
      <c r="V425" s="1364">
        <f>-V177</f>
        <v/>
      </c>
      <c r="W425" s="1364">
        <f>-W177</f>
        <v/>
      </c>
      <c r="X425" s="1364">
        <f>-X177</f>
        <v/>
      </c>
      <c r="Y425" s="1364">
        <f>-Y177</f>
        <v/>
      </c>
      <c r="Z425" s="1378">
        <f>-Z177</f>
        <v/>
      </c>
      <c r="AA425" s="1364">
        <f>-AA177</f>
        <v/>
      </c>
      <c r="AB425" s="1364">
        <f>-AB177</f>
        <v/>
      </c>
      <c r="AC425" s="1364">
        <f>-AC177</f>
        <v/>
      </c>
      <c r="AD425" s="1493" t="n">
        <v>-5.465</v>
      </c>
      <c r="AE425" s="1494" t="n">
        <v>-20.513</v>
      </c>
      <c r="AF425" s="1493" t="n">
        <v>-5.599</v>
      </c>
      <c r="AG425" s="1364">
        <f>-AG177</f>
        <v/>
      </c>
      <c r="AH425" s="1493" t="n">
        <v>-6.254</v>
      </c>
      <c r="AI425" s="1493" t="n">
        <v>-4.401</v>
      </c>
      <c r="AJ425" s="1494" t="n">
        <v>-22.352</v>
      </c>
      <c r="AK425" s="1493" t="n">
        <v>-4.702</v>
      </c>
      <c r="AL425" s="1364">
        <f>-AL177</f>
        <v/>
      </c>
      <c r="AM425" s="1364">
        <f>-AM177</f>
        <v/>
      </c>
      <c r="AN425" s="1493" t="n">
        <v>-5.489</v>
      </c>
      <c r="AO425" s="1494" t="n">
        <v>-21.534</v>
      </c>
      <c r="AP425" s="1493" t="n">
        <v>-5.554</v>
      </c>
      <c r="AQ425" s="1364">
        <f>-AQ177</f>
        <v/>
      </c>
      <c r="AR425" s="1364">
        <f>-AR177</f>
        <v/>
      </c>
      <c r="AS425" s="1364">
        <f>-AS177</f>
        <v/>
      </c>
      <c r="AT425" s="1378">
        <f>-AT177</f>
        <v/>
      </c>
      <c r="AU425" s="1364">
        <f>-AU177</f>
        <v/>
      </c>
      <c r="AV425" s="1364">
        <f>-AV177</f>
        <v/>
      </c>
      <c r="AW425" s="1364">
        <f>-AW177</f>
        <v/>
      </c>
      <c r="AX425" s="1364">
        <f>-AX177</f>
        <v/>
      </c>
      <c r="AY425" s="1378">
        <f>-AY177</f>
        <v/>
      </c>
      <c r="AZ425" s="1364">
        <f>-AZ177</f>
        <v/>
      </c>
      <c r="BA425" s="1364">
        <f>-BA177</f>
        <v/>
      </c>
      <c r="BB425" s="1364">
        <f>-BB177</f>
        <v/>
      </c>
      <c r="BC425" s="1364">
        <f>-BC177</f>
        <v/>
      </c>
      <c r="BD425" s="1378">
        <f>-BD177</f>
        <v/>
      </c>
      <c r="BE425" s="1364">
        <f>-BE177</f>
        <v/>
      </c>
      <c r="BF425" s="1364">
        <f>-BF177</f>
        <v/>
      </c>
      <c r="BG425" s="1364">
        <f>-BG177</f>
        <v/>
      </c>
      <c r="BH425" s="1364">
        <f>-BH177</f>
        <v/>
      </c>
      <c r="BI425" s="1378">
        <f>-BI177</f>
        <v/>
      </c>
      <c r="BJ425" s="1364">
        <f>-BJ177</f>
        <v/>
      </c>
      <c r="BK425" s="1364">
        <f>-BK177</f>
        <v/>
      </c>
      <c r="BL425" s="1364">
        <f>-BL177</f>
        <v/>
      </c>
      <c r="BM425" s="1364">
        <f>-BM177</f>
        <v/>
      </c>
      <c r="BN425" s="1378">
        <f>-BN177</f>
        <v/>
      </c>
      <c r="BO425" s="1364">
        <f>-BO177</f>
        <v/>
      </c>
      <c r="BP425" s="1364">
        <f>-BP177</f>
        <v/>
      </c>
      <c r="BQ425" s="1395">
        <f>-BQ177</f>
        <v/>
      </c>
      <c r="BR425" s="1361" t="n"/>
      <c r="BS425" s="1379" t="n"/>
      <c r="BT425" s="1361" t="n"/>
      <c r="BU425" s="1361" t="n"/>
      <c r="BV425" s="1361" t="n"/>
      <c r="BW425" s="1361" t="n"/>
      <c r="BX425" s="1379" t="n"/>
      <c r="BY425" s="1379" t="n"/>
      <c r="BZ425" s="1379" t="n"/>
      <c r="CA425" s="1379" t="n"/>
      <c r="CB425" s="1364" t="n"/>
    </row>
    <row r="426" hidden="1" outlineLevel="1" ht="14.4" customFormat="1" customHeight="1" s="1359">
      <c r="A426" s="1474" t="inlineStr">
        <is>
          <t>Non-qualified deferred compensation expenses</t>
        </is>
      </c>
      <c r="B426" s="1512" t="n"/>
      <c r="C426" s="1379" t="n"/>
      <c r="D426" s="1494" t="n">
        <v>-0.909</v>
      </c>
      <c r="E426" s="1494" t="n">
        <v>0.043</v>
      </c>
      <c r="F426" s="1494" t="n">
        <v>-1.702</v>
      </c>
      <c r="G426" s="1493" t="n">
        <v>-0.043</v>
      </c>
      <c r="H426" s="1493" t="n">
        <v>-0.645</v>
      </c>
      <c r="I426" s="1493" t="n">
        <v>-0.08699999999999999</v>
      </c>
      <c r="J426" s="1493" t="n">
        <v>-0.489</v>
      </c>
      <c r="K426" s="1494" t="n">
        <v>-1.264</v>
      </c>
      <c r="L426" s="1493" t="n">
        <v>-0.769</v>
      </c>
      <c r="M426" s="1493" t="n">
        <v>-0.372</v>
      </c>
      <c r="N426" s="1493" t="n">
        <v>0.005</v>
      </c>
      <c r="O426" s="1493" t="n">
        <v>-0.16</v>
      </c>
      <c r="P426" s="1494" t="n">
        <v>-1.296</v>
      </c>
      <c r="Q426" s="1493" t="n">
        <v>-0.121</v>
      </c>
      <c r="R426" s="1493" t="n">
        <v>-0.035</v>
      </c>
      <c r="S426" s="1493" t="n">
        <v>0.516</v>
      </c>
      <c r="T426" s="1493" t="n">
        <v>-0.101</v>
      </c>
      <c r="U426" s="1494" t="n">
        <v>0.259</v>
      </c>
      <c r="V426" s="1493" t="n">
        <v>0.056</v>
      </c>
      <c r="W426" s="1493" t="n">
        <v>-0.053</v>
      </c>
      <c r="X426" s="1493" t="n">
        <v>-0.222</v>
      </c>
      <c r="Y426" s="1493" t="n">
        <v>-0.082</v>
      </c>
      <c r="Z426" s="1494" t="n">
        <v>-0.301</v>
      </c>
      <c r="AA426" s="1493" t="n">
        <v>-0.328</v>
      </c>
      <c r="AB426" s="1493" t="n">
        <v>-0.174</v>
      </c>
      <c r="AC426" s="1493" t="n">
        <v>-1.602</v>
      </c>
      <c r="AD426" s="1493" t="n">
        <v>-0.298</v>
      </c>
      <c r="AE426" s="1494" t="n">
        <v>-2.402</v>
      </c>
      <c r="AF426" s="1493" t="n">
        <v>-0.029</v>
      </c>
      <c r="AG426" s="1493" t="n">
        <v>-0.08</v>
      </c>
      <c r="AH426" s="1493" t="n">
        <v>-0.256</v>
      </c>
      <c r="AI426" s="1493" t="n">
        <v>0.67</v>
      </c>
      <c r="AJ426" s="1494" t="n">
        <v>0.305</v>
      </c>
      <c r="AK426" s="1493" t="n">
        <v>-0.569</v>
      </c>
      <c r="AL426" s="1493" t="n">
        <v>-0.191</v>
      </c>
      <c r="AM426" s="1493" t="n">
        <v>0</v>
      </c>
      <c r="AN426" s="1493" t="n">
        <v>-0.523</v>
      </c>
      <c r="AO426" s="1494" t="n">
        <v>-1.283</v>
      </c>
      <c r="AP426" s="1493" t="n">
        <v>1.267</v>
      </c>
      <c r="AQ426" s="1361">
        <f>-AQ368-AQ395-AQ403-AQ411-AQ419</f>
        <v/>
      </c>
      <c r="AR426" s="1361">
        <f>-AR368-AR395-AR403-AR411-AR419</f>
        <v/>
      </c>
      <c r="AS426" s="1361">
        <f>-AS368-AS395-AS403-AS411-AS419</f>
        <v/>
      </c>
      <c r="AT426" s="1379">
        <f>-AT368-AT395-AT403-AT411-AT419</f>
        <v/>
      </c>
      <c r="AU426" s="1361">
        <f>-AU368-AU395-AU403-AU411-AU419</f>
        <v/>
      </c>
      <c r="AV426" s="1361">
        <f>-AV368-AV395-AV403-AV411-AV419</f>
        <v/>
      </c>
      <c r="AW426" s="1361">
        <f>-AW368-AW395-AW403-AW411-AW419</f>
        <v/>
      </c>
      <c r="AX426" s="1361">
        <f>-AX368-AX395-AX403-AX411-AX419</f>
        <v/>
      </c>
      <c r="AY426" s="1379">
        <f>-AY368-AY395-AY403-AY411-AY419</f>
        <v/>
      </c>
      <c r="AZ426" s="1361">
        <f>-AZ368-AZ395-AZ403-AZ411-AZ419</f>
        <v/>
      </c>
      <c r="BA426" s="1361">
        <f>-BA368-BA395-BA403-BA411-BA419</f>
        <v/>
      </c>
      <c r="BB426" s="1361">
        <f>-BB368-BB395-BB403-BB411-BB419</f>
        <v/>
      </c>
      <c r="BC426" s="1361">
        <f>-BC368-BC395-BC403-BC411-BC419</f>
        <v/>
      </c>
      <c r="BD426" s="1379">
        <f>-BD368-BD395-BD403-BD411-BD419</f>
        <v/>
      </c>
      <c r="BE426" s="1361">
        <f>-BE368-BE395-BE403-BE411-BE419</f>
        <v/>
      </c>
      <c r="BF426" s="1361">
        <f>-BF368-BF395-BF403-BF411-BF419</f>
        <v/>
      </c>
      <c r="BG426" s="1361">
        <f>-BG368-BG395-BG403-BG411-BG419</f>
        <v/>
      </c>
      <c r="BH426" s="1361">
        <f>-BH368-BH395-BH403-BH411-BH419</f>
        <v/>
      </c>
      <c r="BI426" s="1379">
        <f>-BI368-BI395-BI403-BI411-BI419</f>
        <v/>
      </c>
      <c r="BJ426" s="1361">
        <f>-BJ368-BJ395-BJ403-BJ411-BJ419</f>
        <v/>
      </c>
      <c r="BK426" s="1361">
        <f>-BK368-BK395-BK403-BK411-BK419</f>
        <v/>
      </c>
      <c r="BL426" s="1361">
        <f>-BL368-BL395-BL403-BL411-BL419</f>
        <v/>
      </c>
      <c r="BM426" s="1361">
        <f>-BM368-BM395-BM403-BM411-BM419</f>
        <v/>
      </c>
      <c r="BN426" s="1379">
        <f>-BN368-BN395-BN403-BN411-BN419</f>
        <v/>
      </c>
      <c r="BO426" s="1361">
        <f>-BO368-BO395-BO403-BO411-BO419</f>
        <v/>
      </c>
      <c r="BP426" s="1361">
        <f>-BP368-BP395-BP403-BP411-BP419</f>
        <v/>
      </c>
      <c r="BQ426" s="1363">
        <f>-BQ368-BQ395-BQ403-BQ411-BQ419</f>
        <v/>
      </c>
      <c r="BR426" s="1361" t="n"/>
      <c r="BS426" s="1379" t="n"/>
      <c r="BT426" s="1361" t="n"/>
      <c r="BU426" s="1361" t="n"/>
      <c r="BV426" s="1361" t="n"/>
      <c r="BW426" s="1361" t="n"/>
      <c r="BX426" s="1379" t="n"/>
      <c r="BY426" s="1379" t="n"/>
      <c r="BZ426" s="1379" t="n"/>
      <c r="CA426" s="1379" t="n"/>
      <c r="CB426" s="1364" t="n"/>
    </row>
    <row r="427" hidden="1" outlineLevel="1" ht="14.4" customFormat="1" customHeight="1" s="1359">
      <c r="A427" s="1474" t="inlineStr">
        <is>
          <t>Acquisition and integration related costs</t>
        </is>
      </c>
      <c r="B427" s="1512" t="n"/>
      <c r="C427" s="1379" t="n"/>
      <c r="D427" s="1494" t="n">
        <v>-1.648</v>
      </c>
      <c r="E427" s="1494" t="n">
        <v>-1.102</v>
      </c>
      <c r="F427" s="1494" t="n">
        <v>-2.516</v>
      </c>
      <c r="G427" s="1493" t="n">
        <v>-3.574</v>
      </c>
      <c r="H427" s="1493" t="n">
        <v>-4.966</v>
      </c>
      <c r="I427" s="1493" t="n">
        <v>-0.166</v>
      </c>
      <c r="J427" s="1493" t="n">
        <v>-3.095</v>
      </c>
      <c r="K427" s="1494" t="n">
        <v>-11.801</v>
      </c>
      <c r="L427" s="1493" t="n">
        <v>-1.169</v>
      </c>
      <c r="M427" s="1493" t="n">
        <v>-3.308</v>
      </c>
      <c r="N427" s="1493" t="n">
        <v>0.368</v>
      </c>
      <c r="O427" s="1493" t="n">
        <v>-0.515</v>
      </c>
      <c r="P427" s="1494" t="n">
        <v>-4.624</v>
      </c>
      <c r="Q427" s="1493" t="n">
        <v>-0.061</v>
      </c>
      <c r="R427" s="1493" t="n">
        <v>-0.016</v>
      </c>
      <c r="S427" s="1493" t="n">
        <v>-0.038</v>
      </c>
      <c r="T427" s="1493" t="n">
        <v>-0.449</v>
      </c>
      <c r="U427" s="1494" t="n">
        <v>-0.5639999999999999</v>
      </c>
      <c r="V427" s="1493" t="n">
        <v>-0.098</v>
      </c>
      <c r="W427" s="1493" t="n">
        <v>-5.949</v>
      </c>
      <c r="X427" s="1493" t="n">
        <v>-0.288</v>
      </c>
      <c r="Y427" s="1493" t="n">
        <v>-0.013</v>
      </c>
      <c r="Z427" s="1494" t="n">
        <v>-6.348</v>
      </c>
      <c r="AA427" s="1361" t="n"/>
      <c r="AB427" s="1361" t="n"/>
      <c r="AC427" s="1493" t="n">
        <v>-0.206</v>
      </c>
      <c r="AD427" s="1493" t="n">
        <v>-0.833</v>
      </c>
      <c r="AE427" s="1494" t="n">
        <v>-1.039</v>
      </c>
      <c r="AF427" s="1493" t="n">
        <v>-0.099</v>
      </c>
      <c r="AG427" s="1493" t="n">
        <v>-0.029</v>
      </c>
      <c r="AH427" s="1493" t="n">
        <v>-0.028</v>
      </c>
      <c r="AI427" s="1493" t="n">
        <v>0.003</v>
      </c>
      <c r="AJ427" s="1494" t="n">
        <v>-0.153</v>
      </c>
      <c r="AK427" s="1493" t="n">
        <v>-0.002</v>
      </c>
      <c r="AL427" s="1361" t="n"/>
      <c r="AM427" s="1493" t="n">
        <v>0</v>
      </c>
      <c r="AN427" s="1493" t="n">
        <v>-2.311</v>
      </c>
      <c r="AO427" s="1494" t="n">
        <v>-2.313</v>
      </c>
      <c r="AP427" s="1493" t="n">
        <v>-0.552</v>
      </c>
      <c r="AQ427" s="1361">
        <f>-AQ372-AQ396-AQ404-AQ412-AQ420</f>
        <v/>
      </c>
      <c r="AR427" s="1361">
        <f>-AR372-AR396-AR404-AR412-AR420</f>
        <v/>
      </c>
      <c r="AS427" s="1361">
        <f>-AS372-AS396-AS404-AS412-AS420</f>
        <v/>
      </c>
      <c r="AT427" s="1379">
        <f>-AT372-AT396-AT404-AT412-AT420</f>
        <v/>
      </c>
      <c r="AU427" s="1361">
        <f>-AU372-AU396-AU404-AU412-AU420</f>
        <v/>
      </c>
      <c r="AV427" s="1361">
        <f>-AV372-AV396-AV404-AV412-AV420</f>
        <v/>
      </c>
      <c r="AW427" s="1361">
        <f>-AW372-AW396-AW404-AW412-AW420</f>
        <v/>
      </c>
      <c r="AX427" s="1493" t="n">
        <v>-0.772</v>
      </c>
      <c r="AY427" s="1379">
        <f>-AY372-AY396-AY404-AY412-AY420</f>
        <v/>
      </c>
      <c r="AZ427" s="1361">
        <f>-AZ372-AZ396-AZ404-AZ412-AZ420</f>
        <v/>
      </c>
      <c r="BA427" s="1361">
        <f>-BA372-BA396-BA404-BA412-BA420</f>
        <v/>
      </c>
      <c r="BB427" s="1361">
        <f>-BB372-BB396-BB404-BB412-BB420</f>
        <v/>
      </c>
      <c r="BC427" s="1361">
        <f>-BC372-BC396-BC404-BC412-BC420</f>
        <v/>
      </c>
      <c r="BD427" s="1379">
        <f>-BD372-BD396-BD404-BD412-BD420</f>
        <v/>
      </c>
      <c r="BE427" s="1361">
        <f>-BE372-BE396-BE404-BE412-BE420</f>
        <v/>
      </c>
      <c r="BF427" s="1361">
        <f>-BF372-BF396-BF404-BF412-BF420</f>
        <v/>
      </c>
      <c r="BG427" s="1361">
        <f>-BG372-BG396-BG404-BG412-BG420</f>
        <v/>
      </c>
      <c r="BH427" s="1361">
        <f>-BH372-BH396-BH404-BH412-BH420</f>
        <v/>
      </c>
      <c r="BI427" s="1379">
        <f>-BI372-BI396-BI404-BI412-BI420</f>
        <v/>
      </c>
      <c r="BJ427" s="1361">
        <f>-BJ372-BJ396-BJ404-BJ412-BJ420</f>
        <v/>
      </c>
      <c r="BK427" s="1361">
        <f>-BK372-BK396-BK404-BK412-BK420</f>
        <v/>
      </c>
      <c r="BL427" s="1361">
        <f>-BL372-BL396-BL404-BL412-BL420</f>
        <v/>
      </c>
      <c r="BM427" s="1361">
        <f>-BM372-BM396-BM404-BM412-BM420</f>
        <v/>
      </c>
      <c r="BN427" s="1379">
        <f>-BN372-BN396-BN404-BN412-BN420</f>
        <v/>
      </c>
      <c r="BO427" s="1361">
        <f>-BO372-BO396-BO404-BO412-BO420</f>
        <v/>
      </c>
      <c r="BP427" s="1361">
        <f>-BP372-BP396-BP404-BP412-BP420</f>
        <v/>
      </c>
      <c r="BQ427" s="1363">
        <f>-BQ372-BQ396-BQ404-BQ412-BQ420</f>
        <v/>
      </c>
      <c r="BR427" s="1361" t="n"/>
      <c r="BS427" s="1379" t="n"/>
      <c r="BT427" s="1361" t="n"/>
      <c r="BU427" s="1361" t="n"/>
      <c r="BV427" s="1361" t="n"/>
      <c r="BW427" s="1361" t="n"/>
      <c r="BX427" s="1379" t="n"/>
      <c r="BY427" s="1379" t="n"/>
      <c r="BZ427" s="1379" t="n"/>
      <c r="CA427" s="1379" t="n"/>
      <c r="CB427" s="1364" t="n"/>
    </row>
    <row r="428" hidden="1" outlineLevel="1" ht="14.4" customFormat="1" customHeight="1" s="1359">
      <c r="A428" s="1394" t="inlineStr">
        <is>
          <t>Shareholder litigation</t>
        </is>
      </c>
      <c r="B428" s="1512" t="n"/>
      <c r="C428" s="1379" t="n"/>
      <c r="D428" s="1494" t="n">
        <v>-4.328</v>
      </c>
      <c r="E428" s="1494" t="n">
        <v>-1.545</v>
      </c>
      <c r="F428" s="1494" t="n">
        <v>-0.046</v>
      </c>
      <c r="G428" s="1361" t="n"/>
      <c r="H428" s="1361" t="n"/>
      <c r="I428" s="1361" t="n"/>
      <c r="J428" s="1361" t="n"/>
      <c r="K428" s="1379" t="n"/>
      <c r="L428" s="1361" t="n"/>
      <c r="M428" s="1361" t="n"/>
      <c r="N428" s="1361" t="n"/>
      <c r="O428" s="1361" t="n"/>
      <c r="P428" s="1379" t="n"/>
      <c r="Q428" s="1361" t="n"/>
      <c r="R428" s="1361" t="n"/>
      <c r="S428" s="1361" t="n"/>
      <c r="T428" s="1361" t="n"/>
      <c r="U428" s="1379" t="n"/>
      <c r="V428" s="1361" t="n"/>
      <c r="W428" s="1361" t="n"/>
      <c r="X428" s="1361" t="n"/>
      <c r="Y428" s="1361" t="n"/>
      <c r="Z428" s="1379" t="n"/>
      <c r="AA428" s="1361" t="n"/>
      <c r="AB428" s="1361" t="n"/>
      <c r="AC428" s="1361" t="n"/>
      <c r="AD428" s="1361" t="n"/>
      <c r="AE428" s="1379" t="n"/>
      <c r="AF428" s="1361" t="n"/>
      <c r="AG428" s="1361" t="n"/>
      <c r="AH428" s="1361" t="n"/>
      <c r="AI428" s="1361" t="n"/>
      <c r="AJ428" s="1379" t="n"/>
      <c r="AK428" s="1361" t="n"/>
      <c r="AL428" s="1361" t="n"/>
      <c r="AM428" s="1361" t="n"/>
      <c r="AN428" s="1361" t="n"/>
      <c r="AO428" s="1379" t="n"/>
      <c r="AP428" s="1361" t="n"/>
      <c r="AQ428" s="1361" t="n"/>
      <c r="AR428" s="1361" t="n"/>
      <c r="AS428" s="1361" t="n"/>
      <c r="AT428" s="1379" t="n"/>
      <c r="AU428" s="1361" t="n"/>
      <c r="AV428" s="1361" t="n"/>
      <c r="AW428" s="1361" t="n"/>
      <c r="AX428" s="1361" t="n"/>
      <c r="AY428" s="1379" t="n"/>
      <c r="AZ428" s="1361" t="n"/>
      <c r="BA428" s="1361" t="n"/>
      <c r="BB428" s="1361" t="n"/>
      <c r="BC428" s="1361" t="n"/>
      <c r="BD428" s="1379" t="n"/>
      <c r="BE428" s="1361" t="n"/>
      <c r="BF428" s="1361" t="n"/>
      <c r="BG428" s="1361" t="n"/>
      <c r="BH428" s="1361" t="n"/>
      <c r="BI428" s="1379" t="n"/>
      <c r="BJ428" s="1361" t="n"/>
      <c r="BK428" s="1361" t="n"/>
      <c r="BL428" s="1361" t="n"/>
      <c r="BM428" s="1361" t="n"/>
      <c r="BN428" s="1379" t="n"/>
      <c r="BO428" s="1361" t="n"/>
      <c r="BP428" s="1361" t="n"/>
      <c r="BQ428" s="1363" t="n"/>
      <c r="BR428" s="1361" t="n"/>
      <c r="BS428" s="1379" t="n"/>
      <c r="BT428" s="1361" t="n"/>
      <c r="BU428" s="1361" t="n"/>
      <c r="BV428" s="1361" t="n"/>
      <c r="BW428" s="1361" t="n"/>
      <c r="BX428" s="1379" t="n"/>
      <c r="BY428" s="1379" t="n"/>
      <c r="BZ428" s="1379" t="n"/>
      <c r="CA428" s="1379" t="n"/>
      <c r="CB428" s="1364" t="n"/>
    </row>
    <row r="429" hidden="1" outlineLevel="1" ht="14.4" customFormat="1" customHeight="1" s="1359">
      <c r="A429" s="1474" t="inlineStr">
        <is>
          <t>Special charges</t>
        </is>
      </c>
      <c r="B429" s="1512" t="n"/>
      <c r="C429" s="1379" t="n"/>
      <c r="D429" s="1379" t="n"/>
      <c r="E429" s="1379" t="n"/>
      <c r="F429" s="1379" t="n"/>
      <c r="G429" s="1361" t="n"/>
      <c r="H429" s="1361" t="n"/>
      <c r="I429" s="1361" t="n"/>
      <c r="J429" s="1361" t="n"/>
      <c r="K429" s="1379" t="n"/>
      <c r="L429" s="1361" t="n"/>
      <c r="M429" s="1493" t="n">
        <v>-1.522</v>
      </c>
      <c r="N429" s="1493" t="n">
        <v>-0.459</v>
      </c>
      <c r="O429" s="1361" t="n"/>
      <c r="P429" s="1494" t="n">
        <v>-1.981</v>
      </c>
      <c r="Q429" s="1361" t="n"/>
      <c r="R429" s="1361" t="n"/>
      <c r="S429" s="1361" t="n"/>
      <c r="T429" s="1361" t="n"/>
      <c r="U429" s="1379" t="n"/>
      <c r="V429" s="1361" t="n"/>
      <c r="W429" s="1361" t="n"/>
      <c r="X429" s="1361" t="n"/>
      <c r="Y429" s="1361" t="n"/>
      <c r="Z429" s="1379" t="n"/>
      <c r="AA429" s="1361" t="n"/>
      <c r="AB429" s="1361" t="n"/>
      <c r="AC429" s="1361" t="n"/>
      <c r="AD429" s="1361" t="n"/>
      <c r="AE429" s="1379" t="n"/>
      <c r="AF429" s="1361" t="n"/>
      <c r="AG429" s="1361" t="n"/>
      <c r="AH429" s="1361" t="n"/>
      <c r="AI429" s="1361" t="n"/>
      <c r="AJ429" s="1379" t="n"/>
      <c r="AK429" s="1361" t="n"/>
      <c r="AL429" s="1361" t="n"/>
      <c r="AM429" s="1361" t="n"/>
      <c r="AN429" s="1493" t="n">
        <v>-0.875</v>
      </c>
      <c r="AO429" s="1494" t="n">
        <v>-0.875</v>
      </c>
      <c r="AP429" s="1493" t="n">
        <v>-0.124</v>
      </c>
      <c r="AQ429" s="1361">
        <f>-AQ389-AQ398-AQ406-AQ413-AQ421</f>
        <v/>
      </c>
      <c r="AR429" s="1361">
        <f>-AR389-AR398-AR406-AR413-AR421</f>
        <v/>
      </c>
      <c r="AS429" s="1361">
        <f>-AS389-AS398-AS406-AS413-AS421</f>
        <v/>
      </c>
      <c r="AT429" s="1379">
        <f>SUM(AP429,AQ429,AR429,AS429)</f>
        <v/>
      </c>
      <c r="AU429" s="1361">
        <f>-AU389-AU398-AU406-AU413-AU421</f>
        <v/>
      </c>
      <c r="AV429" s="1361">
        <f>-AV389-AV398-AV406-AV413-AV421</f>
        <v/>
      </c>
      <c r="AW429" s="1361">
        <f>-AW389-AW398-AW406-AW413-AW421</f>
        <v/>
      </c>
      <c r="AX429" s="1361">
        <f>-AX389-AX398-AX406-AX413-AX421</f>
        <v/>
      </c>
      <c r="AY429" s="1379">
        <f>-AY389-AY398-AY406-AY413-AY421</f>
        <v/>
      </c>
      <c r="AZ429" s="1361">
        <f>-AZ389-AZ398-AZ406-AZ413-AZ421</f>
        <v/>
      </c>
      <c r="BA429" s="1361">
        <f>-BA389-BA398-BA406-BA413-BA421</f>
        <v/>
      </c>
      <c r="BB429" s="1361">
        <f>-BB389-BB398-BB406-BB413-BB421</f>
        <v/>
      </c>
      <c r="BC429" s="1361">
        <f>-BC389-BC398-BC406-BC413-BC421</f>
        <v/>
      </c>
      <c r="BD429" s="1379">
        <f>-BD389-BD398-BD406-BD413-BD421</f>
        <v/>
      </c>
      <c r="BE429" s="1361">
        <f>-BE389-BE398-BE406-BE413-BE421</f>
        <v/>
      </c>
      <c r="BF429" s="1361">
        <f>-BF389-BF398-BF406-BF413-BF421</f>
        <v/>
      </c>
      <c r="BG429" s="1361">
        <f>-BG389-BG398-BG406-BG413-BG421</f>
        <v/>
      </c>
      <c r="BH429" s="1361">
        <f>-BH389-BH398-BH406-BH413-BH421</f>
        <v/>
      </c>
      <c r="BI429" s="1379">
        <f>-BI389-BI398-BI406-BI413-BI421</f>
        <v/>
      </c>
      <c r="BJ429" s="1361">
        <f>-BJ389-BJ398-BJ406-BJ413-BJ421</f>
        <v/>
      </c>
      <c r="BK429" s="1361">
        <f>-BK389-BK398-BK406-BK413-BK421</f>
        <v/>
      </c>
      <c r="BL429" s="1361">
        <f>-BL389-BL398-BL406-BL413-BL421</f>
        <v/>
      </c>
      <c r="BM429" s="1361">
        <f>-BM389-BM398-BM406-BM413-BM421</f>
        <v/>
      </c>
      <c r="BN429" s="1379">
        <f>-BN389-BN398-BN406-BN413-BN421</f>
        <v/>
      </c>
      <c r="BO429" s="1361">
        <f>-BO389-BO398-BO406-BO413-BO421</f>
        <v/>
      </c>
      <c r="BP429" s="1361">
        <f>-BP389-BP398-BP406-BP413-BP421</f>
        <v/>
      </c>
      <c r="BQ429" s="1363">
        <f>-BQ389-BQ398-BQ406-BQ413-BQ421</f>
        <v/>
      </c>
      <c r="BR429" s="1361" t="n"/>
      <c r="BS429" s="1379" t="n"/>
      <c r="BT429" s="1361" t="n"/>
      <c r="BU429" s="1361" t="n"/>
      <c r="BV429" s="1361" t="n"/>
      <c r="BW429" s="1361" t="n"/>
      <c r="BX429" s="1379" t="n"/>
      <c r="BY429" s="1379" t="n"/>
      <c r="BZ429" s="1379" t="n"/>
      <c r="CA429" s="1379" t="n"/>
      <c r="CB429" s="1364" t="n"/>
    </row>
    <row r="430" hidden="1" outlineLevel="1" ht="14.4" customFormat="1" customHeight="1" s="1359">
      <c r="A430" s="1453" t="inlineStr">
        <is>
          <t>Executive severance costs</t>
        </is>
      </c>
      <c r="B430" s="1514" t="n"/>
      <c r="C430" s="1455" t="n"/>
      <c r="D430" s="1480" t="n">
        <v>-1.055</v>
      </c>
      <c r="E430" s="1480" t="n">
        <v>-0.476</v>
      </c>
      <c r="F430" s="1455" t="n"/>
      <c r="G430" s="1456" t="n"/>
      <c r="H430" s="1456" t="n"/>
      <c r="I430" s="1479" t="n">
        <v>-0.265</v>
      </c>
      <c r="J430" s="1479" t="n">
        <v>-0.216</v>
      </c>
      <c r="K430" s="1480" t="n">
        <v>-0.481</v>
      </c>
      <c r="L430" s="1456" t="n"/>
      <c r="M430" s="1456" t="n"/>
      <c r="N430" s="1456" t="n"/>
      <c r="O430" s="1456" t="n"/>
      <c r="P430" s="1455" t="n"/>
      <c r="Q430" s="1456" t="n"/>
      <c r="R430" s="1456" t="n"/>
      <c r="S430" s="1456" t="n"/>
      <c r="T430" s="1456" t="n"/>
      <c r="U430" s="1455" t="n"/>
      <c r="V430" s="1456" t="n"/>
      <c r="W430" s="1456" t="n"/>
      <c r="X430" s="1456" t="n"/>
      <c r="Y430" s="1456" t="n"/>
      <c r="Z430" s="1455" t="n"/>
      <c r="AA430" s="1456" t="n"/>
      <c r="AB430" s="1456" t="n"/>
      <c r="AC430" s="1456" t="n"/>
      <c r="AD430" s="1456" t="n"/>
      <c r="AE430" s="1455" t="n"/>
      <c r="AF430" s="1456" t="n"/>
      <c r="AG430" s="1456" t="n"/>
      <c r="AH430" s="1456" t="n"/>
      <c r="AI430" s="1456" t="n"/>
      <c r="AJ430" s="1455" t="n"/>
      <c r="AK430" s="1456" t="n"/>
      <c r="AL430" s="1456" t="n"/>
      <c r="AM430" s="1456" t="n"/>
      <c r="AN430" s="1456" t="n"/>
      <c r="AO430" s="1455" t="n"/>
      <c r="AP430" s="1456" t="n"/>
      <c r="AQ430" s="1456" t="n"/>
      <c r="AR430" s="1456" t="n"/>
      <c r="AS430" s="1456" t="n"/>
      <c r="AT430" s="1455" t="n"/>
      <c r="AU430" s="1456" t="n"/>
      <c r="AV430" s="1456" t="n"/>
      <c r="AW430" s="1456" t="n"/>
      <c r="AX430" s="1456" t="n"/>
      <c r="AY430" s="1455" t="n"/>
      <c r="AZ430" s="1456" t="n"/>
      <c r="BA430" s="1456" t="n"/>
      <c r="BB430" s="1456" t="n"/>
      <c r="BC430" s="1456" t="n"/>
      <c r="BD430" s="1455" t="n"/>
      <c r="BE430" s="1456" t="n"/>
      <c r="BF430" s="1456" t="n"/>
      <c r="BG430" s="1456" t="n"/>
      <c r="BH430" s="1456" t="n"/>
      <c r="BI430" s="1455" t="n"/>
      <c r="BJ430" s="1456" t="n"/>
      <c r="BK430" s="1456" t="n"/>
      <c r="BL430" s="1456" t="n"/>
      <c r="BM430" s="1456" t="n"/>
      <c r="BN430" s="1455" t="n"/>
      <c r="BO430" s="1456" t="n"/>
      <c r="BP430" s="1456" t="n"/>
      <c r="BQ430" s="1457" t="n"/>
      <c r="BR430" s="1456" t="n"/>
      <c r="BS430" s="1455" t="n"/>
      <c r="BT430" s="1456" t="n"/>
      <c r="BU430" s="1456" t="n"/>
      <c r="BV430" s="1456" t="n"/>
      <c r="BW430" s="1456" t="n"/>
      <c r="BX430" s="1455" t="n"/>
      <c r="BY430" s="1455" t="n"/>
      <c r="BZ430" s="1455" t="n"/>
      <c r="CA430" s="1455" t="n"/>
      <c r="CB430" s="1364" t="n"/>
    </row>
    <row r="431" hidden="1" outlineLevel="1" ht="14.4" customFormat="1" customHeight="1" s="1372">
      <c r="A431" s="1400" t="inlineStr">
        <is>
          <t>Non-GAAP general and administrative</t>
        </is>
      </c>
      <c r="B431" s="1516" t="n"/>
      <c r="C431" s="1405" t="n"/>
      <c r="D431" s="1402">
        <f>SUM(D424:D430)</f>
        <v/>
      </c>
      <c r="E431" s="1402">
        <f>SUM(E424:E430)</f>
        <v/>
      </c>
      <c r="F431" s="1402">
        <f>SUM(F424:F430)</f>
        <v/>
      </c>
      <c r="G431" s="1403">
        <f>SUM(G424:G430)</f>
        <v/>
      </c>
      <c r="H431" s="1403">
        <f>SUM(H424:H430)</f>
        <v/>
      </c>
      <c r="I431" s="1403">
        <f>SUM(I424:I430)</f>
        <v/>
      </c>
      <c r="J431" s="1403">
        <f>SUM(J424:J430)</f>
        <v/>
      </c>
      <c r="K431" s="1402">
        <f>SUM(K424:K430)</f>
        <v/>
      </c>
      <c r="L431" s="1403">
        <f>SUM(L424:L430)</f>
        <v/>
      </c>
      <c r="M431" s="1403">
        <f>SUM(M424:M430)</f>
        <v/>
      </c>
      <c r="N431" s="1403">
        <f>SUM(N424:N430)</f>
        <v/>
      </c>
      <c r="O431" s="1403">
        <f>SUM(O424:O430)</f>
        <v/>
      </c>
      <c r="P431" s="1402">
        <f>SUM(P424:P430)</f>
        <v/>
      </c>
      <c r="Q431" s="1403">
        <f>SUM(Q424:Q430)</f>
        <v/>
      </c>
      <c r="R431" s="1403">
        <f>SUM(R424:R430)</f>
        <v/>
      </c>
      <c r="S431" s="1403">
        <f>SUM(S424:S430)</f>
        <v/>
      </c>
      <c r="T431" s="1403">
        <f>SUM(T424:T430)</f>
        <v/>
      </c>
      <c r="U431" s="1402">
        <f>SUM(U424:U430)</f>
        <v/>
      </c>
      <c r="V431" s="1403">
        <f>SUM(V424:V430)</f>
        <v/>
      </c>
      <c r="W431" s="1403">
        <f>SUM(W424:W430)</f>
        <v/>
      </c>
      <c r="X431" s="1403">
        <f>SUM(X424:X430)</f>
        <v/>
      </c>
      <c r="Y431" s="1404">
        <f>SUM(Y424:Y430)</f>
        <v/>
      </c>
      <c r="Z431" s="1405">
        <f>SUM(Z424:Z430)</f>
        <v/>
      </c>
      <c r="AA431" s="1403">
        <f>SUM(AA424:AA430)</f>
        <v/>
      </c>
      <c r="AB431" s="1403">
        <f>SUM(AB424:AB430)</f>
        <v/>
      </c>
      <c r="AC431" s="1403">
        <f>SUM(AC424:AC430)</f>
        <v/>
      </c>
      <c r="AD431" s="1404">
        <f>SUM(AD424:AD430)</f>
        <v/>
      </c>
      <c r="AE431" s="1405">
        <f>SUM(AE424:AE430)</f>
        <v/>
      </c>
      <c r="AF431" s="1403">
        <f>SUM(AF424:AF430)</f>
        <v/>
      </c>
      <c r="AG431" s="1403">
        <f>SUM(AG424:AG430)</f>
        <v/>
      </c>
      <c r="AH431" s="1403">
        <f>SUM(AH424:AH430)</f>
        <v/>
      </c>
      <c r="AI431" s="1404">
        <f>SUM(AI424:AI430)</f>
        <v/>
      </c>
      <c r="AJ431" s="1405">
        <f>SUM(AJ424:AJ430)</f>
        <v/>
      </c>
      <c r="AK431" s="1403">
        <f>SUM(AK424:AK430)</f>
        <v/>
      </c>
      <c r="AL431" s="1403">
        <f>SUM(AL424:AL430)</f>
        <v/>
      </c>
      <c r="AM431" s="1403">
        <f>SUM(AM424:AM430)</f>
        <v/>
      </c>
      <c r="AN431" s="1404">
        <f>SUM(AN424:AN430)</f>
        <v/>
      </c>
      <c r="AO431" s="1405">
        <f>SUM(AO424:AO430)</f>
        <v/>
      </c>
      <c r="AP431" s="1403">
        <f>SUM(AP424:AP430)</f>
        <v/>
      </c>
      <c r="AQ431" s="1403">
        <f>SUM(AQ424:AQ430)</f>
        <v/>
      </c>
      <c r="AR431" s="1403">
        <f>SUM(AR424:AR430)</f>
        <v/>
      </c>
      <c r="AS431" s="1404">
        <f>SUM(AS424:AS430)</f>
        <v/>
      </c>
      <c r="AT431" s="1405">
        <f>SUM(AT424:AT430)</f>
        <v/>
      </c>
      <c r="AU431" s="1403">
        <f>SUM(AU424:AU430)</f>
        <v/>
      </c>
      <c r="AV431" s="1403">
        <f>SUM(AV424:AV430)</f>
        <v/>
      </c>
      <c r="AW431" s="1403">
        <f>SUM(AW424:AW430)</f>
        <v/>
      </c>
      <c r="AX431" s="1404">
        <f>SUM(AX424:AX430)</f>
        <v/>
      </c>
      <c r="AY431" s="1405">
        <f>SUM(AY424:AY430)</f>
        <v/>
      </c>
      <c r="AZ431" s="1403">
        <f>SUM(AZ424:AZ430)</f>
        <v/>
      </c>
      <c r="BA431" s="1403">
        <f>SUM(BA424:BA430)</f>
        <v/>
      </c>
      <c r="BB431" s="1403">
        <f>SUM(BB424:BB430)</f>
        <v/>
      </c>
      <c r="BC431" s="1404">
        <f>SUM(BC424:BC430)</f>
        <v/>
      </c>
      <c r="BD431" s="1405">
        <f>SUM(BD424:BD430)</f>
        <v/>
      </c>
      <c r="BE431" s="1403">
        <f>SUM(BE424:BE430)</f>
        <v/>
      </c>
      <c r="BF431" s="1403">
        <f>SUM(BF424:BF430)</f>
        <v/>
      </c>
      <c r="BG431" s="1403">
        <f>SUM(BG424:BG430)</f>
        <v/>
      </c>
      <c r="BH431" s="1404">
        <f>SUM(BH424:BH430)</f>
        <v/>
      </c>
      <c r="BI431" s="1405">
        <f>SUM(BI424:BI430)</f>
        <v/>
      </c>
      <c r="BJ431" s="1403">
        <f>SUM(BJ424:BJ430)</f>
        <v/>
      </c>
      <c r="BK431" s="1403">
        <f>SUM(BK424:BK430)</f>
        <v/>
      </c>
      <c r="BL431" s="1403">
        <f>SUM(BL424:BL430)</f>
        <v/>
      </c>
      <c r="BM431" s="1404">
        <f>SUM(BM424:BM430)</f>
        <v/>
      </c>
      <c r="BN431" s="1405">
        <f>SUM(BN424:BN430)</f>
        <v/>
      </c>
      <c r="BO431" s="1403">
        <f>SUM(BO424:BO430)</f>
        <v/>
      </c>
      <c r="BP431" s="1403">
        <f>SUM(BP424:BP430)</f>
        <v/>
      </c>
      <c r="BQ431" s="1406">
        <f>SUM(BQ424:BQ430)</f>
        <v/>
      </c>
      <c r="BR431" s="1404" t="n"/>
      <c r="BS431" s="1405" t="n"/>
      <c r="BT431" s="1404" t="n"/>
      <c r="BU431" s="1404" t="n"/>
      <c r="BV431" s="1404" t="n"/>
      <c r="BW431" s="1404" t="n"/>
      <c r="BX431" s="1405" t="n"/>
      <c r="BY431" s="1405" t="n"/>
      <c r="BZ431" s="1405" t="n"/>
      <c r="CA431" s="1405" t="n"/>
      <c r="CB431" s="1375" t="n"/>
    </row>
    <row r="432" hidden="1" outlineLevel="1" ht="14.4" customFormat="1" customHeight="1" s="1372">
      <c r="A432" s="1447" t="n"/>
      <c r="B432" s="1517" t="n"/>
      <c r="C432" s="1449" t="n"/>
      <c r="D432" s="1449" t="n"/>
      <c r="E432" s="1449" t="n"/>
      <c r="F432" s="1449" t="n"/>
      <c r="G432" s="1450" t="n"/>
      <c r="H432" s="1450" t="n"/>
      <c r="I432" s="1450" t="n"/>
      <c r="J432" s="1450" t="n"/>
      <c r="K432" s="1449" t="n"/>
      <c r="L432" s="1450" t="n"/>
      <c r="M432" s="1450" t="n"/>
      <c r="N432" s="1450" t="n"/>
      <c r="O432" s="1450" t="n"/>
      <c r="P432" s="1449" t="n"/>
      <c r="Q432" s="1450" t="n"/>
      <c r="R432" s="1450" t="n"/>
      <c r="S432" s="1450" t="n"/>
      <c r="T432" s="1450" t="n"/>
      <c r="U432" s="1449" t="n"/>
      <c r="V432" s="1450" t="n"/>
      <c r="W432" s="1450" t="n"/>
      <c r="X432" s="1450" t="n"/>
      <c r="Y432" s="1450" t="n"/>
      <c r="Z432" s="1449" t="n"/>
      <c r="AA432" s="1450" t="n"/>
      <c r="AB432" s="1450" t="n"/>
      <c r="AC432" s="1450" t="n"/>
      <c r="AD432" s="1450" t="n"/>
      <c r="AE432" s="1449" t="n"/>
      <c r="AF432" s="1450" t="n"/>
      <c r="AG432" s="1450" t="n"/>
      <c r="AH432" s="1450" t="n"/>
      <c r="AI432" s="1450" t="n"/>
      <c r="AJ432" s="1449" t="n"/>
      <c r="AK432" s="1450" t="n"/>
      <c r="AL432" s="1450" t="n"/>
      <c r="AM432" s="1450" t="n"/>
      <c r="AN432" s="1450" t="n"/>
      <c r="AO432" s="1449" t="n"/>
      <c r="AP432" s="1450" t="n"/>
      <c r="AQ432" s="1450" t="n"/>
      <c r="AR432" s="1450" t="n"/>
      <c r="AS432" s="1450" t="n"/>
      <c r="AT432" s="1449" t="n"/>
      <c r="AU432" s="1450" t="n"/>
      <c r="AV432" s="1450" t="n"/>
      <c r="AW432" s="1450" t="n"/>
      <c r="AX432" s="1450" t="n"/>
      <c r="AY432" s="1449" t="n"/>
      <c r="AZ432" s="1450" t="n"/>
      <c r="BA432" s="1450" t="n"/>
      <c r="BB432" s="1450" t="n"/>
      <c r="BC432" s="1450" t="n"/>
      <c r="BD432" s="1449" t="n"/>
      <c r="BE432" s="1450" t="n"/>
      <c r="BF432" s="1450" t="n"/>
      <c r="BG432" s="1450" t="n"/>
      <c r="BH432" s="1450" t="n"/>
      <c r="BI432" s="1449" t="n"/>
      <c r="BJ432" s="1450" t="n"/>
      <c r="BK432" s="1450" t="n"/>
      <c r="BL432" s="1450" t="n"/>
      <c r="BM432" s="1450" t="n"/>
      <c r="BN432" s="1449" t="n"/>
      <c r="BO432" s="1450" t="n"/>
      <c r="BP432" s="1450" t="n"/>
      <c r="BQ432" s="1451" t="n"/>
      <c r="BR432" s="1450" t="n"/>
      <c r="BS432" s="1449" t="n"/>
      <c r="BT432" s="1450" t="n"/>
      <c r="BU432" s="1450" t="n"/>
      <c r="BV432" s="1450" t="n"/>
      <c r="BW432" s="1450" t="n"/>
      <c r="BX432" s="1449" t="n"/>
      <c r="BY432" s="1449" t="n"/>
      <c r="BZ432" s="1449" t="n"/>
      <c r="CA432" s="1449" t="n"/>
      <c r="CB432" s="1375" t="n"/>
    </row>
    <row r="433" hidden="1" outlineLevel="1" ht="14.4" customFormat="1" customHeight="1" s="1372">
      <c r="A433" s="1452" t="inlineStr">
        <is>
          <t>GAAP amortization of acquired intangibles</t>
        </is>
      </c>
      <c r="B433" s="1517" t="n"/>
      <c r="C433" s="1458">
        <f>C351</f>
        <v/>
      </c>
      <c r="D433" s="1458">
        <f>D351</f>
        <v/>
      </c>
      <c r="E433" s="1458">
        <f>E351</f>
        <v/>
      </c>
      <c r="F433" s="1458">
        <f>F351</f>
        <v/>
      </c>
      <c r="G433" s="1375">
        <f>G351</f>
        <v/>
      </c>
      <c r="H433" s="1375">
        <f>H351</f>
        <v/>
      </c>
      <c r="I433" s="1375">
        <f>I351</f>
        <v/>
      </c>
      <c r="J433" s="1375">
        <f>J351</f>
        <v/>
      </c>
      <c r="K433" s="1458">
        <f>K351</f>
        <v/>
      </c>
      <c r="L433" s="1375">
        <f>L351</f>
        <v/>
      </c>
      <c r="M433" s="1375">
        <f>M351</f>
        <v/>
      </c>
      <c r="N433" s="1375">
        <f>N351</f>
        <v/>
      </c>
      <c r="O433" s="1375">
        <f>O351</f>
        <v/>
      </c>
      <c r="P433" s="1458">
        <f>P351</f>
        <v/>
      </c>
      <c r="Q433" s="1375">
        <f>Q351</f>
        <v/>
      </c>
      <c r="R433" s="1375">
        <f>R351</f>
        <v/>
      </c>
      <c r="S433" s="1375">
        <f>S351</f>
        <v/>
      </c>
      <c r="T433" s="1375">
        <f>T351</f>
        <v/>
      </c>
      <c r="U433" s="1458">
        <f>U351</f>
        <v/>
      </c>
      <c r="V433" s="1375">
        <f>V351</f>
        <v/>
      </c>
      <c r="W433" s="1375">
        <f>W351</f>
        <v/>
      </c>
      <c r="X433" s="1375">
        <f>X351</f>
        <v/>
      </c>
      <c r="Y433" s="1450">
        <f>Y351</f>
        <v/>
      </c>
      <c r="Z433" s="1449">
        <f>Z351</f>
        <v/>
      </c>
      <c r="AA433" s="1375">
        <f>AA351</f>
        <v/>
      </c>
      <c r="AB433" s="1375">
        <f>AB351</f>
        <v/>
      </c>
      <c r="AC433" s="1375">
        <f>AC351</f>
        <v/>
      </c>
      <c r="AD433" s="1450">
        <f>AD351</f>
        <v/>
      </c>
      <c r="AE433" s="1449">
        <f>AE351</f>
        <v/>
      </c>
      <c r="AF433" s="1375">
        <f>AF351</f>
        <v/>
      </c>
      <c r="AG433" s="1375">
        <f>AG351</f>
        <v/>
      </c>
      <c r="AH433" s="1375">
        <f>AH351</f>
        <v/>
      </c>
      <c r="AI433" s="1450">
        <f>AI351</f>
        <v/>
      </c>
      <c r="AJ433" s="1449">
        <f>AJ351</f>
        <v/>
      </c>
      <c r="AK433" s="1375">
        <f>AK351</f>
        <v/>
      </c>
      <c r="AL433" s="1375">
        <f>AL351</f>
        <v/>
      </c>
      <c r="AM433" s="1375">
        <f>AM351</f>
        <v/>
      </c>
      <c r="AN433" s="1450">
        <f>AN351</f>
        <v/>
      </c>
      <c r="AO433" s="1449">
        <f>AO351</f>
        <v/>
      </c>
      <c r="AP433" s="1375">
        <f>AP351</f>
        <v/>
      </c>
      <c r="AQ433" s="1375">
        <f>AQ351</f>
        <v/>
      </c>
      <c r="AR433" s="1375">
        <f>AR351</f>
        <v/>
      </c>
      <c r="AS433" s="1450">
        <f>AS351</f>
        <v/>
      </c>
      <c r="AT433" s="1449">
        <f>AT351</f>
        <v/>
      </c>
      <c r="AU433" s="1375">
        <f>AU351</f>
        <v/>
      </c>
      <c r="AV433" s="1375">
        <f>AV351</f>
        <v/>
      </c>
      <c r="AW433" s="1375">
        <f>AW351</f>
        <v/>
      </c>
      <c r="AX433" s="1450">
        <f>AX351</f>
        <v/>
      </c>
      <c r="AY433" s="1449">
        <f>AY351</f>
        <v/>
      </c>
      <c r="AZ433" s="1375">
        <f>AZ351</f>
        <v/>
      </c>
      <c r="BA433" s="1375">
        <f>BA351</f>
        <v/>
      </c>
      <c r="BB433" s="1375">
        <f>BB351</f>
        <v/>
      </c>
      <c r="BC433" s="1450">
        <f>BC351</f>
        <v/>
      </c>
      <c r="BD433" s="1449">
        <f>BD351</f>
        <v/>
      </c>
      <c r="BE433" s="1375">
        <f>BE351</f>
        <v/>
      </c>
      <c r="BF433" s="1375">
        <f>BF351</f>
        <v/>
      </c>
      <c r="BG433" s="1375">
        <f>BG351</f>
        <v/>
      </c>
      <c r="BH433" s="1450">
        <f>BH351</f>
        <v/>
      </c>
      <c r="BI433" s="1449">
        <f>BI351</f>
        <v/>
      </c>
      <c r="BJ433" s="1375">
        <f>BJ351</f>
        <v/>
      </c>
      <c r="BK433" s="1375">
        <f>BK351</f>
        <v/>
      </c>
      <c r="BL433" s="1375">
        <f>BL351</f>
        <v/>
      </c>
      <c r="BM433" s="1450">
        <f>BM351</f>
        <v/>
      </c>
      <c r="BN433" s="1449">
        <f>BN351</f>
        <v/>
      </c>
      <c r="BO433" s="1375">
        <f>BO351</f>
        <v/>
      </c>
      <c r="BP433" s="1375">
        <f>BP351</f>
        <v/>
      </c>
      <c r="BQ433" s="1459">
        <f>BQ351</f>
        <v/>
      </c>
      <c r="BR433" s="1450" t="n"/>
      <c r="BS433" s="1449" t="n"/>
      <c r="BT433" s="1450" t="n"/>
      <c r="BU433" s="1450" t="n"/>
      <c r="BV433" s="1450" t="n"/>
      <c r="BW433" s="1450" t="n"/>
      <c r="BX433" s="1449" t="n"/>
      <c r="BY433" s="1449" t="n"/>
      <c r="BZ433" s="1449" t="n"/>
      <c r="CA433" s="1449" t="n"/>
      <c r="CB433" s="1375" t="n"/>
    </row>
    <row r="434" hidden="1" outlineLevel="1" ht="14.4" customFormat="1" customHeight="1" s="1359">
      <c r="A434" s="1478" t="inlineStr">
        <is>
          <t>Amortization of acquired intangibles</t>
        </is>
      </c>
      <c r="B434" s="1514" t="n"/>
      <c r="C434" s="1455" t="n"/>
      <c r="D434" s="1480" t="n">
        <v>-14.16</v>
      </c>
      <c r="E434" s="1480" t="n">
        <v>-16.536</v>
      </c>
      <c r="F434" s="1480" t="n">
        <v>-15.077</v>
      </c>
      <c r="G434" s="1479" t="n">
        <v>-3.791</v>
      </c>
      <c r="H434" s="1479" t="n">
        <v>-5.327</v>
      </c>
      <c r="I434" s="1479" t="n">
        <v>-5.141</v>
      </c>
      <c r="J434" s="1479" t="n">
        <v>-5.157</v>
      </c>
      <c r="K434" s="1480" t="n">
        <v>-19.416</v>
      </c>
      <c r="L434" s="1479" t="n">
        <v>-5.21</v>
      </c>
      <c r="M434" s="1479" t="n">
        <v>-5.579</v>
      </c>
      <c r="N434" s="1479" t="n">
        <v>-6.316</v>
      </c>
      <c r="O434" s="1479" t="n">
        <v>-6.912</v>
      </c>
      <c r="P434" s="1480" t="n">
        <v>-24.017</v>
      </c>
      <c r="Q434" s="1479" t="n">
        <v>-6.231</v>
      </c>
      <c r="R434" s="1479" t="n">
        <v>-6.119</v>
      </c>
      <c r="S434" s="1479" t="n">
        <v>-5.687</v>
      </c>
      <c r="T434" s="1479" t="n">
        <v>-5.679</v>
      </c>
      <c r="U434" s="1480" t="n">
        <v>-23.716</v>
      </c>
      <c r="V434" s="1479" t="n">
        <v>-5.78</v>
      </c>
      <c r="W434" s="1479" t="n">
        <v>-4.537</v>
      </c>
      <c r="X434" s="1479" t="n">
        <v>-3.889</v>
      </c>
      <c r="Y434" s="1479" t="n">
        <v>-3.889</v>
      </c>
      <c r="Z434" s="1480" t="n">
        <v>-18.095</v>
      </c>
      <c r="AA434" s="1479" t="n">
        <v>-3.856</v>
      </c>
      <c r="AB434" s="1479" t="n">
        <v>-3.836</v>
      </c>
      <c r="AC434" s="1479" t="n">
        <v>-3.453</v>
      </c>
      <c r="AD434" s="1479" t="n">
        <v>-3.571</v>
      </c>
      <c r="AE434" s="1480" t="n">
        <v>-14.716</v>
      </c>
      <c r="AF434" s="1479" t="n">
        <v>-3.63</v>
      </c>
      <c r="AG434" s="1479" t="n">
        <v>-3.518</v>
      </c>
      <c r="AH434" s="1479" t="n">
        <v>-3.47</v>
      </c>
      <c r="AI434" s="1479" t="n">
        <v>-3.468</v>
      </c>
      <c r="AJ434" s="1480" t="n">
        <v>-14.086</v>
      </c>
      <c r="AK434" s="1479" t="n">
        <v>-3.308</v>
      </c>
      <c r="AL434" s="1479" t="n">
        <v>-3.159</v>
      </c>
      <c r="AM434" s="1479" t="n">
        <v>-2.874</v>
      </c>
      <c r="AN434" s="1479" t="n">
        <v>-2.787</v>
      </c>
      <c r="AO434" s="1480" t="n">
        <v>-12.128</v>
      </c>
      <c r="AP434" s="1479" t="n">
        <v>-4.206</v>
      </c>
      <c r="AQ434" s="1479" t="n">
        <v>-4.59</v>
      </c>
      <c r="AR434" s="1479" t="n">
        <v>-4.438</v>
      </c>
      <c r="AS434" s="1479" t="n">
        <v>-4.775</v>
      </c>
      <c r="AT434" s="1455">
        <f>SUM(AP434,AQ434,AR434,AS434)</f>
        <v/>
      </c>
      <c r="AU434" s="1479" t="n">
        <v>-4.631</v>
      </c>
      <c r="AV434" s="1479" t="n">
        <v>-5.03</v>
      </c>
      <c r="AW434" s="1479" t="n">
        <v>-5</v>
      </c>
      <c r="AX434" s="1479" t="n">
        <v>-4.979</v>
      </c>
      <c r="AY434" s="1455">
        <f>SUM(AU434,AV434,AW434,AX434)</f>
        <v/>
      </c>
      <c r="AZ434" s="1479" t="n">
        <v>-4.964</v>
      </c>
      <c r="BA434" s="1479" t="n">
        <v>-4.633</v>
      </c>
      <c r="BB434" s="1479" t="n">
        <v>-3.946</v>
      </c>
      <c r="BC434" s="1479" t="n">
        <v>-4.927</v>
      </c>
      <c r="BD434" s="1455">
        <f>SUM(AZ434,BA434,BB434,BC434)</f>
        <v/>
      </c>
      <c r="BE434" s="1479" t="n">
        <v>-4.267</v>
      </c>
      <c r="BF434" s="1479" t="n">
        <v>-4.302</v>
      </c>
      <c r="BG434" s="1479" t="n">
        <v>-4.612</v>
      </c>
      <c r="BH434" s="1479" t="n">
        <v>-4.981</v>
      </c>
      <c r="BI434" s="1455">
        <f>SUM(BE434,BF434,BG434,BH434)</f>
        <v/>
      </c>
      <c r="BJ434" s="1479" t="n">
        <v>-5.407</v>
      </c>
      <c r="BK434" s="1479" t="n">
        <v>-6.667</v>
      </c>
      <c r="BL434" s="1479" t="n">
        <v>-9.148</v>
      </c>
      <c r="BM434" s="1479" t="n">
        <v>-9.153</v>
      </c>
      <c r="BN434" s="1455">
        <f>SUM(BJ434,BK434,BL434,BM434)</f>
        <v/>
      </c>
      <c r="BO434" s="1479" t="n">
        <v>-8.922000000000001</v>
      </c>
      <c r="BP434" s="1479" t="n">
        <v>-9.204000000000001</v>
      </c>
      <c r="BQ434" s="1515" t="n">
        <v>-10.233</v>
      </c>
      <c r="BR434" s="1456" t="n"/>
      <c r="BS434" s="1455" t="n"/>
      <c r="BT434" s="1456" t="n"/>
      <c r="BU434" s="1456" t="n"/>
      <c r="BV434" s="1456" t="n"/>
      <c r="BW434" s="1456" t="n"/>
      <c r="BX434" s="1455" t="n"/>
      <c r="BY434" s="1455" t="n"/>
      <c r="BZ434" s="1455" t="n"/>
      <c r="CA434" s="1455" t="n"/>
      <c r="CB434" s="1364" t="n"/>
    </row>
    <row r="435" hidden="1" outlineLevel="1" ht="14.4" customFormat="1" customHeight="1" s="1372">
      <c r="A435" s="1400" t="inlineStr">
        <is>
          <t>Non-GAAP amortization of acquired intangibles</t>
        </is>
      </c>
      <c r="B435" s="1516" t="n"/>
      <c r="C435" s="1405" t="n"/>
      <c r="D435" s="1402">
        <f>SUM(D433:D434)</f>
        <v/>
      </c>
      <c r="E435" s="1402">
        <f>SUM(E433:E434)</f>
        <v/>
      </c>
      <c r="F435" s="1402">
        <f>SUM(F433:F434)</f>
        <v/>
      </c>
      <c r="G435" s="1403">
        <f>SUM(G433:G434)</f>
        <v/>
      </c>
      <c r="H435" s="1403">
        <f>SUM(H433:H434)</f>
        <v/>
      </c>
      <c r="I435" s="1403">
        <f>SUM(I433:I434)</f>
        <v/>
      </c>
      <c r="J435" s="1403">
        <f>SUM(J433:J434)</f>
        <v/>
      </c>
      <c r="K435" s="1402">
        <f>SUM(K433:K434)</f>
        <v/>
      </c>
      <c r="L435" s="1403">
        <f>SUM(L433:L434)</f>
        <v/>
      </c>
      <c r="M435" s="1403">
        <f>SUM(M433:M434)</f>
        <v/>
      </c>
      <c r="N435" s="1403">
        <f>SUM(N433:N434)</f>
        <v/>
      </c>
      <c r="O435" s="1403">
        <f>SUM(O433:O434)</f>
        <v/>
      </c>
      <c r="P435" s="1402">
        <f>SUM(P433:P434)</f>
        <v/>
      </c>
      <c r="Q435" s="1403">
        <f>SUM(Q433:Q434)</f>
        <v/>
      </c>
      <c r="R435" s="1403">
        <f>SUM(R433:R434)</f>
        <v/>
      </c>
      <c r="S435" s="1403">
        <f>SUM(S433:S434)</f>
        <v/>
      </c>
      <c r="T435" s="1403">
        <f>SUM(T433:T434)</f>
        <v/>
      </c>
      <c r="U435" s="1402">
        <f>SUM(U433:U434)</f>
        <v/>
      </c>
      <c r="V435" s="1403">
        <f>SUM(V433:V434)</f>
        <v/>
      </c>
      <c r="W435" s="1403">
        <f>SUM(W433:W434)</f>
        <v/>
      </c>
      <c r="X435" s="1403">
        <f>SUM(X433:X434)</f>
        <v/>
      </c>
      <c r="Y435" s="1404">
        <f>SUM(Y433:Y434)</f>
        <v/>
      </c>
      <c r="Z435" s="1405">
        <f>SUM(Z433:Z434)</f>
        <v/>
      </c>
      <c r="AA435" s="1403">
        <f>SUM(AA433:AA434)</f>
        <v/>
      </c>
      <c r="AB435" s="1403">
        <f>SUM(AB433:AB434)</f>
        <v/>
      </c>
      <c r="AC435" s="1403">
        <f>SUM(AC433:AC434)</f>
        <v/>
      </c>
      <c r="AD435" s="1404">
        <f>SUM(AD433:AD434)</f>
        <v/>
      </c>
      <c r="AE435" s="1405">
        <f>SUM(AE433:AE434)</f>
        <v/>
      </c>
      <c r="AF435" s="1403">
        <f>SUM(AF433:AF434)</f>
        <v/>
      </c>
      <c r="AG435" s="1403">
        <f>SUM(AG433:AG434)</f>
        <v/>
      </c>
      <c r="AH435" s="1403">
        <f>SUM(AH433:AH434)</f>
        <v/>
      </c>
      <c r="AI435" s="1404">
        <f>SUM(AI433:AI434)</f>
        <v/>
      </c>
      <c r="AJ435" s="1405">
        <f>SUM(AJ433:AJ434)</f>
        <v/>
      </c>
      <c r="AK435" s="1403">
        <f>SUM(AK433:AK434)</f>
        <v/>
      </c>
      <c r="AL435" s="1403">
        <f>SUM(AL433:AL434)</f>
        <v/>
      </c>
      <c r="AM435" s="1403">
        <f>SUM(AM433:AM434)</f>
        <v/>
      </c>
      <c r="AN435" s="1404">
        <f>SUM(AN433:AN434)</f>
        <v/>
      </c>
      <c r="AO435" s="1405">
        <f>SUM(AO433:AO434)</f>
        <v/>
      </c>
      <c r="AP435" s="1403">
        <f>SUM(AP433:AP434)</f>
        <v/>
      </c>
      <c r="AQ435" s="1403">
        <f>SUM(AQ433:AQ434)</f>
        <v/>
      </c>
      <c r="AR435" s="1403">
        <f>SUM(AR433:AR434)</f>
        <v/>
      </c>
      <c r="AS435" s="1404">
        <f>SUM(AS433:AS434)</f>
        <v/>
      </c>
      <c r="AT435" s="1405">
        <f>SUM(AT433:AT434)</f>
        <v/>
      </c>
      <c r="AU435" s="1403">
        <f>SUM(AU433:AU434)</f>
        <v/>
      </c>
      <c r="AV435" s="1403">
        <f>SUM(AV433:AV434)</f>
        <v/>
      </c>
      <c r="AW435" s="1403">
        <f>SUM(AW433:AW434)</f>
        <v/>
      </c>
      <c r="AX435" s="1404">
        <f>SUM(AX433:AX434)</f>
        <v/>
      </c>
      <c r="AY435" s="1405">
        <f>SUM(AY433:AY434)</f>
        <v/>
      </c>
      <c r="AZ435" s="1403">
        <f>SUM(AZ433:AZ434)</f>
        <v/>
      </c>
      <c r="BA435" s="1403">
        <f>SUM(BA433:BA434)</f>
        <v/>
      </c>
      <c r="BB435" s="1403">
        <f>SUM(BB433:BB434)</f>
        <v/>
      </c>
      <c r="BC435" s="1404">
        <f>SUM(BC433:BC434)</f>
        <v/>
      </c>
      <c r="BD435" s="1405">
        <f>SUM(BD433:BD434)</f>
        <v/>
      </c>
      <c r="BE435" s="1403">
        <f>SUM(BE433:BE434)</f>
        <v/>
      </c>
      <c r="BF435" s="1403">
        <f>SUM(BF433:BF434)</f>
        <v/>
      </c>
      <c r="BG435" s="1403">
        <f>SUM(BG433:BG434)</f>
        <v/>
      </c>
      <c r="BH435" s="1404">
        <f>SUM(BH433:BH434)</f>
        <v/>
      </c>
      <c r="BI435" s="1405">
        <f>SUM(BI433:BI434)</f>
        <v/>
      </c>
      <c r="BJ435" s="1403">
        <f>SUM(BJ433:BJ434)</f>
        <v/>
      </c>
      <c r="BK435" s="1403">
        <f>SUM(BK433:BK434)</f>
        <v/>
      </c>
      <c r="BL435" s="1403">
        <f>SUM(BL433:BL434)</f>
        <v/>
      </c>
      <c r="BM435" s="1404">
        <f>SUM(BM433:BM434)</f>
        <v/>
      </c>
      <c r="BN435" s="1405">
        <f>SUM(BN433:BN434)</f>
        <v/>
      </c>
      <c r="BO435" s="1403">
        <f>SUM(BO433:BO434)</f>
        <v/>
      </c>
      <c r="BP435" s="1403">
        <f>SUM(BP433:BP434)</f>
        <v/>
      </c>
      <c r="BQ435" s="1406">
        <f>SUM(BQ433:BQ434)</f>
        <v/>
      </c>
      <c r="BR435" s="1404" t="n"/>
      <c r="BS435" s="1405" t="n"/>
      <c r="BT435" s="1404" t="n"/>
      <c r="BU435" s="1404" t="n"/>
      <c r="BV435" s="1404" t="n"/>
      <c r="BW435" s="1404" t="n"/>
      <c r="BX435" s="1405" t="n"/>
      <c r="BY435" s="1405" t="n"/>
      <c r="BZ435" s="1405" t="n"/>
      <c r="CA435" s="1405" t="n"/>
      <c r="CB435" s="1375" t="n"/>
    </row>
    <row r="436" hidden="1" outlineLevel="1" ht="14.4" customFormat="1" customHeight="1" s="1372">
      <c r="A436" s="1447" t="n"/>
      <c r="B436" s="1517" t="n"/>
      <c r="C436" s="1449" t="n"/>
      <c r="D436" s="1449" t="n"/>
      <c r="E436" s="1449" t="n"/>
      <c r="F436" s="1449" t="n"/>
      <c r="G436" s="1450" t="n"/>
      <c r="H436" s="1450" t="n"/>
      <c r="I436" s="1450" t="n"/>
      <c r="J436" s="1450" t="n"/>
      <c r="K436" s="1449" t="n"/>
      <c r="L436" s="1450" t="n"/>
      <c r="M436" s="1450" t="n"/>
      <c r="N436" s="1450" t="n"/>
      <c r="O436" s="1450" t="n"/>
      <c r="P436" s="1449" t="n"/>
      <c r="Q436" s="1450" t="n"/>
      <c r="R436" s="1450" t="n"/>
      <c r="S436" s="1450" t="n"/>
      <c r="T436" s="1450" t="n"/>
      <c r="U436" s="1449" t="n"/>
      <c r="V436" s="1450" t="n"/>
      <c r="W436" s="1450" t="n"/>
      <c r="X436" s="1450" t="n"/>
      <c r="Y436" s="1450" t="n"/>
      <c r="Z436" s="1449" t="n"/>
      <c r="AA436" s="1450" t="n"/>
      <c r="AB436" s="1450" t="n"/>
      <c r="AC436" s="1450" t="n"/>
      <c r="AD436" s="1450" t="n"/>
      <c r="AE436" s="1449" t="n"/>
      <c r="AF436" s="1450" t="n"/>
      <c r="AG436" s="1450" t="n"/>
      <c r="AH436" s="1450" t="n"/>
      <c r="AI436" s="1450" t="n"/>
      <c r="AJ436" s="1449" t="n"/>
      <c r="AK436" s="1450" t="n"/>
      <c r="AL436" s="1450" t="n"/>
      <c r="AM436" s="1450" t="n"/>
      <c r="AN436" s="1450" t="n"/>
      <c r="AO436" s="1449" t="n"/>
      <c r="AP436" s="1450" t="n"/>
      <c r="AQ436" s="1450" t="n"/>
      <c r="AR436" s="1450" t="n"/>
      <c r="AS436" s="1450" t="n"/>
      <c r="AT436" s="1449" t="n"/>
      <c r="AU436" s="1450" t="n"/>
      <c r="AV436" s="1450" t="n"/>
      <c r="AW436" s="1450" t="n"/>
      <c r="AX436" s="1450" t="n"/>
      <c r="AY436" s="1449" t="n"/>
      <c r="AZ436" s="1450" t="n"/>
      <c r="BA436" s="1450" t="n"/>
      <c r="BB436" s="1450" t="n"/>
      <c r="BC436" s="1450" t="n"/>
      <c r="BD436" s="1449" t="n"/>
      <c r="BE436" s="1450" t="n"/>
      <c r="BF436" s="1450" t="n"/>
      <c r="BG436" s="1450" t="n"/>
      <c r="BH436" s="1450" t="n"/>
      <c r="BI436" s="1449" t="n"/>
      <c r="BJ436" s="1450" t="n"/>
      <c r="BK436" s="1450" t="n"/>
      <c r="BL436" s="1450" t="n"/>
      <c r="BM436" s="1450" t="n"/>
      <c r="BN436" s="1449" t="n"/>
      <c r="BO436" s="1450" t="n"/>
      <c r="BP436" s="1450" t="n"/>
      <c r="BQ436" s="1451" t="n"/>
      <c r="BR436" s="1450" t="n"/>
      <c r="BS436" s="1449" t="n"/>
      <c r="BT436" s="1450" t="n"/>
      <c r="BU436" s="1450" t="n"/>
      <c r="BV436" s="1450" t="n"/>
      <c r="BW436" s="1450" t="n"/>
      <c r="BX436" s="1449" t="n"/>
      <c r="BY436" s="1449" t="n"/>
      <c r="BZ436" s="1449" t="n"/>
      <c r="CA436" s="1449" t="n"/>
      <c r="CB436" s="1375" t="n"/>
    </row>
    <row r="437" hidden="1" outlineLevel="1" ht="14.4" customFormat="1" customHeight="1" s="1372">
      <c r="A437" s="1452" t="inlineStr">
        <is>
          <t>GAAP restructuring and other charges (credits)</t>
        </is>
      </c>
      <c r="B437" s="1517" t="n"/>
      <c r="C437" s="1458">
        <f>C352</f>
        <v/>
      </c>
      <c r="D437" s="1458">
        <f>D352</f>
        <v/>
      </c>
      <c r="E437" s="1458">
        <f>E352</f>
        <v/>
      </c>
      <c r="F437" s="1458">
        <f>F352</f>
        <v/>
      </c>
      <c r="G437" s="1375">
        <f>G352</f>
        <v/>
      </c>
      <c r="H437" s="1375">
        <f>H352</f>
        <v/>
      </c>
      <c r="I437" s="1375">
        <f>I352</f>
        <v/>
      </c>
      <c r="J437" s="1375">
        <f>J352</f>
        <v/>
      </c>
      <c r="K437" s="1458">
        <f>K352</f>
        <v/>
      </c>
      <c r="L437" s="1375">
        <f>L352</f>
        <v/>
      </c>
      <c r="M437" s="1375">
        <f>M352</f>
        <v/>
      </c>
      <c r="N437" s="1375">
        <f>N352</f>
        <v/>
      </c>
      <c r="O437" s="1375">
        <f>O352</f>
        <v/>
      </c>
      <c r="P437" s="1458">
        <f>P352</f>
        <v/>
      </c>
      <c r="Q437" s="1375">
        <f>Q352</f>
        <v/>
      </c>
      <c r="R437" s="1375">
        <f>R352</f>
        <v/>
      </c>
      <c r="S437" s="1375">
        <f>S352</f>
        <v/>
      </c>
      <c r="T437" s="1375">
        <f>T352</f>
        <v/>
      </c>
      <c r="U437" s="1458">
        <f>U352</f>
        <v/>
      </c>
      <c r="V437" s="1375">
        <f>V352</f>
        <v/>
      </c>
      <c r="W437" s="1375">
        <f>W352</f>
        <v/>
      </c>
      <c r="X437" s="1375">
        <f>X352</f>
        <v/>
      </c>
      <c r="Y437" s="1450">
        <f>Y352</f>
        <v/>
      </c>
      <c r="Z437" s="1449">
        <f>Z352</f>
        <v/>
      </c>
      <c r="AA437" s="1375">
        <f>AA352</f>
        <v/>
      </c>
      <c r="AB437" s="1375">
        <f>AB352</f>
        <v/>
      </c>
      <c r="AC437" s="1375">
        <f>AC352</f>
        <v/>
      </c>
      <c r="AD437" s="1450">
        <f>AD352</f>
        <v/>
      </c>
      <c r="AE437" s="1449">
        <f>AE352</f>
        <v/>
      </c>
      <c r="AF437" s="1375">
        <f>AF352</f>
        <v/>
      </c>
      <c r="AG437" s="1375">
        <f>AG352</f>
        <v/>
      </c>
      <c r="AH437" s="1375">
        <f>AH352</f>
        <v/>
      </c>
      <c r="AI437" s="1450">
        <f>AI352</f>
        <v/>
      </c>
      <c r="AJ437" s="1449">
        <f>AJ352</f>
        <v/>
      </c>
      <c r="AK437" s="1375">
        <f>AK352</f>
        <v/>
      </c>
      <c r="AL437" s="1375">
        <f>AL352</f>
        <v/>
      </c>
      <c r="AM437" s="1375">
        <f>AM352</f>
        <v/>
      </c>
      <c r="AN437" s="1450">
        <f>AN352</f>
        <v/>
      </c>
      <c r="AO437" s="1449">
        <f>AO352</f>
        <v/>
      </c>
      <c r="AP437" s="1375">
        <f>AP352</f>
        <v/>
      </c>
      <c r="AQ437" s="1375">
        <f>AQ352</f>
        <v/>
      </c>
      <c r="AR437" s="1375">
        <f>AR352</f>
        <v/>
      </c>
      <c r="AS437" s="1450">
        <f>AS352</f>
        <v/>
      </c>
      <c r="AT437" s="1449">
        <f>AT352</f>
        <v/>
      </c>
      <c r="AU437" s="1375">
        <f>AU352</f>
        <v/>
      </c>
      <c r="AV437" s="1375">
        <f>AV352</f>
        <v/>
      </c>
      <c r="AW437" s="1375">
        <f>AW352</f>
        <v/>
      </c>
      <c r="AX437" s="1450">
        <f>AX352</f>
        <v/>
      </c>
      <c r="AY437" s="1449">
        <f>AY352</f>
        <v/>
      </c>
      <c r="AZ437" s="1375">
        <f>AZ352</f>
        <v/>
      </c>
      <c r="BA437" s="1375">
        <f>BA352</f>
        <v/>
      </c>
      <c r="BB437" s="1375">
        <f>BB352</f>
        <v/>
      </c>
      <c r="BC437" s="1450">
        <f>BC352</f>
        <v/>
      </c>
      <c r="BD437" s="1449">
        <f>BD352</f>
        <v/>
      </c>
      <c r="BE437" s="1375">
        <f>BE352</f>
        <v/>
      </c>
      <c r="BF437" s="1375">
        <f>BF352</f>
        <v/>
      </c>
      <c r="BG437" s="1375">
        <f>BG352</f>
        <v/>
      </c>
      <c r="BH437" s="1450">
        <f>BH352</f>
        <v/>
      </c>
      <c r="BI437" s="1449">
        <f>BI352</f>
        <v/>
      </c>
      <c r="BJ437" s="1375">
        <f>BJ352</f>
        <v/>
      </c>
      <c r="BK437" s="1375">
        <f>BK352</f>
        <v/>
      </c>
      <c r="BL437" s="1375">
        <f>BL352</f>
        <v/>
      </c>
      <c r="BM437" s="1450">
        <f>BM352</f>
        <v/>
      </c>
      <c r="BN437" s="1449">
        <f>BN352</f>
        <v/>
      </c>
      <c r="BO437" s="1375">
        <f>BO352</f>
        <v/>
      </c>
      <c r="BP437" s="1375">
        <f>BP352</f>
        <v/>
      </c>
      <c r="BQ437" s="1459">
        <f>BQ352</f>
        <v/>
      </c>
      <c r="BR437" s="1450" t="n"/>
      <c r="BS437" s="1449" t="n"/>
      <c r="BT437" s="1450" t="n"/>
      <c r="BU437" s="1450" t="n"/>
      <c r="BV437" s="1450" t="n"/>
      <c r="BW437" s="1450" t="n"/>
      <c r="BX437" s="1449" t="n"/>
      <c r="BY437" s="1449" t="n"/>
      <c r="BZ437" s="1449" t="n"/>
      <c r="CA437" s="1449" t="n"/>
      <c r="CB437" s="1375" t="n"/>
    </row>
    <row r="438" hidden="1" outlineLevel="1" ht="14.4" customFormat="1" customHeight="1" s="1359">
      <c r="A438" s="1478" t="inlineStr">
        <is>
          <t>Adjustments</t>
        </is>
      </c>
      <c r="B438" s="1514" t="n"/>
      <c r="C438" s="1455" t="n"/>
      <c r="D438" s="1480" t="n">
        <v>-10.152</v>
      </c>
      <c r="E438" s="1480" t="n">
        <v>-0.36</v>
      </c>
      <c r="F438" s="1480" t="n">
        <v>-0.113</v>
      </c>
      <c r="G438" s="1479" t="n">
        <v>0.148</v>
      </c>
      <c r="H438" s="1479" t="n">
        <v>-2.656</v>
      </c>
      <c r="I438" s="1479" t="n">
        <v>-0.08599999999999999</v>
      </c>
      <c r="J438" s="1479" t="n">
        <v>-15.405</v>
      </c>
      <c r="K438" s="1480" t="n">
        <v>-17.999</v>
      </c>
      <c r="L438" s="1479" t="n">
        <v>-0.396</v>
      </c>
      <c r="M438" s="1479" t="n">
        <v>0.026</v>
      </c>
      <c r="N438" s="1479" t="n">
        <v>-11.027</v>
      </c>
      <c r="O438" s="1479" t="n">
        <v>1.145</v>
      </c>
      <c r="P438" s="1480" t="n">
        <v>-10.252</v>
      </c>
      <c r="Q438" s="1479" t="n">
        <v>-4.359</v>
      </c>
      <c r="R438" s="1479" t="n">
        <v>0.498</v>
      </c>
      <c r="S438" s="1479" t="n">
        <v>-0.303</v>
      </c>
      <c r="T438" s="1479" t="n">
        <v>-0.347</v>
      </c>
      <c r="U438" s="1480" t="n">
        <v>-4.511</v>
      </c>
      <c r="V438" s="1479" t="n">
        <v>-14.586</v>
      </c>
      <c r="W438" s="1479" t="n">
        <v>0.074</v>
      </c>
      <c r="X438" s="1479" t="n">
        <v>-0.101</v>
      </c>
      <c r="Y438" s="1479" t="n">
        <v>-26.342</v>
      </c>
      <c r="Z438" s="1480" t="n">
        <v>-40.955</v>
      </c>
      <c r="AA438" s="1479" t="n">
        <v>1.788</v>
      </c>
      <c r="AB438" s="1479" t="n">
        <v>0.929</v>
      </c>
      <c r="AC438" s="1479" t="n">
        <v>0.055</v>
      </c>
      <c r="AD438" s="1479" t="n">
        <v>-12.178</v>
      </c>
      <c r="AE438" s="1480" t="n">
        <v>-9.406000000000001</v>
      </c>
      <c r="AF438" s="1479" t="n">
        <v>1.991</v>
      </c>
      <c r="AG438" s="1479" t="n">
        <v>0.447</v>
      </c>
      <c r="AH438" s="1479" t="n">
        <v>0.172</v>
      </c>
      <c r="AI438" s="1479" t="n">
        <v>-13.699</v>
      </c>
      <c r="AJ438" s="1480" t="n">
        <v>-11.089</v>
      </c>
      <c r="AK438" s="1479" t="n">
        <v>0.6889999999999999</v>
      </c>
      <c r="AL438" s="1479" t="n">
        <v>0.313</v>
      </c>
      <c r="AM438" s="1479" t="n">
        <v>0.186</v>
      </c>
      <c r="AN438" s="1479" t="n">
        <v>-9.808999999999999</v>
      </c>
      <c r="AO438" s="1480" t="n">
        <v>-8.621</v>
      </c>
      <c r="AP438" s="1479" t="n">
        <v>1.067</v>
      </c>
      <c r="AQ438" s="1479" t="n">
        <v>0.275</v>
      </c>
      <c r="AR438" s="1479" t="n">
        <v>-0.013</v>
      </c>
      <c r="AS438" s="1479" t="n">
        <v>-10.544</v>
      </c>
      <c r="AT438" s="1455">
        <f>SUM(AP438,AQ438,AR438,AS438)</f>
        <v/>
      </c>
      <c r="AU438" s="1479" t="n">
        <v>0.277</v>
      </c>
      <c r="AV438" s="1479" t="n">
        <v>0.469</v>
      </c>
      <c r="AW438" s="1479" t="n">
        <v>0.222</v>
      </c>
      <c r="AX438" s="1479" t="n">
        <v>0.08</v>
      </c>
      <c r="AY438" s="1455">
        <f>SUM(AU438,AV438,AW438,AX438)</f>
        <v/>
      </c>
      <c r="AZ438" s="1479" t="n">
        <v>-0.012</v>
      </c>
      <c r="BA438" s="1479" t="n">
        <v>-0.016</v>
      </c>
      <c r="BB438" s="1479" t="n">
        <v>-0.014</v>
      </c>
      <c r="BC438" s="1479" t="n">
        <v>-0.013</v>
      </c>
      <c r="BD438" s="1455">
        <f>SUM(AZ438,BA438,BB438,BC438)</f>
        <v/>
      </c>
      <c r="BE438" s="1479" t="n">
        <v>0</v>
      </c>
      <c r="BF438" s="1479" t="n">
        <v>0</v>
      </c>
      <c r="BG438" s="1479" t="n">
        <v>-11.582</v>
      </c>
      <c r="BH438" s="1479" t="n">
        <v>0.569</v>
      </c>
      <c r="BI438" s="1455">
        <f>SUM(BE438,BF438,BG438,BH438)</f>
        <v/>
      </c>
      <c r="BJ438" s="1479" t="n">
        <v>-0.28</v>
      </c>
      <c r="BK438" s="1479" t="n">
        <v>0.033</v>
      </c>
      <c r="BL438" s="1479" t="n">
        <v>-24.538</v>
      </c>
      <c r="BM438" s="1479" t="n">
        <v>1.02</v>
      </c>
      <c r="BN438" s="1455">
        <f>SUM(BJ438,BK438,BL438,BM438)</f>
        <v/>
      </c>
      <c r="BO438" s="1479" t="n">
        <v>0.109</v>
      </c>
      <c r="BP438" s="1479" t="n">
        <v>-0.047</v>
      </c>
      <c r="BQ438" s="1515" t="n">
        <v>-27.394</v>
      </c>
      <c r="BR438" s="1456" t="n"/>
      <c r="BS438" s="1455" t="n"/>
      <c r="BT438" s="1456" t="n"/>
      <c r="BU438" s="1456" t="n"/>
      <c r="BV438" s="1456" t="n"/>
      <c r="BW438" s="1456" t="n"/>
      <c r="BX438" s="1455" t="n"/>
      <c r="BY438" s="1455" t="n"/>
      <c r="BZ438" s="1455" t="n"/>
      <c r="CA438" s="1455" t="n"/>
      <c r="CB438" s="1364" t="n"/>
    </row>
    <row r="439" hidden="1" outlineLevel="1" ht="14.4" customFormat="1" customHeight="1" s="1372">
      <c r="A439" s="1400" t="inlineStr">
        <is>
          <t>Non-GAAP restructuring and other charges (credits)</t>
        </is>
      </c>
      <c r="B439" s="1516" t="n"/>
      <c r="C439" s="1405" t="n"/>
      <c r="D439" s="1402">
        <f>SUM(D437:D438)</f>
        <v/>
      </c>
      <c r="E439" s="1402">
        <f>SUM(E437:E438)</f>
        <v/>
      </c>
      <c r="F439" s="1402">
        <f>SUM(F437:F438)</f>
        <v/>
      </c>
      <c r="G439" s="1403">
        <f>SUM(G437:G438)</f>
        <v/>
      </c>
      <c r="H439" s="1403">
        <f>SUM(H437:H438)</f>
        <v/>
      </c>
      <c r="I439" s="1403">
        <f>SUM(I437:I438)</f>
        <v/>
      </c>
      <c r="J439" s="1403">
        <f>SUM(J437:J438)</f>
        <v/>
      </c>
      <c r="K439" s="1402">
        <f>SUM(K437:K438)</f>
        <v/>
      </c>
      <c r="L439" s="1403">
        <f>SUM(L437:L438)</f>
        <v/>
      </c>
      <c r="M439" s="1403">
        <f>SUM(M437:M438)</f>
        <v/>
      </c>
      <c r="N439" s="1403">
        <f>SUM(N437:N438)</f>
        <v/>
      </c>
      <c r="O439" s="1403">
        <f>SUM(O437:O438)</f>
        <v/>
      </c>
      <c r="P439" s="1402">
        <f>SUM(P437:P438)</f>
        <v/>
      </c>
      <c r="Q439" s="1403">
        <f>SUM(Q437:Q438)</f>
        <v/>
      </c>
      <c r="R439" s="1403">
        <f>SUM(R437:R438)</f>
        <v/>
      </c>
      <c r="S439" s="1403">
        <f>SUM(S437:S438)</f>
        <v/>
      </c>
      <c r="T439" s="1403">
        <f>SUM(T437:T438)</f>
        <v/>
      </c>
      <c r="U439" s="1402">
        <f>SUM(U437:U438)</f>
        <v/>
      </c>
      <c r="V439" s="1403">
        <f>SUM(V437:V438)</f>
        <v/>
      </c>
      <c r="W439" s="1403">
        <f>SUM(W437:W438)</f>
        <v/>
      </c>
      <c r="X439" s="1403">
        <f>SUM(X437:X438)</f>
        <v/>
      </c>
      <c r="Y439" s="1404">
        <f>SUM(Y437:Y438)</f>
        <v/>
      </c>
      <c r="Z439" s="1405">
        <f>SUM(Z437:Z438)</f>
        <v/>
      </c>
      <c r="AA439" s="1403">
        <f>SUM(AA437:AA438)</f>
        <v/>
      </c>
      <c r="AB439" s="1403">
        <f>SUM(AB437:AB438)</f>
        <v/>
      </c>
      <c r="AC439" s="1403">
        <f>SUM(AC437:AC438)</f>
        <v/>
      </c>
      <c r="AD439" s="1404">
        <f>SUM(AD437:AD438)</f>
        <v/>
      </c>
      <c r="AE439" s="1405">
        <f>SUM(AE437:AE438)</f>
        <v/>
      </c>
      <c r="AF439" s="1403">
        <f>SUM(AF437:AF438)</f>
        <v/>
      </c>
      <c r="AG439" s="1403">
        <f>SUM(AG437:AG438)</f>
        <v/>
      </c>
      <c r="AH439" s="1403">
        <f>SUM(AH437:AH438)</f>
        <v/>
      </c>
      <c r="AI439" s="1404">
        <f>SUM(AI437:AI438)</f>
        <v/>
      </c>
      <c r="AJ439" s="1405">
        <f>SUM(AJ437:AJ438)</f>
        <v/>
      </c>
      <c r="AK439" s="1403">
        <f>SUM(AK437:AK438)</f>
        <v/>
      </c>
      <c r="AL439" s="1403">
        <f>SUM(AL437:AL438)</f>
        <v/>
      </c>
      <c r="AM439" s="1403">
        <f>SUM(AM437:AM438)</f>
        <v/>
      </c>
      <c r="AN439" s="1404">
        <f>SUM(AN437:AN438)</f>
        <v/>
      </c>
      <c r="AO439" s="1405">
        <f>SUM(AO437:AO438)</f>
        <v/>
      </c>
      <c r="AP439" s="1403">
        <f>SUM(AP437:AP438)</f>
        <v/>
      </c>
      <c r="AQ439" s="1403">
        <f>SUM(AQ437:AQ438)</f>
        <v/>
      </c>
      <c r="AR439" s="1403">
        <f>SUM(AR437:AR438)</f>
        <v/>
      </c>
      <c r="AS439" s="1404">
        <f>SUM(AS437:AS438)</f>
        <v/>
      </c>
      <c r="AT439" s="1405">
        <f>SUM(AT437:AT438)</f>
        <v/>
      </c>
      <c r="AU439" s="1403">
        <f>SUM(AU437:AU438)</f>
        <v/>
      </c>
      <c r="AV439" s="1403">
        <f>SUM(AV437:AV438)</f>
        <v/>
      </c>
      <c r="AW439" s="1403">
        <f>SUM(AW437:AW438)</f>
        <v/>
      </c>
      <c r="AX439" s="1404">
        <f>SUM(AX437:AX438)</f>
        <v/>
      </c>
      <c r="AY439" s="1405">
        <f>SUM(AY437:AY438)</f>
        <v/>
      </c>
      <c r="AZ439" s="1403">
        <f>SUM(AZ437:AZ438)</f>
        <v/>
      </c>
      <c r="BA439" s="1403">
        <f>SUM(BA437:BA438)</f>
        <v/>
      </c>
      <c r="BB439" s="1403">
        <f>SUM(BB437:BB438)</f>
        <v/>
      </c>
      <c r="BC439" s="1404">
        <f>SUM(BC437:BC438)</f>
        <v/>
      </c>
      <c r="BD439" s="1405">
        <f>SUM(BD437:BD438)</f>
        <v/>
      </c>
      <c r="BE439" s="1403">
        <f>SUM(BE437:BE438)</f>
        <v/>
      </c>
      <c r="BF439" s="1403">
        <f>SUM(BF437:BF438)</f>
        <v/>
      </c>
      <c r="BG439" s="1403">
        <f>SUM(BG437:BG438)</f>
        <v/>
      </c>
      <c r="BH439" s="1404">
        <f>SUM(BH437:BH438)</f>
        <v/>
      </c>
      <c r="BI439" s="1405">
        <f>SUM(BI437:BI438)</f>
        <v/>
      </c>
      <c r="BJ439" s="1403">
        <f>SUM(BJ437:BJ438)</f>
        <v/>
      </c>
      <c r="BK439" s="1403">
        <f>SUM(BK437:BK438)</f>
        <v/>
      </c>
      <c r="BL439" s="1403">
        <f>SUM(BL437:BL438)</f>
        <v/>
      </c>
      <c r="BM439" s="1404">
        <f>SUM(BM437:BM438)</f>
        <v/>
      </c>
      <c r="BN439" s="1405">
        <f>SUM(BN437:BN438)</f>
        <v/>
      </c>
      <c r="BO439" s="1403">
        <f>SUM(BO437:BO438)</f>
        <v/>
      </c>
      <c r="BP439" s="1403">
        <f>SUM(BP437:BP438)</f>
        <v/>
      </c>
      <c r="BQ439" s="1406">
        <f>SUM(BQ437:BQ438)</f>
        <v/>
      </c>
      <c r="BR439" s="1404" t="n"/>
      <c r="BS439" s="1405" t="n"/>
      <c r="BT439" s="1404" t="n"/>
      <c r="BU439" s="1404" t="n"/>
      <c r="BV439" s="1404" t="n"/>
      <c r="BW439" s="1404" t="n"/>
      <c r="BX439" s="1405" t="n"/>
      <c r="BY439" s="1405" t="n"/>
      <c r="BZ439" s="1405" t="n"/>
      <c r="CA439" s="1405" t="n"/>
      <c r="CB439" s="1375" t="n"/>
    </row>
    <row r="440" hidden="1" outlineLevel="1" ht="14.4" customFormat="1" customHeight="1" s="1372">
      <c r="A440" s="1447" t="n"/>
      <c r="B440" s="1517" t="n"/>
      <c r="C440" s="1449" t="n"/>
      <c r="D440" s="1449" t="n"/>
      <c r="E440" s="1449" t="n"/>
      <c r="F440" s="1449" t="n"/>
      <c r="G440" s="1450" t="n"/>
      <c r="H440" s="1450" t="n"/>
      <c r="I440" s="1450" t="n"/>
      <c r="J440" s="1450" t="n"/>
      <c r="K440" s="1449" t="n"/>
      <c r="L440" s="1450" t="n"/>
      <c r="M440" s="1450" t="n"/>
      <c r="N440" s="1450" t="n"/>
      <c r="O440" s="1450" t="n"/>
      <c r="P440" s="1449" t="n"/>
      <c r="Q440" s="1450" t="n"/>
      <c r="R440" s="1450" t="n"/>
      <c r="S440" s="1450" t="n"/>
      <c r="T440" s="1450" t="n"/>
      <c r="U440" s="1449" t="n"/>
      <c r="V440" s="1450" t="n"/>
      <c r="W440" s="1450" t="n"/>
      <c r="X440" s="1450" t="n"/>
      <c r="Y440" s="1450" t="n"/>
      <c r="Z440" s="1449" t="n"/>
      <c r="AA440" s="1450" t="n"/>
      <c r="AB440" s="1450" t="n"/>
      <c r="AC440" s="1450" t="n"/>
      <c r="AD440" s="1450" t="n"/>
      <c r="AE440" s="1449" t="n"/>
      <c r="AF440" s="1450" t="n"/>
      <c r="AG440" s="1450" t="n"/>
      <c r="AH440" s="1450" t="n"/>
      <c r="AI440" s="1450" t="n"/>
      <c r="AJ440" s="1449" t="n"/>
      <c r="AK440" s="1450" t="n"/>
      <c r="AL440" s="1450" t="n"/>
      <c r="AM440" s="1450" t="n"/>
      <c r="AN440" s="1450" t="n"/>
      <c r="AO440" s="1449" t="n"/>
      <c r="AP440" s="1450" t="n"/>
      <c r="AQ440" s="1450" t="n"/>
      <c r="AR440" s="1450" t="n"/>
      <c r="AS440" s="1450" t="n"/>
      <c r="AT440" s="1449" t="n"/>
      <c r="AU440" s="1450" t="n"/>
      <c r="AV440" s="1450" t="n"/>
      <c r="AW440" s="1450" t="n"/>
      <c r="AX440" s="1450" t="n"/>
      <c r="AY440" s="1449" t="n"/>
      <c r="AZ440" s="1450" t="n"/>
      <c r="BA440" s="1450" t="n"/>
      <c r="BB440" s="1450" t="n"/>
      <c r="BC440" s="1450" t="n"/>
      <c r="BD440" s="1449" t="n"/>
      <c r="BE440" s="1450" t="n"/>
      <c r="BF440" s="1450" t="n"/>
      <c r="BG440" s="1450" t="n"/>
      <c r="BH440" s="1450" t="n"/>
      <c r="BI440" s="1449" t="n"/>
      <c r="BJ440" s="1450" t="n"/>
      <c r="BK440" s="1450" t="n"/>
      <c r="BL440" s="1450" t="n"/>
      <c r="BM440" s="1450" t="n"/>
      <c r="BN440" s="1449" t="n"/>
      <c r="BO440" s="1450" t="n"/>
      <c r="BP440" s="1450" t="n"/>
      <c r="BQ440" s="1451" t="n"/>
      <c r="BR440" s="1450" t="n"/>
      <c r="BS440" s="1449" t="n"/>
      <c r="BT440" s="1450" t="n"/>
      <c r="BU440" s="1450" t="n"/>
      <c r="BV440" s="1450" t="n"/>
      <c r="BW440" s="1450" t="n"/>
      <c r="BX440" s="1449" t="n"/>
      <c r="BY440" s="1449" t="n"/>
      <c r="BZ440" s="1449" t="n"/>
      <c r="CA440" s="1449" t="n"/>
      <c r="CB440" s="1375" t="n"/>
    </row>
    <row r="441" hidden="1" outlineLevel="1" ht="14.4" customFormat="1" customHeight="1" s="1372">
      <c r="A441" s="1452" t="inlineStr">
        <is>
          <t>GAAP income from operations</t>
        </is>
      </c>
      <c r="B441" s="1517" t="n"/>
      <c r="C441" s="1458">
        <f>C355</f>
        <v/>
      </c>
      <c r="D441" s="1458">
        <f>D355</f>
        <v/>
      </c>
      <c r="E441" s="1458">
        <f>E355</f>
        <v/>
      </c>
      <c r="F441" s="1458">
        <f>F355</f>
        <v/>
      </c>
      <c r="G441" s="1375">
        <f>G355</f>
        <v/>
      </c>
      <c r="H441" s="1375">
        <f>H355</f>
        <v/>
      </c>
      <c r="I441" s="1375">
        <f>I355</f>
        <v/>
      </c>
      <c r="J441" s="1375">
        <f>J355</f>
        <v/>
      </c>
      <c r="K441" s="1458">
        <f>K355</f>
        <v/>
      </c>
      <c r="L441" s="1375">
        <f>L355</f>
        <v/>
      </c>
      <c r="M441" s="1375">
        <f>M355</f>
        <v/>
      </c>
      <c r="N441" s="1375">
        <f>N355</f>
        <v/>
      </c>
      <c r="O441" s="1375">
        <f>O355</f>
        <v/>
      </c>
      <c r="P441" s="1458">
        <f>P355</f>
        <v/>
      </c>
      <c r="Q441" s="1375">
        <f>Q355</f>
        <v/>
      </c>
      <c r="R441" s="1375">
        <f>R355</f>
        <v/>
      </c>
      <c r="S441" s="1375">
        <f>S355</f>
        <v/>
      </c>
      <c r="T441" s="1375">
        <f>T355</f>
        <v/>
      </c>
      <c r="U441" s="1458">
        <f>U355</f>
        <v/>
      </c>
      <c r="V441" s="1375">
        <f>V355</f>
        <v/>
      </c>
      <c r="W441" s="1375">
        <f>W355</f>
        <v/>
      </c>
      <c r="X441" s="1375">
        <f>X355</f>
        <v/>
      </c>
      <c r="Y441" s="1450">
        <f>Y355</f>
        <v/>
      </c>
      <c r="Z441" s="1449">
        <f>Z355</f>
        <v/>
      </c>
      <c r="AA441" s="1375">
        <f>AA355</f>
        <v/>
      </c>
      <c r="AB441" s="1375">
        <f>AB355</f>
        <v/>
      </c>
      <c r="AC441" s="1375">
        <f>AC355</f>
        <v/>
      </c>
      <c r="AD441" s="1450">
        <f>AD355</f>
        <v/>
      </c>
      <c r="AE441" s="1449">
        <f>AE355</f>
        <v/>
      </c>
      <c r="AF441" s="1375">
        <f>AF355</f>
        <v/>
      </c>
      <c r="AG441" s="1375">
        <f>AG355</f>
        <v/>
      </c>
      <c r="AH441" s="1375">
        <f>AH355</f>
        <v/>
      </c>
      <c r="AI441" s="1450">
        <f>AI355</f>
        <v/>
      </c>
      <c r="AJ441" s="1449">
        <f>AJ355</f>
        <v/>
      </c>
      <c r="AK441" s="1375">
        <f>AK355</f>
        <v/>
      </c>
      <c r="AL441" s="1375">
        <f>AL355</f>
        <v/>
      </c>
      <c r="AM441" s="1375">
        <f>AM355</f>
        <v/>
      </c>
      <c r="AN441" s="1450">
        <f>AN355</f>
        <v/>
      </c>
      <c r="AO441" s="1449">
        <f>AO355</f>
        <v/>
      </c>
      <c r="AP441" s="1375">
        <f>AP355</f>
        <v/>
      </c>
      <c r="AQ441" s="1375">
        <f>AQ355</f>
        <v/>
      </c>
      <c r="AR441" s="1375">
        <f>AR355</f>
        <v/>
      </c>
      <c r="AS441" s="1450">
        <f>AS355</f>
        <v/>
      </c>
      <c r="AT441" s="1449">
        <f>AT355</f>
        <v/>
      </c>
      <c r="AU441" s="1375">
        <f>AU355</f>
        <v/>
      </c>
      <c r="AV441" s="1375">
        <f>AV355</f>
        <v/>
      </c>
      <c r="AW441" s="1375">
        <f>AW355</f>
        <v/>
      </c>
      <c r="AX441" s="1450">
        <f>AX355</f>
        <v/>
      </c>
      <c r="AY441" s="1449">
        <f>AY355</f>
        <v/>
      </c>
      <c r="AZ441" s="1375">
        <f>AZ355</f>
        <v/>
      </c>
      <c r="BA441" s="1375">
        <f>BA355</f>
        <v/>
      </c>
      <c r="BB441" s="1375">
        <f>BB355</f>
        <v/>
      </c>
      <c r="BC441" s="1450">
        <f>BC355</f>
        <v/>
      </c>
      <c r="BD441" s="1449">
        <f>BD355</f>
        <v/>
      </c>
      <c r="BE441" s="1375">
        <f>BE355</f>
        <v/>
      </c>
      <c r="BF441" s="1375">
        <f>BF355</f>
        <v/>
      </c>
      <c r="BG441" s="1375">
        <f>BG355</f>
        <v/>
      </c>
      <c r="BH441" s="1450">
        <f>BH355</f>
        <v/>
      </c>
      <c r="BI441" s="1449">
        <f>BI355</f>
        <v/>
      </c>
      <c r="BJ441" s="1375">
        <f>BJ355</f>
        <v/>
      </c>
      <c r="BK441" s="1375">
        <f>BK355</f>
        <v/>
      </c>
      <c r="BL441" s="1375">
        <f>BL355</f>
        <v/>
      </c>
      <c r="BM441" s="1450">
        <f>BM355</f>
        <v/>
      </c>
      <c r="BN441" s="1449">
        <f>BN355</f>
        <v/>
      </c>
      <c r="BO441" s="1375">
        <f>BO355</f>
        <v/>
      </c>
      <c r="BP441" s="1375">
        <f>BP355</f>
        <v/>
      </c>
      <c r="BQ441" s="1459">
        <f>BQ355</f>
        <v/>
      </c>
      <c r="BR441" s="1450" t="n"/>
      <c r="BS441" s="1449" t="n"/>
      <c r="BT441" s="1450" t="n"/>
      <c r="BU441" s="1450" t="n"/>
      <c r="BV441" s="1450" t="n"/>
      <c r="BW441" s="1450" t="n"/>
      <c r="BX441" s="1449" t="n"/>
      <c r="BY441" s="1449" t="n"/>
      <c r="BZ441" s="1449" t="n"/>
      <c r="CA441" s="1449" t="n"/>
      <c r="CB441" s="1375" t="n"/>
    </row>
    <row r="442" hidden="1" outlineLevel="1" ht="14.4" customFormat="1" customHeight="1" s="1359">
      <c r="A442" s="1478" t="inlineStr">
        <is>
          <t>Adjustments</t>
        </is>
      </c>
      <c r="B442" s="1514" t="n"/>
      <c r="C442" s="1455" t="n"/>
      <c r="D442" s="1480" t="n">
        <v>-95.11199999999999</v>
      </c>
      <c r="E442" s="1480" t="n">
        <v>-80.85900000000001</v>
      </c>
      <c r="F442" s="1480" t="n">
        <v>-90.069</v>
      </c>
      <c r="G442" s="1479" t="n">
        <v>-26.347</v>
      </c>
      <c r="H442" s="1479" t="n">
        <v>-40.64599999999999</v>
      </c>
      <c r="I442" s="1479" t="n">
        <v>-40.651</v>
      </c>
      <c r="J442" s="1479" t="n">
        <v>-57</v>
      </c>
      <c r="K442" s="1480" t="n">
        <v>-164.644</v>
      </c>
      <c r="L442" s="1479" t="n">
        <v>-41.227</v>
      </c>
      <c r="M442" s="1479" t="n">
        <v>-53.434</v>
      </c>
      <c r="N442" s="1479" t="n">
        <v>-55.081</v>
      </c>
      <c r="O442" s="1479" t="n">
        <v>-44.077</v>
      </c>
      <c r="P442" s="1480" t="n">
        <v>-193.819</v>
      </c>
      <c r="Q442" s="1479" t="n">
        <v>-46.901</v>
      </c>
      <c r="R442" s="1479" t="n">
        <v>-39.14700000000001</v>
      </c>
      <c r="S442" s="1479" t="n">
        <v>-39.654</v>
      </c>
      <c r="T442" s="1479" t="n">
        <v>-43.92000000000001</v>
      </c>
      <c r="U442" s="1480" t="n">
        <v>-169.622</v>
      </c>
      <c r="V442" s="1479" t="n">
        <v>-56.38200000000001</v>
      </c>
      <c r="W442" s="1479" t="n">
        <v>-47.91399999999999</v>
      </c>
      <c r="X442" s="1479" t="n">
        <v>-47.343</v>
      </c>
      <c r="Y442" s="1479" t="n">
        <v>-72.024</v>
      </c>
      <c r="Z442" s="1480" t="n">
        <v>-223.663</v>
      </c>
      <c r="AA442" s="1479" t="n">
        <v>-42.70800000000001</v>
      </c>
      <c r="AB442" s="1479" t="n">
        <v>-45.664</v>
      </c>
      <c r="AC442" s="1479" t="n">
        <v>-53.22600000000001</v>
      </c>
      <c r="AD442" s="1479" t="n">
        <v>-68.941</v>
      </c>
      <c r="AE442" s="1480" t="n">
        <v>-210.539</v>
      </c>
      <c r="AF442" s="1479" t="n">
        <v>-57.727</v>
      </c>
      <c r="AG442" s="1479" t="n">
        <v>-61.251</v>
      </c>
      <c r="AH442" s="1479" t="n">
        <v>-66.857</v>
      </c>
      <c r="AI442" s="1479" t="n">
        <v>-64.68899999999999</v>
      </c>
      <c r="AJ442" s="1480" t="n">
        <v>-250.524</v>
      </c>
      <c r="AK442" s="1479" t="n">
        <v>-58.18</v>
      </c>
      <c r="AL442" s="1479" t="n">
        <v>-61.153</v>
      </c>
      <c r="AM442" s="1479" t="n">
        <v>-62.782</v>
      </c>
      <c r="AN442" s="1479" t="n">
        <v>-75.51600000000001</v>
      </c>
      <c r="AO442" s="1480" t="n">
        <v>-257.631</v>
      </c>
      <c r="AP442" s="1479" t="n">
        <v>-59.779</v>
      </c>
      <c r="AQ442" s="1456">
        <f>SUM(AQ438,AQ434,AQ425:AQ430,AQ418:AQ421,AQ410:AQ414,AQ402:AQ406,AQ393:AQ398)</f>
        <v/>
      </c>
      <c r="AR442" s="1456">
        <f>SUM(AR438,AR434,AR425:AR430,AR418:AR421,AR410:AR414,AR402:AR406,AR393:AR398)</f>
        <v/>
      </c>
      <c r="AS442" s="1456">
        <f>SUM(AS438,AS434,AS425:AS430,AS418:AS421,AS410:AS414,AS402:AS406,AS393:AS398)</f>
        <v/>
      </c>
      <c r="AT442" s="1455">
        <f>SUM(AT438,AT434,AT425:AT430,AT418:AT421,AT410:AT414,AT402:AT406,AT393:AT398)</f>
        <v/>
      </c>
      <c r="AU442" s="1456">
        <f>SUM(AU438,AU434,AU425:AU430,AU418:AU421,AU410:AU414,AU402:AU406,AU393:AU398)</f>
        <v/>
      </c>
      <c r="AV442" s="1456">
        <f>SUM(AV438,AV434,AV425:AV430,AV418:AV421,AV410:AV414,AV402:AV406,AV393:AV398)</f>
        <v/>
      </c>
      <c r="AW442" s="1456">
        <f>SUM(AW438,AW434,AW425:AW430,AW418:AW421,AW410:AW414,AW402:AW406,AW393:AW398)</f>
        <v/>
      </c>
      <c r="AX442" s="1456">
        <f>SUM(AX438,AX434,AX425:AX430,AX418:AX421,AX410:AX414,AX402:AX406,AX393:AX398)</f>
        <v/>
      </c>
      <c r="AY442" s="1455">
        <f>SUM(AY438,AY434,AY425:AY430,AY418:AY421,AY410:AY414,AY402:AY406,AY393:AY398)</f>
        <v/>
      </c>
      <c r="AZ442" s="1456">
        <f>SUM(AZ438,AZ434,AZ425:AZ430,AZ418:AZ421,AZ410:AZ414,AZ402:AZ406,AZ393:AZ398)</f>
        <v/>
      </c>
      <c r="BA442" s="1456">
        <f>SUM(BA438,BA434,BA425:BA430,BA418:BA421,BA410:BA414,BA402:BA406,BA393:BA398)</f>
        <v/>
      </c>
      <c r="BB442" s="1456">
        <f>SUM(BB438,BB434,BB425:BB430,BB418:BB421,BB410:BB414,BB402:BB406,BB393:BB398)</f>
        <v/>
      </c>
      <c r="BC442" s="1456">
        <f>SUM(BC438,BC434,BC425:BC430,BC418:BC421,BC410:BC414,BC402:BC406,BC393:BC398)</f>
        <v/>
      </c>
      <c r="BD442" s="1455">
        <f>SUM(BD438,BD434,BD425:BD430,BD418:BD421,BD410:BD414,BD402:BD406,BD393:BD398)</f>
        <v/>
      </c>
      <c r="BE442" s="1456">
        <f>SUM(BE438,BE434,BE425:BE430,BE418:BE421,BE410:BE414,BE402:BE406,BE393:BE398)</f>
        <v/>
      </c>
      <c r="BF442" s="1456">
        <f>SUM(BF438,BF434,BF425:BF430,BF418:BF421,BF410:BF414,BF402:BF406,BF393:BF398)</f>
        <v/>
      </c>
      <c r="BG442" s="1456">
        <f>SUM(BG438,BG434,BG425:BG430,BG418:BG421,BG410:BG414,BG402:BG406,BG393:BG398)</f>
        <v/>
      </c>
      <c r="BH442" s="1456">
        <f>SUM(BH438,BH434,BH425:BH430,BH418:BH421,BH410:BH414,BH402:BH406,BH393:BH398)</f>
        <v/>
      </c>
      <c r="BI442" s="1455">
        <f>SUM(BI438,BI434,BI425:BI430,BI418:BI421,BI410:BI414,BI402:BI406,BI393:BI398)</f>
        <v/>
      </c>
      <c r="BJ442" s="1456">
        <f>SUM(BJ438,BJ434,BJ425:BJ430,BJ418:BJ421,BJ410:BJ414,BJ402:BJ406,BJ393:BJ398)-BJ378</f>
        <v/>
      </c>
      <c r="BK442" s="1456">
        <f>SUM(BK438,BK434,BK425:BK430,BK418:BK421,BK410:BK414,BK402:BK406,BK393:BK398)-BK378</f>
        <v/>
      </c>
      <c r="BL442" s="1456">
        <f>SUM(BL438,BL434,BL425:BL430,BL418:BL421,BL410:BL414,BL402:BL406,BL393:BL398)-BL378</f>
        <v/>
      </c>
      <c r="BM442" s="1456">
        <f>SUM(BM438,BM434,BM425:BM430,BM418:BM421,BM410:BM414,BM402:BM406,BM393:BM398)-BM378</f>
        <v/>
      </c>
      <c r="BN442" s="1455">
        <f>SUM(BN438,BN434,BN425:BN430,BN418:BN421,BN410:BN414,BN402:BN406,BN393:BN398)-BN378</f>
        <v/>
      </c>
      <c r="BO442" s="1456">
        <f>SUM(BO438,BO434,BO425:BO430,BO418:BO421,BO410:BO414,BO402:BO406,BO393:BO398)-BO378</f>
        <v/>
      </c>
      <c r="BP442" s="1456">
        <f>SUM(BP438,BP434,BP425:BP430,BP418:BP421,BP410:BP414,BP402:BP406,BP393:BP398)-BP378</f>
        <v/>
      </c>
      <c r="BQ442" s="1457">
        <f>SUM(BQ438,BQ434,BQ425:BQ430,BQ418:BQ421,BQ410:BQ414,BQ402:BQ406,BQ393:BQ398)-BQ378</f>
        <v/>
      </c>
      <c r="BR442" s="1456" t="n"/>
      <c r="BS442" s="1455" t="n"/>
      <c r="BT442" s="1456" t="n"/>
      <c r="BU442" s="1456" t="n"/>
      <c r="BV442" s="1456" t="n"/>
      <c r="BW442" s="1456" t="n"/>
      <c r="BX442" s="1455" t="n"/>
      <c r="BY442" s="1455" t="n"/>
      <c r="BZ442" s="1455" t="n"/>
      <c r="CA442" s="1455" t="n"/>
      <c r="CB442" s="1364" t="n"/>
    </row>
    <row r="443" hidden="1" outlineLevel="1" ht="14.4" customFormat="1" customHeight="1" s="1372">
      <c r="A443" s="1400" t="inlineStr">
        <is>
          <t>Non-GAAP income from operations</t>
        </is>
      </c>
      <c r="B443" s="1516" t="n"/>
      <c r="C443" s="1405" t="n"/>
      <c r="D443" s="1402">
        <f>D441-D442</f>
        <v/>
      </c>
      <c r="E443" s="1402">
        <f>E441-E442</f>
        <v/>
      </c>
      <c r="F443" s="1402">
        <f>F441-F442</f>
        <v/>
      </c>
      <c r="G443" s="1403">
        <f>G441-G442</f>
        <v/>
      </c>
      <c r="H443" s="1403">
        <f>H441-H442</f>
        <v/>
      </c>
      <c r="I443" s="1403">
        <f>I441-I442</f>
        <v/>
      </c>
      <c r="J443" s="1403">
        <f>J441-J442</f>
        <v/>
      </c>
      <c r="K443" s="1402">
        <f>K441-K442</f>
        <v/>
      </c>
      <c r="L443" s="1403">
        <f>L441-L442</f>
        <v/>
      </c>
      <c r="M443" s="1403">
        <f>M441-M442</f>
        <v/>
      </c>
      <c r="N443" s="1403">
        <f>N441-N442</f>
        <v/>
      </c>
      <c r="O443" s="1403">
        <f>O441-O442</f>
        <v/>
      </c>
      <c r="P443" s="1402">
        <f>P441-P442</f>
        <v/>
      </c>
      <c r="Q443" s="1403">
        <f>Q441-Q442</f>
        <v/>
      </c>
      <c r="R443" s="1403">
        <f>R441-R442</f>
        <v/>
      </c>
      <c r="S443" s="1403">
        <f>S441-S442</f>
        <v/>
      </c>
      <c r="T443" s="1403">
        <f>T441-T442</f>
        <v/>
      </c>
      <c r="U443" s="1405">
        <f>U441-U442</f>
        <v/>
      </c>
      <c r="V443" s="1403">
        <f>V441-V442</f>
        <v/>
      </c>
      <c r="W443" s="1403">
        <f>W441-W442</f>
        <v/>
      </c>
      <c r="X443" s="1403">
        <f>X441-X442</f>
        <v/>
      </c>
      <c r="Y443" s="1404">
        <f>Y441-Y442</f>
        <v/>
      </c>
      <c r="Z443" s="1405">
        <f>Z441-Z442</f>
        <v/>
      </c>
      <c r="AA443" s="1403">
        <f>AA441-AA442</f>
        <v/>
      </c>
      <c r="AB443" s="1403">
        <f>AB441-AB442</f>
        <v/>
      </c>
      <c r="AC443" s="1403">
        <f>AC441-AC442</f>
        <v/>
      </c>
      <c r="AD443" s="1404">
        <f>AD441-AD442</f>
        <v/>
      </c>
      <c r="AE443" s="1405">
        <f>AE441-AE442</f>
        <v/>
      </c>
      <c r="AF443" s="1403">
        <f>AF441-AF442</f>
        <v/>
      </c>
      <c r="AG443" s="1403">
        <f>AG441-AG442</f>
        <v/>
      </c>
      <c r="AH443" s="1403">
        <f>AH441-AH442</f>
        <v/>
      </c>
      <c r="AI443" s="1404">
        <f>AI441-AI442</f>
        <v/>
      </c>
      <c r="AJ443" s="1405">
        <f>AJ441-AJ442</f>
        <v/>
      </c>
      <c r="AK443" s="1403">
        <f>AK441-AK442</f>
        <v/>
      </c>
      <c r="AL443" s="1403">
        <f>AL441-AL442</f>
        <v/>
      </c>
      <c r="AM443" s="1403">
        <f>AM441-AM442</f>
        <v/>
      </c>
      <c r="AN443" s="1404">
        <f>AN441-AN442</f>
        <v/>
      </c>
      <c r="AO443" s="1405">
        <f>AO441-AO442</f>
        <v/>
      </c>
      <c r="AP443" s="1403">
        <f>AP441-AP442</f>
        <v/>
      </c>
      <c r="AQ443" s="1403">
        <f>AQ441-AQ442</f>
        <v/>
      </c>
      <c r="AR443" s="1403">
        <f>AR441-AR442</f>
        <v/>
      </c>
      <c r="AS443" s="1404">
        <f>AS441-AS442</f>
        <v/>
      </c>
      <c r="AT443" s="1405">
        <f>AT441-AT442</f>
        <v/>
      </c>
      <c r="AU443" s="1403">
        <f>AU441-AU442</f>
        <v/>
      </c>
      <c r="AV443" s="1403">
        <f>AV441-AV442</f>
        <v/>
      </c>
      <c r="AW443" s="1403">
        <f>AW441-AW442</f>
        <v/>
      </c>
      <c r="AX443" s="1404">
        <f>AX441-AX442</f>
        <v/>
      </c>
      <c r="AY443" s="1405">
        <f>AY441-AY442</f>
        <v/>
      </c>
      <c r="AZ443" s="1403">
        <f>AZ441-AZ442</f>
        <v/>
      </c>
      <c r="BA443" s="1403">
        <f>BA441-BA442</f>
        <v/>
      </c>
      <c r="BB443" s="1403">
        <f>BB441-BB442</f>
        <v/>
      </c>
      <c r="BC443" s="1404">
        <f>BC441-BC442</f>
        <v/>
      </c>
      <c r="BD443" s="1405">
        <f>BD441-BD442</f>
        <v/>
      </c>
      <c r="BE443" s="1403">
        <f>BE441-BE442</f>
        <v/>
      </c>
      <c r="BF443" s="1403">
        <f>BF441-BF442</f>
        <v/>
      </c>
      <c r="BG443" s="1403">
        <f>BG441-BG442</f>
        <v/>
      </c>
      <c r="BH443" s="1404">
        <f>BH441-BH442</f>
        <v/>
      </c>
      <c r="BI443" s="1405">
        <f>BI441-BI442</f>
        <v/>
      </c>
      <c r="BJ443" s="1403">
        <f>BJ441-BJ442</f>
        <v/>
      </c>
      <c r="BK443" s="1403">
        <f>BK441-BK442</f>
        <v/>
      </c>
      <c r="BL443" s="1403">
        <f>BL441-BL442</f>
        <v/>
      </c>
      <c r="BM443" s="1404">
        <f>BM441-BM442</f>
        <v/>
      </c>
      <c r="BN443" s="1405">
        <f>BN441-BN442</f>
        <v/>
      </c>
      <c r="BO443" s="1403">
        <f>BO441-BO442</f>
        <v/>
      </c>
      <c r="BP443" s="1403">
        <f>BP441-BP442</f>
        <v/>
      </c>
      <c r="BQ443" s="1406">
        <f>BQ441-BQ442</f>
        <v/>
      </c>
      <c r="BR443" s="1404" t="n"/>
      <c r="BS443" s="1405" t="n"/>
      <c r="BT443" s="1404" t="n"/>
      <c r="BU443" s="1404" t="n"/>
      <c r="BV443" s="1404" t="n"/>
      <c r="BW443" s="1404" t="n"/>
      <c r="BX443" s="1405" t="n"/>
      <c r="BY443" s="1405" t="n"/>
      <c r="BZ443" s="1405" t="n"/>
      <c r="CA443" s="1405" t="n"/>
      <c r="CB443" s="1375" t="n"/>
    </row>
    <row r="444" hidden="1" outlineLevel="1" ht="14.4" customFormat="1" customHeight="1" s="1372">
      <c r="A444" s="1447" t="n"/>
      <c r="B444" s="1517" t="n"/>
      <c r="C444" s="1449" t="n"/>
      <c r="D444" s="1449" t="n"/>
      <c r="E444" s="1449" t="n"/>
      <c r="F444" s="1449" t="n"/>
      <c r="G444" s="1450" t="n"/>
      <c r="H444" s="1450" t="n"/>
      <c r="I444" s="1450" t="n"/>
      <c r="J444" s="1450" t="n"/>
      <c r="K444" s="1449" t="n"/>
      <c r="L444" s="1450" t="n"/>
      <c r="M444" s="1450" t="n"/>
      <c r="N444" s="1450" t="n"/>
      <c r="O444" s="1450" t="n"/>
      <c r="P444" s="1449" t="n"/>
      <c r="Q444" s="1450" t="n"/>
      <c r="R444" s="1450" t="n"/>
      <c r="S444" s="1450" t="n"/>
      <c r="T444" s="1450" t="n"/>
      <c r="U444" s="1449" t="n"/>
      <c r="V444" s="1450" t="n"/>
      <c r="W444" s="1450" t="n"/>
      <c r="X444" s="1450" t="n"/>
      <c r="Y444" s="1450" t="n"/>
      <c r="Z444" s="1449" t="n"/>
      <c r="AA444" s="1450" t="n"/>
      <c r="AB444" s="1450" t="n"/>
      <c r="AC444" s="1450" t="n"/>
      <c r="AD444" s="1450" t="n"/>
      <c r="AE444" s="1449" t="n"/>
      <c r="AF444" s="1450" t="n"/>
      <c r="AG444" s="1450" t="n"/>
      <c r="AH444" s="1450" t="n"/>
      <c r="AI444" s="1450" t="n"/>
      <c r="AJ444" s="1449" t="n"/>
      <c r="AK444" s="1450" t="n"/>
      <c r="AL444" s="1450" t="n"/>
      <c r="AM444" s="1450" t="n"/>
      <c r="AN444" s="1450" t="n"/>
      <c r="AO444" s="1449" t="n"/>
      <c r="AP444" s="1450" t="n"/>
      <c r="AQ444" s="1450" t="n"/>
      <c r="AR444" s="1450" t="n"/>
      <c r="AS444" s="1450" t="n"/>
      <c r="AT444" s="1449" t="n"/>
      <c r="AU444" s="1450" t="n"/>
      <c r="AV444" s="1450" t="n"/>
      <c r="AW444" s="1450" t="n"/>
      <c r="AX444" s="1450" t="n"/>
      <c r="AY444" s="1449" t="n"/>
      <c r="AZ444" s="1450" t="n"/>
      <c r="BA444" s="1450" t="n"/>
      <c r="BB444" s="1450" t="n"/>
      <c r="BC444" s="1450" t="n"/>
      <c r="BD444" s="1449" t="n"/>
      <c r="BE444" s="1450" t="n"/>
      <c r="BF444" s="1450" t="n"/>
      <c r="BG444" s="1450" t="n"/>
      <c r="BH444" s="1450" t="n"/>
      <c r="BI444" s="1449" t="n"/>
      <c r="BJ444" s="1450" t="n"/>
      <c r="BK444" s="1450" t="n"/>
      <c r="BL444" s="1450" t="n"/>
      <c r="BM444" s="1450" t="n"/>
      <c r="BN444" s="1449" t="n"/>
      <c r="BO444" s="1450" t="n"/>
      <c r="BP444" s="1450" t="n"/>
      <c r="BQ444" s="1451" t="n"/>
      <c r="BR444" s="1450" t="n"/>
      <c r="BS444" s="1449" t="n"/>
      <c r="BT444" s="1450" t="n"/>
      <c r="BU444" s="1450" t="n"/>
      <c r="BV444" s="1450" t="n"/>
      <c r="BW444" s="1450" t="n"/>
      <c r="BX444" s="1449" t="n"/>
      <c r="BY444" s="1449" t="n"/>
      <c r="BZ444" s="1449" t="n"/>
      <c r="CA444" s="1449" t="n"/>
      <c r="CB444" s="1375" t="n"/>
    </row>
    <row r="445" hidden="1" outlineLevel="1" ht="14.4" customFormat="1" customHeight="1" s="1372">
      <c r="A445" s="1452" t="inlineStr">
        <is>
          <t>GAAP other income, net</t>
        </is>
      </c>
      <c r="B445" s="1517" t="n"/>
      <c r="C445" s="1458">
        <f>C357</f>
        <v/>
      </c>
      <c r="D445" s="1458">
        <f>D357</f>
        <v/>
      </c>
      <c r="E445" s="1458">
        <f>E357</f>
        <v/>
      </c>
      <c r="F445" s="1458">
        <f>F357</f>
        <v/>
      </c>
      <c r="G445" s="1375">
        <f>G357</f>
        <v/>
      </c>
      <c r="H445" s="1375">
        <f>H357</f>
        <v/>
      </c>
      <c r="I445" s="1375">
        <f>I357</f>
        <v/>
      </c>
      <c r="J445" s="1375">
        <f>J357</f>
        <v/>
      </c>
      <c r="K445" s="1458">
        <f>K357</f>
        <v/>
      </c>
      <c r="L445" s="1375">
        <f>L357</f>
        <v/>
      </c>
      <c r="M445" s="1375">
        <f>M357</f>
        <v/>
      </c>
      <c r="N445" s="1375">
        <f>N357</f>
        <v/>
      </c>
      <c r="O445" s="1375">
        <f>O357</f>
        <v/>
      </c>
      <c r="P445" s="1458">
        <f>P357</f>
        <v/>
      </c>
      <c r="Q445" s="1375">
        <f>Q357</f>
        <v/>
      </c>
      <c r="R445" s="1375">
        <f>R357</f>
        <v/>
      </c>
      <c r="S445" s="1375">
        <f>S357</f>
        <v/>
      </c>
      <c r="T445" s="1375">
        <f>T357</f>
        <v/>
      </c>
      <c r="U445" s="1458">
        <f>U357</f>
        <v/>
      </c>
      <c r="V445" s="1375">
        <f>V357</f>
        <v/>
      </c>
      <c r="W445" s="1375">
        <f>W357</f>
        <v/>
      </c>
      <c r="X445" s="1375">
        <f>X357</f>
        <v/>
      </c>
      <c r="Y445" s="1450">
        <f>Y357</f>
        <v/>
      </c>
      <c r="Z445" s="1449">
        <f>Z357</f>
        <v/>
      </c>
      <c r="AA445" s="1375">
        <f>AA357</f>
        <v/>
      </c>
      <c r="AB445" s="1375">
        <f>AB357</f>
        <v/>
      </c>
      <c r="AC445" s="1375">
        <f>AC357</f>
        <v/>
      </c>
      <c r="AD445" s="1450">
        <f>AD357</f>
        <v/>
      </c>
      <c r="AE445" s="1449">
        <f>AE357</f>
        <v/>
      </c>
      <c r="AF445" s="1375">
        <f>AF357</f>
        <v/>
      </c>
      <c r="AG445" s="1375">
        <f>AG357</f>
        <v/>
      </c>
      <c r="AH445" s="1375">
        <f>AH357</f>
        <v/>
      </c>
      <c r="AI445" s="1450">
        <f>AI357</f>
        <v/>
      </c>
      <c r="AJ445" s="1449">
        <f>AJ357</f>
        <v/>
      </c>
      <c r="AK445" s="1375">
        <f>AK357</f>
        <v/>
      </c>
      <c r="AL445" s="1375">
        <f>AL357</f>
        <v/>
      </c>
      <c r="AM445" s="1375">
        <f>AM357</f>
        <v/>
      </c>
      <c r="AN445" s="1450">
        <f>AN357</f>
        <v/>
      </c>
      <c r="AO445" s="1449">
        <f>AO357</f>
        <v/>
      </c>
      <c r="AP445" s="1375">
        <f>AP357</f>
        <v/>
      </c>
      <c r="AQ445" s="1375">
        <f>AQ357</f>
        <v/>
      </c>
      <c r="AR445" s="1375">
        <f>AR357</f>
        <v/>
      </c>
      <c r="AS445" s="1450">
        <f>AS357</f>
        <v/>
      </c>
      <c r="AT445" s="1449">
        <f>AT357</f>
        <v/>
      </c>
      <c r="AU445" s="1375">
        <f>AU357</f>
        <v/>
      </c>
      <c r="AV445" s="1375">
        <f>AV357</f>
        <v/>
      </c>
      <c r="AW445" s="1375">
        <f>AW357</f>
        <v/>
      </c>
      <c r="AX445" s="1450">
        <f>AX357</f>
        <v/>
      </c>
      <c r="AY445" s="1449">
        <f>AY357</f>
        <v/>
      </c>
      <c r="AZ445" s="1375">
        <f>AZ357</f>
        <v/>
      </c>
      <c r="BA445" s="1375">
        <f>BA357</f>
        <v/>
      </c>
      <c r="BB445" s="1375">
        <f>BB357</f>
        <v/>
      </c>
      <c r="BC445" s="1450">
        <f>BC357</f>
        <v/>
      </c>
      <c r="BD445" s="1449">
        <f>BD357</f>
        <v/>
      </c>
      <c r="BE445" s="1375">
        <f>BE357</f>
        <v/>
      </c>
      <c r="BF445" s="1375">
        <f>BF357</f>
        <v/>
      </c>
      <c r="BG445" s="1375">
        <f>BG357</f>
        <v/>
      </c>
      <c r="BH445" s="1450">
        <f>BH357</f>
        <v/>
      </c>
      <c r="BI445" s="1449">
        <f>BI357</f>
        <v/>
      </c>
      <c r="BJ445" s="1375">
        <f>BJ357</f>
        <v/>
      </c>
      <c r="BK445" s="1375">
        <f>BK357</f>
        <v/>
      </c>
      <c r="BL445" s="1375">
        <f>BL357</f>
        <v/>
      </c>
      <c r="BM445" s="1450">
        <f>BM357</f>
        <v/>
      </c>
      <c r="BN445" s="1449">
        <f>BN357</f>
        <v/>
      </c>
      <c r="BO445" s="1375">
        <f>BO357</f>
        <v/>
      </c>
      <c r="BP445" s="1375">
        <f>BP357</f>
        <v/>
      </c>
      <c r="BQ445" s="1459">
        <f>BQ357</f>
        <v/>
      </c>
      <c r="BR445" s="1450" t="n"/>
      <c r="BS445" s="1449" t="n"/>
      <c r="BT445" s="1450" t="n"/>
      <c r="BU445" s="1450" t="n"/>
      <c r="BV445" s="1450" t="n"/>
      <c r="BW445" s="1450" t="n"/>
      <c r="BX445" s="1449" t="n"/>
      <c r="BY445" s="1449" t="n"/>
      <c r="BZ445" s="1449" t="n"/>
      <c r="CA445" s="1449" t="n"/>
      <c r="CB445" s="1375" t="n"/>
    </row>
    <row r="446" hidden="1" outlineLevel="1" ht="14.4" customFormat="1" customHeight="1" s="1359">
      <c r="A446" s="1453" t="inlineStr">
        <is>
          <t>Adjustments</t>
        </is>
      </c>
      <c r="B446" s="1514" t="n"/>
      <c r="C446" s="1455">
        <f>C375</f>
        <v/>
      </c>
      <c r="D446" s="1455">
        <f>D375</f>
        <v/>
      </c>
      <c r="E446" s="1455">
        <f>E375</f>
        <v/>
      </c>
      <c r="F446" s="1455">
        <f>F375</f>
        <v/>
      </c>
      <c r="G446" s="1479" t="n">
        <v>-0.99</v>
      </c>
      <c r="H446" s="1479" t="n">
        <v>-1.193</v>
      </c>
      <c r="I446" s="1479" t="n">
        <v>-1.544</v>
      </c>
      <c r="J446" s="1479" t="n">
        <v>-1.553</v>
      </c>
      <c r="K446" s="1480" t="n">
        <v>-5.28</v>
      </c>
      <c r="L446" s="1479" t="n">
        <v>-3.609</v>
      </c>
      <c r="M446" s="1479" t="n">
        <v>-1.48</v>
      </c>
      <c r="N446" s="1479" t="n">
        <v>1.944</v>
      </c>
      <c r="O446" s="1479" t="n">
        <v>-1.484</v>
      </c>
      <c r="P446" s="1480" t="n">
        <v>-4.629</v>
      </c>
      <c r="Q446" s="1479" t="n">
        <v>-1.263</v>
      </c>
      <c r="R446" s="1479" t="n">
        <v>-0.311</v>
      </c>
      <c r="S446" s="1479" t="n">
        <v>0.174</v>
      </c>
      <c r="T446" s="1479" t="n">
        <v>-0.579</v>
      </c>
      <c r="U446" s="1480" t="n">
        <v>-1.979</v>
      </c>
      <c r="V446" s="1479" t="n">
        <v>-2.617</v>
      </c>
      <c r="W446" s="1479" t="n">
        <v>-0.594</v>
      </c>
      <c r="X446" s="1479" t="n">
        <v>-0.806</v>
      </c>
      <c r="Y446" s="1479" t="n">
        <v>-0.655</v>
      </c>
      <c r="Z446" s="1480" t="n">
        <v>-4.672</v>
      </c>
      <c r="AA446" s="1479" t="n">
        <v>-1.228</v>
      </c>
      <c r="AB446" s="1479" t="n">
        <v>-0.855</v>
      </c>
      <c r="AC446" s="1479" t="n">
        <v>-12.242</v>
      </c>
      <c r="AD446" s="1479" t="n">
        <v>-1.368</v>
      </c>
      <c r="AE446" s="1480" t="n">
        <v>-15.693</v>
      </c>
      <c r="AF446" s="1479" t="n">
        <v>-1.123</v>
      </c>
      <c r="AG446" s="1479" t="n">
        <v>-1.013</v>
      </c>
      <c r="AH446" s="1479" t="n">
        <v>-0.498</v>
      </c>
      <c r="AI446" s="1479" t="n">
        <v>1.356</v>
      </c>
      <c r="AJ446" s="1480" t="n">
        <v>-1.278</v>
      </c>
      <c r="AK446" s="1479" t="n">
        <v>-5.187</v>
      </c>
      <c r="AL446" s="1479" t="n">
        <v>2.042</v>
      </c>
      <c r="AM446" s="1479" t="n">
        <v>2.344</v>
      </c>
      <c r="AN446" s="1479" t="n">
        <v>-0.513</v>
      </c>
      <c r="AO446" s="1480" t="n">
        <v>-1.314</v>
      </c>
      <c r="AP446" s="1479" t="n">
        <v>8.010999999999999</v>
      </c>
      <c r="AQ446" s="1479" t="n">
        <v>-2.797</v>
      </c>
      <c r="AR446" s="1479" t="n">
        <v>-0.876</v>
      </c>
      <c r="AS446" s="1479" t="n">
        <v>-4.86</v>
      </c>
      <c r="AT446" s="1518">
        <f>SUM(AP446,AQ446,AR446,AS446)</f>
        <v/>
      </c>
      <c r="AU446" s="1479" t="n">
        <v>-3.332</v>
      </c>
      <c r="AV446" s="1479" t="n">
        <v>-1.774</v>
      </c>
      <c r="AW446" s="1479" t="n">
        <v>0.8149999999999999</v>
      </c>
      <c r="AX446" s="1479" t="n">
        <v>-2.454</v>
      </c>
      <c r="AY446" s="1518">
        <f>SUM(AU446,AV446,AW446,AX446)</f>
        <v/>
      </c>
      <c r="AZ446" s="1479" t="n">
        <v>4.606</v>
      </c>
      <c r="BA446" s="1479" t="n">
        <v>7.61</v>
      </c>
      <c r="BB446" s="1479" t="n">
        <v>4.539</v>
      </c>
      <c r="BC446" s="1479" t="n">
        <v>-2.584</v>
      </c>
      <c r="BD446" s="1518">
        <f>SUM(AZ446,BA446,BB446,BC446)</f>
        <v/>
      </c>
      <c r="BE446" s="1479" t="n">
        <v>-3.273</v>
      </c>
      <c r="BF446" s="1479" t="n">
        <v>-2.508</v>
      </c>
      <c r="BG446" s="1479" t="n">
        <v>-11.755</v>
      </c>
      <c r="BH446" s="1479" t="n">
        <v>-27.966</v>
      </c>
      <c r="BI446" s="1518">
        <f>SUM(BE446,BF446,BG446,BH446)</f>
        <v/>
      </c>
      <c r="BJ446" s="1479" t="n">
        <v>-59.986</v>
      </c>
      <c r="BK446" s="1479" t="n">
        <v>-27.048</v>
      </c>
      <c r="BL446" s="1479" t="n">
        <v>11.582</v>
      </c>
      <c r="BM446" s="1479" t="n">
        <v>14.654</v>
      </c>
      <c r="BN446" s="1518">
        <f>SUM(BJ446,BK446,BL446,BM446)</f>
        <v/>
      </c>
      <c r="BO446" s="1479" t="n">
        <v>3.332</v>
      </c>
      <c r="BP446" s="1479" t="n">
        <v>-46.248</v>
      </c>
      <c r="BQ446" s="1515" t="n">
        <v>8.741</v>
      </c>
      <c r="BR446" s="1456" t="n"/>
      <c r="BS446" s="1455" t="n"/>
      <c r="BT446" s="1456" t="n"/>
      <c r="BU446" s="1456" t="n"/>
      <c r="BV446" s="1456" t="n"/>
      <c r="BW446" s="1456" t="n"/>
      <c r="BX446" s="1455" t="n"/>
      <c r="BY446" s="1455" t="n"/>
      <c r="BZ446" s="1455" t="n"/>
      <c r="CA446" s="1455" t="n"/>
      <c r="CB446" s="1364" t="n"/>
    </row>
    <row r="447" hidden="1" outlineLevel="1" ht="14.4" customFormat="1" customHeight="1" s="1372">
      <c r="A447" s="1400" t="inlineStr">
        <is>
          <t>Non-GAAP other income, net</t>
        </is>
      </c>
      <c r="B447" s="1516" t="n"/>
      <c r="C447" s="1402">
        <f>SUM(C445:C446)</f>
        <v/>
      </c>
      <c r="D447" s="1402">
        <f>SUM(D445:D446)</f>
        <v/>
      </c>
      <c r="E447" s="1402">
        <f>SUM(E445:E446)</f>
        <v/>
      </c>
      <c r="F447" s="1402">
        <f>SUM(F445:F446)</f>
        <v/>
      </c>
      <c r="G447" s="1403">
        <f>SUM(G445:G446)</f>
        <v/>
      </c>
      <c r="H447" s="1403">
        <f>SUM(H445:H446)</f>
        <v/>
      </c>
      <c r="I447" s="1403">
        <f>SUM(I445:I446)</f>
        <v/>
      </c>
      <c r="J447" s="1403">
        <f>SUM(J445:J446)</f>
        <v/>
      </c>
      <c r="K447" s="1402">
        <f>SUM(K445:K446)</f>
        <v/>
      </c>
      <c r="L447" s="1403">
        <f>SUM(L445:L446)</f>
        <v/>
      </c>
      <c r="M447" s="1403">
        <f>SUM(M445:M446)</f>
        <v/>
      </c>
      <c r="N447" s="1403">
        <f>SUM(N445:N446)</f>
        <v/>
      </c>
      <c r="O447" s="1403">
        <f>SUM(O445:O446)</f>
        <v/>
      </c>
      <c r="P447" s="1402">
        <f>SUM(P445:P446)</f>
        <v/>
      </c>
      <c r="Q447" s="1403">
        <f>SUM(Q445:Q446)</f>
        <v/>
      </c>
      <c r="R447" s="1403">
        <f>SUM(R445:R446)</f>
        <v/>
      </c>
      <c r="S447" s="1403">
        <f>SUM(S445:S446)</f>
        <v/>
      </c>
      <c r="T447" s="1403">
        <f>SUM(T445:T446)</f>
        <v/>
      </c>
      <c r="U447" s="1402">
        <f>SUM(U445:U446)</f>
        <v/>
      </c>
      <c r="V447" s="1403">
        <f>SUM(V445:V446)</f>
        <v/>
      </c>
      <c r="W447" s="1403">
        <f>SUM(W445:W446)</f>
        <v/>
      </c>
      <c r="X447" s="1403">
        <f>SUM(X445:X446)</f>
        <v/>
      </c>
      <c r="Y447" s="1404">
        <f>SUM(Y445:Y446)</f>
        <v/>
      </c>
      <c r="Z447" s="1405">
        <f>SUM(Z445:Z446)</f>
        <v/>
      </c>
      <c r="AA447" s="1403">
        <f>SUM(AA445:AA446)</f>
        <v/>
      </c>
      <c r="AB447" s="1403">
        <f>SUM(AB445:AB446)</f>
        <v/>
      </c>
      <c r="AC447" s="1403">
        <f>SUM(AC445:AC446)</f>
        <v/>
      </c>
      <c r="AD447" s="1404">
        <f>SUM(AD445:AD446)</f>
        <v/>
      </c>
      <c r="AE447" s="1405">
        <f>SUM(AE445:AE446)</f>
        <v/>
      </c>
      <c r="AF447" s="1403">
        <f>SUM(AF445:AF446)</f>
        <v/>
      </c>
      <c r="AG447" s="1403">
        <f>SUM(AG445:AG446)</f>
        <v/>
      </c>
      <c r="AH447" s="1403">
        <f>SUM(AH445:AH446)</f>
        <v/>
      </c>
      <c r="AI447" s="1404">
        <f>SUM(AI445:AI446)</f>
        <v/>
      </c>
      <c r="AJ447" s="1405">
        <f>SUM(AJ445:AJ446)</f>
        <v/>
      </c>
      <c r="AK447" s="1403">
        <f>SUM(AK445:AK446)</f>
        <v/>
      </c>
      <c r="AL447" s="1403">
        <f>SUM(AL445:AL446)</f>
        <v/>
      </c>
      <c r="AM447" s="1403">
        <f>SUM(AM445:AM446)</f>
        <v/>
      </c>
      <c r="AN447" s="1404">
        <f>SUM(AN445:AN446)</f>
        <v/>
      </c>
      <c r="AO447" s="1405">
        <f>SUM(AO445:AO446)</f>
        <v/>
      </c>
      <c r="AP447" s="1403">
        <f>SUM(AP445:AP446)</f>
        <v/>
      </c>
      <c r="AQ447" s="1403">
        <f>SUM(AQ445:AQ446)</f>
        <v/>
      </c>
      <c r="AR447" s="1403">
        <f>SUM(AR445:AR446)</f>
        <v/>
      </c>
      <c r="AS447" s="1404">
        <f>SUM(AS445:AS446)</f>
        <v/>
      </c>
      <c r="AT447" s="1405">
        <f>SUM(AT445:AT446)</f>
        <v/>
      </c>
      <c r="AU447" s="1403">
        <f>SUM(AU445:AU446)</f>
        <v/>
      </c>
      <c r="AV447" s="1403">
        <f>SUM(AV445:AV446)</f>
        <v/>
      </c>
      <c r="AW447" s="1403">
        <f>SUM(AW445:AW446)</f>
        <v/>
      </c>
      <c r="AX447" s="1404">
        <f>SUM(AX445:AX446)</f>
        <v/>
      </c>
      <c r="AY447" s="1405">
        <f>SUM(AY445:AY446)</f>
        <v/>
      </c>
      <c r="AZ447" s="1403">
        <f>SUM(AZ445:AZ446)</f>
        <v/>
      </c>
      <c r="BA447" s="1403">
        <f>SUM(BA445:BA446)</f>
        <v/>
      </c>
      <c r="BB447" s="1403">
        <f>SUM(BB445:BB446)</f>
        <v/>
      </c>
      <c r="BC447" s="1404">
        <f>SUM(BC445:BC446)</f>
        <v/>
      </c>
      <c r="BD447" s="1405">
        <f>SUM(BD445:BD446)</f>
        <v/>
      </c>
      <c r="BE447" s="1403">
        <f>SUM(BE445:BE446)</f>
        <v/>
      </c>
      <c r="BF447" s="1403">
        <f>SUM(BF445:BF446)</f>
        <v/>
      </c>
      <c r="BG447" s="1403">
        <f>SUM(BG445:BG446)</f>
        <v/>
      </c>
      <c r="BH447" s="1404">
        <f>SUM(BH445:BH446)</f>
        <v/>
      </c>
      <c r="BI447" s="1405">
        <f>SUM(BI445:BI446)</f>
        <v/>
      </c>
      <c r="BJ447" s="1403">
        <f>SUM(BJ445:BJ446)</f>
        <v/>
      </c>
      <c r="BK447" s="1403">
        <f>SUM(BK445:BK446)</f>
        <v/>
      </c>
      <c r="BL447" s="1403">
        <f>SUM(BL445:BL446)</f>
        <v/>
      </c>
      <c r="BM447" s="1404">
        <f>SUM(BM445:BM446)</f>
        <v/>
      </c>
      <c r="BN447" s="1405">
        <f>SUM(BN445:BN446)</f>
        <v/>
      </c>
      <c r="BO447" s="1403">
        <f>SUM(BO445:BO446)</f>
        <v/>
      </c>
      <c r="BP447" s="1403">
        <f>SUM(BP445:BP446)</f>
        <v/>
      </c>
      <c r="BQ447" s="1406">
        <f>SUM(BQ445:BQ446)</f>
        <v/>
      </c>
      <c r="BR447" s="1404" t="n"/>
      <c r="BS447" s="1405" t="n"/>
      <c r="BT447" s="1404" t="n"/>
      <c r="BU447" s="1404" t="n"/>
      <c r="BV447" s="1404" t="n"/>
      <c r="BW447" s="1404" t="n"/>
      <c r="BX447" s="1405" t="n"/>
      <c r="BY447" s="1405" t="n"/>
      <c r="BZ447" s="1405" t="n"/>
      <c r="CA447" s="1405" t="n"/>
      <c r="CB447" s="1375" t="n"/>
    </row>
    <row r="448" hidden="1" outlineLevel="1" ht="14.4" customFormat="1" customHeight="1" s="1372">
      <c r="A448" s="1447" t="n"/>
      <c r="B448" s="1517" t="n"/>
      <c r="C448" s="1449" t="n"/>
      <c r="D448" s="1449" t="n"/>
      <c r="E448" s="1449" t="n"/>
      <c r="F448" s="1449" t="n"/>
      <c r="G448" s="1450" t="n"/>
      <c r="H448" s="1450" t="n"/>
      <c r="I448" s="1450" t="n"/>
      <c r="J448" s="1450" t="n"/>
      <c r="K448" s="1449" t="n"/>
      <c r="L448" s="1450" t="n"/>
      <c r="M448" s="1450" t="n"/>
      <c r="N448" s="1450" t="n"/>
      <c r="O448" s="1450" t="n"/>
      <c r="P448" s="1449" t="n"/>
      <c r="Q448" s="1450" t="n"/>
      <c r="R448" s="1450" t="n"/>
      <c r="S448" s="1450" t="n"/>
      <c r="T448" s="1450" t="n"/>
      <c r="U448" s="1449" t="n"/>
      <c r="V448" s="1450" t="n"/>
      <c r="W448" s="1450" t="n"/>
      <c r="X448" s="1450" t="n"/>
      <c r="Y448" s="1450" t="n"/>
      <c r="Z448" s="1449" t="n"/>
      <c r="AA448" s="1450" t="n"/>
      <c r="AB448" s="1450" t="n"/>
      <c r="AC448" s="1450" t="n"/>
      <c r="AD448" s="1450" t="n"/>
      <c r="AE448" s="1449" t="n"/>
      <c r="AF448" s="1450" t="n"/>
      <c r="AG448" s="1450" t="n"/>
      <c r="AH448" s="1450" t="n"/>
      <c r="AI448" s="1450" t="n"/>
      <c r="AJ448" s="1449" t="n"/>
      <c r="AK448" s="1450" t="n"/>
      <c r="AL448" s="1450" t="n"/>
      <c r="AM448" s="1450" t="n"/>
      <c r="AN448" s="1450" t="n"/>
      <c r="AO448" s="1449" t="n"/>
      <c r="AP448" s="1450" t="n"/>
      <c r="AQ448" s="1450" t="n"/>
      <c r="AR448" s="1450" t="n"/>
      <c r="AS448" s="1450" t="n"/>
      <c r="AT448" s="1449" t="n"/>
      <c r="AU448" s="1450" t="n"/>
      <c r="AV448" s="1450" t="n"/>
      <c r="AW448" s="1450" t="n"/>
      <c r="AX448" s="1450" t="n"/>
      <c r="AY448" s="1449" t="n"/>
      <c r="AZ448" s="1450" t="n"/>
      <c r="BA448" s="1450" t="n"/>
      <c r="BB448" s="1450" t="n"/>
      <c r="BC448" s="1450" t="n"/>
      <c r="BD448" s="1449" t="n"/>
      <c r="BE448" s="1450" t="n"/>
      <c r="BF448" s="1450" t="n"/>
      <c r="BG448" s="1450" t="n"/>
      <c r="BH448" s="1450" t="n"/>
      <c r="BI448" s="1449" t="n"/>
      <c r="BJ448" s="1450" t="n"/>
      <c r="BK448" s="1450" t="n"/>
      <c r="BL448" s="1450" t="n"/>
      <c r="BM448" s="1450" t="n"/>
      <c r="BN448" s="1449" t="n"/>
      <c r="BO448" s="1450" t="n"/>
      <c r="BP448" s="1450" t="n"/>
      <c r="BQ448" s="1451" t="n"/>
      <c r="BR448" s="1450" t="n"/>
      <c r="BS448" s="1449" t="n"/>
      <c r="BT448" s="1450" t="n"/>
      <c r="BU448" s="1450" t="n"/>
      <c r="BV448" s="1450" t="n"/>
      <c r="BW448" s="1450" t="n"/>
      <c r="BX448" s="1449" t="n"/>
      <c r="BY448" s="1449" t="n"/>
      <c r="BZ448" s="1449" t="n"/>
      <c r="CA448" s="1449" t="n"/>
      <c r="CB448" s="1375" t="n"/>
    </row>
    <row r="449" hidden="1" outlineLevel="1" ht="14.4" customFormat="1" customHeight="1" s="1372">
      <c r="A449" s="1452" t="inlineStr">
        <is>
          <t>GAAP provision for income taxes</t>
        </is>
      </c>
      <c r="B449" s="1517" t="n"/>
      <c r="C449" s="1458">
        <f>C359</f>
        <v/>
      </c>
      <c r="D449" s="1458">
        <f>D359</f>
        <v/>
      </c>
      <c r="E449" s="1458">
        <f>E359</f>
        <v/>
      </c>
      <c r="F449" s="1458">
        <f>F359</f>
        <v/>
      </c>
      <c r="G449" s="1375">
        <f>G359</f>
        <v/>
      </c>
      <c r="H449" s="1375">
        <f>H359</f>
        <v/>
      </c>
      <c r="I449" s="1375">
        <f>I359</f>
        <v/>
      </c>
      <c r="J449" s="1375">
        <f>J359</f>
        <v/>
      </c>
      <c r="K449" s="1458">
        <f>K359</f>
        <v/>
      </c>
      <c r="L449" s="1375">
        <f>L359</f>
        <v/>
      </c>
      <c r="M449" s="1375">
        <f>M359</f>
        <v/>
      </c>
      <c r="N449" s="1375">
        <f>N359</f>
        <v/>
      </c>
      <c r="O449" s="1375">
        <f>O359</f>
        <v/>
      </c>
      <c r="P449" s="1458">
        <f>P359</f>
        <v/>
      </c>
      <c r="Q449" s="1375">
        <f>Q359</f>
        <v/>
      </c>
      <c r="R449" s="1375">
        <f>R359</f>
        <v/>
      </c>
      <c r="S449" s="1375">
        <f>S359</f>
        <v/>
      </c>
      <c r="T449" s="1375">
        <f>T359</f>
        <v/>
      </c>
      <c r="U449" s="1458">
        <f>U359</f>
        <v/>
      </c>
      <c r="V449" s="1375">
        <f>V359</f>
        <v/>
      </c>
      <c r="W449" s="1375">
        <f>W359</f>
        <v/>
      </c>
      <c r="X449" s="1375">
        <f>X359</f>
        <v/>
      </c>
      <c r="Y449" s="1450">
        <f>Y359</f>
        <v/>
      </c>
      <c r="Z449" s="1449">
        <f>Z359</f>
        <v/>
      </c>
      <c r="AA449" s="1375">
        <f>AA359</f>
        <v/>
      </c>
      <c r="AB449" s="1375">
        <f>AB359</f>
        <v/>
      </c>
      <c r="AC449" s="1375">
        <f>AC359</f>
        <v/>
      </c>
      <c r="AD449" s="1450">
        <f>AD359</f>
        <v/>
      </c>
      <c r="AE449" s="1449">
        <f>AE359</f>
        <v/>
      </c>
      <c r="AF449" s="1375">
        <f>AF359</f>
        <v/>
      </c>
      <c r="AG449" s="1375">
        <f>AG359</f>
        <v/>
      </c>
      <c r="AH449" s="1375">
        <f>AH359</f>
        <v/>
      </c>
      <c r="AI449" s="1450">
        <f>AI359</f>
        <v/>
      </c>
      <c r="AJ449" s="1449">
        <f>AJ359</f>
        <v/>
      </c>
      <c r="AK449" s="1375">
        <f>AK359</f>
        <v/>
      </c>
      <c r="AL449" s="1375">
        <f>AL359</f>
        <v/>
      </c>
      <c r="AM449" s="1375">
        <f>AM359</f>
        <v/>
      </c>
      <c r="AN449" s="1450">
        <f>AN359</f>
        <v/>
      </c>
      <c r="AO449" s="1449">
        <f>AO359</f>
        <v/>
      </c>
      <c r="AP449" s="1375">
        <f>AP359</f>
        <v/>
      </c>
      <c r="AQ449" s="1375">
        <f>AQ359</f>
        <v/>
      </c>
      <c r="AR449" s="1375">
        <f>AR359</f>
        <v/>
      </c>
      <c r="AS449" s="1450">
        <f>AS359</f>
        <v/>
      </c>
      <c r="AT449" s="1449">
        <f>AT359</f>
        <v/>
      </c>
      <c r="AU449" s="1375">
        <f>AU359</f>
        <v/>
      </c>
      <c r="AV449" s="1375">
        <f>AV359</f>
        <v/>
      </c>
      <c r="AW449" s="1375">
        <f>AW359</f>
        <v/>
      </c>
      <c r="AX449" s="1450">
        <f>AX359</f>
        <v/>
      </c>
      <c r="AY449" s="1449">
        <f>AY359</f>
        <v/>
      </c>
      <c r="AZ449" s="1375">
        <f>AZ359</f>
        <v/>
      </c>
      <c r="BA449" s="1375">
        <f>BA359</f>
        <v/>
      </c>
      <c r="BB449" s="1375">
        <f>BB359</f>
        <v/>
      </c>
      <c r="BC449" s="1450">
        <f>BC359</f>
        <v/>
      </c>
      <c r="BD449" s="1449">
        <f>BD359</f>
        <v/>
      </c>
      <c r="BE449" s="1375">
        <f>BE359</f>
        <v/>
      </c>
      <c r="BF449" s="1375">
        <f>BF359</f>
        <v/>
      </c>
      <c r="BG449" s="1375">
        <f>BG359</f>
        <v/>
      </c>
      <c r="BH449" s="1450">
        <f>BH359</f>
        <v/>
      </c>
      <c r="BI449" s="1449">
        <f>BI359</f>
        <v/>
      </c>
      <c r="BJ449" s="1375">
        <f>BJ359</f>
        <v/>
      </c>
      <c r="BK449" s="1375">
        <f>BK359</f>
        <v/>
      </c>
      <c r="BL449" s="1375">
        <f>BL359</f>
        <v/>
      </c>
      <c r="BM449" s="1450">
        <f>BM359</f>
        <v/>
      </c>
      <c r="BN449" s="1449">
        <f>BN359</f>
        <v/>
      </c>
      <c r="BO449" s="1375">
        <f>BO359</f>
        <v/>
      </c>
      <c r="BP449" s="1375">
        <f>BP359</f>
        <v/>
      </c>
      <c r="BQ449" s="1459">
        <f>BQ359</f>
        <v/>
      </c>
      <c r="BR449" s="1450" t="n"/>
      <c r="BS449" s="1449" t="n"/>
      <c r="BT449" s="1450" t="n"/>
      <c r="BU449" s="1450" t="n"/>
      <c r="BV449" s="1450" t="n"/>
      <c r="BW449" s="1450" t="n"/>
      <c r="BX449" s="1449" t="n"/>
      <c r="BY449" s="1449" t="n"/>
      <c r="BZ449" s="1449" t="n"/>
      <c r="CA449" s="1449" t="n"/>
      <c r="CB449" s="1375" t="n"/>
    </row>
    <row r="450" hidden="1" outlineLevel="1" ht="14.4" customFormat="1" customHeight="1" s="1359">
      <c r="A450" s="1453" t="inlineStr">
        <is>
          <t>Income tax effect of non-GAAP adjustments</t>
        </is>
      </c>
      <c r="B450" s="1514" t="n"/>
      <c r="C450" s="1455">
        <f>-SUM(C379:C388)</f>
        <v/>
      </c>
      <c r="D450" s="1455">
        <f>-SUM(D379:D388)</f>
        <v/>
      </c>
      <c r="E450" s="1455">
        <f>-SUM(E379:E388)</f>
        <v/>
      </c>
      <c r="F450" s="1455">
        <f>-SUM(F379:F388)</f>
        <v/>
      </c>
      <c r="G450" s="1479" t="n">
        <v>48.865</v>
      </c>
      <c r="H450" s="1479" t="n">
        <v>-6.712</v>
      </c>
      <c r="I450" s="1479" t="n">
        <v>19.895</v>
      </c>
      <c r="J450" s="1479" t="n">
        <v>31.775</v>
      </c>
      <c r="K450" s="1480" t="n">
        <v>93.82299999999999</v>
      </c>
      <c r="L450" s="1479" t="n">
        <v>15.51</v>
      </c>
      <c r="M450" s="1479" t="n">
        <v>15.849</v>
      </c>
      <c r="N450" s="1479" t="n">
        <v>19.377</v>
      </c>
      <c r="O450" s="1479" t="n">
        <v>27.987</v>
      </c>
      <c r="P450" s="1480" t="n">
        <v>78.723</v>
      </c>
      <c r="Q450" s="1479" t="n">
        <v>15.331</v>
      </c>
      <c r="R450" s="1479" t="n">
        <v>14.091</v>
      </c>
      <c r="S450" s="1479" t="n">
        <v>28.601</v>
      </c>
      <c r="T450" s="1479" t="n">
        <v>28.627</v>
      </c>
      <c r="U450" s="1480" t="n">
        <v>86.65000000000001</v>
      </c>
      <c r="V450" s="1479" t="n">
        <v>18.698</v>
      </c>
      <c r="W450" s="1479" t="n">
        <v>11.053</v>
      </c>
      <c r="X450" s="1479" t="n">
        <v>26.424</v>
      </c>
      <c r="Y450" s="1479" t="n">
        <v>14.672</v>
      </c>
      <c r="Z450" s="1480" t="n">
        <v>70.84699999999999</v>
      </c>
      <c r="AA450" s="1479" t="n">
        <v>20.679</v>
      </c>
      <c r="AB450" s="1479" t="n">
        <v>19.861</v>
      </c>
      <c r="AC450" s="1479" t="n">
        <v>23.942</v>
      </c>
      <c r="AD450" s="1479" t="n">
        <v>-58.152</v>
      </c>
      <c r="AE450" s="1480" t="n">
        <v>6.33</v>
      </c>
      <c r="AF450" s="1479" t="n">
        <v>16.28</v>
      </c>
      <c r="AG450" s="1479" t="n">
        <v>9.166</v>
      </c>
      <c r="AH450" s="1479" t="n">
        <v>26.306</v>
      </c>
      <c r="AI450" s="1479" t="n">
        <v>17.737</v>
      </c>
      <c r="AJ450" s="1480" t="n">
        <v>69.489</v>
      </c>
      <c r="AK450" s="1479" t="n">
        <v>21.307</v>
      </c>
      <c r="AL450" s="1479" t="n">
        <v>9.331</v>
      </c>
      <c r="AM450" s="1479" t="n">
        <v>13.899</v>
      </c>
      <c r="AN450" s="1479" t="n">
        <v>583.1180000000001</v>
      </c>
      <c r="AO450" s="1480" t="n">
        <v>627.655</v>
      </c>
      <c r="AP450" s="1479" t="n">
        <v>25.483</v>
      </c>
      <c r="AQ450" s="1510">
        <f>-AQ388</f>
        <v/>
      </c>
      <c r="AR450" s="1510">
        <f>-AR388</f>
        <v/>
      </c>
      <c r="AS450" s="1510">
        <f>-AS388</f>
        <v/>
      </c>
      <c r="AT450" s="1518">
        <f>-AT388</f>
        <v/>
      </c>
      <c r="AU450" s="1510">
        <f>-AU388</f>
        <v/>
      </c>
      <c r="AV450" s="1510">
        <f>-AV388</f>
        <v/>
      </c>
      <c r="AW450" s="1510">
        <f>-AW388</f>
        <v/>
      </c>
      <c r="AX450" s="1510">
        <f>-AX388</f>
        <v/>
      </c>
      <c r="AY450" s="1518">
        <f>-AY388</f>
        <v/>
      </c>
      <c r="AZ450" s="1510">
        <f>-AZ388</f>
        <v/>
      </c>
      <c r="BA450" s="1510">
        <f>-BA388</f>
        <v/>
      </c>
      <c r="BB450" s="1510">
        <f>-BB388</f>
        <v/>
      </c>
      <c r="BC450" s="1510">
        <f>-BC388</f>
        <v/>
      </c>
      <c r="BD450" s="1518">
        <f>-BD388</f>
        <v/>
      </c>
      <c r="BE450" s="1510">
        <f>-BE388</f>
        <v/>
      </c>
      <c r="BF450" s="1510">
        <f>-BF388</f>
        <v/>
      </c>
      <c r="BG450" s="1510">
        <f>-BG388</f>
        <v/>
      </c>
      <c r="BH450" s="1510">
        <f>-BH388</f>
        <v/>
      </c>
      <c r="BI450" s="1518">
        <f>-BI388</f>
        <v/>
      </c>
      <c r="BJ450" s="1510">
        <f>-BJ388</f>
        <v/>
      </c>
      <c r="BK450" s="1510">
        <f>-BK388</f>
        <v/>
      </c>
      <c r="BL450" s="1510">
        <f>-BL388</f>
        <v/>
      </c>
      <c r="BM450" s="1510">
        <f>-BM388</f>
        <v/>
      </c>
      <c r="BN450" s="1518">
        <f>-BN388</f>
        <v/>
      </c>
      <c r="BO450" s="1510">
        <f>-BO388</f>
        <v/>
      </c>
      <c r="BP450" s="1510">
        <f>-BP388</f>
        <v/>
      </c>
      <c r="BQ450" s="1511">
        <f>-BQ388</f>
        <v/>
      </c>
      <c r="BR450" s="1456" t="n"/>
      <c r="BS450" s="1455" t="n"/>
      <c r="BT450" s="1456" t="n"/>
      <c r="BU450" s="1456" t="n"/>
      <c r="BV450" s="1456" t="n"/>
      <c r="BW450" s="1456" t="n"/>
      <c r="BX450" s="1455" t="n"/>
      <c r="BY450" s="1455" t="n"/>
      <c r="BZ450" s="1455" t="n"/>
      <c r="CA450" s="1455" t="n"/>
      <c r="CB450" s="1364" t="n"/>
    </row>
    <row r="451" hidden="1" outlineLevel="1" ht="14.4" customFormat="1" customHeight="1" s="1372">
      <c r="A451" s="1400" t="inlineStr">
        <is>
          <t>Non-GAAP provision for income taxes</t>
        </is>
      </c>
      <c r="B451" s="1516" t="n"/>
      <c r="C451" s="1402">
        <f>SUM(C449:C450)</f>
        <v/>
      </c>
      <c r="D451" s="1402">
        <f>SUM(D449:D450)</f>
        <v/>
      </c>
      <c r="E451" s="1402">
        <f>SUM(E449:E450)</f>
        <v/>
      </c>
      <c r="F451" s="1402">
        <f>SUM(F449:F450)</f>
        <v/>
      </c>
      <c r="G451" s="1403">
        <f>SUM(G449:G450)</f>
        <v/>
      </c>
      <c r="H451" s="1403">
        <f>SUM(H449:H450)</f>
        <v/>
      </c>
      <c r="I451" s="1403">
        <f>SUM(I449:I450)</f>
        <v/>
      </c>
      <c r="J451" s="1403">
        <f>SUM(J449:J450)</f>
        <v/>
      </c>
      <c r="K451" s="1402">
        <f>SUM(K449:K450)</f>
        <v/>
      </c>
      <c r="L451" s="1403">
        <f>SUM(L449:L450)</f>
        <v/>
      </c>
      <c r="M451" s="1403">
        <f>SUM(M449:M450)</f>
        <v/>
      </c>
      <c r="N451" s="1403">
        <f>SUM(N449:N450)</f>
        <v/>
      </c>
      <c r="O451" s="1403">
        <f>SUM(O449:O450)</f>
        <v/>
      </c>
      <c r="P451" s="1402">
        <f>SUM(P449:P450)</f>
        <v/>
      </c>
      <c r="Q451" s="1403">
        <f>SUM(Q449:Q450)</f>
        <v/>
      </c>
      <c r="R451" s="1403">
        <f>SUM(R449:R450)</f>
        <v/>
      </c>
      <c r="S451" s="1403">
        <f>SUM(S449:S450)</f>
        <v/>
      </c>
      <c r="T451" s="1403">
        <f>SUM(T449:T450)</f>
        <v/>
      </c>
      <c r="U451" s="1402">
        <f>SUM(U449:U450)</f>
        <v/>
      </c>
      <c r="V451" s="1403">
        <f>SUM(V449:V450)</f>
        <v/>
      </c>
      <c r="W451" s="1403">
        <f>SUM(W449:W450)</f>
        <v/>
      </c>
      <c r="X451" s="1403">
        <f>SUM(X449:X450)</f>
        <v/>
      </c>
      <c r="Y451" s="1404">
        <f>SUM(Y449:Y450)</f>
        <v/>
      </c>
      <c r="Z451" s="1405">
        <f>SUM(Z449:Z450)</f>
        <v/>
      </c>
      <c r="AA451" s="1403">
        <f>SUM(AA449:AA450)</f>
        <v/>
      </c>
      <c r="AB451" s="1403">
        <f>SUM(AB449:AB450)</f>
        <v/>
      </c>
      <c r="AC451" s="1403">
        <f>SUM(AC449:AC450)</f>
        <v/>
      </c>
      <c r="AD451" s="1404">
        <f>SUM(AD449:AD450)</f>
        <v/>
      </c>
      <c r="AE451" s="1405">
        <f>SUM(AE449:AE450)</f>
        <v/>
      </c>
      <c r="AF451" s="1403">
        <f>SUM(AF449:AF450)</f>
        <v/>
      </c>
      <c r="AG451" s="1403">
        <f>SUM(AG449:AG450)</f>
        <v/>
      </c>
      <c r="AH451" s="1403">
        <f>SUM(AH449:AH450)</f>
        <v/>
      </c>
      <c r="AI451" s="1404">
        <f>SUM(AI449:AI450)</f>
        <v/>
      </c>
      <c r="AJ451" s="1405">
        <f>SUM(AJ449:AJ450)</f>
        <v/>
      </c>
      <c r="AK451" s="1403">
        <f>SUM(AK449:AK450)</f>
        <v/>
      </c>
      <c r="AL451" s="1403">
        <f>SUM(AL449:AL450)</f>
        <v/>
      </c>
      <c r="AM451" s="1403">
        <f>SUM(AM449:AM450)</f>
        <v/>
      </c>
      <c r="AN451" s="1404">
        <f>SUM(AN449:AN450)</f>
        <v/>
      </c>
      <c r="AO451" s="1405">
        <f>SUM(AO449:AO450)</f>
        <v/>
      </c>
      <c r="AP451" s="1403">
        <f>SUM(AP449:AP450)</f>
        <v/>
      </c>
      <c r="AQ451" s="1403">
        <f>SUM(AQ449:AQ450)</f>
        <v/>
      </c>
      <c r="AR451" s="1403">
        <f>SUM(AR449:AR450)</f>
        <v/>
      </c>
      <c r="AS451" s="1404">
        <f>SUM(AS449:AS450)</f>
        <v/>
      </c>
      <c r="AT451" s="1405">
        <f>SUM(AT449:AT450)</f>
        <v/>
      </c>
      <c r="AU451" s="1403">
        <f>SUM(AU449:AU450)</f>
        <v/>
      </c>
      <c r="AV451" s="1403">
        <f>SUM(AV449:AV450)</f>
        <v/>
      </c>
      <c r="AW451" s="1403">
        <f>SUM(AW449:AW450)</f>
        <v/>
      </c>
      <c r="AX451" s="1404">
        <f>SUM(AX449:AX450)</f>
        <v/>
      </c>
      <c r="AY451" s="1405">
        <f>SUM(AY449:AY450)</f>
        <v/>
      </c>
      <c r="AZ451" s="1403">
        <f>SUM(AZ449:AZ450)</f>
        <v/>
      </c>
      <c r="BA451" s="1403">
        <f>SUM(BA449:BA450)</f>
        <v/>
      </c>
      <c r="BB451" s="1403">
        <f>SUM(BB449:BB450)</f>
        <v/>
      </c>
      <c r="BC451" s="1404">
        <f>SUM(BC449:BC450)</f>
        <v/>
      </c>
      <c r="BD451" s="1405">
        <f>SUM(BD449:BD450)</f>
        <v/>
      </c>
      <c r="BE451" s="1403">
        <f>SUM(BE449:BE450)</f>
        <v/>
      </c>
      <c r="BF451" s="1403">
        <f>SUM(BF449:BF450)</f>
        <v/>
      </c>
      <c r="BG451" s="1403">
        <f>SUM(BG449:BG450)</f>
        <v/>
      </c>
      <c r="BH451" s="1404">
        <f>SUM(BH449:BH450)</f>
        <v/>
      </c>
      <c r="BI451" s="1405">
        <f>SUM(BI449:BI450)</f>
        <v/>
      </c>
      <c r="BJ451" s="1403">
        <f>SUM(BJ449:BJ450)</f>
        <v/>
      </c>
      <c r="BK451" s="1403">
        <f>SUM(BK449:BK450)</f>
        <v/>
      </c>
      <c r="BL451" s="1403">
        <f>SUM(BL449:BL450)</f>
        <v/>
      </c>
      <c r="BM451" s="1404">
        <f>SUM(BM449:BM450)</f>
        <v/>
      </c>
      <c r="BN451" s="1405">
        <f>SUM(BN449:BN450)</f>
        <v/>
      </c>
      <c r="BO451" s="1403">
        <f>SUM(BO449:BO450)</f>
        <v/>
      </c>
      <c r="BP451" s="1403">
        <f>SUM(BP449:BP450)</f>
        <v/>
      </c>
      <c r="BQ451" s="1406">
        <f>SUM(BQ449:BQ450)</f>
        <v/>
      </c>
      <c r="BR451" s="1404" t="n"/>
      <c r="BS451" s="1405" t="n"/>
      <c r="BT451" s="1404" t="n"/>
      <c r="BU451" s="1404" t="n"/>
      <c r="BV451" s="1404" t="n"/>
      <c r="BW451" s="1404" t="n"/>
      <c r="BX451" s="1405" t="n"/>
      <c r="BY451" s="1405" t="n"/>
      <c r="BZ451" s="1405" t="n"/>
      <c r="CA451" s="1405" t="n"/>
      <c r="CB451" s="1375" t="n"/>
    </row>
    <row r="452" collapsed="1" ht="14.4" customFormat="1" customHeight="1" s="1372">
      <c r="A452" s="1447" t="n"/>
      <c r="B452" s="1517" t="n"/>
      <c r="C452" s="1449" t="n"/>
      <c r="D452" s="1449" t="n"/>
      <c r="E452" s="1449" t="n"/>
      <c r="F452" s="1449" t="n"/>
      <c r="G452" s="1450" t="n"/>
      <c r="H452" s="1450" t="n"/>
      <c r="I452" s="1450" t="n"/>
      <c r="J452" s="1450" t="n"/>
      <c r="K452" s="1449" t="n"/>
      <c r="L452" s="1450" t="n"/>
      <c r="M452" s="1450" t="n"/>
      <c r="N452" s="1450" t="n"/>
      <c r="O452" s="1450" t="n"/>
      <c r="P452" s="1449" t="n"/>
      <c r="Q452" s="1450" t="n"/>
      <c r="R452" s="1450" t="n"/>
      <c r="S452" s="1450" t="n"/>
      <c r="T452" s="1450" t="n"/>
      <c r="U452" s="1449" t="n"/>
      <c r="V452" s="1450" t="n"/>
      <c r="W452" s="1450" t="n"/>
      <c r="X452" s="1450" t="n"/>
      <c r="Y452" s="1450" t="n"/>
      <c r="Z452" s="1449" t="n"/>
      <c r="AA452" s="1450" t="n"/>
      <c r="AB452" s="1450" t="n"/>
      <c r="AC452" s="1450" t="n"/>
      <c r="AD452" s="1450" t="n"/>
      <c r="AE452" s="1449" t="n"/>
      <c r="AF452" s="1450" t="n"/>
      <c r="AG452" s="1450" t="n"/>
      <c r="AH452" s="1450" t="n"/>
      <c r="AI452" s="1450" t="n"/>
      <c r="AJ452" s="1449" t="n"/>
      <c r="AK452" s="1450" t="n"/>
      <c r="AL452" s="1450" t="n"/>
      <c r="AM452" s="1450" t="n"/>
      <c r="AN452" s="1450" t="n"/>
      <c r="AO452" s="1449" t="n"/>
      <c r="AP452" s="1450" t="n"/>
      <c r="AQ452" s="1450" t="n"/>
      <c r="AR452" s="1450" t="n"/>
      <c r="AS452" s="1450" t="n"/>
      <c r="AT452" s="1449" t="n"/>
      <c r="AU452" s="1450" t="n"/>
      <c r="AV452" s="1450" t="n"/>
      <c r="AW452" s="1450" t="n"/>
      <c r="AX452" s="1450" t="n"/>
      <c r="AY452" s="1449" t="n"/>
      <c r="AZ452" s="1450" t="n"/>
      <c r="BA452" s="1450" t="n"/>
      <c r="BB452" s="1450" t="n"/>
      <c r="BC452" s="1450" t="n"/>
      <c r="BD452" s="1449" t="n"/>
      <c r="BE452" s="1450" t="n"/>
      <c r="BF452" s="1450" t="n"/>
      <c r="BG452" s="1450" t="n"/>
      <c r="BH452" s="1450" t="n"/>
      <c r="BI452" s="1449" t="n"/>
      <c r="BJ452" s="1450" t="n"/>
      <c r="BK452" s="1450" t="n"/>
      <c r="BL452" s="1450" t="n"/>
      <c r="BM452" s="1450" t="n"/>
      <c r="BN452" s="1449" t="n"/>
      <c r="BO452" s="1450" t="n"/>
      <c r="BP452" s="1450" t="n"/>
      <c r="BQ452" s="1451" t="n"/>
      <c r="BR452" s="1450" t="n"/>
      <c r="BS452" s="1449" t="n"/>
      <c r="BT452" s="1450" t="n"/>
      <c r="BU452" s="1450" t="n"/>
      <c r="BV452" s="1450" t="n"/>
      <c r="BW452" s="1450" t="n"/>
      <c r="BX452" s="1449" t="n"/>
      <c r="BY452" s="1449" t="n"/>
      <c r="BZ452" s="1449" t="n"/>
      <c r="CA452" s="1449" t="n"/>
      <c r="CB452" s="1375" t="n"/>
    </row>
    <row r="453" ht="14.4" customFormat="1" customHeight="1" s="1372">
      <c r="A453" s="1373" t="inlineStr">
        <is>
          <t>Revised Income Statement</t>
        </is>
      </c>
      <c r="B453" s="1373" t="n"/>
      <c r="C453" s="1373" t="n"/>
      <c r="D453" s="1373" t="n"/>
      <c r="E453" s="1373" t="n"/>
      <c r="F453" s="1373" t="n"/>
      <c r="G453" s="1373" t="n"/>
      <c r="H453" s="1373" t="n"/>
      <c r="I453" s="1373" t="n"/>
      <c r="J453" s="1373" t="n"/>
      <c r="K453" s="1373" t="n"/>
      <c r="L453" s="1373" t="n"/>
      <c r="M453" s="1373" t="n"/>
      <c r="N453" s="1373" t="n"/>
      <c r="O453" s="1373" t="n"/>
      <c r="P453" s="1373" t="n"/>
      <c r="Q453" s="1373" t="n"/>
      <c r="R453" s="1373" t="n"/>
      <c r="S453" s="1373" t="n"/>
      <c r="T453" s="1373" t="n"/>
      <c r="U453" s="1373" t="n"/>
      <c r="V453" s="1373" t="n"/>
      <c r="W453" s="1373" t="n"/>
      <c r="X453" s="1373" t="n"/>
      <c r="Y453" s="1373" t="n"/>
      <c r="Z453" s="1373" t="n"/>
      <c r="AA453" s="1373" t="n"/>
      <c r="AB453" s="1373" t="n"/>
      <c r="AC453" s="1373" t="n"/>
      <c r="AD453" s="1373" t="n"/>
      <c r="AE453" s="1373" t="n"/>
      <c r="AF453" s="1373" t="n"/>
      <c r="AG453" s="1373" t="n"/>
      <c r="AH453" s="1373" t="n"/>
      <c r="AI453" s="1373" t="n"/>
      <c r="AJ453" s="1373" t="n"/>
      <c r="AK453" s="1373" t="n"/>
      <c r="AL453" s="1373" t="n"/>
      <c r="AM453" s="1373" t="n"/>
      <c r="AN453" s="1373" t="n"/>
      <c r="AO453" s="1373" t="n"/>
      <c r="AP453" s="1373" t="n"/>
      <c r="AQ453" s="1373" t="n"/>
      <c r="AR453" s="1373" t="n"/>
      <c r="AS453" s="1373" t="n"/>
      <c r="AT453" s="1373" t="n"/>
      <c r="AU453" s="1373" t="n"/>
      <c r="AV453" s="1373" t="n"/>
      <c r="AW453" s="1373" t="n"/>
      <c r="AX453" s="1373" t="n"/>
      <c r="AY453" s="1373" t="n"/>
      <c r="AZ453" s="1373" t="n"/>
      <c r="BA453" s="1373" t="n"/>
      <c r="BB453" s="1373" t="n"/>
      <c r="BC453" s="1373" t="n"/>
      <c r="BD453" s="1373" t="n"/>
      <c r="BE453" s="1373" t="n"/>
      <c r="BF453" s="1373" t="n"/>
      <c r="BG453" s="1373" t="n"/>
      <c r="BH453" s="1373" t="n"/>
      <c r="BI453" s="1373" t="n"/>
      <c r="BJ453" s="1373" t="n"/>
      <c r="BK453" s="1373" t="n"/>
      <c r="BL453" s="1373" t="n"/>
      <c r="BM453" s="1373" t="n"/>
      <c r="BN453" s="1373" t="n"/>
      <c r="BO453" s="1373" t="n"/>
      <c r="BP453" s="1373" t="n"/>
      <c r="BQ453" s="1374" t="n"/>
      <c r="BR453" s="1373" t="n"/>
      <c r="BS453" s="1373" t="n"/>
      <c r="BT453" s="1373" t="n"/>
      <c r="BU453" s="1373" t="n"/>
      <c r="BV453" s="1373" t="n"/>
      <c r="BW453" s="1373" t="n"/>
      <c r="BX453" s="1373" t="n"/>
      <c r="BY453" s="1373" t="n"/>
      <c r="BZ453" s="1373" t="n"/>
      <c r="CA453" s="1373" t="n"/>
      <c r="CB453" s="1375" t="n"/>
    </row>
    <row r="454" ht="14.4" customFormat="1" customHeight="1" s="1372">
      <c r="A454" s="1452" t="inlineStr">
        <is>
          <t>Net Revenue</t>
        </is>
      </c>
      <c r="B454" s="1517" t="n"/>
      <c r="C454" s="1458">
        <f>C342</f>
        <v/>
      </c>
      <c r="D454" s="1458">
        <f>D342</f>
        <v/>
      </c>
      <c r="E454" s="1458">
        <f>E342</f>
        <v/>
      </c>
      <c r="F454" s="1458">
        <f>F342</f>
        <v/>
      </c>
      <c r="G454" s="1375">
        <f>G342</f>
        <v/>
      </c>
      <c r="H454" s="1375">
        <f>H342</f>
        <v/>
      </c>
      <c r="I454" s="1375">
        <f>I342</f>
        <v/>
      </c>
      <c r="J454" s="1375">
        <f>J342</f>
        <v/>
      </c>
      <c r="K454" s="1458">
        <f>K342</f>
        <v/>
      </c>
      <c r="L454" s="1375">
        <f>L342</f>
        <v/>
      </c>
      <c r="M454" s="1375">
        <f>M342</f>
        <v/>
      </c>
      <c r="N454" s="1375">
        <f>N342</f>
        <v/>
      </c>
      <c r="O454" s="1375">
        <f>O342</f>
        <v/>
      </c>
      <c r="P454" s="1458">
        <f>P342</f>
        <v/>
      </c>
      <c r="Q454" s="1375">
        <f>Q342</f>
        <v/>
      </c>
      <c r="R454" s="1375">
        <f>R342</f>
        <v/>
      </c>
      <c r="S454" s="1375">
        <f>S342</f>
        <v/>
      </c>
      <c r="T454" s="1375">
        <f>T342</f>
        <v/>
      </c>
      <c r="U454" s="1458">
        <f>U342</f>
        <v/>
      </c>
      <c r="V454" s="1375">
        <f>V342</f>
        <v/>
      </c>
      <c r="W454" s="1375">
        <f>W342</f>
        <v/>
      </c>
      <c r="X454" s="1375">
        <f>X342</f>
        <v/>
      </c>
      <c r="Y454" s="1375">
        <f>Y342</f>
        <v/>
      </c>
      <c r="Z454" s="1458">
        <f>Z342</f>
        <v/>
      </c>
      <c r="AA454" s="1375">
        <f>AA342</f>
        <v/>
      </c>
      <c r="AB454" s="1375">
        <f>AB342</f>
        <v/>
      </c>
      <c r="AC454" s="1375">
        <f>AC342</f>
        <v/>
      </c>
      <c r="AD454" s="1375">
        <f>AD342</f>
        <v/>
      </c>
      <c r="AE454" s="1458">
        <f>AE342</f>
        <v/>
      </c>
      <c r="AF454" s="1375">
        <f>AF342</f>
        <v/>
      </c>
      <c r="AG454" s="1375">
        <f>AG342</f>
        <v/>
      </c>
      <c r="AH454" s="1375">
        <f>AH342</f>
        <v/>
      </c>
      <c r="AI454" s="1375">
        <f>AI342</f>
        <v/>
      </c>
      <c r="AJ454" s="1458">
        <f>AJ342</f>
        <v/>
      </c>
      <c r="AK454" s="1375">
        <f>AK342</f>
        <v/>
      </c>
      <c r="AL454" s="1375">
        <f>AL342</f>
        <v/>
      </c>
      <c r="AM454" s="1375">
        <f>AM342</f>
        <v/>
      </c>
      <c r="AN454" s="1375">
        <f>AN342</f>
        <v/>
      </c>
      <c r="AO454" s="1458">
        <f>AO342</f>
        <v/>
      </c>
      <c r="AP454" s="1375">
        <f>AP342</f>
        <v/>
      </c>
      <c r="AQ454" s="1375">
        <f>AQ342</f>
        <v/>
      </c>
      <c r="AR454" s="1375">
        <f>AR342</f>
        <v/>
      </c>
      <c r="AS454" s="1375">
        <f>AS342</f>
        <v/>
      </c>
      <c r="AT454" s="1458">
        <f>AT342</f>
        <v/>
      </c>
      <c r="AU454" s="1375">
        <f>AU342</f>
        <v/>
      </c>
      <c r="AV454" s="1375">
        <f>AV342</f>
        <v/>
      </c>
      <c r="AW454" s="1375">
        <f>AW342</f>
        <v/>
      </c>
      <c r="AX454" s="1375">
        <f>AX342</f>
        <v/>
      </c>
      <c r="AY454" s="1458">
        <f>AY342</f>
        <v/>
      </c>
      <c r="AZ454" s="1375">
        <f>AZ342</f>
        <v/>
      </c>
      <c r="BA454" s="1375">
        <f>BA342</f>
        <v/>
      </c>
      <c r="BB454" s="1375">
        <f>BB342</f>
        <v/>
      </c>
      <c r="BC454" s="1375">
        <f>BC342</f>
        <v/>
      </c>
      <c r="BD454" s="1458">
        <f>BD342</f>
        <v/>
      </c>
      <c r="BE454" s="1375">
        <f>BE342</f>
        <v/>
      </c>
      <c r="BF454" s="1375">
        <f>BF342</f>
        <v/>
      </c>
      <c r="BG454" s="1375">
        <f>BG342</f>
        <v/>
      </c>
      <c r="BH454" s="1375">
        <f>BH342</f>
        <v/>
      </c>
      <c r="BI454" s="1458">
        <f>BI342</f>
        <v/>
      </c>
      <c r="BJ454" s="1375">
        <f>BJ342</f>
        <v/>
      </c>
      <c r="BK454" s="1375">
        <f>BK342</f>
        <v/>
      </c>
      <c r="BL454" s="1375">
        <f>BL342</f>
        <v/>
      </c>
      <c r="BM454" s="1375">
        <f>BM342</f>
        <v/>
      </c>
      <c r="BN454" s="1458">
        <f>BN342</f>
        <v/>
      </c>
      <c r="BO454" s="1375">
        <f>BO342</f>
        <v/>
      </c>
      <c r="BP454" s="1375">
        <f>BP342</f>
        <v/>
      </c>
      <c r="BQ454" s="1459">
        <f>BQ342</f>
        <v/>
      </c>
      <c r="BR454" s="1450">
        <f>BR20</f>
        <v/>
      </c>
      <c r="BS454" s="1449">
        <f>SUM(BO454,BP454,BQ454,BR454)</f>
        <v/>
      </c>
      <c r="BT454" s="1450">
        <f>BT20</f>
        <v/>
      </c>
      <c r="BU454" s="1450">
        <f>BU20</f>
        <v/>
      </c>
      <c r="BV454" s="1450">
        <f>BV20</f>
        <v/>
      </c>
      <c r="BW454" s="1450">
        <f>BW20</f>
        <v/>
      </c>
      <c r="BX454" s="1449">
        <f>SUM(BT454,BU454,BV454,BW454)</f>
        <v/>
      </c>
      <c r="BY454" s="1449">
        <f>BY20</f>
        <v/>
      </c>
      <c r="BZ454" s="1449">
        <f>BZ20</f>
        <v/>
      </c>
      <c r="CA454" s="1449">
        <f>CA20</f>
        <v/>
      </c>
      <c r="CB454" s="1375" t="n"/>
    </row>
    <row r="455" ht="14.4" customFormat="1" customHeight="1" s="1588">
      <c r="A455" s="1589">
        <f>CONCATENATE("Consensus Estimates - ",IFERROR(LEFT(A454,FIND("(",A454)-1),A454))</f>
        <v/>
      </c>
      <c r="B455" s="1590" t="n"/>
      <c r="C455" s="1409" t="n"/>
      <c r="D455" s="1409" t="n"/>
      <c r="E455" s="1409" t="n"/>
      <c r="F455" s="1409" t="n"/>
      <c r="G455" s="1410" t="n"/>
      <c r="H455" s="1410" t="n"/>
      <c r="I455" s="1410" t="n"/>
      <c r="J455" s="1410" t="n"/>
      <c r="K455" s="1409" t="n"/>
      <c r="L455" s="1410" t="n"/>
      <c r="M455" s="1410" t="n"/>
      <c r="N455" s="1410" t="n"/>
      <c r="O455" s="1410" t="n"/>
      <c r="P455" s="1409" t="n"/>
      <c r="Q455" s="1410" t="n"/>
      <c r="R455" s="1410" t="n"/>
      <c r="S455" s="1410" t="n"/>
      <c r="T455" s="1410" t="n"/>
      <c r="U455" s="1409" t="n"/>
      <c r="V455" s="1410" t="n"/>
      <c r="W455" s="1591" t="n"/>
      <c r="X455" s="1591" t="n"/>
      <c r="Y455" s="1591" t="n"/>
      <c r="Z455" s="1413" t="n"/>
      <c r="AA455" s="1410" t="n"/>
      <c r="AB455" s="1591" t="n"/>
      <c r="AC455" s="1591" t="n"/>
      <c r="AD455" s="1591" t="n"/>
      <c r="AE455" s="1413" t="n"/>
      <c r="AF455" s="1410" t="n"/>
      <c r="AG455" s="1591" t="n"/>
      <c r="AH455" s="1591" t="n"/>
      <c r="AI455" s="1591" t="n"/>
      <c r="AJ455" s="1413" t="n"/>
      <c r="AK455" s="1410" t="n"/>
      <c r="AL455" s="1591" t="n"/>
      <c r="AM455" s="1591" t="n"/>
      <c r="AN455" s="1591" t="n"/>
      <c r="AO455" s="1413" t="n"/>
      <c r="AP455" s="1410" t="n"/>
      <c r="AQ455" s="1591" t="n"/>
      <c r="AR455" s="1591" t="n"/>
      <c r="AS455" s="1591" t="n"/>
      <c r="AT455" s="1413" t="n"/>
      <c r="AU455" s="1410" t="n"/>
      <c r="AV455" s="1591" t="n"/>
      <c r="AW455" s="1591" t="n"/>
      <c r="AX455" s="1591" t="n"/>
      <c r="AY455" s="1413" t="n"/>
      <c r="AZ455" s="1410" t="n"/>
      <c r="BA455" s="1591" t="n"/>
      <c r="BB455" s="1591" t="n"/>
      <c r="BC455" s="1591" t="n"/>
      <c r="BD455" s="1413" t="n"/>
      <c r="BE455" s="1410" t="n"/>
      <c r="BF455" s="1591" t="n"/>
      <c r="BG455" s="1591" t="n"/>
      <c r="BH455" s="1591" t="n"/>
      <c r="BI455" s="1413" t="n"/>
      <c r="BJ455" s="1410" t="n"/>
      <c r="BK455" s="1591" t="n"/>
      <c r="BL455" s="1591" t="n"/>
      <c r="BM455" s="1591" t="n"/>
      <c r="BN455" s="1413" t="n"/>
      <c r="BO455" s="1410" t="n"/>
      <c r="BP455" s="1591" t="n"/>
      <c r="BQ455" s="1592" t="n"/>
      <c r="BR455" s="1412">
        <f>IFERROR(VLOOKUP($A455,tb_ConsensusEstimate,MATCH(BR$5,OFFSET(tb_ConsensusEstimate,0,0,1,COLUMNS(tb_ConsensusEstimate)),0),FALSE),"-")</f>
        <v/>
      </c>
      <c r="BS455" s="1413">
        <f>IFERROR(VLOOKUP($A455,tb_ConsensusEstimate,MATCH(BS$5,OFFSET(tb_ConsensusEstimate,0,0,1,COLUMNS(tb_ConsensusEstimate)),0),FALSE),"-")</f>
        <v/>
      </c>
      <c r="BT455" s="1412">
        <f>IFERROR(VLOOKUP($A455,tb_ConsensusEstimate,MATCH(BT$5,OFFSET(tb_ConsensusEstimate,0,0,1,COLUMNS(tb_ConsensusEstimate)),0),FALSE),"-")</f>
        <v/>
      </c>
      <c r="BU455" s="1412">
        <f>IFERROR(VLOOKUP($A455,tb_ConsensusEstimate,MATCH(BU$5,OFFSET(tb_ConsensusEstimate,0,0,1,COLUMNS(tb_ConsensusEstimate)),0),FALSE),"-")</f>
        <v/>
      </c>
      <c r="BV455" s="1412">
        <f>IFERROR(VLOOKUP($A455,tb_ConsensusEstimate,MATCH(BV$5,OFFSET(tb_ConsensusEstimate,0,0,1,COLUMNS(tb_ConsensusEstimate)),0),FALSE),"-")</f>
        <v/>
      </c>
      <c r="BW455" s="1412">
        <f>IFERROR(VLOOKUP($A455,tb_ConsensusEstimate,MATCH(BW$5,OFFSET(tb_ConsensusEstimate,0,0,1,COLUMNS(tb_ConsensusEstimate)),0),FALSE),"-")</f>
        <v/>
      </c>
      <c r="BX455" s="1413">
        <f>IFERROR(VLOOKUP($A455,tb_ConsensusEstimate,MATCH(BX$5,OFFSET(tb_ConsensusEstimate,0,0,1,COLUMNS(tb_ConsensusEstimate)),0),FALSE),"-")</f>
        <v/>
      </c>
      <c r="BY455" s="1413">
        <f>IFERROR(VLOOKUP($A455,tb_ConsensusEstimate,MATCH(BY5,OFFSET(tb_ConsensusEstimate,0,0,1,COLUMNS(tb_ConsensusEstimate)),0),FALSE),"-")</f>
        <v/>
      </c>
      <c r="BZ455" s="1413">
        <f>IFERROR(VLOOKUP($A455,tb_ConsensusEstimate,MATCH(BZ5,OFFSET(tb_ConsensusEstimate,0,0,1,COLUMNS(tb_ConsensusEstimate)),0),FALSE),"-")</f>
        <v/>
      </c>
      <c r="CA455" s="1413">
        <f>IFERROR(VLOOKUP($A455,tb_ConsensusEstimate,MATCH(CA5,OFFSET(tb_ConsensusEstimate,0,0,1,COLUMNS(tb_ConsensusEstimate)),0),FALSE),"-")</f>
        <v/>
      </c>
      <c r="CB455" s="1410" t="n"/>
    </row>
    <row r="456" ht="14.4" customFormat="1" customHeight="1" s="1588">
      <c r="A456" s="1589">
        <f>CONCATENATE("Guidance - ",IFERROR(LEFT(A454,FIND("(",A454)-1),A454))</f>
        <v/>
      </c>
      <c r="B456" s="1590" t="n"/>
      <c r="C456" s="1409" t="n"/>
      <c r="D456" s="1409" t="n"/>
      <c r="E456" s="1409" t="n"/>
      <c r="F456" s="1409" t="n"/>
      <c r="G456" s="1410" t="n"/>
      <c r="H456" s="1410" t="n"/>
      <c r="I456" s="1410" t="n"/>
      <c r="J456" s="1410" t="n"/>
      <c r="K456" s="1409" t="n"/>
      <c r="L456" s="1410" t="n"/>
      <c r="M456" s="1410" t="n"/>
      <c r="N456" s="1410" t="n"/>
      <c r="O456" s="1410" t="n"/>
      <c r="P456" s="1409" t="n"/>
      <c r="Q456" s="1410" t="n"/>
      <c r="R456" s="1410" t="n"/>
      <c r="S456" s="1410" t="n"/>
      <c r="T456" s="1410" t="n"/>
      <c r="U456" s="1409" t="n"/>
      <c r="V456" s="1410" t="n"/>
      <c r="W456" s="1591" t="n"/>
      <c r="X456" s="1591" t="n"/>
      <c r="Y456" s="1591" t="n"/>
      <c r="Z456" s="1413" t="n"/>
      <c r="AA456" s="1410" t="n"/>
      <c r="AB456" s="1591" t="n"/>
      <c r="AC456" s="1591">
        <f>AC722</f>
        <v/>
      </c>
      <c r="AD456" s="1591">
        <f>AD722</f>
        <v/>
      </c>
      <c r="AE456" s="1413">
        <f>AE722</f>
        <v/>
      </c>
      <c r="AF456" s="1410">
        <f>AF722</f>
        <v/>
      </c>
      <c r="AG456" s="1591">
        <f>AG722</f>
        <v/>
      </c>
      <c r="AH456" s="1591">
        <f>AH722</f>
        <v/>
      </c>
      <c r="AI456" s="1591">
        <f>AI722</f>
        <v/>
      </c>
      <c r="AJ456" s="1413">
        <f>AJ722</f>
        <v/>
      </c>
      <c r="AK456" s="1410">
        <f>AK722</f>
        <v/>
      </c>
      <c r="AL456" s="1591">
        <f>AL722</f>
        <v/>
      </c>
      <c r="AM456" s="1591">
        <f>AM722</f>
        <v/>
      </c>
      <c r="AN456" s="1591">
        <f>AN722</f>
        <v/>
      </c>
      <c r="AO456" s="1413">
        <f>AO722</f>
        <v/>
      </c>
      <c r="AP456" s="1410">
        <f>AP722</f>
        <v/>
      </c>
      <c r="AQ456" s="1591">
        <f>AQ722</f>
        <v/>
      </c>
      <c r="AR456" s="1591">
        <f>AR722</f>
        <v/>
      </c>
      <c r="AS456" s="1591">
        <f>AS722</f>
        <v/>
      </c>
      <c r="AT456" s="1413">
        <f>AT722</f>
        <v/>
      </c>
      <c r="AU456" s="1410">
        <f>AU722</f>
        <v/>
      </c>
      <c r="AV456" s="1591">
        <f>AV722</f>
        <v/>
      </c>
      <c r="AW456" s="1591">
        <f>AW722</f>
        <v/>
      </c>
      <c r="AX456" s="1591">
        <f>AX722</f>
        <v/>
      </c>
      <c r="AY456" s="1413">
        <f>AY722</f>
        <v/>
      </c>
      <c r="AZ456" s="1410">
        <f>AZ722</f>
        <v/>
      </c>
      <c r="BA456" s="1591">
        <f>BA722</f>
        <v/>
      </c>
      <c r="BB456" s="1591">
        <f>BB722</f>
        <v/>
      </c>
      <c r="BC456" s="1591">
        <f>BC722</f>
        <v/>
      </c>
      <c r="BD456" s="1413">
        <f>BD722</f>
        <v/>
      </c>
      <c r="BE456" s="1410">
        <f>BE722</f>
        <v/>
      </c>
      <c r="BF456" s="1591">
        <f>BF722</f>
        <v/>
      </c>
      <c r="BG456" s="1591">
        <f>BG722</f>
        <v/>
      </c>
      <c r="BH456" s="1591">
        <f>BH722</f>
        <v/>
      </c>
      <c r="BI456" s="1413">
        <f>BI722</f>
        <v/>
      </c>
      <c r="BJ456" s="1410">
        <f>BJ722</f>
        <v/>
      </c>
      <c r="BK456" s="1591">
        <f>BK722</f>
        <v/>
      </c>
      <c r="BL456" s="1591">
        <f>BL722</f>
        <v/>
      </c>
      <c r="BM456" s="1591">
        <f>BM722</f>
        <v/>
      </c>
      <c r="BN456" s="1413">
        <f>BN722</f>
        <v/>
      </c>
      <c r="BO456" s="1410">
        <f>BO722</f>
        <v/>
      </c>
      <c r="BP456" s="1591">
        <f>BP722</f>
        <v/>
      </c>
      <c r="BQ456" s="1592">
        <f>BQ722</f>
        <v/>
      </c>
      <c r="BR456" s="1412">
        <f>BR722</f>
        <v/>
      </c>
      <c r="BS456" s="1413">
        <f>BS722</f>
        <v/>
      </c>
      <c r="BT456" s="1412">
        <f>BT722</f>
        <v/>
      </c>
      <c r="BU456" s="1412">
        <f>BU722</f>
        <v/>
      </c>
      <c r="BV456" s="1412">
        <f>BV722</f>
        <v/>
      </c>
      <c r="BW456" s="1412">
        <f>BW722</f>
        <v/>
      </c>
      <c r="BX456" s="1413">
        <f>BX722</f>
        <v/>
      </c>
      <c r="BY456" s="1413">
        <f>BY722</f>
        <v/>
      </c>
      <c r="BZ456" s="1413">
        <f>BZ722</f>
        <v/>
      </c>
      <c r="CA456" s="1413">
        <f>CA722</f>
        <v/>
      </c>
      <c r="CB456" s="1410" t="n"/>
    </row>
    <row r="457" ht="7.5" customFormat="1" customHeight="1" s="1372">
      <c r="A457" s="1447" t="n"/>
      <c r="B457" s="1517" t="n"/>
      <c r="C457" s="1449" t="n"/>
      <c r="D457" s="1449" t="n"/>
      <c r="E457" s="1449" t="n"/>
      <c r="F457" s="1449" t="n"/>
      <c r="G457" s="1450" t="n"/>
      <c r="H457" s="1450" t="n"/>
      <c r="I457" s="1450" t="n"/>
      <c r="J457" s="1450" t="n"/>
      <c r="K457" s="1449" t="n"/>
      <c r="L457" s="1450" t="n"/>
      <c r="M457" s="1450" t="n"/>
      <c r="N457" s="1450" t="n"/>
      <c r="O457" s="1450" t="n"/>
      <c r="P457" s="1449" t="n"/>
      <c r="Q457" s="1450" t="n"/>
      <c r="R457" s="1450" t="n"/>
      <c r="S457" s="1450" t="n"/>
      <c r="T457" s="1450" t="n"/>
      <c r="U457" s="1449" t="n"/>
      <c r="V457" s="1450" t="n"/>
      <c r="W457" s="1450" t="n"/>
      <c r="X457" s="1450" t="n"/>
      <c r="Y457" s="1450" t="n"/>
      <c r="Z457" s="1449" t="n"/>
      <c r="AA457" s="1450" t="n"/>
      <c r="AB457" s="1450" t="n"/>
      <c r="AC457" s="1450" t="n"/>
      <c r="AD457" s="1450" t="n"/>
      <c r="AE457" s="1449" t="n"/>
      <c r="AF457" s="1450" t="n"/>
      <c r="AG457" s="1450" t="n"/>
      <c r="AH457" s="1450" t="n"/>
      <c r="AI457" s="1450" t="n"/>
      <c r="AJ457" s="1449" t="n"/>
      <c r="AK457" s="1450" t="n"/>
      <c r="AL457" s="1450" t="n"/>
      <c r="AM457" s="1450" t="n"/>
      <c r="AN457" s="1450" t="n"/>
      <c r="AO457" s="1449" t="n"/>
      <c r="AP457" s="1450" t="n"/>
      <c r="AQ457" s="1450" t="n"/>
      <c r="AR457" s="1450" t="n"/>
      <c r="AS457" s="1450" t="n"/>
      <c r="AT457" s="1449" t="n"/>
      <c r="AU457" s="1450" t="n"/>
      <c r="AV457" s="1450" t="n"/>
      <c r="AW457" s="1450" t="n"/>
      <c r="AX457" s="1450" t="n"/>
      <c r="AY457" s="1449" t="n"/>
      <c r="AZ457" s="1450" t="n"/>
      <c r="BA457" s="1450" t="n"/>
      <c r="BB457" s="1450" t="n"/>
      <c r="BC457" s="1450" t="n"/>
      <c r="BD457" s="1449" t="n"/>
      <c r="BE457" s="1450" t="n"/>
      <c r="BF457" s="1450" t="n"/>
      <c r="BG457" s="1450" t="n"/>
      <c r="BH457" s="1450" t="n"/>
      <c r="BI457" s="1449" t="n"/>
      <c r="BJ457" s="1450" t="n"/>
      <c r="BK457" s="1450" t="n"/>
      <c r="BL457" s="1450" t="n"/>
      <c r="BM457" s="1450" t="n"/>
      <c r="BN457" s="1449" t="n"/>
      <c r="BO457" s="1450" t="n"/>
      <c r="BP457" s="1450" t="n"/>
      <c r="BQ457" s="1451" t="n"/>
      <c r="BR457" s="1450" t="n"/>
      <c r="BS457" s="1449" t="n"/>
      <c r="BT457" s="1450" t="n"/>
      <c r="BU457" s="1450" t="n"/>
      <c r="BV457" s="1450" t="n"/>
      <c r="BW457" s="1450" t="n"/>
      <c r="BX457" s="1449" t="n"/>
      <c r="BY457" s="1449" t="n"/>
      <c r="BZ457" s="1449" t="n"/>
      <c r="CA457" s="1449" t="n"/>
      <c r="CB457" s="1375" t="n"/>
    </row>
    <row r="458" hidden="1" outlineLevel="1" ht="14.4" customFormat="1" customHeight="1" s="1359">
      <c r="A458" s="1593" t="inlineStr">
        <is>
          <t>GAAP COGS</t>
        </is>
      </c>
      <c r="B458" s="1512" t="n"/>
      <c r="C458" s="1378">
        <f>+C346</f>
        <v/>
      </c>
      <c r="D458" s="1378">
        <f>+D346</f>
        <v/>
      </c>
      <c r="E458" s="1378">
        <f>+E346</f>
        <v/>
      </c>
      <c r="F458" s="1378">
        <f>+F346</f>
        <v/>
      </c>
      <c r="G458" s="1364">
        <f>+G346</f>
        <v/>
      </c>
      <c r="H458" s="1364">
        <f>+H346</f>
        <v/>
      </c>
      <c r="I458" s="1364">
        <f>+I346</f>
        <v/>
      </c>
      <c r="J458" s="1364">
        <f>+J346</f>
        <v/>
      </c>
      <c r="K458" s="1378">
        <f>+K346</f>
        <v/>
      </c>
      <c r="L458" s="1364">
        <f>+L346</f>
        <v/>
      </c>
      <c r="M458" s="1364">
        <f>+M346</f>
        <v/>
      </c>
      <c r="N458" s="1364">
        <f>+N346</f>
        <v/>
      </c>
      <c r="O458" s="1364">
        <f>+O346</f>
        <v/>
      </c>
      <c r="P458" s="1378">
        <f>+P346</f>
        <v/>
      </c>
      <c r="Q458" s="1364">
        <f>+Q346</f>
        <v/>
      </c>
      <c r="R458" s="1364">
        <f>+R346</f>
        <v/>
      </c>
      <c r="S458" s="1364">
        <f>+S346</f>
        <v/>
      </c>
      <c r="T458" s="1364">
        <f>+T346</f>
        <v/>
      </c>
      <c r="U458" s="1378">
        <f>+U346</f>
        <v/>
      </c>
      <c r="V458" s="1364">
        <f>+V346</f>
        <v/>
      </c>
      <c r="W458" s="1364">
        <f>+W346</f>
        <v/>
      </c>
      <c r="X458" s="1364">
        <f>+X346</f>
        <v/>
      </c>
      <c r="Y458" s="1364">
        <f>+Y346</f>
        <v/>
      </c>
      <c r="Z458" s="1378">
        <f>+Z346</f>
        <v/>
      </c>
      <c r="AA458" s="1364">
        <f>+AA346</f>
        <v/>
      </c>
      <c r="AB458" s="1364">
        <f>+AB346</f>
        <v/>
      </c>
      <c r="AC458" s="1364">
        <f>+AC392+AC401</f>
        <v/>
      </c>
      <c r="AD458" s="1364">
        <f>+AD346</f>
        <v/>
      </c>
      <c r="AE458" s="1378">
        <f>+AE346</f>
        <v/>
      </c>
      <c r="AF458" s="1364">
        <f>+AF346</f>
        <v/>
      </c>
      <c r="AG458" s="1364">
        <f>+AG346</f>
        <v/>
      </c>
      <c r="AH458" s="1364">
        <f>+AH392+AH401</f>
        <v/>
      </c>
      <c r="AI458" s="1364">
        <f>+AI346</f>
        <v/>
      </c>
      <c r="AJ458" s="1378">
        <f>+AJ346</f>
        <v/>
      </c>
      <c r="AK458" s="1364">
        <f>+AK346</f>
        <v/>
      </c>
      <c r="AL458" s="1364">
        <f>+AL346</f>
        <v/>
      </c>
      <c r="AM458" s="1364">
        <f>+AM392+AM401</f>
        <v/>
      </c>
      <c r="AN458" s="1364">
        <f>+AN346</f>
        <v/>
      </c>
      <c r="AO458" s="1378">
        <f>+AO346</f>
        <v/>
      </c>
      <c r="AP458" s="1364">
        <f>+AP346</f>
        <v/>
      </c>
      <c r="AQ458" s="1364">
        <f>+AQ346</f>
        <v/>
      </c>
      <c r="AR458" s="1364">
        <f>+AR392+AR401</f>
        <v/>
      </c>
      <c r="AS458" s="1364">
        <f>+AS346</f>
        <v/>
      </c>
      <c r="AT458" s="1378">
        <f>+AT346</f>
        <v/>
      </c>
      <c r="AU458" s="1364">
        <f>+AU346</f>
        <v/>
      </c>
      <c r="AV458" s="1364">
        <f>+AV346</f>
        <v/>
      </c>
      <c r="AW458" s="1364">
        <f>+AW346</f>
        <v/>
      </c>
      <c r="AX458" s="1364">
        <f>+AX346</f>
        <v/>
      </c>
      <c r="AY458" s="1378">
        <f>+AY346</f>
        <v/>
      </c>
      <c r="AZ458" s="1364">
        <f>+AZ346</f>
        <v/>
      </c>
      <c r="BA458" s="1364">
        <f>+BA346</f>
        <v/>
      </c>
      <c r="BB458" s="1364">
        <f>+BB346</f>
        <v/>
      </c>
      <c r="BC458" s="1364">
        <f>+BC346</f>
        <v/>
      </c>
      <c r="BD458" s="1378">
        <f>+BD346</f>
        <v/>
      </c>
      <c r="BE458" s="1364">
        <f>+BE346</f>
        <v/>
      </c>
      <c r="BF458" s="1364">
        <f>+BF346</f>
        <v/>
      </c>
      <c r="BG458" s="1364">
        <f>+BG346</f>
        <v/>
      </c>
      <c r="BH458" s="1364">
        <f>+BH346</f>
        <v/>
      </c>
      <c r="BI458" s="1378">
        <f>+BI346</f>
        <v/>
      </c>
      <c r="BJ458" s="1364">
        <f>+BJ346</f>
        <v/>
      </c>
      <c r="BK458" s="1364">
        <f>+BK346</f>
        <v/>
      </c>
      <c r="BL458" s="1364">
        <f>+BL346</f>
        <v/>
      </c>
      <c r="BM458" s="1364">
        <f>+BM346</f>
        <v/>
      </c>
      <c r="BN458" s="1378">
        <f>+BN346</f>
        <v/>
      </c>
      <c r="BO458" s="1364">
        <f>+BO346</f>
        <v/>
      </c>
      <c r="BP458" s="1364">
        <f>+BP346</f>
        <v/>
      </c>
      <c r="BQ458" s="1395">
        <f>+BQ346</f>
        <v/>
      </c>
      <c r="BR458" s="1361">
        <f>BR454-BR462-BR461-BR460-BR459</f>
        <v/>
      </c>
      <c r="BS458" s="1379">
        <f>SUM(BO458,BP458,BQ458,BR458)</f>
        <v/>
      </c>
      <c r="BT458" s="1361">
        <f>BT454-BT462-BT461-BT460-BT459</f>
        <v/>
      </c>
      <c r="BU458" s="1361">
        <f>BU454-BU462-BU461-BU460-BU459</f>
        <v/>
      </c>
      <c r="BV458" s="1361">
        <f>BV454-BV462-BV461-BV460-BV459</f>
        <v/>
      </c>
      <c r="BW458" s="1361">
        <f>BW454-BW462-BW461-BW460-BW459</f>
        <v/>
      </c>
      <c r="BX458" s="1379">
        <f>SUM(BT458,BU458,BV458,BW458)</f>
        <v/>
      </c>
      <c r="BY458" s="1379">
        <f>BY454-BY462-BY461-BY460-BY459</f>
        <v/>
      </c>
      <c r="BZ458" s="1379">
        <f>BZ454-BZ462-BZ461-BZ460-BZ459</f>
        <v/>
      </c>
      <c r="CA458" s="1379">
        <f>CA454-CA462-CA461-CA460-CA459</f>
        <v/>
      </c>
      <c r="CB458" s="1364" t="n"/>
    </row>
    <row r="459" hidden="1" outlineLevel="1" ht="14.4" customFormat="1" customHeight="1" s="1372">
      <c r="A459" s="1594" t="inlineStr">
        <is>
          <t>SBC COGS</t>
        </is>
      </c>
      <c r="B459" s="1512" t="n"/>
      <c r="C459" s="1379">
        <f>C402+C394</f>
        <v/>
      </c>
      <c r="D459" s="1379">
        <f>D402+D394</f>
        <v/>
      </c>
      <c r="E459" s="1379">
        <f>E402+E394</f>
        <v/>
      </c>
      <c r="F459" s="1379">
        <f>F402+F394</f>
        <v/>
      </c>
      <c r="G459" s="1361">
        <f>G402+G394</f>
        <v/>
      </c>
      <c r="H459" s="1361">
        <f>H402+H394</f>
        <v/>
      </c>
      <c r="I459" s="1361">
        <f>I402+I394</f>
        <v/>
      </c>
      <c r="J459" s="1361">
        <f>J402+J394</f>
        <v/>
      </c>
      <c r="K459" s="1379">
        <f>K402+K394</f>
        <v/>
      </c>
      <c r="L459" s="1361">
        <f>L402+L394</f>
        <v/>
      </c>
      <c r="M459" s="1361">
        <f>M402+M394</f>
        <v/>
      </c>
      <c r="N459" s="1361">
        <f>N402+N394</f>
        <v/>
      </c>
      <c r="O459" s="1361">
        <f>O402+O394</f>
        <v/>
      </c>
      <c r="P459" s="1379">
        <f>P402+P394</f>
        <v/>
      </c>
      <c r="Q459" s="1361">
        <f>Q402+Q394</f>
        <v/>
      </c>
      <c r="R459" s="1361">
        <f>R402+R394</f>
        <v/>
      </c>
      <c r="S459" s="1361">
        <f>S402+S394</f>
        <v/>
      </c>
      <c r="T459" s="1361">
        <f>T402+T394</f>
        <v/>
      </c>
      <c r="U459" s="1379">
        <f>U402+U394</f>
        <v/>
      </c>
      <c r="V459" s="1361">
        <f>V402+V394</f>
        <v/>
      </c>
      <c r="W459" s="1361">
        <f>W402+W394</f>
        <v/>
      </c>
      <c r="X459" s="1361">
        <f>X402+X394</f>
        <v/>
      </c>
      <c r="Y459" s="1361">
        <f>Y402+Y394</f>
        <v/>
      </c>
      <c r="Z459" s="1379">
        <f>Z402+Z394</f>
        <v/>
      </c>
      <c r="AA459" s="1361">
        <f>AA402+AA394</f>
        <v/>
      </c>
      <c r="AB459" s="1361">
        <f>AB402+AB394</f>
        <v/>
      </c>
      <c r="AC459" s="1361">
        <f>AC402+AC394</f>
        <v/>
      </c>
      <c r="AD459" s="1361">
        <f>AD402+AD394</f>
        <v/>
      </c>
      <c r="AE459" s="1379">
        <f>AE402+AE394</f>
        <v/>
      </c>
      <c r="AF459" s="1361">
        <f>AF402+AF394</f>
        <v/>
      </c>
      <c r="AG459" s="1361">
        <f>AG402+AG394</f>
        <v/>
      </c>
      <c r="AH459" s="1361">
        <f>AH402+AH394</f>
        <v/>
      </c>
      <c r="AI459" s="1361">
        <f>AI402+AI394</f>
        <v/>
      </c>
      <c r="AJ459" s="1379">
        <f>AJ402+AJ394</f>
        <v/>
      </c>
      <c r="AK459" s="1361">
        <f>AK402+AK394</f>
        <v/>
      </c>
      <c r="AL459" s="1361">
        <f>AL402+AL394</f>
        <v/>
      </c>
      <c r="AM459" s="1361">
        <f>AM402+AM394</f>
        <v/>
      </c>
      <c r="AN459" s="1361">
        <f>AN402+AN394</f>
        <v/>
      </c>
      <c r="AO459" s="1379">
        <f>AO402+AO394</f>
        <v/>
      </c>
      <c r="AP459" s="1361">
        <f>AP402+AP394</f>
        <v/>
      </c>
      <c r="AQ459" s="1361">
        <f>AQ402+AQ394</f>
        <v/>
      </c>
      <c r="AR459" s="1361">
        <f>AR402+AR394</f>
        <v/>
      </c>
      <c r="AS459" s="1361">
        <f>AS402+AS394</f>
        <v/>
      </c>
      <c r="AT459" s="1379">
        <f>AT402+AT394</f>
        <v/>
      </c>
      <c r="AU459" s="1361">
        <f>AU402+AU394</f>
        <v/>
      </c>
      <c r="AV459" s="1361">
        <f>AV402+AV394</f>
        <v/>
      </c>
      <c r="AW459" s="1361">
        <f>AW402+AW394</f>
        <v/>
      </c>
      <c r="AX459" s="1361">
        <f>AX402+AX394</f>
        <v/>
      </c>
      <c r="AY459" s="1379">
        <f>AY402+AY394</f>
        <v/>
      </c>
      <c r="AZ459" s="1361">
        <f>AZ402+AZ394</f>
        <v/>
      </c>
      <c r="BA459" s="1361">
        <f>BA402+BA394</f>
        <v/>
      </c>
      <c r="BB459" s="1361">
        <f>BB402+BB394</f>
        <v/>
      </c>
      <c r="BC459" s="1361">
        <f>BC402+BC394</f>
        <v/>
      </c>
      <c r="BD459" s="1379">
        <f>BD402+BD394</f>
        <v/>
      </c>
      <c r="BE459" s="1361">
        <f>BE402+BE394</f>
        <v/>
      </c>
      <c r="BF459" s="1361">
        <f>BF402+BF394</f>
        <v/>
      </c>
      <c r="BG459" s="1361">
        <f>BG402+BG394</f>
        <v/>
      </c>
      <c r="BH459" s="1361">
        <f>BH402+BH394</f>
        <v/>
      </c>
      <c r="BI459" s="1379">
        <f>BI402+BI394</f>
        <v/>
      </c>
      <c r="BJ459" s="1361">
        <f>BJ402+BJ394</f>
        <v/>
      </c>
      <c r="BK459" s="1361">
        <f>BK402+BK394</f>
        <v/>
      </c>
      <c r="BL459" s="1361">
        <f>BL402+BL394</f>
        <v/>
      </c>
      <c r="BM459" s="1361">
        <f>BM402+BM394</f>
        <v/>
      </c>
      <c r="BN459" s="1379">
        <f>BN402+BN394</f>
        <v/>
      </c>
      <c r="BO459" s="1361">
        <f>BO402+BO394</f>
        <v/>
      </c>
      <c r="BP459" s="1361">
        <f>BP402+BP394</f>
        <v/>
      </c>
      <c r="BQ459" s="1363">
        <f>BQ402+BQ394</f>
        <v/>
      </c>
      <c r="BR459" s="1361">
        <f>-BR41</f>
        <v/>
      </c>
      <c r="BS459" s="1379">
        <f>SUM(BO459,BP459,BQ459,BR459)</f>
        <v/>
      </c>
      <c r="BT459" s="1361">
        <f>-BT41</f>
        <v/>
      </c>
      <c r="BU459" s="1361">
        <f>-BU41</f>
        <v/>
      </c>
      <c r="BV459" s="1361">
        <f>-BV41</f>
        <v/>
      </c>
      <c r="BW459" s="1361">
        <f>-BW41</f>
        <v/>
      </c>
      <c r="BX459" s="1379">
        <f>SUM(BT459,BU459,BV459,BW459)</f>
        <v/>
      </c>
      <c r="BY459" s="1379">
        <f>-BY41</f>
        <v/>
      </c>
      <c r="BZ459" s="1379">
        <f>-BZ41</f>
        <v/>
      </c>
      <c r="CA459" s="1379">
        <f>-CA41</f>
        <v/>
      </c>
      <c r="CB459" s="1375" t="n"/>
    </row>
    <row r="460" hidden="1" outlineLevel="1" ht="14.4" customFormat="1" customHeight="1" s="1372">
      <c r="A460" s="1594" t="inlineStr">
        <is>
          <t>Intangible amortization COGS</t>
        </is>
      </c>
      <c r="B460" s="1512" t="n"/>
      <c r="C460" s="1379">
        <f>C393</f>
        <v/>
      </c>
      <c r="D460" s="1379">
        <f>D393</f>
        <v/>
      </c>
      <c r="E460" s="1379">
        <f>E393</f>
        <v/>
      </c>
      <c r="F460" s="1379">
        <f>F393</f>
        <v/>
      </c>
      <c r="G460" s="1361">
        <f>G393</f>
        <v/>
      </c>
      <c r="H460" s="1361">
        <f>H393</f>
        <v/>
      </c>
      <c r="I460" s="1361">
        <f>I393</f>
        <v/>
      </c>
      <c r="J460" s="1361">
        <f>J393</f>
        <v/>
      </c>
      <c r="K460" s="1379">
        <f>K393</f>
        <v/>
      </c>
      <c r="L460" s="1361">
        <f>L393</f>
        <v/>
      </c>
      <c r="M460" s="1361">
        <f>M393</f>
        <v/>
      </c>
      <c r="N460" s="1361">
        <f>N393</f>
        <v/>
      </c>
      <c r="O460" s="1361">
        <f>O393</f>
        <v/>
      </c>
      <c r="P460" s="1379">
        <f>P393</f>
        <v/>
      </c>
      <c r="Q460" s="1361">
        <f>Q393</f>
        <v/>
      </c>
      <c r="R460" s="1361">
        <f>R393</f>
        <v/>
      </c>
      <c r="S460" s="1361">
        <f>S393</f>
        <v/>
      </c>
      <c r="T460" s="1361">
        <f>T393</f>
        <v/>
      </c>
      <c r="U460" s="1379">
        <f>U393</f>
        <v/>
      </c>
      <c r="V460" s="1361">
        <f>V393</f>
        <v/>
      </c>
      <c r="W460" s="1361">
        <f>W393</f>
        <v/>
      </c>
      <c r="X460" s="1361">
        <f>X393</f>
        <v/>
      </c>
      <c r="Y460" s="1361">
        <f>Y393</f>
        <v/>
      </c>
      <c r="Z460" s="1379">
        <f>Z393</f>
        <v/>
      </c>
      <c r="AA460" s="1361">
        <f>AA393</f>
        <v/>
      </c>
      <c r="AB460" s="1361">
        <f>AB393</f>
        <v/>
      </c>
      <c r="AC460" s="1361">
        <f>AC393</f>
        <v/>
      </c>
      <c r="AD460" s="1361">
        <f>AD393</f>
        <v/>
      </c>
      <c r="AE460" s="1379">
        <f>AE393</f>
        <v/>
      </c>
      <c r="AF460" s="1361">
        <f>AF393</f>
        <v/>
      </c>
      <c r="AG460" s="1361">
        <f>AG393</f>
        <v/>
      </c>
      <c r="AH460" s="1361">
        <f>AH393</f>
        <v/>
      </c>
      <c r="AI460" s="1361">
        <f>AI393</f>
        <v/>
      </c>
      <c r="AJ460" s="1379">
        <f>AJ393</f>
        <v/>
      </c>
      <c r="AK460" s="1361">
        <f>AK393</f>
        <v/>
      </c>
      <c r="AL460" s="1361">
        <f>AL393</f>
        <v/>
      </c>
      <c r="AM460" s="1361">
        <f>AM393</f>
        <v/>
      </c>
      <c r="AN460" s="1361">
        <f>AN393</f>
        <v/>
      </c>
      <c r="AO460" s="1379">
        <f>AO393</f>
        <v/>
      </c>
      <c r="AP460" s="1361">
        <f>AP393</f>
        <v/>
      </c>
      <c r="AQ460" s="1361">
        <f>AQ393</f>
        <v/>
      </c>
      <c r="AR460" s="1361">
        <f>AR393</f>
        <v/>
      </c>
      <c r="AS460" s="1361">
        <f>AS393</f>
        <v/>
      </c>
      <c r="AT460" s="1379">
        <f>AT393</f>
        <v/>
      </c>
      <c r="AU460" s="1361">
        <f>AU393</f>
        <v/>
      </c>
      <c r="AV460" s="1361">
        <f>AV393</f>
        <v/>
      </c>
      <c r="AW460" s="1361">
        <f>AW393</f>
        <v/>
      </c>
      <c r="AX460" s="1361">
        <f>AX393</f>
        <v/>
      </c>
      <c r="AY460" s="1379">
        <f>AY393</f>
        <v/>
      </c>
      <c r="AZ460" s="1361">
        <f>AZ393</f>
        <v/>
      </c>
      <c r="BA460" s="1361">
        <f>BA393</f>
        <v/>
      </c>
      <c r="BB460" s="1361">
        <f>BB393</f>
        <v/>
      </c>
      <c r="BC460" s="1361">
        <f>BC393</f>
        <v/>
      </c>
      <c r="BD460" s="1379">
        <f>BD393</f>
        <v/>
      </c>
      <c r="BE460" s="1361">
        <f>BE393</f>
        <v/>
      </c>
      <c r="BF460" s="1361">
        <f>BF393</f>
        <v/>
      </c>
      <c r="BG460" s="1361">
        <f>BG393</f>
        <v/>
      </c>
      <c r="BH460" s="1361">
        <f>BH393</f>
        <v/>
      </c>
      <c r="BI460" s="1379">
        <f>BI393</f>
        <v/>
      </c>
      <c r="BJ460" s="1361">
        <f>BJ393</f>
        <v/>
      </c>
      <c r="BK460" s="1361">
        <f>BK393</f>
        <v/>
      </c>
      <c r="BL460" s="1361">
        <f>BL393</f>
        <v/>
      </c>
      <c r="BM460" s="1361">
        <f>BM393</f>
        <v/>
      </c>
      <c r="BN460" s="1379">
        <f>BN393</f>
        <v/>
      </c>
      <c r="BO460" s="1361">
        <f>BO393</f>
        <v/>
      </c>
      <c r="BP460" s="1361">
        <f>BP393</f>
        <v/>
      </c>
      <c r="BQ460" s="1363">
        <f>BQ393</f>
        <v/>
      </c>
      <c r="BR460" s="1361">
        <f>-BR43</f>
        <v/>
      </c>
      <c r="BS460" s="1379">
        <f>SUM(BO460,BP460,BQ460,BR460)</f>
        <v/>
      </c>
      <c r="BT460" s="1361">
        <f>-BT43</f>
        <v/>
      </c>
      <c r="BU460" s="1361">
        <f>-BU43</f>
        <v/>
      </c>
      <c r="BV460" s="1361">
        <f>-BV43</f>
        <v/>
      </c>
      <c r="BW460" s="1361">
        <f>-BW43</f>
        <v/>
      </c>
      <c r="BX460" s="1379">
        <f>SUM(BT460,BU460,BV460,BW460)</f>
        <v/>
      </c>
      <c r="BY460" s="1379">
        <f>-BY43</f>
        <v/>
      </c>
      <c r="BZ460" s="1379">
        <f>-BZ43</f>
        <v/>
      </c>
      <c r="CA460" s="1379">
        <f>-CA43</f>
        <v/>
      </c>
      <c r="CB460" s="1375" t="n"/>
    </row>
    <row r="461" hidden="1" outlineLevel="1" ht="14.4" customFormat="1" customHeight="1" s="1372">
      <c r="A461" s="1595" t="inlineStr">
        <is>
          <t>Other COGS Adjustments</t>
        </is>
      </c>
      <c r="B461" s="1514" t="n"/>
      <c r="C461" s="1455">
        <f>SUM(C393:C398,C402:C406)-C459-C460</f>
        <v/>
      </c>
      <c r="D461" s="1455">
        <f>SUM(D393:D398,D402:D406)-D459-D460</f>
        <v/>
      </c>
      <c r="E461" s="1455">
        <f>SUM(E393:E398,E402:E406)-E459-E460</f>
        <v/>
      </c>
      <c r="F461" s="1455">
        <f>SUM(F393:F398,F402:F406)-F459-F460</f>
        <v/>
      </c>
      <c r="G461" s="1456">
        <f>SUM(G393:G398,G402:G406)-G459-G460</f>
        <v/>
      </c>
      <c r="H461" s="1456">
        <f>SUM(H393:H398,H402:H406)-H459-H460</f>
        <v/>
      </c>
      <c r="I461" s="1456">
        <f>SUM(I393:I398,I402:I406)-I459-I460</f>
        <v/>
      </c>
      <c r="J461" s="1456">
        <f>SUM(J393:J398,J402:J406)-J459-J460</f>
        <v/>
      </c>
      <c r="K461" s="1455">
        <f>SUM(K393:K398,K402:K406)-K459-K460</f>
        <v/>
      </c>
      <c r="L461" s="1456">
        <f>SUM(L393:L398,L402:L406)-L459-L460</f>
        <v/>
      </c>
      <c r="M461" s="1456">
        <f>SUM(M393:M398,M402:M406)-M459-M460</f>
        <v/>
      </c>
      <c r="N461" s="1456">
        <f>SUM(N393:N398,N402:N406)-N459-N460</f>
        <v/>
      </c>
      <c r="O461" s="1456">
        <f>SUM(O393:O398,O402:O406)-O459-O460</f>
        <v/>
      </c>
      <c r="P461" s="1455">
        <f>SUM(P393:P398,P402:P406)-P459-P460</f>
        <v/>
      </c>
      <c r="Q461" s="1456">
        <f>SUM(Q393:Q398,Q402:Q406)-Q459-Q460</f>
        <v/>
      </c>
      <c r="R461" s="1456">
        <f>SUM(R393:R398,R402:R406)-R459-R460</f>
        <v/>
      </c>
      <c r="S461" s="1456">
        <f>SUM(S393:S398,S402:S406)-S459-S460</f>
        <v/>
      </c>
      <c r="T461" s="1456">
        <f>SUM(T393:T398,T402:T406)-T459-T460</f>
        <v/>
      </c>
      <c r="U461" s="1455">
        <f>SUM(U393:U398,U402:U406)-U459-U460</f>
        <v/>
      </c>
      <c r="V461" s="1456">
        <f>SUM(V393:V398,V402:V406)-V459-V460</f>
        <v/>
      </c>
      <c r="W461" s="1456">
        <f>SUM(W393:W398,W402:W406)-W459-W460</f>
        <v/>
      </c>
      <c r="X461" s="1456">
        <f>SUM(X393:X398,X402:X406)-X459-X460</f>
        <v/>
      </c>
      <c r="Y461" s="1456">
        <f>SUM(Y393:Y398,Y402:Y406)-Y459-Y460</f>
        <v/>
      </c>
      <c r="Z461" s="1455">
        <f>SUM(Z393:Z398,Z402:Z406)-Z459-Z460</f>
        <v/>
      </c>
      <c r="AA461" s="1456">
        <f>SUM(AA393:AA398,AA402:AA406)-AA459-AA460</f>
        <v/>
      </c>
      <c r="AB461" s="1456">
        <f>SUM(AB393:AB398,AB402:AB406)-AB459-AB460</f>
        <v/>
      </c>
      <c r="AC461" s="1456">
        <f>SUM(AC393:AC398,AC402:AC406)-AC459-AC460</f>
        <v/>
      </c>
      <c r="AD461" s="1456">
        <f>SUM(AD393:AD398,AD402:AD406)-AD459-AD460</f>
        <v/>
      </c>
      <c r="AE461" s="1455">
        <f>SUM(AE393:AE398,AE402:AE406)-AE459-AE460</f>
        <v/>
      </c>
      <c r="AF461" s="1456">
        <f>SUM(AF393:AF398,AF402:AF406)-AF459-AF460</f>
        <v/>
      </c>
      <c r="AG461" s="1456">
        <f>SUM(AG393:AG398,AG402:AG406)-AG459-AG460</f>
        <v/>
      </c>
      <c r="AH461" s="1456">
        <f>SUM(AH393:AH398,AH402:AH406)-AH459-AH460</f>
        <v/>
      </c>
      <c r="AI461" s="1456">
        <f>SUM(AI393:AI398,AI402:AI406)-AI459-AI460</f>
        <v/>
      </c>
      <c r="AJ461" s="1455">
        <f>SUM(AJ393:AJ398,AJ402:AJ406)-AJ459-AJ460</f>
        <v/>
      </c>
      <c r="AK461" s="1456">
        <f>SUM(AK393:AK398,AK402:AK406)-AK459-AK460</f>
        <v/>
      </c>
      <c r="AL461" s="1456">
        <f>SUM(AL393:AL398,AL402:AL406)-AL459-AL460</f>
        <v/>
      </c>
      <c r="AM461" s="1456">
        <f>SUM(AM393:AM398,AM402:AM406)-AM459-AM460</f>
        <v/>
      </c>
      <c r="AN461" s="1456">
        <f>SUM(AN393:AN398,AN402:AN406)-AN459-AN460</f>
        <v/>
      </c>
      <c r="AO461" s="1455">
        <f>SUM(AO393:AO398,AO402:AO406)-AO459-AO460</f>
        <v/>
      </c>
      <c r="AP461" s="1456">
        <f>SUM(AP393:AP398,AP402:AP406)-AP459-AP460</f>
        <v/>
      </c>
      <c r="AQ461" s="1456">
        <f>SUM(AQ393:AQ398,AQ402:AQ406)-AQ459-AQ460</f>
        <v/>
      </c>
      <c r="AR461" s="1456">
        <f>SUM(AR393:AR398,AR402:AR406)-AR459-AR460</f>
        <v/>
      </c>
      <c r="AS461" s="1456">
        <f>SUM(AS393:AS398,AS402:AS406)-AS459-AS460</f>
        <v/>
      </c>
      <c r="AT461" s="1455">
        <f>SUM(AT393:AT398,AT402:AT406)-AT459-AT460</f>
        <v/>
      </c>
      <c r="AU461" s="1456">
        <f>SUM(AU393:AU398,AU402:AU406)-AU459-AU460</f>
        <v/>
      </c>
      <c r="AV461" s="1456">
        <f>SUM(AV393:AV398,AV402:AV406)-AV459-AV460</f>
        <v/>
      </c>
      <c r="AW461" s="1456">
        <f>SUM(AW393:AW398,AW402:AW406)-AW459-AW460</f>
        <v/>
      </c>
      <c r="AX461" s="1456">
        <f>SUM(AX393:AX398,AX402:AX406)-AX459-AX460</f>
        <v/>
      </c>
      <c r="AY461" s="1455">
        <f>SUM(AY393:AY398,AY402:AY406)-AY459-AY460</f>
        <v/>
      </c>
      <c r="AZ461" s="1456">
        <f>SUM(AZ393:AZ398,AZ402:AZ406)-AZ459-AZ460</f>
        <v/>
      </c>
      <c r="BA461" s="1456">
        <f>SUM(BA393:BA398,BA402:BA406)-BA459-BA460</f>
        <v/>
      </c>
      <c r="BB461" s="1456">
        <f>SUM(BB393:BB398,BB402:BB406)-BB459-BB460</f>
        <v/>
      </c>
      <c r="BC461" s="1456">
        <f>SUM(BC393:BC398,BC402:BC406)-BC459-BC460</f>
        <v/>
      </c>
      <c r="BD461" s="1455">
        <f>SUM(BD393:BD398,BD402:BD406)-BD459-BD460</f>
        <v/>
      </c>
      <c r="BE461" s="1456">
        <f>SUM(BE393:BE398,BE402:BE406)-BE459-BE460</f>
        <v/>
      </c>
      <c r="BF461" s="1456">
        <f>SUM(BF393:BF398,BF402:BF406)-BF459-BF460</f>
        <v/>
      </c>
      <c r="BG461" s="1456">
        <f>SUM(BG393:BG398,BG402:BG406)-BG459-BG460</f>
        <v/>
      </c>
      <c r="BH461" s="1456">
        <f>SUM(BH393:BH398,BH402:BH406)-BH459-BH460</f>
        <v/>
      </c>
      <c r="BI461" s="1455">
        <f>SUM(BI393:BI398,BI402:BI406)-BI459-BI460</f>
        <v/>
      </c>
      <c r="BJ461" s="1456">
        <f>SUM(BJ393:BJ398,BJ402:BJ406)-BJ459-BJ460</f>
        <v/>
      </c>
      <c r="BK461" s="1456">
        <f>SUM(BK393:BK398,BK402:BK406)-BK459-BK460</f>
        <v/>
      </c>
      <c r="BL461" s="1456">
        <f>SUM(BL393:BL398,BL402:BL406)-BL459-BL460</f>
        <v/>
      </c>
      <c r="BM461" s="1456">
        <f>SUM(BM393:BM398,BM402:BM406)-BM459-BM460</f>
        <v/>
      </c>
      <c r="BN461" s="1455">
        <f>SUM(BN393:BN398,BN402:BN406)-BN459-BN460</f>
        <v/>
      </c>
      <c r="BO461" s="1456">
        <f>SUM(BO393:BO398,BO402:BO406)-BO459-BO460</f>
        <v/>
      </c>
      <c r="BP461" s="1456">
        <f>SUM(BP393:BP398,BP402:BP406)-BP459-BP460</f>
        <v/>
      </c>
      <c r="BQ461" s="1457">
        <f>SUM(BQ393:BQ398,BQ402:BQ406)-BQ459-BQ460</f>
        <v/>
      </c>
      <c r="BR461" s="1456">
        <f>-BR44</f>
        <v/>
      </c>
      <c r="BS461" s="1455">
        <f>SUM(BO461,BP461,BQ461,BR461)</f>
        <v/>
      </c>
      <c r="BT461" s="1456">
        <f>-BT44</f>
        <v/>
      </c>
      <c r="BU461" s="1456">
        <f>-BU44</f>
        <v/>
      </c>
      <c r="BV461" s="1456">
        <f>-BV44</f>
        <v/>
      </c>
      <c r="BW461" s="1456">
        <f>-BW44</f>
        <v/>
      </c>
      <c r="BX461" s="1455">
        <f>SUM(BT461,BU461,BV461,BW461)</f>
        <v/>
      </c>
      <c r="BY461" s="1455">
        <f>-BY44</f>
        <v/>
      </c>
      <c r="BZ461" s="1455">
        <f>-BZ44</f>
        <v/>
      </c>
      <c r="CA461" s="1455">
        <f>-CA44</f>
        <v/>
      </c>
      <c r="CB461" s="1375" t="n"/>
    </row>
    <row r="462" collapsed="1" ht="14.4" customFormat="1" customHeight="1" s="1372">
      <c r="A462" s="1596" t="inlineStr">
        <is>
          <t>Non-GAAP Gross Profit</t>
        </is>
      </c>
      <c r="B462" s="1517" t="n"/>
      <c r="C462" s="1449">
        <f>C454-SUM(C458:C461)</f>
        <v/>
      </c>
      <c r="D462" s="1458">
        <f>D454-SUM(D458:D461)</f>
        <v/>
      </c>
      <c r="E462" s="1458">
        <f>E454-SUM(E458:E461)</f>
        <v/>
      </c>
      <c r="F462" s="1458">
        <f>F454-SUM(F458:F461)</f>
        <v/>
      </c>
      <c r="G462" s="1375">
        <f>G454-SUM(G458:G461)</f>
        <v/>
      </c>
      <c r="H462" s="1375">
        <f>H454-SUM(H458:H461)</f>
        <v/>
      </c>
      <c r="I462" s="1375">
        <f>I454-SUM(I458:I461)</f>
        <v/>
      </c>
      <c r="J462" s="1375">
        <f>J454-SUM(J458:J461)</f>
        <v/>
      </c>
      <c r="K462" s="1458">
        <f>K454-SUM(K458:K461)</f>
        <v/>
      </c>
      <c r="L462" s="1375">
        <f>L454-SUM(L458:L461)</f>
        <v/>
      </c>
      <c r="M462" s="1375">
        <f>M454-SUM(M458:M461)</f>
        <v/>
      </c>
      <c r="N462" s="1375">
        <f>N454-SUM(N458:N461)</f>
        <v/>
      </c>
      <c r="O462" s="1375">
        <f>O454-SUM(O458:O461)</f>
        <v/>
      </c>
      <c r="P462" s="1458">
        <f>P454-SUM(P458:P461)</f>
        <v/>
      </c>
      <c r="Q462" s="1375">
        <f>Q454-SUM(Q458:Q461)</f>
        <v/>
      </c>
      <c r="R462" s="1375">
        <f>R454-SUM(R458:R461)</f>
        <v/>
      </c>
      <c r="S462" s="1375">
        <f>S454-SUM(S458:S461)</f>
        <v/>
      </c>
      <c r="T462" s="1375">
        <f>T454-SUM(T458:T461)</f>
        <v/>
      </c>
      <c r="U462" s="1458">
        <f>U454-SUM(U458:U461)</f>
        <v/>
      </c>
      <c r="V462" s="1375">
        <f>V454-SUM(V458:V461)</f>
        <v/>
      </c>
      <c r="W462" s="1375">
        <f>W454-SUM(W458:W461)</f>
        <v/>
      </c>
      <c r="X462" s="1375">
        <f>X454-SUM(X458:X461)</f>
        <v/>
      </c>
      <c r="Y462" s="1375">
        <f>Y454-SUM(Y458:Y461)</f>
        <v/>
      </c>
      <c r="Z462" s="1458">
        <f>Z454-SUM(Z458:Z461)</f>
        <v/>
      </c>
      <c r="AA462" s="1375">
        <f>AA454-SUM(AA458:AA461)</f>
        <v/>
      </c>
      <c r="AB462" s="1375">
        <f>AB454-SUM(AB458:AB461)</f>
        <v/>
      </c>
      <c r="AC462" s="1375">
        <f>AC454-SUM(AC458:AC461)</f>
        <v/>
      </c>
      <c r="AD462" s="1375">
        <f>AD454-SUM(AD458:AD461)</f>
        <v/>
      </c>
      <c r="AE462" s="1458">
        <f>AE454-SUM(AE458:AE461)</f>
        <v/>
      </c>
      <c r="AF462" s="1375">
        <f>AF454-SUM(AF458:AF461)</f>
        <v/>
      </c>
      <c r="AG462" s="1375">
        <f>AG454-SUM(AG458:AG461)</f>
        <v/>
      </c>
      <c r="AH462" s="1375">
        <f>AH454-SUM(AH458:AH461)</f>
        <v/>
      </c>
      <c r="AI462" s="1375">
        <f>AI454-SUM(AI458:AI461)</f>
        <v/>
      </c>
      <c r="AJ462" s="1458">
        <f>AJ454-SUM(AJ458:AJ461)</f>
        <v/>
      </c>
      <c r="AK462" s="1375">
        <f>AK454-SUM(AK458:AK461)</f>
        <v/>
      </c>
      <c r="AL462" s="1375">
        <f>AL454-SUM(AL458:AL461)</f>
        <v/>
      </c>
      <c r="AM462" s="1375">
        <f>AM454-SUM(AM458:AM461)</f>
        <v/>
      </c>
      <c r="AN462" s="1375">
        <f>AN454-SUM(AN458:AN461)</f>
        <v/>
      </c>
      <c r="AO462" s="1458">
        <f>AO454-SUM(AO458:AO461)</f>
        <v/>
      </c>
      <c r="AP462" s="1375">
        <f>AP454-SUM(AP458:AP461)</f>
        <v/>
      </c>
      <c r="AQ462" s="1375">
        <f>AQ454-SUM(AQ458:AQ461)</f>
        <v/>
      </c>
      <c r="AR462" s="1375">
        <f>AR454-SUM(AR458:AR461)</f>
        <v/>
      </c>
      <c r="AS462" s="1375">
        <f>AS454-SUM(AS458:AS461)</f>
        <v/>
      </c>
      <c r="AT462" s="1458">
        <f>AT454-SUM(AT458:AT461)</f>
        <v/>
      </c>
      <c r="AU462" s="1375">
        <f>AU454-SUM(AU458:AU461)</f>
        <v/>
      </c>
      <c r="AV462" s="1375">
        <f>AV454-SUM(AV458:AV461)</f>
        <v/>
      </c>
      <c r="AW462" s="1375">
        <f>AW454-SUM(AW458:AW461)</f>
        <v/>
      </c>
      <c r="AX462" s="1375">
        <f>AX454-SUM(AX458:AX461)</f>
        <v/>
      </c>
      <c r="AY462" s="1458">
        <f>AY454-SUM(AY458:AY461)</f>
        <v/>
      </c>
      <c r="AZ462" s="1375">
        <f>AZ454-SUM(AZ458:AZ461)</f>
        <v/>
      </c>
      <c r="BA462" s="1375">
        <f>BA454-SUM(BA458:BA461)</f>
        <v/>
      </c>
      <c r="BB462" s="1375">
        <f>BB454-SUM(BB458:BB461)</f>
        <v/>
      </c>
      <c r="BC462" s="1375">
        <f>BC454-SUM(BC458:BC461)</f>
        <v/>
      </c>
      <c r="BD462" s="1458">
        <f>BD454-SUM(BD458:BD461)</f>
        <v/>
      </c>
      <c r="BE462" s="1375">
        <f>BE454-SUM(BE458:BE461)</f>
        <v/>
      </c>
      <c r="BF462" s="1375">
        <f>BF454-SUM(BF458:BF461)</f>
        <v/>
      </c>
      <c r="BG462" s="1375">
        <f>BG454-SUM(BG458:BG461)</f>
        <v/>
      </c>
      <c r="BH462" s="1375">
        <f>BH454-SUM(BH458:BH461)</f>
        <v/>
      </c>
      <c r="BI462" s="1458">
        <f>BI454-SUM(BI458:BI461)</f>
        <v/>
      </c>
      <c r="BJ462" s="1375">
        <f>BJ454-SUM(BJ458:BJ461)</f>
        <v/>
      </c>
      <c r="BK462" s="1375">
        <f>BK454-SUM(BK458:BK461)</f>
        <v/>
      </c>
      <c r="BL462" s="1375">
        <f>BL454-SUM(BL458:BL461)</f>
        <v/>
      </c>
      <c r="BM462" s="1375">
        <f>BM454-SUM(BM458:BM461)</f>
        <v/>
      </c>
      <c r="BN462" s="1458">
        <f>BN454-SUM(BN458:BN461)</f>
        <v/>
      </c>
      <c r="BO462" s="1375">
        <f>BO454-SUM(BO458:BO461)</f>
        <v/>
      </c>
      <c r="BP462" s="1375">
        <f>BP454-SUM(BP458:BP461)</f>
        <v/>
      </c>
      <c r="BQ462" s="1459">
        <f>BQ454-SUM(BQ458:BQ461)</f>
        <v/>
      </c>
      <c r="BR462" s="1450">
        <f>BR45</f>
        <v/>
      </c>
      <c r="BS462" s="1449">
        <f>BS454-SUM(BS458:BS461)</f>
        <v/>
      </c>
      <c r="BT462" s="1450">
        <f>BT45</f>
        <v/>
      </c>
      <c r="BU462" s="1450">
        <f>BU45</f>
        <v/>
      </c>
      <c r="BV462" s="1450">
        <f>BV45</f>
        <v/>
      </c>
      <c r="BW462" s="1450">
        <f>BW45</f>
        <v/>
      </c>
      <c r="BX462" s="1449">
        <f>BX454-SUM(BX458:BX461)</f>
        <v/>
      </c>
      <c r="BY462" s="1449">
        <f>BY45</f>
        <v/>
      </c>
      <c r="BZ462" s="1449">
        <f>BZ45</f>
        <v/>
      </c>
      <c r="CA462" s="1449">
        <f>CA45</f>
        <v/>
      </c>
      <c r="CB462" s="1375" t="n"/>
    </row>
    <row r="463" ht="7.5" customFormat="1" customHeight="1" s="1372">
      <c r="A463" s="1596" t="n"/>
      <c r="B463" s="1512" t="n"/>
      <c r="C463" s="1379" t="n"/>
      <c r="D463" s="1379" t="n"/>
      <c r="E463" s="1379" t="n"/>
      <c r="F463" s="1379" t="n"/>
      <c r="G463" s="1361" t="n"/>
      <c r="H463" s="1361" t="n"/>
      <c r="I463" s="1361" t="n"/>
      <c r="J463" s="1361" t="n"/>
      <c r="K463" s="1379" t="n"/>
      <c r="L463" s="1361" t="n"/>
      <c r="M463" s="1361" t="n"/>
      <c r="N463" s="1361" t="n"/>
      <c r="O463" s="1361" t="n"/>
      <c r="P463" s="1379" t="n"/>
      <c r="Q463" s="1361" t="n"/>
      <c r="R463" s="1361" t="n"/>
      <c r="S463" s="1361" t="n"/>
      <c r="T463" s="1361" t="n"/>
      <c r="U463" s="1379" t="n"/>
      <c r="V463" s="1361" t="n"/>
      <c r="W463" s="1361" t="n"/>
      <c r="X463" s="1361" t="n"/>
      <c r="Y463" s="1361" t="n"/>
      <c r="Z463" s="1379" t="n"/>
      <c r="AA463" s="1361" t="n"/>
      <c r="AB463" s="1361" t="n"/>
      <c r="AC463" s="1361" t="n"/>
      <c r="AD463" s="1361" t="n"/>
      <c r="AE463" s="1379" t="n"/>
      <c r="AF463" s="1361" t="n"/>
      <c r="AG463" s="1361" t="n"/>
      <c r="AH463" s="1361" t="n"/>
      <c r="AI463" s="1361" t="n"/>
      <c r="AJ463" s="1379" t="n"/>
      <c r="AK463" s="1361" t="n"/>
      <c r="AL463" s="1361" t="n"/>
      <c r="AM463" s="1361" t="n"/>
      <c r="AN463" s="1361" t="n"/>
      <c r="AO463" s="1379" t="n"/>
      <c r="AP463" s="1361" t="n"/>
      <c r="AQ463" s="1361" t="n"/>
      <c r="AR463" s="1361" t="n"/>
      <c r="AS463" s="1361" t="n"/>
      <c r="AT463" s="1379" t="n"/>
      <c r="AU463" s="1361" t="n"/>
      <c r="AV463" s="1361" t="n"/>
      <c r="AW463" s="1361" t="n"/>
      <c r="AX463" s="1361" t="n"/>
      <c r="AY463" s="1379" t="n"/>
      <c r="AZ463" s="1361" t="n"/>
      <c r="BA463" s="1361" t="n"/>
      <c r="BB463" s="1361" t="n"/>
      <c r="BC463" s="1361" t="n"/>
      <c r="BD463" s="1379" t="n"/>
      <c r="BE463" s="1361" t="n"/>
      <c r="BF463" s="1361" t="n"/>
      <c r="BG463" s="1361" t="n"/>
      <c r="BH463" s="1361" t="n"/>
      <c r="BI463" s="1379" t="n"/>
      <c r="BJ463" s="1361" t="n"/>
      <c r="BK463" s="1361" t="n"/>
      <c r="BL463" s="1361" t="n"/>
      <c r="BM463" s="1361" t="n"/>
      <c r="BN463" s="1379" t="n"/>
      <c r="BO463" s="1361" t="n"/>
      <c r="BP463" s="1361" t="n"/>
      <c r="BQ463" s="1363" t="n"/>
      <c r="BR463" s="1361" t="n"/>
      <c r="BS463" s="1379" t="n"/>
      <c r="BT463" s="1361" t="n"/>
      <c r="BU463" s="1361" t="n"/>
      <c r="BV463" s="1361" t="n"/>
      <c r="BW463" s="1361" t="n"/>
      <c r="BX463" s="1379" t="n"/>
      <c r="BY463" s="1379" t="n"/>
      <c r="BZ463" s="1379" t="n"/>
      <c r="CA463" s="1379" t="n"/>
      <c r="CB463" s="1375" t="n"/>
    </row>
    <row r="464" hidden="1" outlineLevel="2" ht="14.4" customFormat="1" customHeight="1" s="1372">
      <c r="A464" s="1593" t="inlineStr">
        <is>
          <t>GAAP R&amp;D</t>
        </is>
      </c>
      <c r="B464" s="1512" t="n"/>
      <c r="C464" s="1378">
        <f>+C349</f>
        <v/>
      </c>
      <c r="D464" s="1378">
        <f>+D349</f>
        <v/>
      </c>
      <c r="E464" s="1378">
        <f>+E349</f>
        <v/>
      </c>
      <c r="F464" s="1378">
        <f>+F349</f>
        <v/>
      </c>
      <c r="G464" s="1364">
        <f>+G349</f>
        <v/>
      </c>
      <c r="H464" s="1364">
        <f>+H349</f>
        <v/>
      </c>
      <c r="I464" s="1364">
        <f>+I349</f>
        <v/>
      </c>
      <c r="J464" s="1364">
        <f>+J349</f>
        <v/>
      </c>
      <c r="K464" s="1378">
        <f>+K349</f>
        <v/>
      </c>
      <c r="L464" s="1364">
        <f>+L349</f>
        <v/>
      </c>
      <c r="M464" s="1364">
        <f>+M349</f>
        <v/>
      </c>
      <c r="N464" s="1364">
        <f>+N349</f>
        <v/>
      </c>
      <c r="O464" s="1364">
        <f>+O349</f>
        <v/>
      </c>
      <c r="P464" s="1378">
        <f>+P349</f>
        <v/>
      </c>
      <c r="Q464" s="1364">
        <f>+Q349</f>
        <v/>
      </c>
      <c r="R464" s="1364">
        <f>+R349</f>
        <v/>
      </c>
      <c r="S464" s="1364">
        <f>+S349</f>
        <v/>
      </c>
      <c r="T464" s="1364">
        <f>+T349</f>
        <v/>
      </c>
      <c r="U464" s="1378">
        <f>+U349</f>
        <v/>
      </c>
      <c r="V464" s="1364">
        <f>+V349</f>
        <v/>
      </c>
      <c r="W464" s="1364">
        <f>+W349</f>
        <v/>
      </c>
      <c r="X464" s="1364">
        <f>+X349</f>
        <v/>
      </c>
      <c r="Y464" s="1364">
        <f>+Y349</f>
        <v/>
      </c>
      <c r="Z464" s="1378">
        <f>+Z349</f>
        <v/>
      </c>
      <c r="AA464" s="1364">
        <f>+AA349</f>
        <v/>
      </c>
      <c r="AB464" s="1364">
        <f>+AB349</f>
        <v/>
      </c>
      <c r="AC464" s="1364">
        <f>+AC349</f>
        <v/>
      </c>
      <c r="AD464" s="1364">
        <f>+AD349</f>
        <v/>
      </c>
      <c r="AE464" s="1378">
        <f>+AE349</f>
        <v/>
      </c>
      <c r="AF464" s="1364">
        <f>+AF349</f>
        <v/>
      </c>
      <c r="AG464" s="1364">
        <f>+AG349</f>
        <v/>
      </c>
      <c r="AH464" s="1364">
        <f>+AH349</f>
        <v/>
      </c>
      <c r="AI464" s="1364">
        <f>+AI349</f>
        <v/>
      </c>
      <c r="AJ464" s="1378">
        <f>+AJ349</f>
        <v/>
      </c>
      <c r="AK464" s="1364">
        <f>+AK349</f>
        <v/>
      </c>
      <c r="AL464" s="1364">
        <f>+AL349</f>
        <v/>
      </c>
      <c r="AM464" s="1364">
        <f>+AM349</f>
        <v/>
      </c>
      <c r="AN464" s="1364">
        <f>+AN349</f>
        <v/>
      </c>
      <c r="AO464" s="1378">
        <f>+AO349</f>
        <v/>
      </c>
      <c r="AP464" s="1364">
        <f>+AP349</f>
        <v/>
      </c>
      <c r="AQ464" s="1364">
        <f>+AQ349</f>
        <v/>
      </c>
      <c r="AR464" s="1364">
        <f>+AR349</f>
        <v/>
      </c>
      <c r="AS464" s="1364">
        <f>+AS349</f>
        <v/>
      </c>
      <c r="AT464" s="1378">
        <f>+AT349</f>
        <v/>
      </c>
      <c r="AU464" s="1364">
        <f>+AU349</f>
        <v/>
      </c>
      <c r="AV464" s="1364">
        <f>+AV349</f>
        <v/>
      </c>
      <c r="AW464" s="1364">
        <f>+AW349</f>
        <v/>
      </c>
      <c r="AX464" s="1364">
        <f>+AX349</f>
        <v/>
      </c>
      <c r="AY464" s="1378">
        <f>+AY349</f>
        <v/>
      </c>
      <c r="AZ464" s="1364">
        <f>+AZ349</f>
        <v/>
      </c>
      <c r="BA464" s="1364">
        <f>+BA349</f>
        <v/>
      </c>
      <c r="BB464" s="1364">
        <f>+BB349</f>
        <v/>
      </c>
      <c r="BC464" s="1364">
        <f>+BC349</f>
        <v/>
      </c>
      <c r="BD464" s="1378">
        <f>+BD349</f>
        <v/>
      </c>
      <c r="BE464" s="1364">
        <f>+BE349</f>
        <v/>
      </c>
      <c r="BF464" s="1364">
        <f>+BF349</f>
        <v/>
      </c>
      <c r="BG464" s="1364">
        <f>+BG349</f>
        <v/>
      </c>
      <c r="BH464" s="1364">
        <f>+BH349</f>
        <v/>
      </c>
      <c r="BI464" s="1378">
        <f>+BI349</f>
        <v/>
      </c>
      <c r="BJ464" s="1364">
        <f>+BJ349</f>
        <v/>
      </c>
      <c r="BK464" s="1364">
        <f>+BK349</f>
        <v/>
      </c>
      <c r="BL464" s="1364">
        <f>+BL349</f>
        <v/>
      </c>
      <c r="BM464" s="1364">
        <f>+BM349</f>
        <v/>
      </c>
      <c r="BN464" s="1378">
        <f>+BN349</f>
        <v/>
      </c>
      <c r="BO464" s="1364">
        <f>+BO349</f>
        <v/>
      </c>
      <c r="BP464" s="1364">
        <f>+BP349</f>
        <v/>
      </c>
      <c r="BQ464" s="1395">
        <f>+BQ349</f>
        <v/>
      </c>
      <c r="BR464" s="1361">
        <f>BR467+BR466+BR465</f>
        <v/>
      </c>
      <c r="BS464" s="1379">
        <f>SUM(BO464,BP464,BQ464,BR464)</f>
        <v/>
      </c>
      <c r="BT464" s="1361">
        <f>BT467+BT466+BT465</f>
        <v/>
      </c>
      <c r="BU464" s="1361">
        <f>BU467+BU466+BU465</f>
        <v/>
      </c>
      <c r="BV464" s="1361">
        <f>BV467+BV466+BV465</f>
        <v/>
      </c>
      <c r="BW464" s="1361">
        <f>BW467+BW466+BW465</f>
        <v/>
      </c>
      <c r="BX464" s="1379">
        <f>SUM(BT464,BU464,BV464,BW464)</f>
        <v/>
      </c>
      <c r="BY464" s="1379">
        <f>BY467+BY466+BY465</f>
        <v/>
      </c>
      <c r="BZ464" s="1379">
        <f>BZ467+BZ466+BZ465</f>
        <v/>
      </c>
      <c r="CA464" s="1379">
        <f>CA467+CA466+CA465</f>
        <v/>
      </c>
      <c r="CB464" s="1375" t="n"/>
    </row>
    <row r="465" hidden="1" outlineLevel="2" ht="14.4" customFormat="1" customHeight="1" s="1597">
      <c r="A465" s="1594" t="inlineStr">
        <is>
          <t>SBC</t>
        </is>
      </c>
      <c r="B465" s="1512" t="n"/>
      <c r="C465" s="1379">
        <f>-C418</f>
        <v/>
      </c>
      <c r="D465" s="1379">
        <f>-D418</f>
        <v/>
      </c>
      <c r="E465" s="1379">
        <f>-E418</f>
        <v/>
      </c>
      <c r="F465" s="1379">
        <f>-F418</f>
        <v/>
      </c>
      <c r="G465" s="1361">
        <f>-G418</f>
        <v/>
      </c>
      <c r="H465" s="1361">
        <f>-H418</f>
        <v/>
      </c>
      <c r="I465" s="1361">
        <f>-I418</f>
        <v/>
      </c>
      <c r="J465" s="1361">
        <f>-J418</f>
        <v/>
      </c>
      <c r="K465" s="1379">
        <f>-K418</f>
        <v/>
      </c>
      <c r="L465" s="1361">
        <f>-L418</f>
        <v/>
      </c>
      <c r="M465" s="1361">
        <f>-M418</f>
        <v/>
      </c>
      <c r="N465" s="1361">
        <f>-N418</f>
        <v/>
      </c>
      <c r="O465" s="1361">
        <f>-O418</f>
        <v/>
      </c>
      <c r="P465" s="1379">
        <f>-P418</f>
        <v/>
      </c>
      <c r="Q465" s="1361">
        <f>-Q418</f>
        <v/>
      </c>
      <c r="R465" s="1361">
        <f>-R418</f>
        <v/>
      </c>
      <c r="S465" s="1361">
        <f>-S418</f>
        <v/>
      </c>
      <c r="T465" s="1361">
        <f>-T418</f>
        <v/>
      </c>
      <c r="U465" s="1379">
        <f>-U418</f>
        <v/>
      </c>
      <c r="V465" s="1361">
        <f>-V418</f>
        <v/>
      </c>
      <c r="W465" s="1598">
        <f>-W418</f>
        <v/>
      </c>
      <c r="X465" s="1598">
        <f>-X418</f>
        <v/>
      </c>
      <c r="Y465" s="1598">
        <f>-Y418</f>
        <v/>
      </c>
      <c r="Z465" s="1554">
        <f>-Z418</f>
        <v/>
      </c>
      <c r="AA465" s="1361">
        <f>-AA418</f>
        <v/>
      </c>
      <c r="AB465" s="1598">
        <f>-AB418</f>
        <v/>
      </c>
      <c r="AC465" s="1598">
        <f>-AC418</f>
        <v/>
      </c>
      <c r="AD465" s="1598">
        <f>-AD418</f>
        <v/>
      </c>
      <c r="AE465" s="1554">
        <f>-AE418</f>
        <v/>
      </c>
      <c r="AF465" s="1361">
        <f>-AF418</f>
        <v/>
      </c>
      <c r="AG465" s="1598">
        <f>-AG418</f>
        <v/>
      </c>
      <c r="AH465" s="1598">
        <f>-AH418</f>
        <v/>
      </c>
      <c r="AI465" s="1598">
        <f>-AI418</f>
        <v/>
      </c>
      <c r="AJ465" s="1554">
        <f>-AJ418</f>
        <v/>
      </c>
      <c r="AK465" s="1361">
        <f>-AK418</f>
        <v/>
      </c>
      <c r="AL465" s="1598">
        <f>-AL418</f>
        <v/>
      </c>
      <c r="AM465" s="1598">
        <f>-AM418</f>
        <v/>
      </c>
      <c r="AN465" s="1598">
        <f>-AN418</f>
        <v/>
      </c>
      <c r="AO465" s="1554">
        <f>-AO418</f>
        <v/>
      </c>
      <c r="AP465" s="1361">
        <f>-AP418</f>
        <v/>
      </c>
      <c r="AQ465" s="1598">
        <f>-AQ418</f>
        <v/>
      </c>
      <c r="AR465" s="1598">
        <f>-AR418</f>
        <v/>
      </c>
      <c r="AS465" s="1598">
        <f>-AS418</f>
        <v/>
      </c>
      <c r="AT465" s="1554">
        <f>-AT418</f>
        <v/>
      </c>
      <c r="AU465" s="1361">
        <f>-AU418</f>
        <v/>
      </c>
      <c r="AV465" s="1598">
        <f>-AV418</f>
        <v/>
      </c>
      <c r="AW465" s="1598">
        <f>-AW418</f>
        <v/>
      </c>
      <c r="AX465" s="1598">
        <f>-AX418</f>
        <v/>
      </c>
      <c r="AY465" s="1554">
        <f>-AY418</f>
        <v/>
      </c>
      <c r="AZ465" s="1361">
        <f>-AZ418</f>
        <v/>
      </c>
      <c r="BA465" s="1598">
        <f>-BA418</f>
        <v/>
      </c>
      <c r="BB465" s="1598">
        <f>-BB418</f>
        <v/>
      </c>
      <c r="BC465" s="1598">
        <f>-BC418</f>
        <v/>
      </c>
      <c r="BD465" s="1554">
        <f>-BD418</f>
        <v/>
      </c>
      <c r="BE465" s="1361">
        <f>-BE418</f>
        <v/>
      </c>
      <c r="BF465" s="1598">
        <f>-BF418</f>
        <v/>
      </c>
      <c r="BG465" s="1598">
        <f>-BG418</f>
        <v/>
      </c>
      <c r="BH465" s="1598">
        <f>-BH418</f>
        <v/>
      </c>
      <c r="BI465" s="1554">
        <f>-BI418</f>
        <v/>
      </c>
      <c r="BJ465" s="1361">
        <f>-BJ418</f>
        <v/>
      </c>
      <c r="BK465" s="1598">
        <f>-BK418</f>
        <v/>
      </c>
      <c r="BL465" s="1598">
        <f>-BL418</f>
        <v/>
      </c>
      <c r="BM465" s="1598">
        <f>-BM418</f>
        <v/>
      </c>
      <c r="BN465" s="1554">
        <f>-BN418</f>
        <v/>
      </c>
      <c r="BO465" s="1361">
        <f>-BO418</f>
        <v/>
      </c>
      <c r="BP465" s="1598">
        <f>-BP418</f>
        <v/>
      </c>
      <c r="BQ465" s="1599">
        <f>-BQ418</f>
        <v/>
      </c>
      <c r="BR465" s="1553">
        <f>BR56</f>
        <v/>
      </c>
      <c r="BS465" s="1554">
        <f>SUM(BO465,BP465,BQ465,BR465)</f>
        <v/>
      </c>
      <c r="BT465" s="1553">
        <f>BT56</f>
        <v/>
      </c>
      <c r="BU465" s="1553">
        <f>BU56</f>
        <v/>
      </c>
      <c r="BV465" s="1553">
        <f>BV56</f>
        <v/>
      </c>
      <c r="BW465" s="1553">
        <f>BW56</f>
        <v/>
      </c>
      <c r="BX465" s="1554">
        <f>SUM(BT465,BU465,BV465,BW465)</f>
        <v/>
      </c>
      <c r="BY465" s="1554">
        <f>BY56</f>
        <v/>
      </c>
      <c r="BZ465" s="1554">
        <f>BZ56</f>
        <v/>
      </c>
      <c r="CA465" s="1554">
        <f>CA56</f>
        <v/>
      </c>
      <c r="CB465" s="1361" t="n"/>
    </row>
    <row r="466" hidden="1" outlineLevel="2" ht="14.4" customFormat="1" customHeight="1" s="1597">
      <c r="A466" s="1595" t="inlineStr">
        <is>
          <t>Other Adjustments R&amp;D</t>
        </is>
      </c>
      <c r="B466" s="1514" t="n"/>
      <c r="C466" s="1455">
        <f>-SUM(C418:C421)-C465</f>
        <v/>
      </c>
      <c r="D466" s="1455">
        <f>-SUM(D418:D421)-D465</f>
        <v/>
      </c>
      <c r="E466" s="1455">
        <f>-SUM(E418:E421)-E465</f>
        <v/>
      </c>
      <c r="F466" s="1455">
        <f>-SUM(F418:F421)-F465</f>
        <v/>
      </c>
      <c r="G466" s="1456">
        <f>-SUM(G418:G421)-G465</f>
        <v/>
      </c>
      <c r="H466" s="1456">
        <f>-SUM(H418:H421)-H465</f>
        <v/>
      </c>
      <c r="I466" s="1456">
        <f>-SUM(I418:I421)-I465</f>
        <v/>
      </c>
      <c r="J466" s="1456">
        <f>-SUM(J418:J421)-J465</f>
        <v/>
      </c>
      <c r="K466" s="1455">
        <f>-SUM(K418:K421)-K465</f>
        <v/>
      </c>
      <c r="L466" s="1456">
        <f>-SUM(L418:L421)-L465</f>
        <v/>
      </c>
      <c r="M466" s="1456">
        <f>-SUM(M418:M421)-M465</f>
        <v/>
      </c>
      <c r="N466" s="1456">
        <f>-SUM(N418:N421)-N465</f>
        <v/>
      </c>
      <c r="O466" s="1456">
        <f>-SUM(O418:O421)-O465</f>
        <v/>
      </c>
      <c r="P466" s="1455">
        <f>-SUM(P418:P421)-P465</f>
        <v/>
      </c>
      <c r="Q466" s="1456">
        <f>-SUM(Q418:Q421)-Q465</f>
        <v/>
      </c>
      <c r="R466" s="1456">
        <f>-SUM(R418:R421)-R465</f>
        <v/>
      </c>
      <c r="S466" s="1456">
        <f>-SUM(S418:S421)-S465</f>
        <v/>
      </c>
      <c r="T466" s="1456">
        <f>-SUM(T418:T421)-T465</f>
        <v/>
      </c>
      <c r="U466" s="1455">
        <f>-SUM(U418:U421)-U465</f>
        <v/>
      </c>
      <c r="V466" s="1456">
        <f>-SUM(V418:V421)-V465</f>
        <v/>
      </c>
      <c r="W466" s="1600">
        <f>-SUM(W418:W421)-W465</f>
        <v/>
      </c>
      <c r="X466" s="1600">
        <f>-SUM(X418:X421)-X465</f>
        <v/>
      </c>
      <c r="Y466" s="1600">
        <f>-SUM(Y418:Y421)-Y465</f>
        <v/>
      </c>
      <c r="Z466" s="1601">
        <f>-SUM(Z418:Z421)-Z465</f>
        <v/>
      </c>
      <c r="AA466" s="1456">
        <f>-SUM(AA418:AA421)-AA465</f>
        <v/>
      </c>
      <c r="AB466" s="1600">
        <f>-SUM(AB418:AB421)-AB465</f>
        <v/>
      </c>
      <c r="AC466" s="1600">
        <f>-SUM(AC418:AC421)-AC465</f>
        <v/>
      </c>
      <c r="AD466" s="1600">
        <f>-SUM(AD418:AD421)-AD465</f>
        <v/>
      </c>
      <c r="AE466" s="1601">
        <f>-SUM(AE418:AE421)-AE465</f>
        <v/>
      </c>
      <c r="AF466" s="1456">
        <f>-SUM(AF418:AF421)-AF465</f>
        <v/>
      </c>
      <c r="AG466" s="1600">
        <f>-SUM(AG418:AG421)-AG465</f>
        <v/>
      </c>
      <c r="AH466" s="1600">
        <f>-SUM(AH418:AH421)-AH465</f>
        <v/>
      </c>
      <c r="AI466" s="1600">
        <f>-SUM(AI418:AI421)-AI465</f>
        <v/>
      </c>
      <c r="AJ466" s="1601">
        <f>-SUM(AJ418:AJ421)-AJ465</f>
        <v/>
      </c>
      <c r="AK466" s="1456">
        <f>-SUM(AK418:AK421)-AK465</f>
        <v/>
      </c>
      <c r="AL466" s="1600">
        <f>-SUM(AL418:AL421)-AL465</f>
        <v/>
      </c>
      <c r="AM466" s="1600">
        <f>-SUM(AM418:AM421)-AM465</f>
        <v/>
      </c>
      <c r="AN466" s="1600">
        <f>-SUM(AN418:AN421)-AN465</f>
        <v/>
      </c>
      <c r="AO466" s="1601">
        <f>-SUM(AO418:AO421)-AO465</f>
        <v/>
      </c>
      <c r="AP466" s="1456">
        <f>-SUM(AP418:AP421)-AP465</f>
        <v/>
      </c>
      <c r="AQ466" s="1600">
        <f>-SUM(AQ418:AQ421)-AQ465</f>
        <v/>
      </c>
      <c r="AR466" s="1600">
        <f>-SUM(AR418:AR421)-AR465</f>
        <v/>
      </c>
      <c r="AS466" s="1600">
        <f>-SUM(AS418:AS421)-AS465</f>
        <v/>
      </c>
      <c r="AT466" s="1601">
        <f>-SUM(AT418:AT421)-AT465</f>
        <v/>
      </c>
      <c r="AU466" s="1456">
        <f>-SUM(AU418:AU421)-AU465</f>
        <v/>
      </c>
      <c r="AV466" s="1600">
        <f>-SUM(AV418:AV421)-AV465</f>
        <v/>
      </c>
      <c r="AW466" s="1600">
        <f>-SUM(AW418:AW421)-AW465</f>
        <v/>
      </c>
      <c r="AX466" s="1600">
        <f>-SUM(AX418:AX421)-AX465</f>
        <v/>
      </c>
      <c r="AY466" s="1601">
        <f>-SUM(AY418:AY421)-AY465</f>
        <v/>
      </c>
      <c r="AZ466" s="1456">
        <f>-SUM(AZ418:AZ421)-AZ465</f>
        <v/>
      </c>
      <c r="BA466" s="1600">
        <f>-SUM(BA418:BA421)-BA465</f>
        <v/>
      </c>
      <c r="BB466" s="1600">
        <f>-SUM(BB418:BB421)-BB465</f>
        <v/>
      </c>
      <c r="BC466" s="1600">
        <f>-SUM(BC418:BC421)-BC465</f>
        <v/>
      </c>
      <c r="BD466" s="1601">
        <f>-SUM(BD418:BD421)-BD465</f>
        <v/>
      </c>
      <c r="BE466" s="1456">
        <f>-SUM(BE418:BE421)-BE465</f>
        <v/>
      </c>
      <c r="BF466" s="1600">
        <f>-SUM(BF418:BF421)-BF465</f>
        <v/>
      </c>
      <c r="BG466" s="1600">
        <f>-SUM(BG418:BG421)-BG465</f>
        <v/>
      </c>
      <c r="BH466" s="1600">
        <f>-SUM(BH418:BH421)-BH465</f>
        <v/>
      </c>
      <c r="BI466" s="1601">
        <f>-SUM(BI418:BI421)-BI465</f>
        <v/>
      </c>
      <c r="BJ466" s="1456">
        <f>-SUM(BJ418:BJ421)-BJ465</f>
        <v/>
      </c>
      <c r="BK466" s="1600">
        <f>-SUM(BK418:BK421)-BK465</f>
        <v/>
      </c>
      <c r="BL466" s="1600">
        <f>-SUM(BL418:BL421)-BL465</f>
        <v/>
      </c>
      <c r="BM466" s="1600">
        <f>-SUM(BM418:BM421)-BM465</f>
        <v/>
      </c>
      <c r="BN466" s="1601">
        <f>-SUM(BN418:BN421)-BN465</f>
        <v/>
      </c>
      <c r="BO466" s="1456">
        <f>-SUM(BO418:BO421)-BO465</f>
        <v/>
      </c>
      <c r="BP466" s="1600">
        <f>-SUM(BP418:BP421)-BP465</f>
        <v/>
      </c>
      <c r="BQ466" s="1602">
        <f>-SUM(BQ418:BQ421)-BQ465</f>
        <v/>
      </c>
      <c r="BR466" s="1603">
        <f>BR58</f>
        <v/>
      </c>
      <c r="BS466" s="1601">
        <f>SUM(BO466,BP466,BQ466,BR466)</f>
        <v/>
      </c>
      <c r="BT466" s="1603">
        <f>BT58</f>
        <v/>
      </c>
      <c r="BU466" s="1603">
        <f>BU58</f>
        <v/>
      </c>
      <c r="BV466" s="1603">
        <f>BV58</f>
        <v/>
      </c>
      <c r="BW466" s="1603">
        <f>BW58</f>
        <v/>
      </c>
      <c r="BX466" s="1601">
        <f>SUM(BT466,BU466,BV466,BW466)</f>
        <v/>
      </c>
      <c r="BY466" s="1601">
        <f>BY58</f>
        <v/>
      </c>
      <c r="BZ466" s="1601">
        <f>BZ58</f>
        <v/>
      </c>
      <c r="CA466" s="1601">
        <f>CA58</f>
        <v/>
      </c>
      <c r="CB466" s="1361" t="n"/>
    </row>
    <row r="467" collapsed="1" ht="14.4" customFormat="1" customHeight="1" s="1359">
      <c r="A467" s="1593" t="inlineStr">
        <is>
          <t>Non-GAAP R&amp;D</t>
        </is>
      </c>
      <c r="B467" s="1512" t="n"/>
      <c r="C467" s="1379">
        <f>C464-SUM(C465:C466)</f>
        <v/>
      </c>
      <c r="D467" s="1378">
        <f>D464-SUM(D465:D466)</f>
        <v/>
      </c>
      <c r="E467" s="1378">
        <f>E464-SUM(E465:E466)</f>
        <v/>
      </c>
      <c r="F467" s="1378">
        <f>F464-SUM(F465:F466)</f>
        <v/>
      </c>
      <c r="G467" s="1364">
        <f>G464-SUM(G465:G466)</f>
        <v/>
      </c>
      <c r="H467" s="1364">
        <f>H464-SUM(H465:H466)</f>
        <v/>
      </c>
      <c r="I467" s="1364">
        <f>I464-SUM(I465:I466)</f>
        <v/>
      </c>
      <c r="J467" s="1364">
        <f>J464-SUM(J465:J466)</f>
        <v/>
      </c>
      <c r="K467" s="1378">
        <f>K464-SUM(K465:K466)</f>
        <v/>
      </c>
      <c r="L467" s="1364">
        <f>L464-SUM(L465:L466)</f>
        <v/>
      </c>
      <c r="M467" s="1364">
        <f>M464-SUM(M465:M466)</f>
        <v/>
      </c>
      <c r="N467" s="1364">
        <f>N464-SUM(N465:N466)</f>
        <v/>
      </c>
      <c r="O467" s="1364">
        <f>O464-SUM(O465:O466)</f>
        <v/>
      </c>
      <c r="P467" s="1378">
        <f>P464-SUM(P465:P466)</f>
        <v/>
      </c>
      <c r="Q467" s="1364">
        <f>Q464-SUM(Q465:Q466)</f>
        <v/>
      </c>
      <c r="R467" s="1364">
        <f>R464-SUM(R465:R466)</f>
        <v/>
      </c>
      <c r="S467" s="1364">
        <f>S464-SUM(S465:S466)</f>
        <v/>
      </c>
      <c r="T467" s="1364">
        <f>T464-SUM(T465:T466)</f>
        <v/>
      </c>
      <c r="U467" s="1378">
        <f>U464-SUM(U465:U466)</f>
        <v/>
      </c>
      <c r="V467" s="1364">
        <f>V464-SUM(V465:V466)</f>
        <v/>
      </c>
      <c r="W467" s="1364">
        <f>W464-SUM(W465:W466)</f>
        <v/>
      </c>
      <c r="X467" s="1364">
        <f>X464-SUM(X465:X466)</f>
        <v/>
      </c>
      <c r="Y467" s="1364">
        <f>Y464-SUM(Y465:Y466)</f>
        <v/>
      </c>
      <c r="Z467" s="1378">
        <f>Z464-SUM(Z465:Z466)</f>
        <v/>
      </c>
      <c r="AA467" s="1364">
        <f>AA464-SUM(AA465:AA466)</f>
        <v/>
      </c>
      <c r="AB467" s="1364">
        <f>AB464-SUM(AB465:AB466)</f>
        <v/>
      </c>
      <c r="AC467" s="1364">
        <f>AC464-SUM(AC465:AC466)</f>
        <v/>
      </c>
      <c r="AD467" s="1364">
        <f>AD464-SUM(AD465:AD466)</f>
        <v/>
      </c>
      <c r="AE467" s="1378">
        <f>AE464-SUM(AE465:AE466)</f>
        <v/>
      </c>
      <c r="AF467" s="1364">
        <f>AF464-SUM(AF465:AF466)</f>
        <v/>
      </c>
      <c r="AG467" s="1364">
        <f>AG464-SUM(AG465:AG466)</f>
        <v/>
      </c>
      <c r="AH467" s="1364">
        <f>AH464-SUM(AH465:AH466)</f>
        <v/>
      </c>
      <c r="AI467" s="1364">
        <f>AI464-SUM(AI465:AI466)</f>
        <v/>
      </c>
      <c r="AJ467" s="1378">
        <f>AJ464-SUM(AJ465:AJ466)</f>
        <v/>
      </c>
      <c r="AK467" s="1364">
        <f>AK464-SUM(AK465:AK466)</f>
        <v/>
      </c>
      <c r="AL467" s="1364">
        <f>AL464-SUM(AL465:AL466)</f>
        <v/>
      </c>
      <c r="AM467" s="1364">
        <f>AM464-SUM(AM465:AM466)</f>
        <v/>
      </c>
      <c r="AN467" s="1364">
        <f>AN464-SUM(AN465:AN466)</f>
        <v/>
      </c>
      <c r="AO467" s="1378">
        <f>AO464-SUM(AO465:AO466)</f>
        <v/>
      </c>
      <c r="AP467" s="1364">
        <f>AP464-SUM(AP465:AP466)</f>
        <v/>
      </c>
      <c r="AQ467" s="1364">
        <f>AQ464-SUM(AQ465:AQ466)</f>
        <v/>
      </c>
      <c r="AR467" s="1364">
        <f>AR464-SUM(AR465:AR466)</f>
        <v/>
      </c>
      <c r="AS467" s="1364">
        <f>AS464-SUM(AS465:AS466)</f>
        <v/>
      </c>
      <c r="AT467" s="1378">
        <f>AT464-SUM(AT465:AT466)</f>
        <v/>
      </c>
      <c r="AU467" s="1364">
        <f>AU464-SUM(AU465:AU466)</f>
        <v/>
      </c>
      <c r="AV467" s="1364">
        <f>AV464-SUM(AV465:AV466)</f>
        <v/>
      </c>
      <c r="AW467" s="1364">
        <f>AW464-SUM(AW465:AW466)</f>
        <v/>
      </c>
      <c r="AX467" s="1364">
        <f>AX464-SUM(AX465:AX466)</f>
        <v/>
      </c>
      <c r="AY467" s="1378">
        <f>AY464-SUM(AY465:AY466)</f>
        <v/>
      </c>
      <c r="AZ467" s="1364">
        <f>AZ464-SUM(AZ465:AZ466)</f>
        <v/>
      </c>
      <c r="BA467" s="1364">
        <f>BA464-SUM(BA465:BA466)</f>
        <v/>
      </c>
      <c r="BB467" s="1364">
        <f>BB464-SUM(BB465:BB466)</f>
        <v/>
      </c>
      <c r="BC467" s="1364">
        <f>BC464-SUM(BC465:BC466)</f>
        <v/>
      </c>
      <c r="BD467" s="1378">
        <f>BD464-SUM(BD465:BD466)</f>
        <v/>
      </c>
      <c r="BE467" s="1364">
        <f>BE464-SUM(BE465:BE466)</f>
        <v/>
      </c>
      <c r="BF467" s="1364">
        <f>BF464-SUM(BF465:BF466)</f>
        <v/>
      </c>
      <c r="BG467" s="1364">
        <f>BG464-SUM(BG465:BG466)</f>
        <v/>
      </c>
      <c r="BH467" s="1364">
        <f>BH464-SUM(BH465:BH466)</f>
        <v/>
      </c>
      <c r="BI467" s="1378">
        <f>BI464-SUM(BI465:BI466)</f>
        <v/>
      </c>
      <c r="BJ467" s="1364">
        <f>BJ464-SUM(BJ465:BJ466)</f>
        <v/>
      </c>
      <c r="BK467" s="1364">
        <f>BK464-SUM(BK465:BK466)</f>
        <v/>
      </c>
      <c r="BL467" s="1364">
        <f>BL464-SUM(BL465:BL466)</f>
        <v/>
      </c>
      <c r="BM467" s="1364">
        <f>BM464-SUM(BM465:BM466)</f>
        <v/>
      </c>
      <c r="BN467" s="1378">
        <f>BN464-SUM(BN465:BN466)</f>
        <v/>
      </c>
      <c r="BO467" s="1364">
        <f>BO464-SUM(BO465:BO466)</f>
        <v/>
      </c>
      <c r="BP467" s="1364">
        <f>BP464-SUM(BP465:BP466)</f>
        <v/>
      </c>
      <c r="BQ467" s="1395">
        <f>BQ464-SUM(BQ465:BQ466)</f>
        <v/>
      </c>
      <c r="BR467" s="1361">
        <f>BR59</f>
        <v/>
      </c>
      <c r="BS467" s="1379">
        <f>BS464-SUM(BS465:BS466)</f>
        <v/>
      </c>
      <c r="BT467" s="1361">
        <f>BT59</f>
        <v/>
      </c>
      <c r="BU467" s="1361">
        <f>BU59</f>
        <v/>
      </c>
      <c r="BV467" s="1361">
        <f>BV59</f>
        <v/>
      </c>
      <c r="BW467" s="1361">
        <f>BW59</f>
        <v/>
      </c>
      <c r="BX467" s="1379">
        <f>BX464-SUM(BX465:BX466)</f>
        <v/>
      </c>
      <c r="BY467" s="1379">
        <f>BY59</f>
        <v/>
      </c>
      <c r="BZ467" s="1379">
        <f>BZ59</f>
        <v/>
      </c>
      <c r="CA467" s="1379">
        <f>CA59</f>
        <v/>
      </c>
      <c r="CB467" s="1364" t="n"/>
    </row>
    <row r="468" hidden="1" outlineLevel="2" ht="14.4" customFormat="1" customHeight="1" s="1359">
      <c r="A468" s="1604" t="inlineStr">
        <is>
          <t>GAAP G&amp;A</t>
        </is>
      </c>
      <c r="B468" s="1512" t="n"/>
      <c r="C468" s="1378">
        <f>C350</f>
        <v/>
      </c>
      <c r="D468" s="1378">
        <f>D350</f>
        <v/>
      </c>
      <c r="E468" s="1378">
        <f>E350</f>
        <v/>
      </c>
      <c r="F468" s="1378">
        <f>F350</f>
        <v/>
      </c>
      <c r="G468" s="1364">
        <f>G350</f>
        <v/>
      </c>
      <c r="H468" s="1364">
        <f>H350</f>
        <v/>
      </c>
      <c r="I468" s="1364">
        <f>I350</f>
        <v/>
      </c>
      <c r="J468" s="1364">
        <f>J350</f>
        <v/>
      </c>
      <c r="K468" s="1378">
        <f>K350</f>
        <v/>
      </c>
      <c r="L468" s="1364">
        <f>L350</f>
        <v/>
      </c>
      <c r="M468" s="1364">
        <f>M350</f>
        <v/>
      </c>
      <c r="N468" s="1364">
        <f>N350</f>
        <v/>
      </c>
      <c r="O468" s="1364">
        <f>O350</f>
        <v/>
      </c>
      <c r="P468" s="1378">
        <f>P350</f>
        <v/>
      </c>
      <c r="Q468" s="1364">
        <f>Q350</f>
        <v/>
      </c>
      <c r="R468" s="1364">
        <f>R350</f>
        <v/>
      </c>
      <c r="S468" s="1364">
        <f>S350</f>
        <v/>
      </c>
      <c r="T468" s="1364">
        <f>T350</f>
        <v/>
      </c>
      <c r="U468" s="1378">
        <f>U350</f>
        <v/>
      </c>
      <c r="V468" s="1364">
        <f>V350</f>
        <v/>
      </c>
      <c r="W468" s="1364">
        <f>W350</f>
        <v/>
      </c>
      <c r="X468" s="1364">
        <f>X350</f>
        <v/>
      </c>
      <c r="Y468" s="1364">
        <f>Y350</f>
        <v/>
      </c>
      <c r="Z468" s="1378">
        <f>Z350</f>
        <v/>
      </c>
      <c r="AA468" s="1364">
        <f>AA350</f>
        <v/>
      </c>
      <c r="AB468" s="1364">
        <f>AB350</f>
        <v/>
      </c>
      <c r="AC468" s="1364">
        <f>AC350</f>
        <v/>
      </c>
      <c r="AD468" s="1364">
        <f>AD350</f>
        <v/>
      </c>
      <c r="AE468" s="1378">
        <f>AE350</f>
        <v/>
      </c>
      <c r="AF468" s="1364">
        <f>AF350</f>
        <v/>
      </c>
      <c r="AG468" s="1364">
        <f>AG350</f>
        <v/>
      </c>
      <c r="AH468" s="1364">
        <f>AH350</f>
        <v/>
      </c>
      <c r="AI468" s="1364">
        <f>AI350</f>
        <v/>
      </c>
      <c r="AJ468" s="1378">
        <f>AJ350</f>
        <v/>
      </c>
      <c r="AK468" s="1364">
        <f>AK350</f>
        <v/>
      </c>
      <c r="AL468" s="1364">
        <f>AL350</f>
        <v/>
      </c>
      <c r="AM468" s="1364">
        <f>AM350</f>
        <v/>
      </c>
      <c r="AN468" s="1364">
        <f>AN350</f>
        <v/>
      </c>
      <c r="AO468" s="1378">
        <f>AO350</f>
        <v/>
      </c>
      <c r="AP468" s="1364">
        <f>AP350</f>
        <v/>
      </c>
      <c r="AQ468" s="1364">
        <f>AQ350</f>
        <v/>
      </c>
      <c r="AR468" s="1364">
        <f>AR350</f>
        <v/>
      </c>
      <c r="AS468" s="1364">
        <f>AS350</f>
        <v/>
      </c>
      <c r="AT468" s="1378">
        <f>AT350</f>
        <v/>
      </c>
      <c r="AU468" s="1364">
        <f>AU350</f>
        <v/>
      </c>
      <c r="AV468" s="1364">
        <f>AV350</f>
        <v/>
      </c>
      <c r="AW468" s="1364">
        <f>AW350</f>
        <v/>
      </c>
      <c r="AX468" s="1364">
        <f>AX350</f>
        <v/>
      </c>
      <c r="AY468" s="1378">
        <f>AY350</f>
        <v/>
      </c>
      <c r="AZ468" s="1364">
        <f>AZ350</f>
        <v/>
      </c>
      <c r="BA468" s="1364">
        <f>BA350</f>
        <v/>
      </c>
      <c r="BB468" s="1364">
        <f>BB350</f>
        <v/>
      </c>
      <c r="BC468" s="1364">
        <f>BC350</f>
        <v/>
      </c>
      <c r="BD468" s="1378">
        <f>BD350</f>
        <v/>
      </c>
      <c r="BE468" s="1364">
        <f>BE350</f>
        <v/>
      </c>
      <c r="BF468" s="1364">
        <f>BF350</f>
        <v/>
      </c>
      <c r="BG468" s="1364">
        <f>BG350</f>
        <v/>
      </c>
      <c r="BH468" s="1364">
        <f>BH350</f>
        <v/>
      </c>
      <c r="BI468" s="1378">
        <f>BI350</f>
        <v/>
      </c>
      <c r="BJ468" s="1364">
        <f>BJ350</f>
        <v/>
      </c>
      <c r="BK468" s="1364">
        <f>BK350</f>
        <v/>
      </c>
      <c r="BL468" s="1364">
        <f>BL350</f>
        <v/>
      </c>
      <c r="BM468" s="1364">
        <f>BM350</f>
        <v/>
      </c>
      <c r="BN468" s="1378">
        <f>BN350</f>
        <v/>
      </c>
      <c r="BO468" s="1364">
        <f>BO350</f>
        <v/>
      </c>
      <c r="BP468" s="1364">
        <f>BP350</f>
        <v/>
      </c>
      <c r="BQ468" s="1395">
        <f>BQ350</f>
        <v/>
      </c>
      <c r="BR468" s="1361">
        <f>BR471+BR470+BR469</f>
        <v/>
      </c>
      <c r="BS468" s="1379">
        <f>SUM(BO468,BP468,BQ468,BR468)</f>
        <v/>
      </c>
      <c r="BT468" s="1361">
        <f>BT471+BT470+BT469</f>
        <v/>
      </c>
      <c r="BU468" s="1361">
        <f>BU471+BU470+BU469</f>
        <v/>
      </c>
      <c r="BV468" s="1361">
        <f>BV471+BV470+BV469</f>
        <v/>
      </c>
      <c r="BW468" s="1361">
        <f>BW471+BW470+BW469</f>
        <v/>
      </c>
      <c r="BX468" s="1379">
        <f>SUM(BT468,BU468,BV468,BW468)</f>
        <v/>
      </c>
      <c r="BY468" s="1379">
        <f>BY471+BY470+BY469</f>
        <v/>
      </c>
      <c r="BZ468" s="1379">
        <f>BZ471+BZ470+BZ469</f>
        <v/>
      </c>
      <c r="CA468" s="1379">
        <f>CA471+CA470+CA469</f>
        <v/>
      </c>
      <c r="CB468" s="1364" t="n"/>
    </row>
    <row r="469" hidden="1" outlineLevel="2" ht="14.4" customFormat="1" customHeight="1" s="1359">
      <c r="A469" s="1594" t="inlineStr">
        <is>
          <t>SBC</t>
        </is>
      </c>
      <c r="B469" s="1512" t="n"/>
      <c r="C469" s="1379">
        <f>-C425</f>
        <v/>
      </c>
      <c r="D469" s="1379">
        <f>-D425</f>
        <v/>
      </c>
      <c r="E469" s="1379">
        <f>-E425</f>
        <v/>
      </c>
      <c r="F469" s="1379">
        <f>-F425</f>
        <v/>
      </c>
      <c r="G469" s="1361">
        <f>-G425</f>
        <v/>
      </c>
      <c r="H469" s="1361">
        <f>-H425</f>
        <v/>
      </c>
      <c r="I469" s="1361">
        <f>-I425</f>
        <v/>
      </c>
      <c r="J469" s="1361">
        <f>-J425</f>
        <v/>
      </c>
      <c r="K469" s="1379">
        <f>-K425</f>
        <v/>
      </c>
      <c r="L469" s="1361">
        <f>-L425</f>
        <v/>
      </c>
      <c r="M469" s="1361">
        <f>-M425</f>
        <v/>
      </c>
      <c r="N469" s="1361">
        <f>-N425</f>
        <v/>
      </c>
      <c r="O469" s="1361">
        <f>-O425</f>
        <v/>
      </c>
      <c r="P469" s="1379">
        <f>-P425</f>
        <v/>
      </c>
      <c r="Q469" s="1361">
        <f>-Q425</f>
        <v/>
      </c>
      <c r="R469" s="1361">
        <f>-R425</f>
        <v/>
      </c>
      <c r="S469" s="1361">
        <f>-S425</f>
        <v/>
      </c>
      <c r="T469" s="1361">
        <f>-T425</f>
        <v/>
      </c>
      <c r="U469" s="1379">
        <f>-U425</f>
        <v/>
      </c>
      <c r="V469" s="1361">
        <f>-V425</f>
        <v/>
      </c>
      <c r="W469" s="1361">
        <f>-W425</f>
        <v/>
      </c>
      <c r="X469" s="1361">
        <f>-X425</f>
        <v/>
      </c>
      <c r="Y469" s="1361">
        <f>-Y425</f>
        <v/>
      </c>
      <c r="Z469" s="1379">
        <f>-Z425</f>
        <v/>
      </c>
      <c r="AA469" s="1361">
        <f>-AA425</f>
        <v/>
      </c>
      <c r="AB469" s="1361">
        <f>-AB425</f>
        <v/>
      </c>
      <c r="AC469" s="1361">
        <f>-AC425</f>
        <v/>
      </c>
      <c r="AD469" s="1361">
        <f>-AD425</f>
        <v/>
      </c>
      <c r="AE469" s="1379">
        <f>-AE425</f>
        <v/>
      </c>
      <c r="AF469" s="1361">
        <f>-AF425</f>
        <v/>
      </c>
      <c r="AG469" s="1361">
        <f>-AG425</f>
        <v/>
      </c>
      <c r="AH469" s="1361">
        <f>-AH425</f>
        <v/>
      </c>
      <c r="AI469" s="1361">
        <f>-AI425</f>
        <v/>
      </c>
      <c r="AJ469" s="1379">
        <f>-AJ425</f>
        <v/>
      </c>
      <c r="AK469" s="1361">
        <f>-AK425</f>
        <v/>
      </c>
      <c r="AL469" s="1361">
        <f>-AL425</f>
        <v/>
      </c>
      <c r="AM469" s="1361">
        <f>-AM425</f>
        <v/>
      </c>
      <c r="AN469" s="1361">
        <f>-AN425</f>
        <v/>
      </c>
      <c r="AO469" s="1379">
        <f>-AO425</f>
        <v/>
      </c>
      <c r="AP469" s="1361">
        <f>-AP425</f>
        <v/>
      </c>
      <c r="AQ469" s="1361">
        <f>-AQ425</f>
        <v/>
      </c>
      <c r="AR469" s="1361">
        <f>-AR425</f>
        <v/>
      </c>
      <c r="AS469" s="1361">
        <f>-AS425</f>
        <v/>
      </c>
      <c r="AT469" s="1379">
        <f>-AT425</f>
        <v/>
      </c>
      <c r="AU469" s="1361">
        <f>-AU425</f>
        <v/>
      </c>
      <c r="AV469" s="1361">
        <f>-AV425</f>
        <v/>
      </c>
      <c r="AW469" s="1361">
        <f>-AW425</f>
        <v/>
      </c>
      <c r="AX469" s="1361">
        <f>-AX425</f>
        <v/>
      </c>
      <c r="AY469" s="1379">
        <f>-AY425</f>
        <v/>
      </c>
      <c r="AZ469" s="1361">
        <f>-AZ425</f>
        <v/>
      </c>
      <c r="BA469" s="1361">
        <f>-BA425</f>
        <v/>
      </c>
      <c r="BB469" s="1361">
        <f>-BB425</f>
        <v/>
      </c>
      <c r="BC469" s="1361">
        <f>-BC425</f>
        <v/>
      </c>
      <c r="BD469" s="1379">
        <f>-BD425</f>
        <v/>
      </c>
      <c r="BE469" s="1361">
        <f>-BE425</f>
        <v/>
      </c>
      <c r="BF469" s="1361">
        <f>-BF425</f>
        <v/>
      </c>
      <c r="BG469" s="1361">
        <f>-BG425</f>
        <v/>
      </c>
      <c r="BH469" s="1361">
        <f>-BH425</f>
        <v/>
      </c>
      <c r="BI469" s="1379">
        <f>-BI425</f>
        <v/>
      </c>
      <c r="BJ469" s="1361">
        <f>-BJ425</f>
        <v/>
      </c>
      <c r="BK469" s="1361">
        <f>-BK425</f>
        <v/>
      </c>
      <c r="BL469" s="1361">
        <f>-BL425</f>
        <v/>
      </c>
      <c r="BM469" s="1361">
        <f>-BM425</f>
        <v/>
      </c>
      <c r="BN469" s="1379">
        <f>-BN425</f>
        <v/>
      </c>
      <c r="BO469" s="1361">
        <f>-BO425</f>
        <v/>
      </c>
      <c r="BP469" s="1361">
        <f>-BP425</f>
        <v/>
      </c>
      <c r="BQ469" s="1363">
        <f>-BQ425</f>
        <v/>
      </c>
      <c r="BR469" s="1361">
        <f>BR69</f>
        <v/>
      </c>
      <c r="BS469" s="1379">
        <f>SUM(BO469,BP469,BQ469,BR469)</f>
        <v/>
      </c>
      <c r="BT469" s="1361">
        <f>BT69</f>
        <v/>
      </c>
      <c r="BU469" s="1361">
        <f>BU69</f>
        <v/>
      </c>
      <c r="BV469" s="1361">
        <f>BV69</f>
        <v/>
      </c>
      <c r="BW469" s="1361">
        <f>BW69</f>
        <v/>
      </c>
      <c r="BX469" s="1379">
        <f>SUM(BT469,BU469,BV469,BW469)</f>
        <v/>
      </c>
      <c r="BY469" s="1379">
        <f>BY69</f>
        <v/>
      </c>
      <c r="BZ469" s="1379">
        <f>BZ69</f>
        <v/>
      </c>
      <c r="CA469" s="1379">
        <f>CA69</f>
        <v/>
      </c>
      <c r="CB469" s="1364" t="n"/>
    </row>
    <row r="470" hidden="1" outlineLevel="2" ht="14.4" customFormat="1" customHeight="1" s="1359">
      <c r="A470" s="1595" t="inlineStr">
        <is>
          <t>Other Adjustments G&amp;A</t>
        </is>
      </c>
      <c r="B470" s="1514" t="n"/>
      <c r="C470" s="1455">
        <f>-SUM(C425:C430)-C469</f>
        <v/>
      </c>
      <c r="D470" s="1455">
        <f>-SUM(D425:D430)-D469</f>
        <v/>
      </c>
      <c r="E470" s="1455">
        <f>-SUM(E425:E430)-E469</f>
        <v/>
      </c>
      <c r="F470" s="1455">
        <f>-SUM(F425:F430)-F469</f>
        <v/>
      </c>
      <c r="G470" s="1456">
        <f>-SUM(G425:G430)-G469</f>
        <v/>
      </c>
      <c r="H470" s="1456">
        <f>-SUM(H425:H430)-H469</f>
        <v/>
      </c>
      <c r="I470" s="1456">
        <f>-SUM(I425:I430)-I469</f>
        <v/>
      </c>
      <c r="J470" s="1456">
        <f>-SUM(J425:J430)-J469</f>
        <v/>
      </c>
      <c r="K470" s="1455">
        <f>-SUM(K425:K430)-K469</f>
        <v/>
      </c>
      <c r="L470" s="1456">
        <f>-SUM(L425:L430)-L469</f>
        <v/>
      </c>
      <c r="M470" s="1456">
        <f>-SUM(M425:M430)-M469</f>
        <v/>
      </c>
      <c r="N470" s="1456">
        <f>-SUM(N425:N430)-N469</f>
        <v/>
      </c>
      <c r="O470" s="1456">
        <f>-SUM(O425:O430)-O469</f>
        <v/>
      </c>
      <c r="P470" s="1455">
        <f>-SUM(P425:P430)-P469</f>
        <v/>
      </c>
      <c r="Q470" s="1456">
        <f>-SUM(Q425:Q430)-Q469</f>
        <v/>
      </c>
      <c r="R470" s="1456">
        <f>-SUM(R425:R430)-R469</f>
        <v/>
      </c>
      <c r="S470" s="1456">
        <f>-SUM(S425:S430)-S469</f>
        <v/>
      </c>
      <c r="T470" s="1456">
        <f>-SUM(T425:T430)-T469</f>
        <v/>
      </c>
      <c r="U470" s="1455">
        <f>-SUM(U425:U430)-U469</f>
        <v/>
      </c>
      <c r="V470" s="1456">
        <f>-SUM(V425:V430)-V469</f>
        <v/>
      </c>
      <c r="W470" s="1456">
        <f>-SUM(W425:W430)-W469</f>
        <v/>
      </c>
      <c r="X470" s="1456">
        <f>-SUM(X425:X430)-X469</f>
        <v/>
      </c>
      <c r="Y470" s="1456">
        <f>-SUM(Y425:Y430)-Y469</f>
        <v/>
      </c>
      <c r="Z470" s="1455">
        <f>-SUM(Z425:Z430)-Z469</f>
        <v/>
      </c>
      <c r="AA470" s="1456">
        <f>-SUM(AA425:AA430)-AA469</f>
        <v/>
      </c>
      <c r="AB470" s="1456">
        <f>-SUM(AB425:AB430)-AB469</f>
        <v/>
      </c>
      <c r="AC470" s="1456">
        <f>-SUM(AC425:AC430)-AC469</f>
        <v/>
      </c>
      <c r="AD470" s="1456">
        <f>-SUM(AD425:AD430)-AD469</f>
        <v/>
      </c>
      <c r="AE470" s="1455">
        <f>-SUM(AE425:AE430)-AE469</f>
        <v/>
      </c>
      <c r="AF470" s="1456">
        <f>-SUM(AF425:AF430)-AF469</f>
        <v/>
      </c>
      <c r="AG470" s="1456">
        <f>-SUM(AG425:AG430)-AG469</f>
        <v/>
      </c>
      <c r="AH470" s="1456">
        <f>-SUM(AH425:AH430)-AH469</f>
        <v/>
      </c>
      <c r="AI470" s="1456">
        <f>-SUM(AI425:AI430)-AI469</f>
        <v/>
      </c>
      <c r="AJ470" s="1455">
        <f>-SUM(AJ425:AJ430)-AJ469</f>
        <v/>
      </c>
      <c r="AK470" s="1456">
        <f>-SUM(AK425:AK430)-AK469</f>
        <v/>
      </c>
      <c r="AL470" s="1456">
        <f>-SUM(AL425:AL430)-AL469</f>
        <v/>
      </c>
      <c r="AM470" s="1456">
        <f>-SUM(AM425:AM430)-AM469</f>
        <v/>
      </c>
      <c r="AN470" s="1456">
        <f>-SUM(AN425:AN430)-AN469</f>
        <v/>
      </c>
      <c r="AO470" s="1455">
        <f>-SUM(AO425:AO430)-AO469</f>
        <v/>
      </c>
      <c r="AP470" s="1456">
        <f>-SUM(AP425:AP430)-AP469</f>
        <v/>
      </c>
      <c r="AQ470" s="1456">
        <f>-SUM(AQ425:AQ430)-AQ469</f>
        <v/>
      </c>
      <c r="AR470" s="1456">
        <f>-SUM(AR425:AR430)-AR469</f>
        <v/>
      </c>
      <c r="AS470" s="1456">
        <f>-SUM(AS425:AS430)-AS469</f>
        <v/>
      </c>
      <c r="AT470" s="1455">
        <f>-SUM(AT425:AT430)-AT469</f>
        <v/>
      </c>
      <c r="AU470" s="1456">
        <f>-SUM(AU425:AU430)-AU469</f>
        <v/>
      </c>
      <c r="AV470" s="1456">
        <f>-SUM(AV425:AV430)-AV469</f>
        <v/>
      </c>
      <c r="AW470" s="1456">
        <f>-SUM(AW425:AW430)-AW469</f>
        <v/>
      </c>
      <c r="AX470" s="1456">
        <f>-SUM(AX425:AX430)-AX469</f>
        <v/>
      </c>
      <c r="AY470" s="1455">
        <f>-SUM(AY425:AY430)-AY469</f>
        <v/>
      </c>
      <c r="AZ470" s="1456">
        <f>-SUM(AZ425:AZ430)-AZ469</f>
        <v/>
      </c>
      <c r="BA470" s="1456">
        <f>-SUM(BA425:BA430)-BA469</f>
        <v/>
      </c>
      <c r="BB470" s="1456">
        <f>-SUM(BB425:BB430)-BB469</f>
        <v/>
      </c>
      <c r="BC470" s="1456">
        <f>-SUM(BC425:BC430)-BC469</f>
        <v/>
      </c>
      <c r="BD470" s="1455">
        <f>-SUM(BD425:BD430)-BD469</f>
        <v/>
      </c>
      <c r="BE470" s="1456">
        <f>-SUM(BE425:BE430)-BE469</f>
        <v/>
      </c>
      <c r="BF470" s="1456">
        <f>-SUM(BF425:BF430)-BF469</f>
        <v/>
      </c>
      <c r="BG470" s="1456">
        <f>-SUM(BG425:BG430)-BG469</f>
        <v/>
      </c>
      <c r="BH470" s="1456">
        <f>-SUM(BH425:BH430)-BH469</f>
        <v/>
      </c>
      <c r="BI470" s="1455">
        <f>-SUM(BI425:BI430)-BI469</f>
        <v/>
      </c>
      <c r="BJ470" s="1456">
        <f>-SUM(BJ425:BJ430)-BJ469</f>
        <v/>
      </c>
      <c r="BK470" s="1456">
        <f>-SUM(BK425:BK430)-BK469</f>
        <v/>
      </c>
      <c r="BL470" s="1456">
        <f>-SUM(BL425:BL430)-BL469</f>
        <v/>
      </c>
      <c r="BM470" s="1456">
        <f>-SUM(BM425:BM430)-BM469</f>
        <v/>
      </c>
      <c r="BN470" s="1455">
        <f>-SUM(BN425:BN430)-BN469</f>
        <v/>
      </c>
      <c r="BO470" s="1456">
        <f>-SUM(BO425:BO430)-BO469</f>
        <v/>
      </c>
      <c r="BP470" s="1456">
        <f>-SUM(BP425:BP430)-BP469</f>
        <v/>
      </c>
      <c r="BQ470" s="1457">
        <f>-SUM(BQ425:BQ430)-BQ469</f>
        <v/>
      </c>
      <c r="BR470" s="1456">
        <f>BR71</f>
        <v/>
      </c>
      <c r="BS470" s="1455">
        <f>SUM(BO470,BP470,BQ470,BR470)</f>
        <v/>
      </c>
      <c r="BT470" s="1456">
        <f>BT71</f>
        <v/>
      </c>
      <c r="BU470" s="1456">
        <f>BU71</f>
        <v/>
      </c>
      <c r="BV470" s="1456">
        <f>BV71</f>
        <v/>
      </c>
      <c r="BW470" s="1456">
        <f>BW71</f>
        <v/>
      </c>
      <c r="BX470" s="1455">
        <f>SUM(BT470,BU470,BV470,BW470)</f>
        <v/>
      </c>
      <c r="BY470" s="1455">
        <f>BY71</f>
        <v/>
      </c>
      <c r="BZ470" s="1455">
        <f>BZ71</f>
        <v/>
      </c>
      <c r="CA470" s="1455">
        <f>CA71</f>
        <v/>
      </c>
      <c r="CB470" s="1364" t="n"/>
    </row>
    <row r="471" collapsed="1" ht="14.4" customFormat="1" customHeight="1" s="1359">
      <c r="A471" s="1604" t="inlineStr">
        <is>
          <t>Non-GAAP G&amp;A</t>
        </is>
      </c>
      <c r="B471" s="1512" t="n"/>
      <c r="C471" s="1379">
        <f>C468-SUM(C469:C470)</f>
        <v/>
      </c>
      <c r="D471" s="1378">
        <f>D468-SUM(D469:D470)</f>
        <v/>
      </c>
      <c r="E471" s="1378">
        <f>E468-SUM(E469:E470)</f>
        <v/>
      </c>
      <c r="F471" s="1378">
        <f>F468-SUM(F469:F470)</f>
        <v/>
      </c>
      <c r="G471" s="1364">
        <f>G468-SUM(G469:G470)</f>
        <v/>
      </c>
      <c r="H471" s="1364">
        <f>H468-SUM(H469:H470)</f>
        <v/>
      </c>
      <c r="I471" s="1364">
        <f>I468-SUM(I469:I470)</f>
        <v/>
      </c>
      <c r="J471" s="1364">
        <f>J468-SUM(J469:J470)</f>
        <v/>
      </c>
      <c r="K471" s="1378">
        <f>K468-SUM(K469:K470)</f>
        <v/>
      </c>
      <c r="L471" s="1364">
        <f>L468-SUM(L469:L470)</f>
        <v/>
      </c>
      <c r="M471" s="1364">
        <f>M468-SUM(M469:M470)</f>
        <v/>
      </c>
      <c r="N471" s="1364">
        <f>N468-SUM(N469:N470)</f>
        <v/>
      </c>
      <c r="O471" s="1364">
        <f>O468-SUM(O469:O470)</f>
        <v/>
      </c>
      <c r="P471" s="1378">
        <f>P468-SUM(P469:P470)</f>
        <v/>
      </c>
      <c r="Q471" s="1364">
        <f>Q468-SUM(Q469:Q470)</f>
        <v/>
      </c>
      <c r="R471" s="1364">
        <f>R468-SUM(R469:R470)</f>
        <v/>
      </c>
      <c r="S471" s="1364">
        <f>S468-SUM(S469:S470)</f>
        <v/>
      </c>
      <c r="T471" s="1364">
        <f>T468-SUM(T469:T470)</f>
        <v/>
      </c>
      <c r="U471" s="1378">
        <f>U468-SUM(U469:U470)</f>
        <v/>
      </c>
      <c r="V471" s="1364">
        <f>V468-SUM(V469:V470)</f>
        <v/>
      </c>
      <c r="W471" s="1364">
        <f>W468-SUM(W469:W470)</f>
        <v/>
      </c>
      <c r="X471" s="1364">
        <f>X468-SUM(X469:X470)</f>
        <v/>
      </c>
      <c r="Y471" s="1364">
        <f>Y468-SUM(Y469:Y470)</f>
        <v/>
      </c>
      <c r="Z471" s="1378">
        <f>Z468-SUM(Z469:Z470)</f>
        <v/>
      </c>
      <c r="AA471" s="1364">
        <f>AA468-SUM(AA469:AA470)</f>
        <v/>
      </c>
      <c r="AB471" s="1364">
        <f>AB468-SUM(AB469:AB470)</f>
        <v/>
      </c>
      <c r="AC471" s="1364">
        <f>AC468-SUM(AC469:AC470)</f>
        <v/>
      </c>
      <c r="AD471" s="1364">
        <f>AD468-SUM(AD469:AD470)</f>
        <v/>
      </c>
      <c r="AE471" s="1378">
        <f>AE468-SUM(AE469:AE470)</f>
        <v/>
      </c>
      <c r="AF471" s="1364">
        <f>AF468-SUM(AF469:AF470)</f>
        <v/>
      </c>
      <c r="AG471" s="1364">
        <f>AG468-SUM(AG469:AG470)</f>
        <v/>
      </c>
      <c r="AH471" s="1364">
        <f>AH468-SUM(AH469:AH470)</f>
        <v/>
      </c>
      <c r="AI471" s="1364">
        <f>AI468-SUM(AI469:AI470)</f>
        <v/>
      </c>
      <c r="AJ471" s="1378">
        <f>AJ468-SUM(AJ469:AJ470)</f>
        <v/>
      </c>
      <c r="AK471" s="1364">
        <f>AK468-SUM(AK469:AK470)</f>
        <v/>
      </c>
      <c r="AL471" s="1364">
        <f>AL468-SUM(AL469:AL470)</f>
        <v/>
      </c>
      <c r="AM471" s="1364">
        <f>AM468-SUM(AM469:AM470)</f>
        <v/>
      </c>
      <c r="AN471" s="1364">
        <f>AN468-SUM(AN469:AN470)</f>
        <v/>
      </c>
      <c r="AO471" s="1378">
        <f>AO468-SUM(AO469:AO470)</f>
        <v/>
      </c>
      <c r="AP471" s="1364">
        <f>AP468-SUM(AP469:AP470)</f>
        <v/>
      </c>
      <c r="AQ471" s="1364">
        <f>AQ468-SUM(AQ469:AQ470)</f>
        <v/>
      </c>
      <c r="AR471" s="1364">
        <f>AR468-SUM(AR469:AR470)</f>
        <v/>
      </c>
      <c r="AS471" s="1364">
        <f>AS468-SUM(AS469:AS470)</f>
        <v/>
      </c>
      <c r="AT471" s="1378">
        <f>AT468-SUM(AT469:AT470)</f>
        <v/>
      </c>
      <c r="AU471" s="1364">
        <f>AU468-SUM(AU469:AU470)</f>
        <v/>
      </c>
      <c r="AV471" s="1364">
        <f>AV468-SUM(AV469:AV470)</f>
        <v/>
      </c>
      <c r="AW471" s="1364">
        <f>AW468-SUM(AW469:AW470)</f>
        <v/>
      </c>
      <c r="AX471" s="1364">
        <f>AX468-SUM(AX469:AX470)</f>
        <v/>
      </c>
      <c r="AY471" s="1378">
        <f>AY468-SUM(AY469:AY470)</f>
        <v/>
      </c>
      <c r="AZ471" s="1364">
        <f>AZ468-SUM(AZ469:AZ470)</f>
        <v/>
      </c>
      <c r="BA471" s="1364">
        <f>BA468-SUM(BA469:BA470)</f>
        <v/>
      </c>
      <c r="BB471" s="1364">
        <f>BB468-SUM(BB469:BB470)</f>
        <v/>
      </c>
      <c r="BC471" s="1364">
        <f>BC468-SUM(BC469:BC470)</f>
        <v/>
      </c>
      <c r="BD471" s="1378">
        <f>BD468-SUM(BD469:BD470)</f>
        <v/>
      </c>
      <c r="BE471" s="1364">
        <f>BE468-SUM(BE469:BE470)</f>
        <v/>
      </c>
      <c r="BF471" s="1364">
        <f>BF468-SUM(BF469:BF470)</f>
        <v/>
      </c>
      <c r="BG471" s="1364">
        <f>BG468-SUM(BG469:BG470)</f>
        <v/>
      </c>
      <c r="BH471" s="1364">
        <f>BH468-SUM(BH469:BH470)</f>
        <v/>
      </c>
      <c r="BI471" s="1378">
        <f>BI468-SUM(BI469:BI470)</f>
        <v/>
      </c>
      <c r="BJ471" s="1364">
        <f>BJ468-SUM(BJ469:BJ470)</f>
        <v/>
      </c>
      <c r="BK471" s="1364">
        <f>BK468-SUM(BK469:BK470)</f>
        <v/>
      </c>
      <c r="BL471" s="1364">
        <f>BL468-SUM(BL469:BL470)</f>
        <v/>
      </c>
      <c r="BM471" s="1364">
        <f>BM468-SUM(BM469:BM470)</f>
        <v/>
      </c>
      <c r="BN471" s="1378">
        <f>BN468-SUM(BN469:BN470)</f>
        <v/>
      </c>
      <c r="BO471" s="1364">
        <f>BO468-SUM(BO469:BO470)</f>
        <v/>
      </c>
      <c r="BP471" s="1364">
        <f>BP468-SUM(BP469:BP470)</f>
        <v/>
      </c>
      <c r="BQ471" s="1395">
        <f>BQ468-SUM(BQ469:BQ470)</f>
        <v/>
      </c>
      <c r="BR471" s="1361">
        <f>BR72</f>
        <v/>
      </c>
      <c r="BS471" s="1379">
        <f>BS468-SUM(BS469:BS470)</f>
        <v/>
      </c>
      <c r="BT471" s="1361">
        <f>BT72</f>
        <v/>
      </c>
      <c r="BU471" s="1361">
        <f>BU72</f>
        <v/>
      </c>
      <c r="BV471" s="1361">
        <f>BV72</f>
        <v/>
      </c>
      <c r="BW471" s="1361">
        <f>BW72</f>
        <v/>
      </c>
      <c r="BX471" s="1379">
        <f>BX468-SUM(BX469:BX470)</f>
        <v/>
      </c>
      <c r="BY471" s="1379">
        <f>BY72</f>
        <v/>
      </c>
      <c r="BZ471" s="1379">
        <f>BZ72</f>
        <v/>
      </c>
      <c r="CA471" s="1379">
        <f>CA72</f>
        <v/>
      </c>
      <c r="CB471" s="1364" t="n"/>
    </row>
    <row r="472" hidden="1" outlineLevel="2" ht="14.4" customFormat="1" customHeight="1" s="1359">
      <c r="A472" s="1604" t="inlineStr">
        <is>
          <t>GAAP S&amp;M</t>
        </is>
      </c>
      <c r="B472" s="1512" t="n"/>
      <c r="C472" s="1378">
        <f>+C348</f>
        <v/>
      </c>
      <c r="D472" s="1378">
        <f>+D348</f>
        <v/>
      </c>
      <c r="E472" s="1378">
        <f>+E348</f>
        <v/>
      </c>
      <c r="F472" s="1378">
        <f>+F348</f>
        <v/>
      </c>
      <c r="G472" s="1364">
        <f>+G348</f>
        <v/>
      </c>
      <c r="H472" s="1364">
        <f>+H348</f>
        <v/>
      </c>
      <c r="I472" s="1364">
        <f>+I348</f>
        <v/>
      </c>
      <c r="J472" s="1364">
        <f>+J348</f>
        <v/>
      </c>
      <c r="K472" s="1378">
        <f>+K348</f>
        <v/>
      </c>
      <c r="L472" s="1364">
        <f>+L348</f>
        <v/>
      </c>
      <c r="M472" s="1364">
        <f>+M348</f>
        <v/>
      </c>
      <c r="N472" s="1364">
        <f>+N348</f>
        <v/>
      </c>
      <c r="O472" s="1364">
        <f>+O348</f>
        <v/>
      </c>
      <c r="P472" s="1378">
        <f>+P348</f>
        <v/>
      </c>
      <c r="Q472" s="1364">
        <f>+Q348</f>
        <v/>
      </c>
      <c r="R472" s="1364">
        <f>+R348</f>
        <v/>
      </c>
      <c r="S472" s="1364">
        <f>+S348</f>
        <v/>
      </c>
      <c r="T472" s="1364">
        <f>+T348</f>
        <v/>
      </c>
      <c r="U472" s="1378">
        <f>+U348</f>
        <v/>
      </c>
      <c r="V472" s="1364">
        <f>+V348</f>
        <v/>
      </c>
      <c r="W472" s="1364">
        <f>+W348</f>
        <v/>
      </c>
      <c r="X472" s="1364">
        <f>+X348</f>
        <v/>
      </c>
      <c r="Y472" s="1364">
        <f>+Y348</f>
        <v/>
      </c>
      <c r="Z472" s="1378">
        <f>+Z348</f>
        <v/>
      </c>
      <c r="AA472" s="1364">
        <f>+AA348</f>
        <v/>
      </c>
      <c r="AB472" s="1364">
        <f>+AB348</f>
        <v/>
      </c>
      <c r="AC472" s="1364">
        <f>+AC348</f>
        <v/>
      </c>
      <c r="AD472" s="1364">
        <f>+AD348</f>
        <v/>
      </c>
      <c r="AE472" s="1378">
        <f>+AE348</f>
        <v/>
      </c>
      <c r="AF472" s="1364">
        <f>+AF348</f>
        <v/>
      </c>
      <c r="AG472" s="1364">
        <f>+AG348</f>
        <v/>
      </c>
      <c r="AH472" s="1364">
        <f>+AH348</f>
        <v/>
      </c>
      <c r="AI472" s="1364">
        <f>+AI348</f>
        <v/>
      </c>
      <c r="AJ472" s="1378">
        <f>+AJ348</f>
        <v/>
      </c>
      <c r="AK472" s="1364">
        <f>+AK348</f>
        <v/>
      </c>
      <c r="AL472" s="1364">
        <f>+AL348</f>
        <v/>
      </c>
      <c r="AM472" s="1364">
        <f>+AM348</f>
        <v/>
      </c>
      <c r="AN472" s="1364">
        <f>+AN348</f>
        <v/>
      </c>
      <c r="AO472" s="1378">
        <f>+AO348</f>
        <v/>
      </c>
      <c r="AP472" s="1364">
        <f>+AP348</f>
        <v/>
      </c>
      <c r="AQ472" s="1364">
        <f>+AQ348</f>
        <v/>
      </c>
      <c r="AR472" s="1364">
        <f>+AR348</f>
        <v/>
      </c>
      <c r="AS472" s="1364">
        <f>+AS348</f>
        <v/>
      </c>
      <c r="AT472" s="1378">
        <f>+AT348</f>
        <v/>
      </c>
      <c r="AU472" s="1364">
        <f>+AU348</f>
        <v/>
      </c>
      <c r="AV472" s="1364">
        <f>+AV348</f>
        <v/>
      </c>
      <c r="AW472" s="1364">
        <f>+AW348</f>
        <v/>
      </c>
      <c r="AX472" s="1364">
        <f>+AX348</f>
        <v/>
      </c>
      <c r="AY472" s="1378">
        <f>+AY348</f>
        <v/>
      </c>
      <c r="AZ472" s="1364">
        <f>+AZ348</f>
        <v/>
      </c>
      <c r="BA472" s="1364">
        <f>+BA348</f>
        <v/>
      </c>
      <c r="BB472" s="1364">
        <f>+BB348</f>
        <v/>
      </c>
      <c r="BC472" s="1364">
        <f>+BC348</f>
        <v/>
      </c>
      <c r="BD472" s="1378">
        <f>+BD348</f>
        <v/>
      </c>
      <c r="BE472" s="1364">
        <f>+BE348</f>
        <v/>
      </c>
      <c r="BF472" s="1364">
        <f>+BF348</f>
        <v/>
      </c>
      <c r="BG472" s="1364">
        <f>+BG348</f>
        <v/>
      </c>
      <c r="BH472" s="1364">
        <f>+BH348</f>
        <v/>
      </c>
      <c r="BI472" s="1378">
        <f>+BI348</f>
        <v/>
      </c>
      <c r="BJ472" s="1364">
        <f>+BJ348</f>
        <v/>
      </c>
      <c r="BK472" s="1364">
        <f>+BK348</f>
        <v/>
      </c>
      <c r="BL472" s="1364">
        <f>+BL348</f>
        <v/>
      </c>
      <c r="BM472" s="1364">
        <f>+BM348</f>
        <v/>
      </c>
      <c r="BN472" s="1378">
        <f>+BN348</f>
        <v/>
      </c>
      <c r="BO472" s="1364">
        <f>+BO348</f>
        <v/>
      </c>
      <c r="BP472" s="1364">
        <f>+BP348</f>
        <v/>
      </c>
      <c r="BQ472" s="1395">
        <f>+BQ348</f>
        <v/>
      </c>
      <c r="BR472" s="1361">
        <f>BR475+BR474+BR473</f>
        <v/>
      </c>
      <c r="BS472" s="1379">
        <f>SUM(BO472,BP472,BQ472,BR472)</f>
        <v/>
      </c>
      <c r="BT472" s="1361">
        <f>BT475+BT474+BT473</f>
        <v/>
      </c>
      <c r="BU472" s="1361">
        <f>BU475+BU474+BU473</f>
        <v/>
      </c>
      <c r="BV472" s="1361">
        <f>BV475+BV474+BV473</f>
        <v/>
      </c>
      <c r="BW472" s="1361">
        <f>BW475+BW474+BW473</f>
        <v/>
      </c>
      <c r="BX472" s="1379">
        <f>SUM(BT472,BU472,BV472,BW472)</f>
        <v/>
      </c>
      <c r="BY472" s="1379">
        <f>BY475+BY474+BY473</f>
        <v/>
      </c>
      <c r="BZ472" s="1379">
        <f>BZ475+BZ474+BZ473</f>
        <v/>
      </c>
      <c r="CA472" s="1379">
        <f>CA475+CA474+CA473</f>
        <v/>
      </c>
      <c r="CB472" s="1364" t="n"/>
    </row>
    <row r="473" hidden="1" outlineLevel="2" ht="14.4" customFormat="1" customHeight="1" s="1359">
      <c r="A473" s="1594" t="inlineStr">
        <is>
          <t>SBC</t>
        </is>
      </c>
      <c r="B473" s="1512" t="n"/>
      <c r="C473" s="1379">
        <f>-C410</f>
        <v/>
      </c>
      <c r="D473" s="1379">
        <f>-D410</f>
        <v/>
      </c>
      <c r="E473" s="1379">
        <f>-E410</f>
        <v/>
      </c>
      <c r="F473" s="1379">
        <f>-F410</f>
        <v/>
      </c>
      <c r="G473" s="1361">
        <f>-G410</f>
        <v/>
      </c>
      <c r="H473" s="1361">
        <f>-H410</f>
        <v/>
      </c>
      <c r="I473" s="1361">
        <f>-I410</f>
        <v/>
      </c>
      <c r="J473" s="1361">
        <f>-J410</f>
        <v/>
      </c>
      <c r="K473" s="1379">
        <f>-K410</f>
        <v/>
      </c>
      <c r="L473" s="1361">
        <f>-L410</f>
        <v/>
      </c>
      <c r="M473" s="1361">
        <f>-M410</f>
        <v/>
      </c>
      <c r="N473" s="1361">
        <f>-N410</f>
        <v/>
      </c>
      <c r="O473" s="1361">
        <f>-O410</f>
        <v/>
      </c>
      <c r="P473" s="1379">
        <f>-P410</f>
        <v/>
      </c>
      <c r="Q473" s="1361">
        <f>-Q410</f>
        <v/>
      </c>
      <c r="R473" s="1361">
        <f>-R410</f>
        <v/>
      </c>
      <c r="S473" s="1361">
        <f>-S410</f>
        <v/>
      </c>
      <c r="T473" s="1361">
        <f>-T410</f>
        <v/>
      </c>
      <c r="U473" s="1379">
        <f>-U410</f>
        <v/>
      </c>
      <c r="V473" s="1361">
        <f>-V410</f>
        <v/>
      </c>
      <c r="W473" s="1361">
        <f>-W410</f>
        <v/>
      </c>
      <c r="X473" s="1361">
        <f>-X410</f>
        <v/>
      </c>
      <c r="Y473" s="1361">
        <f>-Y410</f>
        <v/>
      </c>
      <c r="Z473" s="1379">
        <f>-Z410</f>
        <v/>
      </c>
      <c r="AA473" s="1361">
        <f>-AA410</f>
        <v/>
      </c>
      <c r="AB473" s="1361">
        <f>-AB410</f>
        <v/>
      </c>
      <c r="AC473" s="1361">
        <f>-AC410</f>
        <v/>
      </c>
      <c r="AD473" s="1361">
        <f>-AD410</f>
        <v/>
      </c>
      <c r="AE473" s="1379">
        <f>-AE410</f>
        <v/>
      </c>
      <c r="AF473" s="1361">
        <f>-AF410</f>
        <v/>
      </c>
      <c r="AG473" s="1361">
        <f>-AG410</f>
        <v/>
      </c>
      <c r="AH473" s="1361">
        <f>-AH410</f>
        <v/>
      </c>
      <c r="AI473" s="1361">
        <f>-AI410</f>
        <v/>
      </c>
      <c r="AJ473" s="1379">
        <f>-AJ410</f>
        <v/>
      </c>
      <c r="AK473" s="1361">
        <f>-AK410</f>
        <v/>
      </c>
      <c r="AL473" s="1361">
        <f>-AL410</f>
        <v/>
      </c>
      <c r="AM473" s="1361">
        <f>-AM410</f>
        <v/>
      </c>
      <c r="AN473" s="1361">
        <f>-AN410</f>
        <v/>
      </c>
      <c r="AO473" s="1379">
        <f>-AO410</f>
        <v/>
      </c>
      <c r="AP473" s="1361">
        <f>-AP410</f>
        <v/>
      </c>
      <c r="AQ473" s="1361">
        <f>-AQ410</f>
        <v/>
      </c>
      <c r="AR473" s="1361">
        <f>-AR410</f>
        <v/>
      </c>
      <c r="AS473" s="1361">
        <f>-AS410</f>
        <v/>
      </c>
      <c r="AT473" s="1379">
        <f>-AT410</f>
        <v/>
      </c>
      <c r="AU473" s="1361">
        <f>-AU410</f>
        <v/>
      </c>
      <c r="AV473" s="1361">
        <f>-AV410</f>
        <v/>
      </c>
      <c r="AW473" s="1361">
        <f>-AW410</f>
        <v/>
      </c>
      <c r="AX473" s="1361">
        <f>-AX410</f>
        <v/>
      </c>
      <c r="AY473" s="1379">
        <f>-AY410</f>
        <v/>
      </c>
      <c r="AZ473" s="1361">
        <f>-AZ410</f>
        <v/>
      </c>
      <c r="BA473" s="1361">
        <f>-BA410</f>
        <v/>
      </c>
      <c r="BB473" s="1361">
        <f>-BB410</f>
        <v/>
      </c>
      <c r="BC473" s="1361">
        <f>-BC410</f>
        <v/>
      </c>
      <c r="BD473" s="1379">
        <f>-BD410</f>
        <v/>
      </c>
      <c r="BE473" s="1361">
        <f>-BE410</f>
        <v/>
      </c>
      <c r="BF473" s="1361">
        <f>-BF410</f>
        <v/>
      </c>
      <c r="BG473" s="1361">
        <f>-BG410</f>
        <v/>
      </c>
      <c r="BH473" s="1361">
        <f>-BH410</f>
        <v/>
      </c>
      <c r="BI473" s="1379">
        <f>-BI410</f>
        <v/>
      </c>
      <c r="BJ473" s="1361">
        <f>-BJ410</f>
        <v/>
      </c>
      <c r="BK473" s="1361">
        <f>-BK410</f>
        <v/>
      </c>
      <c r="BL473" s="1361">
        <f>-BL410</f>
        <v/>
      </c>
      <c r="BM473" s="1361">
        <f>-BM410</f>
        <v/>
      </c>
      <c r="BN473" s="1379">
        <f>-BN410</f>
        <v/>
      </c>
      <c r="BO473" s="1361">
        <f>-BO410</f>
        <v/>
      </c>
      <c r="BP473" s="1361">
        <f>-BP410</f>
        <v/>
      </c>
      <c r="BQ473" s="1363">
        <f>-BQ410</f>
        <v/>
      </c>
      <c r="BR473" s="1361">
        <f>BR82</f>
        <v/>
      </c>
      <c r="BS473" s="1379">
        <f>SUM(BO473,BP473,BQ473,BR473)</f>
        <v/>
      </c>
      <c r="BT473" s="1361">
        <f>BT82</f>
        <v/>
      </c>
      <c r="BU473" s="1361">
        <f>BU82</f>
        <v/>
      </c>
      <c r="BV473" s="1361">
        <f>BV82</f>
        <v/>
      </c>
      <c r="BW473" s="1361">
        <f>BW82</f>
        <v/>
      </c>
      <c r="BX473" s="1379">
        <f>SUM(BT473,BU473,BV473,BW473)</f>
        <v/>
      </c>
      <c r="BY473" s="1379">
        <f>BY82</f>
        <v/>
      </c>
      <c r="BZ473" s="1379">
        <f>BZ82</f>
        <v/>
      </c>
      <c r="CA473" s="1379">
        <f>CA82</f>
        <v/>
      </c>
      <c r="CB473" s="1364" t="n"/>
    </row>
    <row r="474" hidden="1" outlineLevel="2" ht="14.4" customFormat="1" customHeight="1" s="1359">
      <c r="A474" s="1595" t="inlineStr">
        <is>
          <t>Other Adjustments S&amp;M</t>
        </is>
      </c>
      <c r="B474" s="1514" t="n"/>
      <c r="C474" s="1455">
        <f>-SUM(C410:C414)-C473</f>
        <v/>
      </c>
      <c r="D474" s="1455">
        <f>-SUM(D410:D414)-D473</f>
        <v/>
      </c>
      <c r="E474" s="1455">
        <f>-SUM(E410:E414)-E473</f>
        <v/>
      </c>
      <c r="F474" s="1455">
        <f>-SUM(F410:F414)-F473</f>
        <v/>
      </c>
      <c r="G474" s="1456">
        <f>-SUM(G410:G414)-G473</f>
        <v/>
      </c>
      <c r="H474" s="1456">
        <f>-SUM(H410:H414)-H473</f>
        <v/>
      </c>
      <c r="I474" s="1456">
        <f>-SUM(I410:I414)-I473</f>
        <v/>
      </c>
      <c r="J474" s="1456">
        <f>-SUM(J410:J414)-J473</f>
        <v/>
      </c>
      <c r="K474" s="1455">
        <f>-SUM(K410:K414)-K473</f>
        <v/>
      </c>
      <c r="L474" s="1456">
        <f>-SUM(L410:L414)-L473</f>
        <v/>
      </c>
      <c r="M474" s="1456">
        <f>-SUM(M410:M414)-M473</f>
        <v/>
      </c>
      <c r="N474" s="1456">
        <f>-SUM(N410:N414)-N473</f>
        <v/>
      </c>
      <c r="O474" s="1456">
        <f>-SUM(O410:O414)-O473</f>
        <v/>
      </c>
      <c r="P474" s="1455">
        <f>-SUM(P410:P414)-P473</f>
        <v/>
      </c>
      <c r="Q474" s="1456">
        <f>-SUM(Q410:Q414)-Q473</f>
        <v/>
      </c>
      <c r="R474" s="1456">
        <f>-SUM(R410:R414)-R473</f>
        <v/>
      </c>
      <c r="S474" s="1456">
        <f>-SUM(S410:S414)-S473</f>
        <v/>
      </c>
      <c r="T474" s="1456">
        <f>-SUM(T410:T414)-T473</f>
        <v/>
      </c>
      <c r="U474" s="1455">
        <f>-SUM(U410:U414)-U473</f>
        <v/>
      </c>
      <c r="V474" s="1456">
        <f>-SUM(V410:V414)-V473</f>
        <v/>
      </c>
      <c r="W474" s="1456">
        <f>-SUM(W410:W414)-W473</f>
        <v/>
      </c>
      <c r="X474" s="1456">
        <f>-SUM(X410:X414)-X473</f>
        <v/>
      </c>
      <c r="Y474" s="1456">
        <f>-SUM(Y410:Y414)-Y473</f>
        <v/>
      </c>
      <c r="Z474" s="1455">
        <f>-SUM(Z410:Z414)-Z473</f>
        <v/>
      </c>
      <c r="AA474" s="1456">
        <f>-SUM(AA410:AA414)-AA473</f>
        <v/>
      </c>
      <c r="AB474" s="1456">
        <f>-SUM(AB410:AB414)-AB473</f>
        <v/>
      </c>
      <c r="AC474" s="1456">
        <f>-SUM(AC410:AC414)-AC473</f>
        <v/>
      </c>
      <c r="AD474" s="1456">
        <f>-SUM(AD410:AD414)-AD473</f>
        <v/>
      </c>
      <c r="AE474" s="1455">
        <f>-SUM(AE410:AE414)-AE473</f>
        <v/>
      </c>
      <c r="AF474" s="1456">
        <f>-SUM(AF410:AF414)-AF473</f>
        <v/>
      </c>
      <c r="AG474" s="1456">
        <f>-SUM(AG410:AG414)-AG473</f>
        <v/>
      </c>
      <c r="AH474" s="1456">
        <f>-SUM(AH410:AH414)-AH473</f>
        <v/>
      </c>
      <c r="AI474" s="1456">
        <f>-SUM(AI410:AI414)-AI473</f>
        <v/>
      </c>
      <c r="AJ474" s="1455">
        <f>-SUM(AJ410:AJ414)-AJ473</f>
        <v/>
      </c>
      <c r="AK474" s="1456">
        <f>-SUM(AK410:AK414)-AK473</f>
        <v/>
      </c>
      <c r="AL474" s="1456">
        <f>-SUM(AL410:AL414)-AL473</f>
        <v/>
      </c>
      <c r="AM474" s="1456">
        <f>-SUM(AM410:AM414)-AM473</f>
        <v/>
      </c>
      <c r="AN474" s="1456">
        <f>-SUM(AN410:AN414)-AN473</f>
        <v/>
      </c>
      <c r="AO474" s="1455">
        <f>-SUM(AO410:AO414)-AO473</f>
        <v/>
      </c>
      <c r="AP474" s="1456">
        <f>-SUM(AP410:AP414)-AP473</f>
        <v/>
      </c>
      <c r="AQ474" s="1456">
        <f>-SUM(AQ410:AQ414)-AQ473</f>
        <v/>
      </c>
      <c r="AR474" s="1456">
        <f>-SUM(AR410:AR414)-AR473</f>
        <v/>
      </c>
      <c r="AS474" s="1456">
        <f>-SUM(AS410:AS414)-AS473</f>
        <v/>
      </c>
      <c r="AT474" s="1455">
        <f>-SUM(AT410:AT414)-AT473</f>
        <v/>
      </c>
      <c r="AU474" s="1456">
        <f>-SUM(AU410:AU414)-AU473</f>
        <v/>
      </c>
      <c r="AV474" s="1456">
        <f>-SUM(AV410:AV414)-AV473</f>
        <v/>
      </c>
      <c r="AW474" s="1456">
        <f>-SUM(AW410:AW414)-AW473</f>
        <v/>
      </c>
      <c r="AX474" s="1456">
        <f>-SUM(AX410:AX414)-AX473</f>
        <v/>
      </c>
      <c r="AY474" s="1455">
        <f>-SUM(AY410:AY414)-AY473</f>
        <v/>
      </c>
      <c r="AZ474" s="1456">
        <f>-SUM(AZ410:AZ414)-AZ473</f>
        <v/>
      </c>
      <c r="BA474" s="1456">
        <f>-SUM(BA410:BA414)-BA473</f>
        <v/>
      </c>
      <c r="BB474" s="1456">
        <f>-SUM(BB410:BB414)-BB473</f>
        <v/>
      </c>
      <c r="BC474" s="1456">
        <f>-SUM(BC410:BC414)-BC473</f>
        <v/>
      </c>
      <c r="BD474" s="1455">
        <f>-SUM(BD410:BD414)-BD473</f>
        <v/>
      </c>
      <c r="BE474" s="1456">
        <f>-SUM(BE410:BE414)-BE473</f>
        <v/>
      </c>
      <c r="BF474" s="1456">
        <f>-SUM(BF410:BF414)-BF473</f>
        <v/>
      </c>
      <c r="BG474" s="1456">
        <f>-SUM(BG410:BG414)-BG473</f>
        <v/>
      </c>
      <c r="BH474" s="1456">
        <f>-SUM(BH410:BH414)-BH473</f>
        <v/>
      </c>
      <c r="BI474" s="1455">
        <f>-SUM(BI410:BI414)-BI473</f>
        <v/>
      </c>
      <c r="BJ474" s="1456">
        <f>-SUM(BJ410:BJ414)-BJ473</f>
        <v/>
      </c>
      <c r="BK474" s="1456">
        <f>-SUM(BK410:BK414)-BK473</f>
        <v/>
      </c>
      <c r="BL474" s="1456">
        <f>-SUM(BL410:BL414)-BL473</f>
        <v/>
      </c>
      <c r="BM474" s="1456">
        <f>-SUM(BM410:BM414)-BM473</f>
        <v/>
      </c>
      <c r="BN474" s="1455">
        <f>-SUM(BN410:BN414)-BN473</f>
        <v/>
      </c>
      <c r="BO474" s="1456">
        <f>-SUM(BO410:BO414)-BO473</f>
        <v/>
      </c>
      <c r="BP474" s="1456">
        <f>-SUM(BP410:BP414)-BP473</f>
        <v/>
      </c>
      <c r="BQ474" s="1457">
        <f>-SUM(BQ410:BQ414)-BQ473</f>
        <v/>
      </c>
      <c r="BR474" s="1456">
        <f>BR84</f>
        <v/>
      </c>
      <c r="BS474" s="1455">
        <f>SUM(BO474,BP474,BQ474,BR474)</f>
        <v/>
      </c>
      <c r="BT474" s="1456">
        <f>BT84</f>
        <v/>
      </c>
      <c r="BU474" s="1456">
        <f>BU84</f>
        <v/>
      </c>
      <c r="BV474" s="1456">
        <f>BV84</f>
        <v/>
      </c>
      <c r="BW474" s="1456">
        <f>BW84</f>
        <v/>
      </c>
      <c r="BX474" s="1455">
        <f>SUM(BT474,BU474,BV474,BW474)</f>
        <v/>
      </c>
      <c r="BY474" s="1455">
        <f>BY84</f>
        <v/>
      </c>
      <c r="BZ474" s="1455">
        <f>BZ84</f>
        <v/>
      </c>
      <c r="CA474" s="1455">
        <f>CA84</f>
        <v/>
      </c>
      <c r="CB474" s="1364" t="n"/>
    </row>
    <row r="475" collapsed="1" ht="14.4" customFormat="1" customHeight="1" s="1372">
      <c r="A475" s="1605" t="inlineStr">
        <is>
          <t>Non-GAAP S&amp;M</t>
        </is>
      </c>
      <c r="B475" s="1514" t="n"/>
      <c r="C475" s="1455">
        <f>C472-SUM(C473:C474)</f>
        <v/>
      </c>
      <c r="D475" s="1518">
        <f>D472-SUM(D473:D474)</f>
        <v/>
      </c>
      <c r="E475" s="1518">
        <f>E472-SUM(E473:E474)</f>
        <v/>
      </c>
      <c r="F475" s="1518">
        <f>F472-SUM(F473:F474)</f>
        <v/>
      </c>
      <c r="G475" s="1510">
        <f>G472-SUM(G473:G474)</f>
        <v/>
      </c>
      <c r="H475" s="1510">
        <f>H472-SUM(H473:H474)</f>
        <v/>
      </c>
      <c r="I475" s="1510">
        <f>I472-SUM(I473:I474)</f>
        <v/>
      </c>
      <c r="J475" s="1510">
        <f>J472-SUM(J473:J474)</f>
        <v/>
      </c>
      <c r="K475" s="1518">
        <f>K472-SUM(K473:K474)</f>
        <v/>
      </c>
      <c r="L475" s="1510">
        <f>L472-SUM(L473:L474)</f>
        <v/>
      </c>
      <c r="M475" s="1510">
        <f>M472-SUM(M473:M474)</f>
        <v/>
      </c>
      <c r="N475" s="1510">
        <f>N472-SUM(N473:N474)</f>
        <v/>
      </c>
      <c r="O475" s="1510">
        <f>O472-SUM(O473:O474)</f>
        <v/>
      </c>
      <c r="P475" s="1518">
        <f>P472-SUM(P473:P474)</f>
        <v/>
      </c>
      <c r="Q475" s="1510">
        <f>Q472-SUM(Q473:Q474)</f>
        <v/>
      </c>
      <c r="R475" s="1510">
        <f>R472-SUM(R473:R474)</f>
        <v/>
      </c>
      <c r="S475" s="1510">
        <f>S472-SUM(S473:S474)</f>
        <v/>
      </c>
      <c r="T475" s="1510">
        <f>T472-SUM(T473:T474)</f>
        <v/>
      </c>
      <c r="U475" s="1518">
        <f>U472-SUM(U473:U474)</f>
        <v/>
      </c>
      <c r="V475" s="1510">
        <f>V472-SUM(V473:V474)</f>
        <v/>
      </c>
      <c r="W475" s="1510">
        <f>W472-SUM(W473:W474)</f>
        <v/>
      </c>
      <c r="X475" s="1510">
        <f>X472-SUM(X473:X474)</f>
        <v/>
      </c>
      <c r="Y475" s="1510">
        <f>Y472-SUM(Y473:Y474)</f>
        <v/>
      </c>
      <c r="Z475" s="1518">
        <f>Z472-SUM(Z473:Z474)</f>
        <v/>
      </c>
      <c r="AA475" s="1510">
        <f>AA472-SUM(AA473:AA474)</f>
        <v/>
      </c>
      <c r="AB475" s="1510">
        <f>AB472-SUM(AB473:AB474)</f>
        <v/>
      </c>
      <c r="AC475" s="1510">
        <f>AC472-SUM(AC473:AC474)</f>
        <v/>
      </c>
      <c r="AD475" s="1510">
        <f>AD472-SUM(AD473:AD474)</f>
        <v/>
      </c>
      <c r="AE475" s="1518">
        <f>AE472-SUM(AE473:AE474)</f>
        <v/>
      </c>
      <c r="AF475" s="1510">
        <f>AF472-SUM(AF473:AF474)</f>
        <v/>
      </c>
      <c r="AG475" s="1510">
        <f>AG472-SUM(AG473:AG474)</f>
        <v/>
      </c>
      <c r="AH475" s="1510">
        <f>AH472-SUM(AH473:AH474)</f>
        <v/>
      </c>
      <c r="AI475" s="1510">
        <f>AI472-SUM(AI473:AI474)</f>
        <v/>
      </c>
      <c r="AJ475" s="1518">
        <f>AJ472-SUM(AJ473:AJ474)</f>
        <v/>
      </c>
      <c r="AK475" s="1510">
        <f>AK472-SUM(AK473:AK474)</f>
        <v/>
      </c>
      <c r="AL475" s="1510">
        <f>AL472-SUM(AL473:AL474)</f>
        <v/>
      </c>
      <c r="AM475" s="1510">
        <f>AM472-SUM(AM473:AM474)</f>
        <v/>
      </c>
      <c r="AN475" s="1510">
        <f>AN472-SUM(AN473:AN474)</f>
        <v/>
      </c>
      <c r="AO475" s="1518">
        <f>AO472-SUM(AO473:AO474)</f>
        <v/>
      </c>
      <c r="AP475" s="1510">
        <f>AP472-SUM(AP473:AP474)</f>
        <v/>
      </c>
      <c r="AQ475" s="1510">
        <f>AQ472-SUM(AQ473:AQ474)</f>
        <v/>
      </c>
      <c r="AR475" s="1510">
        <f>AR472-SUM(AR473:AR474)</f>
        <v/>
      </c>
      <c r="AS475" s="1510">
        <f>AS472-SUM(AS473:AS474)</f>
        <v/>
      </c>
      <c r="AT475" s="1518">
        <f>AT472-SUM(AT473:AT474)</f>
        <v/>
      </c>
      <c r="AU475" s="1510">
        <f>AU472-SUM(AU473:AU474)</f>
        <v/>
      </c>
      <c r="AV475" s="1510">
        <f>AV472-SUM(AV473:AV474)</f>
        <v/>
      </c>
      <c r="AW475" s="1510">
        <f>AW472-SUM(AW473:AW474)</f>
        <v/>
      </c>
      <c r="AX475" s="1510">
        <f>AX472-SUM(AX473:AX474)</f>
        <v/>
      </c>
      <c r="AY475" s="1518">
        <f>AY472-SUM(AY473:AY474)</f>
        <v/>
      </c>
      <c r="AZ475" s="1510">
        <f>AZ472-SUM(AZ473:AZ474)</f>
        <v/>
      </c>
      <c r="BA475" s="1510">
        <f>BA472-SUM(BA473:BA474)</f>
        <v/>
      </c>
      <c r="BB475" s="1510">
        <f>BB472-SUM(BB473:BB474)</f>
        <v/>
      </c>
      <c r="BC475" s="1510">
        <f>BC472-SUM(BC473:BC474)</f>
        <v/>
      </c>
      <c r="BD475" s="1518">
        <f>BD472-SUM(BD473:BD474)</f>
        <v/>
      </c>
      <c r="BE475" s="1510">
        <f>BE472-SUM(BE473:BE474)</f>
        <v/>
      </c>
      <c r="BF475" s="1510">
        <f>BF472-SUM(BF473:BF474)</f>
        <v/>
      </c>
      <c r="BG475" s="1510">
        <f>BG472-SUM(BG473:BG474)</f>
        <v/>
      </c>
      <c r="BH475" s="1510">
        <f>BH472-SUM(BH473:BH474)</f>
        <v/>
      </c>
      <c r="BI475" s="1518">
        <f>BI472-SUM(BI473:BI474)</f>
        <v/>
      </c>
      <c r="BJ475" s="1510">
        <f>BJ472-SUM(BJ473:BJ474)</f>
        <v/>
      </c>
      <c r="BK475" s="1510">
        <f>BK472-SUM(BK473:BK474)</f>
        <v/>
      </c>
      <c r="BL475" s="1510">
        <f>BL472-SUM(BL473:BL474)</f>
        <v/>
      </c>
      <c r="BM475" s="1510">
        <f>BM472-SUM(BM473:BM474)</f>
        <v/>
      </c>
      <c r="BN475" s="1518">
        <f>BN472-SUM(BN473:BN474)</f>
        <v/>
      </c>
      <c r="BO475" s="1510">
        <f>BO472-SUM(BO473:BO474)</f>
        <v/>
      </c>
      <c r="BP475" s="1510">
        <f>BP472-SUM(BP473:BP474)</f>
        <v/>
      </c>
      <c r="BQ475" s="1511">
        <f>BQ472-SUM(BQ473:BQ474)</f>
        <v/>
      </c>
      <c r="BR475" s="1456">
        <f>BR85</f>
        <v/>
      </c>
      <c r="BS475" s="1455">
        <f>BS472-SUM(BS473:BS474)</f>
        <v/>
      </c>
      <c r="BT475" s="1456">
        <f>BT85</f>
        <v/>
      </c>
      <c r="BU475" s="1456">
        <f>BU85</f>
        <v/>
      </c>
      <c r="BV475" s="1456">
        <f>BV85</f>
        <v/>
      </c>
      <c r="BW475" s="1456">
        <f>BW85</f>
        <v/>
      </c>
      <c r="BX475" s="1455">
        <f>BX472-SUM(BX473:BX474)</f>
        <v/>
      </c>
      <c r="BY475" s="1455">
        <f>BY85</f>
        <v/>
      </c>
      <c r="BZ475" s="1455">
        <f>BZ85</f>
        <v/>
      </c>
      <c r="CA475" s="1455">
        <f>CA85</f>
        <v/>
      </c>
      <c r="CB475" s="1375" t="n"/>
    </row>
    <row r="476" ht="14.4" customFormat="1" customHeight="1" s="1372">
      <c r="A476" s="1606" t="inlineStr">
        <is>
          <t>Non-GAAP Operating Income Before Other</t>
        </is>
      </c>
      <c r="B476" s="1516" t="n"/>
      <c r="C476" s="1405">
        <f>C462-C467-C471-C475</f>
        <v/>
      </c>
      <c r="D476" s="1405">
        <f>D462-D467-D471-D475</f>
        <v/>
      </c>
      <c r="E476" s="1405">
        <f>E462-E467-E471-E475</f>
        <v/>
      </c>
      <c r="F476" s="1405">
        <f>F462-F467-F471-F475</f>
        <v/>
      </c>
      <c r="G476" s="1404">
        <f>G462-G467-G471-G475</f>
        <v/>
      </c>
      <c r="H476" s="1404">
        <f>H462-H467-H471-H475</f>
        <v/>
      </c>
      <c r="I476" s="1404">
        <f>I462-I467-I471-I475</f>
        <v/>
      </c>
      <c r="J476" s="1404">
        <f>J462-J467-J471-J475</f>
        <v/>
      </c>
      <c r="K476" s="1405">
        <f>K462-K467-K471-K475</f>
        <v/>
      </c>
      <c r="L476" s="1404">
        <f>L462-L467-L471-L475</f>
        <v/>
      </c>
      <c r="M476" s="1404">
        <f>M462-M467-M471-M475</f>
        <v/>
      </c>
      <c r="N476" s="1404">
        <f>N462-N467-N471-N475</f>
        <v/>
      </c>
      <c r="O476" s="1404">
        <f>O462-O467-O471-O475</f>
        <v/>
      </c>
      <c r="P476" s="1405">
        <f>P462-P467-P471-P475</f>
        <v/>
      </c>
      <c r="Q476" s="1404">
        <f>Q462-Q467-Q471-Q475</f>
        <v/>
      </c>
      <c r="R476" s="1404">
        <f>R462-R467-R471-R475</f>
        <v/>
      </c>
      <c r="S476" s="1404">
        <f>S462-S467-S471-S475</f>
        <v/>
      </c>
      <c r="T476" s="1404">
        <f>T462-T467-T471-T475</f>
        <v/>
      </c>
      <c r="U476" s="1405">
        <f>U462-U467-U471-U475</f>
        <v/>
      </c>
      <c r="V476" s="1404">
        <f>V462-V467-V471-V475</f>
        <v/>
      </c>
      <c r="W476" s="1404">
        <f>W462-W467-W471-W475</f>
        <v/>
      </c>
      <c r="X476" s="1404">
        <f>X462-X467-X471-X475</f>
        <v/>
      </c>
      <c r="Y476" s="1404">
        <f>Y462-Y467-Y471-Y475</f>
        <v/>
      </c>
      <c r="Z476" s="1405">
        <f>Z462-Z467-Z471-Z475</f>
        <v/>
      </c>
      <c r="AA476" s="1404">
        <f>AA462-AA467-AA471-AA475</f>
        <v/>
      </c>
      <c r="AB476" s="1404">
        <f>AB462-AB467-AB471-AB475</f>
        <v/>
      </c>
      <c r="AC476" s="1404">
        <f>AC462-AC467-AC471-AC475</f>
        <v/>
      </c>
      <c r="AD476" s="1404">
        <f>AD462-AD467-AD471-AD475</f>
        <v/>
      </c>
      <c r="AE476" s="1405">
        <f>AE462-AE467-AE471-AE475</f>
        <v/>
      </c>
      <c r="AF476" s="1404">
        <f>AF462-AF467-AF471-AF475</f>
        <v/>
      </c>
      <c r="AG476" s="1404">
        <f>AG462-AG467-AG471-AG475</f>
        <v/>
      </c>
      <c r="AH476" s="1404">
        <f>AH462-AH467-AH471-AH475</f>
        <v/>
      </c>
      <c r="AI476" s="1404">
        <f>AI462-AI467-AI471-AI475</f>
        <v/>
      </c>
      <c r="AJ476" s="1405">
        <f>AJ462-AJ467-AJ471-AJ475</f>
        <v/>
      </c>
      <c r="AK476" s="1404">
        <f>AK462-AK467-AK471-AK475</f>
        <v/>
      </c>
      <c r="AL476" s="1404">
        <f>AL462-AL467-AL471-AL475</f>
        <v/>
      </c>
      <c r="AM476" s="1404">
        <f>AM462-AM467-AM471-AM475</f>
        <v/>
      </c>
      <c r="AN476" s="1404">
        <f>AN462-AN467-AN471-AN475</f>
        <v/>
      </c>
      <c r="AO476" s="1405">
        <f>AO462-AO467-AO471-AO475</f>
        <v/>
      </c>
      <c r="AP476" s="1404">
        <f>AP462-AP467-AP471-AP475</f>
        <v/>
      </c>
      <c r="AQ476" s="1404">
        <f>AQ462-AQ467-AQ471-AQ475</f>
        <v/>
      </c>
      <c r="AR476" s="1404">
        <f>AR462-AR467-AR471-AR475</f>
        <v/>
      </c>
      <c r="AS476" s="1404">
        <f>AS462-AS467-AS471-AS475</f>
        <v/>
      </c>
      <c r="AT476" s="1405">
        <f>AT462-AT467-AT471-AT475</f>
        <v/>
      </c>
      <c r="AU476" s="1404">
        <f>AU462-AU467-AU471-AU475</f>
        <v/>
      </c>
      <c r="AV476" s="1404">
        <f>AV462-AV467-AV471-AV475</f>
        <v/>
      </c>
      <c r="AW476" s="1404">
        <f>AW462-AW467-AW471-AW475</f>
        <v/>
      </c>
      <c r="AX476" s="1404">
        <f>AX462-AX467-AX471-AX475</f>
        <v/>
      </c>
      <c r="AY476" s="1405">
        <f>AY462-AY467-AY471-AY475</f>
        <v/>
      </c>
      <c r="AZ476" s="1404">
        <f>AZ462-AZ467-AZ471-AZ475</f>
        <v/>
      </c>
      <c r="BA476" s="1404">
        <f>BA462-BA467-BA471-BA475</f>
        <v/>
      </c>
      <c r="BB476" s="1404">
        <f>BB462-BB467-BB471-BB475</f>
        <v/>
      </c>
      <c r="BC476" s="1404">
        <f>BC462-BC467-BC471-BC475</f>
        <v/>
      </c>
      <c r="BD476" s="1405">
        <f>BD462-BD467-BD471-BD475</f>
        <v/>
      </c>
      <c r="BE476" s="1404">
        <f>BE462-BE467-BE471-BE475</f>
        <v/>
      </c>
      <c r="BF476" s="1404">
        <f>BF462-BF467-BF471-BF475</f>
        <v/>
      </c>
      <c r="BG476" s="1404">
        <f>BG462-BG467-BG471-BG475</f>
        <v/>
      </c>
      <c r="BH476" s="1404">
        <f>BH462-BH467-BH471-BH475</f>
        <v/>
      </c>
      <c r="BI476" s="1405">
        <f>BI462-BI467-BI471-BI475</f>
        <v/>
      </c>
      <c r="BJ476" s="1404">
        <f>BJ462-BJ467-BJ471-BJ475</f>
        <v/>
      </c>
      <c r="BK476" s="1404">
        <f>BK462-BK467-BK471-BK475</f>
        <v/>
      </c>
      <c r="BL476" s="1404">
        <f>BL462-BL467-BL471-BL475</f>
        <v/>
      </c>
      <c r="BM476" s="1404">
        <f>BM462-BM467-BM471-BM475</f>
        <v/>
      </c>
      <c r="BN476" s="1405">
        <f>BN462-BN467-BN471-BN475</f>
        <v/>
      </c>
      <c r="BO476" s="1404">
        <f>BO462-BO467-BO471-BO475</f>
        <v/>
      </c>
      <c r="BP476" s="1404">
        <f>BP462-BP467-BP471-BP475</f>
        <v/>
      </c>
      <c r="BQ476" s="1536">
        <f>BQ462-BQ467-BQ471-BQ475</f>
        <v/>
      </c>
      <c r="BR476" s="1404">
        <f>BR462-BR467-BR471-BR475</f>
        <v/>
      </c>
      <c r="BS476" s="1405">
        <f>BS462-BS467-BS471-BS475</f>
        <v/>
      </c>
      <c r="BT476" s="1404">
        <f>BT462-BT467-BT471-BT475</f>
        <v/>
      </c>
      <c r="BU476" s="1404">
        <f>BU462-BU467-BU471-BU475</f>
        <v/>
      </c>
      <c r="BV476" s="1404">
        <f>BV462-BV467-BV471-BV475</f>
        <v/>
      </c>
      <c r="BW476" s="1404">
        <f>BW462-BW467-BW471-BW475</f>
        <v/>
      </c>
      <c r="BX476" s="1405">
        <f>BX462-BX467-BX471-BX475</f>
        <v/>
      </c>
      <c r="BY476" s="1405">
        <f>BY462-BY467-BY471-BY475</f>
        <v/>
      </c>
      <c r="BZ476" s="1405">
        <f>BZ462-BZ467-BZ471-BZ475</f>
        <v/>
      </c>
      <c r="CA476" s="1405">
        <f>CA462-CA467-CA471-CA475</f>
        <v/>
      </c>
      <c r="CB476" s="1375" t="n"/>
    </row>
    <row r="477" ht="14.4" customFormat="1" customHeight="1" s="1359">
      <c r="A477" s="1607" t="inlineStr">
        <is>
          <t>Other Non-GAAP Operating Items</t>
        </is>
      </c>
      <c r="B477" s="1514" t="n"/>
      <c r="C477" s="1455">
        <f>C476-C478</f>
        <v/>
      </c>
      <c r="D477" s="1455">
        <f>D476-D478</f>
        <v/>
      </c>
      <c r="E477" s="1455">
        <f>E476-E478</f>
        <v/>
      </c>
      <c r="F477" s="1455">
        <f>F476-F478</f>
        <v/>
      </c>
      <c r="G477" s="1456">
        <f>G476-G478</f>
        <v/>
      </c>
      <c r="H477" s="1456">
        <f>H476-H478</f>
        <v/>
      </c>
      <c r="I477" s="1456">
        <f>I476-I478</f>
        <v/>
      </c>
      <c r="J477" s="1456">
        <f>J476-J478</f>
        <v/>
      </c>
      <c r="K477" s="1455">
        <f>K476-K478</f>
        <v/>
      </c>
      <c r="L477" s="1456">
        <f>L476-L478</f>
        <v/>
      </c>
      <c r="M477" s="1456">
        <f>M476-M478</f>
        <v/>
      </c>
      <c r="N477" s="1456">
        <f>N476-N478</f>
        <v/>
      </c>
      <c r="O477" s="1456">
        <f>O476-O478</f>
        <v/>
      </c>
      <c r="P477" s="1455">
        <f>P476-P478</f>
        <v/>
      </c>
      <c r="Q477" s="1456">
        <f>Q476-Q478</f>
        <v/>
      </c>
      <c r="R477" s="1456">
        <f>R476-R478</f>
        <v/>
      </c>
      <c r="S477" s="1456">
        <f>S476-S478</f>
        <v/>
      </c>
      <c r="T477" s="1456">
        <f>T476-T478</f>
        <v/>
      </c>
      <c r="U477" s="1455">
        <f>U476-U478</f>
        <v/>
      </c>
      <c r="V477" s="1456">
        <f>V476-V478</f>
        <v/>
      </c>
      <c r="W477" s="1456">
        <f>W476-W478</f>
        <v/>
      </c>
      <c r="X477" s="1456">
        <f>X476-X478</f>
        <v/>
      </c>
      <c r="Y477" s="1456">
        <f>Y476-Y478</f>
        <v/>
      </c>
      <c r="Z477" s="1455">
        <f>Z476-Z478</f>
        <v/>
      </c>
      <c r="AA477" s="1456">
        <f>AA476-AA478</f>
        <v/>
      </c>
      <c r="AB477" s="1456">
        <f>AB476-AB478</f>
        <v/>
      </c>
      <c r="AC477" s="1456">
        <f>AC476-AC478</f>
        <v/>
      </c>
      <c r="AD477" s="1456">
        <f>AD476-AD478</f>
        <v/>
      </c>
      <c r="AE477" s="1455">
        <f>AE476-AE478</f>
        <v/>
      </c>
      <c r="AF477" s="1456">
        <f>AF476-AF478</f>
        <v/>
      </c>
      <c r="AG477" s="1456">
        <f>AG476-AG478</f>
        <v/>
      </c>
      <c r="AH477" s="1456">
        <f>AH476-AH478</f>
        <v/>
      </c>
      <c r="AI477" s="1456">
        <f>AI476-AI478</f>
        <v/>
      </c>
      <c r="AJ477" s="1455">
        <f>AJ476-AJ478</f>
        <v/>
      </c>
      <c r="AK477" s="1456">
        <f>AK476-AK478</f>
        <v/>
      </c>
      <c r="AL477" s="1456">
        <f>AL476-AL478</f>
        <v/>
      </c>
      <c r="AM477" s="1456">
        <f>AM476-AM478</f>
        <v/>
      </c>
      <c r="AN477" s="1456">
        <f>AN476-AN478</f>
        <v/>
      </c>
      <c r="AO477" s="1455">
        <f>AO476-AO478</f>
        <v/>
      </c>
      <c r="AP477" s="1456">
        <f>AP476-AP478</f>
        <v/>
      </c>
      <c r="AQ477" s="1456">
        <f>AQ476-AQ478</f>
        <v/>
      </c>
      <c r="AR477" s="1456">
        <f>AR476-AR478</f>
        <v/>
      </c>
      <c r="AS477" s="1456">
        <f>AS476-AS478</f>
        <v/>
      </c>
      <c r="AT477" s="1455">
        <f>AT476-AT478</f>
        <v/>
      </c>
      <c r="AU477" s="1456">
        <f>AU476-AU478</f>
        <v/>
      </c>
      <c r="AV477" s="1456">
        <f>AV476-AV478</f>
        <v/>
      </c>
      <c r="AW477" s="1456">
        <f>AW476-AW478</f>
        <v/>
      </c>
      <c r="AX477" s="1456">
        <f>AX476-AX478</f>
        <v/>
      </c>
      <c r="AY477" s="1455">
        <f>AY476-AY478</f>
        <v/>
      </c>
      <c r="AZ477" s="1456">
        <f>AZ476-AZ478</f>
        <v/>
      </c>
      <c r="BA477" s="1456">
        <f>BA476-BA478</f>
        <v/>
      </c>
      <c r="BB477" s="1456">
        <f>BB476-BB478</f>
        <v/>
      </c>
      <c r="BC477" s="1456">
        <f>BC476-BC478</f>
        <v/>
      </c>
      <c r="BD477" s="1455">
        <f>BD476-BD478</f>
        <v/>
      </c>
      <c r="BE477" s="1456">
        <f>BE476-BE478</f>
        <v/>
      </c>
      <c r="BF477" s="1456">
        <f>BF476-BF478</f>
        <v/>
      </c>
      <c r="BG477" s="1456">
        <f>BG476-BG478</f>
        <v/>
      </c>
      <c r="BH477" s="1456">
        <f>BH476-BH478</f>
        <v/>
      </c>
      <c r="BI477" s="1455">
        <f>BI476-BI478</f>
        <v/>
      </c>
      <c r="BJ477" s="1456">
        <f>BJ476-BJ478</f>
        <v/>
      </c>
      <c r="BK477" s="1456">
        <f>BK476-BK478</f>
        <v/>
      </c>
      <c r="BL477" s="1456">
        <f>BL476-BL478</f>
        <v/>
      </c>
      <c r="BM477" s="1456">
        <f>BM476-BM478</f>
        <v/>
      </c>
      <c r="BN477" s="1455">
        <f>BN476-BN478</f>
        <v/>
      </c>
      <c r="BO477" s="1456">
        <f>BO476-BO478</f>
        <v/>
      </c>
      <c r="BP477" s="1456">
        <f>BP476-BP478</f>
        <v/>
      </c>
      <c r="BQ477" s="1457">
        <f>BQ476-BQ478</f>
        <v/>
      </c>
      <c r="BR477" s="1456">
        <f>BR98</f>
        <v/>
      </c>
      <c r="BS477" s="1455">
        <f>SUM(BO477,BP477,BQ477,BR477)</f>
        <v/>
      </c>
      <c r="BT477" s="1456">
        <f>BT98</f>
        <v/>
      </c>
      <c r="BU477" s="1456">
        <f>BU98</f>
        <v/>
      </c>
      <c r="BV477" s="1456">
        <f>BV98</f>
        <v/>
      </c>
      <c r="BW477" s="1456">
        <f>BW98</f>
        <v/>
      </c>
      <c r="BX477" s="1455">
        <f>SUM(BT477,BU477,BV477,BW477)</f>
        <v/>
      </c>
      <c r="BY477" s="1455">
        <f>BY98</f>
        <v/>
      </c>
      <c r="BZ477" s="1455">
        <f>BZ98</f>
        <v/>
      </c>
      <c r="CA477" s="1455">
        <f>CA98</f>
        <v/>
      </c>
      <c r="CB477" s="1364" t="n"/>
    </row>
    <row r="478" ht="14.4" customFormat="1" customHeight="1" s="1372">
      <c r="A478" s="1608" t="inlineStr">
        <is>
          <t>Company Reported Non-GAAP Operating Income</t>
        </is>
      </c>
      <c r="B478" s="1516" t="n"/>
      <c r="C478" s="1405">
        <f>C441</f>
        <v/>
      </c>
      <c r="D478" s="1402">
        <f>D443</f>
        <v/>
      </c>
      <c r="E478" s="1402">
        <f>E443</f>
        <v/>
      </c>
      <c r="F478" s="1402">
        <f>F443</f>
        <v/>
      </c>
      <c r="G478" s="1403">
        <f>G443</f>
        <v/>
      </c>
      <c r="H478" s="1403">
        <f>H443</f>
        <v/>
      </c>
      <c r="I478" s="1403">
        <f>I443</f>
        <v/>
      </c>
      <c r="J478" s="1403">
        <f>J443</f>
        <v/>
      </c>
      <c r="K478" s="1402">
        <f>K443</f>
        <v/>
      </c>
      <c r="L478" s="1403">
        <f>L443</f>
        <v/>
      </c>
      <c r="M478" s="1403">
        <f>M443</f>
        <v/>
      </c>
      <c r="N478" s="1403">
        <f>N443</f>
        <v/>
      </c>
      <c r="O478" s="1403">
        <f>O443</f>
        <v/>
      </c>
      <c r="P478" s="1402">
        <f>P443</f>
        <v/>
      </c>
      <c r="Q478" s="1403">
        <f>Q443</f>
        <v/>
      </c>
      <c r="R478" s="1403">
        <f>R443</f>
        <v/>
      </c>
      <c r="S478" s="1403">
        <f>S443</f>
        <v/>
      </c>
      <c r="T478" s="1403">
        <f>T443</f>
        <v/>
      </c>
      <c r="U478" s="1402">
        <f>U443</f>
        <v/>
      </c>
      <c r="V478" s="1403">
        <f>V443</f>
        <v/>
      </c>
      <c r="W478" s="1403">
        <f>W443</f>
        <v/>
      </c>
      <c r="X478" s="1403">
        <f>X443</f>
        <v/>
      </c>
      <c r="Y478" s="1403">
        <f>Y443</f>
        <v/>
      </c>
      <c r="Z478" s="1402">
        <f>Z443</f>
        <v/>
      </c>
      <c r="AA478" s="1403">
        <f>AA443</f>
        <v/>
      </c>
      <c r="AB478" s="1403">
        <f>AB443</f>
        <v/>
      </c>
      <c r="AC478" s="1403">
        <f>AC443</f>
        <v/>
      </c>
      <c r="AD478" s="1403">
        <f>AD443</f>
        <v/>
      </c>
      <c r="AE478" s="1402">
        <f>AE443</f>
        <v/>
      </c>
      <c r="AF478" s="1403">
        <f>AF443</f>
        <v/>
      </c>
      <c r="AG478" s="1403">
        <f>AG443</f>
        <v/>
      </c>
      <c r="AH478" s="1403">
        <f>AH443</f>
        <v/>
      </c>
      <c r="AI478" s="1403">
        <f>AI443</f>
        <v/>
      </c>
      <c r="AJ478" s="1402">
        <f>AJ443</f>
        <v/>
      </c>
      <c r="AK478" s="1403">
        <f>AK443</f>
        <v/>
      </c>
      <c r="AL478" s="1403">
        <f>AL443</f>
        <v/>
      </c>
      <c r="AM478" s="1403">
        <f>AM443</f>
        <v/>
      </c>
      <c r="AN478" s="1403">
        <f>AN443</f>
        <v/>
      </c>
      <c r="AO478" s="1402">
        <f>AO443</f>
        <v/>
      </c>
      <c r="AP478" s="1403">
        <f>AP443</f>
        <v/>
      </c>
      <c r="AQ478" s="1403">
        <f>AQ443</f>
        <v/>
      </c>
      <c r="AR478" s="1403">
        <f>AR443</f>
        <v/>
      </c>
      <c r="AS478" s="1403">
        <f>AS443</f>
        <v/>
      </c>
      <c r="AT478" s="1402">
        <f>AT443</f>
        <v/>
      </c>
      <c r="AU478" s="1403">
        <f>AU443</f>
        <v/>
      </c>
      <c r="AV478" s="1403">
        <f>AV443</f>
        <v/>
      </c>
      <c r="AW478" s="1403">
        <f>AW443</f>
        <v/>
      </c>
      <c r="AX478" s="1403">
        <f>AX443</f>
        <v/>
      </c>
      <c r="AY478" s="1402">
        <f>AY443</f>
        <v/>
      </c>
      <c r="AZ478" s="1403">
        <f>AZ443</f>
        <v/>
      </c>
      <c r="BA478" s="1403">
        <f>BA443</f>
        <v/>
      </c>
      <c r="BB478" s="1403">
        <f>BB443</f>
        <v/>
      </c>
      <c r="BC478" s="1403">
        <f>BC443</f>
        <v/>
      </c>
      <c r="BD478" s="1402">
        <f>BD443</f>
        <v/>
      </c>
      <c r="BE478" s="1403">
        <f>BE443</f>
        <v/>
      </c>
      <c r="BF478" s="1403">
        <f>BF443</f>
        <v/>
      </c>
      <c r="BG478" s="1403">
        <f>BG443</f>
        <v/>
      </c>
      <c r="BH478" s="1403">
        <f>BH443</f>
        <v/>
      </c>
      <c r="BI478" s="1402">
        <f>BI443</f>
        <v/>
      </c>
      <c r="BJ478" s="1403">
        <f>BJ443</f>
        <v/>
      </c>
      <c r="BK478" s="1403">
        <f>BK443</f>
        <v/>
      </c>
      <c r="BL478" s="1403">
        <f>BL443</f>
        <v/>
      </c>
      <c r="BM478" s="1403">
        <f>BM443</f>
        <v/>
      </c>
      <c r="BN478" s="1402">
        <f>BN443</f>
        <v/>
      </c>
      <c r="BO478" s="1403">
        <f>BO443</f>
        <v/>
      </c>
      <c r="BP478" s="1403">
        <f>BP443</f>
        <v/>
      </c>
      <c r="BQ478" s="1406">
        <f>BQ443</f>
        <v/>
      </c>
      <c r="BR478" s="1404">
        <f>BR476-BR477</f>
        <v/>
      </c>
      <c r="BS478" s="1405">
        <f>BS476-BS477</f>
        <v/>
      </c>
      <c r="BT478" s="1404">
        <f>BT476-BT477</f>
        <v/>
      </c>
      <c r="BU478" s="1404">
        <f>BU476-BU477</f>
        <v/>
      </c>
      <c r="BV478" s="1404">
        <f>BV476-BV477</f>
        <v/>
      </c>
      <c r="BW478" s="1404">
        <f>BW476-BW477</f>
        <v/>
      </c>
      <c r="BX478" s="1405">
        <f>BX476-BX477</f>
        <v/>
      </c>
      <c r="BY478" s="1405">
        <f>BY476-BY477</f>
        <v/>
      </c>
      <c r="BZ478" s="1405">
        <f>BZ476-BZ477</f>
        <v/>
      </c>
      <c r="CA478" s="1405">
        <f>CA476-CA477</f>
        <v/>
      </c>
      <c r="CB478" s="1375" t="n"/>
    </row>
    <row r="479" ht="14.4" customFormat="1" customHeight="1" s="1609">
      <c r="A479" s="1589">
        <f>CONCATENATE("Consensus Estimates - ",IFERROR(LEFT(A478,FIND("(",A478)-1),A478))</f>
        <v/>
      </c>
      <c r="B479" s="1590" t="n"/>
      <c r="C479" s="1409" t="n"/>
      <c r="D479" s="1409" t="n"/>
      <c r="E479" s="1409" t="n"/>
      <c r="F479" s="1409" t="n"/>
      <c r="G479" s="1410" t="n"/>
      <c r="H479" s="1410" t="n"/>
      <c r="I479" s="1410" t="n"/>
      <c r="J479" s="1410" t="n"/>
      <c r="K479" s="1409" t="n"/>
      <c r="L479" s="1410" t="n"/>
      <c r="M479" s="1410" t="n"/>
      <c r="N479" s="1410" t="n"/>
      <c r="O479" s="1410" t="n"/>
      <c r="P479" s="1409" t="n"/>
      <c r="Q479" s="1410" t="n"/>
      <c r="R479" s="1410" t="n"/>
      <c r="S479" s="1410" t="n"/>
      <c r="T479" s="1410" t="n"/>
      <c r="U479" s="1409" t="n"/>
      <c r="V479" s="1410" t="n"/>
      <c r="W479" s="1410" t="n"/>
      <c r="X479" s="1410" t="n"/>
      <c r="Y479" s="1410" t="n"/>
      <c r="Z479" s="1409" t="n"/>
      <c r="AA479" s="1410" t="n"/>
      <c r="AB479" s="1410" t="n"/>
      <c r="AC479" s="1410" t="n"/>
      <c r="AD479" s="1410" t="n"/>
      <c r="AE479" s="1409" t="n"/>
      <c r="AF479" s="1410" t="n"/>
      <c r="AG479" s="1410" t="n"/>
      <c r="AH479" s="1410" t="n"/>
      <c r="AI479" s="1410" t="n"/>
      <c r="AJ479" s="1409" t="n"/>
      <c r="AK479" s="1410" t="n"/>
      <c r="AL479" s="1410" t="n"/>
      <c r="AM479" s="1410" t="n"/>
      <c r="AN479" s="1410" t="n"/>
      <c r="AO479" s="1409" t="n"/>
      <c r="AP479" s="1410" t="n"/>
      <c r="AQ479" s="1410" t="n"/>
      <c r="AR479" s="1410" t="n"/>
      <c r="AS479" s="1410" t="n"/>
      <c r="AT479" s="1409" t="n"/>
      <c r="AU479" s="1410" t="n"/>
      <c r="AV479" s="1410" t="n"/>
      <c r="AW479" s="1410" t="n"/>
      <c r="AX479" s="1410" t="n"/>
      <c r="AY479" s="1409" t="n"/>
      <c r="AZ479" s="1410" t="n"/>
      <c r="BA479" s="1410" t="n"/>
      <c r="BB479" s="1410" t="n"/>
      <c r="BC479" s="1410" t="n"/>
      <c r="BD479" s="1409" t="n"/>
      <c r="BE479" s="1410" t="n"/>
      <c r="BF479" s="1410" t="n"/>
      <c r="BG479" s="1410" t="n"/>
      <c r="BH479" s="1410" t="n"/>
      <c r="BI479" s="1409" t="n"/>
      <c r="BJ479" s="1410" t="n"/>
      <c r="BK479" s="1410" t="n"/>
      <c r="BL479" s="1410" t="n"/>
      <c r="BM479" s="1410" t="n"/>
      <c r="BN479" s="1409" t="n"/>
      <c r="BO479" s="1410" t="n"/>
      <c r="BP479" s="1410" t="n"/>
      <c r="BQ479" s="1411" t="n"/>
      <c r="BR479" s="1412">
        <f>IFERROR(VLOOKUP($A479,tb_ConsensusEstimate,MATCH(BR$5,OFFSET(tb_ConsensusEstimate,0,0,1,COLUMNS(tb_ConsensusEstimate)),0),FALSE),"-")</f>
        <v/>
      </c>
      <c r="BS479" s="1413">
        <f>IFERROR(VLOOKUP($A479,tb_ConsensusEstimate,MATCH(BS$5,OFFSET(tb_ConsensusEstimate,0,0,1,COLUMNS(tb_ConsensusEstimate)),0),FALSE),"-")</f>
        <v/>
      </c>
      <c r="BT479" s="1412">
        <f>IFERROR(VLOOKUP($A479,tb_ConsensusEstimate,MATCH(BT$5,OFFSET(tb_ConsensusEstimate,0,0,1,COLUMNS(tb_ConsensusEstimate)),0),FALSE),"-")</f>
        <v/>
      </c>
      <c r="BU479" s="1412">
        <f>IFERROR(VLOOKUP($A479,tb_ConsensusEstimate,MATCH(BU$5,OFFSET(tb_ConsensusEstimate,0,0,1,COLUMNS(tb_ConsensusEstimate)),0),FALSE),"-")</f>
        <v/>
      </c>
      <c r="BV479" s="1412">
        <f>IFERROR(VLOOKUP($A479,tb_ConsensusEstimate,MATCH(BV$5,OFFSET(tb_ConsensusEstimate,0,0,1,COLUMNS(tb_ConsensusEstimate)),0),FALSE),"-")</f>
        <v/>
      </c>
      <c r="BW479" s="1412">
        <f>IFERROR(VLOOKUP($A479,tb_ConsensusEstimate,MATCH(BW$5,OFFSET(tb_ConsensusEstimate,0,0,1,COLUMNS(tb_ConsensusEstimate)),0),FALSE),"-")</f>
        <v/>
      </c>
      <c r="BX479" s="1413">
        <f>IFERROR(VLOOKUP($A479,tb_ConsensusEstimate,MATCH(BX$5,OFFSET(tb_ConsensusEstimate,0,0,1,COLUMNS(tb_ConsensusEstimate)),0),FALSE),"-")</f>
        <v/>
      </c>
      <c r="BY479" s="1413">
        <f>IFERROR(VLOOKUP($A479,tb_ConsensusEstimate,MATCH(BY5,OFFSET(tb_ConsensusEstimate,0,0,1,COLUMNS(tb_ConsensusEstimate)),0),FALSE),"-")</f>
        <v/>
      </c>
      <c r="BZ479" s="1413">
        <f>IFERROR(VLOOKUP($A479,tb_ConsensusEstimate,MATCH(BZ5,OFFSET(tb_ConsensusEstimate,0,0,1,COLUMNS(tb_ConsensusEstimate)),0),FALSE),"-")</f>
        <v/>
      </c>
      <c r="CA479" s="1413">
        <f>IFERROR(VLOOKUP($A479,tb_ConsensusEstimate,MATCH(CA5,OFFSET(tb_ConsensusEstimate,0,0,1,COLUMNS(tb_ConsensusEstimate)),0),FALSE),"-")</f>
        <v/>
      </c>
      <c r="CB479" s="1610" t="n"/>
    </row>
    <row r="480" ht="14.4" customFormat="1" customHeight="1" s="1609">
      <c r="A480" s="1589">
        <f>CONCATENATE("Guidance - ",IFERROR(LEFT(A478,FIND("(",A478)-1),A478))</f>
        <v/>
      </c>
      <c r="B480" s="1590" t="n"/>
      <c r="C480" s="1409" t="n"/>
      <c r="D480" s="1409" t="n"/>
      <c r="E480" s="1409" t="n"/>
      <c r="F480" s="1409" t="n"/>
      <c r="G480" s="1410" t="n"/>
      <c r="H480" s="1410" t="n"/>
      <c r="I480" s="1410" t="n"/>
      <c r="J480" s="1410" t="n"/>
      <c r="K480" s="1409" t="n"/>
      <c r="L480" s="1410" t="n"/>
      <c r="M480" s="1410" t="n"/>
      <c r="N480" s="1410" t="n"/>
      <c r="O480" s="1410" t="n"/>
      <c r="P480" s="1409" t="n"/>
      <c r="Q480" s="1410" t="n"/>
      <c r="R480" s="1410" t="n"/>
      <c r="S480" s="1410" t="n"/>
      <c r="T480" s="1410" t="n"/>
      <c r="U480" s="1409" t="n"/>
      <c r="V480" s="1410" t="n"/>
      <c r="W480" s="1410" t="n"/>
      <c r="X480" s="1410" t="n"/>
      <c r="Y480" s="1410" t="n"/>
      <c r="Z480" s="1409" t="n"/>
      <c r="AA480" s="1410" t="n"/>
      <c r="AB480" s="1410" t="n"/>
      <c r="AC480" s="1410" t="n"/>
      <c r="AD480" s="1410" t="n"/>
      <c r="AE480" s="1409" t="n"/>
      <c r="AF480" s="1410" t="n"/>
      <c r="AG480" s="1410" t="n"/>
      <c r="AH480" s="1410" t="n"/>
      <c r="AI480" s="1410" t="n"/>
      <c r="AJ480" s="1409" t="n"/>
      <c r="AK480" s="1410" t="n"/>
      <c r="AL480" s="1410" t="n"/>
      <c r="AM480" s="1410">
        <f>AM776</f>
        <v/>
      </c>
      <c r="AN480" s="1410">
        <f>AN776</f>
        <v/>
      </c>
      <c r="AO480" s="1409">
        <f>AO776</f>
        <v/>
      </c>
      <c r="AP480" s="1410">
        <f>AP776</f>
        <v/>
      </c>
      <c r="AQ480" s="1410">
        <f>AQ776</f>
        <v/>
      </c>
      <c r="AR480" s="1410">
        <f>AR776</f>
        <v/>
      </c>
      <c r="AS480" s="1410">
        <f>AS776</f>
        <v/>
      </c>
      <c r="AT480" s="1409">
        <f>AT776</f>
        <v/>
      </c>
      <c r="AU480" s="1410">
        <f>AU776</f>
        <v/>
      </c>
      <c r="AV480" s="1410">
        <f>AV776</f>
        <v/>
      </c>
      <c r="AW480" s="1410">
        <f>AW776</f>
        <v/>
      </c>
      <c r="AX480" s="1410">
        <f>AX776</f>
        <v/>
      </c>
      <c r="AY480" s="1409">
        <f>AY776</f>
        <v/>
      </c>
      <c r="AZ480" s="1410">
        <f>AZ776</f>
        <v/>
      </c>
      <c r="BA480" s="1410">
        <f>BA776</f>
        <v/>
      </c>
      <c r="BB480" s="1410">
        <f>BB776</f>
        <v/>
      </c>
      <c r="BC480" s="1410">
        <f>BC776</f>
        <v/>
      </c>
      <c r="BD480" s="1409">
        <f>BD776</f>
        <v/>
      </c>
      <c r="BE480" s="1410">
        <f>BE776</f>
        <v/>
      </c>
      <c r="BF480" s="1410">
        <f>BF776</f>
        <v/>
      </c>
      <c r="BG480" s="1410">
        <f>BG776</f>
        <v/>
      </c>
      <c r="BH480" s="1410">
        <f>BH776</f>
        <v/>
      </c>
      <c r="BI480" s="1409">
        <f>BI776</f>
        <v/>
      </c>
      <c r="BJ480" s="1410">
        <f>BJ776</f>
        <v/>
      </c>
      <c r="BK480" s="1410">
        <f>BK776</f>
        <v/>
      </c>
      <c r="BL480" s="1410">
        <f>BL776</f>
        <v/>
      </c>
      <c r="BM480" s="1410">
        <f>BM776</f>
        <v/>
      </c>
      <c r="BN480" s="1409">
        <f>BN776</f>
        <v/>
      </c>
      <c r="BO480" s="1410">
        <f>BO776</f>
        <v/>
      </c>
      <c r="BP480" s="1410">
        <f>BP776</f>
        <v/>
      </c>
      <c r="BQ480" s="1411">
        <f>BQ776</f>
        <v/>
      </c>
      <c r="BR480" s="1412">
        <f>BR776</f>
        <v/>
      </c>
      <c r="BS480" s="1413">
        <f>BS776</f>
        <v/>
      </c>
      <c r="BT480" s="1412">
        <f>BT776</f>
        <v/>
      </c>
      <c r="BU480" s="1412">
        <f>BU776</f>
        <v/>
      </c>
      <c r="BV480" s="1412">
        <f>BV776</f>
        <v/>
      </c>
      <c r="BW480" s="1412">
        <f>BW776</f>
        <v/>
      </c>
      <c r="BX480" s="1413">
        <f>BX776</f>
        <v/>
      </c>
      <c r="BY480" s="1413">
        <f>BY776</f>
        <v/>
      </c>
      <c r="BZ480" s="1413">
        <f>BZ776</f>
        <v/>
      </c>
      <c r="CA480" s="1413">
        <f>CA776</f>
        <v/>
      </c>
      <c r="CB480" s="1610" t="n"/>
    </row>
    <row r="481" ht="7.5" customFormat="1" customHeight="1" s="1372">
      <c r="A481" s="1596" t="n"/>
      <c r="B481" s="1512" t="n"/>
      <c r="C481" s="1379" t="n"/>
      <c r="D481" s="1379" t="n"/>
      <c r="E481" s="1379" t="n"/>
      <c r="F481" s="1379" t="n"/>
      <c r="G481" s="1361" t="n"/>
      <c r="H481" s="1361" t="n"/>
      <c r="I481" s="1361" t="n"/>
      <c r="J481" s="1361" t="n"/>
      <c r="K481" s="1379" t="n"/>
      <c r="L481" s="1361" t="n"/>
      <c r="M481" s="1361" t="n"/>
      <c r="N481" s="1361" t="n"/>
      <c r="O481" s="1361" t="n"/>
      <c r="P481" s="1379" t="n"/>
      <c r="Q481" s="1361" t="n"/>
      <c r="R481" s="1361" t="n"/>
      <c r="S481" s="1361" t="n"/>
      <c r="T481" s="1361" t="n"/>
      <c r="U481" s="1379" t="n"/>
      <c r="V481" s="1361" t="n"/>
      <c r="W481" s="1361" t="n"/>
      <c r="X481" s="1361" t="n"/>
      <c r="Y481" s="1361" t="n"/>
      <c r="Z481" s="1379" t="n"/>
      <c r="AA481" s="1361" t="n"/>
      <c r="AB481" s="1361" t="n"/>
      <c r="AC481" s="1361" t="n"/>
      <c r="AD481" s="1361" t="n"/>
      <c r="AE481" s="1379" t="n"/>
      <c r="AF481" s="1361" t="n"/>
      <c r="AG481" s="1361" t="n"/>
      <c r="AH481" s="1361" t="n"/>
      <c r="AI481" s="1361" t="n"/>
      <c r="AJ481" s="1379" t="n"/>
      <c r="AK481" s="1361" t="n"/>
      <c r="AL481" s="1361" t="n"/>
      <c r="AM481" s="1361" t="n"/>
      <c r="AN481" s="1361" t="n"/>
      <c r="AO481" s="1379" t="n"/>
      <c r="AP481" s="1361" t="n"/>
      <c r="AQ481" s="1361" t="n"/>
      <c r="AR481" s="1361" t="n"/>
      <c r="AS481" s="1361" t="n"/>
      <c r="AT481" s="1379" t="n"/>
      <c r="AU481" s="1361" t="n"/>
      <c r="AV481" s="1361" t="n"/>
      <c r="AW481" s="1361" t="n"/>
      <c r="AX481" s="1361" t="n"/>
      <c r="AY481" s="1379" t="n"/>
      <c r="AZ481" s="1361" t="n"/>
      <c r="BA481" s="1361" t="n"/>
      <c r="BB481" s="1361" t="n"/>
      <c r="BC481" s="1361" t="n"/>
      <c r="BD481" s="1379" t="n"/>
      <c r="BE481" s="1361" t="n"/>
      <c r="BF481" s="1361" t="n"/>
      <c r="BG481" s="1361" t="n"/>
      <c r="BH481" s="1361" t="n"/>
      <c r="BI481" s="1379" t="n"/>
      <c r="BJ481" s="1361" t="n"/>
      <c r="BK481" s="1361" t="n"/>
      <c r="BL481" s="1361" t="n"/>
      <c r="BM481" s="1361" t="n"/>
      <c r="BN481" s="1379" t="n"/>
      <c r="BO481" s="1361" t="n"/>
      <c r="BP481" s="1361" t="n"/>
      <c r="BQ481" s="1363" t="n"/>
      <c r="BR481" s="1361" t="n"/>
      <c r="BS481" s="1379" t="n"/>
      <c r="BT481" s="1361" t="n"/>
      <c r="BU481" s="1361" t="n"/>
      <c r="BV481" s="1361" t="n"/>
      <c r="BW481" s="1361" t="n"/>
      <c r="BX481" s="1379" t="n"/>
      <c r="BY481" s="1379" t="n"/>
      <c r="BZ481" s="1379" t="n"/>
      <c r="CA481" s="1379" t="n"/>
      <c r="CB481" s="1375" t="n"/>
    </row>
    <row r="482" hidden="1" outlineLevel="1" ht="14.4" customFormat="1" customHeight="1" s="1359">
      <c r="A482" s="1607" t="inlineStr">
        <is>
          <t>Reported Depreciation</t>
        </is>
      </c>
      <c r="B482" s="1514" t="n"/>
      <c r="C482" s="1455">
        <f>C1085-C500</f>
        <v/>
      </c>
      <c r="D482" s="1455">
        <f>D1085-D500</f>
        <v/>
      </c>
      <c r="E482" s="1455">
        <f>E1085-E500</f>
        <v/>
      </c>
      <c r="F482" s="1455">
        <f>F1085-F500</f>
        <v/>
      </c>
      <c r="G482" s="1456">
        <f>G1085-G500</f>
        <v/>
      </c>
      <c r="H482" s="1456">
        <f>H1085-H500</f>
        <v/>
      </c>
      <c r="I482" s="1456">
        <f>I1085-I500</f>
        <v/>
      </c>
      <c r="J482" s="1456">
        <f>J1085-J500</f>
        <v/>
      </c>
      <c r="K482" s="1455">
        <f>K1085-K500</f>
        <v/>
      </c>
      <c r="L482" s="1456">
        <f>L1085-L500</f>
        <v/>
      </c>
      <c r="M482" s="1456">
        <f>M1085-M500</f>
        <v/>
      </c>
      <c r="N482" s="1456">
        <f>N1085-N500</f>
        <v/>
      </c>
      <c r="O482" s="1456">
        <f>O1085-O500</f>
        <v/>
      </c>
      <c r="P482" s="1455">
        <f>P1085-P500</f>
        <v/>
      </c>
      <c r="Q482" s="1456">
        <f>Q1085-Q500</f>
        <v/>
      </c>
      <c r="R482" s="1456">
        <f>R1085-R500</f>
        <v/>
      </c>
      <c r="S482" s="1456">
        <f>S1085-S500</f>
        <v/>
      </c>
      <c r="T482" s="1456">
        <f>T1085-T500</f>
        <v/>
      </c>
      <c r="U482" s="1455">
        <f>U1085-U500</f>
        <v/>
      </c>
      <c r="V482" s="1456">
        <f>V1085-V500</f>
        <v/>
      </c>
      <c r="W482" s="1456">
        <f>W1085-W500</f>
        <v/>
      </c>
      <c r="X482" s="1456">
        <f>X1085-X500</f>
        <v/>
      </c>
      <c r="Y482" s="1456">
        <f>Y1085-Y500</f>
        <v/>
      </c>
      <c r="Z482" s="1455">
        <f>Z1085-Z500</f>
        <v/>
      </c>
      <c r="AA482" s="1456">
        <f>AA1085-AA500</f>
        <v/>
      </c>
      <c r="AB482" s="1456">
        <f>AB1085-AB500</f>
        <v/>
      </c>
      <c r="AC482" s="1456">
        <f>AC1085-AC500</f>
        <v/>
      </c>
      <c r="AD482" s="1456">
        <f>AD1085-AD500</f>
        <v/>
      </c>
      <c r="AE482" s="1455">
        <f>AE1085-AE500</f>
        <v/>
      </c>
      <c r="AF482" s="1456">
        <f>AF1085-AF500</f>
        <v/>
      </c>
      <c r="AG482" s="1456">
        <f>AG1085-AG500</f>
        <v/>
      </c>
      <c r="AH482" s="1456">
        <f>AH1085-AH500</f>
        <v/>
      </c>
      <c r="AI482" s="1456">
        <f>AI1085-AI500</f>
        <v/>
      </c>
      <c r="AJ482" s="1455">
        <f>AJ1085-AJ500</f>
        <v/>
      </c>
      <c r="AK482" s="1456">
        <f>AK1085-AK500</f>
        <v/>
      </c>
      <c r="AL482" s="1456">
        <f>AL1085-AL500</f>
        <v/>
      </c>
      <c r="AM482" s="1456">
        <f>AM1085-AM500</f>
        <v/>
      </c>
      <c r="AN482" s="1456">
        <f>AN1085-AN500</f>
        <v/>
      </c>
      <c r="AO482" s="1455">
        <f>AO1085-AO500</f>
        <v/>
      </c>
      <c r="AP482" s="1456">
        <f>AP1085-AP500</f>
        <v/>
      </c>
      <c r="AQ482" s="1456">
        <f>AQ1085-AQ500</f>
        <v/>
      </c>
      <c r="AR482" s="1456">
        <f>AR1085-AR500</f>
        <v/>
      </c>
      <c r="AS482" s="1456">
        <f>AS1085-AS500</f>
        <v/>
      </c>
      <c r="AT482" s="1455">
        <f>AT1085-AT500</f>
        <v/>
      </c>
      <c r="AU482" s="1456">
        <f>AU1085-AU500</f>
        <v/>
      </c>
      <c r="AV482" s="1456">
        <f>AV1085-AV500</f>
        <v/>
      </c>
      <c r="AW482" s="1456">
        <f>AW1085-AW500</f>
        <v/>
      </c>
      <c r="AX482" s="1456">
        <f>AX1085-AX500</f>
        <v/>
      </c>
      <c r="AY482" s="1455">
        <f>AY1085-AY500</f>
        <v/>
      </c>
      <c r="AZ482" s="1456">
        <f>AZ1085-AZ500</f>
        <v/>
      </c>
      <c r="BA482" s="1456">
        <f>BA1085-BA500</f>
        <v/>
      </c>
      <c r="BB482" s="1456">
        <f>BB1085-BB500</f>
        <v/>
      </c>
      <c r="BC482" s="1456">
        <f>BC1085-BC500</f>
        <v/>
      </c>
      <c r="BD482" s="1455">
        <f>BD1085-BD500</f>
        <v/>
      </c>
      <c r="BE482" s="1456">
        <f>BE1085-BE500</f>
        <v/>
      </c>
      <c r="BF482" s="1456">
        <f>BF1085-BF500</f>
        <v/>
      </c>
      <c r="BG482" s="1456">
        <f>BG1085-BG500</f>
        <v/>
      </c>
      <c r="BH482" s="1456">
        <f>BH1085-BH500</f>
        <v/>
      </c>
      <c r="BI482" s="1455">
        <f>BI1085-BI500</f>
        <v/>
      </c>
      <c r="BJ482" s="1456">
        <f>BJ1085-BJ500</f>
        <v/>
      </c>
      <c r="BK482" s="1456">
        <f>BK1085-BK500</f>
        <v/>
      </c>
      <c r="BL482" s="1456">
        <f>BL1085-BL500</f>
        <v/>
      </c>
      <c r="BM482" s="1456">
        <f>BM1085-BM500</f>
        <v/>
      </c>
      <c r="BN482" s="1455">
        <f>BN1085-BN500</f>
        <v/>
      </c>
      <c r="BO482" s="1456">
        <f>BO1085-BO500</f>
        <v/>
      </c>
      <c r="BP482" s="1456">
        <f>BP1085-BP500</f>
        <v/>
      </c>
      <c r="BQ482" s="1457">
        <f>BQ1085-BQ500</f>
        <v/>
      </c>
      <c r="BR482" s="1456">
        <f>BR165+BR169</f>
        <v/>
      </c>
      <c r="BS482" s="1455">
        <f>SUM(BO482,BP482,BQ482,BR482)</f>
        <v/>
      </c>
      <c r="BT482" s="1456">
        <f>BT165+BT169</f>
        <v/>
      </c>
      <c r="BU482" s="1456">
        <f>BU165+BU169</f>
        <v/>
      </c>
      <c r="BV482" s="1456">
        <f>BV165+BV169</f>
        <v/>
      </c>
      <c r="BW482" s="1456">
        <f>BW165+BW169</f>
        <v/>
      </c>
      <c r="BX482" s="1455">
        <f>SUM(BT482,BU482,BV482,BW482)</f>
        <v/>
      </c>
      <c r="BY482" s="1455">
        <f>BY165+BY169</f>
        <v/>
      </c>
      <c r="BZ482" s="1455">
        <f>BZ165+BZ169</f>
        <v/>
      </c>
      <c r="CA482" s="1455">
        <f>CA165+CA169</f>
        <v/>
      </c>
      <c r="CB482" s="1364" t="n"/>
    </row>
    <row r="483" hidden="1" outlineLevel="1" ht="14.4" customFormat="1" customHeight="1" s="1372">
      <c r="A483" s="1608" t="inlineStr">
        <is>
          <t>Non-GAAP EBITDA</t>
        </is>
      </c>
      <c r="B483" s="1516" t="n"/>
      <c r="C483" s="1405">
        <f>C478+C482</f>
        <v/>
      </c>
      <c r="D483" s="1402">
        <f>D478+D482</f>
        <v/>
      </c>
      <c r="E483" s="1402">
        <f>E478+E482</f>
        <v/>
      </c>
      <c r="F483" s="1402">
        <f>F478+F482</f>
        <v/>
      </c>
      <c r="G483" s="1403">
        <f>G478+G482</f>
        <v/>
      </c>
      <c r="H483" s="1403">
        <f>H478+H482</f>
        <v/>
      </c>
      <c r="I483" s="1403">
        <f>I478+I482</f>
        <v/>
      </c>
      <c r="J483" s="1403">
        <f>J478+J482</f>
        <v/>
      </c>
      <c r="K483" s="1402">
        <f>K478+K482</f>
        <v/>
      </c>
      <c r="L483" s="1403">
        <f>L478+L482</f>
        <v/>
      </c>
      <c r="M483" s="1403">
        <f>M478+M482</f>
        <v/>
      </c>
      <c r="N483" s="1403">
        <f>N478+N482</f>
        <v/>
      </c>
      <c r="O483" s="1403">
        <f>O478+O482</f>
        <v/>
      </c>
      <c r="P483" s="1402">
        <f>P478+P482</f>
        <v/>
      </c>
      <c r="Q483" s="1403">
        <f>Q478+Q482</f>
        <v/>
      </c>
      <c r="R483" s="1403">
        <f>R478+R482</f>
        <v/>
      </c>
      <c r="S483" s="1403">
        <f>S478+S482</f>
        <v/>
      </c>
      <c r="T483" s="1403">
        <f>T478+T482</f>
        <v/>
      </c>
      <c r="U483" s="1402">
        <f>U478+U482</f>
        <v/>
      </c>
      <c r="V483" s="1403">
        <f>V478+V482</f>
        <v/>
      </c>
      <c r="W483" s="1403">
        <f>W478+W482</f>
        <v/>
      </c>
      <c r="X483" s="1403">
        <f>X478+X482</f>
        <v/>
      </c>
      <c r="Y483" s="1403">
        <f>Y478+Y482</f>
        <v/>
      </c>
      <c r="Z483" s="1402">
        <f>Z478+Z482</f>
        <v/>
      </c>
      <c r="AA483" s="1403">
        <f>AA478+AA482</f>
        <v/>
      </c>
      <c r="AB483" s="1403">
        <f>AB478+AB482</f>
        <v/>
      </c>
      <c r="AC483" s="1403">
        <f>AC478+AC482</f>
        <v/>
      </c>
      <c r="AD483" s="1403">
        <f>AD478+AD482</f>
        <v/>
      </c>
      <c r="AE483" s="1402">
        <f>AE478+AE482</f>
        <v/>
      </c>
      <c r="AF483" s="1403">
        <f>AF478+AF482</f>
        <v/>
      </c>
      <c r="AG483" s="1403">
        <f>AG478+AG482</f>
        <v/>
      </c>
      <c r="AH483" s="1403">
        <f>AH478+AH482</f>
        <v/>
      </c>
      <c r="AI483" s="1403">
        <f>AI478+AI482</f>
        <v/>
      </c>
      <c r="AJ483" s="1402">
        <f>AJ478+AJ482</f>
        <v/>
      </c>
      <c r="AK483" s="1403">
        <f>AK478+AK482</f>
        <v/>
      </c>
      <c r="AL483" s="1403">
        <f>AL478+AL482</f>
        <v/>
      </c>
      <c r="AM483" s="1403">
        <f>AM478+AM482</f>
        <v/>
      </c>
      <c r="AN483" s="1403">
        <f>AN478+AN482</f>
        <v/>
      </c>
      <c r="AO483" s="1402">
        <f>AO478+AO482</f>
        <v/>
      </c>
      <c r="AP483" s="1403">
        <f>AP478+AP482</f>
        <v/>
      </c>
      <c r="AQ483" s="1403">
        <f>AQ478+AQ482</f>
        <v/>
      </c>
      <c r="AR483" s="1403">
        <f>AR478+AR482</f>
        <v/>
      </c>
      <c r="AS483" s="1403">
        <f>AS478+AS482</f>
        <v/>
      </c>
      <c r="AT483" s="1402">
        <f>AT478+AT482</f>
        <v/>
      </c>
      <c r="AU483" s="1403">
        <f>AU478+AU482</f>
        <v/>
      </c>
      <c r="AV483" s="1403">
        <f>AV478+AV482</f>
        <v/>
      </c>
      <c r="AW483" s="1403">
        <f>AW478+AW482</f>
        <v/>
      </c>
      <c r="AX483" s="1403">
        <f>AX478+AX482</f>
        <v/>
      </c>
      <c r="AY483" s="1402">
        <f>AY478+AY482</f>
        <v/>
      </c>
      <c r="AZ483" s="1403">
        <f>AZ478+AZ482</f>
        <v/>
      </c>
      <c r="BA483" s="1403">
        <f>BA478+BA482</f>
        <v/>
      </c>
      <c r="BB483" s="1403">
        <f>BB478+BB482</f>
        <v/>
      </c>
      <c r="BC483" s="1403">
        <f>BC478+BC482</f>
        <v/>
      </c>
      <c r="BD483" s="1402">
        <f>BD478+BD482</f>
        <v/>
      </c>
      <c r="BE483" s="1403">
        <f>BE478+BE482</f>
        <v/>
      </c>
      <c r="BF483" s="1403">
        <f>BF478+BF482</f>
        <v/>
      </c>
      <c r="BG483" s="1403">
        <f>BG478+BG482</f>
        <v/>
      </c>
      <c r="BH483" s="1403">
        <f>BH478+BH482</f>
        <v/>
      </c>
      <c r="BI483" s="1402">
        <f>BI478+BI482</f>
        <v/>
      </c>
      <c r="BJ483" s="1403">
        <f>BJ478+BJ482</f>
        <v/>
      </c>
      <c r="BK483" s="1403">
        <f>BK478+BK482</f>
        <v/>
      </c>
      <c r="BL483" s="1403">
        <f>BL478+BL482</f>
        <v/>
      </c>
      <c r="BM483" s="1403">
        <f>BM478+BM482</f>
        <v/>
      </c>
      <c r="BN483" s="1402">
        <f>BN478+BN482</f>
        <v/>
      </c>
      <c r="BO483" s="1403">
        <f>BO478+BO482</f>
        <v/>
      </c>
      <c r="BP483" s="1403">
        <f>BP478+BP482</f>
        <v/>
      </c>
      <c r="BQ483" s="1406">
        <f>BQ478+BQ482</f>
        <v/>
      </c>
      <c r="BR483" s="1404">
        <f>BR478+BR482</f>
        <v/>
      </c>
      <c r="BS483" s="1405">
        <f>BS478+BS482</f>
        <v/>
      </c>
      <c r="BT483" s="1404">
        <f>BT478+BT482</f>
        <v/>
      </c>
      <c r="BU483" s="1404">
        <f>BU478+BU482</f>
        <v/>
      </c>
      <c r="BV483" s="1404">
        <f>BV478+BV482</f>
        <v/>
      </c>
      <c r="BW483" s="1404">
        <f>BW478+BW482</f>
        <v/>
      </c>
      <c r="BX483" s="1405">
        <f>BX478+BX482</f>
        <v/>
      </c>
      <c r="BY483" s="1405">
        <f>BY478+BY482</f>
        <v/>
      </c>
      <c r="BZ483" s="1405">
        <f>BZ478+BZ482</f>
        <v/>
      </c>
      <c r="CA483" s="1405">
        <f>CA478+CA482</f>
        <v/>
      </c>
      <c r="CB483" s="1375" t="n"/>
    </row>
    <row r="484" hidden="1" outlineLevel="1" ht="14.4" customFormat="1" customHeight="1" s="1609">
      <c r="A484" s="1589">
        <f>CONCATENATE("Consensus Estimates - ",IFERROR(LEFT(A483,FIND("(",A483)-1),A483))</f>
        <v/>
      </c>
      <c r="B484" s="1590" t="n"/>
      <c r="C484" s="1409" t="n"/>
      <c r="D484" s="1409" t="n"/>
      <c r="E484" s="1409" t="n"/>
      <c r="F484" s="1409" t="n"/>
      <c r="G484" s="1410" t="n"/>
      <c r="H484" s="1410" t="n"/>
      <c r="I484" s="1410" t="n"/>
      <c r="J484" s="1410" t="n"/>
      <c r="K484" s="1409" t="n"/>
      <c r="L484" s="1410" t="n"/>
      <c r="M484" s="1410" t="n"/>
      <c r="N484" s="1410" t="n"/>
      <c r="O484" s="1410" t="n"/>
      <c r="P484" s="1409" t="n"/>
      <c r="Q484" s="1410" t="n"/>
      <c r="R484" s="1410" t="n"/>
      <c r="S484" s="1410" t="n"/>
      <c r="T484" s="1410" t="n"/>
      <c r="U484" s="1409" t="n"/>
      <c r="V484" s="1410" t="n"/>
      <c r="W484" s="1410" t="n"/>
      <c r="X484" s="1410" t="n"/>
      <c r="Y484" s="1410" t="n"/>
      <c r="Z484" s="1409" t="n"/>
      <c r="AA484" s="1410" t="n"/>
      <c r="AB484" s="1410" t="n"/>
      <c r="AC484" s="1410" t="n"/>
      <c r="AD484" s="1410" t="n"/>
      <c r="AE484" s="1409" t="n"/>
      <c r="AF484" s="1410" t="n"/>
      <c r="AG484" s="1410" t="n"/>
      <c r="AH484" s="1410" t="n"/>
      <c r="AI484" s="1410" t="n"/>
      <c r="AJ484" s="1409" t="n"/>
      <c r="AK484" s="1410" t="n"/>
      <c r="AL484" s="1410" t="n"/>
      <c r="AM484" s="1410" t="n"/>
      <c r="AN484" s="1410" t="n"/>
      <c r="AO484" s="1409" t="n"/>
      <c r="AP484" s="1410" t="n"/>
      <c r="AQ484" s="1410" t="n"/>
      <c r="AR484" s="1410" t="n"/>
      <c r="AS484" s="1410" t="n"/>
      <c r="AT484" s="1409" t="n"/>
      <c r="AU484" s="1410" t="n"/>
      <c r="AV484" s="1410" t="n"/>
      <c r="AW484" s="1410" t="n"/>
      <c r="AX484" s="1410" t="n"/>
      <c r="AY484" s="1409" t="n"/>
      <c r="AZ484" s="1410" t="n"/>
      <c r="BA484" s="1410" t="n"/>
      <c r="BB484" s="1410" t="n"/>
      <c r="BC484" s="1410" t="n"/>
      <c r="BD484" s="1409" t="n"/>
      <c r="BE484" s="1410" t="n"/>
      <c r="BF484" s="1410" t="n"/>
      <c r="BG484" s="1410" t="n"/>
      <c r="BH484" s="1410" t="n"/>
      <c r="BI484" s="1409" t="n"/>
      <c r="BJ484" s="1410" t="n"/>
      <c r="BK484" s="1410" t="n"/>
      <c r="BL484" s="1410" t="n"/>
      <c r="BM484" s="1410" t="n"/>
      <c r="BN484" s="1409" t="n"/>
      <c r="BO484" s="1410" t="n"/>
      <c r="BP484" s="1410" t="n"/>
      <c r="BQ484" s="1411" t="n"/>
      <c r="BR484" s="1412">
        <f>IFERROR(VLOOKUP($A484,tb_ConsensusEstimate,MATCH(BR$5,OFFSET(tb_ConsensusEstimate,0,0,1,COLUMNS(tb_ConsensusEstimate)),0),FALSE),"-")</f>
        <v/>
      </c>
      <c r="BS484" s="1413">
        <f>IFERROR(VLOOKUP($A484,tb_ConsensusEstimate,MATCH(BS$5,OFFSET(tb_ConsensusEstimate,0,0,1,COLUMNS(tb_ConsensusEstimate)),0),FALSE),"-")</f>
        <v/>
      </c>
      <c r="BT484" s="1412">
        <f>IFERROR(VLOOKUP($A484,tb_ConsensusEstimate,MATCH(BT$5,OFFSET(tb_ConsensusEstimate,0,0,1,COLUMNS(tb_ConsensusEstimate)),0),FALSE),"-")</f>
        <v/>
      </c>
      <c r="BU484" s="1412">
        <f>IFERROR(VLOOKUP($A484,tb_ConsensusEstimate,MATCH(BU$5,OFFSET(tb_ConsensusEstimate,0,0,1,COLUMNS(tb_ConsensusEstimate)),0),FALSE),"-")</f>
        <v/>
      </c>
      <c r="BV484" s="1412">
        <f>IFERROR(VLOOKUP($A484,tb_ConsensusEstimate,MATCH(BV$5,OFFSET(tb_ConsensusEstimate,0,0,1,COLUMNS(tb_ConsensusEstimate)),0),FALSE),"-")</f>
        <v/>
      </c>
      <c r="BW484" s="1412">
        <f>IFERROR(VLOOKUP($A484,tb_ConsensusEstimate,MATCH(BW$5,OFFSET(tb_ConsensusEstimate,0,0,1,COLUMNS(tb_ConsensusEstimate)),0),FALSE),"-")</f>
        <v/>
      </c>
      <c r="BX484" s="1413">
        <f>IFERROR(VLOOKUP($A484,tb_ConsensusEstimate,MATCH(BX$5,OFFSET(tb_ConsensusEstimate,0,0,1,COLUMNS(tb_ConsensusEstimate)),0),FALSE),"-")</f>
        <v/>
      </c>
      <c r="BY484" s="1413">
        <f>IFERROR(VLOOKUP($A484,tb_ConsensusEstimate,MATCH(BY5,OFFSET(tb_ConsensusEstimate,0,0,1,COLUMNS(tb_ConsensusEstimate)),0),FALSE),"-")</f>
        <v/>
      </c>
      <c r="BZ484" s="1413">
        <f>IFERROR(VLOOKUP($A484,tb_ConsensusEstimate,MATCH(BZ5,OFFSET(tb_ConsensusEstimate,0,0,1,COLUMNS(tb_ConsensusEstimate)),0),FALSE),"-")</f>
        <v/>
      </c>
      <c r="CA484" s="1413">
        <f>IFERROR(VLOOKUP($A484,tb_ConsensusEstimate,MATCH(CA5,OFFSET(tb_ConsensusEstimate,0,0,1,COLUMNS(tb_ConsensusEstimate)),0),FALSE),"-")</f>
        <v/>
      </c>
      <c r="CB484" s="1610" t="n"/>
    </row>
    <row r="485" hidden="1" outlineLevel="1" ht="14.4" customFormat="1" customHeight="1" s="1359">
      <c r="A485" s="1611" t="n"/>
      <c r="B485" s="1512" t="n"/>
      <c r="C485" s="1379" t="n"/>
      <c r="D485" s="1379" t="n"/>
      <c r="E485" s="1379" t="n"/>
      <c r="F485" s="1379" t="n"/>
      <c r="G485" s="1361" t="n"/>
      <c r="H485" s="1361" t="n"/>
      <c r="I485" s="1361" t="n"/>
      <c r="J485" s="1361" t="n"/>
      <c r="K485" s="1379" t="n"/>
      <c r="L485" s="1361" t="n"/>
      <c r="M485" s="1361" t="n"/>
      <c r="N485" s="1361" t="n"/>
      <c r="O485" s="1361" t="n"/>
      <c r="P485" s="1379" t="n"/>
      <c r="Q485" s="1361" t="n"/>
      <c r="R485" s="1361" t="n"/>
      <c r="S485" s="1361" t="n"/>
      <c r="T485" s="1361" t="n"/>
      <c r="U485" s="1379" t="n"/>
      <c r="V485" s="1361" t="n"/>
      <c r="W485" s="1361" t="n"/>
      <c r="X485" s="1361" t="n"/>
      <c r="Y485" s="1361" t="n"/>
      <c r="Z485" s="1379" t="n"/>
      <c r="AA485" s="1361" t="n"/>
      <c r="AB485" s="1361" t="n"/>
      <c r="AC485" s="1361" t="n"/>
      <c r="AD485" s="1361" t="n"/>
      <c r="AE485" s="1379" t="n"/>
      <c r="AF485" s="1361" t="n"/>
      <c r="AG485" s="1361" t="n"/>
      <c r="AH485" s="1361" t="n"/>
      <c r="AI485" s="1361" t="n"/>
      <c r="AJ485" s="1379" t="n"/>
      <c r="AK485" s="1361" t="n"/>
      <c r="AL485" s="1361" t="n"/>
      <c r="AM485" s="1361" t="n"/>
      <c r="AN485" s="1361" t="n"/>
      <c r="AO485" s="1379" t="n"/>
      <c r="AP485" s="1361" t="n"/>
      <c r="AQ485" s="1361" t="n"/>
      <c r="AR485" s="1361" t="n"/>
      <c r="AS485" s="1361" t="n"/>
      <c r="AT485" s="1379" t="n"/>
      <c r="AU485" s="1361" t="n"/>
      <c r="AV485" s="1361" t="n"/>
      <c r="AW485" s="1361" t="n"/>
      <c r="AX485" s="1361" t="n"/>
      <c r="AY485" s="1379" t="n"/>
      <c r="AZ485" s="1361" t="n"/>
      <c r="BA485" s="1361" t="n"/>
      <c r="BB485" s="1361" t="n"/>
      <c r="BC485" s="1361" t="n"/>
      <c r="BD485" s="1379" t="n"/>
      <c r="BE485" s="1361" t="n"/>
      <c r="BF485" s="1361" t="n"/>
      <c r="BG485" s="1361" t="n"/>
      <c r="BH485" s="1361" t="n"/>
      <c r="BI485" s="1379" t="n"/>
      <c r="BJ485" s="1361" t="n"/>
      <c r="BK485" s="1361" t="n"/>
      <c r="BL485" s="1361" t="n"/>
      <c r="BM485" s="1361" t="n"/>
      <c r="BN485" s="1379" t="n"/>
      <c r="BO485" s="1361" t="n"/>
      <c r="BP485" s="1361" t="n"/>
      <c r="BQ485" s="1363" t="n"/>
      <c r="BR485" s="1361" t="n"/>
      <c r="BS485" s="1379" t="n"/>
      <c r="BT485" s="1361" t="n"/>
      <c r="BU485" s="1361" t="n"/>
      <c r="BV485" s="1361" t="n"/>
      <c r="BW485" s="1361" t="n"/>
      <c r="BX485" s="1379" t="n"/>
      <c r="BY485" s="1379" t="n"/>
      <c r="BZ485" s="1379" t="n"/>
      <c r="CA485" s="1379" t="n"/>
      <c r="CB485" s="1364" t="n"/>
    </row>
    <row r="486" hidden="1" outlineLevel="1" ht="14.4" customFormat="1" customHeight="1" s="1359">
      <c r="A486" s="1594" t="inlineStr">
        <is>
          <t>GAAP Interest Expense</t>
        </is>
      </c>
      <c r="B486" s="1512" t="n"/>
      <c r="C486" s="1379">
        <f>-C356</f>
        <v/>
      </c>
      <c r="D486" s="1379">
        <f>-D356</f>
        <v/>
      </c>
      <c r="E486" s="1379">
        <f>-E356</f>
        <v/>
      </c>
      <c r="F486" s="1379">
        <f>-F356</f>
        <v/>
      </c>
      <c r="G486" s="1361">
        <f>-G356</f>
        <v/>
      </c>
      <c r="H486" s="1361">
        <f>-H356</f>
        <v/>
      </c>
      <c r="I486" s="1361">
        <f>-I356</f>
        <v/>
      </c>
      <c r="J486" s="1361">
        <f>-J356</f>
        <v/>
      </c>
      <c r="K486" s="1379">
        <f>-K356</f>
        <v/>
      </c>
      <c r="L486" s="1361">
        <f>-L356</f>
        <v/>
      </c>
      <c r="M486" s="1361">
        <f>-M356</f>
        <v/>
      </c>
      <c r="N486" s="1361">
        <f>-N356</f>
        <v/>
      </c>
      <c r="O486" s="1361">
        <f>-O356</f>
        <v/>
      </c>
      <c r="P486" s="1379">
        <f>-P356</f>
        <v/>
      </c>
      <c r="Q486" s="1361">
        <f>-Q356</f>
        <v/>
      </c>
      <c r="R486" s="1361">
        <f>-R356</f>
        <v/>
      </c>
      <c r="S486" s="1361">
        <f>-S356</f>
        <v/>
      </c>
      <c r="T486" s="1361">
        <f>-T356</f>
        <v/>
      </c>
      <c r="U486" s="1379">
        <f>-U356</f>
        <v/>
      </c>
      <c r="V486" s="1361">
        <f>-V356</f>
        <v/>
      </c>
      <c r="W486" s="1361">
        <f>-W356</f>
        <v/>
      </c>
      <c r="X486" s="1361">
        <f>-X356</f>
        <v/>
      </c>
      <c r="Y486" s="1361">
        <f>-Y356</f>
        <v/>
      </c>
      <c r="Z486" s="1379">
        <f>-Z356</f>
        <v/>
      </c>
      <c r="AA486" s="1361">
        <f>-AA356</f>
        <v/>
      </c>
      <c r="AB486" s="1361">
        <f>-AB356</f>
        <v/>
      </c>
      <c r="AC486" s="1361">
        <f>-AC356</f>
        <v/>
      </c>
      <c r="AD486" s="1361">
        <f>-AD356</f>
        <v/>
      </c>
      <c r="AE486" s="1379">
        <f>-AE356</f>
        <v/>
      </c>
      <c r="AF486" s="1361">
        <f>-AF356</f>
        <v/>
      </c>
      <c r="AG486" s="1361">
        <f>-AG356</f>
        <v/>
      </c>
      <c r="AH486" s="1361">
        <f>-AH356</f>
        <v/>
      </c>
      <c r="AI486" s="1361">
        <f>-AI356</f>
        <v/>
      </c>
      <c r="AJ486" s="1379">
        <f>-AJ356</f>
        <v/>
      </c>
      <c r="AK486" s="1361">
        <f>-AK356</f>
        <v/>
      </c>
      <c r="AL486" s="1361">
        <f>-AL356</f>
        <v/>
      </c>
      <c r="AM486" s="1361">
        <f>-AM356</f>
        <v/>
      </c>
      <c r="AN486" s="1361">
        <f>-AN356</f>
        <v/>
      </c>
      <c r="AO486" s="1379">
        <f>-AO356</f>
        <v/>
      </c>
      <c r="AP486" s="1361">
        <f>-AP356</f>
        <v/>
      </c>
      <c r="AQ486" s="1361">
        <f>-AQ356</f>
        <v/>
      </c>
      <c r="AR486" s="1361">
        <f>-AR356</f>
        <v/>
      </c>
      <c r="AS486" s="1361">
        <f>-AS356</f>
        <v/>
      </c>
      <c r="AT486" s="1379">
        <f>-AT356</f>
        <v/>
      </c>
      <c r="AU486" s="1361">
        <f>-AU356</f>
        <v/>
      </c>
      <c r="AV486" s="1361">
        <f>-AV356</f>
        <v/>
      </c>
      <c r="AW486" s="1361">
        <f>-AW356</f>
        <v/>
      </c>
      <c r="AX486" s="1361">
        <f>-AX356</f>
        <v/>
      </c>
      <c r="AY486" s="1379">
        <f>-AY356</f>
        <v/>
      </c>
      <c r="AZ486" s="1361">
        <f>-AZ356</f>
        <v/>
      </c>
      <c r="BA486" s="1361">
        <f>-BA356</f>
        <v/>
      </c>
      <c r="BB486" s="1361">
        <f>-BB356</f>
        <v/>
      </c>
      <c r="BC486" s="1361">
        <f>-BC356</f>
        <v/>
      </c>
      <c r="BD486" s="1379">
        <f>-BD356</f>
        <v/>
      </c>
      <c r="BE486" s="1361">
        <f>-BE356</f>
        <v/>
      </c>
      <c r="BF486" s="1361">
        <f>-BF356</f>
        <v/>
      </c>
      <c r="BG486" s="1361">
        <f>-BG356</f>
        <v/>
      </c>
      <c r="BH486" s="1361">
        <f>-BH356</f>
        <v/>
      </c>
      <c r="BI486" s="1379">
        <f>-BI356</f>
        <v/>
      </c>
      <c r="BJ486" s="1361">
        <f>-BJ356</f>
        <v/>
      </c>
      <c r="BK486" s="1361">
        <f>-BK356</f>
        <v/>
      </c>
      <c r="BL486" s="1361">
        <f>-BL356</f>
        <v/>
      </c>
      <c r="BM486" s="1361">
        <f>-BM356</f>
        <v/>
      </c>
      <c r="BN486" s="1379">
        <f>-BN356</f>
        <v/>
      </c>
      <c r="BO486" s="1361">
        <f>-BO356</f>
        <v/>
      </c>
      <c r="BP486" s="1361">
        <f>-BP356</f>
        <v/>
      </c>
      <c r="BQ486" s="1363">
        <f>-BQ356</f>
        <v/>
      </c>
      <c r="BR486" s="1361">
        <f>BR969</f>
        <v/>
      </c>
      <c r="BS486" s="1379">
        <f>SUM(BO486,BP486,BQ486,BR486)</f>
        <v/>
      </c>
      <c r="BT486" s="1361">
        <f>BT969</f>
        <v/>
      </c>
      <c r="BU486" s="1361">
        <f>BU969</f>
        <v/>
      </c>
      <c r="BV486" s="1361">
        <f>BV969</f>
        <v/>
      </c>
      <c r="BW486" s="1361">
        <f>BW969</f>
        <v/>
      </c>
      <c r="BX486" s="1379">
        <f>SUM(BT486,BU486,BV486,BW486)</f>
        <v/>
      </c>
      <c r="BY486" s="1379">
        <f>BY969</f>
        <v/>
      </c>
      <c r="BZ486" s="1379">
        <f>BZ969</f>
        <v/>
      </c>
      <c r="CA486" s="1379">
        <f>CA969</f>
        <v/>
      </c>
      <c r="CB486" s="1364" t="n"/>
    </row>
    <row r="487" hidden="1" outlineLevel="1" ht="14.4" customFormat="1" customHeight="1" s="1359">
      <c r="A487" s="1595" t="inlineStr">
        <is>
          <t>GAAP Interest Income</t>
        </is>
      </c>
      <c r="B487" s="1514" t="n"/>
      <c r="C487" s="1455" t="n"/>
      <c r="D487" s="1455" t="n"/>
      <c r="E487" s="1455" t="n"/>
      <c r="F487" s="1455" t="n"/>
      <c r="G487" s="1456" t="n"/>
      <c r="H487" s="1456" t="n"/>
      <c r="I487" s="1456" t="n"/>
      <c r="J487" s="1456" t="n"/>
      <c r="K487" s="1455" t="n"/>
      <c r="L487" s="1456" t="n"/>
      <c r="M487" s="1456" t="n"/>
      <c r="N487" s="1456" t="n"/>
      <c r="O487" s="1456" t="n"/>
      <c r="P487" s="1455" t="n"/>
      <c r="Q487" s="1456" t="n"/>
      <c r="R487" s="1456" t="n"/>
      <c r="S487" s="1456" t="n"/>
      <c r="T487" s="1456" t="n"/>
      <c r="U487" s="1455" t="n"/>
      <c r="V487" s="1456" t="n"/>
      <c r="W487" s="1456" t="n"/>
      <c r="X487" s="1456" t="n"/>
      <c r="Y487" s="1456" t="n"/>
      <c r="Z487" s="1455" t="n"/>
      <c r="AA487" s="1456" t="n"/>
      <c r="AB487" s="1456" t="n"/>
      <c r="AC487" s="1456" t="n"/>
      <c r="AD487" s="1456" t="n"/>
      <c r="AE487" s="1455" t="n"/>
      <c r="AF487" s="1456" t="n"/>
      <c r="AG487" s="1456" t="n"/>
      <c r="AH487" s="1456" t="n"/>
      <c r="AI487" s="1456" t="n"/>
      <c r="AJ487" s="1455" t="n"/>
      <c r="AK487" s="1456" t="n"/>
      <c r="AL487" s="1456" t="n"/>
      <c r="AM487" s="1456" t="n"/>
      <c r="AN487" s="1456" t="n"/>
      <c r="AO487" s="1455" t="n"/>
      <c r="AP487" s="1456" t="n"/>
      <c r="AQ487" s="1456" t="n"/>
      <c r="AR487" s="1456" t="n"/>
      <c r="AS487" s="1456" t="n"/>
      <c r="AT487" s="1455" t="n"/>
      <c r="AU487" s="1456" t="n"/>
      <c r="AV487" s="1456" t="n"/>
      <c r="AW487" s="1456" t="n"/>
      <c r="AX487" s="1456" t="n"/>
      <c r="AY487" s="1455" t="n"/>
      <c r="AZ487" s="1456" t="n"/>
      <c r="BA487" s="1456" t="n"/>
      <c r="BB487" s="1456" t="n"/>
      <c r="BC487" s="1456" t="n"/>
      <c r="BD487" s="1455" t="n"/>
      <c r="BE487" s="1456" t="n"/>
      <c r="BF487" s="1456" t="n"/>
      <c r="BG487" s="1456" t="n"/>
      <c r="BH487" s="1456" t="n"/>
      <c r="BI487" s="1455" t="n"/>
      <c r="BJ487" s="1456" t="n"/>
      <c r="BK487" s="1456" t="n"/>
      <c r="BL487" s="1456" t="n"/>
      <c r="BM487" s="1456" t="n"/>
      <c r="BN487" s="1455" t="n"/>
      <c r="BO487" s="1456" t="n"/>
      <c r="BP487" s="1456" t="n"/>
      <c r="BQ487" s="1457" t="n"/>
      <c r="BR487" s="1456">
        <f>-BR971</f>
        <v/>
      </c>
      <c r="BS487" s="1455">
        <f>SUM(BO487,BP487,BQ487,BR487)</f>
        <v/>
      </c>
      <c r="BT487" s="1456">
        <f>-BT971</f>
        <v/>
      </c>
      <c r="BU487" s="1456">
        <f>-BU971</f>
        <v/>
      </c>
      <c r="BV487" s="1456">
        <f>-BV971</f>
        <v/>
      </c>
      <c r="BW487" s="1456">
        <f>-BW971</f>
        <v/>
      </c>
      <c r="BX487" s="1455">
        <f>SUM(BT487,BU487,BV487,BW487)</f>
        <v/>
      </c>
      <c r="BY487" s="1455">
        <f>-BY971</f>
        <v/>
      </c>
      <c r="BZ487" s="1455">
        <f>-BZ971</f>
        <v/>
      </c>
      <c r="CA487" s="1455">
        <f>-CA971</f>
        <v/>
      </c>
      <c r="CB487" s="1364" t="n"/>
    </row>
    <row r="488" hidden="1" outlineLevel="1" ht="14.4" customFormat="1" customHeight="1" s="1359">
      <c r="A488" s="1593" t="inlineStr">
        <is>
          <t>GAAP Net Interest Expense</t>
        </is>
      </c>
      <c r="B488" s="1512" t="n"/>
      <c r="C488" s="1378">
        <f>SUM(C486:C487)</f>
        <v/>
      </c>
      <c r="D488" s="1378">
        <f>SUM(D486:D487)</f>
        <v/>
      </c>
      <c r="E488" s="1378">
        <f>SUM(E486:E487)</f>
        <v/>
      </c>
      <c r="F488" s="1378">
        <f>SUM(F486:F487)</f>
        <v/>
      </c>
      <c r="G488" s="1364">
        <f>SUM(G486:G487)</f>
        <v/>
      </c>
      <c r="H488" s="1364">
        <f>SUM(H486:H487)</f>
        <v/>
      </c>
      <c r="I488" s="1364">
        <f>SUM(I486:I487)</f>
        <v/>
      </c>
      <c r="J488" s="1364">
        <f>SUM(J486:J487)</f>
        <v/>
      </c>
      <c r="K488" s="1378">
        <f>SUM(K486:K487)</f>
        <v/>
      </c>
      <c r="L488" s="1364">
        <f>SUM(L486:L487)</f>
        <v/>
      </c>
      <c r="M488" s="1364">
        <f>SUM(M486:M487)</f>
        <v/>
      </c>
      <c r="N488" s="1364">
        <f>SUM(N486:N487)</f>
        <v/>
      </c>
      <c r="O488" s="1364">
        <f>SUM(O486:O487)</f>
        <v/>
      </c>
      <c r="P488" s="1378">
        <f>SUM(P486:P487)</f>
        <v/>
      </c>
      <c r="Q488" s="1364">
        <f>SUM(Q486:Q487)</f>
        <v/>
      </c>
      <c r="R488" s="1364">
        <f>SUM(R486:R487)</f>
        <v/>
      </c>
      <c r="S488" s="1364">
        <f>SUM(S486:S487)</f>
        <v/>
      </c>
      <c r="T488" s="1364">
        <f>SUM(T486:T487)</f>
        <v/>
      </c>
      <c r="U488" s="1378">
        <f>SUM(U486:U487)</f>
        <v/>
      </c>
      <c r="V488" s="1364">
        <f>SUM(V486:V487)</f>
        <v/>
      </c>
      <c r="W488" s="1364">
        <f>SUM(W486:W487)</f>
        <v/>
      </c>
      <c r="X488" s="1364">
        <f>SUM(X486:X487)</f>
        <v/>
      </c>
      <c r="Y488" s="1364">
        <f>SUM(Y486:Y487)</f>
        <v/>
      </c>
      <c r="Z488" s="1378">
        <f>SUM(Z486:Z487)</f>
        <v/>
      </c>
      <c r="AA488" s="1364">
        <f>SUM(AA486:AA487)</f>
        <v/>
      </c>
      <c r="AB488" s="1364">
        <f>SUM(AB486:AB487)</f>
        <v/>
      </c>
      <c r="AC488" s="1364">
        <f>SUM(AC486:AC487)</f>
        <v/>
      </c>
      <c r="AD488" s="1364">
        <f>SUM(AD486:AD487)</f>
        <v/>
      </c>
      <c r="AE488" s="1378">
        <f>SUM(AE486:AE487)</f>
        <v/>
      </c>
      <c r="AF488" s="1364">
        <f>SUM(AF486:AF487)</f>
        <v/>
      </c>
      <c r="AG488" s="1364">
        <f>SUM(AG486:AG487)</f>
        <v/>
      </c>
      <c r="AH488" s="1364">
        <f>SUM(AH486:AH487)</f>
        <v/>
      </c>
      <c r="AI488" s="1364">
        <f>SUM(AI486:AI487)</f>
        <v/>
      </c>
      <c r="AJ488" s="1378">
        <f>SUM(AJ486:AJ487)</f>
        <v/>
      </c>
      <c r="AK488" s="1364">
        <f>SUM(AK486:AK487)</f>
        <v/>
      </c>
      <c r="AL488" s="1364">
        <f>SUM(AL486:AL487)</f>
        <v/>
      </c>
      <c r="AM488" s="1364">
        <f>SUM(AM486:AM487)</f>
        <v/>
      </c>
      <c r="AN488" s="1364">
        <f>SUM(AN486:AN487)</f>
        <v/>
      </c>
      <c r="AO488" s="1378">
        <f>SUM(AO486:AO487)</f>
        <v/>
      </c>
      <c r="AP488" s="1364">
        <f>SUM(AP486:AP487)</f>
        <v/>
      </c>
      <c r="AQ488" s="1364">
        <f>SUM(AQ486:AQ487)</f>
        <v/>
      </c>
      <c r="AR488" s="1364">
        <f>SUM(AR486:AR487)</f>
        <v/>
      </c>
      <c r="AS488" s="1364">
        <f>SUM(AS486:AS487)</f>
        <v/>
      </c>
      <c r="AT488" s="1378">
        <f>SUM(AT486:AT487)</f>
        <v/>
      </c>
      <c r="AU488" s="1364">
        <f>SUM(AU486:AU487)</f>
        <v/>
      </c>
      <c r="AV488" s="1364">
        <f>SUM(AV486:AV487)</f>
        <v/>
      </c>
      <c r="AW488" s="1364">
        <f>SUM(AW486:AW487)</f>
        <v/>
      </c>
      <c r="AX488" s="1364">
        <f>SUM(AX486:AX487)</f>
        <v/>
      </c>
      <c r="AY488" s="1378">
        <f>SUM(AY486:AY487)</f>
        <v/>
      </c>
      <c r="AZ488" s="1364">
        <f>SUM(AZ486:AZ487)</f>
        <v/>
      </c>
      <c r="BA488" s="1364">
        <f>SUM(BA486:BA487)</f>
        <v/>
      </c>
      <c r="BB488" s="1364">
        <f>SUM(BB486:BB487)</f>
        <v/>
      </c>
      <c r="BC488" s="1364">
        <f>SUM(BC486:BC487)</f>
        <v/>
      </c>
      <c r="BD488" s="1378">
        <f>SUM(BD486:BD487)</f>
        <v/>
      </c>
      <c r="BE488" s="1364">
        <f>SUM(BE486:BE487)</f>
        <v/>
      </c>
      <c r="BF488" s="1364">
        <f>SUM(BF486:BF487)</f>
        <v/>
      </c>
      <c r="BG488" s="1364">
        <f>SUM(BG486:BG487)</f>
        <v/>
      </c>
      <c r="BH488" s="1364">
        <f>SUM(BH486:BH487)</f>
        <v/>
      </c>
      <c r="BI488" s="1378">
        <f>SUM(BI486:BI487)</f>
        <v/>
      </c>
      <c r="BJ488" s="1364">
        <f>SUM(BJ486:BJ487)</f>
        <v/>
      </c>
      <c r="BK488" s="1364">
        <f>SUM(BK486:BK487)</f>
        <v/>
      </c>
      <c r="BL488" s="1364">
        <f>SUM(BL486:BL487)</f>
        <v/>
      </c>
      <c r="BM488" s="1364">
        <f>SUM(BM486:BM487)</f>
        <v/>
      </c>
      <c r="BN488" s="1378">
        <f>SUM(BN486:BN487)</f>
        <v/>
      </c>
      <c r="BO488" s="1364">
        <f>SUM(BO486:BO487)</f>
        <v/>
      </c>
      <c r="BP488" s="1364">
        <f>SUM(BP486:BP487)</f>
        <v/>
      </c>
      <c r="BQ488" s="1395">
        <f>SUM(BQ486:BQ487)</f>
        <v/>
      </c>
      <c r="BR488" s="1361">
        <f>SUM(BR486:BR487)</f>
        <v/>
      </c>
      <c r="BS488" s="1379">
        <f>SUM(BS486:BS487)</f>
        <v/>
      </c>
      <c r="BT488" s="1361">
        <f>SUM(BT486:BT487)</f>
        <v/>
      </c>
      <c r="BU488" s="1361">
        <f>SUM(BU486:BU487)</f>
        <v/>
      </c>
      <c r="BV488" s="1361">
        <f>SUM(BV486:BV487)</f>
        <v/>
      </c>
      <c r="BW488" s="1361">
        <f>SUM(BW486:BW487)</f>
        <v/>
      </c>
      <c r="BX488" s="1379">
        <f>SUM(BX486:BX487)</f>
        <v/>
      </c>
      <c r="BY488" s="1379">
        <f>SUM(BY486:BY487)</f>
        <v/>
      </c>
      <c r="BZ488" s="1379">
        <f>SUM(BZ486:BZ487)</f>
        <v/>
      </c>
      <c r="CA488" s="1379">
        <f>SUM(CA486:CA487)</f>
        <v/>
      </c>
      <c r="CB488" s="1364" t="n"/>
    </row>
    <row r="489" hidden="1" outlineLevel="1" ht="14.4" customFormat="1" customHeight="1" s="1359">
      <c r="A489" s="1612" t="inlineStr">
        <is>
          <t>Non-GAAP Adjustment to Net Interest Expense</t>
        </is>
      </c>
      <c r="B489" s="1613" t="n"/>
      <c r="C489" s="1614">
        <f>C374+C377</f>
        <v/>
      </c>
      <c r="D489" s="1614">
        <f>D374+D377</f>
        <v/>
      </c>
      <c r="E489" s="1614">
        <f>E374+E377</f>
        <v/>
      </c>
      <c r="F489" s="1614">
        <f>F374+F377</f>
        <v/>
      </c>
      <c r="G489" s="1615">
        <f>G374+G377</f>
        <v/>
      </c>
      <c r="H489" s="1615">
        <f>H374+H377</f>
        <v/>
      </c>
      <c r="I489" s="1615">
        <f>I374+I377</f>
        <v/>
      </c>
      <c r="J489" s="1615">
        <f>J374+J377</f>
        <v/>
      </c>
      <c r="K489" s="1614">
        <f>K374+K377</f>
        <v/>
      </c>
      <c r="L489" s="1615">
        <f>L374+L377</f>
        <v/>
      </c>
      <c r="M489" s="1615">
        <f>M374+M377</f>
        <v/>
      </c>
      <c r="N489" s="1615">
        <f>N374+N377</f>
        <v/>
      </c>
      <c r="O489" s="1615">
        <f>O374+O377</f>
        <v/>
      </c>
      <c r="P489" s="1614">
        <f>P374+P377</f>
        <v/>
      </c>
      <c r="Q489" s="1615">
        <f>Q374+Q377</f>
        <v/>
      </c>
      <c r="R489" s="1615">
        <f>R374+R377</f>
        <v/>
      </c>
      <c r="S489" s="1615">
        <f>S374+S377</f>
        <v/>
      </c>
      <c r="T489" s="1615">
        <f>T374+T377</f>
        <v/>
      </c>
      <c r="U489" s="1614">
        <f>U374+U377</f>
        <v/>
      </c>
      <c r="V489" s="1615">
        <f>V374+V377</f>
        <v/>
      </c>
      <c r="W489" s="1615">
        <f>W374+W377</f>
        <v/>
      </c>
      <c r="X489" s="1615">
        <f>X374+X377</f>
        <v/>
      </c>
      <c r="Y489" s="1615">
        <f>Y374+Y377</f>
        <v/>
      </c>
      <c r="Z489" s="1614">
        <f>Z374+Z377</f>
        <v/>
      </c>
      <c r="AA489" s="1615">
        <f>AA374+AA377</f>
        <v/>
      </c>
      <c r="AB489" s="1615">
        <f>AB374+AB377</f>
        <v/>
      </c>
      <c r="AC489" s="1615">
        <f>AC374+AC377</f>
        <v/>
      </c>
      <c r="AD489" s="1615">
        <f>AD374+AD377</f>
        <v/>
      </c>
      <c r="AE489" s="1614">
        <f>AE374+AE377</f>
        <v/>
      </c>
      <c r="AF489" s="1615">
        <f>AF374+AF377</f>
        <v/>
      </c>
      <c r="AG489" s="1615">
        <f>AG374+AG377</f>
        <v/>
      </c>
      <c r="AH489" s="1615">
        <f>AH374+AH377</f>
        <v/>
      </c>
      <c r="AI489" s="1615">
        <f>AI374+AI377</f>
        <v/>
      </c>
      <c r="AJ489" s="1614">
        <f>AJ374+AJ377</f>
        <v/>
      </c>
      <c r="AK489" s="1615">
        <f>AK374+AK377</f>
        <v/>
      </c>
      <c r="AL489" s="1615">
        <f>AL374+AL377</f>
        <v/>
      </c>
      <c r="AM489" s="1615">
        <f>AM374+AM377</f>
        <v/>
      </c>
      <c r="AN489" s="1615">
        <f>AN374+AN377</f>
        <v/>
      </c>
      <c r="AO489" s="1614">
        <f>AO374+AO377</f>
        <v/>
      </c>
      <c r="AP489" s="1615">
        <f>AP374+AP377</f>
        <v/>
      </c>
      <c r="AQ489" s="1615">
        <f>AQ374+AQ377</f>
        <v/>
      </c>
      <c r="AR489" s="1615">
        <f>AR374+AR377</f>
        <v/>
      </c>
      <c r="AS489" s="1615">
        <f>AS374+AS377</f>
        <v/>
      </c>
      <c r="AT489" s="1614">
        <f>AT374+AT377</f>
        <v/>
      </c>
      <c r="AU489" s="1615">
        <f>AU374+AU377</f>
        <v/>
      </c>
      <c r="AV489" s="1615">
        <f>AV374+AV377</f>
        <v/>
      </c>
      <c r="AW489" s="1615">
        <f>AW374+AW377</f>
        <v/>
      </c>
      <c r="AX489" s="1615">
        <f>AX374+AX377</f>
        <v/>
      </c>
      <c r="AY489" s="1614">
        <f>AY374+AY377</f>
        <v/>
      </c>
      <c r="AZ489" s="1615">
        <f>AZ374+AZ377</f>
        <v/>
      </c>
      <c r="BA489" s="1615">
        <f>BA374+BA377</f>
        <v/>
      </c>
      <c r="BB489" s="1615">
        <f>BB374+BB377</f>
        <v/>
      </c>
      <c r="BC489" s="1615">
        <f>BC374+BC377</f>
        <v/>
      </c>
      <c r="BD489" s="1614">
        <f>BD374+BD377</f>
        <v/>
      </c>
      <c r="BE489" s="1615">
        <f>BE374+BE377</f>
        <v/>
      </c>
      <c r="BF489" s="1615">
        <f>BF374+BF377</f>
        <v/>
      </c>
      <c r="BG489" s="1615">
        <f>BG374+BG377</f>
        <v/>
      </c>
      <c r="BH489" s="1615">
        <f>BH374+BH377</f>
        <v/>
      </c>
      <c r="BI489" s="1614">
        <f>BI374+BI377</f>
        <v/>
      </c>
      <c r="BJ489" s="1615">
        <f>BJ374+BJ377</f>
        <v/>
      </c>
      <c r="BK489" s="1615">
        <f>BK374+BK377</f>
        <v/>
      </c>
      <c r="BL489" s="1615">
        <f>BL374+BL377</f>
        <v/>
      </c>
      <c r="BM489" s="1615">
        <f>BM374+BM377</f>
        <v/>
      </c>
      <c r="BN489" s="1614">
        <f>BN374+BN377</f>
        <v/>
      </c>
      <c r="BO489" s="1615">
        <f>BO374+BO377</f>
        <v/>
      </c>
      <c r="BP489" s="1615">
        <f>BP374+BP377</f>
        <v/>
      </c>
      <c r="BQ489" s="1616">
        <f>BQ374+BQ377</f>
        <v/>
      </c>
      <c r="BR489" s="1615">
        <f>BR689</f>
        <v/>
      </c>
      <c r="BS489" s="1614">
        <f>SUM(BO489,BP489,BQ489,BR489)</f>
        <v/>
      </c>
      <c r="BT489" s="1615">
        <f>BT689</f>
        <v/>
      </c>
      <c r="BU489" s="1615">
        <f>BU689</f>
        <v/>
      </c>
      <c r="BV489" s="1615">
        <f>BV689</f>
        <v/>
      </c>
      <c r="BW489" s="1615">
        <f>BW689</f>
        <v/>
      </c>
      <c r="BX489" s="1614">
        <f>SUM(BT489,BU489,BV489,BW489)</f>
        <v/>
      </c>
      <c r="BY489" s="1614">
        <f>BY689</f>
        <v/>
      </c>
      <c r="BZ489" s="1614">
        <f>BZ689</f>
        <v/>
      </c>
      <c r="CA489" s="1614">
        <f>CA689</f>
        <v/>
      </c>
      <c r="CB489" s="1361" t="n"/>
    </row>
    <row r="490" collapsed="1" ht="14.4" customFormat="1" customHeight="1" s="1372">
      <c r="A490" s="1593" t="inlineStr">
        <is>
          <t>Non-GAAP Net Interest Expense</t>
        </is>
      </c>
      <c r="B490" s="1512" t="n"/>
      <c r="C490" s="1379">
        <f>C488-C489</f>
        <v/>
      </c>
      <c r="D490" s="1379">
        <f>D488-D489</f>
        <v/>
      </c>
      <c r="E490" s="1379">
        <f>E488-E489</f>
        <v/>
      </c>
      <c r="F490" s="1379">
        <f>F488-F489</f>
        <v/>
      </c>
      <c r="G490" s="1361">
        <f>G488-G489</f>
        <v/>
      </c>
      <c r="H490" s="1361">
        <f>H488-H489</f>
        <v/>
      </c>
      <c r="I490" s="1361">
        <f>I488-I489</f>
        <v/>
      </c>
      <c r="J490" s="1361">
        <f>J488-J489</f>
        <v/>
      </c>
      <c r="K490" s="1379">
        <f>K488-K489</f>
        <v/>
      </c>
      <c r="L490" s="1361">
        <f>L488-L489</f>
        <v/>
      </c>
      <c r="M490" s="1361">
        <f>M488-M489</f>
        <v/>
      </c>
      <c r="N490" s="1361">
        <f>N488-N489</f>
        <v/>
      </c>
      <c r="O490" s="1361">
        <f>O488-O489</f>
        <v/>
      </c>
      <c r="P490" s="1379">
        <f>P488-P489</f>
        <v/>
      </c>
      <c r="Q490" s="1361">
        <f>Q488-Q489</f>
        <v/>
      </c>
      <c r="R490" s="1361">
        <f>R488-R489</f>
        <v/>
      </c>
      <c r="S490" s="1361">
        <f>S488-S489</f>
        <v/>
      </c>
      <c r="T490" s="1361">
        <f>T488-T489</f>
        <v/>
      </c>
      <c r="U490" s="1379">
        <f>U488-U489</f>
        <v/>
      </c>
      <c r="V490" s="1361">
        <f>V488-V489</f>
        <v/>
      </c>
      <c r="W490" s="1361">
        <f>W488-W489</f>
        <v/>
      </c>
      <c r="X490" s="1361">
        <f>X488-X489</f>
        <v/>
      </c>
      <c r="Y490" s="1361">
        <f>Y488-Y489</f>
        <v/>
      </c>
      <c r="Z490" s="1379">
        <f>Z488-Z489</f>
        <v/>
      </c>
      <c r="AA490" s="1361">
        <f>AA488-AA489</f>
        <v/>
      </c>
      <c r="AB490" s="1361">
        <f>AB488-AB489</f>
        <v/>
      </c>
      <c r="AC490" s="1361">
        <f>AC488-AC489</f>
        <v/>
      </c>
      <c r="AD490" s="1361">
        <f>AD488-AD489</f>
        <v/>
      </c>
      <c r="AE490" s="1379">
        <f>AE488-AE489</f>
        <v/>
      </c>
      <c r="AF490" s="1361">
        <f>AF488-AF489</f>
        <v/>
      </c>
      <c r="AG490" s="1361">
        <f>AG488-AG489</f>
        <v/>
      </c>
      <c r="AH490" s="1361">
        <f>AH488-AH489</f>
        <v/>
      </c>
      <c r="AI490" s="1361">
        <f>AI488-AI489</f>
        <v/>
      </c>
      <c r="AJ490" s="1379">
        <f>AJ488-AJ489</f>
        <v/>
      </c>
      <c r="AK490" s="1361">
        <f>AK488-AK489</f>
        <v/>
      </c>
      <c r="AL490" s="1361">
        <f>AL488-AL489</f>
        <v/>
      </c>
      <c r="AM490" s="1361">
        <f>AM488-AM489</f>
        <v/>
      </c>
      <c r="AN490" s="1361">
        <f>AN488-AN489</f>
        <v/>
      </c>
      <c r="AO490" s="1379">
        <f>AO488-AO489</f>
        <v/>
      </c>
      <c r="AP490" s="1361">
        <f>AP488-AP489</f>
        <v/>
      </c>
      <c r="AQ490" s="1361">
        <f>AQ488-AQ489</f>
        <v/>
      </c>
      <c r="AR490" s="1361">
        <f>AR488-AR489</f>
        <v/>
      </c>
      <c r="AS490" s="1361">
        <f>AS488-AS489</f>
        <v/>
      </c>
      <c r="AT490" s="1379">
        <f>AT488-AT489</f>
        <v/>
      </c>
      <c r="AU490" s="1361">
        <f>AU488-AU489</f>
        <v/>
      </c>
      <c r="AV490" s="1361">
        <f>AV488-AV489</f>
        <v/>
      </c>
      <c r="AW490" s="1361">
        <f>AW488-AW489</f>
        <v/>
      </c>
      <c r="AX490" s="1361">
        <f>AX488-AX489</f>
        <v/>
      </c>
      <c r="AY490" s="1379">
        <f>AY488-AY489</f>
        <v/>
      </c>
      <c r="AZ490" s="1361">
        <f>AZ488-AZ489</f>
        <v/>
      </c>
      <c r="BA490" s="1361">
        <f>BA488-BA489</f>
        <v/>
      </c>
      <c r="BB490" s="1361">
        <f>BB488-BB489</f>
        <v/>
      </c>
      <c r="BC490" s="1361">
        <f>BC488-BC489</f>
        <v/>
      </c>
      <c r="BD490" s="1379">
        <f>BD488-BD489</f>
        <v/>
      </c>
      <c r="BE490" s="1361">
        <f>BE488-BE489</f>
        <v/>
      </c>
      <c r="BF490" s="1361">
        <f>BF488-BF489</f>
        <v/>
      </c>
      <c r="BG490" s="1361">
        <f>BG488-BG489</f>
        <v/>
      </c>
      <c r="BH490" s="1361">
        <f>BH488-BH489</f>
        <v/>
      </c>
      <c r="BI490" s="1379">
        <f>BI488-BI489</f>
        <v/>
      </c>
      <c r="BJ490" s="1361">
        <f>BJ488-BJ489</f>
        <v/>
      </c>
      <c r="BK490" s="1361">
        <f>BK488-BK489</f>
        <v/>
      </c>
      <c r="BL490" s="1361">
        <f>BL488-BL489</f>
        <v/>
      </c>
      <c r="BM490" s="1361">
        <f>BM488-BM489</f>
        <v/>
      </c>
      <c r="BN490" s="1379">
        <f>BN488-BN489</f>
        <v/>
      </c>
      <c r="BO490" s="1361">
        <f>BO488-BO489</f>
        <v/>
      </c>
      <c r="BP490" s="1361">
        <f>BP488-BP489</f>
        <v/>
      </c>
      <c r="BQ490" s="1363">
        <f>BQ488-BQ489</f>
        <v/>
      </c>
      <c r="BR490" s="1361">
        <f>BR488-BR489</f>
        <v/>
      </c>
      <c r="BS490" s="1379">
        <f>BS488-BS489</f>
        <v/>
      </c>
      <c r="BT490" s="1361">
        <f>BT488-BT489</f>
        <v/>
      </c>
      <c r="BU490" s="1361">
        <f>BU488-BU489</f>
        <v/>
      </c>
      <c r="BV490" s="1361">
        <f>BV488-BV489</f>
        <v/>
      </c>
      <c r="BW490" s="1361">
        <f>BW488-BW489</f>
        <v/>
      </c>
      <c r="BX490" s="1379">
        <f>BX488-BX489</f>
        <v/>
      </c>
      <c r="BY490" s="1379">
        <f>BY488-BY489</f>
        <v/>
      </c>
      <c r="BZ490" s="1379">
        <f>BZ488-BZ489</f>
        <v/>
      </c>
      <c r="CA490" s="1379">
        <f>CA488-CA489</f>
        <v/>
      </c>
      <c r="CB490" s="1375" t="n"/>
    </row>
    <row r="491" hidden="1" outlineLevel="1" ht="14.4" customFormat="1" customHeight="1" s="1372">
      <c r="A491" s="1593" t="inlineStr">
        <is>
          <t>GAAP Other Items</t>
        </is>
      </c>
      <c r="B491" s="1512" t="n"/>
      <c r="C491" s="1554">
        <f>-C357</f>
        <v/>
      </c>
      <c r="D491" s="1554">
        <f>-D357</f>
        <v/>
      </c>
      <c r="E491" s="1554">
        <f>-E357</f>
        <v/>
      </c>
      <c r="F491" s="1554">
        <f>-F357</f>
        <v/>
      </c>
      <c r="G491" s="1553">
        <f>-G357</f>
        <v/>
      </c>
      <c r="H491" s="1553">
        <f>-H357</f>
        <v/>
      </c>
      <c r="I491" s="1553">
        <f>-I357</f>
        <v/>
      </c>
      <c r="J491" s="1553">
        <f>-J357</f>
        <v/>
      </c>
      <c r="K491" s="1554">
        <f>-K357</f>
        <v/>
      </c>
      <c r="L491" s="1553">
        <f>-L357</f>
        <v/>
      </c>
      <c r="M491" s="1553">
        <f>-M357</f>
        <v/>
      </c>
      <c r="N491" s="1553">
        <f>-N357</f>
        <v/>
      </c>
      <c r="O491" s="1553">
        <f>-O357</f>
        <v/>
      </c>
      <c r="P491" s="1554">
        <f>-P357</f>
        <v/>
      </c>
      <c r="Q491" s="1553">
        <f>-Q357</f>
        <v/>
      </c>
      <c r="R491" s="1553">
        <f>-R357</f>
        <v/>
      </c>
      <c r="S491" s="1553">
        <f>-S357</f>
        <v/>
      </c>
      <c r="T491" s="1553">
        <f>-T357</f>
        <v/>
      </c>
      <c r="U491" s="1554">
        <f>-U357</f>
        <v/>
      </c>
      <c r="V491" s="1553">
        <f>-V357</f>
        <v/>
      </c>
      <c r="W491" s="1553">
        <f>-W357</f>
        <v/>
      </c>
      <c r="X491" s="1553">
        <f>-X357</f>
        <v/>
      </c>
      <c r="Y491" s="1553">
        <f>-Y357</f>
        <v/>
      </c>
      <c r="Z491" s="1554">
        <f>-Z357</f>
        <v/>
      </c>
      <c r="AA491" s="1553">
        <f>-AA357</f>
        <v/>
      </c>
      <c r="AB491" s="1553">
        <f>-AB357</f>
        <v/>
      </c>
      <c r="AC491" s="1553">
        <f>-AC357</f>
        <v/>
      </c>
      <c r="AD491" s="1553">
        <f>-AD357</f>
        <v/>
      </c>
      <c r="AE491" s="1554">
        <f>-AE357</f>
        <v/>
      </c>
      <c r="AF491" s="1553">
        <f>-AF357</f>
        <v/>
      </c>
      <c r="AG491" s="1553">
        <f>-AG357</f>
        <v/>
      </c>
      <c r="AH491" s="1553">
        <f>-AH357</f>
        <v/>
      </c>
      <c r="AI491" s="1553">
        <f>-AI357</f>
        <v/>
      </c>
      <c r="AJ491" s="1554">
        <f>-AJ357</f>
        <v/>
      </c>
      <c r="AK491" s="1553">
        <f>-AK357</f>
        <v/>
      </c>
      <c r="AL491" s="1553">
        <f>-AL357</f>
        <v/>
      </c>
      <c r="AM491" s="1553">
        <f>-AM357</f>
        <v/>
      </c>
      <c r="AN491" s="1553">
        <f>-AN357</f>
        <v/>
      </c>
      <c r="AO491" s="1554">
        <f>-AO357</f>
        <v/>
      </c>
      <c r="AP491" s="1553">
        <f>-AP357</f>
        <v/>
      </c>
      <c r="AQ491" s="1553">
        <f>-AQ357</f>
        <v/>
      </c>
      <c r="AR491" s="1553">
        <f>-AR357</f>
        <v/>
      </c>
      <c r="AS491" s="1553">
        <f>-AS357</f>
        <v/>
      </c>
      <c r="AT491" s="1554">
        <f>-AT357</f>
        <v/>
      </c>
      <c r="AU491" s="1553">
        <f>-AU357</f>
        <v/>
      </c>
      <c r="AV491" s="1553">
        <f>-AV357</f>
        <v/>
      </c>
      <c r="AW491" s="1553">
        <f>-AW357</f>
        <v/>
      </c>
      <c r="AX491" s="1553">
        <f>-AX357</f>
        <v/>
      </c>
      <c r="AY491" s="1554">
        <f>-AY357</f>
        <v/>
      </c>
      <c r="AZ491" s="1553">
        <f>-AZ357</f>
        <v/>
      </c>
      <c r="BA491" s="1553">
        <f>-BA357</f>
        <v/>
      </c>
      <c r="BB491" s="1553">
        <f>-BB357</f>
        <v/>
      </c>
      <c r="BC491" s="1553">
        <f>-BC357</f>
        <v/>
      </c>
      <c r="BD491" s="1554">
        <f>-BD357</f>
        <v/>
      </c>
      <c r="BE491" s="1553">
        <f>-BE357</f>
        <v/>
      </c>
      <c r="BF491" s="1553">
        <f>-BF357</f>
        <v/>
      </c>
      <c r="BG491" s="1553">
        <f>-BG357</f>
        <v/>
      </c>
      <c r="BH491" s="1553">
        <f>-BH357</f>
        <v/>
      </c>
      <c r="BI491" s="1554">
        <f>-BI357</f>
        <v/>
      </c>
      <c r="BJ491" s="1553">
        <f>-BJ357</f>
        <v/>
      </c>
      <c r="BK491" s="1553">
        <f>-BK357</f>
        <v/>
      </c>
      <c r="BL491" s="1553">
        <f>-BL357</f>
        <v/>
      </c>
      <c r="BM491" s="1553">
        <f>-BM357</f>
        <v/>
      </c>
      <c r="BN491" s="1554">
        <f>-BN357</f>
        <v/>
      </c>
      <c r="BO491" s="1553">
        <f>-BO357</f>
        <v/>
      </c>
      <c r="BP491" s="1553">
        <f>-BP357</f>
        <v/>
      </c>
      <c r="BQ491" s="1556">
        <f>-BQ357</f>
        <v/>
      </c>
      <c r="BR491" s="1553">
        <f>BR492+BR493</f>
        <v/>
      </c>
      <c r="BS491" s="1554">
        <f>SUM(BO491,BP491,BQ491,BR491)</f>
        <v/>
      </c>
      <c r="BT491" s="1553">
        <f>BT492+BT493</f>
        <v/>
      </c>
      <c r="BU491" s="1553">
        <f>BU492+BU493</f>
        <v/>
      </c>
      <c r="BV491" s="1553">
        <f>BV492+BV493</f>
        <v/>
      </c>
      <c r="BW491" s="1553">
        <f>BW492+BW493</f>
        <v/>
      </c>
      <c r="BX491" s="1554">
        <f>SUM(BT491,BU491,BV491,BW491)</f>
        <v/>
      </c>
      <c r="BY491" s="1554">
        <f>BY492+BY493</f>
        <v/>
      </c>
      <c r="BZ491" s="1554">
        <f>BZ492+BZ493</f>
        <v/>
      </c>
      <c r="CA491" s="1554">
        <f>CA492+CA493</f>
        <v/>
      </c>
      <c r="CB491" s="1375" t="n"/>
    </row>
    <row r="492" hidden="1" outlineLevel="1" ht="14.4" customFormat="1" customHeight="1" s="1372">
      <c r="A492" s="1595" t="inlineStr">
        <is>
          <t>Non-GAAP Adjustments to Other Items</t>
        </is>
      </c>
      <c r="B492" s="1514" t="n"/>
      <c r="C492" s="1601">
        <f>ROUND(C491-C493,4)</f>
        <v/>
      </c>
      <c r="D492" s="1601">
        <f>ROUND(D491-D493,4)</f>
        <v/>
      </c>
      <c r="E492" s="1601">
        <f>ROUND(E491-E493,4)</f>
        <v/>
      </c>
      <c r="F492" s="1601">
        <f>ROUND(F491-F493,4)</f>
        <v/>
      </c>
      <c r="G492" s="1603">
        <f>ROUND(G491-G493,4)</f>
        <v/>
      </c>
      <c r="H492" s="1603">
        <f>ROUND(H491-H493,4)</f>
        <v/>
      </c>
      <c r="I492" s="1603">
        <f>ROUND(I491-I493,4)</f>
        <v/>
      </c>
      <c r="J492" s="1603">
        <f>ROUND(J491-J493,4)</f>
        <v/>
      </c>
      <c r="K492" s="1601">
        <f>ROUND(K491-K493,4)</f>
        <v/>
      </c>
      <c r="L492" s="1603">
        <f>ROUND(L491-L493,4)</f>
        <v/>
      </c>
      <c r="M492" s="1603">
        <f>ROUND(M491-M493,4)</f>
        <v/>
      </c>
      <c r="N492" s="1603">
        <f>ROUND(N491-N493,4)</f>
        <v/>
      </c>
      <c r="O492" s="1603">
        <f>ROUND(O491-O493,4)</f>
        <v/>
      </c>
      <c r="P492" s="1601">
        <f>ROUND(P491-P493,4)</f>
        <v/>
      </c>
      <c r="Q492" s="1603">
        <f>ROUND(Q491-Q493,4)</f>
        <v/>
      </c>
      <c r="R492" s="1603">
        <f>ROUND(R491-R493,4)</f>
        <v/>
      </c>
      <c r="S492" s="1603">
        <f>ROUND(S491-S493,4)</f>
        <v/>
      </c>
      <c r="T492" s="1603">
        <f>ROUND(T491-T493,4)</f>
        <v/>
      </c>
      <c r="U492" s="1601">
        <f>ROUND(U491-U493,4)</f>
        <v/>
      </c>
      <c r="V492" s="1603">
        <f>ROUND(V491-V493,4)</f>
        <v/>
      </c>
      <c r="W492" s="1603">
        <f>ROUND(W491-W493,4)</f>
        <v/>
      </c>
      <c r="X492" s="1603">
        <f>ROUND(X491-X493,4)</f>
        <v/>
      </c>
      <c r="Y492" s="1603">
        <f>ROUND(Y491-Y493,4)</f>
        <v/>
      </c>
      <c r="Z492" s="1601">
        <f>ROUND(Z491-Z493,4)</f>
        <v/>
      </c>
      <c r="AA492" s="1603">
        <f>ROUND(AA491-AA493,4)</f>
        <v/>
      </c>
      <c r="AB492" s="1603">
        <f>ROUND(AB491-AB493,4)</f>
        <v/>
      </c>
      <c r="AC492" s="1603">
        <f>ROUND(AC491-AC493,4)</f>
        <v/>
      </c>
      <c r="AD492" s="1603">
        <f>ROUND(AD491-AD493,4)</f>
        <v/>
      </c>
      <c r="AE492" s="1601">
        <f>ROUND(AE491-AE493,4)</f>
        <v/>
      </c>
      <c r="AF492" s="1603">
        <f>ROUND(AF491-AF493,4)</f>
        <v/>
      </c>
      <c r="AG492" s="1603">
        <f>ROUND(AG491-AG493,4)</f>
        <v/>
      </c>
      <c r="AH492" s="1603">
        <f>ROUND(AH491-AH493,4)</f>
        <v/>
      </c>
      <c r="AI492" s="1603">
        <f>ROUND(AI491-AI493,4)</f>
        <v/>
      </c>
      <c r="AJ492" s="1601">
        <f>ROUND(AJ491-AJ493,4)</f>
        <v/>
      </c>
      <c r="AK492" s="1603">
        <f>ROUND(AK491-AK493,4)</f>
        <v/>
      </c>
      <c r="AL492" s="1603">
        <f>ROUND(AL491-AL493,4)</f>
        <v/>
      </c>
      <c r="AM492" s="1603">
        <f>ROUND(AM491-AM493,4)</f>
        <v/>
      </c>
      <c r="AN492" s="1603">
        <f>ROUND(AN491-AN493,4)</f>
        <v/>
      </c>
      <c r="AO492" s="1601">
        <f>ROUND(AO491-AO493,4)</f>
        <v/>
      </c>
      <c r="AP492" s="1603">
        <f>ROUND(AP491-AP493,4)</f>
        <v/>
      </c>
      <c r="AQ492" s="1603">
        <f>ROUND(AQ491-AQ493,4)</f>
        <v/>
      </c>
      <c r="AR492" s="1603">
        <f>ROUND(AR491-AR493,4)</f>
        <v/>
      </c>
      <c r="AS492" s="1603">
        <f>ROUND(AS491-AS493,4)</f>
        <v/>
      </c>
      <c r="AT492" s="1601">
        <f>ROUND(AT491-AT493,4)</f>
        <v/>
      </c>
      <c r="AU492" s="1603">
        <f>ROUND(AU491-AU493,4)</f>
        <v/>
      </c>
      <c r="AV492" s="1603">
        <f>ROUND(AV491-AV493,4)</f>
        <v/>
      </c>
      <c r="AW492" s="1603">
        <f>ROUND(AW491-AW493,4)</f>
        <v/>
      </c>
      <c r="AX492" s="1603">
        <f>ROUND(AX491-AX493,4)</f>
        <v/>
      </c>
      <c r="AY492" s="1601">
        <f>ROUND(AY491-AY493,4)</f>
        <v/>
      </c>
      <c r="AZ492" s="1603">
        <f>ROUND(AZ491-AZ493,4)</f>
        <v/>
      </c>
      <c r="BA492" s="1603">
        <f>ROUND(BA491-BA493,4)</f>
        <v/>
      </c>
      <c r="BB492" s="1603">
        <f>ROUND(BB491-BB493,4)</f>
        <v/>
      </c>
      <c r="BC492" s="1603">
        <f>ROUND(BC491-BC493,4)</f>
        <v/>
      </c>
      <c r="BD492" s="1601">
        <f>ROUND(BD491-BD493,4)</f>
        <v/>
      </c>
      <c r="BE492" s="1603">
        <f>ROUND(BE491-BE493,4)</f>
        <v/>
      </c>
      <c r="BF492" s="1603">
        <f>ROUND(BF491-BF493,4)</f>
        <v/>
      </c>
      <c r="BG492" s="1603">
        <f>ROUND(BG491-BG493,4)</f>
        <v/>
      </c>
      <c r="BH492" s="1603">
        <f>ROUND(BH491-BH493,4)</f>
        <v/>
      </c>
      <c r="BI492" s="1601">
        <f>ROUND(BI491-BI493,4)</f>
        <v/>
      </c>
      <c r="BJ492" s="1603">
        <f>ROUND(BJ491-BJ493,4)</f>
        <v/>
      </c>
      <c r="BK492" s="1603">
        <f>ROUND(BK491-BK493,4)</f>
        <v/>
      </c>
      <c r="BL492" s="1603">
        <f>ROUND(BL491-BL493,4)</f>
        <v/>
      </c>
      <c r="BM492" s="1603">
        <f>ROUND(BM491-BM493,4)</f>
        <v/>
      </c>
      <c r="BN492" s="1601">
        <f>ROUND(BN491-BN493,4)</f>
        <v/>
      </c>
      <c r="BO492" s="1603">
        <f>ROUND(BO491-BO493,4)</f>
        <v/>
      </c>
      <c r="BP492" s="1603">
        <f>ROUND(BP491-BP493,4)</f>
        <v/>
      </c>
      <c r="BQ492" s="1617">
        <f>ROUND(BQ491-BQ493,4)</f>
        <v/>
      </c>
      <c r="BR492" s="1618" t="n">
        <v>0.6</v>
      </c>
      <c r="BS492" s="1601">
        <f>SUM(BO492,BP492,BQ492,BR492)</f>
        <v/>
      </c>
      <c r="BT492" s="1618" t="n">
        <v>0.6</v>
      </c>
      <c r="BU492" s="1618" t="n">
        <v>0.6</v>
      </c>
      <c r="BV492" s="1618" t="n">
        <v>0.6</v>
      </c>
      <c r="BW492" s="1618" t="n">
        <v>0.6</v>
      </c>
      <c r="BX492" s="1601">
        <f>SUM(BT492,BU492,BV492,BW492)</f>
        <v/>
      </c>
      <c r="BY492" s="1619" t="n">
        <v>2.4</v>
      </c>
      <c r="BZ492" s="1619" t="n">
        <v>2.4</v>
      </c>
      <c r="CA492" s="1619" t="n">
        <v>2.4</v>
      </c>
      <c r="CB492" s="1375" t="n"/>
    </row>
    <row r="493" collapsed="1" ht="14.4" customFormat="1" customHeight="1" s="1359">
      <c r="A493" s="1607" t="inlineStr">
        <is>
          <t>Non-GAAP Other Items</t>
        </is>
      </c>
      <c r="B493" s="1514" t="n"/>
      <c r="C493" s="1455">
        <f>+C478-C490-C494</f>
        <v/>
      </c>
      <c r="D493" s="1518">
        <f>+D478-D490-D494</f>
        <v/>
      </c>
      <c r="E493" s="1518">
        <f>+E478-E490-E494</f>
        <v/>
      </c>
      <c r="F493" s="1518">
        <f>+F478-F490-F494</f>
        <v/>
      </c>
      <c r="G493" s="1510">
        <f>+G478-G490-G494</f>
        <v/>
      </c>
      <c r="H493" s="1510">
        <f>+H478-H490-H494</f>
        <v/>
      </c>
      <c r="I493" s="1510">
        <f>+I478-I490-I494</f>
        <v/>
      </c>
      <c r="J493" s="1510">
        <f>+J478-J490-J494</f>
        <v/>
      </c>
      <c r="K493" s="1518">
        <f>+K478-K490-K494</f>
        <v/>
      </c>
      <c r="L493" s="1510">
        <f>+L478-L490-L494</f>
        <v/>
      </c>
      <c r="M493" s="1510">
        <f>+M478-M490-M494</f>
        <v/>
      </c>
      <c r="N493" s="1510">
        <f>+N478-N490-N494</f>
        <v/>
      </c>
      <c r="O493" s="1510">
        <f>+O478-O490-O494</f>
        <v/>
      </c>
      <c r="P493" s="1518">
        <f>+P478-P490-P494</f>
        <v/>
      </c>
      <c r="Q493" s="1510">
        <f>+Q478-Q490-Q494</f>
        <v/>
      </c>
      <c r="R493" s="1510">
        <f>+R478-R490-R494</f>
        <v/>
      </c>
      <c r="S493" s="1510">
        <f>+S478-S490-S494</f>
        <v/>
      </c>
      <c r="T493" s="1510">
        <f>+T478-T490-T494</f>
        <v/>
      </c>
      <c r="U493" s="1518">
        <f>+U478-U490-U494</f>
        <v/>
      </c>
      <c r="V493" s="1510">
        <f>+V478-V490-V494</f>
        <v/>
      </c>
      <c r="W493" s="1510">
        <f>+W478-W490-W494</f>
        <v/>
      </c>
      <c r="X493" s="1510">
        <f>+X478-X490-X494</f>
        <v/>
      </c>
      <c r="Y493" s="1510">
        <f>+Y478-Y490-Y494</f>
        <v/>
      </c>
      <c r="Z493" s="1518">
        <f>+Z478-Z490-Z494</f>
        <v/>
      </c>
      <c r="AA493" s="1510">
        <f>+AA478-AA490-AA494</f>
        <v/>
      </c>
      <c r="AB493" s="1510">
        <f>+AB478-AB490-AB494</f>
        <v/>
      </c>
      <c r="AC493" s="1510">
        <f>+AC478-AC490-AC494</f>
        <v/>
      </c>
      <c r="AD493" s="1510">
        <f>+AD478-AD490-AD494</f>
        <v/>
      </c>
      <c r="AE493" s="1518">
        <f>+AE478-AE490-AE494</f>
        <v/>
      </c>
      <c r="AF493" s="1510">
        <f>+AF478-AF490-AF494</f>
        <v/>
      </c>
      <c r="AG493" s="1510">
        <f>+AG478-AG490-AG494</f>
        <v/>
      </c>
      <c r="AH493" s="1510">
        <f>+AH478-AH490-AH494</f>
        <v/>
      </c>
      <c r="AI493" s="1510">
        <f>+AI478-AI490-AI494</f>
        <v/>
      </c>
      <c r="AJ493" s="1518">
        <f>+AJ478-AJ490-AJ494</f>
        <v/>
      </c>
      <c r="AK493" s="1510">
        <f>+AK478-AK490-AK494</f>
        <v/>
      </c>
      <c r="AL493" s="1510">
        <f>+AL478-AL490-AL494</f>
        <v/>
      </c>
      <c r="AM493" s="1510">
        <f>+AM478-AM490-AM494</f>
        <v/>
      </c>
      <c r="AN493" s="1510">
        <f>+AN478-AN490-AN494</f>
        <v/>
      </c>
      <c r="AO493" s="1518">
        <f>+AO478-AO490-AO494</f>
        <v/>
      </c>
      <c r="AP493" s="1510">
        <f>+AP478-AP490-AP494</f>
        <v/>
      </c>
      <c r="AQ493" s="1510">
        <f>+AQ478-AQ490-AQ494</f>
        <v/>
      </c>
      <c r="AR493" s="1510">
        <f>+AR478-AR490-AR494</f>
        <v/>
      </c>
      <c r="AS493" s="1510">
        <f>+AS478-AS490-AS494</f>
        <v/>
      </c>
      <c r="AT493" s="1518">
        <f>+AT478-AT490-AT494</f>
        <v/>
      </c>
      <c r="AU493" s="1510">
        <f>+AU478-AU490-AU494</f>
        <v/>
      </c>
      <c r="AV493" s="1510">
        <f>+AV478-AV490-AV494</f>
        <v/>
      </c>
      <c r="AW493" s="1510">
        <f>+AW478-AW490-AW494</f>
        <v/>
      </c>
      <c r="AX493" s="1510">
        <f>+AX478-AX490-AX494</f>
        <v/>
      </c>
      <c r="AY493" s="1518">
        <f>+AY478-AY490-AY494</f>
        <v/>
      </c>
      <c r="AZ493" s="1510">
        <f>+AZ478-AZ490-AZ494</f>
        <v/>
      </c>
      <c r="BA493" s="1510">
        <f>+BA478-BA490-BA494</f>
        <v/>
      </c>
      <c r="BB493" s="1510">
        <f>+BB478-BB490-BB494</f>
        <v/>
      </c>
      <c r="BC493" s="1510">
        <f>+BC478-BC490-BC494</f>
        <v/>
      </c>
      <c r="BD493" s="1518">
        <f>+BD478-BD490-BD494</f>
        <v/>
      </c>
      <c r="BE493" s="1510">
        <f>+BE478-BE490-BE494</f>
        <v/>
      </c>
      <c r="BF493" s="1510">
        <f>+BF478-BF490-BF494</f>
        <v/>
      </c>
      <c r="BG493" s="1510">
        <f>+BG478-BG490-BG494</f>
        <v/>
      </c>
      <c r="BH493" s="1510">
        <f>+BH478-BH490-BH494</f>
        <v/>
      </c>
      <c r="BI493" s="1518">
        <f>+BI478-BI490-BI494</f>
        <v/>
      </c>
      <c r="BJ493" s="1510">
        <f>+BJ478-BJ490-BJ494</f>
        <v/>
      </c>
      <c r="BK493" s="1510">
        <f>+BK478-BK490-BK494</f>
        <v/>
      </c>
      <c r="BL493" s="1510">
        <f>+BL478-BL490-BL494</f>
        <v/>
      </c>
      <c r="BM493" s="1510">
        <f>+BM478-BM490-BM494</f>
        <v/>
      </c>
      <c r="BN493" s="1518">
        <f>+BN478-BN490-BN494</f>
        <v/>
      </c>
      <c r="BO493" s="1510">
        <f>+BO478-BO490-BO494</f>
        <v/>
      </c>
      <c r="BP493" s="1510">
        <f>+BP478-BP490-BP494</f>
        <v/>
      </c>
      <c r="BQ493" s="1511">
        <f>+BQ478-BQ490-BQ494</f>
        <v/>
      </c>
      <c r="BR493" s="1479" t="n">
        <v>-14</v>
      </c>
      <c r="BS493" s="1455">
        <f>SUM(BO493,BP493,BQ493,BR493)</f>
        <v/>
      </c>
      <c r="BT493" s="1479" t="n">
        <v>-20</v>
      </c>
      <c r="BU493" s="1479" t="n">
        <v>-20</v>
      </c>
      <c r="BV493" s="1479" t="n">
        <v>-20</v>
      </c>
      <c r="BW493" s="1479" t="n">
        <v>-20</v>
      </c>
      <c r="BX493" s="1455">
        <f>SUM(BT493,BU493,BV493,BW493)</f>
        <v/>
      </c>
      <c r="BY493" s="1480" t="n">
        <v>-80</v>
      </c>
      <c r="BZ493" s="1480" t="n">
        <v>-80</v>
      </c>
      <c r="CA493" s="1480" t="n">
        <v>-80</v>
      </c>
      <c r="CB493" s="1364" t="n"/>
    </row>
    <row r="494" ht="14.4" customFormat="1" customHeight="1" s="1359">
      <c r="A494" s="1608" t="inlineStr">
        <is>
          <t>Non-GAAP Earnings Before Taxes</t>
        </is>
      </c>
      <c r="B494" s="1516" t="n"/>
      <c r="C494" s="1402">
        <f>C497+C498</f>
        <v/>
      </c>
      <c r="D494" s="1402">
        <f>D497+D498</f>
        <v/>
      </c>
      <c r="E494" s="1402">
        <f>E497+E498</f>
        <v/>
      </c>
      <c r="F494" s="1402">
        <f>F497+F498</f>
        <v/>
      </c>
      <c r="G494" s="1403">
        <f>G497+G498</f>
        <v/>
      </c>
      <c r="H494" s="1403">
        <f>H497+H498</f>
        <v/>
      </c>
      <c r="I494" s="1403">
        <f>I497+I498</f>
        <v/>
      </c>
      <c r="J494" s="1403">
        <f>J497+J498</f>
        <v/>
      </c>
      <c r="K494" s="1402">
        <f>K497+K498</f>
        <v/>
      </c>
      <c r="L494" s="1403">
        <f>L497+L498</f>
        <v/>
      </c>
      <c r="M494" s="1403">
        <f>M497+M498</f>
        <v/>
      </c>
      <c r="N494" s="1403">
        <f>N497+N498</f>
        <v/>
      </c>
      <c r="O494" s="1403">
        <f>O497+O498</f>
        <v/>
      </c>
      <c r="P494" s="1402">
        <f>P497+P498</f>
        <v/>
      </c>
      <c r="Q494" s="1403">
        <f>Q497+Q498</f>
        <v/>
      </c>
      <c r="R494" s="1403">
        <f>R497+R498</f>
        <v/>
      </c>
      <c r="S494" s="1403">
        <f>S497+S498</f>
        <v/>
      </c>
      <c r="T494" s="1403">
        <f>T497+T498</f>
        <v/>
      </c>
      <c r="U494" s="1402">
        <f>U497+U498</f>
        <v/>
      </c>
      <c r="V494" s="1403">
        <f>V497+V498</f>
        <v/>
      </c>
      <c r="W494" s="1403">
        <f>W497+W498</f>
        <v/>
      </c>
      <c r="X494" s="1403">
        <f>X497+X498</f>
        <v/>
      </c>
      <c r="Y494" s="1403">
        <f>Y497+Y498</f>
        <v/>
      </c>
      <c r="Z494" s="1402">
        <f>Z497+Z498</f>
        <v/>
      </c>
      <c r="AA494" s="1403">
        <f>AA497+AA498</f>
        <v/>
      </c>
      <c r="AB494" s="1403">
        <f>AB497+AB498</f>
        <v/>
      </c>
      <c r="AC494" s="1403">
        <f>AC497+AC498</f>
        <v/>
      </c>
      <c r="AD494" s="1403">
        <f>AD497+AD498</f>
        <v/>
      </c>
      <c r="AE494" s="1402">
        <f>AE497+AE498</f>
        <v/>
      </c>
      <c r="AF494" s="1403">
        <f>AF497+AF498</f>
        <v/>
      </c>
      <c r="AG494" s="1403">
        <f>AG497+AG498</f>
        <v/>
      </c>
      <c r="AH494" s="1403">
        <f>AH497+AH498</f>
        <v/>
      </c>
      <c r="AI494" s="1403">
        <f>AI497+AI498</f>
        <v/>
      </c>
      <c r="AJ494" s="1402">
        <f>AJ497+AJ498</f>
        <v/>
      </c>
      <c r="AK494" s="1403">
        <f>AK497+AK498</f>
        <v/>
      </c>
      <c r="AL494" s="1403">
        <f>AL497+AL498</f>
        <v/>
      </c>
      <c r="AM494" s="1403">
        <f>AM497+AM498</f>
        <v/>
      </c>
      <c r="AN494" s="1403">
        <f>AN497+AN498</f>
        <v/>
      </c>
      <c r="AO494" s="1402">
        <f>AO497+AO498</f>
        <v/>
      </c>
      <c r="AP494" s="1403">
        <f>AP497+AP498</f>
        <v/>
      </c>
      <c r="AQ494" s="1403">
        <f>AQ497+AQ498</f>
        <v/>
      </c>
      <c r="AR494" s="1403">
        <f>AR497+AR498</f>
        <v/>
      </c>
      <c r="AS494" s="1403">
        <f>AS497+AS498</f>
        <v/>
      </c>
      <c r="AT494" s="1402">
        <f>AT497+AT498</f>
        <v/>
      </c>
      <c r="AU494" s="1403">
        <f>AU497+AU498</f>
        <v/>
      </c>
      <c r="AV494" s="1403">
        <f>AV497+AV498</f>
        <v/>
      </c>
      <c r="AW494" s="1403">
        <f>AW497+AW498</f>
        <v/>
      </c>
      <c r="AX494" s="1403">
        <f>AX497+AX498</f>
        <v/>
      </c>
      <c r="AY494" s="1402">
        <f>AY497+AY498</f>
        <v/>
      </c>
      <c r="AZ494" s="1403">
        <f>AZ497+AZ498</f>
        <v/>
      </c>
      <c r="BA494" s="1403">
        <f>BA497+BA498</f>
        <v/>
      </c>
      <c r="BB494" s="1403">
        <f>BB497+BB498</f>
        <v/>
      </c>
      <c r="BC494" s="1403">
        <f>BC497+BC498</f>
        <v/>
      </c>
      <c r="BD494" s="1402">
        <f>BD497+BD498</f>
        <v/>
      </c>
      <c r="BE494" s="1403">
        <f>BE497+BE498</f>
        <v/>
      </c>
      <c r="BF494" s="1403">
        <f>BF497+BF498</f>
        <v/>
      </c>
      <c r="BG494" s="1403">
        <f>BG497+BG498</f>
        <v/>
      </c>
      <c r="BH494" s="1403">
        <f>BH497+BH498</f>
        <v/>
      </c>
      <c r="BI494" s="1402">
        <f>BI497+BI498</f>
        <v/>
      </c>
      <c r="BJ494" s="1403">
        <f>BJ497+BJ498</f>
        <v/>
      </c>
      <c r="BK494" s="1403">
        <f>BK497+BK498</f>
        <v/>
      </c>
      <c r="BL494" s="1403">
        <f>BL497+BL498</f>
        <v/>
      </c>
      <c r="BM494" s="1403">
        <f>BM497+BM498</f>
        <v/>
      </c>
      <c r="BN494" s="1402">
        <f>BN497+BN498</f>
        <v/>
      </c>
      <c r="BO494" s="1403">
        <f>BO497+BO498</f>
        <v/>
      </c>
      <c r="BP494" s="1403">
        <f>BP497+BP498</f>
        <v/>
      </c>
      <c r="BQ494" s="1406">
        <f>BQ497+BQ498</f>
        <v/>
      </c>
      <c r="BR494" s="1404">
        <f>BR478-BR490-BR493</f>
        <v/>
      </c>
      <c r="BS494" s="1405">
        <f>BS478-BS490-BS493</f>
        <v/>
      </c>
      <c r="BT494" s="1404">
        <f>BT478-BT490-BT493</f>
        <v/>
      </c>
      <c r="BU494" s="1404">
        <f>BU478-BU490-BU493</f>
        <v/>
      </c>
      <c r="BV494" s="1404">
        <f>BV478-BV490-BV493</f>
        <v/>
      </c>
      <c r="BW494" s="1404">
        <f>BW478-BW490-BW493</f>
        <v/>
      </c>
      <c r="BX494" s="1405">
        <f>BX478-BX490-BX493</f>
        <v/>
      </c>
      <c r="BY494" s="1405">
        <f>BY478-BY490-BY493</f>
        <v/>
      </c>
      <c r="BZ494" s="1405">
        <f>BZ478-BZ490-BZ493</f>
        <v/>
      </c>
      <c r="CA494" s="1405">
        <f>CA478-CA490-CA493</f>
        <v/>
      </c>
      <c r="CB494" s="1364" t="n"/>
    </row>
    <row r="495" hidden="1" outlineLevel="1" ht="14.4" customFormat="1" customHeight="1" s="1359">
      <c r="A495" s="1620" t="inlineStr">
        <is>
          <t>GAAP Provision for Taxes</t>
        </is>
      </c>
      <c r="B495" s="1581" t="n"/>
      <c r="C495" s="1621">
        <f>C359</f>
        <v/>
      </c>
      <c r="D495" s="1621">
        <f>D359</f>
        <v/>
      </c>
      <c r="E495" s="1621">
        <f>E359</f>
        <v/>
      </c>
      <c r="F495" s="1621">
        <f>F359</f>
        <v/>
      </c>
      <c r="G495" s="1622">
        <f>G359</f>
        <v/>
      </c>
      <c r="H495" s="1622">
        <f>H359</f>
        <v/>
      </c>
      <c r="I495" s="1622">
        <f>I359</f>
        <v/>
      </c>
      <c r="J495" s="1622">
        <f>J359</f>
        <v/>
      </c>
      <c r="K495" s="1621">
        <f>K359</f>
        <v/>
      </c>
      <c r="L495" s="1622">
        <f>L359</f>
        <v/>
      </c>
      <c r="M495" s="1622">
        <f>M359</f>
        <v/>
      </c>
      <c r="N495" s="1622">
        <f>N359</f>
        <v/>
      </c>
      <c r="O495" s="1622">
        <f>O359</f>
        <v/>
      </c>
      <c r="P495" s="1621">
        <f>P359</f>
        <v/>
      </c>
      <c r="Q495" s="1622">
        <f>Q359</f>
        <v/>
      </c>
      <c r="R495" s="1622">
        <f>R359</f>
        <v/>
      </c>
      <c r="S495" s="1622">
        <f>S359</f>
        <v/>
      </c>
      <c r="T495" s="1622">
        <f>T359</f>
        <v/>
      </c>
      <c r="U495" s="1621">
        <f>U359</f>
        <v/>
      </c>
      <c r="V495" s="1622">
        <f>V359</f>
        <v/>
      </c>
      <c r="W495" s="1622">
        <f>W359</f>
        <v/>
      </c>
      <c r="X495" s="1622">
        <f>X359</f>
        <v/>
      </c>
      <c r="Y495" s="1622">
        <f>Y359</f>
        <v/>
      </c>
      <c r="Z495" s="1621">
        <f>Z359</f>
        <v/>
      </c>
      <c r="AA495" s="1622">
        <f>AA359</f>
        <v/>
      </c>
      <c r="AB495" s="1622">
        <f>AB359</f>
        <v/>
      </c>
      <c r="AC495" s="1622">
        <f>AC359</f>
        <v/>
      </c>
      <c r="AD495" s="1622">
        <f>AD359</f>
        <v/>
      </c>
      <c r="AE495" s="1621">
        <f>AE359</f>
        <v/>
      </c>
      <c r="AF495" s="1622">
        <f>AF359</f>
        <v/>
      </c>
      <c r="AG495" s="1622">
        <f>AG359</f>
        <v/>
      </c>
      <c r="AH495" s="1622">
        <f>AH359</f>
        <v/>
      </c>
      <c r="AI495" s="1622">
        <f>AI359</f>
        <v/>
      </c>
      <c r="AJ495" s="1621">
        <f>AJ359</f>
        <v/>
      </c>
      <c r="AK495" s="1622">
        <f>AK359</f>
        <v/>
      </c>
      <c r="AL495" s="1622">
        <f>AL359</f>
        <v/>
      </c>
      <c r="AM495" s="1622">
        <f>AM359</f>
        <v/>
      </c>
      <c r="AN495" s="1622">
        <f>AN359</f>
        <v/>
      </c>
      <c r="AO495" s="1621">
        <f>AO359</f>
        <v/>
      </c>
      <c r="AP495" s="1622">
        <f>AP359</f>
        <v/>
      </c>
      <c r="AQ495" s="1622">
        <f>AQ359</f>
        <v/>
      </c>
      <c r="AR495" s="1622">
        <f>AR359</f>
        <v/>
      </c>
      <c r="AS495" s="1622">
        <f>AS359</f>
        <v/>
      </c>
      <c r="AT495" s="1621">
        <f>AT359</f>
        <v/>
      </c>
      <c r="AU495" s="1622">
        <f>AU359</f>
        <v/>
      </c>
      <c r="AV495" s="1622">
        <f>AV359</f>
        <v/>
      </c>
      <c r="AW495" s="1622">
        <f>AW359</f>
        <v/>
      </c>
      <c r="AX495" s="1622">
        <f>AX359</f>
        <v/>
      </c>
      <c r="AY495" s="1621">
        <f>AY359</f>
        <v/>
      </c>
      <c r="AZ495" s="1622">
        <f>AZ359</f>
        <v/>
      </c>
      <c r="BA495" s="1622">
        <f>BA359</f>
        <v/>
      </c>
      <c r="BB495" s="1622">
        <f>BB359</f>
        <v/>
      </c>
      <c r="BC495" s="1622">
        <f>BC359</f>
        <v/>
      </c>
      <c r="BD495" s="1621">
        <f>BD359</f>
        <v/>
      </c>
      <c r="BE495" s="1622">
        <f>BE359</f>
        <v/>
      </c>
      <c r="BF495" s="1622">
        <f>BF359</f>
        <v/>
      </c>
      <c r="BG495" s="1622">
        <f>BG359</f>
        <v/>
      </c>
      <c r="BH495" s="1622">
        <f>BH359</f>
        <v/>
      </c>
      <c r="BI495" s="1621">
        <f>BI359</f>
        <v/>
      </c>
      <c r="BJ495" s="1622">
        <f>BJ359</f>
        <v/>
      </c>
      <c r="BK495" s="1622">
        <f>BK359</f>
        <v/>
      </c>
      <c r="BL495" s="1622">
        <f>BL359</f>
        <v/>
      </c>
      <c r="BM495" s="1622">
        <f>BM359</f>
        <v/>
      </c>
      <c r="BN495" s="1621">
        <f>BN359</f>
        <v/>
      </c>
      <c r="BO495" s="1622">
        <f>BO359</f>
        <v/>
      </c>
      <c r="BP495" s="1622">
        <f>BP359</f>
        <v/>
      </c>
      <c r="BQ495" s="1623">
        <f>BQ359</f>
        <v/>
      </c>
      <c r="BR495" s="1622">
        <f>BR497+BR496</f>
        <v/>
      </c>
      <c r="BS495" s="1621">
        <f>SUM(BO495,BP495,BQ495,BR495)</f>
        <v/>
      </c>
      <c r="BT495" s="1622">
        <f>BT497+BT496</f>
        <v/>
      </c>
      <c r="BU495" s="1622">
        <f>BU497+BU496</f>
        <v/>
      </c>
      <c r="BV495" s="1622">
        <f>BV497+BV496</f>
        <v/>
      </c>
      <c r="BW495" s="1622">
        <f>BW497+BW496</f>
        <v/>
      </c>
      <c r="BX495" s="1621">
        <f>SUM(BT495,BU495,BV495,BW495)</f>
        <v/>
      </c>
      <c r="BY495" s="1621">
        <f>BY497+BY496</f>
        <v/>
      </c>
      <c r="BZ495" s="1621">
        <f>BZ497+BZ496</f>
        <v/>
      </c>
      <c r="CA495" s="1621">
        <f>CA497+CA496</f>
        <v/>
      </c>
      <c r="CB495" s="1364" t="n"/>
    </row>
    <row r="496" hidden="1" outlineLevel="1" ht="14.4" customFormat="1" customHeight="1" s="1359">
      <c r="A496" s="1595" t="inlineStr">
        <is>
          <t>Non-GAAP Adjustments to Income Taxes</t>
        </is>
      </c>
      <c r="B496" s="1514" t="n"/>
      <c r="C496" s="1601">
        <f>-C450</f>
        <v/>
      </c>
      <c r="D496" s="1601">
        <f>-D450</f>
        <v/>
      </c>
      <c r="E496" s="1601">
        <f>-E450</f>
        <v/>
      </c>
      <c r="F496" s="1601">
        <f>-F450</f>
        <v/>
      </c>
      <c r="G496" s="1603">
        <f>-G450</f>
        <v/>
      </c>
      <c r="H496" s="1603">
        <f>-H450</f>
        <v/>
      </c>
      <c r="I496" s="1603">
        <f>-I450</f>
        <v/>
      </c>
      <c r="J496" s="1603">
        <f>-J450</f>
        <v/>
      </c>
      <c r="K496" s="1601">
        <f>-K450</f>
        <v/>
      </c>
      <c r="L496" s="1603">
        <f>-L450</f>
        <v/>
      </c>
      <c r="M496" s="1603">
        <f>-M450</f>
        <v/>
      </c>
      <c r="N496" s="1603">
        <f>-N450</f>
        <v/>
      </c>
      <c r="O496" s="1603">
        <f>-O450</f>
        <v/>
      </c>
      <c r="P496" s="1601">
        <f>-P450</f>
        <v/>
      </c>
      <c r="Q496" s="1603">
        <f>-Q450</f>
        <v/>
      </c>
      <c r="R496" s="1603">
        <f>-R450</f>
        <v/>
      </c>
      <c r="S496" s="1603">
        <f>-S450</f>
        <v/>
      </c>
      <c r="T496" s="1603">
        <f>-T450</f>
        <v/>
      </c>
      <c r="U496" s="1601">
        <f>-U450</f>
        <v/>
      </c>
      <c r="V496" s="1603">
        <f>-V450</f>
        <v/>
      </c>
      <c r="W496" s="1603">
        <f>-W450</f>
        <v/>
      </c>
      <c r="X496" s="1603">
        <f>-X450</f>
        <v/>
      </c>
      <c r="Y496" s="1603">
        <f>-Y450</f>
        <v/>
      </c>
      <c r="Z496" s="1601">
        <f>-Z450</f>
        <v/>
      </c>
      <c r="AA496" s="1603">
        <f>-AA450</f>
        <v/>
      </c>
      <c r="AB496" s="1603">
        <f>-AB450</f>
        <v/>
      </c>
      <c r="AC496" s="1603">
        <f>-AC450</f>
        <v/>
      </c>
      <c r="AD496" s="1603">
        <f>-AD450</f>
        <v/>
      </c>
      <c r="AE496" s="1601">
        <f>-AE450</f>
        <v/>
      </c>
      <c r="AF496" s="1603">
        <f>-AF450</f>
        <v/>
      </c>
      <c r="AG496" s="1603">
        <f>-AG450</f>
        <v/>
      </c>
      <c r="AH496" s="1603">
        <f>-AH450</f>
        <v/>
      </c>
      <c r="AI496" s="1603">
        <f>-AI450</f>
        <v/>
      </c>
      <c r="AJ496" s="1601">
        <f>-AJ450</f>
        <v/>
      </c>
      <c r="AK496" s="1603">
        <f>-AK450</f>
        <v/>
      </c>
      <c r="AL496" s="1603">
        <f>-AL450</f>
        <v/>
      </c>
      <c r="AM496" s="1603">
        <f>-AM450</f>
        <v/>
      </c>
      <c r="AN496" s="1603">
        <f>-AN450</f>
        <v/>
      </c>
      <c r="AO496" s="1601">
        <f>-AO450</f>
        <v/>
      </c>
      <c r="AP496" s="1603">
        <f>-AP450</f>
        <v/>
      </c>
      <c r="AQ496" s="1603">
        <f>-AQ450</f>
        <v/>
      </c>
      <c r="AR496" s="1603">
        <f>-AR450</f>
        <v/>
      </c>
      <c r="AS496" s="1603">
        <f>-AS450</f>
        <v/>
      </c>
      <c r="AT496" s="1601">
        <f>-AT450</f>
        <v/>
      </c>
      <c r="AU496" s="1603">
        <f>-AU450</f>
        <v/>
      </c>
      <c r="AV496" s="1603">
        <f>-AV450</f>
        <v/>
      </c>
      <c r="AW496" s="1603">
        <f>-AW450</f>
        <v/>
      </c>
      <c r="AX496" s="1603">
        <f>-AX450</f>
        <v/>
      </c>
      <c r="AY496" s="1601">
        <f>-AY450</f>
        <v/>
      </c>
      <c r="AZ496" s="1603">
        <f>-AZ450</f>
        <v/>
      </c>
      <c r="BA496" s="1603">
        <f>-BA450</f>
        <v/>
      </c>
      <c r="BB496" s="1603">
        <f>-BB450</f>
        <v/>
      </c>
      <c r="BC496" s="1603">
        <f>-BC450</f>
        <v/>
      </c>
      <c r="BD496" s="1601">
        <f>-BD450</f>
        <v/>
      </c>
      <c r="BE496" s="1603">
        <f>-BE450</f>
        <v/>
      </c>
      <c r="BF496" s="1603">
        <f>-BF450</f>
        <v/>
      </c>
      <c r="BG496" s="1603">
        <f>-BG450</f>
        <v/>
      </c>
      <c r="BH496" s="1603">
        <f>-BH450</f>
        <v/>
      </c>
      <c r="BI496" s="1601">
        <f>-BI450</f>
        <v/>
      </c>
      <c r="BJ496" s="1603">
        <f>-BJ450</f>
        <v/>
      </c>
      <c r="BK496" s="1603">
        <f>-BK450</f>
        <v/>
      </c>
      <c r="BL496" s="1603">
        <f>-BL450</f>
        <v/>
      </c>
      <c r="BM496" s="1603">
        <f>-BM450</f>
        <v/>
      </c>
      <c r="BN496" s="1601">
        <f>-BN450</f>
        <v/>
      </c>
      <c r="BO496" s="1603">
        <f>-BO450</f>
        <v/>
      </c>
      <c r="BP496" s="1603">
        <f>-BP450</f>
        <v/>
      </c>
      <c r="BQ496" s="1617">
        <f>-BQ450</f>
        <v/>
      </c>
      <c r="BR496" s="1603">
        <f>-SUM(BR499:BR503)*BR510</f>
        <v/>
      </c>
      <c r="BS496" s="1601">
        <f>SUM(BO496,BP496,BQ496,BR496)</f>
        <v/>
      </c>
      <c r="BT496" s="1603">
        <f>-SUM(BT499:BT503)*BT510</f>
        <v/>
      </c>
      <c r="BU496" s="1603">
        <f>-SUM(BU499:BU503)*BU510</f>
        <v/>
      </c>
      <c r="BV496" s="1603">
        <f>-SUM(BV499:BV503)*BV510</f>
        <v/>
      </c>
      <c r="BW496" s="1603">
        <f>-SUM(BW499:BW503)*BW510</f>
        <v/>
      </c>
      <c r="BX496" s="1601">
        <f>SUM(BT496,BU496,BV496,BW496)</f>
        <v/>
      </c>
      <c r="BY496" s="1601">
        <f>-SUM(BY499:BY503)*BY510</f>
        <v/>
      </c>
      <c r="BZ496" s="1601">
        <f>-SUM(BZ499:BZ503)*BZ510</f>
        <v/>
      </c>
      <c r="CA496" s="1601">
        <f>-SUM(CA499:CA503)*CA510</f>
        <v/>
      </c>
      <c r="CB496" s="1364" t="n"/>
    </row>
    <row r="497" collapsed="1" ht="14.4" customFormat="1" customHeight="1" s="1359">
      <c r="A497" s="1605" t="inlineStr">
        <is>
          <t>Non-GAAP Provision for taxes</t>
        </is>
      </c>
      <c r="B497" s="1514" t="n"/>
      <c r="C497" s="1518">
        <f>C495-C496</f>
        <v/>
      </c>
      <c r="D497" s="1518">
        <f>D495-D496</f>
        <v/>
      </c>
      <c r="E497" s="1518">
        <f>E495-E496</f>
        <v/>
      </c>
      <c r="F497" s="1518">
        <f>F495-F496</f>
        <v/>
      </c>
      <c r="G497" s="1510">
        <f>G495-G496</f>
        <v/>
      </c>
      <c r="H497" s="1510">
        <f>H495-H496</f>
        <v/>
      </c>
      <c r="I497" s="1510">
        <f>I495-I496</f>
        <v/>
      </c>
      <c r="J497" s="1510">
        <f>J495-J496</f>
        <v/>
      </c>
      <c r="K497" s="1518">
        <f>K495-K496</f>
        <v/>
      </c>
      <c r="L497" s="1510">
        <f>L495-L496</f>
        <v/>
      </c>
      <c r="M497" s="1510">
        <f>M495-M496</f>
        <v/>
      </c>
      <c r="N497" s="1510">
        <f>N495-N496</f>
        <v/>
      </c>
      <c r="O497" s="1510">
        <f>O495-O496</f>
        <v/>
      </c>
      <c r="P497" s="1518">
        <f>P495-P496</f>
        <v/>
      </c>
      <c r="Q497" s="1510">
        <f>Q495-Q496</f>
        <v/>
      </c>
      <c r="R497" s="1510">
        <f>R495-R496</f>
        <v/>
      </c>
      <c r="S497" s="1510">
        <f>S495-S496</f>
        <v/>
      </c>
      <c r="T497" s="1510">
        <f>T495-T496</f>
        <v/>
      </c>
      <c r="U497" s="1518">
        <f>U495-U496</f>
        <v/>
      </c>
      <c r="V497" s="1510">
        <f>V495-V496</f>
        <v/>
      </c>
      <c r="W497" s="1510">
        <f>W495-W496</f>
        <v/>
      </c>
      <c r="X497" s="1510">
        <f>X495-X496</f>
        <v/>
      </c>
      <c r="Y497" s="1510">
        <f>Y495-Y496</f>
        <v/>
      </c>
      <c r="Z497" s="1518">
        <f>Z495-Z496</f>
        <v/>
      </c>
      <c r="AA497" s="1510">
        <f>AA495-AA496</f>
        <v/>
      </c>
      <c r="AB497" s="1510">
        <f>AB495-AB496</f>
        <v/>
      </c>
      <c r="AC497" s="1510">
        <f>AC495-AC496</f>
        <v/>
      </c>
      <c r="AD497" s="1510">
        <f>AD495-AD496</f>
        <v/>
      </c>
      <c r="AE497" s="1518">
        <f>AE495-AE496</f>
        <v/>
      </c>
      <c r="AF497" s="1510">
        <f>AF495-AF496</f>
        <v/>
      </c>
      <c r="AG497" s="1510">
        <f>AG495-AG496</f>
        <v/>
      </c>
      <c r="AH497" s="1510">
        <f>AH495-AH496</f>
        <v/>
      </c>
      <c r="AI497" s="1510">
        <f>AI495-AI496</f>
        <v/>
      </c>
      <c r="AJ497" s="1518">
        <f>AJ495-AJ496</f>
        <v/>
      </c>
      <c r="AK497" s="1510">
        <f>AK495-AK496</f>
        <v/>
      </c>
      <c r="AL497" s="1510">
        <f>AL495-AL496</f>
        <v/>
      </c>
      <c r="AM497" s="1510">
        <f>AM495-AM496</f>
        <v/>
      </c>
      <c r="AN497" s="1510">
        <f>AN495-AN496</f>
        <v/>
      </c>
      <c r="AO497" s="1518">
        <f>AO495-AO496</f>
        <v/>
      </c>
      <c r="AP497" s="1510">
        <f>AP495-AP496</f>
        <v/>
      </c>
      <c r="AQ497" s="1510">
        <f>AQ495-AQ496</f>
        <v/>
      </c>
      <c r="AR497" s="1510">
        <f>AR495-AR496</f>
        <v/>
      </c>
      <c r="AS497" s="1510">
        <f>AS495-AS496</f>
        <v/>
      </c>
      <c r="AT497" s="1518">
        <f>AT495-AT496</f>
        <v/>
      </c>
      <c r="AU497" s="1510">
        <f>AU495-AU496</f>
        <v/>
      </c>
      <c r="AV497" s="1510">
        <f>AV495-AV496</f>
        <v/>
      </c>
      <c r="AW497" s="1510">
        <f>AW495-AW496</f>
        <v/>
      </c>
      <c r="AX497" s="1510">
        <f>AX495-AX496</f>
        <v/>
      </c>
      <c r="AY497" s="1518">
        <f>AY495-AY496</f>
        <v/>
      </c>
      <c r="AZ497" s="1510">
        <f>AZ495-AZ496</f>
        <v/>
      </c>
      <c r="BA497" s="1510">
        <f>BA495-BA496</f>
        <v/>
      </c>
      <c r="BB497" s="1510">
        <f>BB495-BB496</f>
        <v/>
      </c>
      <c r="BC497" s="1510">
        <f>BC495-BC496</f>
        <v/>
      </c>
      <c r="BD497" s="1518">
        <f>BD495-BD496</f>
        <v/>
      </c>
      <c r="BE497" s="1510">
        <f>BE495-BE496</f>
        <v/>
      </c>
      <c r="BF497" s="1510">
        <f>BF495-BF496</f>
        <v/>
      </c>
      <c r="BG497" s="1510">
        <f>BG495-BG496</f>
        <v/>
      </c>
      <c r="BH497" s="1510">
        <f>BH495-BH496</f>
        <v/>
      </c>
      <c r="BI497" s="1518">
        <f>BI495-BI496</f>
        <v/>
      </c>
      <c r="BJ497" s="1510">
        <f>BJ495-BJ496</f>
        <v/>
      </c>
      <c r="BK497" s="1510">
        <f>BK495-BK496</f>
        <v/>
      </c>
      <c r="BL497" s="1510">
        <f>BL495-BL496</f>
        <v/>
      </c>
      <c r="BM497" s="1510">
        <f>BM495-BM496</f>
        <v/>
      </c>
      <c r="BN497" s="1518">
        <f>BN495-BN496</f>
        <v/>
      </c>
      <c r="BO497" s="1510">
        <f>BO495-BO496</f>
        <v/>
      </c>
      <c r="BP497" s="1510">
        <f>BP495-BP496</f>
        <v/>
      </c>
      <c r="BQ497" s="1511">
        <f>BQ495-BQ496</f>
        <v/>
      </c>
      <c r="BR497" s="1456">
        <f>BR494*BR509</f>
        <v/>
      </c>
      <c r="BS497" s="1455">
        <f>SUM(BO497,BP497,BQ497,BR497)</f>
        <v/>
      </c>
      <c r="BT497" s="1456">
        <f>BT494*BT509</f>
        <v/>
      </c>
      <c r="BU497" s="1456">
        <f>BU494*BU509</f>
        <v/>
      </c>
      <c r="BV497" s="1456">
        <f>BV494*BV509</f>
        <v/>
      </c>
      <c r="BW497" s="1456">
        <f>BW494*BW509</f>
        <v/>
      </c>
      <c r="BX497" s="1455">
        <f>SUM(BT497,BU497,BV497,BW497)</f>
        <v/>
      </c>
      <c r="BY497" s="1455">
        <f>BY494*BY509</f>
        <v/>
      </c>
      <c r="BZ497" s="1455">
        <f>BZ494*BZ509</f>
        <v/>
      </c>
      <c r="CA497" s="1455">
        <f>CA494*CA509</f>
        <v/>
      </c>
      <c r="CB497" s="1364" t="n"/>
    </row>
    <row r="498" ht="14.4" customFormat="1" customHeight="1" s="1372">
      <c r="A498" s="1624" t="inlineStr">
        <is>
          <t>Non-GAAP Net Income to common shareholders</t>
        </is>
      </c>
      <c r="B498" s="1574" t="n"/>
      <c r="C498" s="1575">
        <f>C390</f>
        <v/>
      </c>
      <c r="D498" s="1575">
        <f>D390</f>
        <v/>
      </c>
      <c r="E498" s="1575">
        <f>E390</f>
        <v/>
      </c>
      <c r="F498" s="1575">
        <f>F390</f>
        <v/>
      </c>
      <c r="G498" s="1576">
        <f>G390</f>
        <v/>
      </c>
      <c r="H498" s="1576">
        <f>H390</f>
        <v/>
      </c>
      <c r="I498" s="1576">
        <f>I390</f>
        <v/>
      </c>
      <c r="J498" s="1576">
        <f>J390</f>
        <v/>
      </c>
      <c r="K498" s="1575">
        <f>K390</f>
        <v/>
      </c>
      <c r="L498" s="1576">
        <f>L390</f>
        <v/>
      </c>
      <c r="M498" s="1576">
        <f>M390</f>
        <v/>
      </c>
      <c r="N498" s="1576">
        <f>N390</f>
        <v/>
      </c>
      <c r="O498" s="1576">
        <f>O390</f>
        <v/>
      </c>
      <c r="P498" s="1575">
        <f>P390</f>
        <v/>
      </c>
      <c r="Q498" s="1576">
        <f>Q390</f>
        <v/>
      </c>
      <c r="R498" s="1576">
        <f>R390</f>
        <v/>
      </c>
      <c r="S498" s="1576">
        <f>S390</f>
        <v/>
      </c>
      <c r="T498" s="1576">
        <f>T390</f>
        <v/>
      </c>
      <c r="U498" s="1575">
        <f>U390</f>
        <v/>
      </c>
      <c r="V498" s="1576">
        <f>V390</f>
        <v/>
      </c>
      <c r="W498" s="1576">
        <f>W390</f>
        <v/>
      </c>
      <c r="X498" s="1576">
        <f>X390</f>
        <v/>
      </c>
      <c r="Y498" s="1576">
        <f>Y390</f>
        <v/>
      </c>
      <c r="Z498" s="1575">
        <f>Z390</f>
        <v/>
      </c>
      <c r="AA498" s="1576">
        <f>AA390</f>
        <v/>
      </c>
      <c r="AB498" s="1576">
        <f>AB390</f>
        <v/>
      </c>
      <c r="AC498" s="1576">
        <f>AC390</f>
        <v/>
      </c>
      <c r="AD498" s="1576">
        <f>AD390</f>
        <v/>
      </c>
      <c r="AE498" s="1575">
        <f>AE390</f>
        <v/>
      </c>
      <c r="AF498" s="1576">
        <f>AF390</f>
        <v/>
      </c>
      <c r="AG498" s="1576">
        <f>AG390</f>
        <v/>
      </c>
      <c r="AH498" s="1576">
        <f>AH390</f>
        <v/>
      </c>
      <c r="AI498" s="1576">
        <f>AI390</f>
        <v/>
      </c>
      <c r="AJ498" s="1575">
        <f>AJ390</f>
        <v/>
      </c>
      <c r="AK498" s="1576">
        <f>AK390</f>
        <v/>
      </c>
      <c r="AL498" s="1576">
        <f>AL390</f>
        <v/>
      </c>
      <c r="AM498" s="1576">
        <f>AM390</f>
        <v/>
      </c>
      <c r="AN498" s="1576">
        <f>AN390</f>
        <v/>
      </c>
      <c r="AO498" s="1575">
        <f>AO390</f>
        <v/>
      </c>
      <c r="AP498" s="1576">
        <f>AP390</f>
        <v/>
      </c>
      <c r="AQ498" s="1576">
        <f>AQ390</f>
        <v/>
      </c>
      <c r="AR498" s="1576">
        <f>AR390</f>
        <v/>
      </c>
      <c r="AS498" s="1576">
        <f>AS390</f>
        <v/>
      </c>
      <c r="AT498" s="1575">
        <f>AT390</f>
        <v/>
      </c>
      <c r="AU498" s="1576">
        <f>AU390</f>
        <v/>
      </c>
      <c r="AV498" s="1576">
        <f>AV390</f>
        <v/>
      </c>
      <c r="AW498" s="1576">
        <f>AW390</f>
        <v/>
      </c>
      <c r="AX498" s="1576">
        <f>AX390</f>
        <v/>
      </c>
      <c r="AY498" s="1575">
        <f>AY390</f>
        <v/>
      </c>
      <c r="AZ498" s="1576">
        <f>AZ390</f>
        <v/>
      </c>
      <c r="BA498" s="1576">
        <f>BA390</f>
        <v/>
      </c>
      <c r="BB498" s="1576">
        <f>BB390</f>
        <v/>
      </c>
      <c r="BC498" s="1576">
        <f>BC390</f>
        <v/>
      </c>
      <c r="BD498" s="1575">
        <f>BD390</f>
        <v/>
      </c>
      <c r="BE498" s="1576">
        <f>BE390</f>
        <v/>
      </c>
      <c r="BF498" s="1576">
        <f>BF390</f>
        <v/>
      </c>
      <c r="BG498" s="1576">
        <f>BG390</f>
        <v/>
      </c>
      <c r="BH498" s="1576">
        <f>BH390</f>
        <v/>
      </c>
      <c r="BI498" s="1575">
        <f>BI390</f>
        <v/>
      </c>
      <c r="BJ498" s="1576">
        <f>BJ390</f>
        <v/>
      </c>
      <c r="BK498" s="1576">
        <f>BK390</f>
        <v/>
      </c>
      <c r="BL498" s="1576">
        <f>BL390</f>
        <v/>
      </c>
      <c r="BM498" s="1576">
        <f>BM390</f>
        <v/>
      </c>
      <c r="BN498" s="1575">
        <f>BN390</f>
        <v/>
      </c>
      <c r="BO498" s="1576">
        <f>BO390</f>
        <v/>
      </c>
      <c r="BP498" s="1576">
        <f>BP390</f>
        <v/>
      </c>
      <c r="BQ498" s="1579">
        <f>BQ390</f>
        <v/>
      </c>
      <c r="BR498" s="1577">
        <f>BR494-BR497</f>
        <v/>
      </c>
      <c r="BS498" s="1578">
        <f>BS494-BS497</f>
        <v/>
      </c>
      <c r="BT498" s="1577">
        <f>BT494-BT497</f>
        <v/>
      </c>
      <c r="BU498" s="1577">
        <f>BU494-BU497</f>
        <v/>
      </c>
      <c r="BV498" s="1577">
        <f>BV494-BV497</f>
        <v/>
      </c>
      <c r="BW498" s="1577">
        <f>BW494-BW497</f>
        <v/>
      </c>
      <c r="BX498" s="1578">
        <f>BX494-BX497</f>
        <v/>
      </c>
      <c r="BY498" s="1578">
        <f>BY494-BY497</f>
        <v/>
      </c>
      <c r="BZ498" s="1578">
        <f>BZ494-BZ497</f>
        <v/>
      </c>
      <c r="CA498" s="1578">
        <f>CA494-CA497</f>
        <v/>
      </c>
      <c r="CB498" s="1375" t="n"/>
    </row>
    <row r="499" hidden="1" outlineLevel="1" ht="14.4" customFormat="1" customHeight="1" s="1372">
      <c r="A499" s="1625" t="inlineStr">
        <is>
          <t>SBC</t>
        </is>
      </c>
      <c r="B499" s="1581" t="n"/>
      <c r="C499" s="1626">
        <f>+C367</f>
        <v/>
      </c>
      <c r="D499" s="1626">
        <f>+D367</f>
        <v/>
      </c>
      <c r="E499" s="1626">
        <f>+E367</f>
        <v/>
      </c>
      <c r="F499" s="1626">
        <f>+F367</f>
        <v/>
      </c>
      <c r="G499" s="1627">
        <f>+G367</f>
        <v/>
      </c>
      <c r="H499" s="1627">
        <f>+H367</f>
        <v/>
      </c>
      <c r="I499" s="1627">
        <f>+I367</f>
        <v/>
      </c>
      <c r="J499" s="1627">
        <f>+J367</f>
        <v/>
      </c>
      <c r="K499" s="1626">
        <f>+K367</f>
        <v/>
      </c>
      <c r="L499" s="1627">
        <f>+L367</f>
        <v/>
      </c>
      <c r="M499" s="1627">
        <f>+M367</f>
        <v/>
      </c>
      <c r="N499" s="1627">
        <f>+N367</f>
        <v/>
      </c>
      <c r="O499" s="1627">
        <f>+O367</f>
        <v/>
      </c>
      <c r="P499" s="1626">
        <f>+P367</f>
        <v/>
      </c>
      <c r="Q499" s="1627">
        <f>+Q367</f>
        <v/>
      </c>
      <c r="R499" s="1627">
        <f>+R367</f>
        <v/>
      </c>
      <c r="S499" s="1627">
        <f>+S367</f>
        <v/>
      </c>
      <c r="T499" s="1627">
        <f>+T367</f>
        <v/>
      </c>
      <c r="U499" s="1626">
        <f>+U367</f>
        <v/>
      </c>
      <c r="V499" s="1627">
        <f>+V367</f>
        <v/>
      </c>
      <c r="W499" s="1627">
        <f>+W367</f>
        <v/>
      </c>
      <c r="X499" s="1627">
        <f>+X367</f>
        <v/>
      </c>
      <c r="Y499" s="1627">
        <f>+Y367</f>
        <v/>
      </c>
      <c r="Z499" s="1626">
        <f>+Z367</f>
        <v/>
      </c>
      <c r="AA499" s="1627">
        <f>+AA367</f>
        <v/>
      </c>
      <c r="AB499" s="1627">
        <f>+AB367</f>
        <v/>
      </c>
      <c r="AC499" s="1627">
        <f>+AC367</f>
        <v/>
      </c>
      <c r="AD499" s="1627">
        <f>+AD367</f>
        <v/>
      </c>
      <c r="AE499" s="1626">
        <f>+AE367</f>
        <v/>
      </c>
      <c r="AF499" s="1627">
        <f>+AF367</f>
        <v/>
      </c>
      <c r="AG499" s="1627">
        <f>+AG367</f>
        <v/>
      </c>
      <c r="AH499" s="1627">
        <f>+AH367</f>
        <v/>
      </c>
      <c r="AI499" s="1627">
        <f>+AI367</f>
        <v/>
      </c>
      <c r="AJ499" s="1626">
        <f>+AJ367</f>
        <v/>
      </c>
      <c r="AK499" s="1627">
        <f>+AK367</f>
        <v/>
      </c>
      <c r="AL499" s="1627">
        <f>+AL367</f>
        <v/>
      </c>
      <c r="AM499" s="1627">
        <f>+AM367</f>
        <v/>
      </c>
      <c r="AN499" s="1627">
        <f>+AN367</f>
        <v/>
      </c>
      <c r="AO499" s="1626">
        <f>+AO367</f>
        <v/>
      </c>
      <c r="AP499" s="1627">
        <f>+AP367</f>
        <v/>
      </c>
      <c r="AQ499" s="1627">
        <f>+AQ367</f>
        <v/>
      </c>
      <c r="AR499" s="1627">
        <f>+AR367</f>
        <v/>
      </c>
      <c r="AS499" s="1627">
        <f>+AS367</f>
        <v/>
      </c>
      <c r="AT499" s="1626">
        <f>+AT367</f>
        <v/>
      </c>
      <c r="AU499" s="1627">
        <f>+AU367</f>
        <v/>
      </c>
      <c r="AV499" s="1627">
        <f>+AV367</f>
        <v/>
      </c>
      <c r="AW499" s="1627">
        <f>+AW367</f>
        <v/>
      </c>
      <c r="AX499" s="1627">
        <f>+AX367</f>
        <v/>
      </c>
      <c r="AY499" s="1626">
        <f>+AY367</f>
        <v/>
      </c>
      <c r="AZ499" s="1627">
        <f>+AZ367</f>
        <v/>
      </c>
      <c r="BA499" s="1627">
        <f>+BA367</f>
        <v/>
      </c>
      <c r="BB499" s="1627">
        <f>+BB367</f>
        <v/>
      </c>
      <c r="BC499" s="1627">
        <f>+BC367</f>
        <v/>
      </c>
      <c r="BD499" s="1626">
        <f>+BD367</f>
        <v/>
      </c>
      <c r="BE499" s="1627">
        <f>+BE367</f>
        <v/>
      </c>
      <c r="BF499" s="1627">
        <f>+BF367</f>
        <v/>
      </c>
      <c r="BG499" s="1627">
        <f>+BG367</f>
        <v/>
      </c>
      <c r="BH499" s="1627">
        <f>+BH367</f>
        <v/>
      </c>
      <c r="BI499" s="1626">
        <f>+BI367</f>
        <v/>
      </c>
      <c r="BJ499" s="1627">
        <f>+BJ367</f>
        <v/>
      </c>
      <c r="BK499" s="1627">
        <f>+BK367</f>
        <v/>
      </c>
      <c r="BL499" s="1627">
        <f>+BL367</f>
        <v/>
      </c>
      <c r="BM499" s="1627">
        <f>+BM367</f>
        <v/>
      </c>
      <c r="BN499" s="1626">
        <f>+BN367</f>
        <v/>
      </c>
      <c r="BO499" s="1627">
        <f>+BO367</f>
        <v/>
      </c>
      <c r="BP499" s="1627">
        <f>+BP367</f>
        <v/>
      </c>
      <c r="BQ499" s="1628">
        <f>+BQ367</f>
        <v/>
      </c>
      <c r="BR499" s="1583">
        <f>-BR459+BR465+BR469+BR473</f>
        <v/>
      </c>
      <c r="BS499" s="1582">
        <f>SUM(BO499,BP499,BQ499,BR499)</f>
        <v/>
      </c>
      <c r="BT499" s="1583">
        <f>-BT459+BT465+BT469+BT473</f>
        <v/>
      </c>
      <c r="BU499" s="1583">
        <f>-BU459+BU465+BU469+BU473</f>
        <v/>
      </c>
      <c r="BV499" s="1583">
        <f>-BV459+BV465+BV469+BV473</f>
        <v/>
      </c>
      <c r="BW499" s="1583">
        <f>-BW459+BW465+BW469+BW473</f>
        <v/>
      </c>
      <c r="BX499" s="1582">
        <f>SUM(BT499,BU499,BV499,BW499)</f>
        <v/>
      </c>
      <c r="BY499" s="1582">
        <f>-BY459+BY465+BY469+BY473</f>
        <v/>
      </c>
      <c r="BZ499" s="1582">
        <f>-BZ459+BZ465+BZ469+BZ473</f>
        <v/>
      </c>
      <c r="CA499" s="1582">
        <f>-CA459+CA465+CA469+CA473</f>
        <v/>
      </c>
      <c r="CB499" s="1375" t="n"/>
    </row>
    <row r="500" hidden="1" outlineLevel="1" ht="14.4" customFormat="1" customHeight="1" s="1359">
      <c r="A500" s="1593" t="inlineStr">
        <is>
          <t>Intangible Amortization</t>
        </is>
      </c>
      <c r="B500" s="1512" t="n"/>
      <c r="C500" s="1379">
        <f>+C366</f>
        <v/>
      </c>
      <c r="D500" s="1379">
        <f>+D366</f>
        <v/>
      </c>
      <c r="E500" s="1379">
        <f>+E366</f>
        <v/>
      </c>
      <c r="F500" s="1379">
        <f>+F366</f>
        <v/>
      </c>
      <c r="G500" s="1361">
        <f>+G366</f>
        <v/>
      </c>
      <c r="H500" s="1361">
        <f>+H366</f>
        <v/>
      </c>
      <c r="I500" s="1361">
        <f>+I366</f>
        <v/>
      </c>
      <c r="J500" s="1361">
        <f>+J366</f>
        <v/>
      </c>
      <c r="K500" s="1379">
        <f>+K366</f>
        <v/>
      </c>
      <c r="L500" s="1361">
        <f>+L366</f>
        <v/>
      </c>
      <c r="M500" s="1361">
        <f>+M366</f>
        <v/>
      </c>
      <c r="N500" s="1361">
        <f>+N366</f>
        <v/>
      </c>
      <c r="O500" s="1361">
        <f>+O366</f>
        <v/>
      </c>
      <c r="P500" s="1379">
        <f>+P366</f>
        <v/>
      </c>
      <c r="Q500" s="1361">
        <f>+Q366</f>
        <v/>
      </c>
      <c r="R500" s="1361">
        <f>+R366</f>
        <v/>
      </c>
      <c r="S500" s="1361">
        <f>+S366</f>
        <v/>
      </c>
      <c r="T500" s="1361">
        <f>+T366</f>
        <v/>
      </c>
      <c r="U500" s="1379">
        <f>+U366</f>
        <v/>
      </c>
      <c r="V500" s="1361">
        <f>+V366</f>
        <v/>
      </c>
      <c r="W500" s="1361">
        <f>+W366</f>
        <v/>
      </c>
      <c r="X500" s="1361">
        <f>+X366</f>
        <v/>
      </c>
      <c r="Y500" s="1361">
        <f>+Y366</f>
        <v/>
      </c>
      <c r="Z500" s="1379">
        <f>+Z366</f>
        <v/>
      </c>
      <c r="AA500" s="1361">
        <f>+AA366</f>
        <v/>
      </c>
      <c r="AB500" s="1361">
        <f>+AB366</f>
        <v/>
      </c>
      <c r="AC500" s="1361">
        <f>+AC366</f>
        <v/>
      </c>
      <c r="AD500" s="1361">
        <f>+AD366</f>
        <v/>
      </c>
      <c r="AE500" s="1379">
        <f>+AE366</f>
        <v/>
      </c>
      <c r="AF500" s="1361">
        <f>+AF366</f>
        <v/>
      </c>
      <c r="AG500" s="1361">
        <f>+AG366</f>
        <v/>
      </c>
      <c r="AH500" s="1361">
        <f>+AH366</f>
        <v/>
      </c>
      <c r="AI500" s="1361">
        <f>+AI366</f>
        <v/>
      </c>
      <c r="AJ500" s="1379">
        <f>+AJ366</f>
        <v/>
      </c>
      <c r="AK500" s="1361">
        <f>+AK366</f>
        <v/>
      </c>
      <c r="AL500" s="1361">
        <f>+AL366</f>
        <v/>
      </c>
      <c r="AM500" s="1361">
        <f>+AM366</f>
        <v/>
      </c>
      <c r="AN500" s="1361">
        <f>+AN366</f>
        <v/>
      </c>
      <c r="AO500" s="1379">
        <f>+AO366</f>
        <v/>
      </c>
      <c r="AP500" s="1361">
        <f>+AP366</f>
        <v/>
      </c>
      <c r="AQ500" s="1361">
        <f>+AQ366</f>
        <v/>
      </c>
      <c r="AR500" s="1361">
        <f>+AR366</f>
        <v/>
      </c>
      <c r="AS500" s="1361">
        <f>+AS366</f>
        <v/>
      </c>
      <c r="AT500" s="1379">
        <f>+AT366</f>
        <v/>
      </c>
      <c r="AU500" s="1361">
        <f>+AU366</f>
        <v/>
      </c>
      <c r="AV500" s="1361">
        <f>+AV366</f>
        <v/>
      </c>
      <c r="AW500" s="1361">
        <f>+AW366</f>
        <v/>
      </c>
      <c r="AX500" s="1361">
        <f>+AX366</f>
        <v/>
      </c>
      <c r="AY500" s="1379">
        <f>+AY366</f>
        <v/>
      </c>
      <c r="AZ500" s="1361">
        <f>+AZ366</f>
        <v/>
      </c>
      <c r="BA500" s="1361">
        <f>+BA366</f>
        <v/>
      </c>
      <c r="BB500" s="1361">
        <f>+BB366</f>
        <v/>
      </c>
      <c r="BC500" s="1361">
        <f>+BC366</f>
        <v/>
      </c>
      <c r="BD500" s="1379">
        <f>+BD366</f>
        <v/>
      </c>
      <c r="BE500" s="1361">
        <f>+BE366</f>
        <v/>
      </c>
      <c r="BF500" s="1361">
        <f>+BF366</f>
        <v/>
      </c>
      <c r="BG500" s="1361">
        <f>+BG366</f>
        <v/>
      </c>
      <c r="BH500" s="1361">
        <f>+BH366</f>
        <v/>
      </c>
      <c r="BI500" s="1379">
        <f>+BI366</f>
        <v/>
      </c>
      <c r="BJ500" s="1361">
        <f>+BJ366</f>
        <v/>
      </c>
      <c r="BK500" s="1361">
        <f>+BK366</f>
        <v/>
      </c>
      <c r="BL500" s="1361">
        <f>+BL366</f>
        <v/>
      </c>
      <c r="BM500" s="1361">
        <f>+BM366</f>
        <v/>
      </c>
      <c r="BN500" s="1379">
        <f>+BN366</f>
        <v/>
      </c>
      <c r="BO500" s="1361">
        <f>+BO366</f>
        <v/>
      </c>
      <c r="BP500" s="1361">
        <f>+BP366</f>
        <v/>
      </c>
      <c r="BQ500" s="1363">
        <f>+BQ366</f>
        <v/>
      </c>
      <c r="BR500" s="1361">
        <f>-BR1170</f>
        <v/>
      </c>
      <c r="BS500" s="1379">
        <f>SUM(BO500,BP500,BQ500,BR500)</f>
        <v/>
      </c>
      <c r="BT500" s="1361">
        <f>-BT1170</f>
        <v/>
      </c>
      <c r="BU500" s="1361">
        <f>-BU1170</f>
        <v/>
      </c>
      <c r="BV500" s="1361">
        <f>-BV1170</f>
        <v/>
      </c>
      <c r="BW500" s="1361">
        <f>-BW1170</f>
        <v/>
      </c>
      <c r="BX500" s="1379">
        <f>SUM(BT500,BU500,BV500,BW500)</f>
        <v/>
      </c>
      <c r="BY500" s="1379">
        <f>-BY1170</f>
        <v/>
      </c>
      <c r="BZ500" s="1379">
        <f>-BZ1170</f>
        <v/>
      </c>
      <c r="CA500" s="1379">
        <f>-CA1170</f>
        <v/>
      </c>
      <c r="CB500" s="1364" t="n"/>
    </row>
    <row r="501" hidden="1" outlineLevel="1" ht="14.4" customFormat="1" customHeight="1" s="1359">
      <c r="A501" s="1593" t="inlineStr">
        <is>
          <t>Other Operating Adjustments</t>
        </is>
      </c>
      <c r="B501" s="1512" t="n"/>
      <c r="C501" s="1554">
        <f>-C461+C466+C470+C474+C369+C378</f>
        <v/>
      </c>
      <c r="D501" s="1554">
        <f>-D461+D466+D470+D474+D369+D378</f>
        <v/>
      </c>
      <c r="E501" s="1554">
        <f>-E461+E466+E470+E474+E369+E378</f>
        <v/>
      </c>
      <c r="F501" s="1554">
        <f>-F461+F466+F470+F474+F369+F378</f>
        <v/>
      </c>
      <c r="G501" s="1553">
        <f>-G461+G466+G470+G474+G369+G378</f>
        <v/>
      </c>
      <c r="H501" s="1553">
        <f>-H461+H466+H470+H474+H369+H378</f>
        <v/>
      </c>
      <c r="I501" s="1553">
        <f>-I461+I466+I470+I474+I369+I378</f>
        <v/>
      </c>
      <c r="J501" s="1553">
        <f>-J461+J466+J470+J474+J369+J378</f>
        <v/>
      </c>
      <c r="K501" s="1554">
        <f>-K461+K466+K470+K474+K369+K378</f>
        <v/>
      </c>
      <c r="L501" s="1553">
        <f>-L461+L466+L470+L474+L369+L378</f>
        <v/>
      </c>
      <c r="M501" s="1553">
        <f>-M461+M466+M470+M474+M369+M378</f>
        <v/>
      </c>
      <c r="N501" s="1553">
        <f>-N461+N466+N470+N474+N369+N378</f>
        <v/>
      </c>
      <c r="O501" s="1553">
        <f>-O461+O466+O470+O474+O369+O378</f>
        <v/>
      </c>
      <c r="P501" s="1554">
        <f>-P461+P466+P470+P474+P369+P378</f>
        <v/>
      </c>
      <c r="Q501" s="1553">
        <f>-Q461+Q466+Q470+Q474+Q369+Q378</f>
        <v/>
      </c>
      <c r="R501" s="1553">
        <f>-R461+R466+R470+R474+R369+R378</f>
        <v/>
      </c>
      <c r="S501" s="1553">
        <f>-S461+S466+S470+S474+S369+S378</f>
        <v/>
      </c>
      <c r="T501" s="1553">
        <f>-T461+T466+T470+T474+T369+T378</f>
        <v/>
      </c>
      <c r="U501" s="1554">
        <f>-U461+U466+U470+U474+U369+U378</f>
        <v/>
      </c>
      <c r="V501" s="1553">
        <f>-V461+V466+V470+V474+V369+V378</f>
        <v/>
      </c>
      <c r="W501" s="1553">
        <f>-W461+W466+W470+W474+W369+W378</f>
        <v/>
      </c>
      <c r="X501" s="1553">
        <f>-X461+X466+X470+X474+X369+X378</f>
        <v/>
      </c>
      <c r="Y501" s="1553">
        <f>-Y461+Y466+Y470+Y474+Y369+Y378</f>
        <v/>
      </c>
      <c r="Z501" s="1554">
        <f>-Z461+Z466+Z470+Z474+Z369+Z378</f>
        <v/>
      </c>
      <c r="AA501" s="1553">
        <f>-AA461+AA466+AA470+AA474+AA369+AA378</f>
        <v/>
      </c>
      <c r="AB501" s="1553">
        <f>-AB461+AB466+AB470+AB474+AB369+AB378</f>
        <v/>
      </c>
      <c r="AC501" s="1553">
        <f>-AC461+AC466+AC470+AC474+AC369+AC378</f>
        <v/>
      </c>
      <c r="AD501" s="1553">
        <f>-AD461+AD466+AD470+AD474+AD369+AD378</f>
        <v/>
      </c>
      <c r="AE501" s="1554">
        <f>-AE461+AE466+AE470+AE474+AE369+AE378</f>
        <v/>
      </c>
      <c r="AF501" s="1553">
        <f>-AF461+AF466+AF470+AF474+AF369+AF378</f>
        <v/>
      </c>
      <c r="AG501" s="1553">
        <f>-AG461+AG466+AG470+AG474+AG369+AG378</f>
        <v/>
      </c>
      <c r="AH501" s="1553">
        <f>-AH461+AH466+AH470+AH474+AH369+AH378</f>
        <v/>
      </c>
      <c r="AI501" s="1553">
        <f>-AI461+AI466+AI470+AI474+AI369+AI378</f>
        <v/>
      </c>
      <c r="AJ501" s="1554">
        <f>-AJ461+AJ466+AJ470+AJ474+AJ369+AJ378</f>
        <v/>
      </c>
      <c r="AK501" s="1553">
        <f>-AK461+AK466+AK470+AK474+AK369+AK378</f>
        <v/>
      </c>
      <c r="AL501" s="1553">
        <f>-AL461+AL466+AL470+AL474+AL369+AL378</f>
        <v/>
      </c>
      <c r="AM501" s="1553">
        <f>-AM461+AM466+AM470+AM474+AM369+AM378</f>
        <v/>
      </c>
      <c r="AN501" s="1553">
        <f>-AN461+AN466+AN470+AN474+AN369+AN378</f>
        <v/>
      </c>
      <c r="AO501" s="1554">
        <f>-AO461+AO466+AO470+AO474+AO369+AO378</f>
        <v/>
      </c>
      <c r="AP501" s="1553">
        <f>-AP461+AP466+AP470+AP474+AP369+AP378</f>
        <v/>
      </c>
      <c r="AQ501" s="1553">
        <f>-AQ461+AQ466+AQ470+AQ474+AQ369+AQ378</f>
        <v/>
      </c>
      <c r="AR501" s="1553">
        <f>-AR461+AR466+AR470+AR474+AR369+AR378</f>
        <v/>
      </c>
      <c r="AS501" s="1553">
        <f>-AS461+AS466+AS470+AS474+AS369+AS378</f>
        <v/>
      </c>
      <c r="AT501" s="1554">
        <f>-AT461+AT466+AT470+AT474+AT369+AT378</f>
        <v/>
      </c>
      <c r="AU501" s="1553">
        <f>-AU461+AU466+AU470+AU474+AU369+AU378</f>
        <v/>
      </c>
      <c r="AV501" s="1553">
        <f>-AV461+AV466+AV470+AV474+AV369+AV378</f>
        <v/>
      </c>
      <c r="AW501" s="1553">
        <f>-AW461+AW466+AW470+AW474+AW369+AW378</f>
        <v/>
      </c>
      <c r="AX501" s="1553">
        <f>-AX461+AX466+AX470+AX474+AX369+AX378</f>
        <v/>
      </c>
      <c r="AY501" s="1554">
        <f>-AY461+AY466+AY470+AY474+AY369+AY378</f>
        <v/>
      </c>
      <c r="AZ501" s="1553">
        <f>-AZ461+AZ466+AZ470+AZ474+AZ369+AZ378</f>
        <v/>
      </c>
      <c r="BA501" s="1553">
        <f>-BA461+BA466+BA470+BA474+BA369+BA378</f>
        <v/>
      </c>
      <c r="BB501" s="1553">
        <f>-BB461+BB466+BB470+BB474+BB369+BB378</f>
        <v/>
      </c>
      <c r="BC501" s="1553">
        <f>-BC461+BC466+BC470+BC474+BC369+BC378</f>
        <v/>
      </c>
      <c r="BD501" s="1554">
        <f>-BD461+BD466+BD470+BD474+BD369+BD378</f>
        <v/>
      </c>
      <c r="BE501" s="1553">
        <f>-BE461+BE466+BE470+BE474+BE369+BE378</f>
        <v/>
      </c>
      <c r="BF501" s="1553">
        <f>-BF461+BF466+BF470+BF474+BF369+BF378</f>
        <v/>
      </c>
      <c r="BG501" s="1553">
        <f>-BG461+BG466+BG470+BG474+BG369+BG378</f>
        <v/>
      </c>
      <c r="BH501" s="1553">
        <f>-BH461+BH466+BH470+BH474+BH369+BH378</f>
        <v/>
      </c>
      <c r="BI501" s="1554">
        <f>-BI461+BI466+BI470+BI474+BI369+BI378</f>
        <v/>
      </c>
      <c r="BJ501" s="1553">
        <f>-BJ461+BJ466+BJ470+BJ474+BJ369+BJ378</f>
        <v/>
      </c>
      <c r="BK501" s="1553">
        <f>-BK461+BK466+BK470+BK474+BK369+BK378</f>
        <v/>
      </c>
      <c r="BL501" s="1553">
        <f>-BL461+BL466+BL470+BL474+BL369+BL378</f>
        <v/>
      </c>
      <c r="BM501" s="1553">
        <f>-BM461+BM466+BM470+BM474+BM369+BM378</f>
        <v/>
      </c>
      <c r="BN501" s="1554">
        <f>-BN461+BN466+BN470+BN474+BN369+BN378</f>
        <v/>
      </c>
      <c r="BO501" s="1553">
        <f>-BO461+BO466+BO470+BO474+BO369+BO378</f>
        <v/>
      </c>
      <c r="BP501" s="1553">
        <f>-BP461+BP466+BP470+BP474+BP369+BP378</f>
        <v/>
      </c>
      <c r="BQ501" s="1556">
        <f>-BQ461+BQ466+BQ470+BQ474+BQ369+BQ378</f>
        <v/>
      </c>
      <c r="BR501" s="1553">
        <f>-BR461+BR466+BR470+BR474</f>
        <v/>
      </c>
      <c r="BS501" s="1554">
        <f>SUM(BO501,BP501,BQ501,BR501)</f>
        <v/>
      </c>
      <c r="BT501" s="1553">
        <f>-BT461+BT466+BT470+BT474</f>
        <v/>
      </c>
      <c r="BU501" s="1553">
        <f>-BU461+BU466+BU470+BU474</f>
        <v/>
      </c>
      <c r="BV501" s="1553">
        <f>-BV461+BV466+BV470+BV474</f>
        <v/>
      </c>
      <c r="BW501" s="1553">
        <f>-BW461+BW466+BW470+BW474</f>
        <v/>
      </c>
      <c r="BX501" s="1554">
        <f>SUM(BT501,BU501,BV501,BW501)</f>
        <v/>
      </c>
      <c r="BY501" s="1554">
        <f>-BY461+BY466+BY470+BY474</f>
        <v/>
      </c>
      <c r="BZ501" s="1554">
        <f>-BZ461+BZ466+BZ470+BZ474</f>
        <v/>
      </c>
      <c r="CA501" s="1554">
        <f>-CA461+CA466+CA470+CA474</f>
        <v/>
      </c>
      <c r="CB501" s="1364" t="n"/>
    </row>
    <row r="502" hidden="1" outlineLevel="1" ht="14.4" customFormat="1" customHeight="1" s="1359">
      <c r="A502" s="1593" t="inlineStr">
        <is>
          <t>Interest Expense Adjustments</t>
        </is>
      </c>
      <c r="B502" s="1512" t="n"/>
      <c r="C502" s="1554">
        <f>C489</f>
        <v/>
      </c>
      <c r="D502" s="1554">
        <f>D489</f>
        <v/>
      </c>
      <c r="E502" s="1554">
        <f>E489</f>
        <v/>
      </c>
      <c r="F502" s="1554">
        <f>F489</f>
        <v/>
      </c>
      <c r="G502" s="1553">
        <f>G489</f>
        <v/>
      </c>
      <c r="H502" s="1553">
        <f>H489</f>
        <v/>
      </c>
      <c r="I502" s="1553">
        <f>I489</f>
        <v/>
      </c>
      <c r="J502" s="1553">
        <f>J489</f>
        <v/>
      </c>
      <c r="K502" s="1554">
        <f>K489</f>
        <v/>
      </c>
      <c r="L502" s="1553">
        <f>L489</f>
        <v/>
      </c>
      <c r="M502" s="1553">
        <f>M489</f>
        <v/>
      </c>
      <c r="N502" s="1553">
        <f>N489</f>
        <v/>
      </c>
      <c r="O502" s="1553">
        <f>O489</f>
        <v/>
      </c>
      <c r="P502" s="1554">
        <f>P489</f>
        <v/>
      </c>
      <c r="Q502" s="1553">
        <f>Q489</f>
        <v/>
      </c>
      <c r="R502" s="1553">
        <f>R489</f>
        <v/>
      </c>
      <c r="S502" s="1553">
        <f>S489</f>
        <v/>
      </c>
      <c r="T502" s="1553">
        <f>T489</f>
        <v/>
      </c>
      <c r="U502" s="1554">
        <f>U489</f>
        <v/>
      </c>
      <c r="V502" s="1553">
        <f>V489</f>
        <v/>
      </c>
      <c r="W502" s="1553">
        <f>W489</f>
        <v/>
      </c>
      <c r="X502" s="1553">
        <f>X489</f>
        <v/>
      </c>
      <c r="Y502" s="1553">
        <f>Y489</f>
        <v/>
      </c>
      <c r="Z502" s="1554">
        <f>Z489</f>
        <v/>
      </c>
      <c r="AA502" s="1553">
        <f>AA489</f>
        <v/>
      </c>
      <c r="AB502" s="1553">
        <f>AB489</f>
        <v/>
      </c>
      <c r="AC502" s="1553">
        <f>AC489</f>
        <v/>
      </c>
      <c r="AD502" s="1553">
        <f>AD489</f>
        <v/>
      </c>
      <c r="AE502" s="1554">
        <f>AE489</f>
        <v/>
      </c>
      <c r="AF502" s="1553">
        <f>AF489</f>
        <v/>
      </c>
      <c r="AG502" s="1553">
        <f>AG489</f>
        <v/>
      </c>
      <c r="AH502" s="1553">
        <f>AH489</f>
        <v/>
      </c>
      <c r="AI502" s="1553">
        <f>AI489</f>
        <v/>
      </c>
      <c r="AJ502" s="1554">
        <f>AJ489</f>
        <v/>
      </c>
      <c r="AK502" s="1553">
        <f>AK489</f>
        <v/>
      </c>
      <c r="AL502" s="1553">
        <f>AL489</f>
        <v/>
      </c>
      <c r="AM502" s="1553">
        <f>AM489</f>
        <v/>
      </c>
      <c r="AN502" s="1553">
        <f>AN489</f>
        <v/>
      </c>
      <c r="AO502" s="1554">
        <f>AO489</f>
        <v/>
      </c>
      <c r="AP502" s="1553">
        <f>AP489</f>
        <v/>
      </c>
      <c r="AQ502" s="1553">
        <f>AQ489</f>
        <v/>
      </c>
      <c r="AR502" s="1553">
        <f>AR489</f>
        <v/>
      </c>
      <c r="AS502" s="1553">
        <f>AS489</f>
        <v/>
      </c>
      <c r="AT502" s="1554">
        <f>AT489</f>
        <v/>
      </c>
      <c r="AU502" s="1553">
        <f>AU489</f>
        <v/>
      </c>
      <c r="AV502" s="1553">
        <f>AV489</f>
        <v/>
      </c>
      <c r="AW502" s="1553">
        <f>AW489</f>
        <v/>
      </c>
      <c r="AX502" s="1553">
        <f>AX489</f>
        <v/>
      </c>
      <c r="AY502" s="1554">
        <f>AY489</f>
        <v/>
      </c>
      <c r="AZ502" s="1553">
        <f>AZ489</f>
        <v/>
      </c>
      <c r="BA502" s="1553">
        <f>BA489</f>
        <v/>
      </c>
      <c r="BB502" s="1553">
        <f>BB489</f>
        <v/>
      </c>
      <c r="BC502" s="1553">
        <f>BC489</f>
        <v/>
      </c>
      <c r="BD502" s="1554">
        <f>BD489</f>
        <v/>
      </c>
      <c r="BE502" s="1553">
        <f>BE489</f>
        <v/>
      </c>
      <c r="BF502" s="1553">
        <f>BF489</f>
        <v/>
      </c>
      <c r="BG502" s="1553">
        <f>BG489</f>
        <v/>
      </c>
      <c r="BH502" s="1553">
        <f>BH489</f>
        <v/>
      </c>
      <c r="BI502" s="1554">
        <f>BI489</f>
        <v/>
      </c>
      <c r="BJ502" s="1553">
        <f>BJ489</f>
        <v/>
      </c>
      <c r="BK502" s="1553">
        <f>BK489</f>
        <v/>
      </c>
      <c r="BL502" s="1553">
        <f>BL489</f>
        <v/>
      </c>
      <c r="BM502" s="1553">
        <f>BM489</f>
        <v/>
      </c>
      <c r="BN502" s="1554">
        <f>BN489</f>
        <v/>
      </c>
      <c r="BO502" s="1553">
        <f>BO489</f>
        <v/>
      </c>
      <c r="BP502" s="1553">
        <f>BP489</f>
        <v/>
      </c>
      <c r="BQ502" s="1556">
        <f>BQ489</f>
        <v/>
      </c>
      <c r="BR502" s="1553">
        <f>BR489</f>
        <v/>
      </c>
      <c r="BS502" s="1554">
        <f>SUM(BO502,BP502,BQ502,BR502)</f>
        <v/>
      </c>
      <c r="BT502" s="1553">
        <f>BT489</f>
        <v/>
      </c>
      <c r="BU502" s="1553">
        <f>BU489</f>
        <v/>
      </c>
      <c r="BV502" s="1553">
        <f>BV489</f>
        <v/>
      </c>
      <c r="BW502" s="1553">
        <f>BW489</f>
        <v/>
      </c>
      <c r="BX502" s="1554">
        <f>SUM(BT502,BU502,BV502,BW502)</f>
        <v/>
      </c>
      <c r="BY502" s="1554">
        <f>BY489</f>
        <v/>
      </c>
      <c r="BZ502" s="1554">
        <f>BZ489</f>
        <v/>
      </c>
      <c r="CA502" s="1554">
        <f>CA489</f>
        <v/>
      </c>
      <c r="CB502" s="1364" t="n"/>
    </row>
    <row r="503" hidden="1" outlineLevel="1" ht="14.4" customFormat="1" customHeight="1" s="1372">
      <c r="A503" s="1593" t="inlineStr">
        <is>
          <t>Other Adjustments</t>
        </is>
      </c>
      <c r="B503" s="1512" t="n"/>
      <c r="C503" s="1379">
        <f>SUM(C366:C389)-C499-C500-C501-C502-C504</f>
        <v/>
      </c>
      <c r="D503" s="1379">
        <f>D492</f>
        <v/>
      </c>
      <c r="E503" s="1379">
        <f>E492</f>
        <v/>
      </c>
      <c r="F503" s="1379">
        <f>F492</f>
        <v/>
      </c>
      <c r="G503" s="1361">
        <f>G492</f>
        <v/>
      </c>
      <c r="H503" s="1361">
        <f>H492</f>
        <v/>
      </c>
      <c r="I503" s="1361">
        <f>I492</f>
        <v/>
      </c>
      <c r="J503" s="1361">
        <f>J492</f>
        <v/>
      </c>
      <c r="K503" s="1379">
        <f>K492</f>
        <v/>
      </c>
      <c r="L503" s="1361">
        <f>L492</f>
        <v/>
      </c>
      <c r="M503" s="1361">
        <f>M492</f>
        <v/>
      </c>
      <c r="N503" s="1361">
        <f>N492</f>
        <v/>
      </c>
      <c r="O503" s="1361">
        <f>O492</f>
        <v/>
      </c>
      <c r="P503" s="1379">
        <f>P492</f>
        <v/>
      </c>
      <c r="Q503" s="1361">
        <f>Q492</f>
        <v/>
      </c>
      <c r="R503" s="1361">
        <f>R492</f>
        <v/>
      </c>
      <c r="S503" s="1361">
        <f>S492</f>
        <v/>
      </c>
      <c r="T503" s="1361">
        <f>T492</f>
        <v/>
      </c>
      <c r="U503" s="1379">
        <f>U492</f>
        <v/>
      </c>
      <c r="V503" s="1361">
        <f>V492</f>
        <v/>
      </c>
      <c r="W503" s="1361">
        <f>W492</f>
        <v/>
      </c>
      <c r="X503" s="1361">
        <f>X492</f>
        <v/>
      </c>
      <c r="Y503" s="1361">
        <f>Y492</f>
        <v/>
      </c>
      <c r="Z503" s="1379">
        <f>Z492</f>
        <v/>
      </c>
      <c r="AA503" s="1361">
        <f>AA492</f>
        <v/>
      </c>
      <c r="AB503" s="1361">
        <f>AB492</f>
        <v/>
      </c>
      <c r="AC503" s="1361">
        <f>AC492</f>
        <v/>
      </c>
      <c r="AD503" s="1361">
        <f>AD492</f>
        <v/>
      </c>
      <c r="AE503" s="1379">
        <f>AE492</f>
        <v/>
      </c>
      <c r="AF503" s="1361">
        <f>AF492</f>
        <v/>
      </c>
      <c r="AG503" s="1361">
        <f>AG492</f>
        <v/>
      </c>
      <c r="AH503" s="1361">
        <f>AH492</f>
        <v/>
      </c>
      <c r="AI503" s="1361">
        <f>AI492</f>
        <v/>
      </c>
      <c r="AJ503" s="1379">
        <f>AJ492</f>
        <v/>
      </c>
      <c r="AK503" s="1361">
        <f>AK492</f>
        <v/>
      </c>
      <c r="AL503" s="1361">
        <f>AL492</f>
        <v/>
      </c>
      <c r="AM503" s="1361">
        <f>AM492</f>
        <v/>
      </c>
      <c r="AN503" s="1361">
        <f>AN492</f>
        <v/>
      </c>
      <c r="AO503" s="1379">
        <f>AO492</f>
        <v/>
      </c>
      <c r="AP503" s="1361">
        <f>AP492</f>
        <v/>
      </c>
      <c r="AQ503" s="1361">
        <f>AQ492</f>
        <v/>
      </c>
      <c r="AR503" s="1361">
        <f>AR492</f>
        <v/>
      </c>
      <c r="AS503" s="1361">
        <f>AS492</f>
        <v/>
      </c>
      <c r="AT503" s="1379">
        <f>AT492</f>
        <v/>
      </c>
      <c r="AU503" s="1361">
        <f>AU492</f>
        <v/>
      </c>
      <c r="AV503" s="1361">
        <f>AV492</f>
        <v/>
      </c>
      <c r="AW503" s="1361">
        <f>AW492</f>
        <v/>
      </c>
      <c r="AX503" s="1361">
        <f>AX492</f>
        <v/>
      </c>
      <c r="AY503" s="1379">
        <f>AY492</f>
        <v/>
      </c>
      <c r="AZ503" s="1361">
        <f>AZ492</f>
        <v/>
      </c>
      <c r="BA503" s="1361">
        <f>BA492</f>
        <v/>
      </c>
      <c r="BB503" s="1361">
        <f>BB492</f>
        <v/>
      </c>
      <c r="BC503" s="1361">
        <f>BC492</f>
        <v/>
      </c>
      <c r="BD503" s="1379">
        <f>BD492</f>
        <v/>
      </c>
      <c r="BE503" s="1361">
        <f>BE492</f>
        <v/>
      </c>
      <c r="BF503" s="1361">
        <f>BF492</f>
        <v/>
      </c>
      <c r="BG503" s="1361">
        <f>BG492</f>
        <v/>
      </c>
      <c r="BH503" s="1361">
        <f>BH492</f>
        <v/>
      </c>
      <c r="BI503" s="1379">
        <f>BI492</f>
        <v/>
      </c>
      <c r="BJ503" s="1361">
        <f>BJ492</f>
        <v/>
      </c>
      <c r="BK503" s="1361">
        <f>BK492</f>
        <v/>
      </c>
      <c r="BL503" s="1361">
        <f>BL492</f>
        <v/>
      </c>
      <c r="BM503" s="1361">
        <f>BM492</f>
        <v/>
      </c>
      <c r="BN503" s="1379">
        <f>BN492</f>
        <v/>
      </c>
      <c r="BO503" s="1361">
        <f>BO492</f>
        <v/>
      </c>
      <c r="BP503" s="1361">
        <f>BP492</f>
        <v/>
      </c>
      <c r="BQ503" s="1363">
        <f>BQ492</f>
        <v/>
      </c>
      <c r="BR503" s="1361">
        <f>BR492</f>
        <v/>
      </c>
      <c r="BS503" s="1379">
        <f>SUM(BO503,BP503,BQ503,BR503)</f>
        <v/>
      </c>
      <c r="BT503" s="1361">
        <f>BT492</f>
        <v/>
      </c>
      <c r="BU503" s="1361">
        <f>BU492</f>
        <v/>
      </c>
      <c r="BV503" s="1361">
        <f>BV492</f>
        <v/>
      </c>
      <c r="BW503" s="1361">
        <f>BW492</f>
        <v/>
      </c>
      <c r="BX503" s="1379">
        <f>SUM(BT503,BU503,BV503,BW503)</f>
        <v/>
      </c>
      <c r="BY503" s="1379">
        <f>BY492</f>
        <v/>
      </c>
      <c r="BZ503" s="1379">
        <f>BZ492</f>
        <v/>
      </c>
      <c r="CA503" s="1379">
        <f>CA492</f>
        <v/>
      </c>
      <c r="CB503" s="1375" t="n"/>
    </row>
    <row r="504" hidden="1" outlineLevel="1" ht="14.4" customFormat="1" customHeight="1" s="1372">
      <c r="A504" s="1607" t="inlineStr">
        <is>
          <t>Tax Impact on non-GAAP Adjustments</t>
        </is>
      </c>
      <c r="B504" s="1514" t="n"/>
      <c r="C504" s="1601">
        <f>C496</f>
        <v/>
      </c>
      <c r="D504" s="1601">
        <f>D496</f>
        <v/>
      </c>
      <c r="E504" s="1601">
        <f>E496</f>
        <v/>
      </c>
      <c r="F504" s="1601">
        <f>F496</f>
        <v/>
      </c>
      <c r="G504" s="1603">
        <f>G496</f>
        <v/>
      </c>
      <c r="H504" s="1603">
        <f>H496</f>
        <v/>
      </c>
      <c r="I504" s="1603">
        <f>I496</f>
        <v/>
      </c>
      <c r="J504" s="1603">
        <f>J496</f>
        <v/>
      </c>
      <c r="K504" s="1601">
        <f>K496</f>
        <v/>
      </c>
      <c r="L504" s="1603">
        <f>L496</f>
        <v/>
      </c>
      <c r="M504" s="1603">
        <f>M496</f>
        <v/>
      </c>
      <c r="N504" s="1603">
        <f>N496</f>
        <v/>
      </c>
      <c r="O504" s="1603">
        <f>O496</f>
        <v/>
      </c>
      <c r="P504" s="1601">
        <f>P496</f>
        <v/>
      </c>
      <c r="Q504" s="1603">
        <f>Q496</f>
        <v/>
      </c>
      <c r="R504" s="1603">
        <f>R496</f>
        <v/>
      </c>
      <c r="S504" s="1603">
        <f>S496</f>
        <v/>
      </c>
      <c r="T504" s="1603">
        <f>T496</f>
        <v/>
      </c>
      <c r="U504" s="1601">
        <f>U496</f>
        <v/>
      </c>
      <c r="V504" s="1603">
        <f>V496</f>
        <v/>
      </c>
      <c r="W504" s="1603">
        <f>W496</f>
        <v/>
      </c>
      <c r="X504" s="1603">
        <f>X496</f>
        <v/>
      </c>
      <c r="Y504" s="1603">
        <f>Y496</f>
        <v/>
      </c>
      <c r="Z504" s="1601">
        <f>Z496</f>
        <v/>
      </c>
      <c r="AA504" s="1603">
        <f>AA496</f>
        <v/>
      </c>
      <c r="AB504" s="1603">
        <f>AB496</f>
        <v/>
      </c>
      <c r="AC504" s="1603">
        <f>AC496</f>
        <v/>
      </c>
      <c r="AD504" s="1603">
        <f>AD496</f>
        <v/>
      </c>
      <c r="AE504" s="1601">
        <f>AE496</f>
        <v/>
      </c>
      <c r="AF504" s="1603">
        <f>AF496</f>
        <v/>
      </c>
      <c r="AG504" s="1603">
        <f>AG496</f>
        <v/>
      </c>
      <c r="AH504" s="1603">
        <f>AH496</f>
        <v/>
      </c>
      <c r="AI504" s="1603">
        <f>AI496</f>
        <v/>
      </c>
      <c r="AJ504" s="1601">
        <f>AJ496</f>
        <v/>
      </c>
      <c r="AK504" s="1603">
        <f>AK496</f>
        <v/>
      </c>
      <c r="AL504" s="1603">
        <f>AL496</f>
        <v/>
      </c>
      <c r="AM504" s="1603">
        <f>AM496</f>
        <v/>
      </c>
      <c r="AN504" s="1603">
        <f>AN496</f>
        <v/>
      </c>
      <c r="AO504" s="1601">
        <f>AO496</f>
        <v/>
      </c>
      <c r="AP504" s="1603">
        <f>AP496</f>
        <v/>
      </c>
      <c r="AQ504" s="1603">
        <f>AQ496</f>
        <v/>
      </c>
      <c r="AR504" s="1603">
        <f>AR496</f>
        <v/>
      </c>
      <c r="AS504" s="1603">
        <f>AS496</f>
        <v/>
      </c>
      <c r="AT504" s="1601">
        <f>AT496</f>
        <v/>
      </c>
      <c r="AU504" s="1603">
        <f>AU496</f>
        <v/>
      </c>
      <c r="AV504" s="1603">
        <f>AV496</f>
        <v/>
      </c>
      <c r="AW504" s="1603">
        <f>AW496</f>
        <v/>
      </c>
      <c r="AX504" s="1603">
        <f>AX496</f>
        <v/>
      </c>
      <c r="AY504" s="1601">
        <f>AY496</f>
        <v/>
      </c>
      <c r="AZ504" s="1603">
        <f>AZ496</f>
        <v/>
      </c>
      <c r="BA504" s="1603">
        <f>BA496</f>
        <v/>
      </c>
      <c r="BB504" s="1603">
        <f>BB496</f>
        <v/>
      </c>
      <c r="BC504" s="1603">
        <f>BC496</f>
        <v/>
      </c>
      <c r="BD504" s="1601">
        <f>BD496</f>
        <v/>
      </c>
      <c r="BE504" s="1603">
        <f>BE496</f>
        <v/>
      </c>
      <c r="BF504" s="1603">
        <f>BF496</f>
        <v/>
      </c>
      <c r="BG504" s="1603">
        <f>BG496</f>
        <v/>
      </c>
      <c r="BH504" s="1603">
        <f>BH496</f>
        <v/>
      </c>
      <c r="BI504" s="1601">
        <f>BI496</f>
        <v/>
      </c>
      <c r="BJ504" s="1603">
        <f>BJ496</f>
        <v/>
      </c>
      <c r="BK504" s="1603">
        <f>BK496</f>
        <v/>
      </c>
      <c r="BL504" s="1603">
        <f>BL496</f>
        <v/>
      </c>
      <c r="BM504" s="1603">
        <f>BM496</f>
        <v/>
      </c>
      <c r="BN504" s="1601">
        <f>BN496</f>
        <v/>
      </c>
      <c r="BO504" s="1603">
        <f>BO496</f>
        <v/>
      </c>
      <c r="BP504" s="1603">
        <f>BP496</f>
        <v/>
      </c>
      <c r="BQ504" s="1617">
        <f>BQ496</f>
        <v/>
      </c>
      <c r="BR504" s="1603">
        <f>BR496</f>
        <v/>
      </c>
      <c r="BS504" s="1601">
        <f>SUM(BO504,BP504,BQ504,BR504)</f>
        <v/>
      </c>
      <c r="BT504" s="1603">
        <f>BT496</f>
        <v/>
      </c>
      <c r="BU504" s="1603">
        <f>BU496</f>
        <v/>
      </c>
      <c r="BV504" s="1603">
        <f>BV496</f>
        <v/>
      </c>
      <c r="BW504" s="1603">
        <f>BW496</f>
        <v/>
      </c>
      <c r="BX504" s="1601">
        <f>SUM(BT504,BU504,BV504,BW504)</f>
        <v/>
      </c>
      <c r="BY504" s="1601">
        <f>BY496</f>
        <v/>
      </c>
      <c r="BZ504" s="1601">
        <f>BZ496</f>
        <v/>
      </c>
      <c r="CA504" s="1601">
        <f>CA496</f>
        <v/>
      </c>
      <c r="CB504" s="1375" t="n"/>
    </row>
    <row r="505" hidden="1" outlineLevel="1" ht="14.4" customFormat="1" customHeight="1" s="1372">
      <c r="A505" s="1624" t="inlineStr">
        <is>
          <t>GAAP Net Income to common shareholders - Basic</t>
        </is>
      </c>
      <c r="B505" s="1574" t="n"/>
      <c r="C505" s="1575">
        <f>C498-SUM(C499:C504)</f>
        <v/>
      </c>
      <c r="D505" s="1575">
        <f>D498-SUM(D499:D504)</f>
        <v/>
      </c>
      <c r="E505" s="1575">
        <f>E498-SUM(E499:E504)</f>
        <v/>
      </c>
      <c r="F505" s="1575">
        <f>F498-SUM(F499:F504)</f>
        <v/>
      </c>
      <c r="G505" s="1576">
        <f>G498-SUM(G499:G504)</f>
        <v/>
      </c>
      <c r="H505" s="1576">
        <f>H498-SUM(H499:H504)</f>
        <v/>
      </c>
      <c r="I505" s="1576">
        <f>I498-SUM(I499:I504)</f>
        <v/>
      </c>
      <c r="J505" s="1576">
        <f>J498-SUM(J499:J504)</f>
        <v/>
      </c>
      <c r="K505" s="1575">
        <f>K498-SUM(K499:K504)</f>
        <v/>
      </c>
      <c r="L505" s="1576">
        <f>L498-SUM(L499:L504)</f>
        <v/>
      </c>
      <c r="M505" s="1576">
        <f>M498-SUM(M499:M504)</f>
        <v/>
      </c>
      <c r="N505" s="1576">
        <f>N498-SUM(N499:N504)</f>
        <v/>
      </c>
      <c r="O505" s="1576">
        <f>O498-SUM(O499:O504)</f>
        <v/>
      </c>
      <c r="P505" s="1575">
        <f>P498-SUM(P499:P504)</f>
        <v/>
      </c>
      <c r="Q505" s="1576">
        <f>Q498-SUM(Q499:Q504)</f>
        <v/>
      </c>
      <c r="R505" s="1576">
        <f>R498-SUM(R499:R504)</f>
        <v/>
      </c>
      <c r="S505" s="1576">
        <f>S498-SUM(S499:S504)</f>
        <v/>
      </c>
      <c r="T505" s="1576">
        <f>T498-SUM(T499:T504)</f>
        <v/>
      </c>
      <c r="U505" s="1575">
        <f>U498-SUM(U499:U504)</f>
        <v/>
      </c>
      <c r="V505" s="1576">
        <f>V498-SUM(V499:V504)</f>
        <v/>
      </c>
      <c r="W505" s="1576">
        <f>W498-SUM(W499:W504)</f>
        <v/>
      </c>
      <c r="X505" s="1576">
        <f>X498-SUM(X499:X504)</f>
        <v/>
      </c>
      <c r="Y505" s="1576">
        <f>Y498-SUM(Y499:Y504)</f>
        <v/>
      </c>
      <c r="Z505" s="1575">
        <f>Z498-SUM(Z499:Z504)</f>
        <v/>
      </c>
      <c r="AA505" s="1576">
        <f>AA498-SUM(AA499:AA504)</f>
        <v/>
      </c>
      <c r="AB505" s="1576">
        <f>AB498-SUM(AB499:AB504)</f>
        <v/>
      </c>
      <c r="AC505" s="1576">
        <f>AC498-SUM(AC499:AC504)</f>
        <v/>
      </c>
      <c r="AD505" s="1576">
        <f>AD498-SUM(AD499:AD504)</f>
        <v/>
      </c>
      <c r="AE505" s="1575">
        <f>AE498-SUM(AE499:AE504)</f>
        <v/>
      </c>
      <c r="AF505" s="1576">
        <f>AF498-SUM(AF499:AF504)</f>
        <v/>
      </c>
      <c r="AG505" s="1576">
        <f>AG498-SUM(AG499:AG504)</f>
        <v/>
      </c>
      <c r="AH505" s="1576">
        <f>AH498-SUM(AH499:AH504)</f>
        <v/>
      </c>
      <c r="AI505" s="1576">
        <f>AI498-SUM(AI499:AI504)</f>
        <v/>
      </c>
      <c r="AJ505" s="1575">
        <f>AJ498-SUM(AJ499:AJ504)</f>
        <v/>
      </c>
      <c r="AK505" s="1576">
        <f>AK498-SUM(AK499:AK504)</f>
        <v/>
      </c>
      <c r="AL505" s="1576">
        <f>AL498-SUM(AL499:AL504)</f>
        <v/>
      </c>
      <c r="AM505" s="1576">
        <f>AM498-SUM(AM499:AM504)</f>
        <v/>
      </c>
      <c r="AN505" s="1576">
        <f>AN498-SUM(AN499:AN504)</f>
        <v/>
      </c>
      <c r="AO505" s="1575">
        <f>AO498-SUM(AO499:AO504)</f>
        <v/>
      </c>
      <c r="AP505" s="1576">
        <f>AP498-SUM(AP499:AP504)</f>
        <v/>
      </c>
      <c r="AQ505" s="1576">
        <f>AQ498-SUM(AQ499:AQ504)</f>
        <v/>
      </c>
      <c r="AR505" s="1576">
        <f>AR498-SUM(AR499:AR504)</f>
        <v/>
      </c>
      <c r="AS505" s="1576">
        <f>AS498-SUM(AS499:AS504)</f>
        <v/>
      </c>
      <c r="AT505" s="1575">
        <f>AT498-SUM(AT499:AT504)</f>
        <v/>
      </c>
      <c r="AU505" s="1576">
        <f>AU498-SUM(AU499:AU504)</f>
        <v/>
      </c>
      <c r="AV505" s="1576">
        <f>AV498-SUM(AV499:AV504)</f>
        <v/>
      </c>
      <c r="AW505" s="1576">
        <f>AW498-SUM(AW499:AW504)</f>
        <v/>
      </c>
      <c r="AX505" s="1576">
        <f>AX498-SUM(AX499:AX504)</f>
        <v/>
      </c>
      <c r="AY505" s="1575">
        <f>AY498-SUM(AY499:AY504)</f>
        <v/>
      </c>
      <c r="AZ505" s="1576">
        <f>AZ498-SUM(AZ499:AZ504)</f>
        <v/>
      </c>
      <c r="BA505" s="1576">
        <f>BA498-SUM(BA499:BA504)</f>
        <v/>
      </c>
      <c r="BB505" s="1576">
        <f>BB498-SUM(BB499:BB504)</f>
        <v/>
      </c>
      <c r="BC505" s="1576">
        <f>BC498-SUM(BC499:BC504)</f>
        <v/>
      </c>
      <c r="BD505" s="1575">
        <f>BD498-SUM(BD499:BD504)</f>
        <v/>
      </c>
      <c r="BE505" s="1576">
        <f>BE498-SUM(BE499:BE504)</f>
        <v/>
      </c>
      <c r="BF505" s="1576">
        <f>BF498-SUM(BF499:BF504)</f>
        <v/>
      </c>
      <c r="BG505" s="1576">
        <f>BG498-SUM(BG499:BG504)</f>
        <v/>
      </c>
      <c r="BH505" s="1576">
        <f>BH498-SUM(BH499:BH504)</f>
        <v/>
      </c>
      <c r="BI505" s="1575">
        <f>BI498-SUM(BI499:BI504)</f>
        <v/>
      </c>
      <c r="BJ505" s="1576">
        <f>BJ498-SUM(BJ499:BJ504)</f>
        <v/>
      </c>
      <c r="BK505" s="1576">
        <f>BK498-SUM(BK499:BK504)</f>
        <v/>
      </c>
      <c r="BL505" s="1576">
        <f>BL498-SUM(BL499:BL504)</f>
        <v/>
      </c>
      <c r="BM505" s="1576">
        <f>BM498-SUM(BM499:BM504)</f>
        <v/>
      </c>
      <c r="BN505" s="1575">
        <f>BN498-SUM(BN499:BN504)</f>
        <v/>
      </c>
      <c r="BO505" s="1576">
        <f>BO498-SUM(BO499:BO504)</f>
        <v/>
      </c>
      <c r="BP505" s="1576">
        <f>BP498-SUM(BP499:BP504)</f>
        <v/>
      </c>
      <c r="BQ505" s="1579">
        <f>BQ498-SUM(BQ499:BQ504)</f>
        <v/>
      </c>
      <c r="BR505" s="1577">
        <f>BR498-SUM(BR499:BR504)</f>
        <v/>
      </c>
      <c r="BS505" s="1578">
        <f>BS498-SUM(BS499:BS504)</f>
        <v/>
      </c>
      <c r="BT505" s="1577">
        <f>BT498-SUM(BT499:BT504)</f>
        <v/>
      </c>
      <c r="BU505" s="1577">
        <f>BU498-SUM(BU499:BU504)</f>
        <v/>
      </c>
      <c r="BV505" s="1577">
        <f>BV498-SUM(BV499:BV504)</f>
        <v/>
      </c>
      <c r="BW505" s="1577">
        <f>BW498-SUM(BW499:BW504)</f>
        <v/>
      </c>
      <c r="BX505" s="1578">
        <f>BX498-SUM(BX499:BX504)</f>
        <v/>
      </c>
      <c r="BY505" s="1578">
        <f>BY498-SUM(BY499:BY504)</f>
        <v/>
      </c>
      <c r="BZ505" s="1578">
        <f>BZ498-SUM(BZ499:BZ504)</f>
        <v/>
      </c>
      <c r="CA505" s="1578">
        <f>CA498-SUM(CA499:CA504)</f>
        <v/>
      </c>
      <c r="CB505" s="1375" t="n"/>
    </row>
    <row r="506" hidden="1" outlineLevel="1" ht="14.4" customFormat="1" customHeight="1" s="1372">
      <c r="A506" s="1629" t="inlineStr">
        <is>
          <t>Adjustments for Convertible Securities</t>
        </is>
      </c>
      <c r="B506" s="1630" t="n"/>
      <c r="C506" s="1631" t="n"/>
      <c r="D506" s="1631" t="n"/>
      <c r="E506" s="1631" t="n"/>
      <c r="F506" s="1631" t="n"/>
      <c r="G506" s="1632" t="n"/>
      <c r="H506" s="1632" t="n"/>
      <c r="I506" s="1632" t="n"/>
      <c r="J506" s="1632" t="n"/>
      <c r="K506" s="1631" t="n"/>
      <c r="L506" s="1632" t="n"/>
      <c r="M506" s="1632" t="n"/>
      <c r="N506" s="1632" t="n"/>
      <c r="O506" s="1632" t="n"/>
      <c r="P506" s="1631" t="n"/>
      <c r="Q506" s="1632" t="n"/>
      <c r="R506" s="1632" t="n"/>
      <c r="S506" s="1632" t="n"/>
      <c r="T506" s="1632" t="n"/>
      <c r="U506" s="1631" t="n"/>
      <c r="V506" s="1632" t="n"/>
      <c r="W506" s="1632" t="n"/>
      <c r="X506" s="1632" t="n"/>
      <c r="Y506" s="1632" t="n"/>
      <c r="Z506" s="1631" t="n"/>
      <c r="AA506" s="1632" t="n"/>
      <c r="AB506" s="1632" t="n"/>
      <c r="AC506" s="1632" t="n"/>
      <c r="AD506" s="1632" t="n"/>
      <c r="AE506" s="1631" t="n"/>
      <c r="AF506" s="1632" t="n"/>
      <c r="AG506" s="1632" t="n"/>
      <c r="AH506" s="1632" t="n"/>
      <c r="AI506" s="1632" t="n"/>
      <c r="AJ506" s="1631" t="n"/>
      <c r="AK506" s="1632" t="n"/>
      <c r="AL506" s="1632" t="n"/>
      <c r="AM506" s="1632" t="n"/>
      <c r="AN506" s="1632" t="n"/>
      <c r="AO506" s="1631" t="n"/>
      <c r="AP506" s="1632" t="n"/>
      <c r="AQ506" s="1632" t="n"/>
      <c r="AR506" s="1632" t="n"/>
      <c r="AS506" s="1632" t="n"/>
      <c r="AT506" s="1631" t="n"/>
      <c r="AU506" s="1632" t="n"/>
      <c r="AV506" s="1632" t="n"/>
      <c r="AW506" s="1632" t="n"/>
      <c r="AX506" s="1632" t="n"/>
      <c r="AY506" s="1631" t="n"/>
      <c r="AZ506" s="1632" t="n"/>
      <c r="BA506" s="1632" t="n"/>
      <c r="BB506" s="1632" t="n"/>
      <c r="BC506" s="1632" t="n"/>
      <c r="BD506" s="1631" t="n"/>
      <c r="BE506" s="1632" t="n"/>
      <c r="BF506" s="1632" t="n"/>
      <c r="BG506" s="1632" t="n"/>
      <c r="BH506" s="1632" t="n"/>
      <c r="BI506" s="1631" t="n"/>
      <c r="BJ506" s="1632" t="n"/>
      <c r="BK506" s="1632" t="n"/>
      <c r="BL506" s="1632" t="n"/>
      <c r="BM506" s="1632" t="n"/>
      <c r="BN506" s="1631" t="n"/>
      <c r="BO506" s="1632" t="n"/>
      <c r="BP506" s="1632" t="n"/>
      <c r="BQ506" s="1633" t="n"/>
      <c r="BR506" s="1632" t="n"/>
      <c r="BS506" s="1631" t="n"/>
      <c r="BT506" s="1632" t="n"/>
      <c r="BU506" s="1632" t="n"/>
      <c r="BV506" s="1632" t="n"/>
      <c r="BW506" s="1632" t="n"/>
      <c r="BX506" s="1631" t="n"/>
      <c r="BY506" s="1631" t="n"/>
      <c r="BZ506" s="1631" t="n"/>
      <c r="CA506" s="1631" t="n"/>
      <c r="CB506" s="1375" t="n"/>
    </row>
    <row r="507" hidden="1" outlineLevel="1" ht="14.4" customFormat="1" customHeight="1" s="1634">
      <c r="A507" s="1624" t="inlineStr">
        <is>
          <t>GAAP Net Income to common shareholders - Diluted</t>
        </is>
      </c>
      <c r="B507" s="1574" t="n"/>
      <c r="C507" s="1575">
        <f>C505-C506</f>
        <v/>
      </c>
      <c r="D507" s="1575">
        <f>D505-D506</f>
        <v/>
      </c>
      <c r="E507" s="1575">
        <f>E505-E506</f>
        <v/>
      </c>
      <c r="F507" s="1575">
        <f>F505-F506</f>
        <v/>
      </c>
      <c r="G507" s="1576">
        <f>G505-G506</f>
        <v/>
      </c>
      <c r="H507" s="1576">
        <f>H505-H506</f>
        <v/>
      </c>
      <c r="I507" s="1576">
        <f>I505-I506</f>
        <v/>
      </c>
      <c r="J507" s="1576">
        <f>J505-J506</f>
        <v/>
      </c>
      <c r="K507" s="1575">
        <f>K505-K506</f>
        <v/>
      </c>
      <c r="L507" s="1576">
        <f>L505-L506</f>
        <v/>
      </c>
      <c r="M507" s="1576">
        <f>M505-M506</f>
        <v/>
      </c>
      <c r="N507" s="1576">
        <f>N505-N506</f>
        <v/>
      </c>
      <c r="O507" s="1576">
        <f>O505-O506</f>
        <v/>
      </c>
      <c r="P507" s="1575">
        <f>P505-P506</f>
        <v/>
      </c>
      <c r="Q507" s="1576">
        <f>Q505-Q506</f>
        <v/>
      </c>
      <c r="R507" s="1576">
        <f>R505-R506</f>
        <v/>
      </c>
      <c r="S507" s="1576">
        <f>S505-S506</f>
        <v/>
      </c>
      <c r="T507" s="1576">
        <f>T505-T506</f>
        <v/>
      </c>
      <c r="U507" s="1575">
        <f>U505-U506</f>
        <v/>
      </c>
      <c r="V507" s="1576">
        <f>V505-V506</f>
        <v/>
      </c>
      <c r="W507" s="1635">
        <f>W505-W506</f>
        <v/>
      </c>
      <c r="X507" s="1635">
        <f>X505-X506</f>
        <v/>
      </c>
      <c r="Y507" s="1635">
        <f>Y505-Y506</f>
        <v/>
      </c>
      <c r="Z507" s="1636">
        <f>Z505-Z506</f>
        <v/>
      </c>
      <c r="AA507" s="1576">
        <f>AA505-AA506</f>
        <v/>
      </c>
      <c r="AB507" s="1635">
        <f>AB505-AB506</f>
        <v/>
      </c>
      <c r="AC507" s="1635">
        <f>AC505-AC506</f>
        <v/>
      </c>
      <c r="AD507" s="1635">
        <f>AD505-AD506</f>
        <v/>
      </c>
      <c r="AE507" s="1636">
        <f>AE505-AE506</f>
        <v/>
      </c>
      <c r="AF507" s="1576">
        <f>AF505-AF506</f>
        <v/>
      </c>
      <c r="AG507" s="1635">
        <f>AG505-AG506</f>
        <v/>
      </c>
      <c r="AH507" s="1635">
        <f>AH505-AH506</f>
        <v/>
      </c>
      <c r="AI507" s="1635">
        <f>AI505-AI506</f>
        <v/>
      </c>
      <c r="AJ507" s="1636">
        <f>AJ505-AJ506</f>
        <v/>
      </c>
      <c r="AK507" s="1576">
        <f>AK505-AK506</f>
        <v/>
      </c>
      <c r="AL507" s="1635">
        <f>AL505-AL506</f>
        <v/>
      </c>
      <c r="AM507" s="1635">
        <f>AM505-AM506</f>
        <v/>
      </c>
      <c r="AN507" s="1635">
        <f>AN505-AN506</f>
        <v/>
      </c>
      <c r="AO507" s="1636">
        <f>AO505-AO506</f>
        <v/>
      </c>
      <c r="AP507" s="1576">
        <f>AP505-AP506</f>
        <v/>
      </c>
      <c r="AQ507" s="1635">
        <f>AQ505-AQ506</f>
        <v/>
      </c>
      <c r="AR507" s="1635">
        <f>AR505-AR506</f>
        <v/>
      </c>
      <c r="AS507" s="1635">
        <f>AS505-AS506</f>
        <v/>
      </c>
      <c r="AT507" s="1636">
        <f>AT505-AT506</f>
        <v/>
      </c>
      <c r="AU507" s="1576">
        <f>AU505-AU506</f>
        <v/>
      </c>
      <c r="AV507" s="1635">
        <f>AV505-AV506</f>
        <v/>
      </c>
      <c r="AW507" s="1635">
        <f>AW505-AW506</f>
        <v/>
      </c>
      <c r="AX507" s="1635">
        <f>AX505-AX506</f>
        <v/>
      </c>
      <c r="AY507" s="1636">
        <f>AY505-AY506</f>
        <v/>
      </c>
      <c r="AZ507" s="1576">
        <f>AZ505-AZ506</f>
        <v/>
      </c>
      <c r="BA507" s="1635">
        <f>BA505-BA506</f>
        <v/>
      </c>
      <c r="BB507" s="1635">
        <f>BB505-BB506</f>
        <v/>
      </c>
      <c r="BC507" s="1635">
        <f>BC505-BC506</f>
        <v/>
      </c>
      <c r="BD507" s="1636">
        <f>BD505-BD506</f>
        <v/>
      </c>
      <c r="BE507" s="1576">
        <f>BE505-BE506</f>
        <v/>
      </c>
      <c r="BF507" s="1635">
        <f>BF505-BF506</f>
        <v/>
      </c>
      <c r="BG507" s="1635">
        <f>BG505-BG506</f>
        <v/>
      </c>
      <c r="BH507" s="1635">
        <f>BH505-BH506</f>
        <v/>
      </c>
      <c r="BI507" s="1636">
        <f>BI505-BI506</f>
        <v/>
      </c>
      <c r="BJ507" s="1576">
        <f>BJ505-BJ506</f>
        <v/>
      </c>
      <c r="BK507" s="1635">
        <f>BK505-BK506</f>
        <v/>
      </c>
      <c r="BL507" s="1635">
        <f>BL505-BL506</f>
        <v/>
      </c>
      <c r="BM507" s="1635">
        <f>BM505-BM506</f>
        <v/>
      </c>
      <c r="BN507" s="1636">
        <f>BN505-BN506</f>
        <v/>
      </c>
      <c r="BO507" s="1576">
        <f>BO505-BO506</f>
        <v/>
      </c>
      <c r="BP507" s="1635">
        <f>BP505-BP506</f>
        <v/>
      </c>
      <c r="BQ507" s="1637">
        <f>BQ505-BQ506</f>
        <v/>
      </c>
      <c r="BR507" s="1638">
        <f>BR505-BR506</f>
        <v/>
      </c>
      <c r="BS507" s="1639">
        <f>BS505-BS506</f>
        <v/>
      </c>
      <c r="BT507" s="1638">
        <f>BT505-BT506</f>
        <v/>
      </c>
      <c r="BU507" s="1638">
        <f>BU505-BU506</f>
        <v/>
      </c>
      <c r="BV507" s="1638">
        <f>BV505-BV506</f>
        <v/>
      </c>
      <c r="BW507" s="1638">
        <f>BW505-BW506</f>
        <v/>
      </c>
      <c r="BX507" s="1639">
        <f>BX505-BX506</f>
        <v/>
      </c>
      <c r="BY507" s="1639">
        <f>BY505-BY506</f>
        <v/>
      </c>
      <c r="BZ507" s="1639">
        <f>BZ505-BZ506</f>
        <v/>
      </c>
      <c r="CA507" s="1639">
        <f>CA505-CA506</f>
        <v/>
      </c>
      <c r="CB507" s="1450" t="n"/>
    </row>
    <row r="508" collapsed="1" ht="14.4" customFormat="1" customHeight="1" s="1640">
      <c r="A508" s="1596" t="n"/>
      <c r="B508" s="1641" t="n"/>
      <c r="C508" s="1541" t="n"/>
      <c r="D508" s="1541" t="n"/>
      <c r="E508" s="1541" t="n"/>
      <c r="F508" s="1541" t="n"/>
      <c r="G508" s="1542" t="n"/>
      <c r="H508" s="1542" t="n"/>
      <c r="I508" s="1542" t="n"/>
      <c r="J508" s="1542" t="n"/>
      <c r="K508" s="1541" t="n"/>
      <c r="L508" s="1542" t="n"/>
      <c r="M508" s="1542" t="n"/>
      <c r="N508" s="1542" t="n"/>
      <c r="O508" s="1542" t="n"/>
      <c r="P508" s="1541" t="n"/>
      <c r="Q508" s="1542" t="n"/>
      <c r="R508" s="1542" t="n"/>
      <c r="S508" s="1542" t="n"/>
      <c r="T508" s="1542" t="n"/>
      <c r="U508" s="1541" t="n"/>
      <c r="V508" s="1542" t="n"/>
      <c r="W508" s="1642" t="n"/>
      <c r="X508" s="1642" t="n"/>
      <c r="Y508" s="1642" t="n"/>
      <c r="Z508" s="1643" t="n"/>
      <c r="AA508" s="1542" t="n"/>
      <c r="AB508" s="1642" t="n"/>
      <c r="AC508" s="1642" t="n"/>
      <c r="AD508" s="1642" t="n"/>
      <c r="AE508" s="1643" t="n"/>
      <c r="AF508" s="1542" t="n"/>
      <c r="AG508" s="1642" t="n"/>
      <c r="AH508" s="1642" t="n"/>
      <c r="AI508" s="1642" t="n"/>
      <c r="AJ508" s="1643" t="n"/>
      <c r="AK508" s="1542" t="n"/>
      <c r="AL508" s="1642" t="n"/>
      <c r="AM508" s="1642" t="n"/>
      <c r="AN508" s="1642" t="n"/>
      <c r="AO508" s="1643" t="n"/>
      <c r="AP508" s="1542" t="n"/>
      <c r="AQ508" s="1642" t="n"/>
      <c r="AR508" s="1642" t="n"/>
      <c r="AS508" s="1642" t="n"/>
      <c r="AT508" s="1643" t="n"/>
      <c r="AU508" s="1542" t="n"/>
      <c r="AV508" s="1642" t="n"/>
      <c r="AW508" s="1642" t="n"/>
      <c r="AX508" s="1642" t="n"/>
      <c r="AY508" s="1643" t="n"/>
      <c r="AZ508" s="1542" t="n"/>
      <c r="BA508" s="1642" t="n"/>
      <c r="BB508" s="1642" t="n"/>
      <c r="BC508" s="1642" t="n"/>
      <c r="BD508" s="1643" t="n"/>
      <c r="BE508" s="1542" t="n"/>
      <c r="BF508" s="1642" t="n"/>
      <c r="BG508" s="1642" t="n"/>
      <c r="BH508" s="1642" t="n"/>
      <c r="BI508" s="1643" t="n"/>
      <c r="BJ508" s="1542" t="n"/>
      <c r="BK508" s="1642" t="n"/>
      <c r="BL508" s="1642" t="n"/>
      <c r="BM508" s="1642" t="n"/>
      <c r="BN508" s="1643" t="n"/>
      <c r="BO508" s="1542" t="n"/>
      <c r="BP508" s="1642" t="n"/>
      <c r="BQ508" s="1644" t="n"/>
      <c r="BR508" s="1645" t="n"/>
      <c r="BS508" s="1643" t="n"/>
      <c r="BT508" s="1645" t="n"/>
      <c r="BU508" s="1645" t="n"/>
      <c r="BV508" s="1645" t="n"/>
      <c r="BW508" s="1645" t="n"/>
      <c r="BX508" s="1643" t="n"/>
      <c r="BY508" s="1643" t="n"/>
      <c r="BZ508" s="1643" t="n"/>
      <c r="CA508" s="1643" t="n"/>
      <c r="CB508" s="1542" t="n"/>
    </row>
    <row r="509" ht="14.4" customFormat="1" customHeight="1" s="1646">
      <c r="A509" s="1647" t="inlineStr">
        <is>
          <t>Non-GAAP Tax Rate</t>
        </is>
      </c>
      <c r="B509" s="1648" t="n"/>
      <c r="C509" s="1649">
        <f>C497/C494</f>
        <v/>
      </c>
      <c r="D509" s="1649">
        <f>D497/D494</f>
        <v/>
      </c>
      <c r="E509" s="1649">
        <f>E497/E494</f>
        <v/>
      </c>
      <c r="F509" s="1649">
        <f>F497/F494</f>
        <v/>
      </c>
      <c r="G509" s="1650">
        <f>G497/G494</f>
        <v/>
      </c>
      <c r="H509" s="1650">
        <f>H497/H494</f>
        <v/>
      </c>
      <c r="I509" s="1650">
        <f>I497/I494</f>
        <v/>
      </c>
      <c r="J509" s="1650">
        <f>J497/J494</f>
        <v/>
      </c>
      <c r="K509" s="1649">
        <f>K497/K494</f>
        <v/>
      </c>
      <c r="L509" s="1650">
        <f>L497/L494</f>
        <v/>
      </c>
      <c r="M509" s="1650">
        <f>M497/M494</f>
        <v/>
      </c>
      <c r="N509" s="1650">
        <f>N497/N494</f>
        <v/>
      </c>
      <c r="O509" s="1650">
        <f>O497/O494</f>
        <v/>
      </c>
      <c r="P509" s="1649">
        <f>P497/P494</f>
        <v/>
      </c>
      <c r="Q509" s="1650">
        <f>Q497/Q494</f>
        <v/>
      </c>
      <c r="R509" s="1650">
        <f>R497/R494</f>
        <v/>
      </c>
      <c r="S509" s="1650">
        <f>S497/S494</f>
        <v/>
      </c>
      <c r="T509" s="1650">
        <f>T497/T494</f>
        <v/>
      </c>
      <c r="U509" s="1649">
        <f>U497/U494</f>
        <v/>
      </c>
      <c r="V509" s="1650">
        <f>V497/V494</f>
        <v/>
      </c>
      <c r="W509" s="1651">
        <f>W497/W494</f>
        <v/>
      </c>
      <c r="X509" s="1651">
        <f>X497/X494</f>
        <v/>
      </c>
      <c r="Y509" s="1651">
        <f>Y497/Y494</f>
        <v/>
      </c>
      <c r="Z509" s="1652">
        <f>Z497/Z494</f>
        <v/>
      </c>
      <c r="AA509" s="1650">
        <f>AA497/AA494</f>
        <v/>
      </c>
      <c r="AB509" s="1651">
        <f>AB497/AB494</f>
        <v/>
      </c>
      <c r="AC509" s="1651">
        <f>AC497/AC494</f>
        <v/>
      </c>
      <c r="AD509" s="1651">
        <f>AD497/AD494</f>
        <v/>
      </c>
      <c r="AE509" s="1652">
        <f>AE497/AE494</f>
        <v/>
      </c>
      <c r="AF509" s="1650">
        <f>AF497/AF494</f>
        <v/>
      </c>
      <c r="AG509" s="1651">
        <f>AG497/AG494</f>
        <v/>
      </c>
      <c r="AH509" s="1651">
        <f>AH497/AH494</f>
        <v/>
      </c>
      <c r="AI509" s="1651">
        <f>AI497/AI494</f>
        <v/>
      </c>
      <c r="AJ509" s="1652">
        <f>AJ497/AJ494</f>
        <v/>
      </c>
      <c r="AK509" s="1650">
        <f>AK497/AK494</f>
        <v/>
      </c>
      <c r="AL509" s="1651">
        <f>AL497/AL494</f>
        <v/>
      </c>
      <c r="AM509" s="1651">
        <f>AM497/AM494</f>
        <v/>
      </c>
      <c r="AN509" s="1651">
        <f>AN497/AN494</f>
        <v/>
      </c>
      <c r="AO509" s="1652">
        <f>AO497/AO494</f>
        <v/>
      </c>
      <c r="AP509" s="1650">
        <f>AP497/AP494</f>
        <v/>
      </c>
      <c r="AQ509" s="1651">
        <f>AQ497/AQ494</f>
        <v/>
      </c>
      <c r="AR509" s="1651">
        <f>AR497/AR494</f>
        <v/>
      </c>
      <c r="AS509" s="1651">
        <f>AS497/AS494</f>
        <v/>
      </c>
      <c r="AT509" s="1652">
        <f>AT497/AT494</f>
        <v/>
      </c>
      <c r="AU509" s="1650">
        <f>AU497/AU494</f>
        <v/>
      </c>
      <c r="AV509" s="1651">
        <f>AV497/AV494</f>
        <v/>
      </c>
      <c r="AW509" s="1651">
        <f>AW497/AW494</f>
        <v/>
      </c>
      <c r="AX509" s="1651">
        <f>AX497/AX494</f>
        <v/>
      </c>
      <c r="AY509" s="1652">
        <f>AY497/AY494</f>
        <v/>
      </c>
      <c r="AZ509" s="1650">
        <f>AZ497/AZ494</f>
        <v/>
      </c>
      <c r="BA509" s="1651">
        <f>BA497/BA494</f>
        <v/>
      </c>
      <c r="BB509" s="1651">
        <f>BB497/BB494</f>
        <v/>
      </c>
      <c r="BC509" s="1651">
        <f>BC497/BC494</f>
        <v/>
      </c>
      <c r="BD509" s="1652">
        <f>BD497/BD494</f>
        <v/>
      </c>
      <c r="BE509" s="1650">
        <f>BE497/BE494</f>
        <v/>
      </c>
      <c r="BF509" s="1651">
        <f>BF497/BF494</f>
        <v/>
      </c>
      <c r="BG509" s="1651">
        <f>BG497/BG494</f>
        <v/>
      </c>
      <c r="BH509" s="1651">
        <f>BH497/BH494</f>
        <v/>
      </c>
      <c r="BI509" s="1652">
        <f>BI497/BI494</f>
        <v/>
      </c>
      <c r="BJ509" s="1650">
        <f>BJ497/BJ494</f>
        <v/>
      </c>
      <c r="BK509" s="1651">
        <f>BK497/BK494</f>
        <v/>
      </c>
      <c r="BL509" s="1651">
        <f>BL497/BL494</f>
        <v/>
      </c>
      <c r="BM509" s="1651">
        <f>BM497/BM494</f>
        <v/>
      </c>
      <c r="BN509" s="1652">
        <f>BN497/BN494</f>
        <v/>
      </c>
      <c r="BO509" s="1650">
        <f>BO497/BO494</f>
        <v/>
      </c>
      <c r="BP509" s="1651">
        <f>BP497/BP494</f>
        <v/>
      </c>
      <c r="BQ509" s="1653">
        <f>BQ497/BQ494</f>
        <v/>
      </c>
      <c r="BR509" s="1654" t="n">
        <v>0.165</v>
      </c>
      <c r="BS509" s="1655">
        <f>BS497/BS494</f>
        <v/>
      </c>
      <c r="BT509" s="1654" t="n">
        <v>0.165</v>
      </c>
      <c r="BU509" s="1654" t="n">
        <v>0.165</v>
      </c>
      <c r="BV509" s="1654" t="n">
        <v>0.165</v>
      </c>
      <c r="BW509" s="1654" t="n">
        <v>0.165</v>
      </c>
      <c r="BX509" s="1655">
        <f>BX497/BX494</f>
        <v/>
      </c>
      <c r="BY509" s="1656" t="n">
        <v>0.165</v>
      </c>
      <c r="BZ509" s="1656" t="n">
        <v>0.25</v>
      </c>
      <c r="CA509" s="1656" t="n">
        <v>0.165</v>
      </c>
      <c r="CB509" s="1657" t="n"/>
    </row>
    <row r="510" ht="14.4" customFormat="1" customHeight="1" s="1646">
      <c r="A510" s="1658" t="inlineStr">
        <is>
          <t>Marginal Tax Rate on Adjustments, %</t>
        </is>
      </c>
      <c r="B510" s="1648" t="n"/>
      <c r="C510" s="1655">
        <f>-C504/SUM(C499:C503)</f>
        <v/>
      </c>
      <c r="D510" s="1655">
        <f>-D504/SUM(D499:D503)</f>
        <v/>
      </c>
      <c r="E510" s="1655">
        <f>-E504/SUM(E499:E503)</f>
        <v/>
      </c>
      <c r="F510" s="1655">
        <f>-F504/SUM(F499:F503)</f>
        <v/>
      </c>
      <c r="G510" s="1659">
        <f>-G504/SUM(G499:G503)</f>
        <v/>
      </c>
      <c r="H510" s="1659">
        <f>-H504/SUM(H499:H503)</f>
        <v/>
      </c>
      <c r="I510" s="1659">
        <f>-I504/SUM(I499:I503)</f>
        <v/>
      </c>
      <c r="J510" s="1659">
        <f>-J504/SUM(J499:J503)</f>
        <v/>
      </c>
      <c r="K510" s="1655">
        <f>-K504/SUM(K499:K503)</f>
        <v/>
      </c>
      <c r="L510" s="1659">
        <f>-L504/SUM(L499:L503)</f>
        <v/>
      </c>
      <c r="M510" s="1659">
        <f>-M504/SUM(M499:M503)</f>
        <v/>
      </c>
      <c r="N510" s="1659">
        <f>-N504/SUM(N499:N503)</f>
        <v/>
      </c>
      <c r="O510" s="1659">
        <f>-O504/SUM(O499:O503)</f>
        <v/>
      </c>
      <c r="P510" s="1655">
        <f>-P504/SUM(P499:P503)</f>
        <v/>
      </c>
      <c r="Q510" s="1659">
        <f>-Q504/SUM(Q499:Q503)</f>
        <v/>
      </c>
      <c r="R510" s="1659">
        <f>-R504/SUM(R499:R503)</f>
        <v/>
      </c>
      <c r="S510" s="1659">
        <f>-S504/SUM(S499:S503)</f>
        <v/>
      </c>
      <c r="T510" s="1659">
        <f>-T504/SUM(T499:T503)</f>
        <v/>
      </c>
      <c r="U510" s="1655">
        <f>-U504/SUM(U499:U503)</f>
        <v/>
      </c>
      <c r="V510" s="1659">
        <f>-V504/SUM(V499:V503)</f>
        <v/>
      </c>
      <c r="W510" s="1660">
        <f>-W504/SUM(W499:W503)</f>
        <v/>
      </c>
      <c r="X510" s="1660">
        <f>-X504/SUM(X499:X503)</f>
        <v/>
      </c>
      <c r="Y510" s="1660">
        <f>-Y504/SUM(Y499:Y503)</f>
        <v/>
      </c>
      <c r="Z510" s="1655">
        <f>-Z504/SUM(Z499:Z503)</f>
        <v/>
      </c>
      <c r="AA510" s="1659">
        <f>-AA504/SUM(AA499:AA503)</f>
        <v/>
      </c>
      <c r="AB510" s="1660">
        <f>-AB504/SUM(AB499:AB503)</f>
        <v/>
      </c>
      <c r="AC510" s="1660">
        <f>-AC504/SUM(AC499:AC503)</f>
        <v/>
      </c>
      <c r="AD510" s="1660">
        <f>-AD504/SUM(AD499:AD503)</f>
        <v/>
      </c>
      <c r="AE510" s="1655">
        <f>-AE504/SUM(AE499:AE503)</f>
        <v/>
      </c>
      <c r="AF510" s="1659">
        <f>-AF504/SUM(AF499:AF503)</f>
        <v/>
      </c>
      <c r="AG510" s="1660">
        <f>-AG504/SUM(AG499:AG503)</f>
        <v/>
      </c>
      <c r="AH510" s="1660">
        <f>-AH504/SUM(AH499:AH503)</f>
        <v/>
      </c>
      <c r="AI510" s="1660">
        <f>-AI504/SUM(AI499:AI503)</f>
        <v/>
      </c>
      <c r="AJ510" s="1655">
        <f>-AJ504/SUM(AJ499:AJ503)</f>
        <v/>
      </c>
      <c r="AK510" s="1659">
        <f>-AK504/SUM(AK499:AK503)</f>
        <v/>
      </c>
      <c r="AL510" s="1660">
        <f>-AL504/SUM(AL499:AL503)</f>
        <v/>
      </c>
      <c r="AM510" s="1660">
        <f>-AM504/SUM(AM499:AM503)</f>
        <v/>
      </c>
      <c r="AN510" s="1660">
        <f>-AN504/SUM(AN499:AN503)</f>
        <v/>
      </c>
      <c r="AO510" s="1655">
        <f>-AO504/SUM(AO499:AO503)</f>
        <v/>
      </c>
      <c r="AP510" s="1659">
        <f>-AP504/SUM(AP499:AP503)</f>
        <v/>
      </c>
      <c r="AQ510" s="1660">
        <f>-AQ504/SUM(AQ499:AQ503)</f>
        <v/>
      </c>
      <c r="AR510" s="1660">
        <f>-AR504/SUM(AR499:AR503)</f>
        <v/>
      </c>
      <c r="AS510" s="1660">
        <f>-AS504/SUM(AS499:AS503)</f>
        <v/>
      </c>
      <c r="AT510" s="1655">
        <f>-AT504/SUM(AT499:AT503)</f>
        <v/>
      </c>
      <c r="AU510" s="1659">
        <f>-AU504/SUM(AU499:AU503)</f>
        <v/>
      </c>
      <c r="AV510" s="1660">
        <f>-AV504/SUM(AV499:AV503)</f>
        <v/>
      </c>
      <c r="AW510" s="1660">
        <f>-AW504/SUM(AW499:AW503)</f>
        <v/>
      </c>
      <c r="AX510" s="1660">
        <f>-AX504/SUM(AX499:AX503)</f>
        <v/>
      </c>
      <c r="AY510" s="1655">
        <f>-AY504/SUM(AY499:AY503)</f>
        <v/>
      </c>
      <c r="AZ510" s="1659">
        <f>-AZ504/SUM(AZ499:AZ503)</f>
        <v/>
      </c>
      <c r="BA510" s="1660">
        <f>-BA504/SUM(BA499:BA503)</f>
        <v/>
      </c>
      <c r="BB510" s="1660">
        <f>-BB504/SUM(BB499:BB503)</f>
        <v/>
      </c>
      <c r="BC510" s="1660">
        <f>-BC504/SUM(BC499:BC503)</f>
        <v/>
      </c>
      <c r="BD510" s="1655">
        <f>-BD504/SUM(BD499:BD503)</f>
        <v/>
      </c>
      <c r="BE510" s="1659">
        <f>-BE504/SUM(BE499:BE503)</f>
        <v/>
      </c>
      <c r="BF510" s="1660">
        <f>-BF504/SUM(BF499:BF503)</f>
        <v/>
      </c>
      <c r="BG510" s="1660">
        <f>-BG504/SUM(BG499:BG503)</f>
        <v/>
      </c>
      <c r="BH510" s="1660">
        <f>-BH504/SUM(BH499:BH503)</f>
        <v/>
      </c>
      <c r="BI510" s="1655">
        <f>-BI504/SUM(BI499:BI503)</f>
        <v/>
      </c>
      <c r="BJ510" s="1659">
        <f>-BJ504/SUM(BJ499:BJ503)</f>
        <v/>
      </c>
      <c r="BK510" s="1660">
        <f>-BK504/SUM(BK499:BK503)</f>
        <v/>
      </c>
      <c r="BL510" s="1660">
        <f>-BL504/SUM(BL499:BL503)</f>
        <v/>
      </c>
      <c r="BM510" s="1660">
        <f>-BM504/SUM(BM499:BM503)</f>
        <v/>
      </c>
      <c r="BN510" s="1655">
        <f>-BN504/SUM(BN499:BN503)</f>
        <v/>
      </c>
      <c r="BO510" s="1659">
        <f>-BO504/SUM(BO499:BO503)</f>
        <v/>
      </c>
      <c r="BP510" s="1660">
        <f>-BP504/SUM(BP499:BP503)</f>
        <v/>
      </c>
      <c r="BQ510" s="1661">
        <f>-BQ504/SUM(BQ499:BQ503)</f>
        <v/>
      </c>
      <c r="BR510" s="1654" t="n">
        <v>-0.08</v>
      </c>
      <c r="BS510" s="1655">
        <f>-BS504/SUM(BS499:BS503)</f>
        <v/>
      </c>
      <c r="BT510" s="1654" t="n">
        <v>-0.03</v>
      </c>
      <c r="BU510" s="1654" t="n">
        <v>-0.03</v>
      </c>
      <c r="BV510" s="1654" t="n">
        <v>-0.03</v>
      </c>
      <c r="BW510" s="1654" t="n">
        <v>-0.03</v>
      </c>
      <c r="BX510" s="1655">
        <f>-BX504/SUM(BX499:BX503)</f>
        <v/>
      </c>
      <c r="BY510" s="1656" t="n">
        <v>-0.03</v>
      </c>
      <c r="BZ510" s="1656" t="n">
        <v>-0.03</v>
      </c>
      <c r="CA510" s="1656" t="n">
        <v>-0.03</v>
      </c>
      <c r="CB510" s="1657" t="n"/>
    </row>
    <row r="511" ht="14.4" customFormat="1" customHeight="1" s="1646">
      <c r="A511" s="1658" t="inlineStr">
        <is>
          <t>GAAP Tax Rate, %</t>
        </is>
      </c>
      <c r="B511" s="1648" t="n"/>
      <c r="C511" s="1655">
        <f>C495/(C505+C495)</f>
        <v/>
      </c>
      <c r="D511" s="1655">
        <f>D495/(D505+D495)</f>
        <v/>
      </c>
      <c r="E511" s="1655">
        <f>E495/(E505+E495)</f>
        <v/>
      </c>
      <c r="F511" s="1655">
        <f>F495/(F505+F495)</f>
        <v/>
      </c>
      <c r="G511" s="1659">
        <f>G495/(G505+G495)</f>
        <v/>
      </c>
      <c r="H511" s="1659">
        <f>H495/(H505+H495)</f>
        <v/>
      </c>
      <c r="I511" s="1659">
        <f>I495/(I505+I495)</f>
        <v/>
      </c>
      <c r="J511" s="1659">
        <f>J495/(J505+J495)</f>
        <v/>
      </c>
      <c r="K511" s="1655">
        <f>K495/(K505+K495)</f>
        <v/>
      </c>
      <c r="L511" s="1659">
        <f>L495/(L505+L495)</f>
        <v/>
      </c>
      <c r="M511" s="1659">
        <f>M495/(M505+M495)</f>
        <v/>
      </c>
      <c r="N511" s="1659">
        <f>N495/(N505+N495)</f>
        <v/>
      </c>
      <c r="O511" s="1659">
        <f>O495/(O505+O495)</f>
        <v/>
      </c>
      <c r="P511" s="1655">
        <f>P495/(P505+P495)</f>
        <v/>
      </c>
      <c r="Q511" s="1659">
        <f>Q495/(Q505+Q495)</f>
        <v/>
      </c>
      <c r="R511" s="1659">
        <f>R495/(R505+R495)</f>
        <v/>
      </c>
      <c r="S511" s="1659">
        <f>S495/(S505+S495)</f>
        <v/>
      </c>
      <c r="T511" s="1659">
        <f>T495/(T505+T495)</f>
        <v/>
      </c>
      <c r="U511" s="1655">
        <f>U495/(U505+U495)</f>
        <v/>
      </c>
      <c r="V511" s="1659">
        <f>V495/(V505+V495)</f>
        <v/>
      </c>
      <c r="W511" s="1660">
        <f>W495/(W505+W495)</f>
        <v/>
      </c>
      <c r="X511" s="1660">
        <f>X495/(X505+X495)</f>
        <v/>
      </c>
      <c r="Y511" s="1660">
        <f>Y495/(Y505+Y495)</f>
        <v/>
      </c>
      <c r="Z511" s="1655">
        <f>Z495/(Z505+Z495)</f>
        <v/>
      </c>
      <c r="AA511" s="1659">
        <f>AA495/(AA505+AA495)</f>
        <v/>
      </c>
      <c r="AB511" s="1660">
        <f>AB495/(AB505+AB495)</f>
        <v/>
      </c>
      <c r="AC511" s="1660">
        <f>AC495/(AC505+AC495)</f>
        <v/>
      </c>
      <c r="AD511" s="1660">
        <f>AD495/(AD505+AD495)</f>
        <v/>
      </c>
      <c r="AE511" s="1655">
        <f>AE495/(AE505+AE495)</f>
        <v/>
      </c>
      <c r="AF511" s="1659">
        <f>AF495/(AF505+AF495)</f>
        <v/>
      </c>
      <c r="AG511" s="1660">
        <f>AG495/(AG505+AG495)</f>
        <v/>
      </c>
      <c r="AH511" s="1660">
        <f>AH495/(AH505+AH495)</f>
        <v/>
      </c>
      <c r="AI511" s="1660">
        <f>AI495/(AI505+AI495)</f>
        <v/>
      </c>
      <c r="AJ511" s="1655">
        <f>AJ495/(AJ505+AJ495)</f>
        <v/>
      </c>
      <c r="AK511" s="1659">
        <f>AK495/(AK505+AK495)</f>
        <v/>
      </c>
      <c r="AL511" s="1660">
        <f>AL495/(AL505+AL495)</f>
        <v/>
      </c>
      <c r="AM511" s="1660">
        <f>AM495/(AM505+AM495)</f>
        <v/>
      </c>
      <c r="AN511" s="1660">
        <f>AN495/(AN505+AN495)</f>
        <v/>
      </c>
      <c r="AO511" s="1655">
        <f>AO495/(AO505+AO495)</f>
        <v/>
      </c>
      <c r="AP511" s="1659">
        <f>AP495/(AP505+AP495)</f>
        <v/>
      </c>
      <c r="AQ511" s="1660">
        <f>AQ495/(AQ505+AQ495)</f>
        <v/>
      </c>
      <c r="AR511" s="1660">
        <f>AR495/(AR505+AR495)</f>
        <v/>
      </c>
      <c r="AS511" s="1660">
        <f>AS495/(AS505+AS495)</f>
        <v/>
      </c>
      <c r="AT511" s="1655">
        <f>AT495/(AT505+AT495)</f>
        <v/>
      </c>
      <c r="AU511" s="1659">
        <f>AU495/(AU505+AU495)</f>
        <v/>
      </c>
      <c r="AV511" s="1660">
        <f>AV495/(AV505+AV495)</f>
        <v/>
      </c>
      <c r="AW511" s="1660">
        <f>AW495/(AW505+AW495)</f>
        <v/>
      </c>
      <c r="AX511" s="1660">
        <f>AX495/(AX505+AX495)</f>
        <v/>
      </c>
      <c r="AY511" s="1655">
        <f>AY495/(AY505+AY495)</f>
        <v/>
      </c>
      <c r="AZ511" s="1659">
        <f>AZ495/(AZ505+AZ495)</f>
        <v/>
      </c>
      <c r="BA511" s="1660">
        <f>BA495/(BA505+BA495)</f>
        <v/>
      </c>
      <c r="BB511" s="1660">
        <f>BB495/(BB505+BB495)</f>
        <v/>
      </c>
      <c r="BC511" s="1660">
        <f>BC495/(BC505+BC495)</f>
        <v/>
      </c>
      <c r="BD511" s="1655">
        <f>BD495/(BD505+BD495)</f>
        <v/>
      </c>
      <c r="BE511" s="1659">
        <f>BE495/(BE505+BE495)</f>
        <v/>
      </c>
      <c r="BF511" s="1660">
        <f>BF495/(BF505+BF495)</f>
        <v/>
      </c>
      <c r="BG511" s="1660">
        <f>BG495/(BG505+BG495)</f>
        <v/>
      </c>
      <c r="BH511" s="1660">
        <f>BH495/(BH505+BH495)</f>
        <v/>
      </c>
      <c r="BI511" s="1655">
        <f>BI495/(BI505+BI495)</f>
        <v/>
      </c>
      <c r="BJ511" s="1659">
        <f>BJ495/(BJ505+BJ495)</f>
        <v/>
      </c>
      <c r="BK511" s="1660">
        <f>BK495/(BK505+BK495)</f>
        <v/>
      </c>
      <c r="BL511" s="1660">
        <f>BL495/(BL505+BL495)</f>
        <v/>
      </c>
      <c r="BM511" s="1660">
        <f>BM495/(BM505+BM495)</f>
        <v/>
      </c>
      <c r="BN511" s="1655">
        <f>BN495/(BN505+BN495)</f>
        <v/>
      </c>
      <c r="BO511" s="1659">
        <f>BO495/(BO505+BO495)</f>
        <v/>
      </c>
      <c r="BP511" s="1660">
        <f>BP495/(BP505+BP495)</f>
        <v/>
      </c>
      <c r="BQ511" s="1661">
        <f>BQ495/(BQ505+BQ495)</f>
        <v/>
      </c>
      <c r="BR511" s="1659">
        <f>BR495/(BR505+BR495)</f>
        <v/>
      </c>
      <c r="BS511" s="1655">
        <f>BS495/(BS505+BS495)</f>
        <v/>
      </c>
      <c r="BT511" s="1659">
        <f>BT495/(BT505+BT495)</f>
        <v/>
      </c>
      <c r="BU511" s="1659">
        <f>BU495/(BU505+BU495)</f>
        <v/>
      </c>
      <c r="BV511" s="1659">
        <f>BV495/(BV505+BV495)</f>
        <v/>
      </c>
      <c r="BW511" s="1659">
        <f>BW495/(BW505+BW495)</f>
        <v/>
      </c>
      <c r="BX511" s="1655">
        <f>BX495/(BX505+BX495)</f>
        <v/>
      </c>
      <c r="BY511" s="1655">
        <f>BY495/(BY505+BY495)</f>
        <v/>
      </c>
      <c r="BZ511" s="1655">
        <f>BZ495/(BZ505+BZ495)</f>
        <v/>
      </c>
      <c r="CA511" s="1655">
        <f>CA495/(CA505+CA495)</f>
        <v/>
      </c>
      <c r="CB511" s="1657" t="n"/>
    </row>
    <row r="512" ht="14.4" customFormat="1" customHeight="1" s="1646">
      <c r="A512" s="1647" t="inlineStr">
        <is>
          <t>Deferred Income Tax as % of Non-GAAP Taxes, %</t>
        </is>
      </c>
      <c r="B512" s="1648" t="n"/>
      <c r="C512" s="1649">
        <f>C1096/C497</f>
        <v/>
      </c>
      <c r="D512" s="1649">
        <f>D1096/D497</f>
        <v/>
      </c>
      <c r="E512" s="1649">
        <f>E1096/E497</f>
        <v/>
      </c>
      <c r="F512" s="1649">
        <f>F1096/F497</f>
        <v/>
      </c>
      <c r="G512" s="1650">
        <f>G1096/G497</f>
        <v/>
      </c>
      <c r="H512" s="1650">
        <f>H1096/H497</f>
        <v/>
      </c>
      <c r="I512" s="1650">
        <f>I1096/I497</f>
        <v/>
      </c>
      <c r="J512" s="1650">
        <f>J1096/J497</f>
        <v/>
      </c>
      <c r="K512" s="1649">
        <f>K1096/K497</f>
        <v/>
      </c>
      <c r="L512" s="1650">
        <f>L1096/L497</f>
        <v/>
      </c>
      <c r="M512" s="1650">
        <f>M1096/M497</f>
        <v/>
      </c>
      <c r="N512" s="1650">
        <f>N1096/N497</f>
        <v/>
      </c>
      <c r="O512" s="1650">
        <f>O1096/O497</f>
        <v/>
      </c>
      <c r="P512" s="1649">
        <f>P1096/P497</f>
        <v/>
      </c>
      <c r="Q512" s="1650">
        <f>Q1096/Q497</f>
        <v/>
      </c>
      <c r="R512" s="1650">
        <f>R1096/R497</f>
        <v/>
      </c>
      <c r="S512" s="1650">
        <f>S1096/S497</f>
        <v/>
      </c>
      <c r="T512" s="1650">
        <f>T1096/T497</f>
        <v/>
      </c>
      <c r="U512" s="1649">
        <f>U1096/U497</f>
        <v/>
      </c>
      <c r="V512" s="1650">
        <f>V1096/V497</f>
        <v/>
      </c>
      <c r="W512" s="1651">
        <f>W1096/W497</f>
        <v/>
      </c>
      <c r="X512" s="1651">
        <f>X1096/X497</f>
        <v/>
      </c>
      <c r="Y512" s="1651">
        <f>Y1096/Y497</f>
        <v/>
      </c>
      <c r="Z512" s="1652">
        <f>Z1096/Z497</f>
        <v/>
      </c>
      <c r="AA512" s="1650">
        <f>AA1096/AA497</f>
        <v/>
      </c>
      <c r="AB512" s="1651">
        <f>AB1096/AB497</f>
        <v/>
      </c>
      <c r="AC512" s="1651">
        <f>AC1096/AC497</f>
        <v/>
      </c>
      <c r="AD512" s="1651">
        <f>AD1096/AD497</f>
        <v/>
      </c>
      <c r="AE512" s="1652">
        <f>AE1096/AE497</f>
        <v/>
      </c>
      <c r="AF512" s="1650">
        <f>AF1096/AF497</f>
        <v/>
      </c>
      <c r="AG512" s="1651">
        <f>AG1096/AG497</f>
        <v/>
      </c>
      <c r="AH512" s="1651">
        <f>AH1096/AH497</f>
        <v/>
      </c>
      <c r="AI512" s="1651">
        <f>AI1096/AI497</f>
        <v/>
      </c>
      <c r="AJ512" s="1652">
        <f>AJ1096/AJ497</f>
        <v/>
      </c>
      <c r="AK512" s="1650">
        <f>AK1096/AK497</f>
        <v/>
      </c>
      <c r="AL512" s="1651">
        <f>AL1096/AL497</f>
        <v/>
      </c>
      <c r="AM512" s="1651">
        <f>AM1096/AM497</f>
        <v/>
      </c>
      <c r="AN512" s="1651">
        <f>AN1096/AN497</f>
        <v/>
      </c>
      <c r="AO512" s="1652">
        <f>AO1096/AO497</f>
        <v/>
      </c>
      <c r="AP512" s="1650">
        <f>AP1096/AP497</f>
        <v/>
      </c>
      <c r="AQ512" s="1651">
        <f>AQ1096/AQ497</f>
        <v/>
      </c>
      <c r="AR512" s="1651">
        <f>AR1096/AR497</f>
        <v/>
      </c>
      <c r="AS512" s="1651">
        <f>AS1096/AS497</f>
        <v/>
      </c>
      <c r="AT512" s="1652">
        <f>AT1096/AT497</f>
        <v/>
      </c>
      <c r="AU512" s="1650">
        <f>AU1096/AU497</f>
        <v/>
      </c>
      <c r="AV512" s="1651">
        <f>AV1096/AV497</f>
        <v/>
      </c>
      <c r="AW512" s="1651">
        <f>AW1096/AW497</f>
        <v/>
      </c>
      <c r="AX512" s="1651">
        <f>AX1096/AX497</f>
        <v/>
      </c>
      <c r="AY512" s="1652">
        <f>AY1096/AY497</f>
        <v/>
      </c>
      <c r="AZ512" s="1650">
        <f>AZ1096/AZ497</f>
        <v/>
      </c>
      <c r="BA512" s="1651">
        <f>BA1096/BA497</f>
        <v/>
      </c>
      <c r="BB512" s="1651">
        <f>BB1096/BB497</f>
        <v/>
      </c>
      <c r="BC512" s="1651">
        <f>BC1096/BC497</f>
        <v/>
      </c>
      <c r="BD512" s="1652">
        <f>BD1096/BD497</f>
        <v/>
      </c>
      <c r="BE512" s="1650">
        <f>BE1096/BE497</f>
        <v/>
      </c>
      <c r="BF512" s="1651">
        <f>BF1096/BF497</f>
        <v/>
      </c>
      <c r="BG512" s="1651">
        <f>BG1096/BG497</f>
        <v/>
      </c>
      <c r="BH512" s="1651">
        <f>BH1096/BH497</f>
        <v/>
      </c>
      <c r="BI512" s="1652">
        <f>BI1096/BI497</f>
        <v/>
      </c>
      <c r="BJ512" s="1650">
        <f>BJ1096/BJ497</f>
        <v/>
      </c>
      <c r="BK512" s="1651">
        <f>BK1096/BK497</f>
        <v/>
      </c>
      <c r="BL512" s="1651">
        <f>BL1096/BL497</f>
        <v/>
      </c>
      <c r="BM512" s="1651">
        <f>BM1096/BM497</f>
        <v/>
      </c>
      <c r="BN512" s="1652">
        <f>BN1096/BN497</f>
        <v/>
      </c>
      <c r="BO512" s="1650">
        <f>BO1096/BO497</f>
        <v/>
      </c>
      <c r="BP512" s="1651">
        <f>BP1096/BP497</f>
        <v/>
      </c>
      <c r="BQ512" s="1653">
        <f>BQ1096/BQ497</f>
        <v/>
      </c>
      <c r="BR512" s="1654" t="n">
        <v>0</v>
      </c>
      <c r="BS512" s="1655">
        <f>BS1096/BS497</f>
        <v/>
      </c>
      <c r="BT512" s="1654" t="n">
        <v>0</v>
      </c>
      <c r="BU512" s="1654" t="n">
        <v>0</v>
      </c>
      <c r="BV512" s="1654" t="n">
        <v>0</v>
      </c>
      <c r="BW512" s="1654" t="n">
        <v>0</v>
      </c>
      <c r="BX512" s="1655">
        <f>BX1096/BX497</f>
        <v/>
      </c>
      <c r="BY512" s="1656" t="n">
        <v>0</v>
      </c>
      <c r="BZ512" s="1656" t="n">
        <v>0</v>
      </c>
      <c r="CA512" s="1656" t="n">
        <v>0</v>
      </c>
      <c r="CB512" s="1657" t="n"/>
    </row>
    <row r="513" ht="7.5" customFormat="1" customHeight="1" s="1640">
      <c r="A513" s="1596" t="n"/>
      <c r="B513" s="1641" t="n"/>
      <c r="C513" s="1541" t="n"/>
      <c r="D513" s="1541" t="n"/>
      <c r="E513" s="1541" t="n"/>
      <c r="F513" s="1541" t="n"/>
      <c r="G513" s="1542" t="n"/>
      <c r="H513" s="1542" t="n"/>
      <c r="I513" s="1542" t="n"/>
      <c r="J513" s="1542" t="n"/>
      <c r="K513" s="1541" t="n"/>
      <c r="L513" s="1542" t="n"/>
      <c r="M513" s="1542" t="n"/>
      <c r="N513" s="1542" t="n"/>
      <c r="O513" s="1542" t="n"/>
      <c r="P513" s="1541" t="n"/>
      <c r="Q513" s="1542" t="n"/>
      <c r="R513" s="1542" t="n"/>
      <c r="S513" s="1542" t="n"/>
      <c r="T513" s="1542" t="n"/>
      <c r="U513" s="1541" t="n"/>
      <c r="V513" s="1542" t="n"/>
      <c r="W513" s="1642" t="n"/>
      <c r="X513" s="1642" t="n"/>
      <c r="Y513" s="1642" t="n"/>
      <c r="Z513" s="1643" t="n"/>
      <c r="AA513" s="1542" t="n"/>
      <c r="AB513" s="1642" t="n"/>
      <c r="AC513" s="1642" t="n"/>
      <c r="AD513" s="1642" t="n"/>
      <c r="AE513" s="1643" t="n"/>
      <c r="AF513" s="1542" t="n"/>
      <c r="AG513" s="1642" t="n"/>
      <c r="AH513" s="1642" t="n"/>
      <c r="AI513" s="1642" t="n"/>
      <c r="AJ513" s="1643" t="n"/>
      <c r="AK513" s="1542" t="n"/>
      <c r="AL513" s="1642" t="n"/>
      <c r="AM513" s="1642" t="n"/>
      <c r="AN513" s="1642" t="n"/>
      <c r="AO513" s="1643" t="n"/>
      <c r="AP513" s="1542" t="n"/>
      <c r="AQ513" s="1642" t="n"/>
      <c r="AR513" s="1642" t="n"/>
      <c r="AS513" s="1642" t="n"/>
      <c r="AT513" s="1643" t="n"/>
      <c r="AU513" s="1542" t="n"/>
      <c r="AV513" s="1642" t="n"/>
      <c r="AW513" s="1642" t="n"/>
      <c r="AX513" s="1642" t="n"/>
      <c r="AY513" s="1643" t="n"/>
      <c r="AZ513" s="1542" t="n"/>
      <c r="BA513" s="1642" t="n"/>
      <c r="BB513" s="1642" t="n"/>
      <c r="BC513" s="1642" t="n"/>
      <c r="BD513" s="1643" t="n"/>
      <c r="BE513" s="1542" t="n"/>
      <c r="BF513" s="1642" t="n"/>
      <c r="BG513" s="1642" t="n"/>
      <c r="BH513" s="1642" t="n"/>
      <c r="BI513" s="1643" t="n"/>
      <c r="BJ513" s="1542" t="n"/>
      <c r="BK513" s="1642" t="n"/>
      <c r="BL513" s="1642" t="n"/>
      <c r="BM513" s="1642" t="n"/>
      <c r="BN513" s="1643" t="n"/>
      <c r="BO513" s="1542" t="n"/>
      <c r="BP513" s="1642" t="n"/>
      <c r="BQ513" s="1644" t="n"/>
      <c r="BR513" s="1645" t="n"/>
      <c r="BS513" s="1643" t="n"/>
      <c r="BT513" s="1645" t="n"/>
      <c r="BU513" s="1645" t="n"/>
      <c r="BV513" s="1645" t="n"/>
      <c r="BW513" s="1645" t="n"/>
      <c r="BX513" s="1643" t="n"/>
      <c r="BY513" s="1643" t="n"/>
      <c r="BZ513" s="1643" t="n"/>
      <c r="CA513" s="1643" t="n"/>
      <c r="CB513" s="1542" t="n"/>
    </row>
    <row r="514" hidden="1" outlineLevel="1" ht="14.4" customFormat="1" customHeight="1" s="1662">
      <c r="A514" s="1663" t="inlineStr">
        <is>
          <t>GAAP Earnings Per Share - WAB</t>
        </is>
      </c>
      <c r="B514" s="1664" t="n"/>
      <c r="C514" s="1665">
        <f>C505/C520</f>
        <v/>
      </c>
      <c r="D514" s="1665">
        <f>D505/D520</f>
        <v/>
      </c>
      <c r="E514" s="1665">
        <f>E505/E520</f>
        <v/>
      </c>
      <c r="F514" s="1665">
        <f>F505/F520</f>
        <v/>
      </c>
      <c r="G514" s="1666">
        <f>G505/G520</f>
        <v/>
      </c>
      <c r="H514" s="1666">
        <f>H505/H520</f>
        <v/>
      </c>
      <c r="I514" s="1666">
        <f>I505/I520</f>
        <v/>
      </c>
      <c r="J514" s="1666">
        <f>J505/J520</f>
        <v/>
      </c>
      <c r="K514" s="1665">
        <f>K505/K520</f>
        <v/>
      </c>
      <c r="L514" s="1666">
        <f>L505/L520</f>
        <v/>
      </c>
      <c r="M514" s="1666">
        <f>M505/M520</f>
        <v/>
      </c>
      <c r="N514" s="1666">
        <f>N505/N520</f>
        <v/>
      </c>
      <c r="O514" s="1666">
        <f>O505/O520</f>
        <v/>
      </c>
      <c r="P514" s="1665">
        <f>P505/P520</f>
        <v/>
      </c>
      <c r="Q514" s="1666">
        <f>Q505/Q520</f>
        <v/>
      </c>
      <c r="R514" s="1666">
        <f>R505/R520</f>
        <v/>
      </c>
      <c r="S514" s="1666">
        <f>S505/S520</f>
        <v/>
      </c>
      <c r="T514" s="1667">
        <f>T505/T520</f>
        <v/>
      </c>
      <c r="U514" s="1665">
        <f>U505/U520</f>
        <v/>
      </c>
      <c r="V514" s="1666">
        <f>V505/V520</f>
        <v/>
      </c>
      <c r="W514" s="1668">
        <f>W505/W520</f>
        <v/>
      </c>
      <c r="X514" s="1668">
        <f>X505/X520</f>
        <v/>
      </c>
      <c r="Y514" s="1667">
        <f>Y505/Y520</f>
        <v/>
      </c>
      <c r="Z514" s="1665">
        <f>Z505/Z520</f>
        <v/>
      </c>
      <c r="AA514" s="1666">
        <f>AA505/AA520</f>
        <v/>
      </c>
      <c r="AB514" s="1668">
        <f>AB505/AB520</f>
        <v/>
      </c>
      <c r="AC514" s="1668">
        <f>AC505/AC520</f>
        <v/>
      </c>
      <c r="AD514" s="1667">
        <f>AD505/AD520</f>
        <v/>
      </c>
      <c r="AE514" s="1665">
        <f>AE505/AE520</f>
        <v/>
      </c>
      <c r="AF514" s="1666">
        <f>AF505/AF520</f>
        <v/>
      </c>
      <c r="AG514" s="1668">
        <f>AG505/AG520</f>
        <v/>
      </c>
      <c r="AH514" s="1668">
        <f>AH505/AH520</f>
        <v/>
      </c>
      <c r="AI514" s="1667">
        <f>AI505/AI520</f>
        <v/>
      </c>
      <c r="AJ514" s="1665">
        <f>AJ505/AJ520</f>
        <v/>
      </c>
      <c r="AK514" s="1666">
        <f>AK505/AK520</f>
        <v/>
      </c>
      <c r="AL514" s="1668">
        <f>AL505/AL520</f>
        <v/>
      </c>
      <c r="AM514" s="1668">
        <f>AM505/AM520</f>
        <v/>
      </c>
      <c r="AN514" s="1667">
        <f>AN505/AN520</f>
        <v/>
      </c>
      <c r="AO514" s="1665">
        <f>AO505/AO520</f>
        <v/>
      </c>
      <c r="AP514" s="1666">
        <f>AP505/AP520</f>
        <v/>
      </c>
      <c r="AQ514" s="1668">
        <f>AQ505/AQ520</f>
        <v/>
      </c>
      <c r="AR514" s="1668">
        <f>AR505/AR520</f>
        <v/>
      </c>
      <c r="AS514" s="1667">
        <f>AS505/AS520</f>
        <v/>
      </c>
      <c r="AT514" s="1665">
        <f>AT505/AT520</f>
        <v/>
      </c>
      <c r="AU514" s="1666">
        <f>AU505/AU520</f>
        <v/>
      </c>
      <c r="AV514" s="1668">
        <f>AV505/AV520</f>
        <v/>
      </c>
      <c r="AW514" s="1668">
        <f>AW505/AW520</f>
        <v/>
      </c>
      <c r="AX514" s="1667">
        <f>AX505/AX520</f>
        <v/>
      </c>
      <c r="AY514" s="1665">
        <f>AY505/AY520</f>
        <v/>
      </c>
      <c r="AZ514" s="1666">
        <f>AZ505/AZ520</f>
        <v/>
      </c>
      <c r="BA514" s="1668">
        <f>BA505/BA520</f>
        <v/>
      </c>
      <c r="BB514" s="1668">
        <f>BB505/BB520</f>
        <v/>
      </c>
      <c r="BC514" s="1667">
        <f>BC505/BC520</f>
        <v/>
      </c>
      <c r="BD514" s="1665">
        <f>BD505/BD520</f>
        <v/>
      </c>
      <c r="BE514" s="1666">
        <f>BE505/BE520</f>
        <v/>
      </c>
      <c r="BF514" s="1668">
        <f>BF505/BF520</f>
        <v/>
      </c>
      <c r="BG514" s="1668">
        <f>BG505/BG520</f>
        <v/>
      </c>
      <c r="BH514" s="1667">
        <f>BH505/BH520</f>
        <v/>
      </c>
      <c r="BI514" s="1665">
        <f>BI505/BI520</f>
        <v/>
      </c>
      <c r="BJ514" s="1666">
        <f>BJ505/BJ520</f>
        <v/>
      </c>
      <c r="BK514" s="1668">
        <f>BK505/BK520</f>
        <v/>
      </c>
      <c r="BL514" s="1668">
        <f>BL505/BL520</f>
        <v/>
      </c>
      <c r="BM514" s="1667">
        <f>BM505/BM520</f>
        <v/>
      </c>
      <c r="BN514" s="1665">
        <f>BN505/BN520</f>
        <v/>
      </c>
      <c r="BO514" s="1666">
        <f>BO505/BO520</f>
        <v/>
      </c>
      <c r="BP514" s="1668">
        <f>BP505/BP520</f>
        <v/>
      </c>
      <c r="BQ514" s="1669">
        <f>BQ505/BQ520</f>
        <v/>
      </c>
      <c r="BR514" s="1670">
        <f>BR505/BR520</f>
        <v/>
      </c>
      <c r="BS514" s="1671">
        <f>BS505/BS520</f>
        <v/>
      </c>
      <c r="BT514" s="1670">
        <f>BT505/BT520</f>
        <v/>
      </c>
      <c r="BU514" s="1670">
        <f>BU505/BU520</f>
        <v/>
      </c>
      <c r="BV514" s="1670">
        <f>BV505/BV520</f>
        <v/>
      </c>
      <c r="BW514" s="1670">
        <f>BW505/BW520</f>
        <v/>
      </c>
      <c r="BX514" s="1671">
        <f>BX505/BX520</f>
        <v/>
      </c>
      <c r="BY514" s="1671">
        <f>BY505/BY520</f>
        <v/>
      </c>
      <c r="BZ514" s="1671">
        <f>BZ505/BZ520</f>
        <v/>
      </c>
      <c r="CA514" s="1671">
        <f>CA505/CA520</f>
        <v/>
      </c>
      <c r="CB514" s="1672" t="n"/>
    </row>
    <row r="515" hidden="1" outlineLevel="1" ht="14.4" customFormat="1" customHeight="1" s="1662">
      <c r="A515" s="1663" t="inlineStr">
        <is>
          <t>GAAP Earnings Per Share - WAD</t>
        </is>
      </c>
      <c r="B515" s="1664" t="n"/>
      <c r="C515" s="1665">
        <f>C507/C521</f>
        <v/>
      </c>
      <c r="D515" s="1665">
        <f>D507/D521</f>
        <v/>
      </c>
      <c r="E515" s="1665">
        <f>E507/E521</f>
        <v/>
      </c>
      <c r="F515" s="1665">
        <f>F507/F521</f>
        <v/>
      </c>
      <c r="G515" s="1666">
        <f>G507/G521</f>
        <v/>
      </c>
      <c r="H515" s="1666">
        <f>H507/H521</f>
        <v/>
      </c>
      <c r="I515" s="1666">
        <f>I507/I521</f>
        <v/>
      </c>
      <c r="J515" s="1666">
        <f>J507/J521</f>
        <v/>
      </c>
      <c r="K515" s="1665">
        <f>K507/K521</f>
        <v/>
      </c>
      <c r="L515" s="1666">
        <f>L507/L521</f>
        <v/>
      </c>
      <c r="M515" s="1666">
        <f>M507/M521</f>
        <v/>
      </c>
      <c r="N515" s="1666">
        <f>N507/N521</f>
        <v/>
      </c>
      <c r="O515" s="1666">
        <f>O507/O521</f>
        <v/>
      </c>
      <c r="P515" s="1665">
        <f>P507/P521</f>
        <v/>
      </c>
      <c r="Q515" s="1666">
        <f>Q507/Q521</f>
        <v/>
      </c>
      <c r="R515" s="1666">
        <f>R507/R521</f>
        <v/>
      </c>
      <c r="S515" s="1666">
        <f>S507/S521</f>
        <v/>
      </c>
      <c r="T515" s="1667">
        <f>T507/T521</f>
        <v/>
      </c>
      <c r="U515" s="1665">
        <f>U507/U521</f>
        <v/>
      </c>
      <c r="V515" s="1666">
        <f>V507/V521</f>
        <v/>
      </c>
      <c r="W515" s="1668">
        <f>W507/W521</f>
        <v/>
      </c>
      <c r="X515" s="1668">
        <f>X507/X521</f>
        <v/>
      </c>
      <c r="Y515" s="1667">
        <f>Y507/Y521</f>
        <v/>
      </c>
      <c r="Z515" s="1665">
        <f>Z507/Z521</f>
        <v/>
      </c>
      <c r="AA515" s="1666">
        <f>AA507/AA521</f>
        <v/>
      </c>
      <c r="AB515" s="1668">
        <f>AB507/AB521</f>
        <v/>
      </c>
      <c r="AC515" s="1668">
        <f>AC507/AC521</f>
        <v/>
      </c>
      <c r="AD515" s="1667">
        <f>AD507/AD521</f>
        <v/>
      </c>
      <c r="AE515" s="1665">
        <f>AE507/AE521</f>
        <v/>
      </c>
      <c r="AF515" s="1666">
        <f>AF507/AF521</f>
        <v/>
      </c>
      <c r="AG515" s="1668">
        <f>AG507/AG521</f>
        <v/>
      </c>
      <c r="AH515" s="1668">
        <f>AH507/AH521</f>
        <v/>
      </c>
      <c r="AI515" s="1667">
        <f>AI507/AI521</f>
        <v/>
      </c>
      <c r="AJ515" s="1665">
        <f>AJ507/AJ521</f>
        <v/>
      </c>
      <c r="AK515" s="1666">
        <f>AK507/AK521</f>
        <v/>
      </c>
      <c r="AL515" s="1668">
        <f>AL507/AL521</f>
        <v/>
      </c>
      <c r="AM515" s="1668">
        <f>AM507/AM521</f>
        <v/>
      </c>
      <c r="AN515" s="1667">
        <f>AN507/AN521</f>
        <v/>
      </c>
      <c r="AO515" s="1665">
        <f>AO507/AO521</f>
        <v/>
      </c>
      <c r="AP515" s="1666">
        <f>AP507/AP521</f>
        <v/>
      </c>
      <c r="AQ515" s="1668">
        <f>AQ507/AQ521</f>
        <v/>
      </c>
      <c r="AR515" s="1668">
        <f>AR507/AR521</f>
        <v/>
      </c>
      <c r="AS515" s="1667">
        <f>AS507/AS521</f>
        <v/>
      </c>
      <c r="AT515" s="1665">
        <f>AT507/AT521</f>
        <v/>
      </c>
      <c r="AU515" s="1666">
        <f>AU507/AU521</f>
        <v/>
      </c>
      <c r="AV515" s="1668">
        <f>AV507/AV521</f>
        <v/>
      </c>
      <c r="AW515" s="1668">
        <f>AW507/AW521</f>
        <v/>
      </c>
      <c r="AX515" s="1667">
        <f>AX507/AX521</f>
        <v/>
      </c>
      <c r="AY515" s="1665">
        <f>AY507/AY521</f>
        <v/>
      </c>
      <c r="AZ515" s="1666">
        <f>AZ507/AZ521</f>
        <v/>
      </c>
      <c r="BA515" s="1668">
        <f>BA507/BA521</f>
        <v/>
      </c>
      <c r="BB515" s="1668">
        <f>BB507/BB521</f>
        <v/>
      </c>
      <c r="BC515" s="1667">
        <f>BC507/BC521</f>
        <v/>
      </c>
      <c r="BD515" s="1665">
        <f>BD507/BD521</f>
        <v/>
      </c>
      <c r="BE515" s="1666">
        <f>BE507/BE521</f>
        <v/>
      </c>
      <c r="BF515" s="1668">
        <f>BF507/BF521</f>
        <v/>
      </c>
      <c r="BG515" s="1668">
        <f>BG507/BG521</f>
        <v/>
      </c>
      <c r="BH515" s="1667">
        <f>BH507/BH521</f>
        <v/>
      </c>
      <c r="BI515" s="1665">
        <f>BI507/BI521</f>
        <v/>
      </c>
      <c r="BJ515" s="1666">
        <f>BJ507/BJ521</f>
        <v/>
      </c>
      <c r="BK515" s="1668">
        <f>BK507/BK521</f>
        <v/>
      </c>
      <c r="BL515" s="1668">
        <f>BL507/BL521</f>
        <v/>
      </c>
      <c r="BM515" s="1667">
        <f>BM507/BM521</f>
        <v/>
      </c>
      <c r="BN515" s="1665">
        <f>BN507/BN521</f>
        <v/>
      </c>
      <c r="BO515" s="1666">
        <f>BO507/BO521</f>
        <v/>
      </c>
      <c r="BP515" s="1668">
        <f>BP507/BP521</f>
        <v/>
      </c>
      <c r="BQ515" s="1669">
        <f>BQ507/BQ521</f>
        <v/>
      </c>
      <c r="BR515" s="1670">
        <f>BR507/BR521</f>
        <v/>
      </c>
      <c r="BS515" s="1671">
        <f>BS507/BS521</f>
        <v/>
      </c>
      <c r="BT515" s="1670">
        <f>BT507/BT521</f>
        <v/>
      </c>
      <c r="BU515" s="1670">
        <f>BU507/BU521</f>
        <v/>
      </c>
      <c r="BV515" s="1670">
        <f>BV507/BV521</f>
        <v/>
      </c>
      <c r="BW515" s="1670">
        <f>BW507/BW521</f>
        <v/>
      </c>
      <c r="BX515" s="1671">
        <f>BX507/BX521</f>
        <v/>
      </c>
      <c r="BY515" s="1671">
        <f>BY507/BY521</f>
        <v/>
      </c>
      <c r="BZ515" s="1671">
        <f>BZ507/BZ521</f>
        <v/>
      </c>
      <c r="CA515" s="1671">
        <f>CA507/CA521</f>
        <v/>
      </c>
      <c r="CB515" s="1672" t="n"/>
    </row>
    <row r="516" collapsed="1" ht="14.4" customFormat="1" customHeight="1" s="1662">
      <c r="A516" s="1663" t="inlineStr">
        <is>
          <t>Non-GAAP Adjusted Earnings Per Share - WAD</t>
        </is>
      </c>
      <c r="B516" s="1664" t="n"/>
      <c r="C516" s="1665">
        <f>C498/C522</f>
        <v/>
      </c>
      <c r="D516" s="1665">
        <f>D498/D522</f>
        <v/>
      </c>
      <c r="E516" s="1665">
        <f>E498/E522</f>
        <v/>
      </c>
      <c r="F516" s="1665">
        <f>F498/F522</f>
        <v/>
      </c>
      <c r="G516" s="1666">
        <f>G498/G522</f>
        <v/>
      </c>
      <c r="H516" s="1668">
        <f>H498/H522</f>
        <v/>
      </c>
      <c r="I516" s="1668">
        <f>I498/I522</f>
        <v/>
      </c>
      <c r="J516" s="1667">
        <f>J498/J522</f>
        <v/>
      </c>
      <c r="K516" s="1665">
        <f>K498/K522</f>
        <v/>
      </c>
      <c r="L516" s="1666">
        <f>L498/L522</f>
        <v/>
      </c>
      <c r="M516" s="1666">
        <f>M498/M522</f>
        <v/>
      </c>
      <c r="N516" s="1666">
        <f>N498/N522</f>
        <v/>
      </c>
      <c r="O516" s="1667">
        <f>O498/O522</f>
        <v/>
      </c>
      <c r="P516" s="1665">
        <f>P498/P522</f>
        <v/>
      </c>
      <c r="Q516" s="1666">
        <f>Q498/Q522</f>
        <v/>
      </c>
      <c r="R516" s="1666">
        <f>R498/R522</f>
        <v/>
      </c>
      <c r="S516" s="1666">
        <f>S498/S522</f>
        <v/>
      </c>
      <c r="T516" s="1667">
        <f>T498/T522</f>
        <v/>
      </c>
      <c r="U516" s="1665">
        <f>U498/U522</f>
        <v/>
      </c>
      <c r="V516" s="1666">
        <f>V498/V522</f>
        <v/>
      </c>
      <c r="W516" s="1668">
        <f>W498/W522</f>
        <v/>
      </c>
      <c r="X516" s="1668">
        <f>X498/X522</f>
        <v/>
      </c>
      <c r="Y516" s="1667">
        <f>Y498/Y522</f>
        <v/>
      </c>
      <c r="Z516" s="1665">
        <f>Z498/Z522</f>
        <v/>
      </c>
      <c r="AA516" s="1666">
        <f>AA498/AA522</f>
        <v/>
      </c>
      <c r="AB516" s="1668">
        <f>AB498/AB522</f>
        <v/>
      </c>
      <c r="AC516" s="1668">
        <f>AC498/AC522</f>
        <v/>
      </c>
      <c r="AD516" s="1667">
        <f>AD498/AD522</f>
        <v/>
      </c>
      <c r="AE516" s="1665">
        <f>AE498/AE522</f>
        <v/>
      </c>
      <c r="AF516" s="1666">
        <f>AF498/AF522</f>
        <v/>
      </c>
      <c r="AG516" s="1668">
        <f>AG498/AG522</f>
        <v/>
      </c>
      <c r="AH516" s="1668">
        <f>AH498/AH522</f>
        <v/>
      </c>
      <c r="AI516" s="1667">
        <f>AI498/AI522</f>
        <v/>
      </c>
      <c r="AJ516" s="1665">
        <f>AJ498/AJ522</f>
        <v/>
      </c>
      <c r="AK516" s="1666">
        <f>AK498/AK522</f>
        <v/>
      </c>
      <c r="AL516" s="1668">
        <f>AL498/AL522</f>
        <v/>
      </c>
      <c r="AM516" s="1668">
        <f>AM498/AM522</f>
        <v/>
      </c>
      <c r="AN516" s="1667">
        <f>AN498/AN522</f>
        <v/>
      </c>
      <c r="AO516" s="1665">
        <f>AO498/AO522</f>
        <v/>
      </c>
      <c r="AP516" s="1666">
        <f>AP498/AP522</f>
        <v/>
      </c>
      <c r="AQ516" s="1668">
        <f>AQ498/AQ522</f>
        <v/>
      </c>
      <c r="AR516" s="1668">
        <f>AR498/AR522</f>
        <v/>
      </c>
      <c r="AS516" s="1667">
        <f>AS498/AS522</f>
        <v/>
      </c>
      <c r="AT516" s="1665">
        <f>AT498/AT522</f>
        <v/>
      </c>
      <c r="AU516" s="1666">
        <f>AU498/AU522</f>
        <v/>
      </c>
      <c r="AV516" s="1668">
        <f>AV498/AV522</f>
        <v/>
      </c>
      <c r="AW516" s="1668">
        <f>AW498/AW522</f>
        <v/>
      </c>
      <c r="AX516" s="1667">
        <f>AX498/AX522</f>
        <v/>
      </c>
      <c r="AY516" s="1665">
        <f>AY498/AY522</f>
        <v/>
      </c>
      <c r="AZ516" s="1666">
        <f>AZ498/AZ522</f>
        <v/>
      </c>
      <c r="BA516" s="1668">
        <f>BA498/BA522</f>
        <v/>
      </c>
      <c r="BB516" s="1668">
        <f>BB498/BB522</f>
        <v/>
      </c>
      <c r="BC516" s="1667">
        <f>BC498/BC522</f>
        <v/>
      </c>
      <c r="BD516" s="1665">
        <f>BD498/BD522</f>
        <v/>
      </c>
      <c r="BE516" s="1666">
        <f>BE498/BE522</f>
        <v/>
      </c>
      <c r="BF516" s="1668">
        <f>BF498/BF522</f>
        <v/>
      </c>
      <c r="BG516" s="1668">
        <f>BG498/BG522</f>
        <v/>
      </c>
      <c r="BH516" s="1667">
        <f>BH498/BH522</f>
        <v/>
      </c>
      <c r="BI516" s="1665">
        <f>BI498/BI522</f>
        <v/>
      </c>
      <c r="BJ516" s="1666">
        <f>BJ498/BJ522</f>
        <v/>
      </c>
      <c r="BK516" s="1668">
        <f>BK498/BK522</f>
        <v/>
      </c>
      <c r="BL516" s="1668">
        <f>BL498/BL522</f>
        <v/>
      </c>
      <c r="BM516" s="1667">
        <f>BM498/BM522</f>
        <v/>
      </c>
      <c r="BN516" s="1665">
        <f>BN498/BN522</f>
        <v/>
      </c>
      <c r="BO516" s="1666">
        <f>BO498/BO522</f>
        <v/>
      </c>
      <c r="BP516" s="1668">
        <f>BP498/BP522</f>
        <v/>
      </c>
      <c r="BQ516" s="1669">
        <f>BQ498/BQ522</f>
        <v/>
      </c>
      <c r="BR516" s="1670">
        <f>BR498/BR522</f>
        <v/>
      </c>
      <c r="BS516" s="1671">
        <f>BS498/BS522</f>
        <v/>
      </c>
      <c r="BT516" s="1670">
        <f>BT498/BT522</f>
        <v/>
      </c>
      <c r="BU516" s="1670">
        <f>BU498/BU522</f>
        <v/>
      </c>
      <c r="BV516" s="1670">
        <f>BV498/BV522</f>
        <v/>
      </c>
      <c r="BW516" s="1670">
        <f>BW498/BW522</f>
        <v/>
      </c>
      <c r="BX516" s="1671">
        <f>BX498/BX522</f>
        <v/>
      </c>
      <c r="BY516" s="1671">
        <f>BY498/BY522</f>
        <v/>
      </c>
      <c r="BZ516" s="1671">
        <f>BZ498/BZ522</f>
        <v/>
      </c>
      <c r="CA516" s="1671">
        <f>CA498/CA522</f>
        <v/>
      </c>
      <c r="CB516" s="1672" t="n"/>
    </row>
    <row r="517" ht="14.4" customFormat="1" customHeight="1" s="1673">
      <c r="A517" s="1674">
        <f>CONCATENATE("Consensus Estimates - ",IFERROR(LEFT(A516,FIND("(",A516)-1),A516))</f>
        <v/>
      </c>
      <c r="B517" s="1675" t="n"/>
      <c r="C517" s="1676" t="n"/>
      <c r="D517" s="1676" t="n"/>
      <c r="E517" s="1676" t="n"/>
      <c r="F517" s="1676" t="n"/>
      <c r="G517" s="1677" t="n"/>
      <c r="H517" s="1677" t="n"/>
      <c r="I517" s="1677" t="n"/>
      <c r="J517" s="1677" t="n"/>
      <c r="K517" s="1676" t="n"/>
      <c r="L517" s="1677" t="n"/>
      <c r="M517" s="1677" t="n"/>
      <c r="N517" s="1677" t="n"/>
      <c r="O517" s="1677" t="n"/>
      <c r="P517" s="1676" t="n"/>
      <c r="Q517" s="1677" t="n"/>
      <c r="R517" s="1677" t="n"/>
      <c r="S517" s="1677" t="n"/>
      <c r="T517" s="1677" t="n"/>
      <c r="U517" s="1676" t="n"/>
      <c r="V517" s="1677" t="n"/>
      <c r="W517" s="1678" t="n"/>
      <c r="X517" s="1678" t="n"/>
      <c r="Y517" s="1678" t="n"/>
      <c r="Z517" s="1679" t="n"/>
      <c r="AA517" s="1677" t="n"/>
      <c r="AB517" s="1678" t="n"/>
      <c r="AC517" s="1678" t="n"/>
      <c r="AD517" s="1678" t="n"/>
      <c r="AE517" s="1679" t="n"/>
      <c r="AF517" s="1677" t="n"/>
      <c r="AG517" s="1678" t="n"/>
      <c r="AH517" s="1678" t="n"/>
      <c r="AI517" s="1678" t="n"/>
      <c r="AJ517" s="1679" t="n"/>
      <c r="AK517" s="1677" t="n"/>
      <c r="AL517" s="1678" t="n"/>
      <c r="AM517" s="1678" t="n"/>
      <c r="AN517" s="1678" t="n"/>
      <c r="AO517" s="1679" t="n"/>
      <c r="AP517" s="1677" t="n"/>
      <c r="AQ517" s="1678" t="n"/>
      <c r="AR517" s="1678" t="n"/>
      <c r="AS517" s="1678" t="n"/>
      <c r="AT517" s="1679" t="n"/>
      <c r="AU517" s="1677" t="n"/>
      <c r="AV517" s="1678" t="n"/>
      <c r="AW517" s="1678" t="n"/>
      <c r="AX517" s="1678" t="n"/>
      <c r="AY517" s="1679" t="n"/>
      <c r="AZ517" s="1677" t="n"/>
      <c r="BA517" s="1678" t="n"/>
      <c r="BB517" s="1678" t="n"/>
      <c r="BC517" s="1678" t="n"/>
      <c r="BD517" s="1679" t="n"/>
      <c r="BE517" s="1677" t="n"/>
      <c r="BF517" s="1678" t="n"/>
      <c r="BG517" s="1678" t="n"/>
      <c r="BH517" s="1678" t="n"/>
      <c r="BI517" s="1679" t="n"/>
      <c r="BJ517" s="1677" t="n"/>
      <c r="BK517" s="1678" t="n"/>
      <c r="BL517" s="1678" t="n"/>
      <c r="BM517" s="1678" t="n"/>
      <c r="BN517" s="1679" t="n"/>
      <c r="BO517" s="1677" t="n"/>
      <c r="BP517" s="1678" t="n"/>
      <c r="BQ517" s="1680" t="n"/>
      <c r="BR517" s="1681">
        <f>IFERROR(VLOOKUP($A517,tb_ConsensusEstimate,MATCH(BR$5,OFFSET(tb_ConsensusEstimate,0,0,1,COLUMNS(tb_ConsensusEstimate)),0),FALSE),"-")</f>
        <v/>
      </c>
      <c r="BS517" s="1679">
        <f>IFERROR(VLOOKUP($A517,tb_ConsensusEstimate,MATCH(BS$5,OFFSET(tb_ConsensusEstimate,0,0,1,COLUMNS(tb_ConsensusEstimate)),0),FALSE),"-")</f>
        <v/>
      </c>
      <c r="BT517" s="1681">
        <f>IFERROR(VLOOKUP($A517,tb_ConsensusEstimate,MATCH(BT$5,OFFSET(tb_ConsensusEstimate,0,0,1,COLUMNS(tb_ConsensusEstimate)),0),FALSE),"-")</f>
        <v/>
      </c>
      <c r="BU517" s="1681">
        <f>IFERROR(VLOOKUP($A517,tb_ConsensusEstimate,MATCH(BU$5,OFFSET(tb_ConsensusEstimate,0,0,1,COLUMNS(tb_ConsensusEstimate)),0),FALSE),"-")</f>
        <v/>
      </c>
      <c r="BV517" s="1681">
        <f>IFERROR(VLOOKUP($A517,tb_ConsensusEstimate,MATCH(BV$5,OFFSET(tb_ConsensusEstimate,0,0,1,COLUMNS(tb_ConsensusEstimate)),0),FALSE),"-")</f>
        <v/>
      </c>
      <c r="BW517" s="1681">
        <f>IFERROR(VLOOKUP($A517,tb_ConsensusEstimate,MATCH(BW$5,OFFSET(tb_ConsensusEstimate,0,0,1,COLUMNS(tb_ConsensusEstimate)),0),FALSE),"-")</f>
        <v/>
      </c>
      <c r="BX517" s="1679">
        <f>IFERROR(VLOOKUP($A517,tb_ConsensusEstimate,MATCH(BX$5,OFFSET(tb_ConsensusEstimate,0,0,1,COLUMNS(tb_ConsensusEstimate)),0),FALSE),"-")</f>
        <v/>
      </c>
      <c r="BY517" s="1679">
        <f>IFERROR(VLOOKUP($A517,tb_ConsensusEstimate,MATCH(BY5,OFFSET(tb_ConsensusEstimate,0,0,1,COLUMNS(tb_ConsensusEstimate)),0),FALSE),"-")</f>
        <v/>
      </c>
      <c r="BZ517" s="1679">
        <f>IFERROR(VLOOKUP($A517,tb_ConsensusEstimate,MATCH(BZ5,OFFSET(tb_ConsensusEstimate,0,0,1,COLUMNS(tb_ConsensusEstimate)),0),FALSE),"-")</f>
        <v/>
      </c>
      <c r="CA517" s="1679">
        <f>IFERROR(VLOOKUP($A517,tb_ConsensusEstimate,MATCH(CA5,OFFSET(tb_ConsensusEstimate,0,0,1,COLUMNS(tb_ConsensusEstimate)),0),FALSE),"-")</f>
        <v/>
      </c>
      <c r="CB517" s="1677" t="n"/>
    </row>
    <row r="518" ht="14.4" customFormat="1" customHeight="1" s="1673">
      <c r="A518" s="1674">
        <f>CONCATENATE("Guidance - ",IFERROR(LEFT(A516,FIND("(",A516)-1),A516))</f>
        <v/>
      </c>
      <c r="B518" s="1675" t="n"/>
      <c r="C518" s="1676" t="n"/>
      <c r="D518" s="1676" t="n"/>
      <c r="E518" s="1676" t="n"/>
      <c r="F518" s="1676" t="n"/>
      <c r="G518" s="1677" t="n"/>
      <c r="H518" s="1677" t="n"/>
      <c r="I518" s="1677" t="n"/>
      <c r="J518" s="1677" t="n"/>
      <c r="K518" s="1676" t="n"/>
      <c r="L518" s="1677" t="n"/>
      <c r="M518" s="1677" t="n"/>
      <c r="N518" s="1677" t="n"/>
      <c r="O518" s="1677" t="n"/>
      <c r="P518" s="1676" t="n"/>
      <c r="Q518" s="1677" t="n"/>
      <c r="R518" s="1677" t="n"/>
      <c r="S518" s="1677" t="n"/>
      <c r="T518" s="1677" t="n"/>
      <c r="U518" s="1676" t="n"/>
      <c r="V518" s="1677" t="n"/>
      <c r="W518" s="1678" t="n"/>
      <c r="X518" s="1678" t="n"/>
      <c r="Y518" s="1678" t="n"/>
      <c r="Z518" s="1679" t="n"/>
      <c r="AA518" s="1677" t="n"/>
      <c r="AB518" s="1678" t="n"/>
      <c r="AC518" s="1678" t="n"/>
      <c r="AD518" s="1678">
        <f>AD848</f>
        <v/>
      </c>
      <c r="AE518" s="1679">
        <f>AE848</f>
        <v/>
      </c>
      <c r="AF518" s="1677">
        <f>AF848</f>
        <v/>
      </c>
      <c r="AG518" s="1678">
        <f>AG848</f>
        <v/>
      </c>
      <c r="AH518" s="1678">
        <f>AH848</f>
        <v/>
      </c>
      <c r="AI518" s="1678">
        <f>AI848</f>
        <v/>
      </c>
      <c r="AJ518" s="1679">
        <f>AJ848</f>
        <v/>
      </c>
      <c r="AK518" s="1677">
        <f>AK848</f>
        <v/>
      </c>
      <c r="AL518" s="1678">
        <f>AL848</f>
        <v/>
      </c>
      <c r="AM518" s="1678">
        <f>AM848</f>
        <v/>
      </c>
      <c r="AN518" s="1678">
        <f>AN848</f>
        <v/>
      </c>
      <c r="AO518" s="1679">
        <f>AO848</f>
        <v/>
      </c>
      <c r="AP518" s="1677">
        <f>AP848</f>
        <v/>
      </c>
      <c r="AQ518" s="1678">
        <f>AQ848</f>
        <v/>
      </c>
      <c r="AR518" s="1678">
        <f>AR848</f>
        <v/>
      </c>
      <c r="AS518" s="1678">
        <f>AS848</f>
        <v/>
      </c>
      <c r="AT518" s="1679">
        <f>AT848</f>
        <v/>
      </c>
      <c r="AU518" s="1677">
        <f>AU848</f>
        <v/>
      </c>
      <c r="AV518" s="1678">
        <f>AV848</f>
        <v/>
      </c>
      <c r="AW518" s="1678">
        <f>AW848</f>
        <v/>
      </c>
      <c r="AX518" s="1678">
        <f>AX848</f>
        <v/>
      </c>
      <c r="AY518" s="1679">
        <f>AY848</f>
        <v/>
      </c>
      <c r="AZ518" s="1677">
        <f>AZ848</f>
        <v/>
      </c>
      <c r="BA518" s="1678">
        <f>BA848</f>
        <v/>
      </c>
      <c r="BB518" s="1678">
        <f>BB848</f>
        <v/>
      </c>
      <c r="BC518" s="1678">
        <f>BC848</f>
        <v/>
      </c>
      <c r="BD518" s="1679">
        <f>BD848</f>
        <v/>
      </c>
      <c r="BE518" s="1677">
        <f>BE848</f>
        <v/>
      </c>
      <c r="BF518" s="1678">
        <f>BF848</f>
        <v/>
      </c>
      <c r="BG518" s="1678">
        <f>BG848</f>
        <v/>
      </c>
      <c r="BH518" s="1678">
        <f>BH848</f>
        <v/>
      </c>
      <c r="BI518" s="1679">
        <f>BI848</f>
        <v/>
      </c>
      <c r="BJ518" s="1677">
        <f>BJ848</f>
        <v/>
      </c>
      <c r="BK518" s="1678">
        <f>BK848</f>
        <v/>
      </c>
      <c r="BL518" s="1678">
        <f>BL848</f>
        <v/>
      </c>
      <c r="BM518" s="1678">
        <f>BM848</f>
        <v/>
      </c>
      <c r="BN518" s="1679">
        <f>BN848</f>
        <v/>
      </c>
      <c r="BO518" s="1677">
        <f>BO848</f>
        <v/>
      </c>
      <c r="BP518" s="1678">
        <f>BP848</f>
        <v/>
      </c>
      <c r="BQ518" s="1680">
        <f>BQ848</f>
        <v/>
      </c>
      <c r="BR518" s="1681">
        <f>BR848</f>
        <v/>
      </c>
      <c r="BS518" s="1679">
        <f>BS848</f>
        <v/>
      </c>
      <c r="BT518" s="1681">
        <f>BT848</f>
        <v/>
      </c>
      <c r="BU518" s="1681">
        <f>BU848</f>
        <v/>
      </c>
      <c r="BV518" s="1681">
        <f>BV848</f>
        <v/>
      </c>
      <c r="BW518" s="1681">
        <f>BW848</f>
        <v/>
      </c>
      <c r="BX518" s="1679">
        <f>BX848</f>
        <v/>
      </c>
      <c r="BY518" s="1679">
        <f>BY848</f>
        <v/>
      </c>
      <c r="BZ518" s="1679">
        <f>BZ848</f>
        <v/>
      </c>
      <c r="CA518" s="1679">
        <f>CA848</f>
        <v/>
      </c>
      <c r="CB518" s="1677" t="n"/>
    </row>
    <row r="519" ht="14.4" customFormat="1" customHeight="1" s="1673">
      <c r="A519" s="1674" t="n"/>
      <c r="B519" s="1675" t="n"/>
      <c r="C519" s="1676" t="n"/>
      <c r="D519" s="1676" t="n"/>
      <c r="E519" s="1676" t="n"/>
      <c r="F519" s="1676" t="n"/>
      <c r="G519" s="1677" t="n"/>
      <c r="H519" s="1677" t="n"/>
      <c r="I519" s="1677" t="n"/>
      <c r="J519" s="1677" t="n"/>
      <c r="K519" s="1676" t="n"/>
      <c r="L519" s="1677" t="n"/>
      <c r="M519" s="1677" t="n"/>
      <c r="N519" s="1677" t="n"/>
      <c r="O519" s="1677" t="n"/>
      <c r="P519" s="1676" t="n"/>
      <c r="Q519" s="1677" t="n"/>
      <c r="R519" s="1677" t="n"/>
      <c r="S519" s="1677" t="n"/>
      <c r="T519" s="1677" t="n"/>
      <c r="U519" s="1676" t="n"/>
      <c r="V519" s="1677" t="n"/>
      <c r="W519" s="1678" t="n"/>
      <c r="X519" s="1678" t="n"/>
      <c r="Y519" s="1678" t="n"/>
      <c r="Z519" s="1679" t="n"/>
      <c r="AA519" s="1677" t="n"/>
      <c r="AB519" s="1678" t="n"/>
      <c r="AC519" s="1678" t="n"/>
      <c r="AD519" s="1678" t="n"/>
      <c r="AE519" s="1679" t="n"/>
      <c r="AF519" s="1677" t="n"/>
      <c r="AG519" s="1678" t="n"/>
      <c r="AH519" s="1678" t="n"/>
      <c r="AI519" s="1678" t="n"/>
      <c r="AJ519" s="1679" t="n"/>
      <c r="AK519" s="1677" t="n"/>
      <c r="AL519" s="1678" t="n"/>
      <c r="AM519" s="1678" t="n"/>
      <c r="AN519" s="1678" t="n"/>
      <c r="AO519" s="1679" t="n"/>
      <c r="AP519" s="1677" t="n"/>
      <c r="AQ519" s="1678" t="n"/>
      <c r="AR519" s="1678" t="n"/>
      <c r="AS519" s="1678" t="n"/>
      <c r="AT519" s="1679" t="n"/>
      <c r="AU519" s="1677" t="n"/>
      <c r="AV519" s="1678" t="n"/>
      <c r="AW519" s="1678" t="n"/>
      <c r="AX519" s="1678" t="n"/>
      <c r="AY519" s="1679" t="n"/>
      <c r="AZ519" s="1677" t="n"/>
      <c r="BA519" s="1678" t="n"/>
      <c r="BB519" s="1678" t="n"/>
      <c r="BC519" s="1678" t="n"/>
      <c r="BD519" s="1679" t="n"/>
      <c r="BE519" s="1677" t="n"/>
      <c r="BF519" s="1678" t="n"/>
      <c r="BG519" s="1678" t="n"/>
      <c r="BH519" s="1678" t="n"/>
      <c r="BI519" s="1679" t="n"/>
      <c r="BJ519" s="1677" t="n"/>
      <c r="BK519" s="1678" t="n"/>
      <c r="BL519" s="1678" t="n"/>
      <c r="BM519" s="1678" t="n"/>
      <c r="BN519" s="1679" t="n"/>
      <c r="BO519" s="1677" t="n"/>
      <c r="BP519" s="1678" t="n"/>
      <c r="BQ519" s="1680" t="n"/>
      <c r="BR519" s="1681" t="n"/>
      <c r="BS519" s="1679" t="n"/>
      <c r="BT519" s="1681" t="n"/>
      <c r="BU519" s="1681" t="n"/>
      <c r="BV519" s="1681" t="n"/>
      <c r="BW519" s="1681" t="n"/>
      <c r="BX519" s="1679" t="n"/>
      <c r="BY519" s="1679" t="n"/>
      <c r="BZ519" s="1679" t="n"/>
      <c r="CA519" s="1679" t="n"/>
      <c r="CB519" s="1677" t="n"/>
    </row>
    <row r="520" ht="14.4" customFormat="1" customHeight="1" s="1597">
      <c r="A520" s="1361" t="inlineStr">
        <is>
          <t>Shares Outstanding - WAB</t>
        </is>
      </c>
      <c r="B520" s="1512" t="n"/>
      <c r="C520" s="1494" t="n">
        <v>257.782</v>
      </c>
      <c r="D520" s="1494" t="n">
        <v>260.787</v>
      </c>
      <c r="E520" s="1494" t="n">
        <v>263.892</v>
      </c>
      <c r="F520" s="1494" t="n">
        <v>270.479</v>
      </c>
      <c r="G520" s="1493" t="n">
        <v>274.936</v>
      </c>
      <c r="H520" s="1493" t="n">
        <v>277.146</v>
      </c>
      <c r="I520" s="1493" t="n">
        <v>278.977</v>
      </c>
      <c r="J520" s="1493" t="n">
        <v>280.083</v>
      </c>
      <c r="K520" s="1494" t="n">
        <v>277.796</v>
      </c>
      <c r="L520" s="1493" t="n">
        <v>281.615</v>
      </c>
      <c r="M520" s="1493" t="n">
        <v>283.344</v>
      </c>
      <c r="N520" s="1493" t="n">
        <v>284.462</v>
      </c>
      <c r="O520" s="1493" t="n">
        <v>283.928</v>
      </c>
      <c r="P520" s="1494" t="n">
        <v>283.349</v>
      </c>
      <c r="Q520" s="1493" t="n">
        <v>284.523</v>
      </c>
      <c r="R520" s="1493" t="n">
        <v>285.297</v>
      </c>
      <c r="S520" s="1493" t="n">
        <v>284.818</v>
      </c>
      <c r="T520" s="1493" t="n">
        <v>297.433</v>
      </c>
      <c r="U520" s="1494" t="n">
        <v>288.018</v>
      </c>
      <c r="V520" s="1493" t="n">
        <v>296.615</v>
      </c>
      <c r="W520" s="1493" t="n">
        <v>285.297</v>
      </c>
      <c r="X520" s="1493" t="n">
        <v>280.622</v>
      </c>
      <c r="Y520" s="1493" t="n">
        <v>272.578</v>
      </c>
      <c r="Z520" s="1494" t="n">
        <v>284.502</v>
      </c>
      <c r="AA520" s="1493" t="n">
        <v>270.173</v>
      </c>
      <c r="AB520" s="1493" t="n">
        <v>271.887</v>
      </c>
      <c r="AC520" s="1493" t="n">
        <v>273.156</v>
      </c>
      <c r="AD520" s="1493" t="n">
        <v>273.157</v>
      </c>
      <c r="AE520" s="1494" t="n">
        <v>272.097</v>
      </c>
      <c r="AF520" s="1493" t="n">
        <v>273.773</v>
      </c>
      <c r="AG520" s="1493" t="n">
        <v>273.564</v>
      </c>
      <c r="AH520" s="1493" t="n">
        <v>273.716</v>
      </c>
      <c r="AI520" s="1493" t="n">
        <v>273.68</v>
      </c>
      <c r="AJ520" s="1494" t="n">
        <v>273.729</v>
      </c>
      <c r="AK520" s="1493" t="n">
        <v>273.066</v>
      </c>
      <c r="AL520" s="1493" t="n">
        <v>273.159</v>
      </c>
      <c r="AM520" s="1493" t="n">
        <v>273.329</v>
      </c>
      <c r="AN520" s="1493" t="n">
        <v>273.234</v>
      </c>
      <c r="AO520" s="1494" t="n">
        <v>273.239</v>
      </c>
      <c r="AP520" s="1493" t="n">
        <v>273.476</v>
      </c>
      <c r="AQ520" s="1493" t="n">
        <v>273.432</v>
      </c>
      <c r="AR520" s="1493" t="n">
        <v>273.996</v>
      </c>
      <c r="AS520" s="1493" t="n">
        <v>273.985</v>
      </c>
      <c r="AT520" s="1494" t="n">
        <v>273.728</v>
      </c>
      <c r="AU520" s="1493" t="n">
        <v>274.021</v>
      </c>
      <c r="AV520" s="1493" t="n">
        <v>273.565</v>
      </c>
      <c r="AW520" s="1493" t="n">
        <v>273.194</v>
      </c>
      <c r="AX520" s="1493" t="n">
        <v>273.066</v>
      </c>
      <c r="AY520" s="1494" t="n">
        <v>273.504</v>
      </c>
      <c r="AZ520" s="1493" t="n">
        <v>272.431</v>
      </c>
      <c r="BA520" s="1493" t="n">
        <v>271.52</v>
      </c>
      <c r="BB520" s="1493" t="n">
        <v>271.131</v>
      </c>
      <c r="BC520" s="1493" t="n">
        <v>269.709</v>
      </c>
      <c r="BD520" s="1494" t="n">
        <v>271.198</v>
      </c>
      <c r="BE520" s="1493" t="n">
        <v>269.501</v>
      </c>
      <c r="BF520" s="1493" t="n">
        <v>269.714</v>
      </c>
      <c r="BG520" s="1493" t="n">
        <v>269.229</v>
      </c>
      <c r="BH520" s="1493" t="n">
        <v>269.088</v>
      </c>
      <c r="BI520" s="1494" t="n">
        <v>269.381</v>
      </c>
      <c r="BJ520" s="1493" t="n">
        <v>269.606</v>
      </c>
      <c r="BK520" s="1493" t="n">
        <v>270.912</v>
      </c>
      <c r="BL520" s="1493" t="n">
        <v>272.244</v>
      </c>
      <c r="BM520" s="1493" t="n">
        <v>272.069</v>
      </c>
      <c r="BN520" s="1494" t="n">
        <v>271.212</v>
      </c>
      <c r="BO520" s="1493" t="n">
        <v>271.973</v>
      </c>
      <c r="BP520" s="1493" t="n">
        <v>271.294</v>
      </c>
      <c r="BQ520" s="1502" t="n">
        <v>271.152</v>
      </c>
      <c r="BR520" s="1361">
        <f>AVERAGE(BQ532,BR532)</f>
        <v/>
      </c>
      <c r="BS520" s="1379">
        <f>AVERAGE(BO520,BP520,BQ520,BR520)</f>
        <v/>
      </c>
      <c r="BT520" s="1361">
        <f>AVERAGE(BS532,BT532)</f>
        <v/>
      </c>
      <c r="BU520" s="1361">
        <f>AVERAGE(BT532,BU532)</f>
        <v/>
      </c>
      <c r="BV520" s="1361">
        <f>AVERAGE(BU532,BV532)</f>
        <v/>
      </c>
      <c r="BW520" s="1361">
        <f>AVERAGE(BV532,BW532)</f>
        <v/>
      </c>
      <c r="BX520" s="1379">
        <f>AVERAGE(BT520,BU520,BV520,BW520)</f>
        <v/>
      </c>
      <c r="BY520" s="1379">
        <f>AVERAGE(BX532,BY532)</f>
        <v/>
      </c>
      <c r="BZ520" s="1379">
        <f>AVERAGE(BY532,BZ532)</f>
        <v/>
      </c>
      <c r="CA520" s="1379">
        <f>AVERAGE(BZ532,CA532)</f>
        <v/>
      </c>
      <c r="CB520" s="1361" t="n"/>
    </row>
    <row r="521" ht="14.4" customFormat="1" customHeight="1" s="1597">
      <c r="A521" s="1361" t="inlineStr">
        <is>
          <t>Shares Outstanding - WAD</t>
        </is>
      </c>
      <c r="B521" s="1512" t="n"/>
      <c r="C521" s="1494" t="n">
        <v>257.782</v>
      </c>
      <c r="D521" s="1494" t="n">
        <v>265.871</v>
      </c>
      <c r="E521" s="1494" t="n">
        <v>270.816</v>
      </c>
      <c r="F521" s="1494" t="n">
        <v>280.667</v>
      </c>
      <c r="G521" s="1493" t="n">
        <v>292.151</v>
      </c>
      <c r="H521" s="1493" t="n">
        <v>294.443</v>
      </c>
      <c r="I521" s="1493" t="n">
        <v>296.958</v>
      </c>
      <c r="J521" s="1493" t="n">
        <v>294.663</v>
      </c>
      <c r="K521" s="1494" t="n">
        <v>294.564</v>
      </c>
      <c r="L521" s="1493" t="n">
        <v>301.034</v>
      </c>
      <c r="M521" s="1493" t="n">
        <v>305.755</v>
      </c>
      <c r="N521" s="1493" t="n">
        <v>309.995</v>
      </c>
      <c r="O521" s="1493" t="n">
        <v>310.273</v>
      </c>
      <c r="P521" s="1494" t="n">
        <v>306.775</v>
      </c>
      <c r="Q521" s="1493" t="n">
        <v>311.847</v>
      </c>
      <c r="R521" s="1493" t="n">
        <v>313.665</v>
      </c>
      <c r="S521" s="1493" t="n">
        <v>313.186</v>
      </c>
      <c r="T521" s="1493" t="n">
        <v>310.512</v>
      </c>
      <c r="U521" s="1494" t="n">
        <v>312.302</v>
      </c>
      <c r="V521" s="1493" t="n">
        <v>303.434</v>
      </c>
      <c r="W521" s="1493" t="n">
        <v>295.201</v>
      </c>
      <c r="X521" s="1493" t="n">
        <v>287.473</v>
      </c>
      <c r="Y521" s="1493" t="n">
        <v>278.917</v>
      </c>
      <c r="Z521" s="1494" t="n">
        <v>291.256</v>
      </c>
      <c r="AA521" s="1493" t="n">
        <v>277.736</v>
      </c>
      <c r="AB521" s="1493" t="n">
        <v>279.526</v>
      </c>
      <c r="AC521" s="1493" t="n">
        <v>281.4</v>
      </c>
      <c r="AD521" s="1493" t="n">
        <v>273.157</v>
      </c>
      <c r="AE521" s="1494" t="n">
        <v>280.221</v>
      </c>
      <c r="AF521" s="1493" t="n">
        <v>281.651</v>
      </c>
      <c r="AG521" s="1493" t="n">
        <v>280.774</v>
      </c>
      <c r="AH521" s="1493" t="n">
        <v>281.646</v>
      </c>
      <c r="AI521" s="1493" t="n">
        <v>280.321</v>
      </c>
      <c r="AJ521" s="1494" t="n">
        <v>281.144</v>
      </c>
      <c r="AK521" s="1493" t="n">
        <v>280.615</v>
      </c>
      <c r="AL521" s="1493" t="n">
        <v>281.054</v>
      </c>
      <c r="AM521" s="1493" t="n">
        <v>280.666</v>
      </c>
      <c r="AN521" s="1493" t="n">
        <v>279.557</v>
      </c>
      <c r="AO521" s="1494" t="n">
        <v>280.515</v>
      </c>
      <c r="AP521" s="1493" t="n">
        <v>279.265</v>
      </c>
      <c r="AQ521" s="1493" t="n">
        <v>279.08</v>
      </c>
      <c r="AR521" s="1493" t="n">
        <v>280.024</v>
      </c>
      <c r="AS521" s="1493" t="n">
        <v>280.173</v>
      </c>
      <c r="AT521" s="1494" t="n">
        <v>279.641</v>
      </c>
      <c r="AU521" s="1493" t="n">
        <v>280.14</v>
      </c>
      <c r="AV521" s="1493" t="n">
        <v>278.558</v>
      </c>
      <c r="AW521" s="1493" t="n">
        <v>278.311</v>
      </c>
      <c r="AX521" s="1493" t="n">
        <v>278.253</v>
      </c>
      <c r="AY521" s="1494" t="n">
        <v>278.858</v>
      </c>
      <c r="AZ521" s="1493" t="n">
        <v>276.918</v>
      </c>
      <c r="BA521" s="1493" t="n">
        <v>275.172</v>
      </c>
      <c r="BB521" s="1493" t="n">
        <v>274.957</v>
      </c>
      <c r="BC521" s="1493" t="n">
        <v>272.997</v>
      </c>
      <c r="BD521" s="1494" t="n">
        <v>275.011</v>
      </c>
      <c r="BE521" s="1493" t="n">
        <v>273.159</v>
      </c>
      <c r="BF521" s="1493" t="n">
        <v>272.996</v>
      </c>
      <c r="BG521" s="1493" t="n">
        <v>272.427</v>
      </c>
      <c r="BH521" s="1493" t="n">
        <v>272.419</v>
      </c>
      <c r="BI521" s="1494" t="n">
        <v>272.748</v>
      </c>
      <c r="BJ521" s="1493" t="n">
        <v>273.544</v>
      </c>
      <c r="BK521" s="1493" t="n">
        <v>273.52</v>
      </c>
      <c r="BL521" s="1493" t="n">
        <v>273.958</v>
      </c>
      <c r="BM521" s="1493" t="n">
        <v>274.292</v>
      </c>
      <c r="BN521" s="1494" t="n">
        <v>273.833</v>
      </c>
      <c r="BO521" s="1493" t="n">
        <v>273.631</v>
      </c>
      <c r="BP521" s="1493" t="n">
        <v>272.899</v>
      </c>
      <c r="BQ521" s="1502" t="n">
        <v>273.798</v>
      </c>
      <c r="BR521" s="1361">
        <f>IF(BR507&lt;0,BR520,AVERAGE(BQ530,BR530)+AVERAGE(BQ596,BR596))</f>
        <v/>
      </c>
      <c r="BS521" s="1379">
        <f>AVERAGE(BO521,BP521,BQ521,BR521)</f>
        <v/>
      </c>
      <c r="BT521" s="1361">
        <f>IF(BT507&lt;0,BT520,AVERAGE(BS530,BT530)+AVERAGE(BS596,BT596))</f>
        <v/>
      </c>
      <c r="BU521" s="1361">
        <f>IF(BU507&lt;0,BU520,AVERAGE(BT530,BU530)+AVERAGE(BT596,BU596))</f>
        <v/>
      </c>
      <c r="BV521" s="1361">
        <f>IF(BV507&lt;0,BV520,AVERAGE(BU530,BV530)+AVERAGE(BU596,BV596))</f>
        <v/>
      </c>
      <c r="BW521" s="1361">
        <f>IF(BW507&lt;0,BW520,AVERAGE(BV530,BW530)+AVERAGE(BV596,BW596))</f>
        <v/>
      </c>
      <c r="BX521" s="1379">
        <f>AVERAGE(BT521,BU521,BV521,BW521)</f>
        <v/>
      </c>
      <c r="BY521" s="1379">
        <f>IF(BY507&lt;0,BY520,AVERAGE(BX530,BY530)+AVERAGE(BX596,BY596))</f>
        <v/>
      </c>
      <c r="BZ521" s="1379">
        <f>IF(BZ507&lt;0,BZ520,AVERAGE(BY530,BZ530)+AVERAGE(BY596,BZ596))</f>
        <v/>
      </c>
      <c r="CA521" s="1379">
        <f>IF(CA507&lt;0,CA520,AVERAGE(BZ530,CA530)+AVERAGE(BZ596,CA596))</f>
        <v/>
      </c>
      <c r="CB521" s="1361" t="n"/>
    </row>
    <row r="522" ht="14.4" customFormat="1" customHeight="1" s="1597">
      <c r="A522" s="1361" t="inlineStr">
        <is>
          <t>Adjusted Shares Outstanding - WAD</t>
        </is>
      </c>
      <c r="B522" s="1512" t="n"/>
      <c r="C522" s="1379">
        <f>C521</f>
        <v/>
      </c>
      <c r="D522" s="1379">
        <f>D521</f>
        <v/>
      </c>
      <c r="E522" s="1379">
        <f>E521</f>
        <v/>
      </c>
      <c r="F522" s="1379">
        <f>F521</f>
        <v/>
      </c>
      <c r="G522" s="1361">
        <f>G521</f>
        <v/>
      </c>
      <c r="H522" s="1361">
        <f>H521</f>
        <v/>
      </c>
      <c r="I522" s="1361">
        <f>I521</f>
        <v/>
      </c>
      <c r="J522" s="1361">
        <f>J521</f>
        <v/>
      </c>
      <c r="K522" s="1379">
        <f>K521</f>
        <v/>
      </c>
      <c r="L522" s="1361">
        <f>L521</f>
        <v/>
      </c>
      <c r="M522" s="1361">
        <f>M521</f>
        <v/>
      </c>
      <c r="N522" s="1361">
        <f>N521</f>
        <v/>
      </c>
      <c r="O522" s="1361">
        <f>O521</f>
        <v/>
      </c>
      <c r="P522" s="1379">
        <f>P521</f>
        <v/>
      </c>
      <c r="Q522" s="1493" t="n">
        <v>311.847</v>
      </c>
      <c r="R522" s="1361">
        <f>R521</f>
        <v/>
      </c>
      <c r="S522" s="1361">
        <f>S521</f>
        <v/>
      </c>
      <c r="T522" s="1361">
        <f>T521</f>
        <v/>
      </c>
      <c r="U522" s="1379">
        <f>U521</f>
        <v/>
      </c>
      <c r="V522" s="1493" t="n">
        <v>303.434</v>
      </c>
      <c r="W522" s="1361">
        <f>W521</f>
        <v/>
      </c>
      <c r="X522" s="1361">
        <f>X521</f>
        <v/>
      </c>
      <c r="Y522" s="1361">
        <f>Y521</f>
        <v/>
      </c>
      <c r="Z522" s="1379">
        <f>Z521</f>
        <v/>
      </c>
      <c r="AA522" s="1361">
        <f>AA521</f>
        <v/>
      </c>
      <c r="AB522" s="1361">
        <f>AB521</f>
        <v/>
      </c>
      <c r="AC522" s="1361">
        <f>AC521</f>
        <v/>
      </c>
      <c r="AD522" s="1493" t="n">
        <v>282.206</v>
      </c>
      <c r="AE522" s="1379">
        <f>AE521</f>
        <v/>
      </c>
      <c r="AF522" s="1361">
        <f>AF521</f>
        <v/>
      </c>
      <c r="AG522" s="1361">
        <f>AG521</f>
        <v/>
      </c>
      <c r="AH522" s="1361">
        <f>AH521</f>
        <v/>
      </c>
      <c r="AI522" s="1361">
        <f>AI521</f>
        <v/>
      </c>
      <c r="AJ522" s="1379">
        <f>AJ521</f>
        <v/>
      </c>
      <c r="AK522" s="1361">
        <f>AK521</f>
        <v/>
      </c>
      <c r="AL522" s="1361">
        <f>AL521</f>
        <v/>
      </c>
      <c r="AM522" s="1361">
        <f>AM521</f>
        <v/>
      </c>
      <c r="AN522" s="1361">
        <f>AN521</f>
        <v/>
      </c>
      <c r="AO522" s="1379">
        <f>AO521</f>
        <v/>
      </c>
      <c r="AP522" s="1361">
        <f>AP521</f>
        <v/>
      </c>
      <c r="AQ522" s="1361">
        <f>AQ521</f>
        <v/>
      </c>
      <c r="AR522" s="1361">
        <f>AR521</f>
        <v/>
      </c>
      <c r="AS522" s="1361">
        <f>AS521</f>
        <v/>
      </c>
      <c r="AT522" s="1379">
        <f>AT521</f>
        <v/>
      </c>
      <c r="AU522" s="1361">
        <f>AU521</f>
        <v/>
      </c>
      <c r="AV522" s="1361">
        <f>AV521</f>
        <v/>
      </c>
      <c r="AW522" s="1361">
        <f>AW521</f>
        <v/>
      </c>
      <c r="AX522" s="1361">
        <f>AX521</f>
        <v/>
      </c>
      <c r="AY522" s="1379">
        <f>AY521</f>
        <v/>
      </c>
      <c r="AZ522" s="1361">
        <f>AZ521</f>
        <v/>
      </c>
      <c r="BA522" s="1361">
        <f>BA521</f>
        <v/>
      </c>
      <c r="BB522" s="1361">
        <f>BB521</f>
        <v/>
      </c>
      <c r="BC522" s="1361">
        <f>BC521</f>
        <v/>
      </c>
      <c r="BD522" s="1379">
        <f>BD521</f>
        <v/>
      </c>
      <c r="BE522" s="1361">
        <f>BE521</f>
        <v/>
      </c>
      <c r="BF522" s="1361">
        <f>BF521</f>
        <v/>
      </c>
      <c r="BG522" s="1361">
        <f>BG521</f>
        <v/>
      </c>
      <c r="BH522" s="1493" t="n">
        <v>272.419</v>
      </c>
      <c r="BI522" s="1494" t="n">
        <v>272.748</v>
      </c>
      <c r="BJ522" s="1361">
        <f>BJ521</f>
        <v/>
      </c>
      <c r="BK522" s="1361">
        <f>BK521</f>
        <v/>
      </c>
      <c r="BL522" s="1361">
        <f>BL521</f>
        <v/>
      </c>
      <c r="BM522" s="1493" t="n">
        <v>274.292</v>
      </c>
      <c r="BN522" s="1494" t="n">
        <v>273.833</v>
      </c>
      <c r="BO522" s="1361">
        <f>BO521</f>
        <v/>
      </c>
      <c r="BP522" s="1361">
        <f>BP521</f>
        <v/>
      </c>
      <c r="BQ522" s="1363">
        <f>BQ521</f>
        <v/>
      </c>
      <c r="BR522" s="1361">
        <f>IF(BR498&lt;0,BR520,AVERAGE(BQ530,BR530)+AVERAGE(BQ596,BR596))</f>
        <v/>
      </c>
      <c r="BS522" s="1379">
        <f>AVERAGE(BO522,BP522,BQ522,BR522)</f>
        <v/>
      </c>
      <c r="BT522" s="1361">
        <f>IF(BT498&lt;0,BT520,AVERAGE(BS530,BT530)+AVERAGE(BS596,BT596))</f>
        <v/>
      </c>
      <c r="BU522" s="1361">
        <f>IF(BU498&lt;0,BU520,AVERAGE(BT530,BU530)+AVERAGE(BT596,BU596))</f>
        <v/>
      </c>
      <c r="BV522" s="1361">
        <f>IF(BV498&lt;0,BV520,AVERAGE(BU530,BV530)+AVERAGE(BU596,BV596))</f>
        <v/>
      </c>
      <c r="BW522" s="1361">
        <f>IF(BW498&lt;0,BW520,AVERAGE(BV530,BW530)+AVERAGE(BV596,BW596))</f>
        <v/>
      </c>
      <c r="BX522" s="1379">
        <f>AVERAGE(BT522,BU522,BV522,BW522)</f>
        <v/>
      </c>
      <c r="BY522" s="1379">
        <f>IF(BY498&lt;0,BY520,AVERAGE(BX530,BY530)+AVERAGE(BX596,BY596))</f>
        <v/>
      </c>
      <c r="BZ522" s="1379">
        <f>IF(BZ498&lt;0,BZ520,AVERAGE(BY530,BZ530)+AVERAGE(BY596,BZ596))</f>
        <v/>
      </c>
      <c r="CA522" s="1379">
        <f>IF(CA498&lt;0,CA520,AVERAGE(BZ530,CA530)+AVERAGE(BZ596,CA596))</f>
        <v/>
      </c>
      <c r="CB522" s="1361" t="n"/>
    </row>
    <row r="523" ht="14.4" customFormat="1" customHeight="1" s="1359">
      <c r="A523" s="1512" t="n"/>
      <c r="B523" s="1512" t="n"/>
      <c r="C523" s="1379" t="n"/>
      <c r="D523" s="1379" t="n"/>
      <c r="E523" s="1379" t="n"/>
      <c r="F523" s="1379" t="n"/>
      <c r="G523" s="1361" t="n"/>
      <c r="H523" s="1361" t="n"/>
      <c r="I523" s="1361" t="n"/>
      <c r="J523" s="1361" t="n"/>
      <c r="K523" s="1379" t="n"/>
      <c r="L523" s="1361" t="n"/>
      <c r="M523" s="1361" t="n"/>
      <c r="N523" s="1361" t="n"/>
      <c r="O523" s="1361" t="n"/>
      <c r="P523" s="1379" t="n"/>
      <c r="Q523" s="1361" t="n"/>
      <c r="R523" s="1361" t="n"/>
      <c r="S523" s="1361" t="n"/>
      <c r="T523" s="1361" t="n"/>
      <c r="U523" s="1379" t="n"/>
      <c r="V523" s="1361" t="n"/>
      <c r="W523" s="1361" t="n"/>
      <c r="X523" s="1361" t="n"/>
      <c r="Y523" s="1361" t="n"/>
      <c r="Z523" s="1379" t="n"/>
      <c r="AA523" s="1361" t="n"/>
      <c r="AB523" s="1361" t="n"/>
      <c r="AC523" s="1361" t="n"/>
      <c r="AD523" s="1361" t="n"/>
      <c r="AE523" s="1379" t="n"/>
      <c r="AF523" s="1361" t="n"/>
      <c r="AG523" s="1361" t="n"/>
      <c r="AH523" s="1361" t="n"/>
      <c r="AI523" s="1361" t="n"/>
      <c r="AJ523" s="1379" t="n"/>
      <c r="AK523" s="1361" t="n"/>
      <c r="AL523" s="1361" t="n"/>
      <c r="AM523" s="1361" t="n"/>
      <c r="AN523" s="1361" t="n"/>
      <c r="AO523" s="1379" t="n"/>
      <c r="AP523" s="1361" t="n"/>
      <c r="AQ523" s="1361" t="n"/>
      <c r="AR523" s="1361" t="n"/>
      <c r="AS523" s="1361" t="n"/>
      <c r="AT523" s="1379" t="n"/>
      <c r="AU523" s="1361" t="n"/>
      <c r="AV523" s="1361" t="n"/>
      <c r="AW523" s="1361" t="n"/>
      <c r="AX523" s="1361" t="n"/>
      <c r="AY523" s="1379" t="n"/>
      <c r="AZ523" s="1361" t="n"/>
      <c r="BA523" s="1361" t="n"/>
      <c r="BB523" s="1361" t="n"/>
      <c r="BC523" s="1361" t="n"/>
      <c r="BD523" s="1379" t="n"/>
      <c r="BE523" s="1361" t="n"/>
      <c r="BF523" s="1361" t="n"/>
      <c r="BG523" s="1361" t="n"/>
      <c r="BH523" s="1361" t="n"/>
      <c r="BI523" s="1379" t="n"/>
      <c r="BJ523" s="1361" t="n"/>
      <c r="BK523" s="1361" t="n"/>
      <c r="BL523" s="1361" t="n"/>
      <c r="BM523" s="1361" t="n"/>
      <c r="BN523" s="1379" t="n"/>
      <c r="BO523" s="1361" t="n"/>
      <c r="BP523" s="1361" t="n"/>
      <c r="BQ523" s="1363" t="n"/>
      <c r="BR523" s="1361" t="n"/>
      <c r="BS523" s="1379" t="n"/>
      <c r="BT523" s="1361" t="n"/>
      <c r="BU523" s="1361" t="n"/>
      <c r="BV523" s="1361" t="n"/>
      <c r="BW523" s="1361" t="n"/>
      <c r="BX523" s="1379" t="n"/>
      <c r="BY523" s="1379" t="n"/>
      <c r="BZ523" s="1379" t="n"/>
      <c r="CA523" s="1379" t="n"/>
      <c r="CB523" s="1364" t="n"/>
    </row>
    <row r="524" ht="14.4" customFormat="1" customHeight="1" s="1372">
      <c r="A524" s="1373" t="inlineStr">
        <is>
          <t>Potentially Dilutive Securities</t>
        </is>
      </c>
      <c r="B524" s="1682" t="n"/>
      <c r="C524" s="1373" t="n"/>
      <c r="D524" s="1373" t="n"/>
      <c r="E524" s="1373" t="n"/>
      <c r="F524" s="1373" t="n"/>
      <c r="G524" s="1373" t="n"/>
      <c r="H524" s="1373" t="n"/>
      <c r="I524" s="1373" t="n"/>
      <c r="J524" s="1373" t="n"/>
      <c r="K524" s="1373" t="n"/>
      <c r="L524" s="1373" t="n"/>
      <c r="M524" s="1373" t="n"/>
      <c r="N524" s="1373" t="n"/>
      <c r="O524" s="1373" t="n"/>
      <c r="P524" s="1373" t="n"/>
      <c r="Q524" s="1373" t="n"/>
      <c r="R524" s="1373" t="n"/>
      <c r="S524" s="1373" t="n"/>
      <c r="T524" s="1373" t="n"/>
      <c r="U524" s="1373" t="n"/>
      <c r="V524" s="1373" t="n"/>
      <c r="W524" s="1373" t="n"/>
      <c r="X524" s="1373" t="n"/>
      <c r="Y524" s="1373" t="n"/>
      <c r="Z524" s="1373" t="n"/>
      <c r="AA524" s="1373" t="n"/>
      <c r="AB524" s="1373" t="n"/>
      <c r="AC524" s="1373" t="n"/>
      <c r="AD524" s="1373" t="n"/>
      <c r="AE524" s="1373" t="n"/>
      <c r="AF524" s="1373" t="n"/>
      <c r="AG524" s="1373" t="n"/>
      <c r="AH524" s="1373" t="n"/>
      <c r="AI524" s="1373" t="n"/>
      <c r="AJ524" s="1373" t="n"/>
      <c r="AK524" s="1373" t="n"/>
      <c r="AL524" s="1373" t="n"/>
      <c r="AM524" s="1373" t="n"/>
      <c r="AN524" s="1373" t="n"/>
      <c r="AO524" s="1373" t="n"/>
      <c r="AP524" s="1373" t="n"/>
      <c r="AQ524" s="1373" t="n"/>
      <c r="AR524" s="1373" t="n"/>
      <c r="AS524" s="1373" t="n"/>
      <c r="AT524" s="1373" t="n"/>
      <c r="AU524" s="1373" t="n"/>
      <c r="AV524" s="1373" t="n"/>
      <c r="AW524" s="1373" t="n"/>
      <c r="AX524" s="1373" t="n"/>
      <c r="AY524" s="1373" t="n"/>
      <c r="AZ524" s="1373" t="n"/>
      <c r="BA524" s="1373" t="n"/>
      <c r="BB524" s="1373" t="n"/>
      <c r="BC524" s="1373" t="n"/>
      <c r="BD524" s="1373" t="n"/>
      <c r="BE524" s="1373" t="n"/>
      <c r="BF524" s="1373" t="n"/>
      <c r="BG524" s="1373" t="n"/>
      <c r="BH524" s="1373" t="n"/>
      <c r="BI524" s="1373" t="n"/>
      <c r="BJ524" s="1373" t="n"/>
      <c r="BK524" s="1373" t="n"/>
      <c r="BL524" s="1373" t="n"/>
      <c r="BM524" s="1373" t="n"/>
      <c r="BN524" s="1373" t="n"/>
      <c r="BO524" s="1373" t="n"/>
      <c r="BP524" s="1373" t="n"/>
      <c r="BQ524" s="1374" t="n"/>
      <c r="BR524" s="1373" t="n"/>
      <c r="BS524" s="1373" t="n"/>
      <c r="BT524" s="1373" t="n"/>
      <c r="BU524" s="1373" t="n"/>
      <c r="BV524" s="1373" t="n"/>
      <c r="BW524" s="1373" t="n"/>
      <c r="BX524" s="1373" t="n"/>
      <c r="BY524" s="1373" t="n"/>
      <c r="BZ524" s="1373" t="n"/>
      <c r="CA524" s="1373" t="n"/>
      <c r="CB524" s="1375" t="n"/>
    </row>
    <row r="525" hidden="1" outlineLevel="2" ht="15" customFormat="1" customHeight="1" s="1372">
      <c r="A525" s="1471" t="inlineStr">
        <is>
          <t>Last Working Day, date</t>
        </is>
      </c>
      <c r="B525" s="1361" t="n"/>
      <c r="C525" s="1683">
        <f>WORKDAY(C4+1,-1)</f>
        <v/>
      </c>
      <c r="D525" s="1683">
        <f>WORKDAY(D4+1,-1)</f>
        <v/>
      </c>
      <c r="E525" s="1683">
        <f>WORKDAY(E4+1,-1)</f>
        <v/>
      </c>
      <c r="F525" s="1683">
        <f>WORKDAY(F4+1,-1)</f>
        <v/>
      </c>
      <c r="G525" s="1684">
        <f>WORKDAY(G4+1,-1)</f>
        <v/>
      </c>
      <c r="H525" s="1684">
        <f>WORKDAY(H4+1,-1)</f>
        <v/>
      </c>
      <c r="I525" s="1684">
        <f>WORKDAY(I4+1,-1)</f>
        <v/>
      </c>
      <c r="J525" s="1684">
        <f>WORKDAY(J4+1,-1)</f>
        <v/>
      </c>
      <c r="K525" s="1683">
        <f>WORKDAY(K4+1,-1)</f>
        <v/>
      </c>
      <c r="L525" s="1684">
        <f>WORKDAY(L4+1,-1)</f>
        <v/>
      </c>
      <c r="M525" s="1684">
        <f>WORKDAY(M4+1,-1)</f>
        <v/>
      </c>
      <c r="N525" s="1684">
        <f>WORKDAY(N4+1,-1)</f>
        <v/>
      </c>
      <c r="O525" s="1684">
        <f>WORKDAY(O4+1,-1)</f>
        <v/>
      </c>
      <c r="P525" s="1683">
        <f>WORKDAY(P4+1,-1)</f>
        <v/>
      </c>
      <c r="Q525" s="1684">
        <f>WORKDAY(Q4+1,-1)</f>
        <v/>
      </c>
      <c r="R525" s="1684">
        <f>WORKDAY(R4+1,-1)</f>
        <v/>
      </c>
      <c r="S525" s="1684">
        <f>WORKDAY(S4+1,-1)</f>
        <v/>
      </c>
      <c r="T525" s="1684">
        <f>WORKDAY(T4+1,-1)</f>
        <v/>
      </c>
      <c r="U525" s="1683">
        <f>WORKDAY(U4+1,-1)</f>
        <v/>
      </c>
      <c r="V525" s="1684">
        <f>WORKDAY(V4+1,-1)</f>
        <v/>
      </c>
      <c r="W525" s="1684">
        <f>WORKDAY(W4+1,-1)</f>
        <v/>
      </c>
      <c r="X525" s="1684">
        <f>WORKDAY(X4+1,-1)</f>
        <v/>
      </c>
      <c r="Y525" s="1684">
        <f>WORKDAY(Y4+1,-1)</f>
        <v/>
      </c>
      <c r="Z525" s="1683">
        <f>WORKDAY(Z4+1,-1)</f>
        <v/>
      </c>
      <c r="AA525" s="1684">
        <f>WORKDAY(AA4+1,-1)</f>
        <v/>
      </c>
      <c r="AB525" s="1684">
        <f>WORKDAY(AB4+1,-1)</f>
        <v/>
      </c>
      <c r="AC525" s="1684">
        <f>WORKDAY(AC4+1,-1)</f>
        <v/>
      </c>
      <c r="AD525" s="1684">
        <f>WORKDAY(AD4+1,-1)</f>
        <v/>
      </c>
      <c r="AE525" s="1683">
        <f>WORKDAY(AE4+1,-1)</f>
        <v/>
      </c>
      <c r="AF525" s="1684">
        <f>WORKDAY(AF4+1,-1)</f>
        <v/>
      </c>
      <c r="AG525" s="1684">
        <f>WORKDAY(AG4+1,-1)</f>
        <v/>
      </c>
      <c r="AH525" s="1684">
        <f>WORKDAY(AH4+1,-1)</f>
        <v/>
      </c>
      <c r="AI525" s="1684">
        <f>WORKDAY(AI4+1,-1)</f>
        <v/>
      </c>
      <c r="AJ525" s="1683">
        <f>WORKDAY(AJ4+1,-1)</f>
        <v/>
      </c>
      <c r="AK525" s="1684">
        <f>WORKDAY(AK4+1,-1)</f>
        <v/>
      </c>
      <c r="AL525" s="1684">
        <f>WORKDAY(AL4+1,-1)</f>
        <v/>
      </c>
      <c r="AM525" s="1684">
        <f>WORKDAY(AM4+1,-1)</f>
        <v/>
      </c>
      <c r="AN525" s="1684">
        <f>WORKDAY(AN4+1,-1)</f>
        <v/>
      </c>
      <c r="AO525" s="1683">
        <f>WORKDAY(AO4+1,-1)</f>
        <v/>
      </c>
      <c r="AP525" s="1684">
        <f>WORKDAY(AP4+1,-1)</f>
        <v/>
      </c>
      <c r="AQ525" s="1684">
        <f>WORKDAY(AQ4+1,-1)</f>
        <v/>
      </c>
      <c r="AR525" s="1684">
        <f>WORKDAY(AR4+1,-1)</f>
        <v/>
      </c>
      <c r="AS525" s="1684">
        <f>WORKDAY(AS4+1,-1)</f>
        <v/>
      </c>
      <c r="AT525" s="1683">
        <f>WORKDAY(AT4+1,-1)</f>
        <v/>
      </c>
      <c r="AU525" s="1684">
        <f>WORKDAY(AU4+1,-1)</f>
        <v/>
      </c>
      <c r="AV525" s="1684">
        <f>WORKDAY(AV4+1,-1)</f>
        <v/>
      </c>
      <c r="AW525" s="1684">
        <f>WORKDAY(AW4+1,-1)</f>
        <v/>
      </c>
      <c r="AX525" s="1684">
        <f>WORKDAY(AX4+1,-1)</f>
        <v/>
      </c>
      <c r="AY525" s="1683">
        <f>WORKDAY(AY4+1,-1)</f>
        <v/>
      </c>
      <c r="AZ525" s="1684">
        <f>WORKDAY(AZ4+1,-1)</f>
        <v/>
      </c>
      <c r="BA525" s="1684">
        <f>WORKDAY(BA4+1,-1)</f>
        <v/>
      </c>
      <c r="BB525" s="1684">
        <f>WORKDAY(BB4+1,-1)</f>
        <v/>
      </c>
      <c r="BC525" s="1684">
        <f>WORKDAY(BC4+1,-1)</f>
        <v/>
      </c>
      <c r="BD525" s="1683">
        <f>WORKDAY(BD4+1,-1)</f>
        <v/>
      </c>
      <c r="BE525" s="1684">
        <f>WORKDAY(BE4+1,-1)</f>
        <v/>
      </c>
      <c r="BF525" s="1684">
        <f>WORKDAY(BF4+1,-1)</f>
        <v/>
      </c>
      <c r="BG525" s="1684">
        <f>WORKDAY(BG4+1,-1)</f>
        <v/>
      </c>
      <c r="BH525" s="1684">
        <f>WORKDAY(BH4+1,-1)</f>
        <v/>
      </c>
      <c r="BI525" s="1683">
        <f>WORKDAY(BI4+1,-1)</f>
        <v/>
      </c>
      <c r="BJ525" s="1684">
        <f>WORKDAY(BJ4+1,-1)</f>
        <v/>
      </c>
      <c r="BK525" s="1684">
        <f>WORKDAY(BK4+1,-1)</f>
        <v/>
      </c>
      <c r="BL525" s="1684">
        <f>WORKDAY(BL4+1,-1)</f>
        <v/>
      </c>
      <c r="BM525" s="1684">
        <f>WORKDAY(BM4+1,-1)</f>
        <v/>
      </c>
      <c r="BN525" s="1683">
        <f>WORKDAY(BN4+1,-1)</f>
        <v/>
      </c>
      <c r="BO525" s="1684">
        <f>WORKDAY(BO4+1,-1)</f>
        <v/>
      </c>
      <c r="BP525" s="1684">
        <f>WORKDAY(BP4+1,-1)</f>
        <v/>
      </c>
      <c r="BQ525" s="1685">
        <f>WORKDAY(BQ4+1,-1)</f>
        <v/>
      </c>
      <c r="BR525" s="1684" t="n"/>
      <c r="BS525" s="1683" t="n"/>
      <c r="BT525" s="1684" t="n"/>
      <c r="BU525" s="1684" t="n"/>
      <c r="BV525" s="1684" t="n"/>
      <c r="BW525" s="1684" t="n"/>
      <c r="BX525" s="1683" t="n"/>
      <c r="BY525" s="1683" t="n"/>
      <c r="BZ525" s="1683" t="n"/>
      <c r="CA525" s="1683" t="n"/>
      <c r="CB525" s="1450" t="n"/>
    </row>
    <row r="526" hidden="1" outlineLevel="1" collapsed="1" ht="15" customFormat="1" customHeight="1" s="1372">
      <c r="A526" s="1450" t="inlineStr">
        <is>
          <t>End of Period Stock Price, $/share</t>
        </is>
      </c>
      <c r="B526" s="1517" t="n"/>
      <c r="C526" s="1686">
        <f>C994</f>
        <v/>
      </c>
      <c r="D526" s="1686">
        <f>D994</f>
        <v/>
      </c>
      <c r="E526" s="1686">
        <f>E994</f>
        <v/>
      </c>
      <c r="F526" s="1686">
        <f>F994</f>
        <v/>
      </c>
      <c r="G526" s="1687">
        <f>G994</f>
        <v/>
      </c>
      <c r="H526" s="1687">
        <f>H994</f>
        <v/>
      </c>
      <c r="I526" s="1687">
        <f>I994</f>
        <v/>
      </c>
      <c r="J526" s="1687">
        <f>J994</f>
        <v/>
      </c>
      <c r="K526" s="1686">
        <f>K994</f>
        <v/>
      </c>
      <c r="L526" s="1687">
        <f>L994</f>
        <v/>
      </c>
      <c r="M526" s="1687">
        <f>M994</f>
        <v/>
      </c>
      <c r="N526" s="1687">
        <f>N994</f>
        <v/>
      </c>
      <c r="O526" s="1687">
        <f>O994</f>
        <v/>
      </c>
      <c r="P526" s="1686">
        <f>P994</f>
        <v/>
      </c>
      <c r="Q526" s="1687">
        <f>Q994</f>
        <v/>
      </c>
      <c r="R526" s="1687">
        <f>R994</f>
        <v/>
      </c>
      <c r="S526" s="1687">
        <f>S994</f>
        <v/>
      </c>
      <c r="T526" s="1687">
        <f>T994</f>
        <v/>
      </c>
      <c r="U526" s="1686">
        <f>U994</f>
        <v/>
      </c>
      <c r="V526" s="1687">
        <f>V994</f>
        <v/>
      </c>
      <c r="W526" s="1687">
        <f>W994</f>
        <v/>
      </c>
      <c r="X526" s="1687">
        <f>X994</f>
        <v/>
      </c>
      <c r="Y526" s="1687">
        <f>Y994</f>
        <v/>
      </c>
      <c r="Z526" s="1686">
        <f>Z994</f>
        <v/>
      </c>
      <c r="AA526" s="1687">
        <f>AA994</f>
        <v/>
      </c>
      <c r="AB526" s="1687">
        <f>AB994</f>
        <v/>
      </c>
      <c r="AC526" s="1687">
        <f>AC994</f>
        <v/>
      </c>
      <c r="AD526" s="1687">
        <f>AD994</f>
        <v/>
      </c>
      <c r="AE526" s="1686">
        <f>AE994</f>
        <v/>
      </c>
      <c r="AF526" s="1687">
        <f>AF994</f>
        <v/>
      </c>
      <c r="AG526" s="1687">
        <f>AG994</f>
        <v/>
      </c>
      <c r="AH526" s="1687">
        <f>AH994</f>
        <v/>
      </c>
      <c r="AI526" s="1687">
        <f>AI994</f>
        <v/>
      </c>
      <c r="AJ526" s="1686">
        <f>AJ994</f>
        <v/>
      </c>
      <c r="AK526" s="1687">
        <f>AK994</f>
        <v/>
      </c>
      <c r="AL526" s="1687">
        <f>AL994</f>
        <v/>
      </c>
      <c r="AM526" s="1687">
        <f>AM994</f>
        <v/>
      </c>
      <c r="AN526" s="1687">
        <f>AN994</f>
        <v/>
      </c>
      <c r="AO526" s="1686">
        <f>AO994</f>
        <v/>
      </c>
      <c r="AP526" s="1687">
        <f>AP994</f>
        <v/>
      </c>
      <c r="AQ526" s="1687">
        <f>AQ994</f>
        <v/>
      </c>
      <c r="AR526" s="1687">
        <f>AR994</f>
        <v/>
      </c>
      <c r="AS526" s="1687">
        <f>AS994</f>
        <v/>
      </c>
      <c r="AT526" s="1686">
        <f>AT994</f>
        <v/>
      </c>
      <c r="AU526" s="1687">
        <f>AU994</f>
        <v/>
      </c>
      <c r="AV526" s="1687">
        <f>AV994</f>
        <v/>
      </c>
      <c r="AW526" s="1687">
        <f>AW994</f>
        <v/>
      </c>
      <c r="AX526" s="1687">
        <f>AX994</f>
        <v/>
      </c>
      <c r="AY526" s="1686">
        <f>AY994</f>
        <v/>
      </c>
      <c r="AZ526" s="1687">
        <f>AZ994</f>
        <v/>
      </c>
      <c r="BA526" s="1687">
        <f>BA994</f>
        <v/>
      </c>
      <c r="BB526" s="1687">
        <f>BB994</f>
        <v/>
      </c>
      <c r="BC526" s="1687">
        <f>BC994</f>
        <v/>
      </c>
      <c r="BD526" s="1686">
        <f>BD994</f>
        <v/>
      </c>
      <c r="BE526" s="1687">
        <f>BE994</f>
        <v/>
      </c>
      <c r="BF526" s="1687">
        <f>BF994</f>
        <v/>
      </c>
      <c r="BG526" s="1687">
        <f>BG994</f>
        <v/>
      </c>
      <c r="BH526" s="1687">
        <f>BH994</f>
        <v/>
      </c>
      <c r="BI526" s="1686">
        <f>BI994</f>
        <v/>
      </c>
      <c r="BJ526" s="1687">
        <f>BJ994</f>
        <v/>
      </c>
      <c r="BK526" s="1687">
        <f>BK994</f>
        <v/>
      </c>
      <c r="BL526" s="1687">
        <f>BL994</f>
        <v/>
      </c>
      <c r="BM526" s="1687">
        <f>BM994</f>
        <v/>
      </c>
      <c r="BN526" s="1686">
        <f>BN994</f>
        <v/>
      </c>
      <c r="BO526" s="1687">
        <f>BO994</f>
        <v/>
      </c>
      <c r="BP526" s="1687">
        <f>BP994</f>
        <v/>
      </c>
      <c r="BQ526" s="1688">
        <f>BQ994</f>
        <v/>
      </c>
      <c r="BR526" s="1687">
        <f>BR994</f>
        <v/>
      </c>
      <c r="BS526" s="1686">
        <f>BS994</f>
        <v/>
      </c>
      <c r="BT526" s="1687">
        <f>BT994</f>
        <v/>
      </c>
      <c r="BU526" s="1687">
        <f>BU994</f>
        <v/>
      </c>
      <c r="BV526" s="1687">
        <f>BV994</f>
        <v/>
      </c>
      <c r="BW526" s="1687">
        <f>BW994</f>
        <v/>
      </c>
      <c r="BX526" s="1686">
        <f>BX994</f>
        <v/>
      </c>
      <c r="BY526" s="1686">
        <f>BY994</f>
        <v/>
      </c>
      <c r="BZ526" s="1686">
        <f>BZ994</f>
        <v/>
      </c>
      <c r="CA526" s="1686">
        <f>CA994</f>
        <v/>
      </c>
      <c r="CB526" s="1450" t="n"/>
    </row>
    <row r="527" hidden="1" outlineLevel="1" ht="15" customFormat="1" customHeight="1" s="1372">
      <c r="A527" s="1689" t="n"/>
      <c r="B527" s="1450" t="n"/>
      <c r="C527" s="1690" t="n"/>
      <c r="D527" s="1690" t="n"/>
      <c r="E527" s="1690" t="n"/>
      <c r="F527" s="1690" t="n"/>
      <c r="G527" s="1689" t="n"/>
      <c r="H527" s="1689" t="n"/>
      <c r="I527" s="1689" t="n"/>
      <c r="J527" s="1689" t="n"/>
      <c r="K527" s="1690" t="n"/>
      <c r="L527" s="1689" t="n"/>
      <c r="M527" s="1689" t="n"/>
      <c r="N527" s="1689" t="n"/>
      <c r="O527" s="1689" t="n"/>
      <c r="P527" s="1690" t="n"/>
      <c r="Q527" s="1689" t="n"/>
      <c r="R527" s="1689" t="n"/>
      <c r="S527" s="1689" t="n"/>
      <c r="T527" s="1689" t="n"/>
      <c r="U527" s="1690" t="n"/>
      <c r="V527" s="1689" t="n"/>
      <c r="W527" s="1689" t="n"/>
      <c r="X527" s="1689" t="n"/>
      <c r="Y527" s="1689" t="n"/>
      <c r="Z527" s="1690" t="n"/>
      <c r="AA527" s="1689" t="n"/>
      <c r="AB527" s="1689" t="n"/>
      <c r="AC527" s="1689" t="n"/>
      <c r="AD527" s="1689" t="n"/>
      <c r="AE527" s="1690" t="n"/>
      <c r="AF527" s="1689" t="n"/>
      <c r="AG527" s="1689" t="n"/>
      <c r="AH527" s="1689" t="n"/>
      <c r="AI527" s="1689" t="n"/>
      <c r="AJ527" s="1690" t="n"/>
      <c r="AK527" s="1689" t="n"/>
      <c r="AL527" s="1689" t="n"/>
      <c r="AM527" s="1689" t="n"/>
      <c r="AN527" s="1689" t="n"/>
      <c r="AO527" s="1690" t="n"/>
      <c r="AP527" s="1689" t="n"/>
      <c r="AQ527" s="1689" t="n"/>
      <c r="AR527" s="1689" t="n"/>
      <c r="AS527" s="1689" t="n"/>
      <c r="AT527" s="1690" t="n"/>
      <c r="AU527" s="1689" t="n"/>
      <c r="AV527" s="1689" t="n"/>
      <c r="AW527" s="1689" t="n"/>
      <c r="AX527" s="1689" t="n"/>
      <c r="AY527" s="1690" t="n"/>
      <c r="AZ527" s="1689" t="n"/>
      <c r="BA527" s="1689" t="n"/>
      <c r="BB527" s="1689" t="n"/>
      <c r="BC527" s="1689" t="n"/>
      <c r="BD527" s="1690" t="n"/>
      <c r="BE527" s="1689" t="n"/>
      <c r="BF527" s="1689" t="n"/>
      <c r="BG527" s="1689" t="n"/>
      <c r="BH527" s="1689" t="n"/>
      <c r="BI527" s="1690" t="n"/>
      <c r="BJ527" s="1689" t="n"/>
      <c r="BK527" s="1689" t="n"/>
      <c r="BL527" s="1689" t="n"/>
      <c r="BM527" s="1689" t="n"/>
      <c r="BN527" s="1690" t="n"/>
      <c r="BO527" s="1689" t="n"/>
      <c r="BP527" s="1689" t="n"/>
      <c r="BQ527" s="1691" t="n"/>
      <c r="BR527" s="1689" t="n"/>
      <c r="BS527" s="1690" t="n"/>
      <c r="BT527" s="1689" t="n"/>
      <c r="BU527" s="1689" t="n"/>
      <c r="BV527" s="1689" t="n"/>
      <c r="BW527" s="1689" t="n"/>
      <c r="BX527" s="1690" t="n"/>
      <c r="BY527" s="1690" t="n"/>
      <c r="BZ527" s="1690" t="n"/>
      <c r="CA527" s="1690" t="n"/>
      <c r="CB527" s="1450" t="n"/>
    </row>
    <row r="528" hidden="1" outlineLevel="1" ht="15" customFormat="1" customHeight="1" s="1372">
      <c r="A528" s="1692" t="inlineStr">
        <is>
          <t>EoP Class A common stock outstanding, mm shares</t>
        </is>
      </c>
      <c r="B528" s="1450" t="n"/>
      <c r="C528" s="1690" t="n"/>
      <c r="D528" s="1690" t="n"/>
      <c r="E528" s="1690" t="n"/>
      <c r="F528" s="1690" t="n"/>
      <c r="G528" s="1689" t="n"/>
      <c r="H528" s="1689" t="n"/>
      <c r="I528" s="1689" t="n"/>
      <c r="J528" s="1689" t="n"/>
      <c r="K528" s="1690" t="n"/>
      <c r="L528" s="1689" t="n"/>
      <c r="M528" s="1689" t="n"/>
      <c r="N528" s="1689" t="n"/>
      <c r="O528" s="1689" t="n"/>
      <c r="P528" s="1690" t="n"/>
      <c r="Q528" s="1689" t="n"/>
      <c r="R528" s="1689" t="n"/>
      <c r="S528" s="1689" t="n"/>
      <c r="T528" s="1689" t="n"/>
      <c r="U528" s="1690" t="n"/>
      <c r="V528" s="1689" t="n"/>
      <c r="W528" s="1689" t="n"/>
      <c r="X528" s="1689" t="n"/>
      <c r="Y528" s="1689" t="n"/>
      <c r="Z528" s="1690" t="n"/>
      <c r="AA528" s="1689" t="n"/>
      <c r="AB528" s="1689" t="n"/>
      <c r="AC528" s="1689" t="n"/>
      <c r="AD528" s="1689" t="n"/>
      <c r="AE528" s="1690" t="n"/>
      <c r="AF528" s="1689" t="n"/>
      <c r="AG528" s="1689" t="n"/>
      <c r="AH528" s="1689" t="n"/>
      <c r="AI528" s="1689" t="n"/>
      <c r="AJ528" s="1690" t="n"/>
      <c r="AK528" s="1689" t="n"/>
      <c r="AL528" s="1689" t="n"/>
      <c r="AM528" s="1689" t="n"/>
      <c r="AN528" s="1689" t="n"/>
      <c r="AO528" s="1690" t="n"/>
      <c r="AP528" s="1689" t="n"/>
      <c r="AQ528" s="1689" t="n"/>
      <c r="AR528" s="1689" t="n"/>
      <c r="AS528" s="1689" t="n"/>
      <c r="AT528" s="1690" t="n"/>
      <c r="AU528" s="1689" t="n"/>
      <c r="AV528" s="1689" t="n"/>
      <c r="AW528" s="1689" t="n"/>
      <c r="AX528" s="1689" t="n"/>
      <c r="AY528" s="1690" t="n"/>
      <c r="AZ528" s="1689" t="n"/>
      <c r="BA528" s="1689" t="n"/>
      <c r="BB528" s="1689" t="n"/>
      <c r="BC528" s="1689" t="n"/>
      <c r="BD528" s="1690" t="n"/>
      <c r="BE528" s="1689" t="n"/>
      <c r="BF528" s="1689" t="n"/>
      <c r="BG528" s="1689" t="n"/>
      <c r="BH528" s="1689" t="n"/>
      <c r="BI528" s="1690" t="n"/>
      <c r="BJ528" s="1689" t="n"/>
      <c r="BK528" s="1689" t="n"/>
      <c r="BL528" s="1689" t="n"/>
      <c r="BM528" s="1689" t="n"/>
      <c r="BN528" s="1690" t="n"/>
      <c r="BO528" s="1689" t="n"/>
      <c r="BP528" s="1689" t="n"/>
      <c r="BQ528" s="1691" t="n"/>
      <c r="BR528" s="1689" t="n"/>
      <c r="BS528" s="1690" t="n"/>
      <c r="BT528" s="1689" t="n"/>
      <c r="BU528" s="1689" t="n"/>
      <c r="BV528" s="1689" t="n"/>
      <c r="BW528" s="1689" t="n"/>
      <c r="BX528" s="1690" t="n"/>
      <c r="BY528" s="1690" t="n"/>
      <c r="BZ528" s="1690" t="n"/>
      <c r="CA528" s="1690" t="n"/>
      <c r="CB528" s="1450" t="n"/>
    </row>
    <row r="529" hidden="1" outlineLevel="1" ht="15" customFormat="1" customHeight="1" s="1372">
      <c r="A529" s="1692" t="inlineStr">
        <is>
          <t>EoP Class B common stock outstanding, mm shares</t>
        </is>
      </c>
      <c r="B529" s="1450" t="n"/>
      <c r="C529" s="1690" t="n"/>
      <c r="D529" s="1690" t="n"/>
      <c r="E529" s="1690" t="n"/>
      <c r="F529" s="1690" t="n"/>
      <c r="G529" s="1689" t="n"/>
      <c r="H529" s="1689" t="n"/>
      <c r="I529" s="1689" t="n"/>
      <c r="J529" s="1689" t="n"/>
      <c r="K529" s="1690" t="n"/>
      <c r="L529" s="1689" t="n"/>
      <c r="M529" s="1689" t="n"/>
      <c r="N529" s="1689" t="n"/>
      <c r="O529" s="1689" t="n"/>
      <c r="P529" s="1690" t="n"/>
      <c r="Q529" s="1689" t="n"/>
      <c r="R529" s="1689" t="n"/>
      <c r="S529" s="1689" t="n"/>
      <c r="T529" s="1689" t="n"/>
      <c r="U529" s="1690" t="n"/>
      <c r="V529" s="1689" t="n"/>
      <c r="W529" s="1689" t="n"/>
      <c r="X529" s="1689" t="n"/>
      <c r="Y529" s="1689" t="n"/>
      <c r="Z529" s="1690" t="n"/>
      <c r="AA529" s="1689" t="n"/>
      <c r="AB529" s="1689" t="n"/>
      <c r="AC529" s="1689" t="n"/>
      <c r="AD529" s="1689" t="n"/>
      <c r="AE529" s="1690" t="n"/>
      <c r="AF529" s="1689" t="n"/>
      <c r="AG529" s="1689" t="n"/>
      <c r="AH529" s="1689" t="n"/>
      <c r="AI529" s="1689" t="n"/>
      <c r="AJ529" s="1690" t="n"/>
      <c r="AK529" s="1689" t="n"/>
      <c r="AL529" s="1689" t="n"/>
      <c r="AM529" s="1689" t="n"/>
      <c r="AN529" s="1689" t="n"/>
      <c r="AO529" s="1690" t="n"/>
      <c r="AP529" s="1689" t="n"/>
      <c r="AQ529" s="1689" t="n"/>
      <c r="AR529" s="1689" t="n"/>
      <c r="AS529" s="1689" t="n"/>
      <c r="AT529" s="1690" t="n"/>
      <c r="AU529" s="1689" t="n"/>
      <c r="AV529" s="1689" t="n"/>
      <c r="AW529" s="1689" t="n"/>
      <c r="AX529" s="1689" t="n"/>
      <c r="AY529" s="1690" t="n"/>
      <c r="AZ529" s="1689" t="n"/>
      <c r="BA529" s="1689" t="n"/>
      <c r="BB529" s="1689" t="n"/>
      <c r="BC529" s="1689" t="n"/>
      <c r="BD529" s="1690" t="n"/>
      <c r="BE529" s="1689" t="n"/>
      <c r="BF529" s="1689" t="n"/>
      <c r="BG529" s="1689" t="n"/>
      <c r="BH529" s="1689" t="n"/>
      <c r="BI529" s="1690" t="n"/>
      <c r="BJ529" s="1689" t="n"/>
      <c r="BK529" s="1689" t="n"/>
      <c r="BL529" s="1689" t="n"/>
      <c r="BM529" s="1689" t="n"/>
      <c r="BN529" s="1690" t="n"/>
      <c r="BO529" s="1689" t="n"/>
      <c r="BP529" s="1689" t="n"/>
      <c r="BQ529" s="1691" t="n"/>
      <c r="BR529" s="1689" t="n"/>
      <c r="BS529" s="1690" t="n"/>
      <c r="BT529" s="1689" t="n"/>
      <c r="BU529" s="1689" t="n"/>
      <c r="BV529" s="1689" t="n"/>
      <c r="BW529" s="1689" t="n"/>
      <c r="BX529" s="1690" t="n"/>
      <c r="BY529" s="1690" t="n"/>
      <c r="BZ529" s="1690" t="n"/>
      <c r="CA529" s="1690" t="n"/>
      <c r="CB529" s="1450" t="n"/>
    </row>
    <row r="530" hidden="1" outlineLevel="2" ht="14.4" customFormat="1" customHeight="1" s="1597">
      <c r="A530" s="1693" t="inlineStr">
        <is>
          <t>EoP Total Shares Outstanding, mm shares</t>
        </is>
      </c>
      <c r="B530" s="1694" t="n"/>
      <c r="C530" s="1695" t="n">
        <v>268.649</v>
      </c>
      <c r="D530" s="1695" t="n">
        <v>267.116</v>
      </c>
      <c r="E530" s="1695" t="n">
        <v>272.68</v>
      </c>
      <c r="F530" s="1695" t="n">
        <v>280.644</v>
      </c>
      <c r="G530" s="1693">
        <f>G532+G531</f>
        <v/>
      </c>
      <c r="H530" s="1693">
        <f>H532+H531</f>
        <v/>
      </c>
      <c r="I530" s="1693">
        <f>I532+I531</f>
        <v/>
      </c>
      <c r="J530" s="1693">
        <f>K530</f>
        <v/>
      </c>
      <c r="K530" s="1695" t="n">
        <v>288.133</v>
      </c>
      <c r="L530" s="1693">
        <f>L532+L531</f>
        <v/>
      </c>
      <c r="M530" s="1693">
        <f>M532+M531</f>
        <v/>
      </c>
      <c r="N530" s="1693">
        <f>N532+N531</f>
        <v/>
      </c>
      <c r="O530" s="1693">
        <f>P530</f>
        <v/>
      </c>
      <c r="P530" s="1695" t="n">
        <v>291.584</v>
      </c>
      <c r="Q530" s="1693">
        <f>Q532+Q531</f>
        <v/>
      </c>
      <c r="R530" s="1693">
        <f>R532+R531</f>
        <v/>
      </c>
      <c r="S530" s="1693">
        <f>S532+S531</f>
        <v/>
      </c>
      <c r="T530" s="1693">
        <f>U530</f>
        <v/>
      </c>
      <c r="U530" s="1695" t="n">
        <v>309.392</v>
      </c>
      <c r="V530" s="1693">
        <f>V532+V531</f>
        <v/>
      </c>
      <c r="W530" s="1693">
        <f>W532+W531</f>
        <v/>
      </c>
      <c r="X530" s="1693">
        <f>X532+X531</f>
        <v/>
      </c>
      <c r="Y530" s="1693">
        <f>Z530</f>
        <v/>
      </c>
      <c r="Z530" s="1695" t="n">
        <v>278.099</v>
      </c>
      <c r="AA530" s="1693">
        <f>AA532+AA531</f>
        <v/>
      </c>
      <c r="AB530" s="1693">
        <f>AB532+AB531</f>
        <v/>
      </c>
      <c r="AC530" s="1693">
        <f>AC532+AC531</f>
        <v/>
      </c>
      <c r="AD530" s="1693">
        <f>AE530</f>
        <v/>
      </c>
      <c r="AE530" s="1695" t="n">
        <v>282.067</v>
      </c>
      <c r="AF530" s="1693">
        <f>AF532+AF531</f>
        <v/>
      </c>
      <c r="AG530" s="1693">
        <f>AG532+AG531</f>
        <v/>
      </c>
      <c r="AH530" s="1693">
        <f>AH532+AH531</f>
        <v/>
      </c>
      <c r="AI530" s="1693">
        <f>AJ530</f>
        <v/>
      </c>
      <c r="AJ530" s="1695" t="n">
        <v>280.015</v>
      </c>
      <c r="AK530" s="1696" t="n">
        <v>281.03</v>
      </c>
      <c r="AL530" s="1696" t="n">
        <v>280.153</v>
      </c>
      <c r="AM530" s="1696" t="n">
        <v>280.593</v>
      </c>
      <c r="AN530" s="1693">
        <f>AO530</f>
        <v/>
      </c>
      <c r="AO530" s="1695" t="n">
        <v>279.855</v>
      </c>
      <c r="AP530" s="1696" t="n">
        <v>279.187</v>
      </c>
      <c r="AQ530" s="1696" t="n">
        <v>278.794</v>
      </c>
      <c r="AR530" s="1696" t="n">
        <v>278.931</v>
      </c>
      <c r="AS530" s="1693">
        <f>AT530</f>
        <v/>
      </c>
      <c r="AT530" s="1695" t="n">
        <v>278.941</v>
      </c>
      <c r="AU530" s="1696" t="n">
        <v>278.265</v>
      </c>
      <c r="AV530" s="1696" t="n">
        <v>276.78</v>
      </c>
      <c r="AW530" s="1696" t="n">
        <v>277.141</v>
      </c>
      <c r="AX530" s="1693">
        <f>AY530</f>
        <v/>
      </c>
      <c r="AY530" s="1695" t="n">
        <v>276.796</v>
      </c>
      <c r="AZ530" s="1696" t="n">
        <v>275.759</v>
      </c>
      <c r="BA530" s="1696" t="n">
        <v>273.87</v>
      </c>
      <c r="BB530" s="1696" t="n">
        <v>274.316</v>
      </c>
      <c r="BC530" s="1693">
        <f>BD530</f>
        <v/>
      </c>
      <c r="BD530" s="1695" t="n">
        <v>272.675</v>
      </c>
      <c r="BE530" s="1696" t="n">
        <v>272.684</v>
      </c>
      <c r="BF530" s="1696" t="n">
        <v>271.79</v>
      </c>
      <c r="BG530" s="1696" t="n">
        <v>272.062</v>
      </c>
      <c r="BH530" s="1693">
        <f>BI530</f>
        <v/>
      </c>
      <c r="BI530" s="1695" t="n">
        <v>271.706</v>
      </c>
      <c r="BJ530" s="1696" t="n">
        <v>272.134</v>
      </c>
      <c r="BK530" s="1696" t="n">
        <v>273.82</v>
      </c>
      <c r="BL530" s="1696" t="n">
        <v>274.263</v>
      </c>
      <c r="BM530" s="1693">
        <f>BN530</f>
        <v/>
      </c>
      <c r="BN530" s="1695" t="n">
        <v>273.851</v>
      </c>
      <c r="BO530" s="1696" t="n">
        <v>273.042</v>
      </c>
      <c r="BP530" s="1696" t="n">
        <v>272.49</v>
      </c>
      <c r="BQ530" s="1697" t="n">
        <v>272.201</v>
      </c>
      <c r="BR530" s="1693">
        <f>BR531+BR532</f>
        <v/>
      </c>
      <c r="BS530" s="1698">
        <f>BR530</f>
        <v/>
      </c>
      <c r="BT530" s="1693">
        <f>BT531+BT532</f>
        <v/>
      </c>
      <c r="BU530" s="1693">
        <f>BU531+BU532</f>
        <v/>
      </c>
      <c r="BV530" s="1693">
        <f>BV531+BV532</f>
        <v/>
      </c>
      <c r="BW530" s="1693">
        <f>BW531+BW532</f>
        <v/>
      </c>
      <c r="BX530" s="1698">
        <f>BW530</f>
        <v/>
      </c>
      <c r="BY530" s="1698">
        <f>BY531+BY532</f>
        <v/>
      </c>
      <c r="BZ530" s="1698">
        <f>BZ531+BZ532</f>
        <v/>
      </c>
      <c r="CA530" s="1698">
        <f>CA531+CA532</f>
        <v/>
      </c>
      <c r="CB530" s="1361" t="n"/>
    </row>
    <row r="531" hidden="1" outlineLevel="1" collapsed="1" ht="15" customFormat="1" customHeight="1" s="1359">
      <c r="A531" s="1478" t="inlineStr">
        <is>
          <t>EoP Unvested RSAs (plug), mm shares</t>
        </is>
      </c>
      <c r="B531" s="1514" t="n"/>
      <c r="C531" s="1480" t="n">
        <v>7.164</v>
      </c>
      <c r="D531" s="1480" t="n">
        <v>6.686</v>
      </c>
      <c r="E531" s="1455">
        <f>E530-E532</f>
        <v/>
      </c>
      <c r="F531" s="1455">
        <f>F530-F532</f>
        <v/>
      </c>
      <c r="G531" s="1510">
        <f>F531</f>
        <v/>
      </c>
      <c r="H531" s="1510">
        <f>G531</f>
        <v/>
      </c>
      <c r="I531" s="1510">
        <f>H531</f>
        <v/>
      </c>
      <c r="J531" s="1456">
        <f>J530-J532</f>
        <v/>
      </c>
      <c r="K531" s="1455">
        <f>K530-K532</f>
        <v/>
      </c>
      <c r="L531" s="1510">
        <f>K531</f>
        <v/>
      </c>
      <c r="M531" s="1510">
        <f>L531</f>
        <v/>
      </c>
      <c r="N531" s="1510">
        <f>M531</f>
        <v/>
      </c>
      <c r="O531" s="1456">
        <f>O530-O532</f>
        <v/>
      </c>
      <c r="P531" s="1455">
        <f>P530-P532</f>
        <v/>
      </c>
      <c r="Q531" s="1510">
        <f>P531</f>
        <v/>
      </c>
      <c r="R531" s="1510">
        <f>Q531</f>
        <v/>
      </c>
      <c r="S531" s="1510">
        <f>R531</f>
        <v/>
      </c>
      <c r="T531" s="1456">
        <f>T530-T532</f>
        <v/>
      </c>
      <c r="U531" s="1455">
        <f>U530-U532</f>
        <v/>
      </c>
      <c r="V531" s="1510">
        <f>U531</f>
        <v/>
      </c>
      <c r="W531" s="1510">
        <f>V531</f>
        <v/>
      </c>
      <c r="X531" s="1510">
        <f>W531</f>
        <v/>
      </c>
      <c r="Y531" s="1456">
        <f>Y530-Y532</f>
        <v/>
      </c>
      <c r="Z531" s="1455">
        <f>Z530-Z532</f>
        <v/>
      </c>
      <c r="AA531" s="1510">
        <f>Z531</f>
        <v/>
      </c>
      <c r="AB531" s="1510">
        <f>AA531</f>
        <v/>
      </c>
      <c r="AC531" s="1510">
        <f>AB531</f>
        <v/>
      </c>
      <c r="AD531" s="1456">
        <f>AE531</f>
        <v/>
      </c>
      <c r="AE531" s="1455">
        <f>AE530-AE532</f>
        <v/>
      </c>
      <c r="AF531" s="1510">
        <f>AE531</f>
        <v/>
      </c>
      <c r="AG531" s="1510">
        <f>AF531</f>
        <v/>
      </c>
      <c r="AH531" s="1510">
        <f>AG531</f>
        <v/>
      </c>
      <c r="AI531" s="1456">
        <f>AI530-AI532</f>
        <v/>
      </c>
      <c r="AJ531" s="1455">
        <f>AJ530-AJ532</f>
        <v/>
      </c>
      <c r="AK531" s="1510">
        <f>AK530-AK532</f>
        <v/>
      </c>
      <c r="AL531" s="1510">
        <f>AL530-AL532</f>
        <v/>
      </c>
      <c r="AM531" s="1510">
        <f>AM530-AM532</f>
        <v/>
      </c>
      <c r="AN531" s="1456">
        <f>AN530-AN532</f>
        <v/>
      </c>
      <c r="AO531" s="1455">
        <f>AN531</f>
        <v/>
      </c>
      <c r="AP531" s="1510">
        <f>AP530-AP532</f>
        <v/>
      </c>
      <c r="AQ531" s="1510">
        <f>AQ530-AQ532</f>
        <v/>
      </c>
      <c r="AR531" s="1510">
        <f>AR530-AR532</f>
        <v/>
      </c>
      <c r="AS531" s="1456">
        <f>AS530-AS532</f>
        <v/>
      </c>
      <c r="AT531" s="1455">
        <f>AS531</f>
        <v/>
      </c>
      <c r="AU531" s="1510">
        <f>AU530-AU532</f>
        <v/>
      </c>
      <c r="AV531" s="1510">
        <f>AV530-AV532</f>
        <v/>
      </c>
      <c r="AW531" s="1510">
        <f>AW530-AW532</f>
        <v/>
      </c>
      <c r="AX531" s="1456">
        <f>AX530-AX532</f>
        <v/>
      </c>
      <c r="AY531" s="1455">
        <f>AX531</f>
        <v/>
      </c>
      <c r="AZ531" s="1510">
        <f>AZ530-AZ532</f>
        <v/>
      </c>
      <c r="BA531" s="1510">
        <f>BA530-BA532</f>
        <v/>
      </c>
      <c r="BB531" s="1510">
        <f>BB530-BB532</f>
        <v/>
      </c>
      <c r="BC531" s="1456">
        <f>BC530-BC532</f>
        <v/>
      </c>
      <c r="BD531" s="1455">
        <f>BC531</f>
        <v/>
      </c>
      <c r="BE531" s="1510">
        <f>BE530-BE532</f>
        <v/>
      </c>
      <c r="BF531" s="1510">
        <f>BF530-BF532</f>
        <v/>
      </c>
      <c r="BG531" s="1510">
        <f>BG530-BG532</f>
        <v/>
      </c>
      <c r="BH531" s="1510">
        <f>BH530-BH532</f>
        <v/>
      </c>
      <c r="BI531" s="1455">
        <f>BH531</f>
        <v/>
      </c>
      <c r="BJ531" s="1510">
        <f>BJ530-BJ532</f>
        <v/>
      </c>
      <c r="BK531" s="1510">
        <f>BK530-BK532</f>
        <v/>
      </c>
      <c r="BL531" s="1510">
        <f>BL530-BL532</f>
        <v/>
      </c>
      <c r="BM531" s="1510">
        <f>BM530-BM532</f>
        <v/>
      </c>
      <c r="BN531" s="1455">
        <f>BM531</f>
        <v/>
      </c>
      <c r="BO531" s="1510">
        <f>BO530-BO532</f>
        <v/>
      </c>
      <c r="BP531" s="1510">
        <f>BP530-BP532</f>
        <v/>
      </c>
      <c r="BQ531" s="1511">
        <f>BQ530-BQ532</f>
        <v/>
      </c>
      <c r="BR531" s="1456">
        <f>BQ531</f>
        <v/>
      </c>
      <c r="BS531" s="1455">
        <f>BR531</f>
        <v/>
      </c>
      <c r="BT531" s="1456">
        <f>BS531</f>
        <v/>
      </c>
      <c r="BU531" s="1456">
        <f>BT531</f>
        <v/>
      </c>
      <c r="BV531" s="1456">
        <f>BU531</f>
        <v/>
      </c>
      <c r="BW531" s="1456">
        <f>BV531</f>
        <v/>
      </c>
      <c r="BX531" s="1455">
        <f>BW531</f>
        <v/>
      </c>
      <c r="BY531" s="1455">
        <f>BX531</f>
        <v/>
      </c>
      <c r="BZ531" s="1455">
        <f>BY531</f>
        <v/>
      </c>
      <c r="CA531" s="1455">
        <f>BZ531</f>
        <v/>
      </c>
      <c r="CB531" s="1361" t="n"/>
    </row>
    <row r="532" hidden="1" outlineLevel="1" ht="15" customFormat="1" customHeight="1" s="1359">
      <c r="A532" s="1361" t="inlineStr">
        <is>
          <t>EoP Total Shares Outstanding excl. restricted stock, mm shares</t>
        </is>
      </c>
      <c r="B532" s="1512" t="n"/>
      <c r="C532" s="1379">
        <f>C530-C531</f>
        <v/>
      </c>
      <c r="D532" s="1379">
        <f>D530-D531</f>
        <v/>
      </c>
      <c r="E532" s="1379">
        <f>E520*2-D532</f>
        <v/>
      </c>
      <c r="F532" s="1379">
        <f>F520*2-E532</f>
        <v/>
      </c>
      <c r="G532" s="1361">
        <f>G520*2-F532</f>
        <v/>
      </c>
      <c r="H532" s="1361">
        <f>H520*2-G532</f>
        <v/>
      </c>
      <c r="I532" s="1361">
        <f>I520*2-H532</f>
        <v/>
      </c>
      <c r="J532" s="1361">
        <f>J520*2-I532</f>
        <v/>
      </c>
      <c r="K532" s="1379">
        <f>J532</f>
        <v/>
      </c>
      <c r="L532" s="1361">
        <f>L520*2-K532</f>
        <v/>
      </c>
      <c r="M532" s="1361">
        <f>M520*2-L532</f>
        <v/>
      </c>
      <c r="N532" s="1361">
        <f>N520*2-M532</f>
        <v/>
      </c>
      <c r="O532" s="1361">
        <f>O520*2-N532</f>
        <v/>
      </c>
      <c r="P532" s="1379">
        <f>O532</f>
        <v/>
      </c>
      <c r="Q532" s="1361">
        <f>Q520*2-P532</f>
        <v/>
      </c>
      <c r="R532" s="1361">
        <f>R520*2-Q532</f>
        <v/>
      </c>
      <c r="S532" s="1361">
        <f>S520*2-R532</f>
        <v/>
      </c>
      <c r="T532" s="1361">
        <f>T520*2-S532</f>
        <v/>
      </c>
      <c r="U532" s="1379">
        <f>T532</f>
        <v/>
      </c>
      <c r="V532" s="1361">
        <f>V520*2-U532</f>
        <v/>
      </c>
      <c r="W532" s="1361">
        <f>W520*2-V532</f>
        <v/>
      </c>
      <c r="X532" s="1361">
        <f>X520*2-W532</f>
        <v/>
      </c>
      <c r="Y532" s="1361">
        <f>Y520*2-X532</f>
        <v/>
      </c>
      <c r="Z532" s="1379">
        <f>Y532</f>
        <v/>
      </c>
      <c r="AA532" s="1361">
        <f>AA520*2-Z532</f>
        <v/>
      </c>
      <c r="AB532" s="1361">
        <f>AB520*2-AA532</f>
        <v/>
      </c>
      <c r="AC532" s="1361">
        <f>AC520*2-AB532</f>
        <v/>
      </c>
      <c r="AD532" s="1361">
        <f>AD520*2-AC532</f>
        <v/>
      </c>
      <c r="AE532" s="1379">
        <f>AD532</f>
        <v/>
      </c>
      <c r="AF532" s="1361">
        <f>AF520*2-AE532</f>
        <v/>
      </c>
      <c r="AG532" s="1361">
        <f>AG520*2-AF532</f>
        <v/>
      </c>
      <c r="AH532" s="1361">
        <f>AH520*2-AG532</f>
        <v/>
      </c>
      <c r="AI532" s="1361">
        <f>AI520*2-AH532</f>
        <v/>
      </c>
      <c r="AJ532" s="1379">
        <f>AI532</f>
        <v/>
      </c>
      <c r="AK532" s="1361">
        <f>AK520*2-AJ532</f>
        <v/>
      </c>
      <c r="AL532" s="1361">
        <f>AL520*2-AK532</f>
        <v/>
      </c>
      <c r="AM532" s="1361">
        <f>AM520*2-AL532</f>
        <v/>
      </c>
      <c r="AN532" s="1361">
        <f>AN520*2-AM532</f>
        <v/>
      </c>
      <c r="AO532" s="1379">
        <f>AN532</f>
        <v/>
      </c>
      <c r="AP532" s="1361">
        <f>AP520*2-AO532</f>
        <v/>
      </c>
      <c r="AQ532" s="1361">
        <f>AQ520*2-AP532</f>
        <v/>
      </c>
      <c r="AR532" s="1361">
        <f>AR520*2-AQ532</f>
        <v/>
      </c>
      <c r="AS532" s="1361">
        <f>AS520*2-AR532</f>
        <v/>
      </c>
      <c r="AT532" s="1379">
        <f>AS532</f>
        <v/>
      </c>
      <c r="AU532" s="1361">
        <f>AU520*2-AT532</f>
        <v/>
      </c>
      <c r="AV532" s="1361">
        <f>AV520*2-AU532</f>
        <v/>
      </c>
      <c r="AW532" s="1361">
        <f>AW520*2-AV532</f>
        <v/>
      </c>
      <c r="AX532" s="1361">
        <f>AX520*2-AW532</f>
        <v/>
      </c>
      <c r="AY532" s="1379">
        <f>AX532</f>
        <v/>
      </c>
      <c r="AZ532" s="1361">
        <f>AZ520*2-AY532</f>
        <v/>
      </c>
      <c r="BA532" s="1361">
        <f>BA520*2-AZ532</f>
        <v/>
      </c>
      <c r="BB532" s="1361">
        <f>BB520*2-BA532</f>
        <v/>
      </c>
      <c r="BC532" s="1361">
        <f>BC520*2-BB532</f>
        <v/>
      </c>
      <c r="BD532" s="1379">
        <f>BC532</f>
        <v/>
      </c>
      <c r="BE532" s="1361">
        <f>BE520*2-BD532</f>
        <v/>
      </c>
      <c r="BF532" s="1361">
        <f>BF520*2-BE532</f>
        <v/>
      </c>
      <c r="BG532" s="1361">
        <f>BG520*2-BF532</f>
        <v/>
      </c>
      <c r="BH532" s="1361">
        <f>BH520*2-BG532</f>
        <v/>
      </c>
      <c r="BI532" s="1379">
        <f>BH532</f>
        <v/>
      </c>
      <c r="BJ532" s="1361">
        <f>BJ520*2-BI532</f>
        <v/>
      </c>
      <c r="BK532" s="1361">
        <f>BK520*2-BJ532</f>
        <v/>
      </c>
      <c r="BL532" s="1361">
        <f>BL520*2-BK532</f>
        <v/>
      </c>
      <c r="BM532" s="1361">
        <f>BM520*2-BL532</f>
        <v/>
      </c>
      <c r="BN532" s="1379">
        <f>BM532</f>
        <v/>
      </c>
      <c r="BO532" s="1361">
        <f>BO520*2-BN532</f>
        <v/>
      </c>
      <c r="BP532" s="1361">
        <f>BP520*2-BO532</f>
        <v/>
      </c>
      <c r="BQ532" s="1363">
        <f>BQ520*2-BP532</f>
        <v/>
      </c>
      <c r="BR532" s="1361">
        <f>BQ532*(1+BR533)+BR949/(BR950/BR995)+BR612+BR629+BR646+BR663+BR680</f>
        <v/>
      </c>
      <c r="BS532" s="1379">
        <f>BR532</f>
        <v/>
      </c>
      <c r="BT532" s="1361">
        <f>BS532*(1+BT533)+BT949/(BT950/BT995)+BT612+BT629+BT646+BT663+BT680</f>
        <v/>
      </c>
      <c r="BU532" s="1361">
        <f>BT532*(1+BU533)+BU949/(BU950/BU995)+BU612+BU629+BU646+BU663+BU680</f>
        <v/>
      </c>
      <c r="BV532" s="1361">
        <f>BU532*(1+BV533)+BV949/(BV950/BV995)+BV612+BV629+BV646+BV663+BV680</f>
        <v/>
      </c>
      <c r="BW532" s="1361">
        <f>BV532*(1+BW533)+BW949/(BW950/BW995)+BW612+BW629+BW646+BW663+BW680</f>
        <v/>
      </c>
      <c r="BX532" s="1379">
        <f>BW532</f>
        <v/>
      </c>
      <c r="BY532" s="1379">
        <f>BX532*(1+BY534)+BY949/(BY950/BY995)+BY612+BY629+BY646+BY663+BY680</f>
        <v/>
      </c>
      <c r="BZ532" s="1379">
        <f>BY532*(1+BZ534)+BZ949/(BZ950/BZ995)+BZ612+BZ629+BZ646+BZ663+BZ680</f>
        <v/>
      </c>
      <c r="CA532" s="1379">
        <f>BZ532*(1+CA534)+CA949/(CA950/CA995)+CA612+CA629+CA646+CA663+CA680</f>
        <v/>
      </c>
      <c r="CB532" s="1361" t="n"/>
    </row>
    <row r="533" hidden="1" outlineLevel="1" ht="15" customFormat="1" customHeight="1" s="1359">
      <c r="A533" s="1699" t="inlineStr">
        <is>
          <t>Q/Q basic share expansion from dilutive securities, %</t>
        </is>
      </c>
      <c r="B533" s="1590" t="n"/>
      <c r="C533" s="1382" t="n"/>
      <c r="D533" s="1382" t="n"/>
      <c r="E533" s="1382" t="n"/>
      <c r="F533" s="1382" t="n"/>
      <c r="G533" s="1384" t="n"/>
      <c r="H533" s="1384" t="n"/>
      <c r="I533" s="1384" t="n"/>
      <c r="J533" s="1384" t="n"/>
      <c r="K533" s="1382" t="n"/>
      <c r="L533" s="1384" t="n"/>
      <c r="M533" s="1384" t="n"/>
      <c r="N533" s="1384" t="n"/>
      <c r="O533" s="1384" t="n"/>
      <c r="P533" s="1382" t="n"/>
      <c r="Q533" s="1384" t="n"/>
      <c r="R533" s="1384" t="n"/>
      <c r="S533" s="1384" t="n"/>
      <c r="T533" s="1384" t="n"/>
      <c r="U533" s="1382" t="n"/>
      <c r="V533" s="1384" t="n"/>
      <c r="W533" s="1384" t="n"/>
      <c r="X533" s="1384" t="n"/>
      <c r="Y533" s="1384" t="n"/>
      <c r="Z533" s="1382" t="n"/>
      <c r="AA533" s="1384" t="n"/>
      <c r="AB533" s="1384" t="n"/>
      <c r="AC533" s="1384" t="n"/>
      <c r="AD533" s="1384" t="n"/>
      <c r="AE533" s="1382" t="n"/>
      <c r="AF533" s="1384" t="n"/>
      <c r="AG533" s="1384" t="n"/>
      <c r="AH533" s="1384" t="n"/>
      <c r="AI533" s="1384" t="n"/>
      <c r="AJ533" s="1382" t="n"/>
      <c r="AK533" s="1384" t="n"/>
      <c r="AL533" s="1384" t="n"/>
      <c r="AM533" s="1384" t="n"/>
      <c r="AN533" s="1384" t="n"/>
      <c r="AO533" s="1382" t="n"/>
      <c r="AP533" s="1384" t="n"/>
      <c r="AQ533" s="1384" t="n"/>
      <c r="AR533" s="1384" t="n"/>
      <c r="AS533" s="1384" t="n"/>
      <c r="AT533" s="1382" t="n"/>
      <c r="AU533" s="1384" t="n"/>
      <c r="AV533" s="1384" t="n"/>
      <c r="AW533" s="1384" t="n"/>
      <c r="AX533" s="1384" t="n"/>
      <c r="AY533" s="1382" t="n"/>
      <c r="AZ533" s="1384" t="n"/>
      <c r="BA533" s="1384" t="n"/>
      <c r="BB533" s="1384" t="n"/>
      <c r="BC533" s="1384" t="n"/>
      <c r="BD533" s="1382" t="n"/>
      <c r="BE533" s="1384" t="n"/>
      <c r="BF533" s="1384" t="n"/>
      <c r="BG533" s="1384" t="n"/>
      <c r="BH533" s="1384" t="n"/>
      <c r="BI533" s="1382" t="n"/>
      <c r="BJ533" s="1384" t="n"/>
      <c r="BK533" s="1384" t="n"/>
      <c r="BL533" s="1384" t="n"/>
      <c r="BM533" s="1384" t="n"/>
      <c r="BN533" s="1382" t="n"/>
      <c r="BO533" s="1384" t="n"/>
      <c r="BP533" s="1384" t="n"/>
      <c r="BQ533" s="1386" t="n"/>
      <c r="BR533" s="1398" t="n">
        <v>0.0001</v>
      </c>
      <c r="BS533" s="1382" t="n"/>
      <c r="BT533" s="1398" t="n">
        <v>0.0001</v>
      </c>
      <c r="BU533" s="1398" t="n">
        <v>0.0001</v>
      </c>
      <c r="BV533" s="1398" t="n">
        <v>0.0001</v>
      </c>
      <c r="BW533" s="1398" t="n">
        <v>0.0001</v>
      </c>
      <c r="BX533" s="1382" t="n"/>
      <c r="BY533" s="1382" t="n"/>
      <c r="BZ533" s="1382" t="n"/>
      <c r="CA533" s="1382" t="n"/>
      <c r="CB533" s="1361" t="n"/>
    </row>
    <row r="534" hidden="1" outlineLevel="1" ht="15" customFormat="1" customHeight="1" s="1359">
      <c r="A534" s="1699" t="inlineStr">
        <is>
          <t>Y/Y basic share expansion from dilutive securities, %</t>
        </is>
      </c>
      <c r="B534" s="1590" t="n"/>
      <c r="C534" s="1382" t="n"/>
      <c r="D534" s="1382" t="n"/>
      <c r="E534" s="1382" t="n"/>
      <c r="F534" s="1382" t="n"/>
      <c r="G534" s="1384" t="n"/>
      <c r="H534" s="1384" t="n"/>
      <c r="I534" s="1384" t="n"/>
      <c r="J534" s="1384" t="n"/>
      <c r="K534" s="1382" t="n"/>
      <c r="L534" s="1384" t="n"/>
      <c r="M534" s="1384" t="n"/>
      <c r="N534" s="1384" t="n"/>
      <c r="O534" s="1384" t="n"/>
      <c r="P534" s="1382" t="n"/>
      <c r="Q534" s="1384" t="n"/>
      <c r="R534" s="1384" t="n"/>
      <c r="S534" s="1384" t="n"/>
      <c r="T534" s="1384" t="n"/>
      <c r="U534" s="1382" t="n"/>
      <c r="V534" s="1384" t="n"/>
      <c r="W534" s="1384" t="n"/>
      <c r="X534" s="1384" t="n"/>
      <c r="Y534" s="1384" t="n"/>
      <c r="Z534" s="1382" t="n"/>
      <c r="AA534" s="1384" t="n"/>
      <c r="AB534" s="1384" t="n"/>
      <c r="AC534" s="1384" t="n"/>
      <c r="AD534" s="1384" t="n"/>
      <c r="AE534" s="1382" t="n"/>
      <c r="AF534" s="1384" t="n"/>
      <c r="AG534" s="1384" t="n"/>
      <c r="AH534" s="1384" t="n"/>
      <c r="AI534" s="1384" t="n"/>
      <c r="AJ534" s="1382" t="n"/>
      <c r="AK534" s="1384" t="n"/>
      <c r="AL534" s="1384" t="n"/>
      <c r="AM534" s="1384" t="n"/>
      <c r="AN534" s="1384" t="n"/>
      <c r="AO534" s="1382" t="n"/>
      <c r="AP534" s="1384" t="n"/>
      <c r="AQ534" s="1384" t="n"/>
      <c r="AR534" s="1384" t="n"/>
      <c r="AS534" s="1384" t="n"/>
      <c r="AT534" s="1382" t="n"/>
      <c r="AU534" s="1384" t="n"/>
      <c r="AV534" s="1384" t="n"/>
      <c r="AW534" s="1384" t="n"/>
      <c r="AX534" s="1384" t="n"/>
      <c r="AY534" s="1382" t="n"/>
      <c r="AZ534" s="1384" t="n"/>
      <c r="BA534" s="1384" t="n"/>
      <c r="BB534" s="1384" t="n"/>
      <c r="BC534" s="1384" t="n"/>
      <c r="BD534" s="1382" t="n"/>
      <c r="BE534" s="1384" t="n"/>
      <c r="BF534" s="1384" t="n"/>
      <c r="BG534" s="1384" t="n"/>
      <c r="BH534" s="1384" t="n"/>
      <c r="BI534" s="1382" t="n"/>
      <c r="BJ534" s="1384" t="n"/>
      <c r="BK534" s="1384" t="n"/>
      <c r="BL534" s="1384" t="n"/>
      <c r="BM534" s="1384" t="n"/>
      <c r="BN534" s="1382" t="n"/>
      <c r="BO534" s="1384" t="n"/>
      <c r="BP534" s="1384" t="n"/>
      <c r="BQ534" s="1386" t="n"/>
      <c r="BR534" s="1384" t="n"/>
      <c r="BS534" s="1382" t="n"/>
      <c r="BT534" s="1384" t="n"/>
      <c r="BU534" s="1384" t="n"/>
      <c r="BV534" s="1384" t="n"/>
      <c r="BW534" s="1384" t="n"/>
      <c r="BX534" s="1382" t="n"/>
      <c r="BY534" s="1399" t="n">
        <v>0.0004</v>
      </c>
      <c r="BZ534" s="1399" t="n">
        <v>0.0004</v>
      </c>
      <c r="CA534" s="1399" t="n">
        <v>0.0004</v>
      </c>
      <c r="CB534" s="1361" t="n"/>
    </row>
    <row r="535" hidden="1" outlineLevel="2" ht="15" customFormat="1" customHeight="1" s="1359">
      <c r="A535" s="1699" t="inlineStr">
        <is>
          <t>Q/Q basic share expansion from share issuance (buyback), %</t>
        </is>
      </c>
      <c r="B535" s="1590" t="n"/>
      <c r="C535" s="1382" t="n"/>
      <c r="D535" s="1382" t="n"/>
      <c r="E535" s="1382" t="n"/>
      <c r="F535" s="1382" t="n"/>
      <c r="G535" s="1384" t="n"/>
      <c r="H535" s="1384" t="n"/>
      <c r="I535" s="1384" t="n"/>
      <c r="J535" s="1384" t="n"/>
      <c r="K535" s="1382" t="n"/>
      <c r="L535" s="1384" t="n"/>
      <c r="M535" s="1384" t="n"/>
      <c r="N535" s="1384" t="n"/>
      <c r="O535" s="1384" t="n"/>
      <c r="P535" s="1382" t="n"/>
      <c r="Q535" s="1384" t="n"/>
      <c r="R535" s="1384" t="n"/>
      <c r="S535" s="1384" t="n"/>
      <c r="T535" s="1384" t="n"/>
      <c r="U535" s="1382" t="n"/>
      <c r="V535" s="1384" t="n"/>
      <c r="W535" s="1384" t="n"/>
      <c r="X535" s="1384" t="n"/>
      <c r="Y535" s="1384" t="n"/>
      <c r="Z535" s="1382" t="n"/>
      <c r="AA535" s="1384" t="n"/>
      <c r="AB535" s="1384" t="n"/>
      <c r="AC535" s="1384" t="n"/>
      <c r="AD535" s="1384" t="n"/>
      <c r="AE535" s="1382" t="n"/>
      <c r="AF535" s="1384" t="n"/>
      <c r="AG535" s="1384" t="n"/>
      <c r="AH535" s="1384" t="n"/>
      <c r="AI535" s="1384" t="n"/>
      <c r="AJ535" s="1382" t="n"/>
      <c r="AK535" s="1384" t="n"/>
      <c r="AL535" s="1384" t="n"/>
      <c r="AM535" s="1384" t="n"/>
      <c r="AN535" s="1384" t="n"/>
      <c r="AO535" s="1382" t="n"/>
      <c r="AP535" s="1384" t="n"/>
      <c r="AQ535" s="1384" t="n"/>
      <c r="AR535" s="1384" t="n"/>
      <c r="AS535" s="1384" t="n"/>
      <c r="AT535" s="1382" t="n"/>
      <c r="AU535" s="1384" t="n"/>
      <c r="AV535" s="1384" t="n"/>
      <c r="AW535" s="1384" t="n"/>
      <c r="AX535" s="1384" t="n"/>
      <c r="AY535" s="1382" t="n"/>
      <c r="AZ535" s="1384" t="n"/>
      <c r="BA535" s="1384" t="n"/>
      <c r="BB535" s="1384" t="n"/>
      <c r="BC535" s="1384" t="n"/>
      <c r="BD535" s="1382" t="n"/>
      <c r="BE535" s="1384" t="n"/>
      <c r="BF535" s="1384" t="n"/>
      <c r="BG535" s="1384" t="n"/>
      <c r="BH535" s="1384" t="n"/>
      <c r="BI535" s="1382" t="n"/>
      <c r="BJ535" s="1384" t="n"/>
      <c r="BK535" s="1384" t="n"/>
      <c r="BL535" s="1384" t="n"/>
      <c r="BM535" s="1384" t="n"/>
      <c r="BN535" s="1382" t="n"/>
      <c r="BO535" s="1384" t="n"/>
      <c r="BP535" s="1384" t="n"/>
      <c r="BQ535" s="1386" t="n"/>
      <c r="BR535" s="1384">
        <f>(BR949/(BR950/BR995)+BR612+BR629+BR646+BR663+BR680)/BQ532</f>
        <v/>
      </c>
      <c r="BS535" s="1382" t="n"/>
      <c r="BT535" s="1384">
        <f>(BT949/(BT950/BT995)+BT612+BT629+BT646+BT663+BT680)/BS532</f>
        <v/>
      </c>
      <c r="BU535" s="1384">
        <f>(BU949/(BU950/BU995)+BU612+BU629+BU646+BU663+BU680)/BT532</f>
        <v/>
      </c>
      <c r="BV535" s="1384">
        <f>(BV949/(BV950/BV995)+BV612+BV629+BV646+BV663+BV680)/BU532</f>
        <v/>
      </c>
      <c r="BW535" s="1384">
        <f>(BW949/(BW950/BW995)+BW612+BW629+BW646+BW663+BW680)/BV532</f>
        <v/>
      </c>
      <c r="BX535" s="1382" t="n"/>
      <c r="BY535" s="1382" t="n"/>
      <c r="BZ535" s="1382" t="n"/>
      <c r="CA535" s="1382" t="n"/>
      <c r="CB535" s="1361" t="n"/>
    </row>
    <row r="536" hidden="1" outlineLevel="2" ht="15" customFormat="1" customHeight="1" s="1359">
      <c r="A536" s="1699" t="inlineStr">
        <is>
          <t>Y/Y basic share expansion from share issuance (buyback), %</t>
        </is>
      </c>
      <c r="B536" s="1590" t="n"/>
      <c r="C536" s="1382" t="n"/>
      <c r="D536" s="1382" t="n"/>
      <c r="E536" s="1382" t="n"/>
      <c r="F536" s="1382" t="n"/>
      <c r="G536" s="1384" t="n"/>
      <c r="H536" s="1384" t="n"/>
      <c r="I536" s="1384" t="n"/>
      <c r="J536" s="1384" t="n"/>
      <c r="K536" s="1382" t="n"/>
      <c r="L536" s="1384" t="n"/>
      <c r="M536" s="1384" t="n"/>
      <c r="N536" s="1384" t="n"/>
      <c r="O536" s="1384" t="n"/>
      <c r="P536" s="1382" t="n"/>
      <c r="Q536" s="1384" t="n"/>
      <c r="R536" s="1384" t="n"/>
      <c r="S536" s="1384" t="n"/>
      <c r="T536" s="1384" t="n"/>
      <c r="U536" s="1382" t="n"/>
      <c r="V536" s="1384" t="n"/>
      <c r="W536" s="1384" t="n"/>
      <c r="X536" s="1384" t="n"/>
      <c r="Y536" s="1384" t="n"/>
      <c r="Z536" s="1382" t="n"/>
      <c r="AA536" s="1384" t="n"/>
      <c r="AB536" s="1384" t="n"/>
      <c r="AC536" s="1384" t="n"/>
      <c r="AD536" s="1384" t="n"/>
      <c r="AE536" s="1382" t="n"/>
      <c r="AF536" s="1384" t="n"/>
      <c r="AG536" s="1384" t="n"/>
      <c r="AH536" s="1384" t="n"/>
      <c r="AI536" s="1384" t="n"/>
      <c r="AJ536" s="1382" t="n"/>
      <c r="AK536" s="1384" t="n"/>
      <c r="AL536" s="1384" t="n"/>
      <c r="AM536" s="1384" t="n"/>
      <c r="AN536" s="1384" t="n"/>
      <c r="AO536" s="1382" t="n"/>
      <c r="AP536" s="1384" t="n"/>
      <c r="AQ536" s="1384" t="n"/>
      <c r="AR536" s="1384" t="n"/>
      <c r="AS536" s="1384" t="n"/>
      <c r="AT536" s="1382" t="n"/>
      <c r="AU536" s="1384" t="n"/>
      <c r="AV536" s="1384" t="n"/>
      <c r="AW536" s="1384" t="n"/>
      <c r="AX536" s="1384" t="n"/>
      <c r="AY536" s="1382" t="n"/>
      <c r="AZ536" s="1384" t="n"/>
      <c r="BA536" s="1384" t="n"/>
      <c r="BB536" s="1384" t="n"/>
      <c r="BC536" s="1384" t="n"/>
      <c r="BD536" s="1382" t="n"/>
      <c r="BE536" s="1384" t="n"/>
      <c r="BF536" s="1384" t="n"/>
      <c r="BG536" s="1384" t="n"/>
      <c r="BH536" s="1384" t="n"/>
      <c r="BI536" s="1382" t="n"/>
      <c r="BJ536" s="1384" t="n"/>
      <c r="BK536" s="1384" t="n"/>
      <c r="BL536" s="1384" t="n"/>
      <c r="BM536" s="1384" t="n"/>
      <c r="BN536" s="1382" t="n"/>
      <c r="BO536" s="1384" t="n"/>
      <c r="BP536" s="1384" t="n"/>
      <c r="BQ536" s="1386" t="n"/>
      <c r="BR536" s="1384" t="n"/>
      <c r="BS536" s="1382">
        <f>(BS949/(BS950/BS995)+BS612+BS629+BS646+BS663+BS680)/BN532</f>
        <v/>
      </c>
      <c r="BT536" s="1384" t="n"/>
      <c r="BU536" s="1384" t="n"/>
      <c r="BV536" s="1384" t="n"/>
      <c r="BW536" s="1384" t="n"/>
      <c r="BX536" s="1382">
        <f>(BX949/(BX950/BX995)+BX612+BX629+BX646+BX663+BX680)/BS532</f>
        <v/>
      </c>
      <c r="BY536" s="1382">
        <f>(BY949/(BY950/BY995)+BY612+BY629+BY646+BY663+BY680)/BX532</f>
        <v/>
      </c>
      <c r="BZ536" s="1382">
        <f>(BZ949/(BZ950/BZ995)+BZ612+BZ629+BZ646+BZ663+BZ680)/BY532</f>
        <v/>
      </c>
      <c r="CA536" s="1382">
        <f>(CA949/(CA950/CA995)+CA612+CA629+CA646+CA663+CA680)/BZ532</f>
        <v/>
      </c>
      <c r="CB536" s="1361" t="n"/>
    </row>
    <row r="537" hidden="1" outlineLevel="1" collapsed="1" ht="15" customFormat="1" customHeight="1" s="1359">
      <c r="A537" s="1700" t="inlineStr">
        <is>
          <t>Q/Q basic share expansion - EoP, %</t>
        </is>
      </c>
      <c r="B537" s="1701" t="n"/>
      <c r="C537" s="1702" t="n"/>
      <c r="D537" s="1702" t="n"/>
      <c r="E537" s="1702" t="n"/>
      <c r="F537" s="1702" t="n"/>
      <c r="G537" s="1703">
        <f>G532/F532-1</f>
        <v/>
      </c>
      <c r="H537" s="1703">
        <f>H532/G532-1</f>
        <v/>
      </c>
      <c r="I537" s="1703">
        <f>I532/H532-1</f>
        <v/>
      </c>
      <c r="J537" s="1703">
        <f>J532/I532-1</f>
        <v/>
      </c>
      <c r="K537" s="1702" t="n"/>
      <c r="L537" s="1703">
        <f>L532/K532-1</f>
        <v/>
      </c>
      <c r="M537" s="1703">
        <f>M532/L532-1</f>
        <v/>
      </c>
      <c r="N537" s="1703">
        <f>N532/M532-1</f>
        <v/>
      </c>
      <c r="O537" s="1703">
        <f>O532/N532-1</f>
        <v/>
      </c>
      <c r="P537" s="1702" t="n"/>
      <c r="Q537" s="1703">
        <f>Q532/P532-1</f>
        <v/>
      </c>
      <c r="R537" s="1703">
        <f>R532/Q532-1</f>
        <v/>
      </c>
      <c r="S537" s="1703">
        <f>S532/R532-1</f>
        <v/>
      </c>
      <c r="T537" s="1703">
        <f>T532/S532-1</f>
        <v/>
      </c>
      <c r="U537" s="1702" t="n"/>
      <c r="V537" s="1703">
        <f>V532/U532-1</f>
        <v/>
      </c>
      <c r="W537" s="1703">
        <f>W532/V532-1</f>
        <v/>
      </c>
      <c r="X537" s="1703">
        <f>X532/W532-1</f>
        <v/>
      </c>
      <c r="Y537" s="1703">
        <f>Y532/X532-1</f>
        <v/>
      </c>
      <c r="Z537" s="1702" t="n"/>
      <c r="AA537" s="1703">
        <f>AA532/Z532-1</f>
        <v/>
      </c>
      <c r="AB537" s="1703">
        <f>AB532/AA532-1</f>
        <v/>
      </c>
      <c r="AC537" s="1703">
        <f>AC532/AB532-1</f>
        <v/>
      </c>
      <c r="AD537" s="1703">
        <f>AD532/AC532-1</f>
        <v/>
      </c>
      <c r="AE537" s="1702" t="n"/>
      <c r="AF537" s="1703">
        <f>AF532/AE532-1</f>
        <v/>
      </c>
      <c r="AG537" s="1703">
        <f>AG532/AF532-1</f>
        <v/>
      </c>
      <c r="AH537" s="1703">
        <f>AH532/AG532-1</f>
        <v/>
      </c>
      <c r="AI537" s="1703">
        <f>AI532/AH532-1</f>
        <v/>
      </c>
      <c r="AJ537" s="1702" t="n"/>
      <c r="AK537" s="1703">
        <f>AK532/AJ532-1</f>
        <v/>
      </c>
      <c r="AL537" s="1703">
        <f>AL532/AK532-1</f>
        <v/>
      </c>
      <c r="AM537" s="1703">
        <f>AM532/AL532-1</f>
        <v/>
      </c>
      <c r="AN537" s="1703">
        <f>AN532/AM532-1</f>
        <v/>
      </c>
      <c r="AO537" s="1702" t="n"/>
      <c r="AP537" s="1703">
        <f>AP532/AO532-1</f>
        <v/>
      </c>
      <c r="AQ537" s="1703">
        <f>AQ532/AP532-1</f>
        <v/>
      </c>
      <c r="AR537" s="1703">
        <f>AR532/AQ532-1</f>
        <v/>
      </c>
      <c r="AS537" s="1703">
        <f>AS532/AR532-1</f>
        <v/>
      </c>
      <c r="AT537" s="1702" t="n"/>
      <c r="AU537" s="1703">
        <f>AU532/AT532-1</f>
        <v/>
      </c>
      <c r="AV537" s="1703">
        <f>AV532/AU532-1</f>
        <v/>
      </c>
      <c r="AW537" s="1703">
        <f>AW532/AV532-1</f>
        <v/>
      </c>
      <c r="AX537" s="1703">
        <f>AX532/AW532-1</f>
        <v/>
      </c>
      <c r="AY537" s="1702" t="n"/>
      <c r="AZ537" s="1703">
        <f>AZ532/AY532-1</f>
        <v/>
      </c>
      <c r="BA537" s="1703">
        <f>BA532/AZ532-1</f>
        <v/>
      </c>
      <c r="BB537" s="1703">
        <f>BB532/BA532-1</f>
        <v/>
      </c>
      <c r="BC537" s="1703">
        <f>BC532/BB532-1</f>
        <v/>
      </c>
      <c r="BD537" s="1702" t="n"/>
      <c r="BE537" s="1703">
        <f>BE532/BD532-1</f>
        <v/>
      </c>
      <c r="BF537" s="1703">
        <f>BF532/BE532-1</f>
        <v/>
      </c>
      <c r="BG537" s="1703">
        <f>BG532/BF532-1</f>
        <v/>
      </c>
      <c r="BH537" s="1703">
        <f>BH532/BG532-1</f>
        <v/>
      </c>
      <c r="BI537" s="1702" t="n"/>
      <c r="BJ537" s="1703">
        <f>BJ532/BI532-1</f>
        <v/>
      </c>
      <c r="BK537" s="1703">
        <f>BK532/BJ532-1</f>
        <v/>
      </c>
      <c r="BL537" s="1703">
        <f>BL532/BK532-1</f>
        <v/>
      </c>
      <c r="BM537" s="1703">
        <f>BM532/BL532-1</f>
        <v/>
      </c>
      <c r="BN537" s="1702" t="n"/>
      <c r="BO537" s="1703">
        <f>BO532/BN532-1</f>
        <v/>
      </c>
      <c r="BP537" s="1703">
        <f>BP532/BO532-1</f>
        <v/>
      </c>
      <c r="BQ537" s="1704">
        <f>BQ532/BP532-1</f>
        <v/>
      </c>
      <c r="BR537" s="1703">
        <f>BR532/BQ532-1</f>
        <v/>
      </c>
      <c r="BS537" s="1702" t="n"/>
      <c r="BT537" s="1703">
        <f>BT532/BS532-1</f>
        <v/>
      </c>
      <c r="BU537" s="1703">
        <f>BU532/BT532-1</f>
        <v/>
      </c>
      <c r="BV537" s="1703">
        <f>BV532/BU532-1</f>
        <v/>
      </c>
      <c r="BW537" s="1703">
        <f>BW532/BV532-1</f>
        <v/>
      </c>
      <c r="BX537" s="1702" t="n"/>
      <c r="BY537" s="1702" t="n"/>
      <c r="BZ537" s="1702" t="n"/>
      <c r="CA537" s="1702" t="n"/>
      <c r="CB537" s="1361" t="n"/>
    </row>
    <row r="538" hidden="1" outlineLevel="1" ht="15" customFormat="1" customHeight="1" s="1359">
      <c r="A538" s="1705" t="inlineStr">
        <is>
          <t>Y/Y basic share expansion - EoP, %</t>
        </is>
      </c>
      <c r="B538" s="1590" t="n"/>
      <c r="C538" s="1382" t="n"/>
      <c r="D538" s="1382">
        <f>D532/C532-1</f>
        <v/>
      </c>
      <c r="E538" s="1382">
        <f>E532/D532-1</f>
        <v/>
      </c>
      <c r="F538" s="1382">
        <f>F532/E532-1</f>
        <v/>
      </c>
      <c r="G538" s="1384" t="n"/>
      <c r="H538" s="1384" t="n"/>
      <c r="I538" s="1384" t="n"/>
      <c r="J538" s="1384" t="n"/>
      <c r="K538" s="1382">
        <f>K532/F532-1</f>
        <v/>
      </c>
      <c r="L538" s="1384">
        <f>L532/G532-1</f>
        <v/>
      </c>
      <c r="M538" s="1384">
        <f>M532/H532-1</f>
        <v/>
      </c>
      <c r="N538" s="1384">
        <f>N532/I532-1</f>
        <v/>
      </c>
      <c r="O538" s="1384">
        <f>O532/J532-1</f>
        <v/>
      </c>
      <c r="P538" s="1382">
        <f>P532/K532-1</f>
        <v/>
      </c>
      <c r="Q538" s="1384">
        <f>Q532/L532-1</f>
        <v/>
      </c>
      <c r="R538" s="1384">
        <f>R532/M532-1</f>
        <v/>
      </c>
      <c r="S538" s="1384">
        <f>S532/N532-1</f>
        <v/>
      </c>
      <c r="T538" s="1384">
        <f>T532/O532-1</f>
        <v/>
      </c>
      <c r="U538" s="1382">
        <f>U532/P532-1</f>
        <v/>
      </c>
      <c r="V538" s="1384">
        <f>V532/Q532-1</f>
        <v/>
      </c>
      <c r="W538" s="1384">
        <f>W532/R532-1</f>
        <v/>
      </c>
      <c r="X538" s="1384">
        <f>X532/S532-1</f>
        <v/>
      </c>
      <c r="Y538" s="1384">
        <f>Y532/T532-1</f>
        <v/>
      </c>
      <c r="Z538" s="1382">
        <f>Z532/U532-1</f>
        <v/>
      </c>
      <c r="AA538" s="1384">
        <f>AA532/V532-1</f>
        <v/>
      </c>
      <c r="AB538" s="1384">
        <f>AB532/W532-1</f>
        <v/>
      </c>
      <c r="AC538" s="1384">
        <f>AC532/X532-1</f>
        <v/>
      </c>
      <c r="AD538" s="1384">
        <f>AD532/Y532-1</f>
        <v/>
      </c>
      <c r="AE538" s="1382">
        <f>AE532/Z532-1</f>
        <v/>
      </c>
      <c r="AF538" s="1384">
        <f>AF532/AA532-1</f>
        <v/>
      </c>
      <c r="AG538" s="1384">
        <f>AG532/AB532-1</f>
        <v/>
      </c>
      <c r="AH538" s="1384">
        <f>AH532/AC532-1</f>
        <v/>
      </c>
      <c r="AI538" s="1384">
        <f>AI532/AD532-1</f>
        <v/>
      </c>
      <c r="AJ538" s="1382">
        <f>AJ532/AE532-1</f>
        <v/>
      </c>
      <c r="AK538" s="1384">
        <f>AK532/AF532-1</f>
        <v/>
      </c>
      <c r="AL538" s="1384">
        <f>AL532/AG532-1</f>
        <v/>
      </c>
      <c r="AM538" s="1384">
        <f>AM532/AH532-1</f>
        <v/>
      </c>
      <c r="AN538" s="1384">
        <f>AN532/AI532-1</f>
        <v/>
      </c>
      <c r="AO538" s="1382">
        <f>AO532/AJ532-1</f>
        <v/>
      </c>
      <c r="AP538" s="1384">
        <f>AP532/AK532-1</f>
        <v/>
      </c>
      <c r="AQ538" s="1384">
        <f>AQ532/AL532-1</f>
        <v/>
      </c>
      <c r="AR538" s="1384">
        <f>AR532/AM532-1</f>
        <v/>
      </c>
      <c r="AS538" s="1384">
        <f>AS532/AN532-1</f>
        <v/>
      </c>
      <c r="AT538" s="1382">
        <f>AT532/AO532-1</f>
        <v/>
      </c>
      <c r="AU538" s="1384">
        <f>AU532/AP532-1</f>
        <v/>
      </c>
      <c r="AV538" s="1384">
        <f>AV532/AQ532-1</f>
        <v/>
      </c>
      <c r="AW538" s="1384">
        <f>AW532/AR532-1</f>
        <v/>
      </c>
      <c r="AX538" s="1384">
        <f>AX532/AS532-1</f>
        <v/>
      </c>
      <c r="AY538" s="1382">
        <f>AY532/AT532-1</f>
        <v/>
      </c>
      <c r="AZ538" s="1384">
        <f>AZ532/AU532-1</f>
        <v/>
      </c>
      <c r="BA538" s="1384">
        <f>BA532/AV532-1</f>
        <v/>
      </c>
      <c r="BB538" s="1384">
        <f>BB532/AW532-1</f>
        <v/>
      </c>
      <c r="BC538" s="1384">
        <f>BC532/AX532-1</f>
        <v/>
      </c>
      <c r="BD538" s="1382">
        <f>BD532/AY532-1</f>
        <v/>
      </c>
      <c r="BE538" s="1384">
        <f>BE532/AZ532-1</f>
        <v/>
      </c>
      <c r="BF538" s="1384">
        <f>BF532/BA532-1</f>
        <v/>
      </c>
      <c r="BG538" s="1384">
        <f>BG532/BB532-1</f>
        <v/>
      </c>
      <c r="BH538" s="1384">
        <f>BH532/BC532-1</f>
        <v/>
      </c>
      <c r="BI538" s="1382">
        <f>BI532/BD532-1</f>
        <v/>
      </c>
      <c r="BJ538" s="1384">
        <f>BJ532/BE532-1</f>
        <v/>
      </c>
      <c r="BK538" s="1384">
        <f>BK532/BF532-1</f>
        <v/>
      </c>
      <c r="BL538" s="1384">
        <f>BL532/BG532-1</f>
        <v/>
      </c>
      <c r="BM538" s="1384">
        <f>BM532/BH532-1</f>
        <v/>
      </c>
      <c r="BN538" s="1382">
        <f>BN532/BI532-1</f>
        <v/>
      </c>
      <c r="BO538" s="1384">
        <f>BO532/BJ532-1</f>
        <v/>
      </c>
      <c r="BP538" s="1384">
        <f>BP532/BK532-1</f>
        <v/>
      </c>
      <c r="BQ538" s="1386">
        <f>BQ532/BL532-1</f>
        <v/>
      </c>
      <c r="BR538" s="1384">
        <f>BR532/BM532-1</f>
        <v/>
      </c>
      <c r="BS538" s="1382">
        <f>BS532/BN532-1</f>
        <v/>
      </c>
      <c r="BT538" s="1384">
        <f>BT532/BO532-1</f>
        <v/>
      </c>
      <c r="BU538" s="1384">
        <f>BU532/BP532-1</f>
        <v/>
      </c>
      <c r="BV538" s="1384">
        <f>BV532/BQ532-1</f>
        <v/>
      </c>
      <c r="BW538" s="1384">
        <f>BW532/BR532-1</f>
        <v/>
      </c>
      <c r="BX538" s="1382">
        <f>BX532/BS532-1</f>
        <v/>
      </c>
      <c r="BY538" s="1382">
        <f>BY532/BX532-1</f>
        <v/>
      </c>
      <c r="BZ538" s="1382">
        <f>BZ532/BY532-1</f>
        <v/>
      </c>
      <c r="CA538" s="1382">
        <f>CA532/BZ532-1</f>
        <v/>
      </c>
      <c r="CB538" s="1361" t="n"/>
    </row>
    <row r="539" hidden="1" outlineLevel="1" ht="15" customFormat="1" customHeight="1" s="1359">
      <c r="A539" s="1500" t="inlineStr">
        <is>
          <t>Cover Page Common Stock Outstanding, mm shares</t>
        </is>
      </c>
      <c r="B539" s="1512" t="n"/>
      <c r="C539" s="1494" t="n">
        <v>270.240892</v>
      </c>
      <c r="D539" s="1494" t="n">
        <v>268.485949</v>
      </c>
      <c r="E539" s="1494" t="n">
        <v>273.972723</v>
      </c>
      <c r="F539" s="1494" t="n">
        <v>281.707719</v>
      </c>
      <c r="G539" s="1493" t="n">
        <v>282.995052</v>
      </c>
      <c r="H539" s="1493" t="n">
        <v>283.941464</v>
      </c>
      <c r="I539" s="1493" t="n">
        <v>287.743419</v>
      </c>
      <c r="J539" s="1361">
        <f>K539</f>
        <v/>
      </c>
      <c r="K539" s="1494" t="n">
        <v>289.094199</v>
      </c>
      <c r="L539" s="1493" t="n">
        <v>289.512</v>
      </c>
      <c r="M539" s="1493" t="n">
        <v>290.04</v>
      </c>
      <c r="N539" s="1493" t="n">
        <v>292.72</v>
      </c>
      <c r="O539" s="1361">
        <f>P539</f>
        <v/>
      </c>
      <c r="P539" s="1494" t="n">
        <v>292.324</v>
      </c>
      <c r="Q539" s="1493" t="n">
        <v>292.673</v>
      </c>
      <c r="R539" s="1493" t="n">
        <v>291.38</v>
      </c>
      <c r="S539" s="1493" t="n">
        <v>297.496</v>
      </c>
      <c r="T539" s="1361">
        <f>U539</f>
        <v/>
      </c>
      <c r="U539" s="1494" t="n">
        <v>305.358</v>
      </c>
      <c r="V539" s="1493" t="n">
        <v>300.862</v>
      </c>
      <c r="W539" s="1493" t="n">
        <v>292.339</v>
      </c>
      <c r="X539" s="1493" t="n">
        <v>286.715</v>
      </c>
      <c r="Y539" s="1361">
        <f>Z539</f>
        <v/>
      </c>
      <c r="Z539" s="1494" t="n">
        <v>278.769</v>
      </c>
      <c r="AA539" s="1493" t="n">
        <v>279.601</v>
      </c>
      <c r="AB539" s="1493" t="n">
        <v>280.201</v>
      </c>
      <c r="AC539" s="1493" t="n">
        <v>282.36</v>
      </c>
      <c r="AD539" s="1361">
        <f>AE539</f>
        <v/>
      </c>
      <c r="AE539" s="1494" t="n">
        <v>282.869</v>
      </c>
      <c r="AF539" s="1493" t="n">
        <v>281.906</v>
      </c>
      <c r="AG539" s="1493" t="n">
        <v>282.808</v>
      </c>
      <c r="AH539" s="1493" t="n">
        <v>282.142</v>
      </c>
      <c r="AI539" s="1361">
        <f>AJ539</f>
        <v/>
      </c>
      <c r="AJ539" s="1494" t="n">
        <v>280.385</v>
      </c>
      <c r="AK539" s="1493" t="n">
        <v>281.03</v>
      </c>
      <c r="AL539" s="1493" t="n">
        <v>280.153</v>
      </c>
      <c r="AM539" s="1493" t="n">
        <v>280.593</v>
      </c>
      <c r="AN539" s="1361">
        <f>AO539</f>
        <v/>
      </c>
      <c r="AO539" s="1494" t="n">
        <v>280.168</v>
      </c>
      <c r="AP539" s="1493" t="n">
        <v>279.187</v>
      </c>
      <c r="AQ539" s="1493" t="n">
        <v>278.794</v>
      </c>
      <c r="AR539" s="1493" t="n">
        <v>278.931</v>
      </c>
      <c r="AS539" s="1361">
        <f>AT539</f>
        <v/>
      </c>
      <c r="AT539" s="1494" t="n">
        <v>278.974</v>
      </c>
      <c r="AU539" s="1493" t="n">
        <v>278.265</v>
      </c>
      <c r="AV539" s="1493" t="n">
        <v>276.78</v>
      </c>
      <c r="AW539" s="1493" t="n">
        <v>277.141</v>
      </c>
      <c r="AX539" s="1361">
        <f>AY539</f>
        <v/>
      </c>
      <c r="AY539" s="1494" t="n">
        <v>277.336</v>
      </c>
      <c r="AZ539" s="1493" t="n">
        <v>275.759</v>
      </c>
      <c r="BA539" s="1493" t="n">
        <v>273.87</v>
      </c>
      <c r="BB539" s="1493" t="n">
        <v>274.316</v>
      </c>
      <c r="BC539" s="1361">
        <f>BD539</f>
        <v/>
      </c>
      <c r="BD539" s="1494" t="n">
        <v>272.94</v>
      </c>
      <c r="BE539" s="1493" t="n">
        <v>272.684</v>
      </c>
      <c r="BF539" s="1493" t="n">
        <v>271.79</v>
      </c>
      <c r="BG539" s="1493" t="n">
        <v>272.062</v>
      </c>
      <c r="BH539" s="1361">
        <f>BI539</f>
        <v/>
      </c>
      <c r="BI539" s="1494" t="n">
        <v>272.239</v>
      </c>
      <c r="BJ539" s="1493" t="n">
        <v>272.134</v>
      </c>
      <c r="BK539" s="1493" t="n">
        <v>273.82</v>
      </c>
      <c r="BL539" s="1493" t="n">
        <v>274.263</v>
      </c>
      <c r="BM539" s="1361">
        <f>BN539</f>
        <v/>
      </c>
      <c r="BN539" s="1494" t="n">
        <v>274.108</v>
      </c>
      <c r="BO539" s="1493" t="n">
        <v>273.042</v>
      </c>
      <c r="BP539" s="1493" t="n">
        <v>272.49</v>
      </c>
      <c r="BQ539" s="1502" t="n">
        <v>272.201</v>
      </c>
      <c r="BR539" s="1361" t="n"/>
      <c r="BS539" s="1379" t="n"/>
      <c r="BT539" s="1361" t="n"/>
      <c r="BU539" s="1361" t="n"/>
      <c r="BV539" s="1361" t="n"/>
      <c r="BW539" s="1361" t="n"/>
      <c r="BX539" s="1379" t="n"/>
      <c r="BY539" s="1379" t="n"/>
      <c r="BZ539" s="1379" t="n"/>
      <c r="CA539" s="1379" t="n"/>
      <c r="CB539" s="1361" t="n"/>
    </row>
    <row r="540" hidden="1" outlineLevel="1" ht="15" customFormat="1" customHeight="1" s="1706">
      <c r="A540" s="1500" t="inlineStr">
        <is>
          <t>Date of Cover Page Share Count, date</t>
        </is>
      </c>
      <c r="B540" s="1707" t="n"/>
      <c r="C540" s="1708" t="n">
        <v>40215</v>
      </c>
      <c r="D540" s="1708" t="n">
        <v>40579</v>
      </c>
      <c r="E540" s="1708" t="n">
        <v>40943</v>
      </c>
      <c r="F540" s="1708" t="n">
        <v>41307</v>
      </c>
      <c r="G540" s="1709" t="n">
        <v>41363</v>
      </c>
      <c r="H540" s="1709" t="n">
        <v>41454</v>
      </c>
      <c r="I540" s="1709" t="n">
        <v>41545</v>
      </c>
      <c r="J540" s="1710">
        <f>K540</f>
        <v/>
      </c>
      <c r="K540" s="1708" t="n">
        <v>41671</v>
      </c>
      <c r="L540" s="1709" t="n">
        <v>41727</v>
      </c>
      <c r="M540" s="1709" t="n">
        <v>41818</v>
      </c>
      <c r="N540" s="1709" t="n">
        <v>41909</v>
      </c>
      <c r="O540" s="1710">
        <f>P540</f>
        <v/>
      </c>
      <c r="P540" s="1708" t="n">
        <v>42042</v>
      </c>
      <c r="Q540" s="1709" t="n">
        <v>42098</v>
      </c>
      <c r="R540" s="1709" t="n">
        <v>42189</v>
      </c>
      <c r="S540" s="1709" t="n">
        <v>42280</v>
      </c>
      <c r="T540" s="1710">
        <f>U540</f>
        <v/>
      </c>
      <c r="U540" s="1708" t="n">
        <v>42406</v>
      </c>
      <c r="V540" s="1709" t="n">
        <v>42462</v>
      </c>
      <c r="W540" s="1709" t="n">
        <v>42553</v>
      </c>
      <c r="X540" s="1709" t="n">
        <v>42644</v>
      </c>
      <c r="Y540" s="1710">
        <f>Z540</f>
        <v/>
      </c>
      <c r="Z540" s="1708" t="n">
        <v>42770</v>
      </c>
      <c r="AA540" s="1709" t="n">
        <v>42826</v>
      </c>
      <c r="AB540" s="1709" t="n">
        <v>42917</v>
      </c>
      <c r="AC540" s="1709" t="n">
        <v>43008</v>
      </c>
      <c r="AD540" s="1710">
        <f>AE540</f>
        <v/>
      </c>
      <c r="AE540" s="1708" t="n">
        <v>43134</v>
      </c>
      <c r="AF540" s="1709" t="n">
        <v>43190</v>
      </c>
      <c r="AG540" s="1709" t="n">
        <v>43281</v>
      </c>
      <c r="AH540" s="1709" t="n">
        <v>43372</v>
      </c>
      <c r="AI540" s="1710">
        <f>AJ540</f>
        <v/>
      </c>
      <c r="AJ540" s="1708" t="n">
        <v>43498</v>
      </c>
      <c r="AK540" s="1709" t="n">
        <v>43554</v>
      </c>
      <c r="AL540" s="1709" t="n">
        <v>43645</v>
      </c>
      <c r="AM540" s="1709" t="n">
        <v>43736</v>
      </c>
      <c r="AN540" s="1710">
        <f>AO540</f>
        <v/>
      </c>
      <c r="AO540" s="1708" t="n">
        <v>43862</v>
      </c>
      <c r="AP540" s="1709" t="n">
        <v>43918</v>
      </c>
      <c r="AQ540" s="1709" t="n">
        <v>44009</v>
      </c>
      <c r="AR540" s="1709" t="n">
        <v>44100</v>
      </c>
      <c r="AS540" s="1710">
        <f>AT540</f>
        <v/>
      </c>
      <c r="AT540" s="1708" t="n">
        <v>44233</v>
      </c>
      <c r="AU540" s="1709" t="n">
        <v>44289</v>
      </c>
      <c r="AV540" s="1709" t="n">
        <v>44380</v>
      </c>
      <c r="AW540" s="1709" t="n">
        <v>44471</v>
      </c>
      <c r="AX540" s="1710">
        <f>AY540</f>
        <v/>
      </c>
      <c r="AY540" s="1708" t="n">
        <v>44597</v>
      </c>
      <c r="AZ540" s="1709" t="n">
        <v>44653</v>
      </c>
      <c r="BA540" s="1709" t="n">
        <v>44744</v>
      </c>
      <c r="BB540" s="1709" t="n">
        <v>44835</v>
      </c>
      <c r="BC540" s="1710">
        <f>BD540</f>
        <v/>
      </c>
      <c r="BD540" s="1708" t="n">
        <v>44957</v>
      </c>
      <c r="BE540" s="1709" t="n">
        <v>45016</v>
      </c>
      <c r="BF540" s="1709" t="n">
        <v>45107</v>
      </c>
      <c r="BG540" s="1709" t="n">
        <v>45199</v>
      </c>
      <c r="BH540" s="1710">
        <f>BI540</f>
        <v/>
      </c>
      <c r="BI540" s="1708" t="n">
        <v>45322</v>
      </c>
      <c r="BJ540" s="1709" t="n">
        <v>45382</v>
      </c>
      <c r="BK540" s="1709" t="n">
        <v>45473</v>
      </c>
      <c r="BL540" s="1709" t="n">
        <v>45565</v>
      </c>
      <c r="BM540" s="1710">
        <f>BN540</f>
        <v/>
      </c>
      <c r="BN540" s="1708" t="n">
        <v>45688</v>
      </c>
      <c r="BO540" s="1709" t="n">
        <v>45747</v>
      </c>
      <c r="BP540" s="1709" t="n">
        <v>45838</v>
      </c>
      <c r="BQ540" s="1711" t="n">
        <v>45930</v>
      </c>
      <c r="BR540" s="1710" t="n"/>
      <c r="BS540" s="1712" t="n"/>
      <c r="BT540" s="1710" t="n"/>
      <c r="BU540" s="1710" t="n"/>
      <c r="BV540" s="1710" t="n"/>
      <c r="BW540" s="1710" t="n"/>
      <c r="BX540" s="1712" t="n"/>
      <c r="BY540" s="1712" t="n"/>
      <c r="BZ540" s="1712" t="n"/>
      <c r="CA540" s="1712" t="n"/>
      <c r="CB540" s="1684" t="n"/>
    </row>
    <row r="541" hidden="1" outlineLevel="1" ht="15" customFormat="1" customHeight="1" s="1706">
      <c r="A541" s="1361" t="n"/>
      <c r="B541" s="1707" t="n"/>
      <c r="C541" s="1683" t="n"/>
      <c r="D541" s="1683" t="n"/>
      <c r="E541" s="1683" t="n"/>
      <c r="F541" s="1683" t="n"/>
      <c r="G541" s="1684" t="n"/>
      <c r="H541" s="1684" t="n"/>
      <c r="I541" s="1684" t="n"/>
      <c r="J541" s="1684" t="n"/>
      <c r="K541" s="1683" t="n"/>
      <c r="L541" s="1684" t="n"/>
      <c r="M541" s="1684" t="n"/>
      <c r="N541" s="1684" t="n"/>
      <c r="O541" s="1684" t="n"/>
      <c r="P541" s="1683" t="n"/>
      <c r="Q541" s="1684" t="n"/>
      <c r="R541" s="1684" t="n"/>
      <c r="S541" s="1684" t="n"/>
      <c r="T541" s="1684" t="n"/>
      <c r="U541" s="1683" t="n"/>
      <c r="V541" s="1684" t="n"/>
      <c r="W541" s="1684" t="n"/>
      <c r="X541" s="1684" t="n"/>
      <c r="Y541" s="1684" t="n"/>
      <c r="Z541" s="1683" t="n"/>
      <c r="AA541" s="1684" t="n"/>
      <c r="AB541" s="1684" t="n"/>
      <c r="AC541" s="1684" t="n"/>
      <c r="AD541" s="1684" t="n"/>
      <c r="AE541" s="1683" t="n"/>
      <c r="AF541" s="1684" t="n"/>
      <c r="AG541" s="1684" t="n"/>
      <c r="AH541" s="1684" t="n"/>
      <c r="AI541" s="1684" t="n"/>
      <c r="AJ541" s="1683" t="n"/>
      <c r="AK541" s="1684" t="n"/>
      <c r="AL541" s="1684" t="n"/>
      <c r="AM541" s="1684" t="n"/>
      <c r="AN541" s="1684" t="n"/>
      <c r="AO541" s="1683" t="n"/>
      <c r="AP541" s="1684" t="n"/>
      <c r="AQ541" s="1684" t="n"/>
      <c r="AR541" s="1684" t="n"/>
      <c r="AS541" s="1684" t="n"/>
      <c r="AT541" s="1683" t="n"/>
      <c r="AU541" s="1684" t="n"/>
      <c r="AV541" s="1684" t="n"/>
      <c r="AW541" s="1684" t="n"/>
      <c r="AX541" s="1684" t="n"/>
      <c r="AY541" s="1683" t="n"/>
      <c r="AZ541" s="1684" t="n"/>
      <c r="BA541" s="1684" t="n"/>
      <c r="BB541" s="1684" t="n"/>
      <c r="BC541" s="1684" t="n"/>
      <c r="BD541" s="1683" t="n"/>
      <c r="BE541" s="1684" t="n"/>
      <c r="BF541" s="1684" t="n"/>
      <c r="BG541" s="1684" t="n"/>
      <c r="BH541" s="1684" t="n"/>
      <c r="BI541" s="1683" t="n"/>
      <c r="BJ541" s="1684" t="n"/>
      <c r="BK541" s="1684" t="n"/>
      <c r="BL541" s="1684" t="n"/>
      <c r="BM541" s="1684" t="n"/>
      <c r="BN541" s="1683" t="n"/>
      <c r="BO541" s="1684" t="n"/>
      <c r="BP541" s="1684" t="n"/>
      <c r="BQ541" s="1685" t="n"/>
      <c r="BR541" s="1684" t="n"/>
      <c r="BS541" s="1683" t="n"/>
      <c r="BT541" s="1684" t="n"/>
      <c r="BU541" s="1684" t="n"/>
      <c r="BV541" s="1684" t="n"/>
      <c r="BW541" s="1684" t="n"/>
      <c r="BX541" s="1683" t="n"/>
      <c r="BY541" s="1683" t="n"/>
      <c r="BZ541" s="1683" t="n"/>
      <c r="CA541" s="1683" t="n"/>
      <c r="CB541" s="1713" t="n"/>
    </row>
    <row r="542" hidden="1" outlineLevel="3" ht="15" customFormat="1" customHeight="1" s="1359">
      <c r="A542" s="1474" t="inlineStr">
        <is>
          <t>BoP Total Stock Options Outstanding, mm options</t>
        </is>
      </c>
      <c r="B542" s="1512" t="n"/>
      <c r="C542" s="1494" t="n">
        <v>38.704</v>
      </c>
      <c r="D542" s="1379">
        <f>C547</f>
        <v/>
      </c>
      <c r="E542" s="1379">
        <f>D547</f>
        <v/>
      </c>
      <c r="F542" s="1379">
        <f>E547</f>
        <v/>
      </c>
      <c r="G542" s="1361" t="n"/>
      <c r="H542" s="1361" t="n"/>
      <c r="I542" s="1361" t="n"/>
      <c r="J542" s="1361" t="n"/>
      <c r="K542" s="1379">
        <f>F547</f>
        <v/>
      </c>
      <c r="L542" s="1361" t="n"/>
      <c r="M542" s="1361" t="n"/>
      <c r="N542" s="1361" t="n"/>
      <c r="O542" s="1361" t="n"/>
      <c r="P542" s="1379">
        <f>K547</f>
        <v/>
      </c>
      <c r="Q542" s="1361" t="n"/>
      <c r="R542" s="1361" t="n"/>
      <c r="S542" s="1361" t="n"/>
      <c r="T542" s="1361" t="n"/>
      <c r="U542" s="1379">
        <f>P547</f>
        <v/>
      </c>
      <c r="V542" s="1361" t="n"/>
      <c r="W542" s="1361" t="n"/>
      <c r="X542" s="1361" t="n"/>
      <c r="Y542" s="1361" t="n"/>
      <c r="Z542" s="1379">
        <f>U547</f>
        <v/>
      </c>
      <c r="AA542" s="1361" t="n"/>
      <c r="AB542" s="1361" t="n"/>
      <c r="AC542" s="1361" t="n"/>
      <c r="AD542" s="1361" t="n"/>
      <c r="AE542" s="1379">
        <f>Z547</f>
        <v/>
      </c>
      <c r="AF542" s="1361" t="n"/>
      <c r="AG542" s="1361" t="n"/>
      <c r="AH542" s="1361" t="n"/>
      <c r="AI542" s="1361" t="n"/>
      <c r="AJ542" s="1379">
        <f>AE547</f>
        <v/>
      </c>
      <c r="AK542" s="1361" t="n"/>
      <c r="AL542" s="1361" t="n"/>
      <c r="AM542" s="1361" t="n"/>
      <c r="AN542" s="1361" t="n"/>
      <c r="AO542" s="1379">
        <f>AJ547</f>
        <v/>
      </c>
      <c r="AP542" s="1361" t="n"/>
      <c r="AQ542" s="1361" t="n"/>
      <c r="AR542" s="1361" t="n"/>
      <c r="AS542" s="1361" t="n"/>
      <c r="AT542" s="1379">
        <f>AO547</f>
        <v/>
      </c>
      <c r="AU542" s="1361" t="n"/>
      <c r="AV542" s="1361" t="n"/>
      <c r="AW542" s="1361" t="n"/>
      <c r="AX542" s="1361" t="n"/>
      <c r="AY542" s="1379">
        <f>AT547</f>
        <v/>
      </c>
      <c r="AZ542" s="1361" t="n"/>
      <c r="BA542" s="1361" t="n"/>
      <c r="BB542" s="1361" t="n"/>
      <c r="BC542" s="1361" t="n"/>
      <c r="BD542" s="1379">
        <f>AY547</f>
        <v/>
      </c>
      <c r="BE542" s="1361" t="n"/>
      <c r="BF542" s="1361" t="n"/>
      <c r="BG542" s="1361" t="n"/>
      <c r="BH542" s="1361" t="n"/>
      <c r="BI542" s="1379">
        <f>BD547</f>
        <v/>
      </c>
      <c r="BJ542" s="1361" t="n"/>
      <c r="BK542" s="1361" t="n"/>
      <c r="BL542" s="1361" t="n"/>
      <c r="BM542" s="1361" t="n"/>
      <c r="BN542" s="1379">
        <f>BI547</f>
        <v/>
      </c>
      <c r="BO542" s="1361" t="n"/>
      <c r="BP542" s="1361" t="n"/>
      <c r="BQ542" s="1363" t="n"/>
      <c r="BR542" s="1361" t="n"/>
      <c r="BS542" s="1379" t="n"/>
      <c r="BT542" s="1361" t="n"/>
      <c r="BU542" s="1361" t="n"/>
      <c r="BV542" s="1361" t="n"/>
      <c r="BW542" s="1361" t="n"/>
      <c r="BX542" s="1379" t="n"/>
      <c r="BY542" s="1379" t="n"/>
      <c r="BZ542" s="1379" t="n"/>
      <c r="CA542" s="1379" t="n"/>
      <c r="CB542" s="1361" t="n"/>
    </row>
    <row r="543" hidden="1" outlineLevel="3" ht="15" customFormat="1" customHeight="1" s="1359">
      <c r="A543" s="1508" t="inlineStr">
        <is>
          <t>Acquired Stock Options, mm options</t>
        </is>
      </c>
      <c r="B543" s="1512" t="n"/>
      <c r="C543" s="1379" t="n"/>
      <c r="D543" s="1379" t="n"/>
      <c r="E543" s="1494" t="n">
        <v>0.29</v>
      </c>
      <c r="F543" s="1379" t="n"/>
      <c r="G543" s="1361" t="n"/>
      <c r="H543" s="1361" t="n"/>
      <c r="I543" s="1361" t="n"/>
      <c r="J543" s="1361" t="n"/>
      <c r="K543" s="1494" t="n">
        <v>1.495</v>
      </c>
      <c r="L543" s="1361" t="n"/>
      <c r="M543" s="1361" t="n"/>
      <c r="N543" s="1361" t="n"/>
      <c r="O543" s="1361" t="n"/>
      <c r="P543" s="1494" t="n">
        <v>0.02</v>
      </c>
      <c r="Q543" s="1361" t="n"/>
      <c r="R543" s="1361" t="n"/>
      <c r="S543" s="1361" t="n"/>
      <c r="T543" s="1361" t="n"/>
      <c r="U543" s="1379" t="n"/>
      <c r="V543" s="1361" t="n"/>
      <c r="W543" s="1361" t="n"/>
      <c r="X543" s="1361" t="n"/>
      <c r="Y543" s="1361" t="n"/>
      <c r="Z543" s="1379" t="n"/>
      <c r="AA543" s="1361" t="n"/>
      <c r="AB543" s="1361" t="n"/>
      <c r="AC543" s="1361" t="n"/>
      <c r="AD543" s="1361" t="n"/>
      <c r="AE543" s="1379" t="n"/>
      <c r="AF543" s="1361" t="n"/>
      <c r="AG543" s="1361" t="n"/>
      <c r="AH543" s="1361" t="n"/>
      <c r="AI543" s="1361" t="n"/>
      <c r="AJ543" s="1379" t="n"/>
      <c r="AK543" s="1361" t="n"/>
      <c r="AL543" s="1361" t="n"/>
      <c r="AM543" s="1361" t="n"/>
      <c r="AN543" s="1361" t="n"/>
      <c r="AO543" s="1379" t="n"/>
      <c r="AP543" s="1361" t="n"/>
      <c r="AQ543" s="1361" t="n"/>
      <c r="AR543" s="1361" t="n"/>
      <c r="AS543" s="1361" t="n"/>
      <c r="AT543" s="1379" t="n"/>
      <c r="AU543" s="1361" t="n"/>
      <c r="AV543" s="1361" t="n"/>
      <c r="AW543" s="1361" t="n"/>
      <c r="AX543" s="1361" t="n"/>
      <c r="AY543" s="1379" t="n"/>
      <c r="AZ543" s="1361" t="n"/>
      <c r="BA543" s="1361" t="n"/>
      <c r="BB543" s="1361" t="n"/>
      <c r="BC543" s="1361" t="n"/>
      <c r="BD543" s="1379" t="n"/>
      <c r="BE543" s="1361" t="n"/>
      <c r="BF543" s="1361" t="n"/>
      <c r="BG543" s="1361" t="n"/>
      <c r="BH543" s="1361" t="n"/>
      <c r="BI543" s="1379" t="n"/>
      <c r="BJ543" s="1361" t="n"/>
      <c r="BK543" s="1361" t="n"/>
      <c r="BL543" s="1361" t="n"/>
      <c r="BM543" s="1361" t="n"/>
      <c r="BN543" s="1379" t="n"/>
      <c r="BO543" s="1361" t="n"/>
      <c r="BP543" s="1361" t="n"/>
      <c r="BQ543" s="1363" t="n"/>
      <c r="BR543" s="1361" t="n"/>
      <c r="BS543" s="1379" t="n"/>
      <c r="BT543" s="1361" t="n"/>
      <c r="BU543" s="1361" t="n"/>
      <c r="BV543" s="1361" t="n"/>
      <c r="BW543" s="1361" t="n"/>
      <c r="BX543" s="1379" t="n"/>
      <c r="BY543" s="1379" t="n"/>
      <c r="BZ543" s="1379" t="n"/>
      <c r="CA543" s="1379" t="n"/>
      <c r="CB543" s="1361" t="n"/>
    </row>
    <row r="544" hidden="1" outlineLevel="3" ht="15" customFormat="1" customHeight="1" s="1359">
      <c r="A544" s="1508" t="inlineStr">
        <is>
          <t>Granted Stock Options, mm options</t>
        </is>
      </c>
      <c r="B544" s="1512" t="n"/>
      <c r="C544" s="1494" t="n">
        <v>4.144</v>
      </c>
      <c r="D544" s="1494" t="n">
        <v>2.941</v>
      </c>
      <c r="E544" s="1494" t="n">
        <v>3.053</v>
      </c>
      <c r="F544" s="1494" t="n">
        <v>1.7</v>
      </c>
      <c r="G544" s="1361" t="n"/>
      <c r="H544" s="1361" t="n"/>
      <c r="I544" s="1361" t="n"/>
      <c r="J544" s="1361" t="n"/>
      <c r="K544" s="1494" t="n">
        <v>1.042</v>
      </c>
      <c r="L544" s="1361" t="n"/>
      <c r="M544" s="1361" t="n"/>
      <c r="N544" s="1361" t="n"/>
      <c r="O544" s="1361" t="n"/>
      <c r="P544" s="1494" t="n">
        <v>1.312</v>
      </c>
      <c r="Q544" s="1361" t="n"/>
      <c r="R544" s="1361" t="n"/>
      <c r="S544" s="1361" t="n"/>
      <c r="T544" s="1361" t="n"/>
      <c r="U544" s="1494" t="n">
        <v>1.305</v>
      </c>
      <c r="V544" s="1361" t="n"/>
      <c r="W544" s="1361" t="n"/>
      <c r="X544" s="1361" t="n"/>
      <c r="Y544" s="1361" t="n"/>
      <c r="Z544" s="1494" t="n">
        <v>1.325</v>
      </c>
      <c r="AA544" s="1361" t="n"/>
      <c r="AB544" s="1361" t="n"/>
      <c r="AC544" s="1361" t="n"/>
      <c r="AD544" s="1361" t="n"/>
      <c r="AE544" s="1494" t="n">
        <v>0.82</v>
      </c>
      <c r="AF544" s="1361" t="n"/>
      <c r="AG544" s="1361" t="n"/>
      <c r="AH544" s="1361" t="n"/>
      <c r="AI544" s="1361" t="n"/>
      <c r="AJ544" s="1494" t="n">
        <v>0.736</v>
      </c>
      <c r="AK544" s="1361" t="n"/>
      <c r="AL544" s="1361" t="n"/>
      <c r="AM544" s="1361" t="n"/>
      <c r="AN544" s="1361" t="n"/>
      <c r="AO544" s="1494" t="n">
        <v>0.595</v>
      </c>
      <c r="AP544" s="1361" t="n"/>
      <c r="AQ544" s="1361" t="n"/>
      <c r="AR544" s="1361" t="n"/>
      <c r="AS544" s="1361" t="n"/>
      <c r="AT544" s="1494" t="n">
        <v>0.534</v>
      </c>
      <c r="AU544" s="1361" t="n"/>
      <c r="AV544" s="1361" t="n"/>
      <c r="AW544" s="1361" t="n"/>
      <c r="AX544" s="1361" t="n"/>
      <c r="AY544" s="1494" t="n">
        <v>0.612</v>
      </c>
      <c r="AZ544" s="1361" t="n"/>
      <c r="BA544" s="1361" t="n"/>
      <c r="BB544" s="1361" t="n"/>
      <c r="BC544" s="1361" t="n"/>
      <c r="BD544" s="1494" t="n">
        <v>0.251</v>
      </c>
      <c r="BE544" s="1361" t="n"/>
      <c r="BF544" s="1361" t="n"/>
      <c r="BG544" s="1361" t="n"/>
      <c r="BH544" s="1361" t="n"/>
      <c r="BI544" s="1494" t="n">
        <v>0.262</v>
      </c>
      <c r="BJ544" s="1361" t="n"/>
      <c r="BK544" s="1361" t="n"/>
      <c r="BL544" s="1361" t="n"/>
      <c r="BM544" s="1361" t="n"/>
      <c r="BN544" s="1494" t="n">
        <v>0.212</v>
      </c>
      <c r="BO544" s="1361" t="n"/>
      <c r="BP544" s="1361" t="n"/>
      <c r="BQ544" s="1363" t="n"/>
      <c r="BR544" s="1361" t="n"/>
      <c r="BS544" s="1379" t="n"/>
      <c r="BT544" s="1361" t="n"/>
      <c r="BU544" s="1361" t="n"/>
      <c r="BV544" s="1361" t="n"/>
      <c r="BW544" s="1361" t="n"/>
      <c r="BX544" s="1379" t="n"/>
      <c r="BY544" s="1379" t="n"/>
      <c r="BZ544" s="1379" t="n"/>
      <c r="CA544" s="1379" t="n"/>
      <c r="CB544" s="1361" t="n"/>
    </row>
    <row r="545" hidden="1" outlineLevel="3" ht="15" customFormat="1" customHeight="1" s="1359">
      <c r="A545" s="1508" t="inlineStr">
        <is>
          <t>Exercised Stock Options, mm options</t>
        </is>
      </c>
      <c r="B545" s="1512" t="n"/>
      <c r="C545" s="1494" t="n">
        <v>-0.235</v>
      </c>
      <c r="D545" s="1494" t="n">
        <v>-0.318</v>
      </c>
      <c r="E545" s="1494" t="n">
        <v>-1.332</v>
      </c>
      <c r="F545" s="1494" t="n">
        <v>-2.457</v>
      </c>
      <c r="G545" s="1361" t="n"/>
      <c r="H545" s="1361" t="n"/>
      <c r="I545" s="1361" t="n"/>
      <c r="J545" s="1361" t="n"/>
      <c r="K545" s="1494" t="n">
        <v>-2.982</v>
      </c>
      <c r="L545" s="1361" t="n"/>
      <c r="M545" s="1361" t="n"/>
      <c r="N545" s="1361" t="n"/>
      <c r="O545" s="1361" t="n"/>
      <c r="P545" s="1494" t="n">
        <v>-4.202</v>
      </c>
      <c r="Q545" s="1361" t="n"/>
      <c r="R545" s="1361" t="n"/>
      <c r="S545" s="1361" t="n"/>
      <c r="T545" s="1361" t="n"/>
      <c r="U545" s="1494" t="n">
        <v>-5.948</v>
      </c>
      <c r="V545" s="1361" t="n"/>
      <c r="W545" s="1361" t="n"/>
      <c r="X545" s="1361" t="n"/>
      <c r="Y545" s="1361" t="n"/>
      <c r="Z545" s="1494" t="n">
        <v>-3.148</v>
      </c>
      <c r="AA545" s="1361" t="n"/>
      <c r="AB545" s="1361" t="n"/>
      <c r="AC545" s="1361" t="n"/>
      <c r="AD545" s="1361" t="n"/>
      <c r="AE545" s="1494" t="n">
        <v>-1.957</v>
      </c>
      <c r="AF545" s="1361" t="n"/>
      <c r="AG545" s="1361" t="n"/>
      <c r="AH545" s="1361" t="n"/>
      <c r="AI545" s="1361" t="n"/>
      <c r="AJ545" s="1494" t="n">
        <v>-0.993</v>
      </c>
      <c r="AK545" s="1361" t="n"/>
      <c r="AL545" s="1361" t="n"/>
      <c r="AM545" s="1361" t="n"/>
      <c r="AN545" s="1361" t="n"/>
      <c r="AO545" s="1494" t="n">
        <v>-1.076</v>
      </c>
      <c r="AP545" s="1361" t="n"/>
      <c r="AQ545" s="1361" t="n"/>
      <c r="AR545" s="1361" t="n"/>
      <c r="AS545" s="1361" t="n"/>
      <c r="AT545" s="1494" t="n">
        <v>-1.497</v>
      </c>
      <c r="AU545" s="1361" t="n"/>
      <c r="AV545" s="1361" t="n"/>
      <c r="AW545" s="1361" t="n"/>
      <c r="AX545" s="1361" t="n"/>
      <c r="AY545" s="1494" t="n">
        <v>-1.066</v>
      </c>
      <c r="AZ545" s="1361" t="n"/>
      <c r="BA545" s="1361" t="n"/>
      <c r="BB545" s="1361" t="n"/>
      <c r="BC545" s="1361" t="n"/>
      <c r="BD545" s="1494" t="n">
        <v>-0.755</v>
      </c>
      <c r="BE545" s="1361" t="n"/>
      <c r="BF545" s="1361" t="n"/>
      <c r="BG545" s="1361" t="n"/>
      <c r="BH545" s="1361" t="n"/>
      <c r="BI545" s="1494" t="n">
        <v>-0.797</v>
      </c>
      <c r="BJ545" s="1361" t="n"/>
      <c r="BK545" s="1361" t="n"/>
      <c r="BL545" s="1361" t="n"/>
      <c r="BM545" s="1361" t="n"/>
      <c r="BN545" s="1494" t="n">
        <v>-1.231</v>
      </c>
      <c r="BO545" s="1361" t="n"/>
      <c r="BP545" s="1361" t="n"/>
      <c r="BQ545" s="1363" t="n"/>
      <c r="BR545" s="1361" t="n"/>
      <c r="BS545" s="1379" t="n"/>
      <c r="BT545" s="1361" t="n"/>
      <c r="BU545" s="1361" t="n"/>
      <c r="BV545" s="1361" t="n"/>
      <c r="BW545" s="1361" t="n"/>
      <c r="BX545" s="1379" t="n"/>
      <c r="BY545" s="1379" t="n"/>
      <c r="BZ545" s="1379" t="n"/>
      <c r="CA545" s="1379" t="n"/>
      <c r="CB545" s="1361" t="n"/>
    </row>
    <row r="546" hidden="1" outlineLevel="3" ht="15" customFormat="1" customHeight="1" s="1359">
      <c r="A546" s="1509" t="inlineStr">
        <is>
          <t>Forfeited and Canceled Stock Options, mm options</t>
        </is>
      </c>
      <c r="B546" s="1514" t="n"/>
      <c r="C546" s="1480" t="n">
        <v>-6.773</v>
      </c>
      <c r="D546" s="1480" t="n">
        <v>-12.586</v>
      </c>
      <c r="E546" s="1480" t="n">
        <v>-4.892</v>
      </c>
      <c r="F546" s="1480" t="n">
        <v>-2.961</v>
      </c>
      <c r="G546" s="1456" t="n"/>
      <c r="H546" s="1456" t="n"/>
      <c r="I546" s="1456" t="n"/>
      <c r="J546" s="1456" t="n"/>
      <c r="K546" s="1480" t="n">
        <v>-1.358</v>
      </c>
      <c r="L546" s="1456" t="n"/>
      <c r="M546" s="1456" t="n"/>
      <c r="N546" s="1456" t="n"/>
      <c r="O546" s="1456" t="n"/>
      <c r="P546" s="1480" t="n">
        <v>-0.729</v>
      </c>
      <c r="Q546" s="1456" t="n"/>
      <c r="R546" s="1456" t="n"/>
      <c r="S546" s="1456" t="n"/>
      <c r="T546" s="1456" t="n"/>
      <c r="U546" s="1480" t="n">
        <v>-0.256</v>
      </c>
      <c r="V546" s="1456" t="n"/>
      <c r="W546" s="1456" t="n"/>
      <c r="X546" s="1456" t="n"/>
      <c r="Y546" s="1456" t="n"/>
      <c r="Z546" s="1480" t="n">
        <v>-0.037</v>
      </c>
      <c r="AA546" s="1456" t="n"/>
      <c r="AB546" s="1456" t="n"/>
      <c r="AC546" s="1456" t="n"/>
      <c r="AD546" s="1456" t="n"/>
      <c r="AE546" s="1480" t="n">
        <v>-0.197</v>
      </c>
      <c r="AF546" s="1456" t="n"/>
      <c r="AG546" s="1456" t="n"/>
      <c r="AH546" s="1456" t="n"/>
      <c r="AI546" s="1456" t="n"/>
      <c r="AJ546" s="1480" t="n">
        <v>-0.112</v>
      </c>
      <c r="AK546" s="1456" t="n"/>
      <c r="AL546" s="1456" t="n"/>
      <c r="AM546" s="1456" t="n"/>
      <c r="AN546" s="1456" t="n"/>
      <c r="AO546" s="1455" t="n"/>
      <c r="AP546" s="1456" t="n"/>
      <c r="AQ546" s="1456" t="n"/>
      <c r="AR546" s="1456" t="n"/>
      <c r="AS546" s="1456" t="n"/>
      <c r="AT546" s="1480" t="n">
        <v>-0.036</v>
      </c>
      <c r="AU546" s="1456" t="n"/>
      <c r="AV546" s="1456" t="n"/>
      <c r="AW546" s="1456" t="n"/>
      <c r="AX546" s="1456" t="n"/>
      <c r="AY546" s="1480" t="n">
        <v>-0.061</v>
      </c>
      <c r="AZ546" s="1456" t="n"/>
      <c r="BA546" s="1456" t="n"/>
      <c r="BB546" s="1456" t="n"/>
      <c r="BC546" s="1456" t="n"/>
      <c r="BD546" s="1455" t="n"/>
      <c r="BE546" s="1456" t="n"/>
      <c r="BF546" s="1456" t="n"/>
      <c r="BG546" s="1456" t="n"/>
      <c r="BH546" s="1456" t="n"/>
      <c r="BI546" s="1480" t="n">
        <v>-0.013</v>
      </c>
      <c r="BJ546" s="1456" t="n"/>
      <c r="BK546" s="1456" t="n"/>
      <c r="BL546" s="1456" t="n"/>
      <c r="BM546" s="1456" t="n"/>
      <c r="BN546" s="1480" t="n">
        <v>-0.026</v>
      </c>
      <c r="BO546" s="1456" t="n"/>
      <c r="BP546" s="1456" t="n"/>
      <c r="BQ546" s="1457" t="n"/>
      <c r="BR546" s="1456" t="n"/>
      <c r="BS546" s="1455" t="n"/>
      <c r="BT546" s="1456" t="n"/>
      <c r="BU546" s="1456" t="n"/>
      <c r="BV546" s="1456" t="n"/>
      <c r="BW546" s="1456" t="n"/>
      <c r="BX546" s="1455" t="n"/>
      <c r="BY546" s="1455" t="n"/>
      <c r="BZ546" s="1455" t="n"/>
      <c r="CA546" s="1455" t="n"/>
      <c r="CB546" s="1361" t="n"/>
    </row>
    <row r="547" hidden="1" outlineLevel="3" ht="15" customFormat="1" customHeight="1" s="1359">
      <c r="A547" s="1474" t="inlineStr">
        <is>
          <t>EoP Total Stock Options Outstanding, mm options</t>
        </is>
      </c>
      <c r="B547" s="1512" t="n"/>
      <c r="C547" s="1379">
        <f>C542+C544+C545+C546+C543</f>
        <v/>
      </c>
      <c r="D547" s="1379">
        <f>D542+D544+D545+D546+D543</f>
        <v/>
      </c>
      <c r="E547" s="1379">
        <f>E542+E544+E545+E546+E543</f>
        <v/>
      </c>
      <c r="F547" s="1379">
        <f>F542+F544+F545+F546+F543</f>
        <v/>
      </c>
      <c r="G547" s="1361">
        <f>F547</f>
        <v/>
      </c>
      <c r="H547" s="1361">
        <f>F547</f>
        <v/>
      </c>
      <c r="I547" s="1361">
        <f>F547</f>
        <v/>
      </c>
      <c r="J547" s="1361">
        <f>K547</f>
        <v/>
      </c>
      <c r="K547" s="1379">
        <f>K542+K544+K545+K546+K543</f>
        <v/>
      </c>
      <c r="L547" s="1361">
        <f>K547</f>
        <v/>
      </c>
      <c r="M547" s="1361">
        <f>K547</f>
        <v/>
      </c>
      <c r="N547" s="1361">
        <f>K547</f>
        <v/>
      </c>
      <c r="O547" s="1361">
        <f>P547</f>
        <v/>
      </c>
      <c r="P547" s="1379">
        <f>P542+P544+P545+P546+P543</f>
        <v/>
      </c>
      <c r="Q547" s="1361">
        <f>P547</f>
        <v/>
      </c>
      <c r="R547" s="1361">
        <f>P547</f>
        <v/>
      </c>
      <c r="S547" s="1361">
        <f>P547</f>
        <v/>
      </c>
      <c r="T547" s="1361">
        <f>U547</f>
        <v/>
      </c>
      <c r="U547" s="1379">
        <f>ROUND(U542+U544+U545+U546+U543,6)</f>
        <v/>
      </c>
      <c r="V547" s="1361">
        <f>U547</f>
        <v/>
      </c>
      <c r="W547" s="1361">
        <f>U547</f>
        <v/>
      </c>
      <c r="X547" s="1361">
        <f>U547</f>
        <v/>
      </c>
      <c r="Y547" s="1361">
        <f>Z547</f>
        <v/>
      </c>
      <c r="Z547" s="1379">
        <f>Z542+Z544+Z545+Z546+Z543</f>
        <v/>
      </c>
      <c r="AA547" s="1361">
        <f>Z547</f>
        <v/>
      </c>
      <c r="AB547" s="1361">
        <f>Z547</f>
        <v/>
      </c>
      <c r="AC547" s="1361">
        <f>Z547</f>
        <v/>
      </c>
      <c r="AD547" s="1361">
        <f>AE547</f>
        <v/>
      </c>
      <c r="AE547" s="1379">
        <f>AE542+AE544+AE545+AE546+AE543</f>
        <v/>
      </c>
      <c r="AF547" s="1361">
        <f>AE547</f>
        <v/>
      </c>
      <c r="AG547" s="1361">
        <f>AE547</f>
        <v/>
      </c>
      <c r="AH547" s="1361">
        <f>AE547</f>
        <v/>
      </c>
      <c r="AI547" s="1361">
        <f>AJ547</f>
        <v/>
      </c>
      <c r="AJ547" s="1379">
        <f>AJ542+AJ544+AJ545+AJ546+AJ543</f>
        <v/>
      </c>
      <c r="AK547" s="1361">
        <f>AJ547</f>
        <v/>
      </c>
      <c r="AL547" s="1361">
        <f>AJ547</f>
        <v/>
      </c>
      <c r="AM547" s="1361">
        <f>AJ547</f>
        <v/>
      </c>
      <c r="AN547" s="1361">
        <f>AO547</f>
        <v/>
      </c>
      <c r="AO547" s="1379">
        <f>AO542+AO544+AO545+AO546+AO543</f>
        <v/>
      </c>
      <c r="AP547" s="1361">
        <f>AO547</f>
        <v/>
      </c>
      <c r="AQ547" s="1361">
        <f>AO547</f>
        <v/>
      </c>
      <c r="AR547" s="1361">
        <f>AO547</f>
        <v/>
      </c>
      <c r="AS547" s="1361">
        <f>AT547</f>
        <v/>
      </c>
      <c r="AT547" s="1379">
        <f>AT542+AT544+AT545+AT546+AT543</f>
        <v/>
      </c>
      <c r="AU547" s="1361">
        <f>AT547</f>
        <v/>
      </c>
      <c r="AV547" s="1361">
        <f>AT547</f>
        <v/>
      </c>
      <c r="AW547" s="1361">
        <f>AT547</f>
        <v/>
      </c>
      <c r="AX547" s="1361">
        <f>AY547</f>
        <v/>
      </c>
      <c r="AY547" s="1379">
        <f>AY542+AY543+AY544+AY545+AY546</f>
        <v/>
      </c>
      <c r="AZ547" s="1361">
        <f>AY547</f>
        <v/>
      </c>
      <c r="BA547" s="1361">
        <f>AY547</f>
        <v/>
      </c>
      <c r="BB547" s="1361">
        <f>AY547</f>
        <v/>
      </c>
      <c r="BC547" s="1361">
        <f>BD547</f>
        <v/>
      </c>
      <c r="BD547" s="1379">
        <f>BD542+BD544+BD545+BD546+BD543</f>
        <v/>
      </c>
      <c r="BE547" s="1361">
        <f>BD547</f>
        <v/>
      </c>
      <c r="BF547" s="1361">
        <f>BD547</f>
        <v/>
      </c>
      <c r="BG547" s="1361">
        <f>BD547</f>
        <v/>
      </c>
      <c r="BH547" s="1361">
        <f>BI547</f>
        <v/>
      </c>
      <c r="BI547" s="1379">
        <f>BI542+BI544+BI545+BI546+BI543</f>
        <v/>
      </c>
      <c r="BJ547" s="1361">
        <f>BI547</f>
        <v/>
      </c>
      <c r="BK547" s="1361">
        <f>BI547</f>
        <v/>
      </c>
      <c r="BL547" s="1361">
        <f>BI547</f>
        <v/>
      </c>
      <c r="BM547" s="1361">
        <f>BN547</f>
        <v/>
      </c>
      <c r="BN547" s="1379">
        <f>BN542+BN544+BN545+BN546+BN543</f>
        <v/>
      </c>
      <c r="BO547" s="1361">
        <f>BN547</f>
        <v/>
      </c>
      <c r="BP547" s="1361">
        <f>BN547</f>
        <v/>
      </c>
      <c r="BQ547" s="1363">
        <f>BN547</f>
        <v/>
      </c>
      <c r="BR547" s="1361" t="n"/>
      <c r="BS547" s="1379" t="n"/>
      <c r="BT547" s="1361" t="n"/>
      <c r="BU547" s="1361" t="n"/>
      <c r="BV547" s="1361" t="n"/>
      <c r="BW547" s="1361" t="n"/>
      <c r="BX547" s="1379" t="n"/>
      <c r="BY547" s="1379" t="n"/>
      <c r="BZ547" s="1379" t="n"/>
      <c r="CA547" s="1379" t="n"/>
      <c r="CB547" s="1361" t="n"/>
    </row>
    <row r="548" hidden="1" outlineLevel="3" ht="15" customFormat="1" customHeight="1" s="1706">
      <c r="A548" s="1714" t="n"/>
      <c r="B548" s="1715" t="n"/>
      <c r="C548" s="1716" t="n"/>
      <c r="D548" s="1716" t="n"/>
      <c r="E548" s="1716" t="n"/>
      <c r="F548" s="1716" t="n"/>
      <c r="G548" s="1714" t="n"/>
      <c r="H548" s="1714" t="n"/>
      <c r="I548" s="1714" t="n"/>
      <c r="J548" s="1714" t="n"/>
      <c r="K548" s="1716" t="n"/>
      <c r="L548" s="1714" t="n"/>
      <c r="M548" s="1714" t="n"/>
      <c r="N548" s="1714" t="n"/>
      <c r="O548" s="1714" t="n"/>
      <c r="P548" s="1716" t="n"/>
      <c r="Q548" s="1714" t="n"/>
      <c r="R548" s="1714" t="n"/>
      <c r="S548" s="1714" t="n"/>
      <c r="T548" s="1714" t="n"/>
      <c r="U548" s="1716" t="n"/>
      <c r="V548" s="1714" t="n"/>
      <c r="W548" s="1714" t="n"/>
      <c r="X548" s="1714" t="n"/>
      <c r="Y548" s="1714" t="n"/>
      <c r="Z548" s="1716" t="n"/>
      <c r="AA548" s="1714" t="n"/>
      <c r="AB548" s="1714" t="n"/>
      <c r="AC548" s="1714" t="n"/>
      <c r="AD548" s="1714" t="n"/>
      <c r="AE548" s="1716" t="n"/>
      <c r="AF548" s="1714" t="n"/>
      <c r="AG548" s="1714" t="n"/>
      <c r="AH548" s="1714" t="n"/>
      <c r="AI548" s="1714" t="n"/>
      <c r="AJ548" s="1716" t="n"/>
      <c r="AK548" s="1714" t="n"/>
      <c r="AL548" s="1714" t="n"/>
      <c r="AM548" s="1714" t="n"/>
      <c r="AN548" s="1714" t="n"/>
      <c r="AO548" s="1716" t="n"/>
      <c r="AP548" s="1714" t="n"/>
      <c r="AQ548" s="1714" t="n"/>
      <c r="AR548" s="1714" t="n"/>
      <c r="AS548" s="1714" t="n"/>
      <c r="AT548" s="1716" t="n"/>
      <c r="AU548" s="1714" t="n"/>
      <c r="AV548" s="1714" t="n"/>
      <c r="AW548" s="1714" t="n"/>
      <c r="AX548" s="1714" t="n"/>
      <c r="AY548" s="1716" t="n"/>
      <c r="AZ548" s="1714" t="n"/>
      <c r="BA548" s="1714" t="n"/>
      <c r="BB548" s="1714" t="n"/>
      <c r="BC548" s="1714" t="n"/>
      <c r="BD548" s="1716" t="n"/>
      <c r="BE548" s="1714" t="n"/>
      <c r="BF548" s="1714" t="n"/>
      <c r="BG548" s="1714" t="n"/>
      <c r="BH548" s="1714" t="n"/>
      <c r="BI548" s="1716" t="n"/>
      <c r="BJ548" s="1714" t="n"/>
      <c r="BK548" s="1714" t="n"/>
      <c r="BL548" s="1714" t="n"/>
      <c r="BM548" s="1714" t="n"/>
      <c r="BN548" s="1716" t="n"/>
      <c r="BO548" s="1714" t="n"/>
      <c r="BP548" s="1714" t="n"/>
      <c r="BQ548" s="1717" t="n"/>
      <c r="BR548" s="1714" t="n"/>
      <c r="BS548" s="1716" t="n"/>
      <c r="BT548" s="1714" t="n"/>
      <c r="BU548" s="1714" t="n"/>
      <c r="BV548" s="1714" t="n"/>
      <c r="BW548" s="1714" t="n"/>
      <c r="BX548" s="1716" t="n"/>
      <c r="BY548" s="1716" t="n"/>
      <c r="BZ548" s="1716" t="n"/>
      <c r="CA548" s="1716" t="n"/>
      <c r="CB548" s="1718" t="n"/>
    </row>
    <row r="549" hidden="1" outlineLevel="3" ht="15" customFormat="1" customHeight="1" s="1706">
      <c r="A549" s="1719" t="inlineStr">
        <is>
          <t>BoP Weighted Average Exercise Price, $/share</t>
        </is>
      </c>
      <c r="B549" s="1715" t="n"/>
      <c r="C549" s="1720" t="n">
        <v>15.39</v>
      </c>
      <c r="D549" s="1720" t="n">
        <v>14.08</v>
      </c>
      <c r="E549" s="1720" t="n">
        <v>12.16</v>
      </c>
      <c r="F549" s="1720" t="n">
        <v>11.01</v>
      </c>
      <c r="G549" s="1721" t="n"/>
      <c r="H549" s="1721" t="n"/>
      <c r="I549" s="1721" t="n"/>
      <c r="J549" s="1721" t="n"/>
      <c r="K549" s="1720" t="n">
        <v>10.71</v>
      </c>
      <c r="L549" s="1721" t="n"/>
      <c r="M549" s="1721" t="n"/>
      <c r="N549" s="1721" t="n"/>
      <c r="O549" s="1721" t="n"/>
      <c r="P549" s="1720" t="n">
        <v>10.06</v>
      </c>
      <c r="Q549" s="1721" t="n"/>
      <c r="R549" s="1721" t="n"/>
      <c r="S549" s="1721" t="n"/>
      <c r="T549" s="1721" t="n"/>
      <c r="U549" s="1720" t="n">
        <v>9.710000000000001</v>
      </c>
      <c r="V549" s="1721" t="n"/>
      <c r="W549" s="1721" t="n"/>
      <c r="X549" s="1721" t="n"/>
      <c r="Y549" s="1721" t="n"/>
      <c r="Z549" s="1720" t="n">
        <v>11.35</v>
      </c>
      <c r="AA549" s="1721" t="n"/>
      <c r="AB549" s="1721" t="n"/>
      <c r="AC549" s="1721" t="n"/>
      <c r="AD549" s="1721" t="n"/>
      <c r="AE549" s="1720" t="n">
        <v>13.61</v>
      </c>
      <c r="AF549" s="1721" t="n"/>
      <c r="AG549" s="1721" t="n"/>
      <c r="AH549" s="1721" t="n"/>
      <c r="AI549" s="1721" t="n"/>
      <c r="AJ549" s="1720" t="n">
        <v>16.56</v>
      </c>
      <c r="AK549" s="1721" t="n"/>
      <c r="AL549" s="1721" t="n"/>
      <c r="AM549" s="1721" t="n"/>
      <c r="AN549" s="1721" t="n"/>
      <c r="AO549" s="1720" t="n">
        <v>20.51</v>
      </c>
      <c r="AP549" s="1721" t="n"/>
      <c r="AQ549" s="1721" t="n"/>
      <c r="AR549" s="1721" t="n"/>
      <c r="AS549" s="1721" t="n"/>
      <c r="AT549" s="1720" t="n">
        <v>26.38</v>
      </c>
      <c r="AU549" s="1721" t="n"/>
      <c r="AV549" s="1721" t="n"/>
      <c r="AW549" s="1721" t="n"/>
      <c r="AX549" s="1721" t="n"/>
      <c r="AY549" s="1720" t="n">
        <v>36.72</v>
      </c>
      <c r="AZ549" s="1721" t="n"/>
      <c r="BA549" s="1721" t="n"/>
      <c r="BB549" s="1721" t="n"/>
      <c r="BC549" s="1721" t="n"/>
      <c r="BD549" s="1720" t="n">
        <v>62.69</v>
      </c>
      <c r="BE549" s="1721" t="n"/>
      <c r="BF549" s="1721" t="n"/>
      <c r="BG549" s="1721" t="n"/>
      <c r="BH549" s="1721" t="n"/>
      <c r="BI549" s="1720" t="n">
        <v>80.34999999999999</v>
      </c>
      <c r="BJ549" s="1721" t="n"/>
      <c r="BK549" s="1721" t="n"/>
      <c r="BL549" s="1721" t="n"/>
      <c r="BM549" s="1721" t="n"/>
      <c r="BN549" s="1720" t="n">
        <v>107.93</v>
      </c>
      <c r="BO549" s="1721" t="n"/>
      <c r="BP549" s="1721" t="n"/>
      <c r="BQ549" s="1722" t="n"/>
      <c r="BR549" s="1721" t="n"/>
      <c r="BS549" s="1723" t="n"/>
      <c r="BT549" s="1721" t="n"/>
      <c r="BU549" s="1721" t="n"/>
      <c r="BV549" s="1721" t="n"/>
      <c r="BW549" s="1721" t="n"/>
      <c r="BX549" s="1723" t="n"/>
      <c r="BY549" s="1723" t="n"/>
      <c r="BZ549" s="1723" t="n"/>
      <c r="CA549" s="1723" t="n"/>
      <c r="CB549" s="1714" t="n"/>
    </row>
    <row r="550" hidden="1" outlineLevel="3" ht="15" customFormat="1" customHeight="1" s="1706">
      <c r="A550" s="1724" t="inlineStr">
        <is>
          <t>Acquired Options Average Exercise Price, $/share</t>
        </is>
      </c>
      <c r="B550" s="1715" t="n"/>
      <c r="C550" s="1723" t="n"/>
      <c r="D550" s="1723" t="n"/>
      <c r="E550" s="1720" t="n">
        <v>1.39</v>
      </c>
      <c r="F550" s="1723" t="n"/>
      <c r="G550" s="1721" t="n"/>
      <c r="H550" s="1721" t="n"/>
      <c r="I550" s="1721" t="n"/>
      <c r="J550" s="1721" t="n"/>
      <c r="K550" s="1720" t="n">
        <v>2.46</v>
      </c>
      <c r="L550" s="1721" t="n"/>
      <c r="M550" s="1721" t="n"/>
      <c r="N550" s="1721" t="n"/>
      <c r="O550" s="1721" t="n"/>
      <c r="P550" s="1720" t="n">
        <v>0.32</v>
      </c>
      <c r="Q550" s="1721" t="n"/>
      <c r="R550" s="1721" t="n"/>
      <c r="S550" s="1721" t="n"/>
      <c r="T550" s="1721" t="n"/>
      <c r="U550" s="1723" t="n"/>
      <c r="V550" s="1721" t="n"/>
      <c r="W550" s="1721" t="n"/>
      <c r="X550" s="1721" t="n"/>
      <c r="Y550" s="1721" t="n"/>
      <c r="Z550" s="1723" t="n"/>
      <c r="AA550" s="1721" t="n"/>
      <c r="AB550" s="1721" t="n"/>
      <c r="AC550" s="1721" t="n"/>
      <c r="AD550" s="1721" t="n"/>
      <c r="AE550" s="1723" t="n"/>
      <c r="AF550" s="1721" t="n"/>
      <c r="AG550" s="1721" t="n"/>
      <c r="AH550" s="1721" t="n"/>
      <c r="AI550" s="1721" t="n"/>
      <c r="AJ550" s="1723" t="n"/>
      <c r="AK550" s="1721" t="n"/>
      <c r="AL550" s="1721" t="n"/>
      <c r="AM550" s="1721" t="n"/>
      <c r="AN550" s="1721" t="n"/>
      <c r="AO550" s="1723" t="n"/>
      <c r="AP550" s="1721" t="n"/>
      <c r="AQ550" s="1721" t="n"/>
      <c r="AR550" s="1721" t="n"/>
      <c r="AS550" s="1721" t="n"/>
      <c r="AT550" s="1723" t="n"/>
      <c r="AU550" s="1721" t="n"/>
      <c r="AV550" s="1721" t="n"/>
      <c r="AW550" s="1721" t="n"/>
      <c r="AX550" s="1721" t="n"/>
      <c r="AY550" s="1723" t="n"/>
      <c r="AZ550" s="1721" t="n"/>
      <c r="BA550" s="1721" t="n"/>
      <c r="BB550" s="1721" t="n"/>
      <c r="BC550" s="1721" t="n"/>
      <c r="BD550" s="1723" t="n"/>
      <c r="BE550" s="1721" t="n"/>
      <c r="BF550" s="1721" t="n"/>
      <c r="BG550" s="1721" t="n"/>
      <c r="BH550" s="1721" t="n"/>
      <c r="BI550" s="1723" t="n"/>
      <c r="BJ550" s="1721" t="n"/>
      <c r="BK550" s="1721" t="n"/>
      <c r="BL550" s="1721" t="n"/>
      <c r="BM550" s="1721" t="n"/>
      <c r="BN550" s="1723" t="n"/>
      <c r="BO550" s="1721" t="n"/>
      <c r="BP550" s="1721" t="n"/>
      <c r="BQ550" s="1722" t="n"/>
      <c r="BR550" s="1721" t="n"/>
      <c r="BS550" s="1723" t="n"/>
      <c r="BT550" s="1721" t="n"/>
      <c r="BU550" s="1721" t="n"/>
      <c r="BV550" s="1721" t="n"/>
      <c r="BW550" s="1721" t="n"/>
      <c r="BX550" s="1723" t="n"/>
      <c r="BY550" s="1723" t="n"/>
      <c r="BZ550" s="1723" t="n"/>
      <c r="CA550" s="1723" t="n"/>
      <c r="CB550" s="1714" t="n"/>
    </row>
    <row r="551" hidden="1" outlineLevel="3" ht="15" customFormat="1" customHeight="1" s="1706">
      <c r="A551" s="1724" t="inlineStr">
        <is>
          <t>Granted Average Exercise Price, $/share</t>
        </is>
      </c>
      <c r="B551" s="1715" t="n"/>
      <c r="C551" s="1720" t="n">
        <v>4.35</v>
      </c>
      <c r="D551" s="1720" t="n">
        <v>6.07</v>
      </c>
      <c r="E551" s="1720" t="n">
        <v>9.65</v>
      </c>
      <c r="F551" s="1720" t="n">
        <v>11.63</v>
      </c>
      <c r="G551" s="1721" t="n"/>
      <c r="H551" s="1721" t="n"/>
      <c r="I551" s="1721" t="n"/>
      <c r="J551" s="1721" t="n"/>
      <c r="K551" s="1720" t="n">
        <v>14.21</v>
      </c>
      <c r="L551" s="1721" t="n"/>
      <c r="M551" s="1721" t="n"/>
      <c r="N551" s="1721" t="n"/>
      <c r="O551" s="1721" t="n"/>
      <c r="P551" s="1720" t="n">
        <v>13.9</v>
      </c>
      <c r="Q551" s="1721" t="n"/>
      <c r="R551" s="1721" t="n"/>
      <c r="S551" s="1721" t="n"/>
      <c r="T551" s="1721" t="n"/>
      <c r="U551" s="1720" t="n">
        <v>17.25</v>
      </c>
      <c r="V551" s="1721" t="n"/>
      <c r="W551" s="1721" t="n"/>
      <c r="X551" s="1721" t="n"/>
      <c r="Y551" s="1721" t="n"/>
      <c r="Z551" s="1720" t="n">
        <v>20.05</v>
      </c>
      <c r="AA551" s="1721" t="n"/>
      <c r="AB551" s="1721" t="n"/>
      <c r="AC551" s="1721" t="n"/>
      <c r="AD551" s="1721" t="n"/>
      <c r="AE551" s="1720" t="n">
        <v>30.72</v>
      </c>
      <c r="AF551" s="1721" t="n"/>
      <c r="AG551" s="1721" t="n"/>
      <c r="AH551" s="1721" t="n"/>
      <c r="AI551" s="1721" t="n"/>
      <c r="AJ551" s="1720" t="n">
        <v>39.57</v>
      </c>
      <c r="AK551" s="1721" t="n"/>
      <c r="AL551" s="1721" t="n"/>
      <c r="AM551" s="1721" t="n"/>
      <c r="AN551" s="1721" t="n"/>
      <c r="AO551" s="1720" t="n">
        <v>56.57</v>
      </c>
      <c r="AP551" s="1721" t="n"/>
      <c r="AQ551" s="1721" t="n"/>
      <c r="AR551" s="1721" t="n"/>
      <c r="AS551" s="1721" t="n"/>
      <c r="AT551" s="1720" t="n">
        <v>79.81999999999999</v>
      </c>
      <c r="AU551" s="1721" t="n"/>
      <c r="AV551" s="1721" t="n"/>
      <c r="AW551" s="1721" t="n"/>
      <c r="AX551" s="1721" t="n"/>
      <c r="AY551" s="1720" t="n">
        <v>159.25</v>
      </c>
      <c r="AZ551" s="1721" t="n"/>
      <c r="BA551" s="1721" t="n"/>
      <c r="BB551" s="1721" t="n"/>
      <c r="BC551" s="1721" t="n"/>
      <c r="BD551" s="1720" t="n">
        <v>143</v>
      </c>
      <c r="BE551" s="1721" t="n"/>
      <c r="BF551" s="1721" t="n"/>
      <c r="BG551" s="1721" t="n"/>
      <c r="BH551" s="1721" t="n"/>
      <c r="BI551" s="1720" t="n">
        <v>205.87</v>
      </c>
      <c r="BJ551" s="1721" t="n"/>
      <c r="BK551" s="1721" t="n"/>
      <c r="BL551" s="1721" t="n"/>
      <c r="BM551" s="1721" t="n"/>
      <c r="BN551" s="1720" t="n">
        <v>297.56</v>
      </c>
      <c r="BO551" s="1721" t="n"/>
      <c r="BP551" s="1721" t="n"/>
      <c r="BQ551" s="1722" t="n"/>
      <c r="BR551" s="1721" t="n"/>
      <c r="BS551" s="1723" t="n"/>
      <c r="BT551" s="1721" t="n"/>
      <c r="BU551" s="1721" t="n"/>
      <c r="BV551" s="1721" t="n"/>
      <c r="BW551" s="1721" t="n"/>
      <c r="BX551" s="1723" t="n"/>
      <c r="BY551" s="1723" t="n"/>
      <c r="BZ551" s="1723" t="n"/>
      <c r="CA551" s="1723" t="n"/>
      <c r="CB551" s="1714" t="n"/>
    </row>
    <row r="552" hidden="1" outlineLevel="3" ht="15" customFormat="1" customHeight="1" s="1706">
      <c r="A552" s="1724" t="inlineStr">
        <is>
          <t>Exercised Average Exercise Price, $/share</t>
        </is>
      </c>
      <c r="B552" s="1715" t="n"/>
      <c r="C552" s="1720" t="n">
        <v>2.15</v>
      </c>
      <c r="D552" s="1720" t="n">
        <v>2.73</v>
      </c>
      <c r="E552" s="1720" t="n">
        <v>4.86</v>
      </c>
      <c r="F552" s="1720" t="n">
        <v>7.78</v>
      </c>
      <c r="G552" s="1721" t="n"/>
      <c r="H552" s="1721" t="n"/>
      <c r="I552" s="1721" t="n"/>
      <c r="J552" s="1721" t="n"/>
      <c r="K552" s="1720" t="n">
        <v>9.25</v>
      </c>
      <c r="L552" s="1721" t="n"/>
      <c r="M552" s="1721" t="n"/>
      <c r="N552" s="1721" t="n"/>
      <c r="O552" s="1721" t="n"/>
      <c r="P552" s="1720" t="n">
        <v>10.98</v>
      </c>
      <c r="Q552" s="1721" t="n"/>
      <c r="R552" s="1721" t="n"/>
      <c r="S552" s="1721" t="n"/>
      <c r="T552" s="1721" t="n"/>
      <c r="U552" s="1720" t="n">
        <v>8.789999999999999</v>
      </c>
      <c r="V552" s="1721" t="n"/>
      <c r="W552" s="1721" t="n"/>
      <c r="X552" s="1721" t="n"/>
      <c r="Y552" s="1721" t="n"/>
      <c r="Z552" s="1720" t="n">
        <v>9.84</v>
      </c>
      <c r="AA552" s="1721" t="n"/>
      <c r="AB552" s="1721" t="n"/>
      <c r="AC552" s="1721" t="n"/>
      <c r="AD552" s="1721" t="n"/>
      <c r="AE552" s="1720" t="n">
        <v>11.37</v>
      </c>
      <c r="AF552" s="1721" t="n"/>
      <c r="AG552" s="1721" t="n"/>
      <c r="AH552" s="1721" t="n"/>
      <c r="AI552" s="1721" t="n"/>
      <c r="AJ552" s="1720" t="n">
        <v>11.84</v>
      </c>
      <c r="AK552" s="1721" t="n"/>
      <c r="AL552" s="1721" t="n"/>
      <c r="AM552" s="1721" t="n"/>
      <c r="AN552" s="1721" t="n"/>
      <c r="AO552" s="1720" t="n">
        <v>13.52</v>
      </c>
      <c r="AP552" s="1721" t="n"/>
      <c r="AQ552" s="1721" t="n"/>
      <c r="AR552" s="1721" t="n"/>
      <c r="AS552" s="1721" t="n"/>
      <c r="AT552" s="1720" t="n">
        <v>17.69</v>
      </c>
      <c r="AU552" s="1721" t="n"/>
      <c r="AV552" s="1721" t="n"/>
      <c r="AW552" s="1721" t="n"/>
      <c r="AX552" s="1721" t="n"/>
      <c r="AY552" s="1720" t="n">
        <v>22.37</v>
      </c>
      <c r="AZ552" s="1721" t="n"/>
      <c r="BA552" s="1721" t="n"/>
      <c r="BB552" s="1721" t="n"/>
      <c r="BC552" s="1721" t="n"/>
      <c r="BD552" s="1720" t="n">
        <v>21.21</v>
      </c>
      <c r="BE552" s="1721" t="n"/>
      <c r="BF552" s="1721" t="n"/>
      <c r="BG552" s="1721" t="n"/>
      <c r="BH552" s="1721" t="n"/>
      <c r="BI552" s="1720" t="n">
        <v>38.82</v>
      </c>
      <c r="BJ552" s="1721" t="n"/>
      <c r="BK552" s="1721" t="n"/>
      <c r="BL552" s="1721" t="n"/>
      <c r="BM552" s="1721" t="n"/>
      <c r="BN552" s="1720" t="n">
        <v>72.19</v>
      </c>
      <c r="BO552" s="1721" t="n"/>
      <c r="BP552" s="1721" t="n"/>
      <c r="BQ552" s="1722" t="n"/>
      <c r="BR552" s="1721" t="n"/>
      <c r="BS552" s="1723" t="n"/>
      <c r="BT552" s="1721" t="n"/>
      <c r="BU552" s="1721" t="n"/>
      <c r="BV552" s="1721" t="n"/>
      <c r="BW552" s="1721" t="n"/>
      <c r="BX552" s="1723" t="n"/>
      <c r="BY552" s="1723" t="n"/>
      <c r="BZ552" s="1723" t="n"/>
      <c r="CA552" s="1723" t="n"/>
      <c r="CB552" s="1714" t="n"/>
    </row>
    <row r="553" hidden="1" outlineLevel="3" ht="15" customFormat="1" customHeight="1" s="1706">
      <c r="A553" s="1725" t="inlineStr">
        <is>
          <t>Forfeited and Canceled Average Exercise Price, $/share</t>
        </is>
      </c>
      <c r="B553" s="1726" t="n"/>
      <c r="C553" s="1727" t="n">
        <v>16.02</v>
      </c>
      <c r="D553" s="1727" t="n">
        <v>16.43</v>
      </c>
      <c r="E553" s="1727" t="n">
        <v>17.37</v>
      </c>
      <c r="F553" s="1727" t="n">
        <v>16.03</v>
      </c>
      <c r="G553" s="1728" t="n"/>
      <c r="H553" s="1728" t="n"/>
      <c r="I553" s="1728" t="n"/>
      <c r="J553" s="1728" t="n"/>
      <c r="K553" s="1727" t="n">
        <v>15.88</v>
      </c>
      <c r="L553" s="1728" t="n"/>
      <c r="M553" s="1728" t="n"/>
      <c r="N553" s="1728" t="n"/>
      <c r="O553" s="1728" t="n"/>
      <c r="P553" s="1727" t="n">
        <v>18.09</v>
      </c>
      <c r="Q553" s="1728" t="n"/>
      <c r="R553" s="1728" t="n"/>
      <c r="S553" s="1728" t="n"/>
      <c r="T553" s="1728" t="n"/>
      <c r="U553" s="1727" t="n">
        <v>12.26</v>
      </c>
      <c r="V553" s="1728" t="n"/>
      <c r="W553" s="1728" t="n"/>
      <c r="X553" s="1728" t="n"/>
      <c r="Y553" s="1728" t="n"/>
      <c r="Z553" s="1727" t="n">
        <v>15.8</v>
      </c>
      <c r="AA553" s="1728" t="n"/>
      <c r="AB553" s="1728" t="n"/>
      <c r="AC553" s="1728" t="n"/>
      <c r="AD553" s="1728" t="n"/>
      <c r="AE553" s="1727" t="n">
        <v>20.52</v>
      </c>
      <c r="AF553" s="1728" t="n"/>
      <c r="AG553" s="1728" t="n"/>
      <c r="AH553" s="1728" t="n"/>
      <c r="AI553" s="1728" t="n"/>
      <c r="AJ553" s="1727" t="n">
        <v>18.83</v>
      </c>
      <c r="AK553" s="1728" t="n"/>
      <c r="AL553" s="1728" t="n"/>
      <c r="AM553" s="1728" t="n"/>
      <c r="AN553" s="1728" t="n"/>
      <c r="AO553" s="1729" t="n"/>
      <c r="AP553" s="1728" t="n"/>
      <c r="AQ553" s="1728" t="n"/>
      <c r="AR553" s="1728" t="n"/>
      <c r="AS553" s="1728" t="n"/>
      <c r="AT553" s="1727" t="n">
        <v>49.97</v>
      </c>
      <c r="AU553" s="1728" t="n"/>
      <c r="AV553" s="1728" t="n"/>
      <c r="AW553" s="1728" t="n"/>
      <c r="AX553" s="1728" t="n"/>
      <c r="AY553" s="1727" t="n">
        <v>61.38</v>
      </c>
      <c r="AZ553" s="1728" t="n"/>
      <c r="BA553" s="1728" t="n"/>
      <c r="BB553" s="1728" t="n"/>
      <c r="BC553" s="1728" t="n"/>
      <c r="BD553" s="1729" t="n"/>
      <c r="BE553" s="1728" t="n"/>
      <c r="BF553" s="1728" t="n"/>
      <c r="BG553" s="1728" t="n"/>
      <c r="BH553" s="1728" t="n"/>
      <c r="BI553" s="1727" t="n">
        <v>131.94</v>
      </c>
      <c r="BJ553" s="1728" t="n"/>
      <c r="BK553" s="1728" t="n"/>
      <c r="BL553" s="1728" t="n"/>
      <c r="BM553" s="1728" t="n"/>
      <c r="BN553" s="1727" t="n">
        <v>138.02</v>
      </c>
      <c r="BO553" s="1728" t="n"/>
      <c r="BP553" s="1728" t="n"/>
      <c r="BQ553" s="1730" t="n"/>
      <c r="BR553" s="1728" t="n"/>
      <c r="BS553" s="1729" t="n"/>
      <c r="BT553" s="1728" t="n"/>
      <c r="BU553" s="1728" t="n"/>
      <c r="BV553" s="1728" t="n"/>
      <c r="BW553" s="1728" t="n"/>
      <c r="BX553" s="1729" t="n"/>
      <c r="BY553" s="1729" t="n"/>
      <c r="BZ553" s="1729" t="n"/>
      <c r="CA553" s="1729" t="n"/>
      <c r="CB553" s="1714" t="n"/>
    </row>
    <row r="554" hidden="1" outlineLevel="3" ht="15" customFormat="1" customHeight="1" s="1706">
      <c r="A554" s="1731" t="inlineStr">
        <is>
          <t>EoP Weighted Average Exercise Price, $/share</t>
        </is>
      </c>
      <c r="B554" s="1726" t="n"/>
      <c r="C554" s="1727" t="n">
        <v>14.08</v>
      </c>
      <c r="D554" s="1727" t="n">
        <v>12.16</v>
      </c>
      <c r="E554" s="1727" t="n">
        <v>11.01</v>
      </c>
      <c r="F554" s="1727" t="n">
        <v>10.71</v>
      </c>
      <c r="G554" s="1728">
        <f>F554</f>
        <v/>
      </c>
      <c r="H554" s="1728">
        <f>F554</f>
        <v/>
      </c>
      <c r="I554" s="1728">
        <f>F554</f>
        <v/>
      </c>
      <c r="J554" s="1728">
        <f>K554</f>
        <v/>
      </c>
      <c r="K554" s="1727" t="n">
        <v>10.06</v>
      </c>
      <c r="L554" s="1728">
        <f>K554</f>
        <v/>
      </c>
      <c r="M554" s="1728">
        <f>K554</f>
        <v/>
      </c>
      <c r="N554" s="1728">
        <f>K554</f>
        <v/>
      </c>
      <c r="O554" s="1728">
        <f>P554</f>
        <v/>
      </c>
      <c r="P554" s="1727" t="n">
        <v>9.710000000000001</v>
      </c>
      <c r="Q554" s="1728">
        <f>P554</f>
        <v/>
      </c>
      <c r="R554" s="1728">
        <f>P554</f>
        <v/>
      </c>
      <c r="S554" s="1728">
        <f>P554</f>
        <v/>
      </c>
      <c r="T554" s="1728">
        <f>U554</f>
        <v/>
      </c>
      <c r="U554" s="1727" t="n">
        <v>11.35</v>
      </c>
      <c r="V554" s="1728">
        <f>U554</f>
        <v/>
      </c>
      <c r="W554" s="1728">
        <f>U554</f>
        <v/>
      </c>
      <c r="X554" s="1728">
        <f>U554</f>
        <v/>
      </c>
      <c r="Y554" s="1728">
        <f>Z554</f>
        <v/>
      </c>
      <c r="Z554" s="1727" t="n">
        <v>13.61</v>
      </c>
      <c r="AA554" s="1728">
        <f>Z554</f>
        <v/>
      </c>
      <c r="AB554" s="1728">
        <f>Z554</f>
        <v/>
      </c>
      <c r="AC554" s="1728">
        <f>Z554</f>
        <v/>
      </c>
      <c r="AD554" s="1728">
        <f>AE554</f>
        <v/>
      </c>
      <c r="AE554" s="1727" t="n">
        <v>16.56</v>
      </c>
      <c r="AF554" s="1728">
        <f>AE554</f>
        <v/>
      </c>
      <c r="AG554" s="1728">
        <f>AE554</f>
        <v/>
      </c>
      <c r="AH554" s="1728">
        <f>AE554</f>
        <v/>
      </c>
      <c r="AI554" s="1728">
        <f>AJ554</f>
        <v/>
      </c>
      <c r="AJ554" s="1727" t="n">
        <v>20.51</v>
      </c>
      <c r="AK554" s="1728">
        <f>AJ554</f>
        <v/>
      </c>
      <c r="AL554" s="1728">
        <f>AJ554</f>
        <v/>
      </c>
      <c r="AM554" s="1728">
        <f>AJ554</f>
        <v/>
      </c>
      <c r="AN554" s="1728">
        <f>AO554</f>
        <v/>
      </c>
      <c r="AO554" s="1727" t="n">
        <v>26.38</v>
      </c>
      <c r="AP554" s="1728">
        <f>AO554</f>
        <v/>
      </c>
      <c r="AQ554" s="1728">
        <f>AO554</f>
        <v/>
      </c>
      <c r="AR554" s="1728">
        <f>AO554</f>
        <v/>
      </c>
      <c r="AS554" s="1728">
        <f>AT554</f>
        <v/>
      </c>
      <c r="AT554" s="1727" t="n">
        <v>36.72</v>
      </c>
      <c r="AU554" s="1728">
        <f>AT554</f>
        <v/>
      </c>
      <c r="AV554" s="1728">
        <f>AT554</f>
        <v/>
      </c>
      <c r="AW554" s="1728">
        <f>AT554</f>
        <v/>
      </c>
      <c r="AX554" s="1728">
        <f>AY554</f>
        <v/>
      </c>
      <c r="AY554" s="1727" t="n">
        <v>62.69</v>
      </c>
      <c r="AZ554" s="1728">
        <f>AY554</f>
        <v/>
      </c>
      <c r="BA554" s="1728">
        <f>AY554</f>
        <v/>
      </c>
      <c r="BB554" s="1728">
        <f>AY554</f>
        <v/>
      </c>
      <c r="BC554" s="1728">
        <f>BD554</f>
        <v/>
      </c>
      <c r="BD554" s="1727" t="n">
        <v>80.34999999999999</v>
      </c>
      <c r="BE554" s="1728">
        <f>BD554</f>
        <v/>
      </c>
      <c r="BF554" s="1728">
        <f>BD554</f>
        <v/>
      </c>
      <c r="BG554" s="1728">
        <f>BD554</f>
        <v/>
      </c>
      <c r="BH554" s="1728">
        <f>BI554</f>
        <v/>
      </c>
      <c r="BI554" s="1727" t="n">
        <v>107.93</v>
      </c>
      <c r="BJ554" s="1728">
        <f>BI554</f>
        <v/>
      </c>
      <c r="BK554" s="1728">
        <f>BI554</f>
        <v/>
      </c>
      <c r="BL554" s="1728">
        <f>BI554</f>
        <v/>
      </c>
      <c r="BM554" s="1728">
        <f>BN554</f>
        <v/>
      </c>
      <c r="BN554" s="1727" t="n">
        <v>171.08</v>
      </c>
      <c r="BO554" s="1728">
        <f>BN554</f>
        <v/>
      </c>
      <c r="BP554" s="1728">
        <f>BN554</f>
        <v/>
      </c>
      <c r="BQ554" s="1730">
        <f>BN554</f>
        <v/>
      </c>
      <c r="BR554" s="1728" t="n"/>
      <c r="BS554" s="1729" t="n"/>
      <c r="BT554" s="1728" t="n"/>
      <c r="BU554" s="1728" t="n"/>
      <c r="BV554" s="1728" t="n"/>
      <c r="BW554" s="1728" t="n"/>
      <c r="BX554" s="1729" t="n"/>
      <c r="BY554" s="1729" t="n"/>
      <c r="BZ554" s="1729" t="n"/>
      <c r="CA554" s="1729" t="n"/>
      <c r="CB554" s="1714" t="n"/>
    </row>
    <row r="555" hidden="1" outlineLevel="3" ht="14.4" customFormat="1" customHeight="1" s="1597">
      <c r="A555" s="1361" t="n"/>
      <c r="B555" s="1512" t="n"/>
      <c r="C555" s="1379" t="n"/>
      <c r="D555" s="1379" t="n"/>
      <c r="E555" s="1379" t="n"/>
      <c r="F555" s="1379" t="n"/>
      <c r="G555" s="1361" t="n"/>
      <c r="H555" s="1361" t="n"/>
      <c r="I555" s="1361" t="n"/>
      <c r="J555" s="1361" t="n"/>
      <c r="K555" s="1379" t="n"/>
      <c r="L555" s="1361" t="n"/>
      <c r="M555" s="1361" t="n"/>
      <c r="N555" s="1361" t="n"/>
      <c r="O555" s="1361" t="n"/>
      <c r="P555" s="1379" t="n"/>
      <c r="Q555" s="1361" t="n"/>
      <c r="R555" s="1361" t="n"/>
      <c r="S555" s="1361" t="n"/>
      <c r="T555" s="1361" t="n"/>
      <c r="U555" s="1379" t="n"/>
      <c r="V555" s="1361" t="n"/>
      <c r="W555" s="1361" t="n"/>
      <c r="X555" s="1361" t="n"/>
      <c r="Y555" s="1361" t="n"/>
      <c r="Z555" s="1379" t="n"/>
      <c r="AA555" s="1361" t="n"/>
      <c r="AB555" s="1361" t="n"/>
      <c r="AC555" s="1361" t="n"/>
      <c r="AD555" s="1361" t="n"/>
      <c r="AE555" s="1379" t="n"/>
      <c r="AF555" s="1361" t="n"/>
      <c r="AG555" s="1361" t="n"/>
      <c r="AH555" s="1361" t="n"/>
      <c r="AI555" s="1361" t="n"/>
      <c r="AJ555" s="1379" t="n"/>
      <c r="AK555" s="1361" t="n"/>
      <c r="AL555" s="1361" t="n"/>
      <c r="AM555" s="1361" t="n"/>
      <c r="AN555" s="1361" t="n"/>
      <c r="AO555" s="1379" t="n"/>
      <c r="AP555" s="1361" t="n"/>
      <c r="AQ555" s="1361" t="n"/>
      <c r="AR555" s="1361" t="n"/>
      <c r="AS555" s="1361" t="n"/>
      <c r="AT555" s="1379" t="n"/>
      <c r="AU555" s="1361" t="n"/>
      <c r="AV555" s="1361" t="n"/>
      <c r="AW555" s="1361" t="n"/>
      <c r="AX555" s="1361" t="n"/>
      <c r="AY555" s="1379" t="n"/>
      <c r="AZ555" s="1361" t="n"/>
      <c r="BA555" s="1361" t="n"/>
      <c r="BB555" s="1361" t="n"/>
      <c r="BC555" s="1361" t="n"/>
      <c r="BD555" s="1379" t="n"/>
      <c r="BE555" s="1361" t="n"/>
      <c r="BF555" s="1361" t="n"/>
      <c r="BG555" s="1361" t="n"/>
      <c r="BH555" s="1361" t="n"/>
      <c r="BI555" s="1379" t="n"/>
      <c r="BJ555" s="1361" t="n"/>
      <c r="BK555" s="1361" t="n"/>
      <c r="BL555" s="1361" t="n"/>
      <c r="BM555" s="1361" t="n"/>
      <c r="BN555" s="1379" t="n"/>
      <c r="BO555" s="1361" t="n"/>
      <c r="BP555" s="1361" t="n"/>
      <c r="BQ555" s="1363" t="n"/>
      <c r="BR555" s="1361" t="n"/>
      <c r="BS555" s="1379" t="n"/>
      <c r="BT555" s="1361" t="n"/>
      <c r="BU555" s="1361" t="n"/>
      <c r="BV555" s="1361" t="n"/>
      <c r="BW555" s="1361" t="n"/>
      <c r="BX555" s="1379" t="n"/>
      <c r="BY555" s="1379" t="n"/>
      <c r="BZ555" s="1379" t="n"/>
      <c r="CA555" s="1379" t="n"/>
      <c r="CB555" s="1361" t="n"/>
    </row>
    <row r="556" hidden="1" outlineLevel="3" ht="14.4" customFormat="1" customHeight="1" s="1597">
      <c r="A556" s="1474" t="inlineStr">
        <is>
          <t>BoP Total Stock Options Outstanding excl. granted &amp; acquisition, mm of options</t>
        </is>
      </c>
      <c r="B556" s="1512" t="n"/>
      <c r="C556" s="1379">
        <f>C542</f>
        <v/>
      </c>
      <c r="D556" s="1379">
        <f>D542</f>
        <v/>
      </c>
      <c r="E556" s="1379">
        <f>E542</f>
        <v/>
      </c>
      <c r="F556" s="1379">
        <f>F542</f>
        <v/>
      </c>
      <c r="G556" s="1361" t="n"/>
      <c r="H556" s="1361" t="n"/>
      <c r="I556" s="1361" t="n"/>
      <c r="J556" s="1361" t="n"/>
      <c r="K556" s="1379">
        <f>K542</f>
        <v/>
      </c>
      <c r="L556" s="1361" t="n"/>
      <c r="M556" s="1361" t="n"/>
      <c r="N556" s="1361" t="n"/>
      <c r="O556" s="1361" t="n"/>
      <c r="P556" s="1379">
        <f>P542</f>
        <v/>
      </c>
      <c r="Q556" s="1361" t="n"/>
      <c r="R556" s="1361" t="n"/>
      <c r="S556" s="1361" t="n"/>
      <c r="T556" s="1361" t="n"/>
      <c r="U556" s="1379">
        <f>U542</f>
        <v/>
      </c>
      <c r="V556" s="1361" t="n"/>
      <c r="W556" s="1361" t="n"/>
      <c r="X556" s="1361" t="n"/>
      <c r="Y556" s="1361" t="n"/>
      <c r="Z556" s="1379">
        <f>Z542</f>
        <v/>
      </c>
      <c r="AA556" s="1361" t="n"/>
      <c r="AB556" s="1361" t="n"/>
      <c r="AC556" s="1361" t="n"/>
      <c r="AD556" s="1361" t="n"/>
      <c r="AE556" s="1379">
        <f>AE542</f>
        <v/>
      </c>
      <c r="AF556" s="1361" t="n"/>
      <c r="AG556" s="1361" t="n"/>
      <c r="AH556" s="1361" t="n"/>
      <c r="AI556" s="1361" t="n"/>
      <c r="AJ556" s="1379">
        <f>AJ542</f>
        <v/>
      </c>
      <c r="AK556" s="1361" t="n"/>
      <c r="AL556" s="1361" t="n"/>
      <c r="AM556" s="1361" t="n"/>
      <c r="AN556" s="1361" t="n"/>
      <c r="AO556" s="1379">
        <f>AO542</f>
        <v/>
      </c>
      <c r="AP556" s="1361" t="n"/>
      <c r="AQ556" s="1361" t="n"/>
      <c r="AR556" s="1361" t="n"/>
      <c r="AS556" s="1361" t="n"/>
      <c r="AT556" s="1379">
        <f>AT542</f>
        <v/>
      </c>
      <c r="AU556" s="1361" t="n"/>
      <c r="AV556" s="1361" t="n"/>
      <c r="AW556" s="1361" t="n"/>
      <c r="AX556" s="1361" t="n"/>
      <c r="AY556" s="1379">
        <f>AY542</f>
        <v/>
      </c>
      <c r="AZ556" s="1361" t="n"/>
      <c r="BA556" s="1361" t="n"/>
      <c r="BB556" s="1361" t="n"/>
      <c r="BC556" s="1361" t="n"/>
      <c r="BD556" s="1379">
        <f>BD542</f>
        <v/>
      </c>
      <c r="BE556" s="1361" t="n"/>
      <c r="BF556" s="1361" t="n"/>
      <c r="BG556" s="1361" t="n"/>
      <c r="BH556" s="1361" t="n"/>
      <c r="BI556" s="1379">
        <f>BI542</f>
        <v/>
      </c>
      <c r="BJ556" s="1361" t="n"/>
      <c r="BK556" s="1361" t="n"/>
      <c r="BL556" s="1361" t="n"/>
      <c r="BM556" s="1361" t="n"/>
      <c r="BN556" s="1379">
        <f>BN542</f>
        <v/>
      </c>
      <c r="BO556" s="1361" t="n"/>
      <c r="BP556" s="1361" t="n"/>
      <c r="BQ556" s="1363" t="n"/>
      <c r="BR556" s="1361" t="n"/>
      <c r="BS556" s="1379" t="n"/>
      <c r="BT556" s="1361" t="n"/>
      <c r="BU556" s="1361" t="n"/>
      <c r="BV556" s="1361" t="n"/>
      <c r="BW556" s="1361" t="n"/>
      <c r="BX556" s="1379" t="n"/>
      <c r="BY556" s="1379" t="n"/>
      <c r="BZ556" s="1379" t="n"/>
      <c r="CA556" s="1379" t="n"/>
      <c r="CB556" s="1361" t="n"/>
    </row>
    <row r="557" hidden="1" outlineLevel="3" ht="14.4" customFormat="1" customHeight="1" s="1597">
      <c r="A557" s="1508" t="inlineStr">
        <is>
          <t>Exercised Stock Options, mm options</t>
        </is>
      </c>
      <c r="B557" s="1512" t="n"/>
      <c r="C557" s="1379">
        <f>C545</f>
        <v/>
      </c>
      <c r="D557" s="1379">
        <f>D545</f>
        <v/>
      </c>
      <c r="E557" s="1379">
        <f>E545</f>
        <v/>
      </c>
      <c r="F557" s="1379">
        <f>F545</f>
        <v/>
      </c>
      <c r="G557" s="1361" t="n"/>
      <c r="H557" s="1361" t="n"/>
      <c r="I557" s="1361" t="n"/>
      <c r="J557" s="1361" t="n"/>
      <c r="K557" s="1379">
        <f>K545</f>
        <v/>
      </c>
      <c r="L557" s="1361" t="n"/>
      <c r="M557" s="1361" t="n"/>
      <c r="N557" s="1361" t="n"/>
      <c r="O557" s="1361" t="n"/>
      <c r="P557" s="1379">
        <f>P545</f>
        <v/>
      </c>
      <c r="Q557" s="1361" t="n"/>
      <c r="R557" s="1361" t="n"/>
      <c r="S557" s="1361" t="n"/>
      <c r="T557" s="1361" t="n"/>
      <c r="U557" s="1379">
        <f>U545</f>
        <v/>
      </c>
      <c r="V557" s="1361" t="n"/>
      <c r="W557" s="1361" t="n"/>
      <c r="X557" s="1361" t="n"/>
      <c r="Y557" s="1361" t="n"/>
      <c r="Z557" s="1379">
        <f>Z545</f>
        <v/>
      </c>
      <c r="AA557" s="1361" t="n"/>
      <c r="AB557" s="1361" t="n"/>
      <c r="AC557" s="1361" t="n"/>
      <c r="AD557" s="1361" t="n"/>
      <c r="AE557" s="1379">
        <f>AE545</f>
        <v/>
      </c>
      <c r="AF557" s="1361" t="n"/>
      <c r="AG557" s="1361" t="n"/>
      <c r="AH557" s="1361" t="n"/>
      <c r="AI557" s="1361" t="n"/>
      <c r="AJ557" s="1379">
        <f>AJ545</f>
        <v/>
      </c>
      <c r="AK557" s="1361" t="n"/>
      <c r="AL557" s="1361" t="n"/>
      <c r="AM557" s="1361" t="n"/>
      <c r="AN557" s="1361" t="n"/>
      <c r="AO557" s="1379">
        <f>AO545</f>
        <v/>
      </c>
      <c r="AP557" s="1361" t="n"/>
      <c r="AQ557" s="1361" t="n"/>
      <c r="AR557" s="1361" t="n"/>
      <c r="AS557" s="1361" t="n"/>
      <c r="AT557" s="1379">
        <f>AT545</f>
        <v/>
      </c>
      <c r="AU557" s="1361" t="n"/>
      <c r="AV557" s="1361" t="n"/>
      <c r="AW557" s="1361" t="n"/>
      <c r="AX557" s="1361" t="n"/>
      <c r="AY557" s="1379">
        <f>AY545</f>
        <v/>
      </c>
      <c r="AZ557" s="1361" t="n"/>
      <c r="BA557" s="1361" t="n"/>
      <c r="BB557" s="1361" t="n"/>
      <c r="BC557" s="1361" t="n"/>
      <c r="BD557" s="1379">
        <f>BD545</f>
        <v/>
      </c>
      <c r="BE557" s="1361" t="n"/>
      <c r="BF557" s="1361" t="n"/>
      <c r="BG557" s="1361" t="n"/>
      <c r="BH557" s="1361" t="n"/>
      <c r="BI557" s="1379">
        <f>BI545</f>
        <v/>
      </c>
      <c r="BJ557" s="1361" t="n"/>
      <c r="BK557" s="1361" t="n"/>
      <c r="BL557" s="1361" t="n"/>
      <c r="BM557" s="1361" t="n"/>
      <c r="BN557" s="1379">
        <f>BN545</f>
        <v/>
      </c>
      <c r="BO557" s="1361" t="n"/>
      <c r="BP557" s="1361" t="n"/>
      <c r="BQ557" s="1363" t="n"/>
      <c r="BR557" s="1361" t="n"/>
      <c r="BS557" s="1379" t="n"/>
      <c r="BT557" s="1361" t="n"/>
      <c r="BU557" s="1361" t="n"/>
      <c r="BV557" s="1361" t="n"/>
      <c r="BW557" s="1361" t="n"/>
      <c r="BX557" s="1379" t="n"/>
      <c r="BY557" s="1379" t="n"/>
      <c r="BZ557" s="1379" t="n"/>
      <c r="CA557" s="1379" t="n"/>
      <c r="CB557" s="1361" t="n"/>
    </row>
    <row r="558" hidden="1" outlineLevel="3" ht="14.4" customFormat="1" customHeight="1" s="1597">
      <c r="A558" s="1508" t="inlineStr">
        <is>
          <t>Forfeited and Canceled Stock Options, mm options</t>
        </is>
      </c>
      <c r="B558" s="1512" t="n"/>
      <c r="C558" s="1379">
        <f>C546</f>
        <v/>
      </c>
      <c r="D558" s="1379">
        <f>D546</f>
        <v/>
      </c>
      <c r="E558" s="1379">
        <f>E546</f>
        <v/>
      </c>
      <c r="F558" s="1379">
        <f>F546</f>
        <v/>
      </c>
      <c r="G558" s="1361" t="n"/>
      <c r="H558" s="1361" t="n"/>
      <c r="I558" s="1361" t="n"/>
      <c r="J558" s="1361" t="n"/>
      <c r="K558" s="1379">
        <f>K546</f>
        <v/>
      </c>
      <c r="L558" s="1361" t="n"/>
      <c r="M558" s="1361" t="n"/>
      <c r="N558" s="1361" t="n"/>
      <c r="O558" s="1361" t="n"/>
      <c r="P558" s="1379">
        <f>P546</f>
        <v/>
      </c>
      <c r="Q558" s="1361" t="n"/>
      <c r="R558" s="1361" t="n"/>
      <c r="S558" s="1361" t="n"/>
      <c r="T558" s="1361" t="n"/>
      <c r="U558" s="1379">
        <f>U546</f>
        <v/>
      </c>
      <c r="V558" s="1361" t="n"/>
      <c r="W558" s="1361" t="n"/>
      <c r="X558" s="1361" t="n"/>
      <c r="Y558" s="1361" t="n"/>
      <c r="Z558" s="1379">
        <f>Z546</f>
        <v/>
      </c>
      <c r="AA558" s="1361" t="n"/>
      <c r="AB558" s="1361" t="n"/>
      <c r="AC558" s="1361" t="n"/>
      <c r="AD558" s="1361" t="n"/>
      <c r="AE558" s="1379">
        <f>AE546</f>
        <v/>
      </c>
      <c r="AF558" s="1361" t="n"/>
      <c r="AG558" s="1361" t="n"/>
      <c r="AH558" s="1361" t="n"/>
      <c r="AI558" s="1361" t="n"/>
      <c r="AJ558" s="1379">
        <f>AJ546</f>
        <v/>
      </c>
      <c r="AK558" s="1361" t="n"/>
      <c r="AL558" s="1361" t="n"/>
      <c r="AM558" s="1361" t="n"/>
      <c r="AN558" s="1361" t="n"/>
      <c r="AO558" s="1379">
        <f>AO546</f>
        <v/>
      </c>
      <c r="AP558" s="1361" t="n"/>
      <c r="AQ558" s="1361" t="n"/>
      <c r="AR558" s="1361" t="n"/>
      <c r="AS558" s="1361" t="n"/>
      <c r="AT558" s="1379">
        <f>AT546</f>
        <v/>
      </c>
      <c r="AU558" s="1361" t="n"/>
      <c r="AV558" s="1361" t="n"/>
      <c r="AW558" s="1361" t="n"/>
      <c r="AX558" s="1361" t="n"/>
      <c r="AY558" s="1379">
        <f>AY546</f>
        <v/>
      </c>
      <c r="AZ558" s="1361" t="n"/>
      <c r="BA558" s="1361" t="n"/>
      <c r="BB558" s="1361" t="n"/>
      <c r="BC558" s="1361" t="n"/>
      <c r="BD558" s="1379">
        <f>BD546</f>
        <v/>
      </c>
      <c r="BE558" s="1361" t="n"/>
      <c r="BF558" s="1361" t="n"/>
      <c r="BG558" s="1361" t="n"/>
      <c r="BH558" s="1361" t="n"/>
      <c r="BI558" s="1379">
        <f>BI546</f>
        <v/>
      </c>
      <c r="BJ558" s="1361" t="n"/>
      <c r="BK558" s="1361" t="n"/>
      <c r="BL558" s="1361" t="n"/>
      <c r="BM558" s="1361" t="n"/>
      <c r="BN558" s="1379">
        <f>BN546</f>
        <v/>
      </c>
      <c r="BO558" s="1361" t="n"/>
      <c r="BP558" s="1361" t="n"/>
      <c r="BQ558" s="1363" t="n"/>
      <c r="BR558" s="1361" t="n"/>
      <c r="BS558" s="1379" t="n"/>
      <c r="BT558" s="1361" t="n"/>
      <c r="BU558" s="1361" t="n"/>
      <c r="BV558" s="1361" t="n"/>
      <c r="BW558" s="1361" t="n"/>
      <c r="BX558" s="1379" t="n"/>
      <c r="BY558" s="1379" t="n"/>
      <c r="BZ558" s="1379" t="n"/>
      <c r="CA558" s="1379" t="n"/>
      <c r="CB558" s="1361" t="n"/>
    </row>
    <row r="559" hidden="1" outlineLevel="3" ht="14.4" customFormat="1" customHeight="1" s="1597">
      <c r="A559" s="1732" t="inlineStr">
        <is>
          <t>EoP Total Stock Options Outstanding excl. granted &amp; acquisition, mm of options</t>
        </is>
      </c>
      <c r="B559" s="1694" t="n"/>
      <c r="C559" s="1698">
        <f>SUM(C556:C558)</f>
        <v/>
      </c>
      <c r="D559" s="1698">
        <f>SUM(D556:D558)</f>
        <v/>
      </c>
      <c r="E559" s="1698">
        <f>SUM(E556:E558)</f>
        <v/>
      </c>
      <c r="F559" s="1698">
        <f>SUM(F556:F558)</f>
        <v/>
      </c>
      <c r="G559" s="1693" t="n"/>
      <c r="H559" s="1693" t="n"/>
      <c r="I559" s="1693" t="n"/>
      <c r="J559" s="1693" t="n"/>
      <c r="K559" s="1698">
        <f>SUM(K556:K558)</f>
        <v/>
      </c>
      <c r="L559" s="1693" t="n"/>
      <c r="M559" s="1693" t="n"/>
      <c r="N559" s="1693" t="n"/>
      <c r="O559" s="1693" t="n"/>
      <c r="P559" s="1698">
        <f>SUM(P556:P558)</f>
        <v/>
      </c>
      <c r="Q559" s="1693" t="n"/>
      <c r="R559" s="1693" t="n"/>
      <c r="S559" s="1693" t="n"/>
      <c r="T559" s="1693" t="n"/>
      <c r="U559" s="1698">
        <f>SUM(U556:U558)</f>
        <v/>
      </c>
      <c r="V559" s="1693" t="n"/>
      <c r="W559" s="1693" t="n"/>
      <c r="X559" s="1693" t="n"/>
      <c r="Y559" s="1693" t="n"/>
      <c r="Z559" s="1698">
        <f>SUM(Z556:Z558)</f>
        <v/>
      </c>
      <c r="AA559" s="1693" t="n"/>
      <c r="AB559" s="1693" t="n"/>
      <c r="AC559" s="1693" t="n"/>
      <c r="AD559" s="1693" t="n"/>
      <c r="AE559" s="1698">
        <f>SUM(AE556:AE558)</f>
        <v/>
      </c>
      <c r="AF559" s="1693" t="n"/>
      <c r="AG559" s="1693" t="n"/>
      <c r="AH559" s="1693" t="n"/>
      <c r="AI559" s="1693" t="n"/>
      <c r="AJ559" s="1698">
        <f>SUM(AJ556:AJ558)</f>
        <v/>
      </c>
      <c r="AK559" s="1693" t="n"/>
      <c r="AL559" s="1693" t="n"/>
      <c r="AM559" s="1693" t="n"/>
      <c r="AN559" s="1693" t="n"/>
      <c r="AO559" s="1698">
        <f>SUM(AO556:AO558)</f>
        <v/>
      </c>
      <c r="AP559" s="1693" t="n"/>
      <c r="AQ559" s="1693" t="n"/>
      <c r="AR559" s="1693" t="n"/>
      <c r="AS559" s="1693" t="n"/>
      <c r="AT559" s="1698">
        <f>SUM(AT556:AT558)</f>
        <v/>
      </c>
      <c r="AU559" s="1693" t="n"/>
      <c r="AV559" s="1693" t="n"/>
      <c r="AW559" s="1693" t="n"/>
      <c r="AX559" s="1693" t="n"/>
      <c r="AY559" s="1698">
        <f>SUM(AY556:AY558)</f>
        <v/>
      </c>
      <c r="AZ559" s="1693" t="n"/>
      <c r="BA559" s="1693" t="n"/>
      <c r="BB559" s="1693" t="n"/>
      <c r="BC559" s="1693" t="n"/>
      <c r="BD559" s="1698">
        <f>SUM(BD556:BD558)</f>
        <v/>
      </c>
      <c r="BE559" s="1693" t="n"/>
      <c r="BF559" s="1693" t="n"/>
      <c r="BG559" s="1693" t="n"/>
      <c r="BH559" s="1693" t="n"/>
      <c r="BI559" s="1698">
        <f>SUM(BI556:BI558)</f>
        <v/>
      </c>
      <c r="BJ559" s="1693" t="n"/>
      <c r="BK559" s="1693" t="n"/>
      <c r="BL559" s="1693" t="n"/>
      <c r="BM559" s="1693" t="n"/>
      <c r="BN559" s="1698">
        <f>SUM(BN556:BN558)</f>
        <v/>
      </c>
      <c r="BO559" s="1693" t="n"/>
      <c r="BP559" s="1693" t="n"/>
      <c r="BQ559" s="1733" t="n"/>
      <c r="BR559" s="1693" t="n"/>
      <c r="BS559" s="1698" t="n"/>
      <c r="BT559" s="1693" t="n"/>
      <c r="BU559" s="1693" t="n"/>
      <c r="BV559" s="1693" t="n"/>
      <c r="BW559" s="1693" t="n"/>
      <c r="BX559" s="1698" t="n"/>
      <c r="BY559" s="1698" t="n"/>
      <c r="BZ559" s="1698" t="n"/>
      <c r="CA559" s="1698" t="n"/>
      <c r="CB559" s="1361" t="n"/>
    </row>
    <row r="560" hidden="1" outlineLevel="3" ht="14.4" customFormat="1" customHeight="1" s="1597">
      <c r="A560" s="1361" t="n"/>
      <c r="B560" s="1512" t="n"/>
      <c r="C560" s="1379" t="n"/>
      <c r="D560" s="1379" t="n"/>
      <c r="E560" s="1379" t="n"/>
      <c r="F560" s="1379" t="n"/>
      <c r="G560" s="1361" t="n"/>
      <c r="H560" s="1361" t="n"/>
      <c r="I560" s="1361" t="n"/>
      <c r="J560" s="1361" t="n"/>
      <c r="K560" s="1379" t="n"/>
      <c r="L560" s="1361" t="n"/>
      <c r="M560" s="1361" t="n"/>
      <c r="N560" s="1361" t="n"/>
      <c r="O560" s="1361" t="n"/>
      <c r="P560" s="1379" t="n"/>
      <c r="Q560" s="1361" t="n"/>
      <c r="R560" s="1361" t="n"/>
      <c r="S560" s="1361" t="n"/>
      <c r="T560" s="1361" t="n"/>
      <c r="U560" s="1379" t="n"/>
      <c r="V560" s="1361" t="n"/>
      <c r="W560" s="1361" t="n"/>
      <c r="X560" s="1361" t="n"/>
      <c r="Y560" s="1361" t="n"/>
      <c r="Z560" s="1379" t="n"/>
      <c r="AA560" s="1361" t="n"/>
      <c r="AB560" s="1361" t="n"/>
      <c r="AC560" s="1361" t="n"/>
      <c r="AD560" s="1361" t="n"/>
      <c r="AE560" s="1379" t="n"/>
      <c r="AF560" s="1361" t="n"/>
      <c r="AG560" s="1361" t="n"/>
      <c r="AH560" s="1361" t="n"/>
      <c r="AI560" s="1361" t="n"/>
      <c r="AJ560" s="1379" t="n"/>
      <c r="AK560" s="1361" t="n"/>
      <c r="AL560" s="1361" t="n"/>
      <c r="AM560" s="1361" t="n"/>
      <c r="AN560" s="1361" t="n"/>
      <c r="AO560" s="1379" t="n"/>
      <c r="AP560" s="1361" t="n"/>
      <c r="AQ560" s="1361" t="n"/>
      <c r="AR560" s="1361" t="n"/>
      <c r="AS560" s="1361" t="n"/>
      <c r="AT560" s="1379" t="n"/>
      <c r="AU560" s="1361" t="n"/>
      <c r="AV560" s="1361" t="n"/>
      <c r="AW560" s="1361" t="n"/>
      <c r="AX560" s="1361" t="n"/>
      <c r="AY560" s="1379" t="n"/>
      <c r="AZ560" s="1361" t="n"/>
      <c r="BA560" s="1361" t="n"/>
      <c r="BB560" s="1361" t="n"/>
      <c r="BC560" s="1361" t="n"/>
      <c r="BD560" s="1379" t="n"/>
      <c r="BE560" s="1361" t="n"/>
      <c r="BF560" s="1361" t="n"/>
      <c r="BG560" s="1361" t="n"/>
      <c r="BH560" s="1361" t="n"/>
      <c r="BI560" s="1379" t="n"/>
      <c r="BJ560" s="1361" t="n"/>
      <c r="BK560" s="1361" t="n"/>
      <c r="BL560" s="1361" t="n"/>
      <c r="BM560" s="1361" t="n"/>
      <c r="BN560" s="1379" t="n"/>
      <c r="BO560" s="1361" t="n"/>
      <c r="BP560" s="1361" t="n"/>
      <c r="BQ560" s="1363" t="n"/>
      <c r="BR560" s="1361" t="n"/>
      <c r="BS560" s="1379" t="n"/>
      <c r="BT560" s="1361" t="n"/>
      <c r="BU560" s="1361" t="n"/>
      <c r="BV560" s="1361" t="n"/>
      <c r="BW560" s="1361" t="n"/>
      <c r="BX560" s="1379" t="n"/>
      <c r="BY560" s="1379" t="n"/>
      <c r="BZ560" s="1379" t="n"/>
      <c r="CA560" s="1379" t="n"/>
      <c r="CB560" s="1361" t="n"/>
    </row>
    <row r="561" hidden="1" outlineLevel="3" ht="14.4" customFormat="1" customHeight="1" s="1597">
      <c r="A561" s="1474" t="inlineStr">
        <is>
          <t>BoP Weighted Average Exercise Price Per Share excl. granted and acquisition, $/share</t>
        </is>
      </c>
      <c r="B561" s="1512" t="n"/>
      <c r="C561" s="1716">
        <f>C549</f>
        <v/>
      </c>
      <c r="D561" s="1716">
        <f>D549</f>
        <v/>
      </c>
      <c r="E561" s="1716">
        <f>E549</f>
        <v/>
      </c>
      <c r="F561" s="1716">
        <f>F549</f>
        <v/>
      </c>
      <c r="G561" s="1714" t="n"/>
      <c r="H561" s="1714" t="n"/>
      <c r="I561" s="1714" t="n"/>
      <c r="J561" s="1714" t="n"/>
      <c r="K561" s="1716">
        <f>K549</f>
        <v/>
      </c>
      <c r="L561" s="1714" t="n"/>
      <c r="M561" s="1714" t="n"/>
      <c r="N561" s="1714" t="n"/>
      <c r="O561" s="1714" t="n"/>
      <c r="P561" s="1716">
        <f>P549</f>
        <v/>
      </c>
      <c r="Q561" s="1714" t="n"/>
      <c r="R561" s="1714" t="n"/>
      <c r="S561" s="1714" t="n"/>
      <c r="T561" s="1714" t="n"/>
      <c r="U561" s="1716">
        <f>U549</f>
        <v/>
      </c>
      <c r="V561" s="1714" t="n"/>
      <c r="W561" s="1714" t="n"/>
      <c r="X561" s="1714" t="n"/>
      <c r="Y561" s="1714" t="n"/>
      <c r="Z561" s="1716">
        <f>Z549</f>
        <v/>
      </c>
      <c r="AA561" s="1714" t="n"/>
      <c r="AB561" s="1714" t="n"/>
      <c r="AC561" s="1714" t="n"/>
      <c r="AD561" s="1714" t="n"/>
      <c r="AE561" s="1716">
        <f>AE549</f>
        <v/>
      </c>
      <c r="AF561" s="1714" t="n"/>
      <c r="AG561" s="1714" t="n"/>
      <c r="AH561" s="1714" t="n"/>
      <c r="AI561" s="1714" t="n"/>
      <c r="AJ561" s="1716">
        <f>AJ549</f>
        <v/>
      </c>
      <c r="AK561" s="1714" t="n"/>
      <c r="AL561" s="1714" t="n"/>
      <c r="AM561" s="1714" t="n"/>
      <c r="AN561" s="1714" t="n"/>
      <c r="AO561" s="1716">
        <f>AO549</f>
        <v/>
      </c>
      <c r="AP561" s="1714" t="n"/>
      <c r="AQ561" s="1714" t="n"/>
      <c r="AR561" s="1714" t="n"/>
      <c r="AS561" s="1714" t="n"/>
      <c r="AT561" s="1716">
        <f>AT549</f>
        <v/>
      </c>
      <c r="AU561" s="1714" t="n"/>
      <c r="AV561" s="1714" t="n"/>
      <c r="AW561" s="1714" t="n"/>
      <c r="AX561" s="1714" t="n"/>
      <c r="AY561" s="1716">
        <f>AY549</f>
        <v/>
      </c>
      <c r="AZ561" s="1714" t="n"/>
      <c r="BA561" s="1714" t="n"/>
      <c r="BB561" s="1714" t="n"/>
      <c r="BC561" s="1714" t="n"/>
      <c r="BD561" s="1716">
        <f>BD549</f>
        <v/>
      </c>
      <c r="BE561" s="1714" t="n"/>
      <c r="BF561" s="1714" t="n"/>
      <c r="BG561" s="1714" t="n"/>
      <c r="BH561" s="1714" t="n"/>
      <c r="BI561" s="1716">
        <f>BI549</f>
        <v/>
      </c>
      <c r="BJ561" s="1714" t="n"/>
      <c r="BK561" s="1714" t="n"/>
      <c r="BL561" s="1714" t="n"/>
      <c r="BM561" s="1714" t="n"/>
      <c r="BN561" s="1716">
        <f>BN549</f>
        <v/>
      </c>
      <c r="BO561" s="1714" t="n"/>
      <c r="BP561" s="1714" t="n"/>
      <c r="BQ561" s="1717" t="n"/>
      <c r="BR561" s="1714" t="n"/>
      <c r="BS561" s="1716" t="n"/>
      <c r="BT561" s="1714" t="n"/>
      <c r="BU561" s="1714" t="n"/>
      <c r="BV561" s="1714" t="n"/>
      <c r="BW561" s="1714" t="n"/>
      <c r="BX561" s="1716" t="n"/>
      <c r="BY561" s="1716" t="n"/>
      <c r="BZ561" s="1716" t="n"/>
      <c r="CA561" s="1716" t="n"/>
      <c r="CB561" s="1361" t="n"/>
    </row>
    <row r="562" hidden="1" outlineLevel="3" ht="14.4" customFormat="1" customHeight="1" s="1597">
      <c r="A562" s="1508" t="inlineStr">
        <is>
          <t>Exercised Average Exercise Price, $/share</t>
        </is>
      </c>
      <c r="B562" s="1512" t="n"/>
      <c r="C562" s="1716">
        <f>C552</f>
        <v/>
      </c>
      <c r="D562" s="1716">
        <f>D552</f>
        <v/>
      </c>
      <c r="E562" s="1716">
        <f>E552</f>
        <v/>
      </c>
      <c r="F562" s="1716">
        <f>F552</f>
        <v/>
      </c>
      <c r="G562" s="1714" t="n"/>
      <c r="H562" s="1714" t="n"/>
      <c r="I562" s="1714" t="n"/>
      <c r="J562" s="1714" t="n"/>
      <c r="K562" s="1716">
        <f>K552</f>
        <v/>
      </c>
      <c r="L562" s="1714" t="n"/>
      <c r="M562" s="1714" t="n"/>
      <c r="N562" s="1714" t="n"/>
      <c r="O562" s="1714" t="n"/>
      <c r="P562" s="1716">
        <f>P552</f>
        <v/>
      </c>
      <c r="Q562" s="1714" t="n"/>
      <c r="R562" s="1714" t="n"/>
      <c r="S562" s="1714" t="n"/>
      <c r="T562" s="1714" t="n"/>
      <c r="U562" s="1716">
        <f>U552</f>
        <v/>
      </c>
      <c r="V562" s="1714" t="n"/>
      <c r="W562" s="1714" t="n"/>
      <c r="X562" s="1714" t="n"/>
      <c r="Y562" s="1714" t="n"/>
      <c r="Z562" s="1716">
        <f>Z552</f>
        <v/>
      </c>
      <c r="AA562" s="1714" t="n"/>
      <c r="AB562" s="1714" t="n"/>
      <c r="AC562" s="1714" t="n"/>
      <c r="AD562" s="1714" t="n"/>
      <c r="AE562" s="1716">
        <f>AE552</f>
        <v/>
      </c>
      <c r="AF562" s="1714" t="n"/>
      <c r="AG562" s="1714" t="n"/>
      <c r="AH562" s="1714" t="n"/>
      <c r="AI562" s="1714" t="n"/>
      <c r="AJ562" s="1716">
        <f>AJ552</f>
        <v/>
      </c>
      <c r="AK562" s="1714" t="n"/>
      <c r="AL562" s="1714" t="n"/>
      <c r="AM562" s="1714" t="n"/>
      <c r="AN562" s="1714" t="n"/>
      <c r="AO562" s="1716">
        <f>AO552</f>
        <v/>
      </c>
      <c r="AP562" s="1714" t="n"/>
      <c r="AQ562" s="1714" t="n"/>
      <c r="AR562" s="1714" t="n"/>
      <c r="AS562" s="1714" t="n"/>
      <c r="AT562" s="1716">
        <f>AT552</f>
        <v/>
      </c>
      <c r="AU562" s="1714" t="n"/>
      <c r="AV562" s="1714" t="n"/>
      <c r="AW562" s="1714" t="n"/>
      <c r="AX562" s="1714" t="n"/>
      <c r="AY562" s="1716">
        <f>AY552</f>
        <v/>
      </c>
      <c r="AZ562" s="1714" t="n"/>
      <c r="BA562" s="1714" t="n"/>
      <c r="BB562" s="1714" t="n"/>
      <c r="BC562" s="1714" t="n"/>
      <c r="BD562" s="1716">
        <f>BD552</f>
        <v/>
      </c>
      <c r="BE562" s="1714" t="n"/>
      <c r="BF562" s="1714" t="n"/>
      <c r="BG562" s="1714" t="n"/>
      <c r="BH562" s="1714" t="n"/>
      <c r="BI562" s="1716">
        <f>BI552</f>
        <v/>
      </c>
      <c r="BJ562" s="1714" t="n"/>
      <c r="BK562" s="1714" t="n"/>
      <c r="BL562" s="1714" t="n"/>
      <c r="BM562" s="1714" t="n"/>
      <c r="BN562" s="1716">
        <f>BN552</f>
        <v/>
      </c>
      <c r="BO562" s="1714" t="n"/>
      <c r="BP562" s="1714" t="n"/>
      <c r="BQ562" s="1717" t="n"/>
      <c r="BR562" s="1714" t="n"/>
      <c r="BS562" s="1716" t="n"/>
      <c r="BT562" s="1714" t="n"/>
      <c r="BU562" s="1714" t="n"/>
      <c r="BV562" s="1714" t="n"/>
      <c r="BW562" s="1714" t="n"/>
      <c r="BX562" s="1716" t="n"/>
      <c r="BY562" s="1716" t="n"/>
      <c r="BZ562" s="1716" t="n"/>
      <c r="CA562" s="1716" t="n"/>
      <c r="CB562" s="1361" t="n"/>
    </row>
    <row r="563" hidden="1" outlineLevel="3" ht="14.4" customFormat="1" customHeight="1" s="1597">
      <c r="A563" s="1508" t="inlineStr">
        <is>
          <t>Forfeited and Canceled Average Exercise Price, $/share</t>
        </is>
      </c>
      <c r="B563" s="1512" t="n"/>
      <c r="C563" s="1716">
        <f>C553</f>
        <v/>
      </c>
      <c r="D563" s="1716">
        <f>D553</f>
        <v/>
      </c>
      <c r="E563" s="1716">
        <f>E553</f>
        <v/>
      </c>
      <c r="F563" s="1716">
        <f>F553</f>
        <v/>
      </c>
      <c r="G563" s="1714" t="n"/>
      <c r="H563" s="1714" t="n"/>
      <c r="I563" s="1714" t="n"/>
      <c r="J563" s="1714" t="n"/>
      <c r="K563" s="1716">
        <f>K553</f>
        <v/>
      </c>
      <c r="L563" s="1714" t="n"/>
      <c r="M563" s="1714" t="n"/>
      <c r="N563" s="1714" t="n"/>
      <c r="O563" s="1714" t="n"/>
      <c r="P563" s="1716">
        <f>P553</f>
        <v/>
      </c>
      <c r="Q563" s="1714" t="n"/>
      <c r="R563" s="1714" t="n"/>
      <c r="S563" s="1714" t="n"/>
      <c r="T563" s="1714" t="n"/>
      <c r="U563" s="1716">
        <f>U553</f>
        <v/>
      </c>
      <c r="V563" s="1714" t="n"/>
      <c r="W563" s="1714" t="n"/>
      <c r="X563" s="1714" t="n"/>
      <c r="Y563" s="1714" t="n"/>
      <c r="Z563" s="1716">
        <f>Z553</f>
        <v/>
      </c>
      <c r="AA563" s="1714" t="n"/>
      <c r="AB563" s="1714" t="n"/>
      <c r="AC563" s="1714" t="n"/>
      <c r="AD563" s="1714" t="n"/>
      <c r="AE563" s="1716">
        <f>AE553</f>
        <v/>
      </c>
      <c r="AF563" s="1714" t="n"/>
      <c r="AG563" s="1714" t="n"/>
      <c r="AH563" s="1714" t="n"/>
      <c r="AI563" s="1714" t="n"/>
      <c r="AJ563" s="1716">
        <f>AJ553</f>
        <v/>
      </c>
      <c r="AK563" s="1714" t="n"/>
      <c r="AL563" s="1714" t="n"/>
      <c r="AM563" s="1714" t="n"/>
      <c r="AN563" s="1714" t="n"/>
      <c r="AO563" s="1716">
        <f>AO553</f>
        <v/>
      </c>
      <c r="AP563" s="1714" t="n"/>
      <c r="AQ563" s="1714" t="n"/>
      <c r="AR563" s="1714" t="n"/>
      <c r="AS563" s="1714" t="n"/>
      <c r="AT563" s="1716">
        <f>AT553</f>
        <v/>
      </c>
      <c r="AU563" s="1714" t="n"/>
      <c r="AV563" s="1714" t="n"/>
      <c r="AW563" s="1714" t="n"/>
      <c r="AX563" s="1714" t="n"/>
      <c r="AY563" s="1716">
        <f>AY553</f>
        <v/>
      </c>
      <c r="AZ563" s="1714" t="n"/>
      <c r="BA563" s="1714" t="n"/>
      <c r="BB563" s="1714" t="n"/>
      <c r="BC563" s="1714" t="n"/>
      <c r="BD563" s="1716">
        <f>BD553</f>
        <v/>
      </c>
      <c r="BE563" s="1714" t="n"/>
      <c r="BF563" s="1714" t="n"/>
      <c r="BG563" s="1714" t="n"/>
      <c r="BH563" s="1714" t="n"/>
      <c r="BI563" s="1716">
        <f>BI553</f>
        <v/>
      </c>
      <c r="BJ563" s="1714" t="n"/>
      <c r="BK563" s="1714" t="n"/>
      <c r="BL563" s="1714" t="n"/>
      <c r="BM563" s="1714" t="n"/>
      <c r="BN563" s="1716">
        <f>BN553</f>
        <v/>
      </c>
      <c r="BO563" s="1714" t="n"/>
      <c r="BP563" s="1714" t="n"/>
      <c r="BQ563" s="1717" t="n"/>
      <c r="BR563" s="1714" t="n"/>
      <c r="BS563" s="1716" t="n"/>
      <c r="BT563" s="1714" t="n"/>
      <c r="BU563" s="1714" t="n"/>
      <c r="BV563" s="1714" t="n"/>
      <c r="BW563" s="1714" t="n"/>
      <c r="BX563" s="1716" t="n"/>
      <c r="BY563" s="1716" t="n"/>
      <c r="BZ563" s="1716" t="n"/>
      <c r="CA563" s="1716" t="n"/>
      <c r="CB563" s="1361" t="n"/>
    </row>
    <row r="564" hidden="1" outlineLevel="3" ht="14.4" customFormat="1" customHeight="1" s="1597">
      <c r="A564" s="1732" t="inlineStr">
        <is>
          <t>EoP Weighted Average Exercise Price Per Share excl. granted and acquisition, $/share</t>
        </is>
      </c>
      <c r="B564" s="1694" t="n"/>
      <c r="C564" s="1734">
        <f>(C561*C556+C562*C557+C563*C558)/C559</f>
        <v/>
      </c>
      <c r="D564" s="1734">
        <f>(D561*D556+D562*D557+D563*D558)/D559</f>
        <v/>
      </c>
      <c r="E564" s="1734">
        <f>(E561*E556+E562*E557+E563*E558)/E559</f>
        <v/>
      </c>
      <c r="F564" s="1734">
        <f>(F561*F556+F562*F557+F563*F558)/F559</f>
        <v/>
      </c>
      <c r="G564" s="1735" t="n"/>
      <c r="H564" s="1735" t="n"/>
      <c r="I564" s="1735" t="n"/>
      <c r="J564" s="1735" t="n"/>
      <c r="K564" s="1734">
        <f>(K561*K556+K562*K557+K563*K558)/K559</f>
        <v/>
      </c>
      <c r="L564" s="1735" t="n"/>
      <c r="M564" s="1735" t="n"/>
      <c r="N564" s="1735" t="n"/>
      <c r="O564" s="1735" t="n"/>
      <c r="P564" s="1734">
        <f>(P561*P556+P562*P557+P563*P558)/P559</f>
        <v/>
      </c>
      <c r="Q564" s="1735" t="n"/>
      <c r="R564" s="1735" t="n"/>
      <c r="S564" s="1735" t="n"/>
      <c r="T564" s="1735" t="n"/>
      <c r="U564" s="1734">
        <f>(U561*U556+U562*U557+U563*U558)/U559</f>
        <v/>
      </c>
      <c r="V564" s="1735" t="n"/>
      <c r="W564" s="1735" t="n"/>
      <c r="X564" s="1735" t="n"/>
      <c r="Y564" s="1735" t="n"/>
      <c r="Z564" s="1734">
        <f>(Z561*Z556+Z562*Z557+Z563*Z558)/Z559</f>
        <v/>
      </c>
      <c r="AA564" s="1735" t="n"/>
      <c r="AB564" s="1735" t="n"/>
      <c r="AC564" s="1735" t="n"/>
      <c r="AD564" s="1735" t="n"/>
      <c r="AE564" s="1734">
        <f>(AE561*AE556+AE562*AE557+AE563*AE558)/AE559</f>
        <v/>
      </c>
      <c r="AF564" s="1735" t="n"/>
      <c r="AG564" s="1735" t="n"/>
      <c r="AH564" s="1735" t="n"/>
      <c r="AI564" s="1735" t="n"/>
      <c r="AJ564" s="1734">
        <f>(AJ561*AJ556+AJ562*AJ557+AJ563*AJ558)/AJ559</f>
        <v/>
      </c>
      <c r="AK564" s="1735" t="n"/>
      <c r="AL564" s="1735" t="n"/>
      <c r="AM564" s="1735" t="n"/>
      <c r="AN564" s="1735" t="n"/>
      <c r="AO564" s="1734">
        <f>(AO561*AO556+AO562*AO557+AO563*AO558)/AO559</f>
        <v/>
      </c>
      <c r="AP564" s="1735" t="n"/>
      <c r="AQ564" s="1735" t="n"/>
      <c r="AR564" s="1735" t="n"/>
      <c r="AS564" s="1735" t="n"/>
      <c r="AT564" s="1734">
        <f>(AT561*AT556+AT562*AT557+AT563*AT558)/AT559</f>
        <v/>
      </c>
      <c r="AU564" s="1735" t="n"/>
      <c r="AV564" s="1735" t="n"/>
      <c r="AW564" s="1735" t="n"/>
      <c r="AX564" s="1735" t="n"/>
      <c r="AY564" s="1734">
        <f>(AY561*AY556+AY562*AY557+AY563*AY558)/AY559</f>
        <v/>
      </c>
      <c r="AZ564" s="1735" t="n"/>
      <c r="BA564" s="1735" t="n"/>
      <c r="BB564" s="1735" t="n"/>
      <c r="BC564" s="1735" t="n"/>
      <c r="BD564" s="1734">
        <f>(BD561*BD556+BD562*BD557+BD563*BD558)/BD559</f>
        <v/>
      </c>
      <c r="BE564" s="1735" t="n"/>
      <c r="BF564" s="1735" t="n"/>
      <c r="BG564" s="1735" t="n"/>
      <c r="BH564" s="1735" t="n"/>
      <c r="BI564" s="1734">
        <f>(BI561*BI556+BI562*BI557+BI563*BI558)/BI559</f>
        <v/>
      </c>
      <c r="BJ564" s="1735" t="n"/>
      <c r="BK564" s="1735" t="n"/>
      <c r="BL564" s="1735" t="n"/>
      <c r="BM564" s="1735" t="n"/>
      <c r="BN564" s="1734">
        <f>(BN561*BN556+BN562*BN557+BN563*BN558)/BN559</f>
        <v/>
      </c>
      <c r="BO564" s="1735" t="n"/>
      <c r="BP564" s="1735" t="n"/>
      <c r="BQ564" s="1736" t="n"/>
      <c r="BR564" s="1735" t="n"/>
      <c r="BS564" s="1734" t="n"/>
      <c r="BT564" s="1735" t="n"/>
      <c r="BU564" s="1735" t="n"/>
      <c r="BV564" s="1735" t="n"/>
      <c r="BW564" s="1735" t="n"/>
      <c r="BX564" s="1734" t="n"/>
      <c r="BY564" s="1734" t="n"/>
      <c r="BZ564" s="1734" t="n"/>
      <c r="CA564" s="1734" t="n"/>
      <c r="CB564" s="1361" t="n"/>
    </row>
    <row r="565" hidden="1" outlineLevel="3" ht="14.4" customFormat="1" customHeight="1" s="1597">
      <c r="A565" s="1361" t="n"/>
      <c r="B565" s="1512" t="n"/>
      <c r="C565" s="1379" t="n"/>
      <c r="D565" s="1379" t="n"/>
      <c r="E565" s="1379" t="n"/>
      <c r="F565" s="1379" t="n"/>
      <c r="G565" s="1361" t="n"/>
      <c r="H565" s="1361" t="n"/>
      <c r="I565" s="1361" t="n"/>
      <c r="J565" s="1361" t="n"/>
      <c r="K565" s="1379" t="n"/>
      <c r="L565" s="1361" t="n"/>
      <c r="M565" s="1361" t="n"/>
      <c r="N565" s="1361" t="n"/>
      <c r="O565" s="1361" t="n"/>
      <c r="P565" s="1379" t="n"/>
      <c r="Q565" s="1361" t="n"/>
      <c r="R565" s="1361" t="n"/>
      <c r="S565" s="1361" t="n"/>
      <c r="T565" s="1361" t="n"/>
      <c r="U565" s="1379" t="n"/>
      <c r="V565" s="1361" t="n"/>
      <c r="W565" s="1361" t="n"/>
      <c r="X565" s="1361" t="n"/>
      <c r="Y565" s="1361" t="n"/>
      <c r="Z565" s="1379" t="n"/>
      <c r="AA565" s="1361" t="n"/>
      <c r="AB565" s="1361" t="n"/>
      <c r="AC565" s="1361" t="n"/>
      <c r="AD565" s="1361" t="n"/>
      <c r="AE565" s="1379" t="n"/>
      <c r="AF565" s="1361" t="n"/>
      <c r="AG565" s="1361" t="n"/>
      <c r="AH565" s="1361" t="n"/>
      <c r="AI565" s="1361" t="n"/>
      <c r="AJ565" s="1379" t="n"/>
      <c r="AK565" s="1361" t="n"/>
      <c r="AL565" s="1361" t="n"/>
      <c r="AM565" s="1361" t="n"/>
      <c r="AN565" s="1361" t="n"/>
      <c r="AO565" s="1379" t="n"/>
      <c r="AP565" s="1361" t="n"/>
      <c r="AQ565" s="1361" t="n"/>
      <c r="AR565" s="1361" t="n"/>
      <c r="AS565" s="1361" t="n"/>
      <c r="AT565" s="1379" t="n"/>
      <c r="AU565" s="1361" t="n"/>
      <c r="AV565" s="1361" t="n"/>
      <c r="AW565" s="1361" t="n"/>
      <c r="AX565" s="1361" t="n"/>
      <c r="AY565" s="1379" t="n"/>
      <c r="AZ565" s="1361" t="n"/>
      <c r="BA565" s="1361" t="n"/>
      <c r="BB565" s="1361" t="n"/>
      <c r="BC565" s="1361" t="n"/>
      <c r="BD565" s="1379" t="n"/>
      <c r="BE565" s="1361" t="n"/>
      <c r="BF565" s="1361" t="n"/>
      <c r="BG565" s="1361" t="n"/>
      <c r="BH565" s="1361" t="n"/>
      <c r="BI565" s="1379" t="n"/>
      <c r="BJ565" s="1361" t="n"/>
      <c r="BK565" s="1361" t="n"/>
      <c r="BL565" s="1361" t="n"/>
      <c r="BM565" s="1361" t="n"/>
      <c r="BN565" s="1379" t="n"/>
      <c r="BO565" s="1361" t="n"/>
      <c r="BP565" s="1361" t="n"/>
      <c r="BQ565" s="1363" t="n"/>
      <c r="BR565" s="1361" t="n"/>
      <c r="BS565" s="1379" t="n"/>
      <c r="BT565" s="1361" t="n"/>
      <c r="BU565" s="1361" t="n"/>
      <c r="BV565" s="1361" t="n"/>
      <c r="BW565" s="1361" t="n"/>
      <c r="BX565" s="1379" t="n"/>
      <c r="BY565" s="1379" t="n"/>
      <c r="BZ565" s="1379" t="n"/>
      <c r="CA565" s="1379" t="n"/>
      <c r="CB565" s="1361" t="n"/>
    </row>
    <row r="566" hidden="1" outlineLevel="2" collapsed="1" ht="14.4" customFormat="1" customHeight="1" s="1597">
      <c r="A566" s="1474" t="inlineStr">
        <is>
          <t>EoP Total Stock Options Outstanding, mm options</t>
        </is>
      </c>
      <c r="B566" s="1512" t="n"/>
      <c r="C566" s="1379">
        <f>C547</f>
        <v/>
      </c>
      <c r="D566" s="1379">
        <f>D547</f>
        <v/>
      </c>
      <c r="E566" s="1379">
        <f>E547</f>
        <v/>
      </c>
      <c r="F566" s="1379">
        <f>F547</f>
        <v/>
      </c>
      <c r="G566" s="1361">
        <f>G547</f>
        <v/>
      </c>
      <c r="H566" s="1361">
        <f>H547</f>
        <v/>
      </c>
      <c r="I566" s="1361">
        <f>I547</f>
        <v/>
      </c>
      <c r="J566" s="1361">
        <f>J547</f>
        <v/>
      </c>
      <c r="K566" s="1379">
        <f>K547</f>
        <v/>
      </c>
      <c r="L566" s="1361">
        <f>L547</f>
        <v/>
      </c>
      <c r="M566" s="1361">
        <f>M547</f>
        <v/>
      </c>
      <c r="N566" s="1361">
        <f>N547</f>
        <v/>
      </c>
      <c r="O566" s="1361">
        <f>O547</f>
        <v/>
      </c>
      <c r="P566" s="1379">
        <f>P547</f>
        <v/>
      </c>
      <c r="Q566" s="1361">
        <f>Q547</f>
        <v/>
      </c>
      <c r="R566" s="1361">
        <f>R547</f>
        <v/>
      </c>
      <c r="S566" s="1361">
        <f>S547</f>
        <v/>
      </c>
      <c r="T566" s="1361">
        <f>T547</f>
        <v/>
      </c>
      <c r="U566" s="1379">
        <f>U547</f>
        <v/>
      </c>
      <c r="V566" s="1361">
        <f>V547</f>
        <v/>
      </c>
      <c r="W566" s="1361">
        <f>W547</f>
        <v/>
      </c>
      <c r="X566" s="1361">
        <f>X547</f>
        <v/>
      </c>
      <c r="Y566" s="1361">
        <f>Y547</f>
        <v/>
      </c>
      <c r="Z566" s="1379">
        <f>Z547</f>
        <v/>
      </c>
      <c r="AA566" s="1361">
        <f>AA547</f>
        <v/>
      </c>
      <c r="AB566" s="1361">
        <f>AB547</f>
        <v/>
      </c>
      <c r="AC566" s="1361">
        <f>AC547</f>
        <v/>
      </c>
      <c r="AD566" s="1361">
        <f>AD547</f>
        <v/>
      </c>
      <c r="AE566" s="1379">
        <f>AE547</f>
        <v/>
      </c>
      <c r="AF566" s="1361">
        <f>AF547</f>
        <v/>
      </c>
      <c r="AG566" s="1361">
        <f>AG547</f>
        <v/>
      </c>
      <c r="AH566" s="1361">
        <f>AH547</f>
        <v/>
      </c>
      <c r="AI566" s="1361">
        <f>AI547</f>
        <v/>
      </c>
      <c r="AJ566" s="1379">
        <f>AJ547</f>
        <v/>
      </c>
      <c r="AK566" s="1361">
        <f>AK547</f>
        <v/>
      </c>
      <c r="AL566" s="1361">
        <f>AL547</f>
        <v/>
      </c>
      <c r="AM566" s="1361">
        <f>AM547</f>
        <v/>
      </c>
      <c r="AN566" s="1361">
        <f>AN547</f>
        <v/>
      </c>
      <c r="AO566" s="1379">
        <f>AO547</f>
        <v/>
      </c>
      <c r="AP566" s="1361">
        <f>AP547</f>
        <v/>
      </c>
      <c r="AQ566" s="1361">
        <f>AQ547</f>
        <v/>
      </c>
      <c r="AR566" s="1361">
        <f>AR547</f>
        <v/>
      </c>
      <c r="AS566" s="1361">
        <f>AS547</f>
        <v/>
      </c>
      <c r="AT566" s="1379">
        <f>AT547</f>
        <v/>
      </c>
      <c r="AU566" s="1361">
        <f>AU547</f>
        <v/>
      </c>
      <c r="AV566" s="1361">
        <f>AV547</f>
        <v/>
      </c>
      <c r="AW566" s="1361">
        <f>AW547</f>
        <v/>
      </c>
      <c r="AX566" s="1361">
        <f>AX547</f>
        <v/>
      </c>
      <c r="AY566" s="1379">
        <f>AY547</f>
        <v/>
      </c>
      <c r="AZ566" s="1361">
        <f>AZ547</f>
        <v/>
      </c>
      <c r="BA566" s="1361">
        <f>BA547</f>
        <v/>
      </c>
      <c r="BB566" s="1361">
        <f>BB547</f>
        <v/>
      </c>
      <c r="BC566" s="1361">
        <f>BC547</f>
        <v/>
      </c>
      <c r="BD566" s="1379">
        <f>BD547</f>
        <v/>
      </c>
      <c r="BE566" s="1361">
        <f>BE547</f>
        <v/>
      </c>
      <c r="BF566" s="1361">
        <f>BF547</f>
        <v/>
      </c>
      <c r="BG566" s="1361">
        <f>BG547</f>
        <v/>
      </c>
      <c r="BH566" s="1361">
        <f>BH547</f>
        <v/>
      </c>
      <c r="BI566" s="1379">
        <f>BI547</f>
        <v/>
      </c>
      <c r="BJ566" s="1361">
        <f>BJ547</f>
        <v/>
      </c>
      <c r="BK566" s="1361">
        <f>BK547</f>
        <v/>
      </c>
      <c r="BL566" s="1361">
        <f>BL547</f>
        <v/>
      </c>
      <c r="BM566" s="1361">
        <f>BM547</f>
        <v/>
      </c>
      <c r="BN566" s="1379">
        <f>BN547</f>
        <v/>
      </c>
      <c r="BO566" s="1361">
        <f>BO547</f>
        <v/>
      </c>
      <c r="BP566" s="1361">
        <f>BP547</f>
        <v/>
      </c>
      <c r="BQ566" s="1363">
        <f>BQ547</f>
        <v/>
      </c>
      <c r="BR566" s="1361" t="n"/>
      <c r="BS566" s="1379" t="n"/>
      <c r="BT566" s="1361" t="n"/>
      <c r="BU566" s="1361" t="n"/>
      <c r="BV566" s="1361" t="n"/>
      <c r="BW566" s="1361" t="n"/>
      <c r="BX566" s="1379" t="n"/>
      <c r="BY566" s="1379" t="n"/>
      <c r="BZ566" s="1379" t="n"/>
      <c r="CA566" s="1379" t="n"/>
      <c r="CB566" s="1361" t="n"/>
    </row>
    <row r="567" hidden="1" outlineLevel="2" ht="14.4" customFormat="1" customHeight="1" s="1597">
      <c r="A567" s="1474" t="inlineStr">
        <is>
          <t>Weighted Average Exercise Price, $/share</t>
        </is>
      </c>
      <c r="B567" s="1512" t="n"/>
      <c r="C567" s="1716">
        <f>C554</f>
        <v/>
      </c>
      <c r="D567" s="1716">
        <f>D554</f>
        <v/>
      </c>
      <c r="E567" s="1716">
        <f>E554</f>
        <v/>
      </c>
      <c r="F567" s="1716">
        <f>F554</f>
        <v/>
      </c>
      <c r="G567" s="1714">
        <f>G554</f>
        <v/>
      </c>
      <c r="H567" s="1714">
        <f>H554</f>
        <v/>
      </c>
      <c r="I567" s="1714">
        <f>I554</f>
        <v/>
      </c>
      <c r="J567" s="1714">
        <f>J554</f>
        <v/>
      </c>
      <c r="K567" s="1716">
        <f>K554</f>
        <v/>
      </c>
      <c r="L567" s="1714">
        <f>L554</f>
        <v/>
      </c>
      <c r="M567" s="1714">
        <f>M554</f>
        <v/>
      </c>
      <c r="N567" s="1714">
        <f>N554</f>
        <v/>
      </c>
      <c r="O567" s="1714">
        <f>O554</f>
        <v/>
      </c>
      <c r="P567" s="1716">
        <f>P554</f>
        <v/>
      </c>
      <c r="Q567" s="1714">
        <f>Q554</f>
        <v/>
      </c>
      <c r="R567" s="1714">
        <f>R554</f>
        <v/>
      </c>
      <c r="S567" s="1714">
        <f>S554</f>
        <v/>
      </c>
      <c r="T567" s="1714">
        <f>T554</f>
        <v/>
      </c>
      <c r="U567" s="1716">
        <f>U554</f>
        <v/>
      </c>
      <c r="V567" s="1714">
        <f>V554</f>
        <v/>
      </c>
      <c r="W567" s="1714">
        <f>W554</f>
        <v/>
      </c>
      <c r="X567" s="1714">
        <f>X554</f>
        <v/>
      </c>
      <c r="Y567" s="1714">
        <f>Y554</f>
        <v/>
      </c>
      <c r="Z567" s="1716">
        <f>Z554</f>
        <v/>
      </c>
      <c r="AA567" s="1714">
        <f>AA554</f>
        <v/>
      </c>
      <c r="AB567" s="1714">
        <f>AB554</f>
        <v/>
      </c>
      <c r="AC567" s="1714">
        <f>AC554</f>
        <v/>
      </c>
      <c r="AD567" s="1714">
        <f>AD554</f>
        <v/>
      </c>
      <c r="AE567" s="1716">
        <f>AE554</f>
        <v/>
      </c>
      <c r="AF567" s="1714">
        <f>AF554</f>
        <v/>
      </c>
      <c r="AG567" s="1714">
        <f>AG554</f>
        <v/>
      </c>
      <c r="AH567" s="1714">
        <f>AH554</f>
        <v/>
      </c>
      <c r="AI567" s="1714">
        <f>AI554</f>
        <v/>
      </c>
      <c r="AJ567" s="1716">
        <f>AJ554</f>
        <v/>
      </c>
      <c r="AK567" s="1714">
        <f>AK554</f>
        <v/>
      </c>
      <c r="AL567" s="1714">
        <f>AL554</f>
        <v/>
      </c>
      <c r="AM567" s="1714">
        <f>AM554</f>
        <v/>
      </c>
      <c r="AN567" s="1714">
        <f>AN554</f>
        <v/>
      </c>
      <c r="AO567" s="1716">
        <f>AO554</f>
        <v/>
      </c>
      <c r="AP567" s="1714">
        <f>AP554</f>
        <v/>
      </c>
      <c r="AQ567" s="1714">
        <f>AQ554</f>
        <v/>
      </c>
      <c r="AR567" s="1714">
        <f>AR554</f>
        <v/>
      </c>
      <c r="AS567" s="1714">
        <f>AS554</f>
        <v/>
      </c>
      <c r="AT567" s="1716">
        <f>AT554</f>
        <v/>
      </c>
      <c r="AU567" s="1714">
        <f>AU554</f>
        <v/>
      </c>
      <c r="AV567" s="1714">
        <f>AV554</f>
        <v/>
      </c>
      <c r="AW567" s="1714">
        <f>AW554</f>
        <v/>
      </c>
      <c r="AX567" s="1714">
        <f>AX554</f>
        <v/>
      </c>
      <c r="AY567" s="1716">
        <f>AY554</f>
        <v/>
      </c>
      <c r="AZ567" s="1714">
        <f>AZ554</f>
        <v/>
      </c>
      <c r="BA567" s="1714">
        <f>BA554</f>
        <v/>
      </c>
      <c r="BB567" s="1714">
        <f>BB554</f>
        <v/>
      </c>
      <c r="BC567" s="1714">
        <f>BC554</f>
        <v/>
      </c>
      <c r="BD567" s="1716">
        <f>BD554</f>
        <v/>
      </c>
      <c r="BE567" s="1714">
        <f>BE554</f>
        <v/>
      </c>
      <c r="BF567" s="1714">
        <f>BF554</f>
        <v/>
      </c>
      <c r="BG567" s="1714">
        <f>BG554</f>
        <v/>
      </c>
      <c r="BH567" s="1714">
        <f>BH554</f>
        <v/>
      </c>
      <c r="BI567" s="1716">
        <f>BI554</f>
        <v/>
      </c>
      <c r="BJ567" s="1714">
        <f>BJ554</f>
        <v/>
      </c>
      <c r="BK567" s="1714">
        <f>BK554</f>
        <v/>
      </c>
      <c r="BL567" s="1714">
        <f>BL554</f>
        <v/>
      </c>
      <c r="BM567" s="1714">
        <f>BM554</f>
        <v/>
      </c>
      <c r="BN567" s="1716">
        <f>BN554</f>
        <v/>
      </c>
      <c r="BO567" s="1714">
        <f>BO554</f>
        <v/>
      </c>
      <c r="BP567" s="1714">
        <f>BP554</f>
        <v/>
      </c>
      <c r="BQ567" s="1717">
        <f>BQ554</f>
        <v/>
      </c>
      <c r="BR567" s="1714" t="n"/>
      <c r="BS567" s="1716" t="n"/>
      <c r="BT567" s="1714" t="n"/>
      <c r="BU567" s="1714" t="n"/>
      <c r="BV567" s="1714" t="n"/>
      <c r="BW567" s="1714" t="n"/>
      <c r="BX567" s="1716" t="n"/>
      <c r="BY567" s="1716" t="n"/>
      <c r="BZ567" s="1716" t="n"/>
      <c r="CA567" s="1716" t="n"/>
      <c r="CB567" s="1361" t="n"/>
    </row>
    <row r="568" hidden="1" outlineLevel="2" ht="15" customFormat="1" customHeight="1" s="1706">
      <c r="A568" s="1737" t="inlineStr">
        <is>
          <t>Dilutive Shares from Exercised Options (Treasury Method), mm shares</t>
        </is>
      </c>
      <c r="B568" s="1694" t="n"/>
      <c r="C568" s="1698">
        <f>IF(C526&gt;C567,(1-C567/C526)*C566,0)</f>
        <v/>
      </c>
      <c r="D568" s="1698">
        <f>IF(D526&gt;D567,(1-D567/D526)*D566,0)</f>
        <v/>
      </c>
      <c r="E568" s="1698">
        <f>IF(E526&gt;E567,(1-E567/E526)*E566,0)</f>
        <v/>
      </c>
      <c r="F568" s="1698">
        <f>IF(F526&gt;F567,(1-F567/F526)*F566,0)</f>
        <v/>
      </c>
      <c r="G568" s="1693">
        <f>IF(G526&gt;G567,(1-G567/G526)*G566,0)</f>
        <v/>
      </c>
      <c r="H568" s="1693">
        <f>IF(H526&gt;H567,(1-H567/H526)*H566,0)</f>
        <v/>
      </c>
      <c r="I568" s="1693">
        <f>IF(I526&gt;I567,(1-I567/I526)*I566,0)</f>
        <v/>
      </c>
      <c r="J568" s="1693">
        <f>IF(J526&gt;J567,(1-J567/J526)*J566,0)</f>
        <v/>
      </c>
      <c r="K568" s="1698">
        <f>IF(K526&gt;K567,(1-K567/K526)*K566,0)</f>
        <v/>
      </c>
      <c r="L568" s="1693">
        <f>IF(L526&gt;L567,(1-L567/L526)*L566,0)</f>
        <v/>
      </c>
      <c r="M568" s="1693">
        <f>IF(M526&gt;M567,(1-M567/M526)*M566,0)</f>
        <v/>
      </c>
      <c r="N568" s="1693">
        <f>IF(N526&gt;N567,(1-N567/N526)*N566,0)</f>
        <v/>
      </c>
      <c r="O568" s="1693">
        <f>IF(O526&gt;O567,(1-O567/O526)*O566,0)</f>
        <v/>
      </c>
      <c r="P568" s="1698">
        <f>IF(P526&gt;P567,(1-P567/P526)*P566,0)</f>
        <v/>
      </c>
      <c r="Q568" s="1693">
        <f>IF(Q526&gt;Q567,(1-Q567/Q526)*Q566,0)</f>
        <v/>
      </c>
      <c r="R568" s="1693">
        <f>IF(R526&gt;R567,(1-R567/R526)*R566,0)</f>
        <v/>
      </c>
      <c r="S568" s="1693">
        <f>IF(S526&gt;S567,(1-S567/S526)*S566,0)</f>
        <v/>
      </c>
      <c r="T568" s="1693">
        <f>IF(T526&gt;T567,(1-T567/T526)*T566,0)</f>
        <v/>
      </c>
      <c r="U568" s="1698">
        <f>IF(U526&gt;U567,(1-U567/U526)*U566,0)</f>
        <v/>
      </c>
      <c r="V568" s="1693">
        <f>IF(V526&gt;V567,(1-V567/V526)*V566,0)</f>
        <v/>
      </c>
      <c r="W568" s="1693">
        <f>IF(W526&gt;W567,(1-W567/W526)*W566,0)</f>
        <v/>
      </c>
      <c r="X568" s="1693">
        <f>IF(X526&gt;X567,(1-X567/X526)*X566,0)</f>
        <v/>
      </c>
      <c r="Y568" s="1693">
        <f>IF(Y526&gt;Y567,(1-Y567/Y526)*Y566,0)</f>
        <v/>
      </c>
      <c r="Z568" s="1698">
        <f>IF(Z526&gt;Z567,(1-Z567/Z526)*Z566,0)</f>
        <v/>
      </c>
      <c r="AA568" s="1693">
        <f>IF(AA526&gt;AA567,(1-AA567/AA526)*AA566,0)</f>
        <v/>
      </c>
      <c r="AB568" s="1693">
        <f>IF(AB526&gt;AB567,(1-AB567/AB526)*AB566,0)</f>
        <v/>
      </c>
      <c r="AC568" s="1693">
        <f>IF(AC526&gt;AC567,(1-AC567/AC526)*AC566,0)</f>
        <v/>
      </c>
      <c r="AD568" s="1693">
        <f>IF(AD526&gt;AD567,(1-AD567/AD526)*AD566,0)</f>
        <v/>
      </c>
      <c r="AE568" s="1698">
        <f>IF(AE526&gt;AE567,(1-AE567/AE526)*AE566,0)</f>
        <v/>
      </c>
      <c r="AF568" s="1693">
        <f>IF(AF526&gt;AF567,(1-AF567/AF526)*AF566,0)</f>
        <v/>
      </c>
      <c r="AG568" s="1693">
        <f>IF(AG526&gt;AG567,(1-AG567/AG526)*AG566,0)</f>
        <v/>
      </c>
      <c r="AH568" s="1693">
        <f>IF(AH526&gt;AH567,(1-AH567/AH526)*AH566,0)</f>
        <v/>
      </c>
      <c r="AI568" s="1693">
        <f>IF(AI526&gt;AI567,(1-AI567/AI526)*AI566,0)</f>
        <v/>
      </c>
      <c r="AJ568" s="1698">
        <f>IF(AJ526&gt;AJ567,(1-AJ567/AJ526)*AJ566,0)</f>
        <v/>
      </c>
      <c r="AK568" s="1693">
        <f>IF(AK526&gt;AK567,(1-AK567/AK526)*AK566,0)</f>
        <v/>
      </c>
      <c r="AL568" s="1693">
        <f>IF(AL526&gt;AL567,(1-AL567/AL526)*AL566,0)</f>
        <v/>
      </c>
      <c r="AM568" s="1693">
        <f>IF(AM526&gt;AM567,(1-AM567/AM526)*AM566,0)</f>
        <v/>
      </c>
      <c r="AN568" s="1693">
        <f>IF(AN526&gt;AN567,(1-AN567/AN526)*AN566,0)</f>
        <v/>
      </c>
      <c r="AO568" s="1698">
        <f>IF(AO526&gt;AO567,(1-AO567/AO526)*AO566,0)</f>
        <v/>
      </c>
      <c r="AP568" s="1693">
        <f>IF(AP526&gt;AP567,(1-AP567/AP526)*AP566,0)</f>
        <v/>
      </c>
      <c r="AQ568" s="1693">
        <f>IF(AQ526&gt;AQ567,(1-AQ567/AQ526)*AQ566,0)</f>
        <v/>
      </c>
      <c r="AR568" s="1693">
        <f>IF(AR526&gt;AR567,(1-AR567/AR526)*AR566,0)</f>
        <v/>
      </c>
      <c r="AS568" s="1693">
        <f>IF(AS526&gt;AS567,(1-AS567/AS526)*AS566,0)</f>
        <v/>
      </c>
      <c r="AT568" s="1698">
        <f>IF(AT526&gt;AT567,(1-AT567/AT526)*AT566,0)</f>
        <v/>
      </c>
      <c r="AU568" s="1693">
        <f>IF(AU526&gt;AU567,(1-AU567/AU526)*AU566,0)</f>
        <v/>
      </c>
      <c r="AV568" s="1693">
        <f>IF(AV526&gt;AV567,(1-AV567/AV526)*AV566,0)</f>
        <v/>
      </c>
      <c r="AW568" s="1693">
        <f>IF(AW526&gt;AW567,(1-AW567/AW526)*AW566,0)</f>
        <v/>
      </c>
      <c r="AX568" s="1693">
        <f>IF(AX526&gt;AX567,(1-AX567/AX526)*AX566,0)</f>
        <v/>
      </c>
      <c r="AY568" s="1698">
        <f>IF(AY526&gt;AY567,(1-AY567/AY526)*AY566,0)</f>
        <v/>
      </c>
      <c r="AZ568" s="1693">
        <f>IF(AZ526&gt;AZ567,(1-AZ567/AZ526)*AZ566,0)</f>
        <v/>
      </c>
      <c r="BA568" s="1693">
        <f>IF(BA526&gt;BA567,(1-BA567/BA526)*BA566,0)</f>
        <v/>
      </c>
      <c r="BB568" s="1693">
        <f>IF(BB526&gt;BB567,(1-BB567/BB526)*BB566,0)</f>
        <v/>
      </c>
      <c r="BC568" s="1693">
        <f>IF(BC526&gt;BC567,(1-BC567/BC526)*BC566,0)</f>
        <v/>
      </c>
      <c r="BD568" s="1698">
        <f>IF(BD526&gt;BD567,(1-BD567/BD526)*BD566,0)</f>
        <v/>
      </c>
      <c r="BE568" s="1693">
        <f>IF(BE526&gt;BE567,(1-BE567/BE526)*BE566,0)</f>
        <v/>
      </c>
      <c r="BF568" s="1693">
        <f>IF(BF526&gt;BF567,(1-BF567/BF526)*BF566,0)</f>
        <v/>
      </c>
      <c r="BG568" s="1693">
        <f>IF(BG526&gt;BG567,(1-BG567/BG526)*BG566,0)</f>
        <v/>
      </c>
      <c r="BH568" s="1693">
        <f>IF(BH526&gt;BH567,(1-BH567/BH526)*BH566,0)</f>
        <v/>
      </c>
      <c r="BI568" s="1698">
        <f>IF(BI526&gt;BI567,(1-BI567/BI526)*BI566,0)</f>
        <v/>
      </c>
      <c r="BJ568" s="1693">
        <f>IF(BJ526&gt;BJ567,(1-BJ567/BJ526)*BJ566,0)</f>
        <v/>
      </c>
      <c r="BK568" s="1693">
        <f>IF(BK526&gt;BK567,(1-BK567/BK526)*BK566,0)</f>
        <v/>
      </c>
      <c r="BL568" s="1693">
        <f>IF(BL526&gt;BL567,(1-BL567/BL526)*BL566,0)</f>
        <v/>
      </c>
      <c r="BM568" s="1693">
        <f>IF(BM526&gt;BM567,(1-BM567/BM526)*BM566,0)</f>
        <v/>
      </c>
      <c r="BN568" s="1698">
        <f>IF(BN526&gt;BN567,(1-BN567/BN526)*BN566,0)</f>
        <v/>
      </c>
      <c r="BO568" s="1693">
        <f>IF(BO526&gt;BO567,(1-BO567/BO526)*BO566,0)</f>
        <v/>
      </c>
      <c r="BP568" s="1693">
        <f>IF(BP526&gt;BP567,(1-BP567/BP526)*BP566,0)</f>
        <v/>
      </c>
      <c r="BQ568" s="1733">
        <f>IF(BQ526&gt;BQ567,(1-BQ567/BQ526)*BQ566,0)</f>
        <v/>
      </c>
      <c r="BR568" s="1693" t="n"/>
      <c r="BS568" s="1698" t="n"/>
      <c r="BT568" s="1693" t="n"/>
      <c r="BU568" s="1693" t="n"/>
      <c r="BV568" s="1693" t="n"/>
      <c r="BW568" s="1693" t="n"/>
      <c r="BX568" s="1698" t="n"/>
      <c r="BY568" s="1698" t="n"/>
      <c r="BZ568" s="1698" t="n"/>
      <c r="CA568" s="1698" t="n"/>
      <c r="CB568" s="1714" t="n"/>
    </row>
    <row r="569" hidden="1" outlineLevel="2" ht="15" customFormat="1" customHeight="1" s="1706">
      <c r="A569" s="1714" t="n"/>
      <c r="B569" s="1715" t="n"/>
      <c r="C569" s="1716" t="n"/>
      <c r="D569" s="1716" t="n"/>
      <c r="E569" s="1716" t="n"/>
      <c r="F569" s="1716" t="n"/>
      <c r="G569" s="1714" t="n"/>
      <c r="H569" s="1714" t="n"/>
      <c r="I569" s="1714" t="n"/>
      <c r="J569" s="1714" t="n"/>
      <c r="K569" s="1716" t="n"/>
      <c r="L569" s="1714" t="n"/>
      <c r="M569" s="1714" t="n"/>
      <c r="N569" s="1714" t="n"/>
      <c r="O569" s="1714" t="n"/>
      <c r="P569" s="1716" t="n"/>
      <c r="Q569" s="1714" t="n"/>
      <c r="R569" s="1714" t="n"/>
      <c r="S569" s="1714" t="n"/>
      <c r="T569" s="1714" t="n"/>
      <c r="U569" s="1716" t="n"/>
      <c r="V569" s="1714" t="n"/>
      <c r="W569" s="1714" t="n"/>
      <c r="X569" s="1714" t="n"/>
      <c r="Y569" s="1714" t="n"/>
      <c r="Z569" s="1716" t="n"/>
      <c r="AA569" s="1714" t="n"/>
      <c r="AB569" s="1714" t="n"/>
      <c r="AC569" s="1714" t="n"/>
      <c r="AD569" s="1714" t="n"/>
      <c r="AE569" s="1716" t="n"/>
      <c r="AF569" s="1714" t="n"/>
      <c r="AG569" s="1714" t="n"/>
      <c r="AH569" s="1714" t="n"/>
      <c r="AI569" s="1714" t="n"/>
      <c r="AJ569" s="1716" t="n"/>
      <c r="AK569" s="1714" t="n"/>
      <c r="AL569" s="1714" t="n"/>
      <c r="AM569" s="1714" t="n"/>
      <c r="AN569" s="1714" t="n"/>
      <c r="AO569" s="1716" t="n"/>
      <c r="AP569" s="1714" t="n"/>
      <c r="AQ569" s="1714" t="n"/>
      <c r="AR569" s="1714" t="n"/>
      <c r="AS569" s="1714" t="n"/>
      <c r="AT569" s="1716" t="n"/>
      <c r="AU569" s="1714" t="n"/>
      <c r="AV569" s="1714" t="n"/>
      <c r="AW569" s="1714" t="n"/>
      <c r="AX569" s="1714" t="n"/>
      <c r="AY569" s="1716" t="n"/>
      <c r="AZ569" s="1714" t="n"/>
      <c r="BA569" s="1714" t="n"/>
      <c r="BB569" s="1714" t="n"/>
      <c r="BC569" s="1714" t="n"/>
      <c r="BD569" s="1716" t="n"/>
      <c r="BE569" s="1714" t="n"/>
      <c r="BF569" s="1714" t="n"/>
      <c r="BG569" s="1714" t="n"/>
      <c r="BH569" s="1714" t="n"/>
      <c r="BI569" s="1716" t="n"/>
      <c r="BJ569" s="1714" t="n"/>
      <c r="BK569" s="1714" t="n"/>
      <c r="BL569" s="1714" t="n"/>
      <c r="BM569" s="1714" t="n"/>
      <c r="BN569" s="1716" t="n"/>
      <c r="BO569" s="1714" t="n"/>
      <c r="BP569" s="1714" t="n"/>
      <c r="BQ569" s="1717" t="n"/>
      <c r="BR569" s="1714" t="n"/>
      <c r="BS569" s="1716" t="n"/>
      <c r="BT569" s="1714" t="n"/>
      <c r="BU569" s="1714" t="n"/>
      <c r="BV569" s="1714" t="n"/>
      <c r="BW569" s="1714" t="n"/>
      <c r="BX569" s="1716" t="n"/>
      <c r="BY569" s="1716" t="n"/>
      <c r="BZ569" s="1716" t="n"/>
      <c r="CA569" s="1716" t="n"/>
      <c r="CB569" s="1718" t="n"/>
    </row>
    <row r="570" hidden="1" outlineLevel="2" ht="15" customFormat="1" customHeight="1" s="1706">
      <c r="A570" s="1738" t="inlineStr">
        <is>
          <t>EoP Total Stock Options Exercisable, mm options</t>
        </is>
      </c>
      <c r="B570" s="1517" t="n"/>
      <c r="C570" s="1449" t="n"/>
      <c r="D570" s="1449" t="n"/>
      <c r="E570" s="1449" t="n"/>
      <c r="F570" s="1449" t="n"/>
      <c r="G570" s="1450" t="n"/>
      <c r="H570" s="1450" t="n"/>
      <c r="I570" s="1450" t="n"/>
      <c r="J570" s="1450" t="n"/>
      <c r="K570" s="1449" t="n"/>
      <c r="L570" s="1450" t="n"/>
      <c r="M570" s="1450" t="n"/>
      <c r="N570" s="1450" t="n"/>
      <c r="O570" s="1450" t="n"/>
      <c r="P570" s="1449" t="n"/>
      <c r="Q570" s="1450" t="n"/>
      <c r="R570" s="1450" t="n"/>
      <c r="S570" s="1450" t="n"/>
      <c r="T570" s="1450" t="n"/>
      <c r="U570" s="1449" t="n"/>
      <c r="V570" s="1450" t="n"/>
      <c r="W570" s="1450" t="n"/>
      <c r="X570" s="1450" t="n"/>
      <c r="Y570" s="1450" t="n"/>
      <c r="Z570" s="1449" t="n"/>
      <c r="AA570" s="1450" t="n"/>
      <c r="AB570" s="1450" t="n"/>
      <c r="AC570" s="1450" t="n"/>
      <c r="AD570" s="1450" t="n"/>
      <c r="AE570" s="1449" t="n"/>
      <c r="AF570" s="1450" t="n"/>
      <c r="AG570" s="1450" t="n"/>
      <c r="AH570" s="1450" t="n"/>
      <c r="AI570" s="1450" t="n"/>
      <c r="AJ570" s="1449" t="n"/>
      <c r="AK570" s="1450" t="n"/>
      <c r="AL570" s="1450" t="n"/>
      <c r="AM570" s="1450" t="n"/>
      <c r="AN570" s="1450" t="n"/>
      <c r="AO570" s="1449" t="n"/>
      <c r="AP570" s="1450" t="n"/>
      <c r="AQ570" s="1450" t="n"/>
      <c r="AR570" s="1450" t="n"/>
      <c r="AS570" s="1450" t="n"/>
      <c r="AT570" s="1449" t="n"/>
      <c r="AU570" s="1450" t="n"/>
      <c r="AV570" s="1450" t="n"/>
      <c r="AW570" s="1450" t="n"/>
      <c r="AX570" s="1450" t="n"/>
      <c r="AY570" s="1449" t="n"/>
      <c r="AZ570" s="1450" t="n"/>
      <c r="BA570" s="1450" t="n"/>
      <c r="BB570" s="1450" t="n"/>
      <c r="BC570" s="1450" t="n"/>
      <c r="BD570" s="1449" t="n"/>
      <c r="BE570" s="1450" t="n"/>
      <c r="BF570" s="1450" t="n"/>
      <c r="BG570" s="1450" t="n"/>
      <c r="BH570" s="1450" t="n"/>
      <c r="BI570" s="1449" t="n"/>
      <c r="BJ570" s="1450" t="n"/>
      <c r="BK570" s="1450" t="n"/>
      <c r="BL570" s="1450" t="n"/>
      <c r="BM570" s="1450" t="n"/>
      <c r="BN570" s="1449" t="n"/>
      <c r="BO570" s="1450" t="n"/>
      <c r="BP570" s="1450" t="n"/>
      <c r="BQ570" s="1451" t="n"/>
      <c r="BR570" s="1450" t="n"/>
      <c r="BS570" s="1449" t="n"/>
      <c r="BT570" s="1450" t="n"/>
      <c r="BU570" s="1450" t="n"/>
      <c r="BV570" s="1450" t="n"/>
      <c r="BW570" s="1450" t="n"/>
      <c r="BX570" s="1449" t="n"/>
      <c r="BY570" s="1449" t="n"/>
      <c r="BZ570" s="1449" t="n"/>
      <c r="CA570" s="1449" t="n"/>
      <c r="CB570" s="1361" t="n"/>
    </row>
    <row r="571" hidden="1" outlineLevel="2" ht="15" customFormat="1" customHeight="1" s="1706">
      <c r="A571" s="1738" t="inlineStr">
        <is>
          <t>EoP Weighted Average Exercisable Option Exercise Price, $/share</t>
        </is>
      </c>
      <c r="B571" s="1517" t="n"/>
      <c r="C571" s="1739" t="n"/>
      <c r="D571" s="1739" t="n"/>
      <c r="E571" s="1739" t="n"/>
      <c r="F571" s="1739" t="n"/>
      <c r="G571" s="1738" t="n"/>
      <c r="H571" s="1738" t="n"/>
      <c r="I571" s="1738" t="n"/>
      <c r="J571" s="1738" t="n"/>
      <c r="K571" s="1739" t="n"/>
      <c r="L571" s="1738" t="n"/>
      <c r="M571" s="1738" t="n"/>
      <c r="N571" s="1738" t="n"/>
      <c r="O571" s="1738" t="n"/>
      <c r="P571" s="1739" t="n"/>
      <c r="Q571" s="1738" t="n"/>
      <c r="R571" s="1738" t="n"/>
      <c r="S571" s="1738" t="n"/>
      <c r="T571" s="1738" t="n"/>
      <c r="U571" s="1739" t="n"/>
      <c r="V571" s="1738" t="n"/>
      <c r="W571" s="1738" t="n"/>
      <c r="X571" s="1738" t="n"/>
      <c r="Y571" s="1738" t="n"/>
      <c r="Z571" s="1739" t="n"/>
      <c r="AA571" s="1738" t="n"/>
      <c r="AB571" s="1738" t="n"/>
      <c r="AC571" s="1738" t="n"/>
      <c r="AD571" s="1738" t="n"/>
      <c r="AE571" s="1739" t="n"/>
      <c r="AF571" s="1738" t="n"/>
      <c r="AG571" s="1738" t="n"/>
      <c r="AH571" s="1738" t="n"/>
      <c r="AI571" s="1738" t="n"/>
      <c r="AJ571" s="1739" t="n"/>
      <c r="AK571" s="1738" t="n"/>
      <c r="AL571" s="1738" t="n"/>
      <c r="AM571" s="1738" t="n"/>
      <c r="AN571" s="1738" t="n"/>
      <c r="AO571" s="1739" t="n"/>
      <c r="AP571" s="1738" t="n"/>
      <c r="AQ571" s="1738" t="n"/>
      <c r="AR571" s="1738" t="n"/>
      <c r="AS571" s="1738" t="n"/>
      <c r="AT571" s="1739" t="n"/>
      <c r="AU571" s="1738" t="n"/>
      <c r="AV571" s="1738" t="n"/>
      <c r="AW571" s="1738" t="n"/>
      <c r="AX571" s="1738" t="n"/>
      <c r="AY571" s="1739" t="n"/>
      <c r="AZ571" s="1738" t="n"/>
      <c r="BA571" s="1738" t="n"/>
      <c r="BB571" s="1738" t="n"/>
      <c r="BC571" s="1738" t="n"/>
      <c r="BD571" s="1739" t="n"/>
      <c r="BE571" s="1738" t="n"/>
      <c r="BF571" s="1738" t="n"/>
      <c r="BG571" s="1738" t="n"/>
      <c r="BH571" s="1738" t="n"/>
      <c r="BI571" s="1739" t="n"/>
      <c r="BJ571" s="1738" t="n"/>
      <c r="BK571" s="1738" t="n"/>
      <c r="BL571" s="1738" t="n"/>
      <c r="BM571" s="1738" t="n"/>
      <c r="BN571" s="1739" t="n"/>
      <c r="BO571" s="1738" t="n"/>
      <c r="BP571" s="1738" t="n"/>
      <c r="BQ571" s="1740" t="n"/>
      <c r="BR571" s="1738" t="n"/>
      <c r="BS571" s="1739" t="n"/>
      <c r="BT571" s="1738" t="n"/>
      <c r="BU571" s="1738" t="n"/>
      <c r="BV571" s="1738" t="n"/>
      <c r="BW571" s="1738" t="n"/>
      <c r="BX571" s="1739" t="n"/>
      <c r="BY571" s="1739" t="n"/>
      <c r="BZ571" s="1739" t="n"/>
      <c r="CA571" s="1739" t="n"/>
      <c r="CB571" s="1361" t="n"/>
    </row>
    <row r="572" hidden="1" outlineLevel="2" ht="15" customFormat="1" customHeight="1" s="1706">
      <c r="A572" s="1738" t="n"/>
      <c r="B572" s="1517" t="n"/>
      <c r="C572" s="1739" t="n"/>
      <c r="D572" s="1739" t="n"/>
      <c r="E572" s="1739" t="n"/>
      <c r="F572" s="1739" t="n"/>
      <c r="G572" s="1738" t="n"/>
      <c r="H572" s="1738" t="n"/>
      <c r="I572" s="1738" t="n"/>
      <c r="J572" s="1738" t="n"/>
      <c r="K572" s="1739" t="n"/>
      <c r="L572" s="1738" t="n"/>
      <c r="M572" s="1738" t="n"/>
      <c r="N572" s="1738" t="n"/>
      <c r="O572" s="1738" t="n"/>
      <c r="P572" s="1739" t="n"/>
      <c r="Q572" s="1738" t="n"/>
      <c r="R572" s="1738" t="n"/>
      <c r="S572" s="1738" t="n"/>
      <c r="T572" s="1738" t="n"/>
      <c r="U572" s="1739" t="n"/>
      <c r="V572" s="1738" t="n"/>
      <c r="W572" s="1738" t="n"/>
      <c r="X572" s="1738" t="n"/>
      <c r="Y572" s="1738" t="n"/>
      <c r="Z572" s="1739" t="n"/>
      <c r="AA572" s="1738" t="n"/>
      <c r="AB572" s="1738" t="n"/>
      <c r="AC572" s="1738" t="n"/>
      <c r="AD572" s="1738" t="n"/>
      <c r="AE572" s="1739" t="n"/>
      <c r="AF572" s="1738" t="n"/>
      <c r="AG572" s="1738" t="n"/>
      <c r="AH572" s="1738" t="n"/>
      <c r="AI572" s="1738" t="n"/>
      <c r="AJ572" s="1739" t="n"/>
      <c r="AK572" s="1738" t="n"/>
      <c r="AL572" s="1738" t="n"/>
      <c r="AM572" s="1738" t="n"/>
      <c r="AN572" s="1738" t="n"/>
      <c r="AO572" s="1739" t="n"/>
      <c r="AP572" s="1738" t="n"/>
      <c r="AQ572" s="1738" t="n"/>
      <c r="AR572" s="1738" t="n"/>
      <c r="AS572" s="1738" t="n"/>
      <c r="AT572" s="1739" t="n"/>
      <c r="AU572" s="1738" t="n"/>
      <c r="AV572" s="1738" t="n"/>
      <c r="AW572" s="1738" t="n"/>
      <c r="AX572" s="1738" t="n"/>
      <c r="AY572" s="1739" t="n"/>
      <c r="AZ572" s="1738" t="n"/>
      <c r="BA572" s="1738" t="n"/>
      <c r="BB572" s="1738" t="n"/>
      <c r="BC572" s="1738" t="n"/>
      <c r="BD572" s="1739" t="n"/>
      <c r="BE572" s="1738" t="n"/>
      <c r="BF572" s="1738" t="n"/>
      <c r="BG572" s="1738" t="n"/>
      <c r="BH572" s="1738" t="n"/>
      <c r="BI572" s="1739" t="n"/>
      <c r="BJ572" s="1738" t="n"/>
      <c r="BK572" s="1738" t="n"/>
      <c r="BL572" s="1738" t="n"/>
      <c r="BM572" s="1738" t="n"/>
      <c r="BN572" s="1739" t="n"/>
      <c r="BO572" s="1738" t="n"/>
      <c r="BP572" s="1738" t="n"/>
      <c r="BQ572" s="1740" t="n"/>
      <c r="BR572" s="1738" t="n"/>
      <c r="BS572" s="1739" t="n"/>
      <c r="BT572" s="1738" t="n"/>
      <c r="BU572" s="1738" t="n"/>
      <c r="BV572" s="1738" t="n"/>
      <c r="BW572" s="1738" t="n"/>
      <c r="BX572" s="1739" t="n"/>
      <c r="BY572" s="1739" t="n"/>
      <c r="BZ572" s="1739" t="n"/>
      <c r="CA572" s="1739" t="n"/>
      <c r="CB572" s="1361" t="n"/>
    </row>
    <row r="573" hidden="1" outlineLevel="2" ht="15" customFormat="1" customHeight="1" s="1706">
      <c r="A573" s="1474" t="inlineStr">
        <is>
          <t>EoP Warrants, mm warrants</t>
        </is>
      </c>
      <c r="B573" s="1512" t="n"/>
      <c r="C573" s="1379" t="n"/>
      <c r="D573" s="1379" t="n"/>
      <c r="E573" s="1379" t="n"/>
      <c r="F573" s="1379" t="n"/>
      <c r="G573" s="1361" t="n"/>
      <c r="H573" s="1361" t="n"/>
      <c r="I573" s="1361" t="n"/>
      <c r="J573" s="1361" t="n"/>
      <c r="K573" s="1379" t="n"/>
      <c r="L573" s="1361" t="n"/>
      <c r="M573" s="1361" t="n"/>
      <c r="N573" s="1361" t="n"/>
      <c r="O573" s="1361" t="n"/>
      <c r="P573" s="1379" t="n"/>
      <c r="Q573" s="1361" t="n"/>
      <c r="R573" s="1361" t="n"/>
      <c r="S573" s="1361" t="n"/>
      <c r="T573" s="1361" t="n"/>
      <c r="U573" s="1379" t="n"/>
      <c r="V573" s="1361" t="n"/>
      <c r="W573" s="1361" t="n"/>
      <c r="X573" s="1361" t="n"/>
      <c r="Y573" s="1361" t="n"/>
      <c r="Z573" s="1379" t="n"/>
      <c r="AA573" s="1361" t="n"/>
      <c r="AB573" s="1361" t="n"/>
      <c r="AC573" s="1361" t="n"/>
      <c r="AD573" s="1361" t="n"/>
      <c r="AE573" s="1379" t="n"/>
      <c r="AF573" s="1361" t="n"/>
      <c r="AG573" s="1361" t="n"/>
      <c r="AH573" s="1361" t="n"/>
      <c r="AI573" s="1361" t="n"/>
      <c r="AJ573" s="1379" t="n"/>
      <c r="AK573" s="1361" t="n"/>
      <c r="AL573" s="1361" t="n"/>
      <c r="AM573" s="1361" t="n"/>
      <c r="AN573" s="1361" t="n"/>
      <c r="AO573" s="1379" t="n"/>
      <c r="AP573" s="1361" t="n"/>
      <c r="AQ573" s="1361" t="n"/>
      <c r="AR573" s="1361" t="n"/>
      <c r="AS573" s="1361" t="n"/>
      <c r="AT573" s="1379" t="n"/>
      <c r="AU573" s="1361" t="n"/>
      <c r="AV573" s="1361" t="n"/>
      <c r="AW573" s="1361" t="n"/>
      <c r="AX573" s="1361" t="n"/>
      <c r="AY573" s="1379" t="n"/>
      <c r="AZ573" s="1361" t="n"/>
      <c r="BA573" s="1361" t="n"/>
      <c r="BB573" s="1361" t="n"/>
      <c r="BC573" s="1361" t="n"/>
      <c r="BD573" s="1379" t="n"/>
      <c r="BE573" s="1361" t="n"/>
      <c r="BF573" s="1361" t="n"/>
      <c r="BG573" s="1361" t="n"/>
      <c r="BH573" s="1361" t="n"/>
      <c r="BI573" s="1379" t="n"/>
      <c r="BJ573" s="1361" t="n"/>
      <c r="BK573" s="1361" t="n"/>
      <c r="BL573" s="1361" t="n"/>
      <c r="BM573" s="1361" t="n"/>
      <c r="BN573" s="1379" t="n"/>
      <c r="BO573" s="1361" t="n"/>
      <c r="BP573" s="1361" t="n"/>
      <c r="BQ573" s="1363" t="n"/>
      <c r="BR573" s="1361" t="n"/>
      <c r="BS573" s="1379" t="n"/>
      <c r="BT573" s="1361" t="n"/>
      <c r="BU573" s="1361" t="n"/>
      <c r="BV573" s="1361" t="n"/>
      <c r="BW573" s="1361" t="n"/>
      <c r="BX573" s="1379" t="n"/>
      <c r="BY573" s="1379" t="n"/>
      <c r="BZ573" s="1379" t="n"/>
      <c r="CA573" s="1379" t="n"/>
      <c r="CB573" s="1361" t="n"/>
    </row>
    <row r="574" hidden="1" outlineLevel="2" ht="15" customFormat="1" customHeight="1" s="1706">
      <c r="A574" s="1741" t="inlineStr">
        <is>
          <t>EoP Warrants Average Exercise Price, $/share</t>
        </is>
      </c>
      <c r="B574" s="1512" t="n"/>
      <c r="C574" s="1716" t="n"/>
      <c r="D574" s="1716" t="n"/>
      <c r="E574" s="1716" t="n"/>
      <c r="F574" s="1716" t="n"/>
      <c r="G574" s="1714" t="n"/>
      <c r="H574" s="1714" t="n"/>
      <c r="I574" s="1714" t="n"/>
      <c r="J574" s="1714" t="n"/>
      <c r="K574" s="1716" t="n"/>
      <c r="L574" s="1714" t="n"/>
      <c r="M574" s="1714" t="n"/>
      <c r="N574" s="1714" t="n"/>
      <c r="O574" s="1714" t="n"/>
      <c r="P574" s="1716" t="n"/>
      <c r="Q574" s="1714" t="n"/>
      <c r="R574" s="1714" t="n"/>
      <c r="S574" s="1714" t="n"/>
      <c r="T574" s="1714" t="n"/>
      <c r="U574" s="1716" t="n"/>
      <c r="V574" s="1714" t="n"/>
      <c r="W574" s="1714" t="n"/>
      <c r="X574" s="1714" t="n"/>
      <c r="Y574" s="1714" t="n"/>
      <c r="Z574" s="1716" t="n"/>
      <c r="AA574" s="1714" t="n"/>
      <c r="AB574" s="1714" t="n"/>
      <c r="AC574" s="1714" t="n"/>
      <c r="AD574" s="1714" t="n"/>
      <c r="AE574" s="1716" t="n"/>
      <c r="AF574" s="1714" t="n"/>
      <c r="AG574" s="1714" t="n"/>
      <c r="AH574" s="1714" t="n"/>
      <c r="AI574" s="1714" t="n"/>
      <c r="AJ574" s="1716" t="n"/>
      <c r="AK574" s="1714" t="n"/>
      <c r="AL574" s="1714" t="n"/>
      <c r="AM574" s="1714" t="n"/>
      <c r="AN574" s="1714" t="n"/>
      <c r="AO574" s="1716" t="n"/>
      <c r="AP574" s="1714" t="n"/>
      <c r="AQ574" s="1714" t="n"/>
      <c r="AR574" s="1714" t="n"/>
      <c r="AS574" s="1714" t="n"/>
      <c r="AT574" s="1716" t="n"/>
      <c r="AU574" s="1714" t="n"/>
      <c r="AV574" s="1714" t="n"/>
      <c r="AW574" s="1714" t="n"/>
      <c r="AX574" s="1714" t="n"/>
      <c r="AY574" s="1716" t="n"/>
      <c r="AZ574" s="1714" t="n"/>
      <c r="BA574" s="1714" t="n"/>
      <c r="BB574" s="1714" t="n"/>
      <c r="BC574" s="1714" t="n"/>
      <c r="BD574" s="1716" t="n"/>
      <c r="BE574" s="1714" t="n"/>
      <c r="BF574" s="1714" t="n"/>
      <c r="BG574" s="1714" t="n"/>
      <c r="BH574" s="1714" t="n"/>
      <c r="BI574" s="1716" t="n"/>
      <c r="BJ574" s="1714" t="n"/>
      <c r="BK574" s="1714" t="n"/>
      <c r="BL574" s="1714" t="n"/>
      <c r="BM574" s="1714" t="n"/>
      <c r="BN574" s="1716" t="n"/>
      <c r="BO574" s="1714" t="n"/>
      <c r="BP574" s="1714" t="n"/>
      <c r="BQ574" s="1717" t="n"/>
      <c r="BR574" s="1714" t="n"/>
      <c r="BS574" s="1716" t="n"/>
      <c r="BT574" s="1714" t="n"/>
      <c r="BU574" s="1714" t="n"/>
      <c r="BV574" s="1714" t="n"/>
      <c r="BW574" s="1714" t="n"/>
      <c r="BX574" s="1716" t="n"/>
      <c r="BY574" s="1716" t="n"/>
      <c r="BZ574" s="1716" t="n"/>
      <c r="CA574" s="1716" t="n"/>
      <c r="CB574" s="1361" t="n"/>
    </row>
    <row r="575" hidden="1" outlineLevel="2" ht="15" customFormat="1" customHeight="1" s="1706">
      <c r="A575" s="1693" t="inlineStr">
        <is>
          <t>Dilutive Shares from Exercised Warrants (Treasury Method), mm shares</t>
        </is>
      </c>
      <c r="B575" s="1694" t="n"/>
      <c r="C575" s="1698">
        <f>IF(C526&gt;C574,(1-C574/C526)*C573,0)</f>
        <v/>
      </c>
      <c r="D575" s="1698">
        <f>IF(D526&gt;D574,(1-D574/D526)*D573,0)</f>
        <v/>
      </c>
      <c r="E575" s="1698">
        <f>IF(E526&gt;E574,(1-E574/E526)*E573,0)</f>
        <v/>
      </c>
      <c r="F575" s="1698">
        <f>IF(F526&gt;F574,(1-F574/F526)*F573,0)</f>
        <v/>
      </c>
      <c r="G575" s="1693">
        <f>IF(G526&gt;G574,(1-G574/G526)*G573,0)</f>
        <v/>
      </c>
      <c r="H575" s="1693">
        <f>IF(H526&gt;H574,(1-H574/H526)*H573,0)</f>
        <v/>
      </c>
      <c r="I575" s="1693">
        <f>IF(I526&gt;I574,(1-I574/I526)*I573,0)</f>
        <v/>
      </c>
      <c r="J575" s="1693">
        <f>IF(J526&gt;J574,(1-J574/J526)*J573,0)</f>
        <v/>
      </c>
      <c r="K575" s="1698">
        <f>IF(K526&gt;K574,(1-K574/K526)*K573,0)</f>
        <v/>
      </c>
      <c r="L575" s="1693">
        <f>IF(L526&gt;L574,(1-L574/L526)*L573,0)</f>
        <v/>
      </c>
      <c r="M575" s="1693">
        <f>IF(M526&gt;M574,(1-M574/M526)*M573,0)</f>
        <v/>
      </c>
      <c r="N575" s="1693">
        <f>IF(N526&gt;N574,(1-N574/N526)*N573,0)</f>
        <v/>
      </c>
      <c r="O575" s="1693">
        <f>IF(O526&gt;O574,(1-O574/O526)*O573,0)</f>
        <v/>
      </c>
      <c r="P575" s="1698">
        <f>IF(P526&gt;P574,(1-P574/P526)*P573,0)</f>
        <v/>
      </c>
      <c r="Q575" s="1693">
        <f>IF(Q526&gt;Q574,(1-Q574/Q526)*Q573,0)</f>
        <v/>
      </c>
      <c r="R575" s="1693">
        <f>IF(R526&gt;R574,(1-R574/R526)*R573,0)</f>
        <v/>
      </c>
      <c r="S575" s="1693">
        <f>IF(S526&gt;S574,(1-S574/S526)*S573,0)</f>
        <v/>
      </c>
      <c r="T575" s="1693">
        <f>IF(T526&gt;T574,(1-T574/T526)*T573,0)</f>
        <v/>
      </c>
      <c r="U575" s="1698">
        <f>IF(U526&gt;U574,(1-U574/U526)*U573,0)</f>
        <v/>
      </c>
      <c r="V575" s="1693">
        <f>IF(V526&gt;V574,(1-V574/V526)*V573,0)</f>
        <v/>
      </c>
      <c r="W575" s="1693">
        <f>IF(W526&gt;W574,(1-W574/W526)*W573,0)</f>
        <v/>
      </c>
      <c r="X575" s="1693">
        <f>IF(X526&gt;X574,(1-X574/X526)*X573,0)</f>
        <v/>
      </c>
      <c r="Y575" s="1693">
        <f>IF(Y526&gt;Y574,(1-Y574/Y526)*Y573,0)</f>
        <v/>
      </c>
      <c r="Z575" s="1698">
        <f>IF(Z526&gt;Z574,(1-Z574/Z526)*Z573,0)</f>
        <v/>
      </c>
      <c r="AA575" s="1693">
        <f>IF(AA526&gt;AA574,(1-AA574/AA526)*AA573,0)</f>
        <v/>
      </c>
      <c r="AB575" s="1693">
        <f>IF(AB526&gt;AB574,(1-AB574/AB526)*AB573,0)</f>
        <v/>
      </c>
      <c r="AC575" s="1693">
        <f>IF(AC526&gt;AC574,(1-AC574/AC526)*AC573,0)</f>
        <v/>
      </c>
      <c r="AD575" s="1693">
        <f>IF(AD526&gt;AD574,(1-AD574/AD526)*AD573,0)</f>
        <v/>
      </c>
      <c r="AE575" s="1698">
        <f>IF(AE526&gt;AE574,(1-AE574/AE526)*AE573,0)</f>
        <v/>
      </c>
      <c r="AF575" s="1693">
        <f>IF(AF526&gt;AF574,(1-AF574/AF526)*AF573,0)</f>
        <v/>
      </c>
      <c r="AG575" s="1693">
        <f>IF(AG526&gt;AG574,(1-AG574/AG526)*AG573,0)</f>
        <v/>
      </c>
      <c r="AH575" s="1693">
        <f>IF(AH526&gt;AH574,(1-AH574/AH526)*AH573,0)</f>
        <v/>
      </c>
      <c r="AI575" s="1693">
        <f>IF(AI526&gt;AI574,(1-AI574/AI526)*AI573,0)</f>
        <v/>
      </c>
      <c r="AJ575" s="1698">
        <f>IF(AJ526&gt;AJ574,(1-AJ574/AJ526)*AJ573,0)</f>
        <v/>
      </c>
      <c r="AK575" s="1693">
        <f>IF(AK526&gt;AK574,(1-AK574/AK526)*AK573,0)</f>
        <v/>
      </c>
      <c r="AL575" s="1693">
        <f>IF(AL526&gt;AL574,(1-AL574/AL526)*AL573,0)</f>
        <v/>
      </c>
      <c r="AM575" s="1693">
        <f>IF(AM526&gt;AM574,(1-AM574/AM526)*AM573,0)</f>
        <v/>
      </c>
      <c r="AN575" s="1693">
        <f>IF(AN526&gt;AN574,(1-AN574/AN526)*AN573,0)</f>
        <v/>
      </c>
      <c r="AO575" s="1698">
        <f>IF(AO526&gt;AO574,(1-AO574/AO526)*AO573,0)</f>
        <v/>
      </c>
      <c r="AP575" s="1693">
        <f>IF(AP526&gt;AP574,(1-AP574/AP526)*AP573,0)</f>
        <v/>
      </c>
      <c r="AQ575" s="1693">
        <f>IF(AQ526&gt;AQ574,(1-AQ574/AQ526)*AQ573,0)</f>
        <v/>
      </c>
      <c r="AR575" s="1693">
        <f>IF(AR526&gt;AR574,(1-AR574/AR526)*AR573,0)</f>
        <v/>
      </c>
      <c r="AS575" s="1693">
        <f>IF(AS526&gt;AS574,(1-AS574/AS526)*AS573,0)</f>
        <v/>
      </c>
      <c r="AT575" s="1698">
        <f>IF(AT526&gt;AT574,(1-AT574/AT526)*AT573,0)</f>
        <v/>
      </c>
      <c r="AU575" s="1693">
        <f>IF(AU526&gt;AU574,(1-AU574/AU526)*AU573,0)</f>
        <v/>
      </c>
      <c r="AV575" s="1693">
        <f>IF(AV526&gt;AV574,(1-AV574/AV526)*AV573,0)</f>
        <v/>
      </c>
      <c r="AW575" s="1693">
        <f>IF(AW526&gt;AW574,(1-AW574/AW526)*AW573,0)</f>
        <v/>
      </c>
      <c r="AX575" s="1693">
        <f>IF(AX526&gt;AX574,(1-AX574/AX526)*AX573,0)</f>
        <v/>
      </c>
      <c r="AY575" s="1698">
        <f>IF(AY526&gt;AY574,(1-AY574/AY526)*AY573,0)</f>
        <v/>
      </c>
      <c r="AZ575" s="1693">
        <f>IF(AZ526&gt;AZ574,(1-AZ574/AZ526)*AZ573,0)</f>
        <v/>
      </c>
      <c r="BA575" s="1693">
        <f>IF(BA526&gt;BA574,(1-BA574/BA526)*BA573,0)</f>
        <v/>
      </c>
      <c r="BB575" s="1693">
        <f>IF(BB526&gt;BB574,(1-BB574/BB526)*BB573,0)</f>
        <v/>
      </c>
      <c r="BC575" s="1693">
        <f>IF(BC526&gt;BC574,(1-BC574/BC526)*BC573,0)</f>
        <v/>
      </c>
      <c r="BD575" s="1698">
        <f>IF(BD526&gt;BD574,(1-BD574/BD526)*BD573,0)</f>
        <v/>
      </c>
      <c r="BE575" s="1693">
        <f>IF(BE526&gt;BE574,(1-BE574/BE526)*BE573,0)</f>
        <v/>
      </c>
      <c r="BF575" s="1693">
        <f>IF(BF526&gt;BF574,(1-BF574/BF526)*BF573,0)</f>
        <v/>
      </c>
      <c r="BG575" s="1693">
        <f>IF(BG526&gt;BG574,(1-BG574/BG526)*BG573,0)</f>
        <v/>
      </c>
      <c r="BH575" s="1693">
        <f>IF(BH526&gt;BH574,(1-BH574/BH526)*BH573,0)</f>
        <v/>
      </c>
      <c r="BI575" s="1698">
        <f>IF(BI526&gt;BI574,(1-BI574/BI526)*BI573,0)</f>
        <v/>
      </c>
      <c r="BJ575" s="1693">
        <f>IF(BJ526&gt;BJ574,(1-BJ574/BJ526)*BJ573,0)</f>
        <v/>
      </c>
      <c r="BK575" s="1693">
        <f>IF(BK526&gt;BK574,(1-BK574/BK526)*BK573,0)</f>
        <v/>
      </c>
      <c r="BL575" s="1693">
        <f>IF(BL526&gt;BL574,(1-BL574/BL526)*BL573,0)</f>
        <v/>
      </c>
      <c r="BM575" s="1693">
        <f>IF(BM526&gt;BM574,(1-BM574/BM526)*BM573,0)</f>
        <v/>
      </c>
      <c r="BN575" s="1698">
        <f>IF(BN526&gt;BN574,(1-BN574/BN526)*BN573,0)</f>
        <v/>
      </c>
      <c r="BO575" s="1693">
        <f>IF(BO526&gt;BO574,(1-BO574/BO526)*BO573,0)</f>
        <v/>
      </c>
      <c r="BP575" s="1693">
        <f>IF(BP526&gt;BP574,(1-BP574/BP526)*BP573,0)</f>
        <v/>
      </c>
      <c r="BQ575" s="1733">
        <f>IF(BQ526&gt;BQ574,(1-BQ574/BQ526)*BQ573,0)</f>
        <v/>
      </c>
      <c r="BR575" s="1693" t="n"/>
      <c r="BS575" s="1698" t="n"/>
      <c r="BT575" s="1693" t="n"/>
      <c r="BU575" s="1693" t="n"/>
      <c r="BV575" s="1693" t="n"/>
      <c r="BW575" s="1693" t="n"/>
      <c r="BX575" s="1698" t="n"/>
      <c r="BY575" s="1698" t="n"/>
      <c r="BZ575" s="1698" t="n"/>
      <c r="CA575" s="1698" t="n"/>
      <c r="CB575" s="1361" t="n"/>
    </row>
    <row r="576" hidden="1" outlineLevel="2" ht="15" customFormat="1" customHeight="1" s="1706">
      <c r="A576" s="1738" t="n"/>
      <c r="B576" s="1517" t="n"/>
      <c r="C576" s="1739" t="n"/>
      <c r="D576" s="1739" t="n"/>
      <c r="E576" s="1739" t="n"/>
      <c r="F576" s="1739" t="n"/>
      <c r="G576" s="1738" t="n"/>
      <c r="H576" s="1738" t="n"/>
      <c r="I576" s="1738" t="n"/>
      <c r="J576" s="1738" t="n"/>
      <c r="K576" s="1739" t="n"/>
      <c r="L576" s="1738" t="n"/>
      <c r="M576" s="1738" t="n"/>
      <c r="N576" s="1738" t="n"/>
      <c r="O576" s="1738" t="n"/>
      <c r="P576" s="1739" t="n"/>
      <c r="Q576" s="1738" t="n"/>
      <c r="R576" s="1738" t="n"/>
      <c r="S576" s="1738" t="n"/>
      <c r="T576" s="1738" t="n"/>
      <c r="U576" s="1739" t="n"/>
      <c r="V576" s="1738" t="n"/>
      <c r="W576" s="1738" t="n"/>
      <c r="X576" s="1738" t="n"/>
      <c r="Y576" s="1738" t="n"/>
      <c r="Z576" s="1739" t="n"/>
      <c r="AA576" s="1738" t="n"/>
      <c r="AB576" s="1738" t="n"/>
      <c r="AC576" s="1738" t="n"/>
      <c r="AD576" s="1738" t="n"/>
      <c r="AE576" s="1739" t="n"/>
      <c r="AF576" s="1738" t="n"/>
      <c r="AG576" s="1738" t="n"/>
      <c r="AH576" s="1738" t="n"/>
      <c r="AI576" s="1738" t="n"/>
      <c r="AJ576" s="1739" t="n"/>
      <c r="AK576" s="1738" t="n"/>
      <c r="AL576" s="1738" t="n"/>
      <c r="AM576" s="1738" t="n"/>
      <c r="AN576" s="1738" t="n"/>
      <c r="AO576" s="1739" t="n"/>
      <c r="AP576" s="1738" t="n"/>
      <c r="AQ576" s="1738" t="n"/>
      <c r="AR576" s="1738" t="n"/>
      <c r="AS576" s="1738" t="n"/>
      <c r="AT576" s="1739" t="n"/>
      <c r="AU576" s="1738" t="n"/>
      <c r="AV576" s="1738" t="n"/>
      <c r="AW576" s="1738" t="n"/>
      <c r="AX576" s="1738" t="n"/>
      <c r="AY576" s="1739" t="n"/>
      <c r="AZ576" s="1738" t="n"/>
      <c r="BA576" s="1738" t="n"/>
      <c r="BB576" s="1738" t="n"/>
      <c r="BC576" s="1738" t="n"/>
      <c r="BD576" s="1739" t="n"/>
      <c r="BE576" s="1738" t="n"/>
      <c r="BF576" s="1738" t="n"/>
      <c r="BG576" s="1738" t="n"/>
      <c r="BH576" s="1738" t="n"/>
      <c r="BI576" s="1739" t="n"/>
      <c r="BJ576" s="1738" t="n"/>
      <c r="BK576" s="1738" t="n"/>
      <c r="BL576" s="1738" t="n"/>
      <c r="BM576" s="1738" t="n"/>
      <c r="BN576" s="1739" t="n"/>
      <c r="BO576" s="1738" t="n"/>
      <c r="BP576" s="1738" t="n"/>
      <c r="BQ576" s="1740" t="n"/>
      <c r="BR576" s="1738" t="n"/>
      <c r="BS576" s="1739" t="n"/>
      <c r="BT576" s="1738" t="n"/>
      <c r="BU576" s="1738" t="n"/>
      <c r="BV576" s="1738" t="n"/>
      <c r="BW576" s="1738" t="n"/>
      <c r="BX576" s="1739" t="n"/>
      <c r="BY576" s="1739" t="n"/>
      <c r="BZ576" s="1739" t="n"/>
      <c r="CA576" s="1739" t="n"/>
      <c r="CB576" s="1361" t="n"/>
    </row>
    <row r="577" hidden="1" outlineLevel="3" ht="15" customFormat="1" customHeight="1" s="1359">
      <c r="A577" s="1361" t="inlineStr">
        <is>
          <t>BoP Unvested RSUs, mm shares</t>
        </is>
      </c>
      <c r="B577" s="1512" t="n"/>
      <c r="C577" s="1494">
        <f>6.951+0.861</f>
        <v/>
      </c>
      <c r="D577" s="1379">
        <f>C581</f>
        <v/>
      </c>
      <c r="E577" s="1379">
        <f>D581</f>
        <v/>
      </c>
      <c r="F577" s="1379">
        <f>E581</f>
        <v/>
      </c>
      <c r="G577" s="1361" t="n"/>
      <c r="H577" s="1361" t="n"/>
      <c r="I577" s="1361" t="n"/>
      <c r="J577" s="1361" t="n"/>
      <c r="K577" s="1379">
        <f>F581</f>
        <v/>
      </c>
      <c r="L577" s="1361" t="n"/>
      <c r="M577" s="1361" t="n"/>
      <c r="N577" s="1361" t="n"/>
      <c r="O577" s="1361" t="n"/>
      <c r="P577" s="1379">
        <f>K581</f>
        <v/>
      </c>
      <c r="Q577" s="1361" t="n"/>
      <c r="R577" s="1361" t="n"/>
      <c r="S577" s="1361" t="n"/>
      <c r="T577" s="1361" t="n"/>
      <c r="U577" s="1379">
        <f>P581</f>
        <v/>
      </c>
      <c r="V577" s="1361" t="n"/>
      <c r="W577" s="1361" t="n"/>
      <c r="X577" s="1361" t="n"/>
      <c r="Y577" s="1361" t="n"/>
      <c r="Z577" s="1379">
        <f>U581</f>
        <v/>
      </c>
      <c r="AA577" s="1361" t="n"/>
      <c r="AB577" s="1361" t="n"/>
      <c r="AC577" s="1361" t="n"/>
      <c r="AD577" s="1361" t="n"/>
      <c r="AE577" s="1379">
        <f>Z581</f>
        <v/>
      </c>
      <c r="AF577" s="1361" t="n"/>
      <c r="AG577" s="1361" t="n"/>
      <c r="AH577" s="1361" t="n"/>
      <c r="AI577" s="1361" t="n"/>
      <c r="AJ577" s="1379">
        <f>AE581</f>
        <v/>
      </c>
      <c r="AK577" s="1361" t="n"/>
      <c r="AL577" s="1361" t="n"/>
      <c r="AM577" s="1361" t="n"/>
      <c r="AN577" s="1361" t="n"/>
      <c r="AO577" s="1379">
        <f>AJ581</f>
        <v/>
      </c>
      <c r="AP577" s="1361" t="n"/>
      <c r="AQ577" s="1361" t="n"/>
      <c r="AR577" s="1361" t="n"/>
      <c r="AS577" s="1361" t="n"/>
      <c r="AT577" s="1379">
        <f>AO581</f>
        <v/>
      </c>
      <c r="AU577" s="1361" t="n"/>
      <c r="AV577" s="1361" t="n"/>
      <c r="AW577" s="1361" t="n"/>
      <c r="AX577" s="1361" t="n"/>
      <c r="AY577" s="1379">
        <f>AT581</f>
        <v/>
      </c>
      <c r="AZ577" s="1361" t="n"/>
      <c r="BA577" s="1361" t="n"/>
      <c r="BB577" s="1361" t="n"/>
      <c r="BC577" s="1361" t="n"/>
      <c r="BD577" s="1379">
        <f>AY581</f>
        <v/>
      </c>
      <c r="BE577" s="1361" t="n"/>
      <c r="BF577" s="1361" t="n"/>
      <c r="BG577" s="1361" t="n"/>
      <c r="BH577" s="1361" t="n"/>
      <c r="BI577" s="1379">
        <f>BD581</f>
        <v/>
      </c>
      <c r="BJ577" s="1361" t="n"/>
      <c r="BK577" s="1361" t="n"/>
      <c r="BL577" s="1361" t="n"/>
      <c r="BM577" s="1361" t="n"/>
      <c r="BN577" s="1379">
        <f>BI581</f>
        <v/>
      </c>
      <c r="BO577" s="1361" t="n"/>
      <c r="BP577" s="1361" t="n"/>
      <c r="BQ577" s="1363" t="n"/>
      <c r="BR577" s="1361" t="n"/>
      <c r="BS577" s="1379" t="n"/>
      <c r="BT577" s="1361" t="n"/>
      <c r="BU577" s="1361" t="n"/>
      <c r="BV577" s="1361" t="n"/>
      <c r="BW577" s="1361" t="n"/>
      <c r="BX577" s="1379" t="n"/>
      <c r="BY577" s="1379" t="n"/>
      <c r="BZ577" s="1379" t="n"/>
      <c r="CA577" s="1379" t="n"/>
      <c r="CB577" s="1361" t="n"/>
    </row>
    <row r="578" hidden="1" outlineLevel="3" ht="15" customFormat="1" customHeight="1" s="1359">
      <c r="A578" s="1474" t="inlineStr">
        <is>
          <t>Granted Stock units, mm shares</t>
        </is>
      </c>
      <c r="B578" s="1512" t="n"/>
      <c r="C578" s="1494">
        <f>4.123+1.088</f>
        <v/>
      </c>
      <c r="D578" s="1494">
        <f>3.516+0.843</f>
        <v/>
      </c>
      <c r="E578" s="1494" t="n">
        <v>4.416</v>
      </c>
      <c r="F578" s="1494" t="n">
        <v>6.078</v>
      </c>
      <c r="G578" s="1361" t="n"/>
      <c r="H578" s="1361" t="n"/>
      <c r="I578" s="1361" t="n"/>
      <c r="J578" s="1361" t="n"/>
      <c r="K578" s="1494" t="n">
        <v>5.306</v>
      </c>
      <c r="L578" s="1361" t="n"/>
      <c r="M578" s="1361" t="n"/>
      <c r="N578" s="1361" t="n"/>
      <c r="O578" s="1361" t="n"/>
      <c r="P578" s="1494" t="n">
        <v>5.84</v>
      </c>
      <c r="Q578" s="1361" t="n"/>
      <c r="R578" s="1361" t="n"/>
      <c r="S578" s="1361" t="n"/>
      <c r="T578" s="1361" t="n"/>
      <c r="U578" s="1494" t="n">
        <v>5.849</v>
      </c>
      <c r="V578" s="1361" t="n"/>
      <c r="W578" s="1361" t="n"/>
      <c r="X578" s="1361" t="n"/>
      <c r="Y578" s="1361" t="n"/>
      <c r="Z578" s="1494" t="n">
        <v>7.145</v>
      </c>
      <c r="AA578" s="1361" t="n"/>
      <c r="AB578" s="1361" t="n"/>
      <c r="AC578" s="1361" t="n"/>
      <c r="AD578" s="1361" t="n"/>
      <c r="AE578" s="1494" t="n">
        <v>5.909</v>
      </c>
      <c r="AF578" s="1361" t="n"/>
      <c r="AG578" s="1361" t="n"/>
      <c r="AH578" s="1361" t="n"/>
      <c r="AI578" s="1361" t="n"/>
      <c r="AJ578" s="1494" t="n">
        <v>3.94</v>
      </c>
      <c r="AK578" s="1361" t="n"/>
      <c r="AL578" s="1361" t="n"/>
      <c r="AM578" s="1361" t="n"/>
      <c r="AN578" s="1361" t="n"/>
      <c r="AO578" s="1494" t="n">
        <v>4.028</v>
      </c>
      <c r="AP578" s="1361" t="n"/>
      <c r="AQ578" s="1361" t="n"/>
      <c r="AR578" s="1361" t="n"/>
      <c r="AS578" s="1361" t="n"/>
      <c r="AT578" s="1494" t="n">
        <v>2.18</v>
      </c>
      <c r="AU578" s="1361" t="n"/>
      <c r="AV578" s="1361" t="n"/>
      <c r="AW578" s="1361" t="n"/>
      <c r="AX578" s="1361" t="n"/>
      <c r="AY578" s="1494" t="n">
        <v>1.688</v>
      </c>
      <c r="AZ578" s="1361" t="n"/>
      <c r="BA578" s="1361" t="n"/>
      <c r="BB578" s="1361" t="n"/>
      <c r="BC578" s="1361" t="n"/>
      <c r="BD578" s="1494" t="n">
        <v>3.885</v>
      </c>
      <c r="BE578" s="1361" t="n"/>
      <c r="BF578" s="1361" t="n"/>
      <c r="BG578" s="1361" t="n"/>
      <c r="BH578" s="1361" t="n"/>
      <c r="BI578" s="1494" t="n">
        <v>1.546</v>
      </c>
      <c r="BJ578" s="1361" t="n"/>
      <c r="BK578" s="1361" t="n"/>
      <c r="BL578" s="1361" t="n"/>
      <c r="BM578" s="1361" t="n"/>
      <c r="BN578" s="1494" t="n">
        <v>1.573</v>
      </c>
      <c r="BO578" s="1361" t="n"/>
      <c r="BP578" s="1361" t="n"/>
      <c r="BQ578" s="1363" t="n"/>
      <c r="BR578" s="1361" t="n"/>
      <c r="BS578" s="1379" t="n"/>
      <c r="BT578" s="1361" t="n"/>
      <c r="BU578" s="1361" t="n"/>
      <c r="BV578" s="1361" t="n"/>
      <c r="BW578" s="1361" t="n"/>
      <c r="BX578" s="1379" t="n"/>
      <c r="BY578" s="1379" t="n"/>
      <c r="BZ578" s="1379" t="n"/>
      <c r="CA578" s="1379" t="n"/>
      <c r="CB578" s="1361" t="n"/>
    </row>
    <row r="579" hidden="1" outlineLevel="3" ht="15" customFormat="1" customHeight="1" s="1359">
      <c r="A579" s="1474" t="inlineStr">
        <is>
          <t>Vested Stock units, mm shares</t>
        </is>
      </c>
      <c r="B579" s="1512" t="n"/>
      <c r="C579" s="1494">
        <f>-3.103-0.338</f>
        <v/>
      </c>
      <c r="D579" s="1494">
        <f>-3.352-0.624</f>
        <v/>
      </c>
      <c r="E579" s="1494" t="n">
        <v>-4.335</v>
      </c>
      <c r="F579" s="1494" t="n">
        <v>-4.033</v>
      </c>
      <c r="G579" s="1361" t="n"/>
      <c r="H579" s="1361" t="n"/>
      <c r="I579" s="1361" t="n"/>
      <c r="J579" s="1361" t="n"/>
      <c r="K579" s="1494" t="n">
        <v>-4.089</v>
      </c>
      <c r="L579" s="1361" t="n"/>
      <c r="M579" s="1361" t="n"/>
      <c r="N579" s="1361" t="n"/>
      <c r="O579" s="1361" t="n"/>
      <c r="P579" s="1494" t="n">
        <v>-4.719</v>
      </c>
      <c r="Q579" s="1361" t="n"/>
      <c r="R579" s="1361" t="n"/>
      <c r="S579" s="1361" t="n"/>
      <c r="T579" s="1361" t="n"/>
      <c r="U579" s="1494" t="n">
        <v>-5.019</v>
      </c>
      <c r="V579" s="1361" t="n"/>
      <c r="W579" s="1361" t="n"/>
      <c r="X579" s="1361" t="n"/>
      <c r="Y579" s="1361" t="n"/>
      <c r="Z579" s="1494" t="n">
        <v>-4.939</v>
      </c>
      <c r="AA579" s="1361" t="n"/>
      <c r="AB579" s="1361" t="n"/>
      <c r="AC579" s="1361" t="n"/>
      <c r="AD579" s="1361" t="n"/>
      <c r="AE579" s="1494" t="n">
        <v>-5.121</v>
      </c>
      <c r="AF579" s="1361" t="n"/>
      <c r="AG579" s="1361" t="n"/>
      <c r="AH579" s="1361" t="n"/>
      <c r="AI579" s="1361" t="n"/>
      <c r="AJ579" s="1494" t="n">
        <v>-5.457</v>
      </c>
      <c r="AK579" s="1361" t="n"/>
      <c r="AL579" s="1361" t="n"/>
      <c r="AM579" s="1361" t="n"/>
      <c r="AN579" s="1361" t="n"/>
      <c r="AO579" s="1494" t="n">
        <v>-4.799</v>
      </c>
      <c r="AP579" s="1361" t="n"/>
      <c r="AQ579" s="1361" t="n"/>
      <c r="AR579" s="1361" t="n"/>
      <c r="AS579" s="1361" t="n"/>
      <c r="AT579" s="1494" t="n">
        <v>-3.865</v>
      </c>
      <c r="AU579" s="1361" t="n"/>
      <c r="AV579" s="1361" t="n"/>
      <c r="AW579" s="1361" t="n"/>
      <c r="AX579" s="1361" t="n"/>
      <c r="AY579" s="1494" t="n">
        <v>-2.57</v>
      </c>
      <c r="AZ579" s="1361" t="n"/>
      <c r="BA579" s="1361" t="n"/>
      <c r="BB579" s="1361" t="n"/>
      <c r="BC579" s="1361" t="n"/>
      <c r="BD579" s="1494" t="n">
        <v>-2.164</v>
      </c>
      <c r="BE579" s="1361" t="n"/>
      <c r="BF579" s="1361" t="n"/>
      <c r="BG579" s="1361" t="n"/>
      <c r="BH579" s="1361" t="n"/>
      <c r="BI579" s="1494" t="n">
        <v>-2.052</v>
      </c>
      <c r="BJ579" s="1361" t="n"/>
      <c r="BK579" s="1361" t="n"/>
      <c r="BL579" s="1361" t="n"/>
      <c r="BM579" s="1361" t="n"/>
      <c r="BN579" s="1494" t="n">
        <v>-2.233</v>
      </c>
      <c r="BO579" s="1361" t="n"/>
      <c r="BP579" s="1361" t="n"/>
      <c r="BQ579" s="1363" t="n"/>
      <c r="BR579" s="1361" t="n"/>
      <c r="BS579" s="1379" t="n"/>
      <c r="BT579" s="1361" t="n"/>
      <c r="BU579" s="1361" t="n"/>
      <c r="BV579" s="1361" t="n"/>
      <c r="BW579" s="1361" t="n"/>
      <c r="BX579" s="1379" t="n"/>
      <c r="BY579" s="1379" t="n"/>
      <c r="BZ579" s="1379" t="n"/>
      <c r="CA579" s="1379" t="n"/>
      <c r="CB579" s="1361" t="n"/>
    </row>
    <row r="580" hidden="1" outlineLevel="3" ht="15" customFormat="1" customHeight="1" s="1359">
      <c r="A580" s="1478" t="inlineStr">
        <is>
          <t>Forfeited Stock units, mm shares</t>
        </is>
      </c>
      <c r="B580" s="1514" t="n"/>
      <c r="C580" s="1480">
        <f>-0.807-0.108</f>
        <v/>
      </c>
      <c r="D580" s="1480">
        <f>-0.642-0.111</f>
        <v/>
      </c>
      <c r="E580" s="1480" t="n">
        <v>-0.551</v>
      </c>
      <c r="F580" s="1480" t="n">
        <v>-0.428</v>
      </c>
      <c r="G580" s="1456" t="n"/>
      <c r="H580" s="1456" t="n"/>
      <c r="I580" s="1456" t="n"/>
      <c r="J580" s="1456" t="n"/>
      <c r="K580" s="1480" t="n">
        <v>-0.548</v>
      </c>
      <c r="L580" s="1456" t="n"/>
      <c r="M580" s="1456" t="n"/>
      <c r="N580" s="1456" t="n"/>
      <c r="O580" s="1456" t="n"/>
      <c r="P580" s="1480" t="n">
        <v>-0.783</v>
      </c>
      <c r="Q580" s="1456" t="n"/>
      <c r="R580" s="1456" t="n"/>
      <c r="S580" s="1456" t="n"/>
      <c r="T580" s="1456" t="n"/>
      <c r="U580" s="1480" t="n">
        <v>-0.704</v>
      </c>
      <c r="V580" s="1456" t="n"/>
      <c r="W580" s="1456" t="n"/>
      <c r="X580" s="1456" t="n"/>
      <c r="Y580" s="1456" t="n"/>
      <c r="Z580" s="1480" t="n">
        <v>-0.701</v>
      </c>
      <c r="AA580" s="1456" t="n"/>
      <c r="AB580" s="1456" t="n"/>
      <c r="AC580" s="1456" t="n"/>
      <c r="AD580" s="1456" t="n"/>
      <c r="AE580" s="1480" t="n">
        <v>-0.902</v>
      </c>
      <c r="AF580" s="1456" t="n"/>
      <c r="AG580" s="1456" t="n"/>
      <c r="AH580" s="1456" t="n"/>
      <c r="AI580" s="1456" t="n"/>
      <c r="AJ580" s="1480" t="n">
        <v>-0.749</v>
      </c>
      <c r="AK580" s="1456" t="n"/>
      <c r="AL580" s="1456" t="n"/>
      <c r="AM580" s="1456" t="n"/>
      <c r="AN580" s="1456" t="n"/>
      <c r="AO580" s="1480" t="n">
        <v>-0.538</v>
      </c>
      <c r="AP580" s="1456" t="n"/>
      <c r="AQ580" s="1456" t="n"/>
      <c r="AR580" s="1456" t="n"/>
      <c r="AS580" s="1456" t="n"/>
      <c r="AT580" s="1480" t="n">
        <v>-0.469</v>
      </c>
      <c r="AU580" s="1456" t="n"/>
      <c r="AV580" s="1456" t="n"/>
      <c r="AW580" s="1456" t="n"/>
      <c r="AX580" s="1456" t="n"/>
      <c r="AY580" s="1480" t="n">
        <v>-0.426</v>
      </c>
      <c r="AZ580" s="1456" t="n"/>
      <c r="BA580" s="1456" t="n"/>
      <c r="BB580" s="1456" t="n"/>
      <c r="BC580" s="1456" t="n"/>
      <c r="BD580" s="1480" t="n">
        <v>-0.281</v>
      </c>
      <c r="BE580" s="1456" t="n"/>
      <c r="BF580" s="1456" t="n"/>
      <c r="BG580" s="1456" t="n"/>
      <c r="BH580" s="1456" t="n"/>
      <c r="BI580" s="1480" t="n">
        <v>-0.268</v>
      </c>
      <c r="BJ580" s="1456" t="n"/>
      <c r="BK580" s="1456" t="n"/>
      <c r="BL580" s="1456" t="n"/>
      <c r="BM580" s="1456" t="n"/>
      <c r="BN580" s="1480" t="n">
        <v>-0.38</v>
      </c>
      <c r="BO580" s="1456" t="n"/>
      <c r="BP580" s="1456" t="n"/>
      <c r="BQ580" s="1457" t="n"/>
      <c r="BR580" s="1456" t="n"/>
      <c r="BS580" s="1455" t="n"/>
      <c r="BT580" s="1456" t="n"/>
      <c r="BU580" s="1456" t="n"/>
      <c r="BV580" s="1456" t="n"/>
      <c r="BW580" s="1456" t="n"/>
      <c r="BX580" s="1455" t="n"/>
      <c r="BY580" s="1455" t="n"/>
      <c r="BZ580" s="1455" t="n"/>
      <c r="CA580" s="1455" t="n"/>
      <c r="CB580" s="1361" t="n"/>
    </row>
    <row r="581" hidden="1" outlineLevel="2" collapsed="1" ht="15" customFormat="1" customHeight="1" s="1359">
      <c r="A581" s="1361" t="inlineStr">
        <is>
          <t>EoP Unvested RSUs, mm shares</t>
        </is>
      </c>
      <c r="B581" s="1512" t="n"/>
      <c r="C581" s="1379">
        <f>SUM(C577:C580)</f>
        <v/>
      </c>
      <c r="D581" s="1379">
        <f>SUM(D577:D580)</f>
        <v/>
      </c>
      <c r="E581" s="1379">
        <f>SUM(E577:E580)</f>
        <v/>
      </c>
      <c r="F581" s="1379">
        <f>SUM(F577:F580)</f>
        <v/>
      </c>
      <c r="G581" s="1361">
        <f>F581</f>
        <v/>
      </c>
      <c r="H581" s="1361">
        <f>F581</f>
        <v/>
      </c>
      <c r="I581" s="1361">
        <f>F581</f>
        <v/>
      </c>
      <c r="J581" s="1361">
        <f>K581</f>
        <v/>
      </c>
      <c r="K581" s="1379">
        <f>SUM(K577:K580)</f>
        <v/>
      </c>
      <c r="L581" s="1361">
        <f>K581</f>
        <v/>
      </c>
      <c r="M581" s="1361">
        <f>K581</f>
        <v/>
      </c>
      <c r="N581" s="1361">
        <f>K581</f>
        <v/>
      </c>
      <c r="O581" s="1361">
        <f>P581</f>
        <v/>
      </c>
      <c r="P581" s="1379">
        <f>SUM(P577:P580)</f>
        <v/>
      </c>
      <c r="Q581" s="1361">
        <f>P581</f>
        <v/>
      </c>
      <c r="R581" s="1361">
        <f>P581</f>
        <v/>
      </c>
      <c r="S581" s="1361">
        <f>P581</f>
        <v/>
      </c>
      <c r="T581" s="1361">
        <f>U581</f>
        <v/>
      </c>
      <c r="U581" s="1379">
        <f>SUM(U577:U580)</f>
        <v/>
      </c>
      <c r="V581" s="1361">
        <f>U581</f>
        <v/>
      </c>
      <c r="W581" s="1361">
        <f>U581</f>
        <v/>
      </c>
      <c r="X581" s="1361">
        <f>U581</f>
        <v/>
      </c>
      <c r="Y581" s="1361">
        <f>Z581</f>
        <v/>
      </c>
      <c r="Z581" s="1379">
        <f>SUM(Z577:Z580)</f>
        <v/>
      </c>
      <c r="AA581" s="1361">
        <f>Z581</f>
        <v/>
      </c>
      <c r="AB581" s="1361">
        <f>Z581</f>
        <v/>
      </c>
      <c r="AC581" s="1361">
        <f>Z581</f>
        <v/>
      </c>
      <c r="AD581" s="1361">
        <f>AE581</f>
        <v/>
      </c>
      <c r="AE581" s="1379">
        <f>SUM(AE577:AE580)</f>
        <v/>
      </c>
      <c r="AF581" s="1361">
        <f>AE581</f>
        <v/>
      </c>
      <c r="AG581" s="1361">
        <f>AE581</f>
        <v/>
      </c>
      <c r="AH581" s="1361">
        <f>AE581</f>
        <v/>
      </c>
      <c r="AI581" s="1361">
        <f>AJ581</f>
        <v/>
      </c>
      <c r="AJ581" s="1379">
        <f>SUM(AJ577:AJ580)</f>
        <v/>
      </c>
      <c r="AK581" s="1361">
        <f>AJ581</f>
        <v/>
      </c>
      <c r="AL581" s="1361">
        <f>AJ581</f>
        <v/>
      </c>
      <c r="AM581" s="1361">
        <f>AJ581</f>
        <v/>
      </c>
      <c r="AN581" s="1361">
        <f>AO581</f>
        <v/>
      </c>
      <c r="AO581" s="1379">
        <f>SUM(AO577:AO580)</f>
        <v/>
      </c>
      <c r="AP581" s="1361">
        <f>AO581</f>
        <v/>
      </c>
      <c r="AQ581" s="1361">
        <f>AO581</f>
        <v/>
      </c>
      <c r="AR581" s="1361">
        <f>AO581</f>
        <v/>
      </c>
      <c r="AS581" s="1361">
        <f>AT581</f>
        <v/>
      </c>
      <c r="AT581" s="1379">
        <f>SUM(AT577:AT580)</f>
        <v/>
      </c>
      <c r="AU581" s="1361">
        <f>AT581</f>
        <v/>
      </c>
      <c r="AV581" s="1361">
        <f>AT581</f>
        <v/>
      </c>
      <c r="AW581" s="1361">
        <f>AT581</f>
        <v/>
      </c>
      <c r="AX581" s="1361">
        <f>AY581</f>
        <v/>
      </c>
      <c r="AY581" s="1379">
        <f>SUM(AY577:AY580)</f>
        <v/>
      </c>
      <c r="AZ581" s="1361">
        <f>AY581</f>
        <v/>
      </c>
      <c r="BA581" s="1361">
        <f>AY581</f>
        <v/>
      </c>
      <c r="BB581" s="1361">
        <f>AY581</f>
        <v/>
      </c>
      <c r="BC581" s="1361">
        <f>BD581</f>
        <v/>
      </c>
      <c r="BD581" s="1379">
        <f>SUM(BD577:BD580)</f>
        <v/>
      </c>
      <c r="BE581" s="1361">
        <f>BD581</f>
        <v/>
      </c>
      <c r="BF581" s="1361">
        <f>BD581</f>
        <v/>
      </c>
      <c r="BG581" s="1361">
        <f>BD581</f>
        <v/>
      </c>
      <c r="BH581" s="1361">
        <f>BI581</f>
        <v/>
      </c>
      <c r="BI581" s="1379">
        <f>SUM(BI577:BI580)</f>
        <v/>
      </c>
      <c r="BJ581" s="1361">
        <f>BI581</f>
        <v/>
      </c>
      <c r="BK581" s="1361">
        <f>BI581</f>
        <v/>
      </c>
      <c r="BL581" s="1361">
        <f>BI581</f>
        <v/>
      </c>
      <c r="BM581" s="1361">
        <f>BN581</f>
        <v/>
      </c>
      <c r="BN581" s="1379">
        <f>SUM(BN577:BN580)</f>
        <v/>
      </c>
      <c r="BO581" s="1361">
        <f>BN581</f>
        <v/>
      </c>
      <c r="BP581" s="1361">
        <f>BN581</f>
        <v/>
      </c>
      <c r="BQ581" s="1363">
        <f>BN581</f>
        <v/>
      </c>
      <c r="BR581" s="1361" t="n"/>
      <c r="BS581" s="1379" t="n"/>
      <c r="BT581" s="1361" t="n"/>
      <c r="BU581" s="1361" t="n"/>
      <c r="BV581" s="1361" t="n"/>
      <c r="BW581" s="1361" t="n"/>
      <c r="BX581" s="1379" t="n"/>
      <c r="BY581" s="1379" t="n"/>
      <c r="BZ581" s="1379" t="n"/>
      <c r="CA581" s="1379" t="n"/>
      <c r="CB581" s="1361" t="n"/>
    </row>
    <row r="582" hidden="1" outlineLevel="3" ht="15" customFormat="1" customHeight="1" s="1706">
      <c r="A582" s="1361" t="n"/>
      <c r="B582" s="1512" t="n"/>
      <c r="C582" s="1379" t="n"/>
      <c r="D582" s="1379" t="n"/>
      <c r="E582" s="1379" t="n"/>
      <c r="F582" s="1379" t="n"/>
      <c r="G582" s="1361" t="n"/>
      <c r="H582" s="1361" t="n"/>
      <c r="I582" s="1361" t="n"/>
      <c r="J582" s="1361" t="n"/>
      <c r="K582" s="1379" t="n"/>
      <c r="L582" s="1361" t="n"/>
      <c r="M582" s="1361" t="n"/>
      <c r="N582" s="1361" t="n"/>
      <c r="O582" s="1361" t="n"/>
      <c r="P582" s="1379" t="n"/>
      <c r="Q582" s="1361" t="n"/>
      <c r="R582" s="1361" t="n"/>
      <c r="S582" s="1361" t="n"/>
      <c r="T582" s="1361" t="n"/>
      <c r="U582" s="1379" t="n"/>
      <c r="V582" s="1361" t="n"/>
      <c r="W582" s="1361" t="n"/>
      <c r="X582" s="1361" t="n"/>
      <c r="Y582" s="1361" t="n"/>
      <c r="Z582" s="1379" t="n"/>
      <c r="AA582" s="1361" t="n"/>
      <c r="AB582" s="1361" t="n"/>
      <c r="AC582" s="1361" t="n"/>
      <c r="AD582" s="1361" t="n"/>
      <c r="AE582" s="1379" t="n"/>
      <c r="AF582" s="1361" t="n"/>
      <c r="AG582" s="1361" t="n"/>
      <c r="AH582" s="1361" t="n"/>
      <c r="AI582" s="1361" t="n"/>
      <c r="AJ582" s="1379" t="n"/>
      <c r="AK582" s="1361" t="n"/>
      <c r="AL582" s="1361" t="n"/>
      <c r="AM582" s="1361" t="n"/>
      <c r="AN582" s="1361" t="n"/>
      <c r="AO582" s="1379" t="n"/>
      <c r="AP582" s="1361" t="n"/>
      <c r="AQ582" s="1361" t="n"/>
      <c r="AR582" s="1361" t="n"/>
      <c r="AS582" s="1361" t="n"/>
      <c r="AT582" s="1379" t="n"/>
      <c r="AU582" s="1361" t="n"/>
      <c r="AV582" s="1361" t="n"/>
      <c r="AW582" s="1361" t="n"/>
      <c r="AX582" s="1361" t="n"/>
      <c r="AY582" s="1379" t="n"/>
      <c r="AZ582" s="1361" t="n"/>
      <c r="BA582" s="1361" t="n"/>
      <c r="BB582" s="1361" t="n"/>
      <c r="BC582" s="1361" t="n"/>
      <c r="BD582" s="1379" t="n"/>
      <c r="BE582" s="1361" t="n"/>
      <c r="BF582" s="1361" t="n"/>
      <c r="BG582" s="1361" t="n"/>
      <c r="BH582" s="1361" t="n"/>
      <c r="BI582" s="1379" t="n"/>
      <c r="BJ582" s="1361" t="n"/>
      <c r="BK582" s="1361" t="n"/>
      <c r="BL582" s="1361" t="n"/>
      <c r="BM582" s="1361" t="n"/>
      <c r="BN582" s="1379" t="n"/>
      <c r="BO582" s="1361" t="n"/>
      <c r="BP582" s="1361" t="n"/>
      <c r="BQ582" s="1363" t="n"/>
      <c r="BR582" s="1361" t="n"/>
      <c r="BS582" s="1379" t="n"/>
      <c r="BT582" s="1361" t="n"/>
      <c r="BU582" s="1361" t="n"/>
      <c r="BV582" s="1361" t="n"/>
      <c r="BW582" s="1361" t="n"/>
      <c r="BX582" s="1379" t="n"/>
      <c r="BY582" s="1379" t="n"/>
      <c r="BZ582" s="1379" t="n"/>
      <c r="CA582" s="1379" t="n"/>
      <c r="CB582" s="1361" t="n"/>
    </row>
    <row r="583" hidden="1" outlineLevel="3" ht="15" customFormat="1" customHeight="1" s="1742">
      <c r="A583" s="1721" t="inlineStr">
        <is>
          <t>BoP Unvested RSU Price, $/share</t>
        </is>
      </c>
      <c r="B583" s="1743" t="n"/>
      <c r="C583" s="1723">
        <f>(6.951*11.43+0.861*7.56)/C577</f>
        <v/>
      </c>
      <c r="D583" s="1723">
        <f>C587</f>
        <v/>
      </c>
      <c r="E583" s="1723">
        <f>D587</f>
        <v/>
      </c>
      <c r="F583" s="1723">
        <f>E587</f>
        <v/>
      </c>
      <c r="G583" s="1721" t="n"/>
      <c r="H583" s="1721" t="n"/>
      <c r="I583" s="1721" t="n"/>
      <c r="J583" s="1721" t="n"/>
      <c r="K583" s="1723">
        <f>F587</f>
        <v/>
      </c>
      <c r="L583" s="1721" t="n"/>
      <c r="M583" s="1721" t="n"/>
      <c r="N583" s="1721" t="n"/>
      <c r="O583" s="1721" t="n"/>
      <c r="P583" s="1723">
        <f>K587</f>
        <v/>
      </c>
      <c r="Q583" s="1721" t="n"/>
      <c r="R583" s="1721" t="n"/>
      <c r="S583" s="1721" t="n"/>
      <c r="T583" s="1721" t="n"/>
      <c r="U583" s="1723">
        <f>P587</f>
        <v/>
      </c>
      <c r="V583" s="1721" t="n"/>
      <c r="W583" s="1721" t="n"/>
      <c r="X583" s="1721" t="n"/>
      <c r="Y583" s="1721" t="n"/>
      <c r="Z583" s="1723">
        <f>U587</f>
        <v/>
      </c>
      <c r="AA583" s="1721" t="n"/>
      <c r="AB583" s="1721" t="n"/>
      <c r="AC583" s="1721" t="n"/>
      <c r="AD583" s="1721" t="n"/>
      <c r="AE583" s="1723">
        <f>Z587</f>
        <v/>
      </c>
      <c r="AF583" s="1721" t="n"/>
      <c r="AG583" s="1721" t="n"/>
      <c r="AH583" s="1721" t="n"/>
      <c r="AI583" s="1721" t="n"/>
      <c r="AJ583" s="1723">
        <f>AE587</f>
        <v/>
      </c>
      <c r="AK583" s="1721" t="n"/>
      <c r="AL583" s="1721" t="n"/>
      <c r="AM583" s="1721" t="n"/>
      <c r="AN583" s="1721" t="n"/>
      <c r="AO583" s="1723">
        <f>AJ587</f>
        <v/>
      </c>
      <c r="AP583" s="1721" t="n"/>
      <c r="AQ583" s="1721" t="n"/>
      <c r="AR583" s="1721" t="n"/>
      <c r="AS583" s="1721" t="n"/>
      <c r="AT583" s="1723">
        <f>AO587</f>
        <v/>
      </c>
      <c r="AU583" s="1721" t="n"/>
      <c r="AV583" s="1721" t="n"/>
      <c r="AW583" s="1721" t="n"/>
      <c r="AX583" s="1721" t="n"/>
      <c r="AY583" s="1723">
        <f>AT587</f>
        <v/>
      </c>
      <c r="AZ583" s="1721" t="n"/>
      <c r="BA583" s="1721" t="n"/>
      <c r="BB583" s="1721" t="n"/>
      <c r="BC583" s="1721" t="n"/>
      <c r="BD583" s="1723">
        <f>AY587</f>
        <v/>
      </c>
      <c r="BE583" s="1721" t="n"/>
      <c r="BF583" s="1721" t="n"/>
      <c r="BG583" s="1721" t="n"/>
      <c r="BH583" s="1721" t="n"/>
      <c r="BI583" s="1723">
        <f>BD587</f>
        <v/>
      </c>
      <c r="BJ583" s="1721" t="n"/>
      <c r="BK583" s="1721" t="n"/>
      <c r="BL583" s="1721" t="n"/>
      <c r="BM583" s="1721" t="n"/>
      <c r="BN583" s="1723">
        <f>BI587</f>
        <v/>
      </c>
      <c r="BO583" s="1721" t="n"/>
      <c r="BP583" s="1721" t="n"/>
      <c r="BQ583" s="1722" t="n"/>
      <c r="BR583" s="1721" t="n"/>
      <c r="BS583" s="1723" t="n"/>
      <c r="BT583" s="1721" t="n"/>
      <c r="BU583" s="1721" t="n"/>
      <c r="BV583" s="1721" t="n"/>
      <c r="BW583" s="1721" t="n"/>
      <c r="BX583" s="1723" t="n"/>
      <c r="BY583" s="1723" t="n"/>
      <c r="BZ583" s="1723" t="n"/>
      <c r="CA583" s="1723" t="n"/>
      <c r="CB583" s="1721" t="n"/>
    </row>
    <row r="584" hidden="1" outlineLevel="3" ht="15" customFormat="1" customHeight="1" s="1742">
      <c r="A584" s="1719" t="inlineStr">
        <is>
          <t>Granted Average Price, $/share</t>
        </is>
      </c>
      <c r="B584" s="1743" t="n"/>
      <c r="C584" s="1723">
        <f>(4.123*4.78+1.088*4.96)/C578</f>
        <v/>
      </c>
      <c r="D584" s="1723">
        <f>(6.5*3.516+6.62*0.843)/D578</f>
        <v/>
      </c>
      <c r="E584" s="1720" t="n">
        <v>9.83</v>
      </c>
      <c r="F584" s="1720" t="n">
        <v>11.33</v>
      </c>
      <c r="G584" s="1721" t="n"/>
      <c r="H584" s="1721" t="n"/>
      <c r="I584" s="1721" t="n"/>
      <c r="J584" s="1721" t="n"/>
      <c r="K584" s="1720" t="n">
        <v>15.3</v>
      </c>
      <c r="L584" s="1721" t="n"/>
      <c r="M584" s="1721" t="n"/>
      <c r="N584" s="1721" t="n"/>
      <c r="O584" s="1721" t="n"/>
      <c r="P584" s="1720" t="n">
        <v>16.9</v>
      </c>
      <c r="Q584" s="1721" t="n"/>
      <c r="R584" s="1721" t="n"/>
      <c r="S584" s="1721" t="n"/>
      <c r="T584" s="1721" t="n"/>
      <c r="U584" s="1720" t="n">
        <v>19.62</v>
      </c>
      <c r="V584" s="1721" t="n"/>
      <c r="W584" s="1721" t="n"/>
      <c r="X584" s="1721" t="n"/>
      <c r="Y584" s="1721" t="n"/>
      <c r="Z584" s="1720" t="n">
        <v>21.6</v>
      </c>
      <c r="AA584" s="1721" t="n"/>
      <c r="AB584" s="1721" t="n"/>
      <c r="AC584" s="1721" t="n"/>
      <c r="AD584" s="1721" t="n"/>
      <c r="AE584" s="1720" t="n">
        <v>34.48</v>
      </c>
      <c r="AF584" s="1721" t="n"/>
      <c r="AG584" s="1721" t="n"/>
      <c r="AH584" s="1721" t="n"/>
      <c r="AI584" s="1721" t="n"/>
      <c r="AJ584" s="1720" t="n">
        <v>42.88</v>
      </c>
      <c r="AK584" s="1721" t="n"/>
      <c r="AL584" s="1721" t="n"/>
      <c r="AM584" s="1721" t="n"/>
      <c r="AN584" s="1721" t="n"/>
      <c r="AO584" s="1720" t="n">
        <v>53.11</v>
      </c>
      <c r="AP584" s="1721" t="n"/>
      <c r="AQ584" s="1721" t="n"/>
      <c r="AR584" s="1721" t="n"/>
      <c r="AS584" s="1721" t="n"/>
      <c r="AT584" s="1720" t="n">
        <v>101.8</v>
      </c>
      <c r="AU584" s="1721" t="n"/>
      <c r="AV584" s="1721" t="n"/>
      <c r="AW584" s="1721" t="n"/>
      <c r="AX584" s="1721" t="n"/>
      <c r="AY584" s="1720" t="n">
        <v>141.97</v>
      </c>
      <c r="AZ584" s="1721" t="n"/>
      <c r="BA584" s="1721" t="n"/>
      <c r="BB584" s="1721" t="n"/>
      <c r="BC584" s="1721" t="n"/>
      <c r="BD584" s="1720" t="n">
        <v>107.17</v>
      </c>
      <c r="BE584" s="1721" t="n"/>
      <c r="BF584" s="1721" t="n"/>
      <c r="BG584" s="1721" t="n"/>
      <c r="BH584" s="1721" t="n"/>
      <c r="BI584" s="1720" t="n">
        <v>233.78</v>
      </c>
      <c r="BJ584" s="1721" t="n"/>
      <c r="BK584" s="1721" t="n"/>
      <c r="BL584" s="1721" t="n"/>
      <c r="BM584" s="1721" t="n"/>
      <c r="BN584" s="1720" t="n">
        <v>310.81</v>
      </c>
      <c r="BO584" s="1721" t="n"/>
      <c r="BP584" s="1721" t="n"/>
      <c r="BQ584" s="1722" t="n"/>
      <c r="BR584" s="1721" t="n"/>
      <c r="BS584" s="1723" t="n"/>
      <c r="BT584" s="1721" t="n"/>
      <c r="BU584" s="1721" t="n"/>
      <c r="BV584" s="1721" t="n"/>
      <c r="BW584" s="1721" t="n"/>
      <c r="BX584" s="1723" t="n"/>
      <c r="BY584" s="1723" t="n"/>
      <c r="BZ584" s="1723" t="n"/>
      <c r="CA584" s="1723" t="n"/>
      <c r="CB584" s="1721" t="n"/>
    </row>
    <row r="585" hidden="1" outlineLevel="3" ht="15" customFormat="1" customHeight="1" s="1742">
      <c r="A585" s="1719" t="inlineStr">
        <is>
          <t>Vested Average Price, $/share</t>
        </is>
      </c>
      <c r="B585" s="1743" t="n"/>
      <c r="C585" s="1723">
        <f>(-3.103*11.17-0.338*6.26)/C579</f>
        <v/>
      </c>
      <c r="D585" s="1723">
        <f>(-3.352*7.94-0.624*6.02)/D579</f>
        <v/>
      </c>
      <c r="E585" s="1720" t="n">
        <v>6.64</v>
      </c>
      <c r="F585" s="1720" t="n">
        <v>8.02</v>
      </c>
      <c r="G585" s="1721" t="n"/>
      <c r="H585" s="1721" t="n"/>
      <c r="I585" s="1721" t="n"/>
      <c r="J585" s="1721" t="n"/>
      <c r="K585" s="1720" t="n">
        <v>9.869999999999999</v>
      </c>
      <c r="L585" s="1721" t="n"/>
      <c r="M585" s="1721" t="n"/>
      <c r="N585" s="1721" t="n"/>
      <c r="O585" s="1721" t="n"/>
      <c r="P585" s="1720" t="n">
        <v>12.34</v>
      </c>
      <c r="Q585" s="1721" t="n"/>
      <c r="R585" s="1721" t="n"/>
      <c r="S585" s="1721" t="n"/>
      <c r="T585" s="1721" t="n"/>
      <c r="U585" s="1720" t="n">
        <v>14.68</v>
      </c>
      <c r="V585" s="1721" t="n"/>
      <c r="W585" s="1721" t="n"/>
      <c r="X585" s="1721" t="n"/>
      <c r="Y585" s="1721" t="n"/>
      <c r="Z585" s="1720" t="n">
        <v>17.45</v>
      </c>
      <c r="AA585" s="1721" t="n"/>
      <c r="AB585" s="1721" t="n"/>
      <c r="AC585" s="1721" t="n"/>
      <c r="AD585" s="1721" t="n"/>
      <c r="AE585" s="1720" t="n">
        <v>20.75</v>
      </c>
      <c r="AF585" s="1721" t="n"/>
      <c r="AG585" s="1721" t="n"/>
      <c r="AH585" s="1721" t="n"/>
      <c r="AI585" s="1721" t="n"/>
      <c r="AJ585" s="1720" t="n">
        <v>28.49</v>
      </c>
      <c r="AK585" s="1721" t="n"/>
      <c r="AL585" s="1721" t="n"/>
      <c r="AM585" s="1721" t="n"/>
      <c r="AN585" s="1721" t="n"/>
      <c r="AO585" s="1720" t="n">
        <v>31.75</v>
      </c>
      <c r="AP585" s="1721" t="n"/>
      <c r="AQ585" s="1721" t="n"/>
      <c r="AR585" s="1721" t="n"/>
      <c r="AS585" s="1721" t="n"/>
      <c r="AT585" s="1720" t="n">
        <v>42.14</v>
      </c>
      <c r="AU585" s="1721" t="n"/>
      <c r="AV585" s="1721" t="n"/>
      <c r="AW585" s="1721" t="n"/>
      <c r="AX585" s="1721" t="n"/>
      <c r="AY585" s="1720" t="n">
        <v>61.61</v>
      </c>
      <c r="AZ585" s="1721" t="n"/>
      <c r="BA585" s="1721" t="n"/>
      <c r="BB585" s="1721" t="n"/>
      <c r="BC585" s="1721" t="n"/>
      <c r="BD585" s="1720" t="n">
        <v>89.61</v>
      </c>
      <c r="BE585" s="1721" t="n"/>
      <c r="BF585" s="1721" t="n"/>
      <c r="BG585" s="1721" t="n"/>
      <c r="BH585" s="1721" t="n"/>
      <c r="BI585" s="1720" t="n">
        <v>115.26</v>
      </c>
      <c r="BJ585" s="1721" t="n"/>
      <c r="BK585" s="1721" t="n"/>
      <c r="BL585" s="1721" t="n"/>
      <c r="BM585" s="1721" t="n"/>
      <c r="BN585" s="1720" t="n">
        <v>142.37</v>
      </c>
      <c r="BO585" s="1721" t="n"/>
      <c r="BP585" s="1721" t="n"/>
      <c r="BQ585" s="1722" t="n"/>
      <c r="BR585" s="1721" t="n"/>
      <c r="BS585" s="1723" t="n"/>
      <c r="BT585" s="1721" t="n"/>
      <c r="BU585" s="1721" t="n"/>
      <c r="BV585" s="1721" t="n"/>
      <c r="BW585" s="1721" t="n"/>
      <c r="BX585" s="1723" t="n"/>
      <c r="BY585" s="1723" t="n"/>
      <c r="BZ585" s="1723" t="n"/>
      <c r="CA585" s="1723" t="n"/>
      <c r="CB585" s="1721" t="n"/>
    </row>
    <row r="586" hidden="1" outlineLevel="3" ht="15" customFormat="1" customHeight="1" s="1742">
      <c r="A586" s="1731" t="inlineStr">
        <is>
          <t>Forfeited Average Price, $/share</t>
        </is>
      </c>
      <c r="B586" s="1744" t="n"/>
      <c r="C586" s="1729">
        <f>(-0.807*12.28-0.108*6.2)/C580</f>
        <v/>
      </c>
      <c r="D586" s="1729">
        <f>(-0.642*9.49-0.111*6.46)/D580</f>
        <v/>
      </c>
      <c r="E586" s="1727" t="n">
        <v>7.33</v>
      </c>
      <c r="F586" s="1727" t="n">
        <v>9.07</v>
      </c>
      <c r="G586" s="1728" t="n"/>
      <c r="H586" s="1728" t="n"/>
      <c r="I586" s="1728" t="n"/>
      <c r="J586" s="1728" t="n"/>
      <c r="K586" s="1727" t="n">
        <v>11.77</v>
      </c>
      <c r="L586" s="1728" t="n"/>
      <c r="M586" s="1728" t="n"/>
      <c r="N586" s="1728" t="n"/>
      <c r="O586" s="1728" t="n"/>
      <c r="P586" s="1727" t="n">
        <v>13.94</v>
      </c>
      <c r="Q586" s="1728" t="n"/>
      <c r="R586" s="1728" t="n"/>
      <c r="S586" s="1728" t="n"/>
      <c r="T586" s="1728" t="n"/>
      <c r="U586" s="1727" t="n">
        <v>16.34</v>
      </c>
      <c r="V586" s="1728" t="n"/>
      <c r="W586" s="1728" t="n"/>
      <c r="X586" s="1728" t="n"/>
      <c r="Y586" s="1728" t="n"/>
      <c r="Z586" s="1727" t="n">
        <v>19.18</v>
      </c>
      <c r="AA586" s="1728" t="n"/>
      <c r="AB586" s="1728" t="n"/>
      <c r="AC586" s="1728" t="n"/>
      <c r="AD586" s="1728" t="n"/>
      <c r="AE586" s="1727" t="n">
        <v>21.49</v>
      </c>
      <c r="AF586" s="1728" t="n"/>
      <c r="AG586" s="1728" t="n"/>
      <c r="AH586" s="1728" t="n"/>
      <c r="AI586" s="1728" t="n"/>
      <c r="AJ586" s="1727" t="n">
        <v>28.15</v>
      </c>
      <c r="AK586" s="1728" t="n"/>
      <c r="AL586" s="1728" t="n"/>
      <c r="AM586" s="1728" t="n"/>
      <c r="AN586" s="1728" t="n"/>
      <c r="AO586" s="1727" t="n">
        <v>39.66</v>
      </c>
      <c r="AP586" s="1728" t="n"/>
      <c r="AQ586" s="1728" t="n"/>
      <c r="AR586" s="1728" t="n"/>
      <c r="AS586" s="1728" t="n"/>
      <c r="AT586" s="1727" t="n">
        <v>47.74</v>
      </c>
      <c r="AU586" s="1728" t="n"/>
      <c r="AV586" s="1728" t="n"/>
      <c r="AW586" s="1728" t="n"/>
      <c r="AX586" s="1728" t="n"/>
      <c r="AY586" s="1727" t="n">
        <v>75.92</v>
      </c>
      <c r="AZ586" s="1728" t="n"/>
      <c r="BA586" s="1728" t="n"/>
      <c r="BB586" s="1728" t="n"/>
      <c r="BC586" s="1728" t="n"/>
      <c r="BD586" s="1727" t="n">
        <v>122.2</v>
      </c>
      <c r="BE586" s="1728" t="n"/>
      <c r="BF586" s="1728" t="n"/>
      <c r="BG586" s="1728" t="n"/>
      <c r="BH586" s="1728" t="n"/>
      <c r="BI586" s="1727" t="n">
        <v>118.97</v>
      </c>
      <c r="BJ586" s="1728" t="n"/>
      <c r="BK586" s="1728" t="n"/>
      <c r="BL586" s="1728" t="n"/>
      <c r="BM586" s="1728" t="n"/>
      <c r="BN586" s="1727" t="n">
        <v>115.06</v>
      </c>
      <c r="BO586" s="1728" t="n"/>
      <c r="BP586" s="1728" t="n"/>
      <c r="BQ586" s="1730" t="n"/>
      <c r="BR586" s="1728" t="n"/>
      <c r="BS586" s="1729" t="n"/>
      <c r="BT586" s="1728" t="n"/>
      <c r="BU586" s="1728" t="n"/>
      <c r="BV586" s="1728" t="n"/>
      <c r="BW586" s="1728" t="n"/>
      <c r="BX586" s="1729" t="n"/>
      <c r="BY586" s="1729" t="n"/>
      <c r="BZ586" s="1729" t="n"/>
      <c r="CA586" s="1729" t="n"/>
      <c r="CB586" s="1721" t="n"/>
    </row>
    <row r="587" hidden="1" outlineLevel="2" collapsed="1" ht="15" customFormat="1" customHeight="1" s="1706">
      <c r="A587" s="1714" t="inlineStr">
        <is>
          <t>EoP Unvested RSU Price, $/share</t>
        </is>
      </c>
      <c r="B587" s="1715" t="n"/>
      <c r="C587" s="1716">
        <f>(7.164*7.63+1.503*6.07)/C581</f>
        <v/>
      </c>
      <c r="D587" s="1745" t="n">
        <v>6.64</v>
      </c>
      <c r="E587" s="1745" t="n">
        <v>8.390000000000001</v>
      </c>
      <c r="F587" s="1745" t="n">
        <v>10.4</v>
      </c>
      <c r="G587" s="1714" t="n"/>
      <c r="H587" s="1714" t="n"/>
      <c r="I587" s="1714" t="n"/>
      <c r="J587" s="1714" t="n"/>
      <c r="K587" s="1745" t="n">
        <v>13.11</v>
      </c>
      <c r="L587" s="1714" t="n"/>
      <c r="M587" s="1714" t="n"/>
      <c r="N587" s="1714" t="n"/>
      <c r="O587" s="1714" t="n"/>
      <c r="P587" s="1745" t="n">
        <v>15.51</v>
      </c>
      <c r="Q587" s="1714" t="n"/>
      <c r="R587" s="1714" t="n"/>
      <c r="S587" s="1714" t="n"/>
      <c r="T587" s="1714" t="n"/>
      <c r="U587" s="1745" t="n">
        <v>18.13</v>
      </c>
      <c r="V587" s="1714" t="n"/>
      <c r="W587" s="1714" t="n"/>
      <c r="X587" s="1714" t="n"/>
      <c r="Y587" s="1714" t="n"/>
      <c r="Z587" s="1745" t="n">
        <v>20.4</v>
      </c>
      <c r="AA587" s="1714" t="n"/>
      <c r="AB587" s="1714" t="n"/>
      <c r="AC587" s="1714" t="n"/>
      <c r="AD587" s="1714" t="n"/>
      <c r="AE587" s="1745" t="n">
        <v>27.11</v>
      </c>
      <c r="AF587" s="1714" t="n"/>
      <c r="AG587" s="1714" t="n"/>
      <c r="AH587" s="1714" t="n"/>
      <c r="AI587" s="1714" t="n"/>
      <c r="AJ587" s="1745" t="n">
        <v>32.67</v>
      </c>
      <c r="AK587" s="1714" t="n"/>
      <c r="AL587" s="1714" t="n"/>
      <c r="AM587" s="1714" t="n"/>
      <c r="AN587" s="1714" t="n"/>
      <c r="AO587" s="1745" t="n">
        <v>42.55</v>
      </c>
      <c r="AP587" s="1714" t="n"/>
      <c r="AQ587" s="1714" t="n"/>
      <c r="AR587" s="1714" t="n"/>
      <c r="AS587" s="1714" t="n"/>
      <c r="AT587" s="1745" t="n">
        <v>63.12</v>
      </c>
      <c r="AU587" s="1714" t="n"/>
      <c r="AV587" s="1714" t="n"/>
      <c r="AW587" s="1714" t="n"/>
      <c r="AX587" s="1714" t="n"/>
      <c r="AY587" s="1745" t="n">
        <v>89.91</v>
      </c>
      <c r="AZ587" s="1714" t="n"/>
      <c r="BA587" s="1714" t="n"/>
      <c r="BB587" s="1714" t="n"/>
      <c r="BC587" s="1714" t="n"/>
      <c r="BD587" s="1745" t="n">
        <v>99.03</v>
      </c>
      <c r="BE587" s="1714" t="n"/>
      <c r="BF587" s="1714" t="n"/>
      <c r="BG587" s="1714" t="n"/>
      <c r="BH587" s="1714" t="n"/>
      <c r="BI587" s="1745" t="n">
        <v>129.35</v>
      </c>
      <c r="BJ587" s="1714" t="n"/>
      <c r="BK587" s="1714" t="n"/>
      <c r="BL587" s="1714" t="n"/>
      <c r="BM587" s="1714" t="n"/>
      <c r="BN587" s="1745" t="n">
        <v>186.79</v>
      </c>
      <c r="BO587" s="1714" t="n"/>
      <c r="BP587" s="1714" t="n"/>
      <c r="BQ587" s="1717" t="n"/>
      <c r="BR587" s="1714" t="n"/>
      <c r="BS587" s="1716" t="n"/>
      <c r="BT587" s="1714" t="n"/>
      <c r="BU587" s="1714" t="n"/>
      <c r="BV587" s="1714" t="n"/>
      <c r="BW587" s="1714" t="n"/>
      <c r="BX587" s="1716" t="n"/>
      <c r="BY587" s="1716" t="n"/>
      <c r="BZ587" s="1716" t="n"/>
      <c r="CA587" s="1716" t="n"/>
      <c r="CB587" s="1714" t="n"/>
    </row>
    <row r="588" hidden="1" outlineLevel="2" ht="15" customFormat="1" customHeight="1" s="1706">
      <c r="A588" s="1714" t="n"/>
      <c r="B588" s="1715" t="n"/>
      <c r="C588" s="1716" t="n"/>
      <c r="D588" s="1716" t="n"/>
      <c r="E588" s="1716" t="n"/>
      <c r="F588" s="1716" t="n"/>
      <c r="G588" s="1714" t="n"/>
      <c r="H588" s="1714" t="n"/>
      <c r="I588" s="1714" t="n"/>
      <c r="J588" s="1714" t="n"/>
      <c r="K588" s="1716" t="n"/>
      <c r="L588" s="1714" t="n"/>
      <c r="M588" s="1714" t="n"/>
      <c r="N588" s="1714" t="n"/>
      <c r="O588" s="1714" t="n"/>
      <c r="P588" s="1716" t="n"/>
      <c r="Q588" s="1714" t="n"/>
      <c r="R588" s="1714" t="n"/>
      <c r="S588" s="1714" t="n"/>
      <c r="T588" s="1714" t="n"/>
      <c r="U588" s="1716" t="n"/>
      <c r="V588" s="1714" t="n"/>
      <c r="W588" s="1714" t="n"/>
      <c r="X588" s="1714" t="n"/>
      <c r="Y588" s="1714" t="n"/>
      <c r="Z588" s="1716" t="n"/>
      <c r="AA588" s="1714" t="n"/>
      <c r="AB588" s="1714" t="n"/>
      <c r="AC588" s="1714" t="n"/>
      <c r="AD588" s="1714" t="n"/>
      <c r="AE588" s="1716" t="n"/>
      <c r="AF588" s="1714" t="n"/>
      <c r="AG588" s="1714" t="n"/>
      <c r="AH588" s="1714" t="n"/>
      <c r="AI588" s="1714" t="n"/>
      <c r="AJ588" s="1716" t="n"/>
      <c r="AK588" s="1714" t="n"/>
      <c r="AL588" s="1714" t="n"/>
      <c r="AM588" s="1714" t="n"/>
      <c r="AN588" s="1714" t="n"/>
      <c r="AO588" s="1716" t="n"/>
      <c r="AP588" s="1714" t="n"/>
      <c r="AQ588" s="1714" t="n"/>
      <c r="AR588" s="1714" t="n"/>
      <c r="AS588" s="1714" t="n"/>
      <c r="AT588" s="1716" t="n"/>
      <c r="AU588" s="1714" t="n"/>
      <c r="AV588" s="1714" t="n"/>
      <c r="AW588" s="1714" t="n"/>
      <c r="AX588" s="1714" t="n"/>
      <c r="AY588" s="1716" t="n"/>
      <c r="AZ588" s="1714" t="n"/>
      <c r="BA588" s="1714" t="n"/>
      <c r="BB588" s="1714" t="n"/>
      <c r="BC588" s="1714" t="n"/>
      <c r="BD588" s="1716" t="n"/>
      <c r="BE588" s="1714" t="n"/>
      <c r="BF588" s="1714" t="n"/>
      <c r="BG588" s="1714" t="n"/>
      <c r="BH588" s="1714" t="n"/>
      <c r="BI588" s="1716" t="n"/>
      <c r="BJ588" s="1714" t="n"/>
      <c r="BK588" s="1714" t="n"/>
      <c r="BL588" s="1714" t="n"/>
      <c r="BM588" s="1714" t="n"/>
      <c r="BN588" s="1716" t="n"/>
      <c r="BO588" s="1714" t="n"/>
      <c r="BP588" s="1714" t="n"/>
      <c r="BQ588" s="1717" t="n"/>
      <c r="BR588" s="1714" t="n"/>
      <c r="BS588" s="1716" t="n"/>
      <c r="BT588" s="1714" t="n"/>
      <c r="BU588" s="1714" t="n"/>
      <c r="BV588" s="1714" t="n"/>
      <c r="BW588" s="1714" t="n"/>
      <c r="BX588" s="1716" t="n"/>
      <c r="BY588" s="1716" t="n"/>
      <c r="BZ588" s="1716" t="n"/>
      <c r="CA588" s="1716" t="n"/>
      <c r="CB588" s="1714" t="n"/>
    </row>
    <row r="589" hidden="1" outlineLevel="2" ht="15" customFormat="1" customHeight="1" s="1706">
      <c r="A589" s="1361" t="inlineStr">
        <is>
          <t>EoP Unvested PSUs, mm shares</t>
        </is>
      </c>
      <c r="B589" s="1715" t="n"/>
      <c r="C589" s="1379" t="n"/>
      <c r="D589" s="1379" t="n"/>
      <c r="E589" s="1379" t="n"/>
      <c r="F589" s="1379" t="n"/>
      <c r="G589" s="1361" t="n"/>
      <c r="H589" s="1361" t="n"/>
      <c r="I589" s="1361" t="n"/>
      <c r="J589" s="1361" t="n"/>
      <c r="K589" s="1379" t="n"/>
      <c r="L589" s="1361" t="n"/>
      <c r="M589" s="1361" t="n"/>
      <c r="N589" s="1361" t="n"/>
      <c r="O589" s="1361" t="n"/>
      <c r="P589" s="1379" t="n"/>
      <c r="Q589" s="1361" t="n"/>
      <c r="R589" s="1361" t="n"/>
      <c r="S589" s="1361" t="n"/>
      <c r="T589" s="1361" t="n"/>
      <c r="U589" s="1379" t="n"/>
      <c r="V589" s="1361" t="n"/>
      <c r="W589" s="1361" t="n"/>
      <c r="X589" s="1361" t="n"/>
      <c r="Y589" s="1361" t="n"/>
      <c r="Z589" s="1379" t="n"/>
      <c r="AA589" s="1361" t="n"/>
      <c r="AB589" s="1361" t="n"/>
      <c r="AC589" s="1361" t="n"/>
      <c r="AD589" s="1361" t="n"/>
      <c r="AE589" s="1379" t="n"/>
      <c r="AF589" s="1361" t="n"/>
      <c r="AG589" s="1361" t="n"/>
      <c r="AH589" s="1361" t="n"/>
      <c r="AI589" s="1361" t="n"/>
      <c r="AJ589" s="1379" t="n"/>
      <c r="AK589" s="1361" t="n"/>
      <c r="AL589" s="1361" t="n"/>
      <c r="AM589" s="1361" t="n"/>
      <c r="AN589" s="1361" t="n"/>
      <c r="AO589" s="1379" t="n"/>
      <c r="AP589" s="1361" t="n"/>
      <c r="AQ589" s="1361" t="n"/>
      <c r="AR589" s="1361" t="n"/>
      <c r="AS589" s="1361" t="n"/>
      <c r="AT589" s="1379" t="n"/>
      <c r="AU589" s="1361" t="n"/>
      <c r="AV589" s="1361" t="n"/>
      <c r="AW589" s="1361" t="n"/>
      <c r="AX589" s="1361" t="n"/>
      <c r="AY589" s="1379" t="n"/>
      <c r="AZ589" s="1361" t="n"/>
      <c r="BA589" s="1361" t="n"/>
      <c r="BB589" s="1361" t="n"/>
      <c r="BC589" s="1361" t="n"/>
      <c r="BD589" s="1379" t="n"/>
      <c r="BE589" s="1361" t="n"/>
      <c r="BF589" s="1361" t="n"/>
      <c r="BG589" s="1361" t="n"/>
      <c r="BH589" s="1361" t="n"/>
      <c r="BI589" s="1379" t="n"/>
      <c r="BJ589" s="1361" t="n"/>
      <c r="BK589" s="1361" t="n"/>
      <c r="BL589" s="1361" t="n"/>
      <c r="BM589" s="1361" t="n"/>
      <c r="BN589" s="1379" t="n"/>
      <c r="BO589" s="1361" t="n"/>
      <c r="BP589" s="1361" t="n"/>
      <c r="BQ589" s="1363" t="n"/>
      <c r="BR589" s="1361" t="n"/>
      <c r="BS589" s="1379" t="n"/>
      <c r="BT589" s="1361" t="n"/>
      <c r="BU589" s="1361" t="n"/>
      <c r="BV589" s="1361" t="n"/>
      <c r="BW589" s="1361" t="n"/>
      <c r="BX589" s="1379" t="n"/>
      <c r="BY589" s="1379" t="n"/>
      <c r="BZ589" s="1379" t="n"/>
      <c r="CA589" s="1379" t="n"/>
      <c r="CB589" s="1714" t="n"/>
    </row>
    <row r="590" hidden="1" outlineLevel="2" ht="15" customFormat="1" customHeight="1" s="1706">
      <c r="A590" s="1361" t="inlineStr">
        <is>
          <t>EoP Unvested PSOs, mm shares</t>
        </is>
      </c>
      <c r="B590" s="1715" t="n"/>
      <c r="C590" s="1379" t="n"/>
      <c r="D590" s="1379" t="n"/>
      <c r="E590" s="1379" t="n"/>
      <c r="F590" s="1379" t="n"/>
      <c r="G590" s="1361" t="n"/>
      <c r="H590" s="1361" t="n"/>
      <c r="I590" s="1361" t="n"/>
      <c r="J590" s="1361" t="n"/>
      <c r="K590" s="1379" t="n"/>
      <c r="L590" s="1361" t="n"/>
      <c r="M590" s="1361" t="n"/>
      <c r="N590" s="1361" t="n"/>
      <c r="O590" s="1361" t="n"/>
      <c r="P590" s="1379" t="n"/>
      <c r="Q590" s="1361" t="n"/>
      <c r="R590" s="1361" t="n"/>
      <c r="S590" s="1361" t="n"/>
      <c r="T590" s="1361" t="n"/>
      <c r="U590" s="1379" t="n"/>
      <c r="V590" s="1361" t="n"/>
      <c r="W590" s="1361" t="n"/>
      <c r="X590" s="1361" t="n"/>
      <c r="Y590" s="1361" t="n"/>
      <c r="Z590" s="1379" t="n"/>
      <c r="AA590" s="1361" t="n"/>
      <c r="AB590" s="1361" t="n"/>
      <c r="AC590" s="1361" t="n"/>
      <c r="AD590" s="1361" t="n"/>
      <c r="AE590" s="1379" t="n"/>
      <c r="AF590" s="1361" t="n"/>
      <c r="AG590" s="1361" t="n"/>
      <c r="AH590" s="1361" t="n"/>
      <c r="AI590" s="1361" t="n"/>
      <c r="AJ590" s="1379" t="n"/>
      <c r="AK590" s="1361" t="n"/>
      <c r="AL590" s="1361" t="n"/>
      <c r="AM590" s="1361" t="n"/>
      <c r="AN590" s="1361" t="n"/>
      <c r="AO590" s="1379" t="n"/>
      <c r="AP590" s="1361" t="n"/>
      <c r="AQ590" s="1361" t="n"/>
      <c r="AR590" s="1361" t="n"/>
      <c r="AS590" s="1361" t="n"/>
      <c r="AT590" s="1379" t="n"/>
      <c r="AU590" s="1361" t="n"/>
      <c r="AV590" s="1361" t="n"/>
      <c r="AW590" s="1361" t="n"/>
      <c r="AX590" s="1361" t="n"/>
      <c r="AY590" s="1379" t="n"/>
      <c r="AZ590" s="1361" t="n"/>
      <c r="BA590" s="1361" t="n"/>
      <c r="BB590" s="1361" t="n"/>
      <c r="BC590" s="1361" t="n"/>
      <c r="BD590" s="1379" t="n"/>
      <c r="BE590" s="1361" t="n"/>
      <c r="BF590" s="1361" t="n"/>
      <c r="BG590" s="1361" t="n"/>
      <c r="BH590" s="1361" t="n"/>
      <c r="BI590" s="1379" t="n"/>
      <c r="BJ590" s="1361" t="n"/>
      <c r="BK590" s="1361" t="n"/>
      <c r="BL590" s="1361" t="n"/>
      <c r="BM590" s="1361" t="n"/>
      <c r="BN590" s="1379" t="n"/>
      <c r="BO590" s="1361" t="n"/>
      <c r="BP590" s="1361" t="n"/>
      <c r="BQ590" s="1363" t="n"/>
      <c r="BR590" s="1361" t="n"/>
      <c r="BS590" s="1379" t="n"/>
      <c r="BT590" s="1361" t="n"/>
      <c r="BU590" s="1361" t="n"/>
      <c r="BV590" s="1361" t="n"/>
      <c r="BW590" s="1361" t="n"/>
      <c r="BX590" s="1379" t="n"/>
      <c r="BY590" s="1379" t="n"/>
      <c r="BZ590" s="1379" t="n"/>
      <c r="CA590" s="1379" t="n"/>
      <c r="CB590" s="1714" t="n"/>
    </row>
    <row r="591" hidden="1" outlineLevel="2" ht="15" customFormat="1" customHeight="1" s="1706">
      <c r="A591" s="1361" t="n"/>
      <c r="B591" s="1512" t="n"/>
      <c r="C591" s="1379" t="n"/>
      <c r="D591" s="1379" t="n"/>
      <c r="E591" s="1379" t="n"/>
      <c r="F591" s="1379" t="n"/>
      <c r="G591" s="1361" t="n"/>
      <c r="H591" s="1361" t="n"/>
      <c r="I591" s="1361" t="n"/>
      <c r="J591" s="1361" t="n"/>
      <c r="K591" s="1379" t="n"/>
      <c r="L591" s="1361" t="n"/>
      <c r="M591" s="1361" t="n"/>
      <c r="N591" s="1361" t="n"/>
      <c r="O591" s="1361" t="n"/>
      <c r="P591" s="1379" t="n"/>
      <c r="Q591" s="1361" t="n"/>
      <c r="R591" s="1361" t="n"/>
      <c r="S591" s="1361" t="n"/>
      <c r="T591" s="1361" t="n"/>
      <c r="U591" s="1379" t="n"/>
      <c r="V591" s="1361" t="n"/>
      <c r="W591" s="1361" t="n"/>
      <c r="X591" s="1361" t="n"/>
      <c r="Y591" s="1361" t="n"/>
      <c r="Z591" s="1379" t="n"/>
      <c r="AA591" s="1361" t="n"/>
      <c r="AB591" s="1361" t="n"/>
      <c r="AC591" s="1361" t="n"/>
      <c r="AD591" s="1361" t="n"/>
      <c r="AE591" s="1379" t="n"/>
      <c r="AF591" s="1361" t="n"/>
      <c r="AG591" s="1361" t="n"/>
      <c r="AH591" s="1361" t="n"/>
      <c r="AI591" s="1361" t="n"/>
      <c r="AJ591" s="1379" t="n"/>
      <c r="AK591" s="1361" t="n"/>
      <c r="AL591" s="1361" t="n"/>
      <c r="AM591" s="1361" t="n"/>
      <c r="AN591" s="1361" t="n"/>
      <c r="AO591" s="1379" t="n"/>
      <c r="AP591" s="1361" t="n"/>
      <c r="AQ591" s="1361" t="n"/>
      <c r="AR591" s="1361" t="n"/>
      <c r="AS591" s="1361" t="n"/>
      <c r="AT591" s="1379" t="n"/>
      <c r="AU591" s="1361" t="n"/>
      <c r="AV591" s="1361" t="n"/>
      <c r="AW591" s="1361" t="n"/>
      <c r="AX591" s="1361" t="n"/>
      <c r="AY591" s="1379" t="n"/>
      <c r="AZ591" s="1361" t="n"/>
      <c r="BA591" s="1361" t="n"/>
      <c r="BB591" s="1361" t="n"/>
      <c r="BC591" s="1361" t="n"/>
      <c r="BD591" s="1379" t="n"/>
      <c r="BE591" s="1361" t="n"/>
      <c r="BF591" s="1361" t="n"/>
      <c r="BG591" s="1361" t="n"/>
      <c r="BH591" s="1361" t="n"/>
      <c r="BI591" s="1379" t="n"/>
      <c r="BJ591" s="1361" t="n"/>
      <c r="BK591" s="1361" t="n"/>
      <c r="BL591" s="1361" t="n"/>
      <c r="BM591" s="1361" t="n"/>
      <c r="BN591" s="1379" t="n"/>
      <c r="BO591" s="1361" t="n"/>
      <c r="BP591" s="1361" t="n"/>
      <c r="BQ591" s="1363" t="n"/>
      <c r="BR591" s="1361" t="n"/>
      <c r="BS591" s="1379" t="n"/>
      <c r="BT591" s="1361" t="n"/>
      <c r="BU591" s="1361" t="n"/>
      <c r="BV591" s="1361" t="n"/>
      <c r="BW591" s="1361" t="n"/>
      <c r="BX591" s="1379" t="n"/>
      <c r="BY591" s="1379" t="n"/>
      <c r="BZ591" s="1379" t="n"/>
      <c r="CA591" s="1379" t="n"/>
      <c r="CB591" s="1364" t="n"/>
    </row>
    <row r="592" hidden="1" outlineLevel="2" ht="15" customFormat="1" customHeight="1" s="1706">
      <c r="A592" s="1361" t="inlineStr">
        <is>
          <t>EoP Others, mm shares</t>
        </is>
      </c>
      <c r="B592" s="1512" t="n"/>
      <c r="C592" s="1379" t="n"/>
      <c r="D592" s="1379" t="n"/>
      <c r="E592" s="1379" t="n"/>
      <c r="F592" s="1379" t="n"/>
      <c r="G592" s="1361" t="n"/>
      <c r="H592" s="1361" t="n"/>
      <c r="I592" s="1361" t="n"/>
      <c r="J592" s="1361" t="n"/>
      <c r="K592" s="1379" t="n"/>
      <c r="L592" s="1361" t="n"/>
      <c r="M592" s="1361" t="n"/>
      <c r="N592" s="1361" t="n"/>
      <c r="O592" s="1361" t="n"/>
      <c r="P592" s="1379" t="n"/>
      <c r="Q592" s="1361" t="n"/>
      <c r="R592" s="1361" t="n"/>
      <c r="S592" s="1361" t="n"/>
      <c r="T592" s="1361" t="n"/>
      <c r="U592" s="1379" t="n"/>
      <c r="V592" s="1361" t="n"/>
      <c r="W592" s="1361" t="n"/>
      <c r="X592" s="1361" t="n"/>
      <c r="Y592" s="1361" t="n"/>
      <c r="Z592" s="1379" t="n"/>
      <c r="AA592" s="1361" t="n"/>
      <c r="AB592" s="1361" t="n"/>
      <c r="AC592" s="1361" t="n"/>
      <c r="AD592" s="1361" t="n"/>
      <c r="AE592" s="1379" t="n"/>
      <c r="AF592" s="1361" t="n"/>
      <c r="AG592" s="1361" t="n"/>
      <c r="AH592" s="1361" t="n"/>
      <c r="AI592" s="1361" t="n"/>
      <c r="AJ592" s="1379" t="n"/>
      <c r="AK592" s="1361" t="n"/>
      <c r="AL592" s="1361" t="n"/>
      <c r="AM592" s="1361" t="n"/>
      <c r="AN592" s="1361" t="n"/>
      <c r="AO592" s="1379" t="n"/>
      <c r="AP592" s="1361" t="n"/>
      <c r="AQ592" s="1361" t="n"/>
      <c r="AR592" s="1361" t="n"/>
      <c r="AS592" s="1361" t="n"/>
      <c r="AT592" s="1379" t="n"/>
      <c r="AU592" s="1361" t="n"/>
      <c r="AV592" s="1361" t="n"/>
      <c r="AW592" s="1361" t="n"/>
      <c r="AX592" s="1361" t="n"/>
      <c r="AY592" s="1379" t="n"/>
      <c r="AZ592" s="1361" t="n"/>
      <c r="BA592" s="1361" t="n"/>
      <c r="BB592" s="1361" t="n"/>
      <c r="BC592" s="1361" t="n"/>
      <c r="BD592" s="1379" t="n"/>
      <c r="BE592" s="1361" t="n"/>
      <c r="BF592" s="1361" t="n"/>
      <c r="BG592" s="1361" t="n"/>
      <c r="BH592" s="1361" t="n"/>
      <c r="BI592" s="1379" t="n"/>
      <c r="BJ592" s="1361" t="n"/>
      <c r="BK592" s="1361" t="n"/>
      <c r="BL592" s="1361" t="n"/>
      <c r="BM592" s="1361" t="n"/>
      <c r="BN592" s="1379" t="n"/>
      <c r="BO592" s="1361" t="n"/>
      <c r="BP592" s="1361" t="n"/>
      <c r="BQ592" s="1363" t="n"/>
      <c r="BR592" s="1361" t="n"/>
      <c r="BS592" s="1379" t="n"/>
      <c r="BT592" s="1361" t="n"/>
      <c r="BU592" s="1361" t="n"/>
      <c r="BV592" s="1361" t="n"/>
      <c r="BW592" s="1361" t="n"/>
      <c r="BX592" s="1379" t="n"/>
      <c r="BY592" s="1379" t="n"/>
      <c r="BZ592" s="1379" t="n"/>
      <c r="CA592" s="1379" t="n"/>
      <c r="CB592" s="1361" t="n"/>
    </row>
    <row r="593" hidden="1" outlineLevel="2" ht="15" customFormat="1" customHeight="1" s="1706">
      <c r="A593" s="1361" t="n"/>
      <c r="B593" s="1512" t="n"/>
      <c r="C593" s="1379" t="n"/>
      <c r="D593" s="1379" t="n"/>
      <c r="E593" s="1379" t="n"/>
      <c r="F593" s="1379" t="n"/>
      <c r="G593" s="1361" t="n"/>
      <c r="H593" s="1361" t="n"/>
      <c r="I593" s="1361" t="n"/>
      <c r="J593" s="1361" t="n"/>
      <c r="K593" s="1379" t="n"/>
      <c r="L593" s="1361" t="n"/>
      <c r="M593" s="1361" t="n"/>
      <c r="N593" s="1361" t="n"/>
      <c r="O593" s="1361" t="n"/>
      <c r="P593" s="1379" t="n"/>
      <c r="Q593" s="1361" t="n"/>
      <c r="R593" s="1361" t="n"/>
      <c r="S593" s="1361" t="n"/>
      <c r="T593" s="1361" t="n"/>
      <c r="U593" s="1379" t="n"/>
      <c r="V593" s="1361" t="n"/>
      <c r="W593" s="1361" t="n"/>
      <c r="X593" s="1361" t="n"/>
      <c r="Y593" s="1361" t="n"/>
      <c r="Z593" s="1379" t="n"/>
      <c r="AA593" s="1361" t="n"/>
      <c r="AB593" s="1361" t="n"/>
      <c r="AC593" s="1361" t="n"/>
      <c r="AD593" s="1361" t="n"/>
      <c r="AE593" s="1379" t="n"/>
      <c r="AF593" s="1361" t="n"/>
      <c r="AG593" s="1361" t="n"/>
      <c r="AH593" s="1361" t="n"/>
      <c r="AI593" s="1361" t="n"/>
      <c r="AJ593" s="1379" t="n"/>
      <c r="AK593" s="1361" t="n"/>
      <c r="AL593" s="1361" t="n"/>
      <c r="AM593" s="1361" t="n"/>
      <c r="AN593" s="1361" t="n"/>
      <c r="AO593" s="1379" t="n"/>
      <c r="AP593" s="1361" t="n"/>
      <c r="AQ593" s="1361" t="n"/>
      <c r="AR593" s="1361" t="n"/>
      <c r="AS593" s="1361" t="n"/>
      <c r="AT593" s="1379" t="n"/>
      <c r="AU593" s="1361" t="n"/>
      <c r="AV593" s="1361" t="n"/>
      <c r="AW593" s="1361" t="n"/>
      <c r="AX593" s="1361" t="n"/>
      <c r="AY593" s="1379" t="n"/>
      <c r="AZ593" s="1361" t="n"/>
      <c r="BA593" s="1361" t="n"/>
      <c r="BB593" s="1361" t="n"/>
      <c r="BC593" s="1361" t="n"/>
      <c r="BD593" s="1379" t="n"/>
      <c r="BE593" s="1361" t="n"/>
      <c r="BF593" s="1361" t="n"/>
      <c r="BG593" s="1361" t="n"/>
      <c r="BH593" s="1361" t="n"/>
      <c r="BI593" s="1379" t="n"/>
      <c r="BJ593" s="1361" t="n"/>
      <c r="BK593" s="1361" t="n"/>
      <c r="BL593" s="1361" t="n"/>
      <c r="BM593" s="1361" t="n"/>
      <c r="BN593" s="1379" t="n"/>
      <c r="BO593" s="1361" t="n"/>
      <c r="BP593" s="1361" t="n"/>
      <c r="BQ593" s="1363" t="n"/>
      <c r="BR593" s="1361" t="n"/>
      <c r="BS593" s="1379" t="n"/>
      <c r="BT593" s="1361" t="n"/>
      <c r="BU593" s="1361" t="n"/>
      <c r="BV593" s="1361" t="n"/>
      <c r="BW593" s="1361" t="n"/>
      <c r="BX593" s="1379" t="n"/>
      <c r="BY593" s="1379" t="n"/>
      <c r="BZ593" s="1379" t="n"/>
      <c r="CA593" s="1379" t="n"/>
      <c r="CB593" s="1361" t="n"/>
    </row>
    <row r="594" hidden="1" outlineLevel="2" ht="15" customFormat="1" customHeight="1" s="1706">
      <c r="A594" s="1361" t="inlineStr">
        <is>
          <t>EoP ESPP Obligations, mm shares</t>
        </is>
      </c>
      <c r="B594" s="1512" t="n"/>
      <c r="C594" s="1379" t="n"/>
      <c r="D594" s="1379" t="n"/>
      <c r="E594" s="1379" t="n"/>
      <c r="F594" s="1379" t="n"/>
      <c r="G594" s="1361" t="n"/>
      <c r="H594" s="1361" t="n"/>
      <c r="I594" s="1361" t="n"/>
      <c r="J594" s="1361" t="n"/>
      <c r="K594" s="1379" t="n"/>
      <c r="L594" s="1361" t="n"/>
      <c r="M594" s="1361" t="n"/>
      <c r="N594" s="1361" t="n"/>
      <c r="O594" s="1361" t="n"/>
      <c r="P594" s="1379" t="n"/>
      <c r="Q594" s="1361" t="n"/>
      <c r="R594" s="1361" t="n"/>
      <c r="S594" s="1361" t="n"/>
      <c r="T594" s="1361" t="n"/>
      <c r="U594" s="1379" t="n"/>
      <c r="V594" s="1361" t="n"/>
      <c r="W594" s="1361" t="n"/>
      <c r="X594" s="1361" t="n"/>
      <c r="Y594" s="1361" t="n"/>
      <c r="Z594" s="1379" t="n"/>
      <c r="AA594" s="1361" t="n"/>
      <c r="AB594" s="1361" t="n"/>
      <c r="AC594" s="1361" t="n"/>
      <c r="AD594" s="1361" t="n"/>
      <c r="AE594" s="1379" t="n"/>
      <c r="AF594" s="1361" t="n"/>
      <c r="AG594" s="1361" t="n"/>
      <c r="AH594" s="1361" t="n"/>
      <c r="AI594" s="1361" t="n"/>
      <c r="AJ594" s="1379" t="n"/>
      <c r="AK594" s="1361" t="n"/>
      <c r="AL594" s="1361" t="n"/>
      <c r="AM594" s="1361" t="n"/>
      <c r="AN594" s="1361" t="n"/>
      <c r="AO594" s="1379" t="n"/>
      <c r="AP594" s="1361" t="n"/>
      <c r="AQ594" s="1361" t="n"/>
      <c r="AR594" s="1361" t="n"/>
      <c r="AS594" s="1361" t="n"/>
      <c r="AT594" s="1379" t="n"/>
      <c r="AU594" s="1361" t="n"/>
      <c r="AV594" s="1361" t="n"/>
      <c r="AW594" s="1361" t="n"/>
      <c r="AX594" s="1361" t="n"/>
      <c r="AY594" s="1379" t="n"/>
      <c r="AZ594" s="1361" t="n"/>
      <c r="BA594" s="1361" t="n"/>
      <c r="BB594" s="1361" t="n"/>
      <c r="BC594" s="1361" t="n"/>
      <c r="BD594" s="1379" t="n"/>
      <c r="BE594" s="1361" t="n"/>
      <c r="BF594" s="1361" t="n"/>
      <c r="BG594" s="1361" t="n"/>
      <c r="BH594" s="1361" t="n"/>
      <c r="BI594" s="1379" t="n"/>
      <c r="BJ594" s="1361" t="n"/>
      <c r="BK594" s="1361" t="n"/>
      <c r="BL594" s="1361" t="n"/>
      <c r="BM594" s="1361" t="n"/>
      <c r="BN594" s="1379" t="n"/>
      <c r="BO594" s="1361" t="n"/>
      <c r="BP594" s="1361" t="n"/>
      <c r="BQ594" s="1363" t="n"/>
      <c r="BR594" s="1361" t="n"/>
      <c r="BS594" s="1379" t="n"/>
      <c r="BT594" s="1361" t="n"/>
      <c r="BU594" s="1361" t="n"/>
      <c r="BV594" s="1361" t="n"/>
      <c r="BW594" s="1361" t="n"/>
      <c r="BX594" s="1379" t="n"/>
      <c r="BY594" s="1379" t="n"/>
      <c r="BZ594" s="1379" t="n"/>
      <c r="CA594" s="1379" t="n"/>
      <c r="CB594" s="1361" t="n"/>
    </row>
    <row r="595" hidden="1" outlineLevel="2" ht="7.5" customFormat="1" customHeight="1" s="1706">
      <c r="A595" s="1361" t="n"/>
      <c r="B595" s="1512" t="n"/>
      <c r="C595" s="1379" t="n"/>
      <c r="D595" s="1379" t="n"/>
      <c r="E595" s="1379" t="n"/>
      <c r="F595" s="1379" t="n"/>
      <c r="G595" s="1361" t="n"/>
      <c r="H595" s="1361" t="n"/>
      <c r="I595" s="1361" t="n"/>
      <c r="J595" s="1361" t="n"/>
      <c r="K595" s="1379" t="n"/>
      <c r="L595" s="1361" t="n"/>
      <c r="M595" s="1361" t="n"/>
      <c r="N595" s="1361" t="n"/>
      <c r="O595" s="1361" t="n"/>
      <c r="P595" s="1379" t="n"/>
      <c r="Q595" s="1361" t="n"/>
      <c r="R595" s="1361" t="n"/>
      <c r="S595" s="1361" t="n"/>
      <c r="T595" s="1361" t="n"/>
      <c r="U595" s="1379" t="n"/>
      <c r="V595" s="1361" t="n"/>
      <c r="W595" s="1361" t="n"/>
      <c r="X595" s="1361" t="n"/>
      <c r="Y595" s="1361" t="n"/>
      <c r="Z595" s="1379" t="n"/>
      <c r="AA595" s="1361" t="n"/>
      <c r="AB595" s="1361" t="n"/>
      <c r="AC595" s="1361" t="n"/>
      <c r="AD595" s="1361" t="n"/>
      <c r="AE595" s="1379" t="n"/>
      <c r="AF595" s="1361" t="n"/>
      <c r="AG595" s="1361" t="n"/>
      <c r="AH595" s="1361" t="n"/>
      <c r="AI595" s="1361" t="n"/>
      <c r="AJ595" s="1379" t="n"/>
      <c r="AK595" s="1361" t="n"/>
      <c r="AL595" s="1361" t="n"/>
      <c r="AM595" s="1361" t="n"/>
      <c r="AN595" s="1361" t="n"/>
      <c r="AO595" s="1379" t="n"/>
      <c r="AP595" s="1361" t="n"/>
      <c r="AQ595" s="1361" t="n"/>
      <c r="AR595" s="1361" t="n"/>
      <c r="AS595" s="1361" t="n"/>
      <c r="AT595" s="1379" t="n"/>
      <c r="AU595" s="1361" t="n"/>
      <c r="AV595" s="1361" t="n"/>
      <c r="AW595" s="1361" t="n"/>
      <c r="AX595" s="1361" t="n"/>
      <c r="AY595" s="1379" t="n"/>
      <c r="AZ595" s="1361" t="n"/>
      <c r="BA595" s="1361" t="n"/>
      <c r="BB595" s="1361" t="n"/>
      <c r="BC595" s="1361" t="n"/>
      <c r="BD595" s="1379" t="n"/>
      <c r="BE595" s="1361" t="n"/>
      <c r="BF595" s="1361" t="n"/>
      <c r="BG595" s="1361" t="n"/>
      <c r="BH595" s="1361" t="n"/>
      <c r="BI595" s="1379" t="n"/>
      <c r="BJ595" s="1361" t="n"/>
      <c r="BK595" s="1361" t="n"/>
      <c r="BL595" s="1361" t="n"/>
      <c r="BM595" s="1361" t="n"/>
      <c r="BN595" s="1379" t="n"/>
      <c r="BO595" s="1361" t="n"/>
      <c r="BP595" s="1361" t="n"/>
      <c r="BQ595" s="1363" t="n"/>
      <c r="BR595" s="1361" t="n"/>
      <c r="BS595" s="1379" t="n"/>
      <c r="BT595" s="1361" t="n"/>
      <c r="BU595" s="1361" t="n"/>
      <c r="BV595" s="1361" t="n"/>
      <c r="BW595" s="1361" t="n"/>
      <c r="BX595" s="1379" t="n"/>
      <c r="BY595" s="1379" t="n"/>
      <c r="BZ595" s="1379" t="n"/>
      <c r="CA595" s="1379" t="n"/>
      <c r="CB595" s="1364" t="n"/>
    </row>
    <row r="596" hidden="1" outlineLevel="1" collapsed="1" ht="15" customFormat="1" customHeight="1" s="1706">
      <c r="A596" s="1471" t="inlineStr">
        <is>
          <t>Treasury Method Diluted Shares from SBC, mm shares</t>
        </is>
      </c>
      <c r="B596" s="1512" t="n"/>
      <c r="C596" s="1379">
        <f>C568+C575+C581+C589+C590+C592+C594</f>
        <v/>
      </c>
      <c r="D596" s="1379">
        <f>D568+D575+D581+D589+D590+D592+D594</f>
        <v/>
      </c>
      <c r="E596" s="1379">
        <f>E568+E575+E581+E589+E590+E592+E594</f>
        <v/>
      </c>
      <c r="F596" s="1379">
        <f>F568+F575+F581+F589+F590+F592+F594</f>
        <v/>
      </c>
      <c r="G596" s="1361">
        <f>G568+G575+G581+G589+G590+G592+G594</f>
        <v/>
      </c>
      <c r="H596" s="1361">
        <f>H568+H575+H581+H589+H590+H592+H594</f>
        <v/>
      </c>
      <c r="I596" s="1361">
        <f>I568+I575+I581+I589+I590+I592+I594</f>
        <v/>
      </c>
      <c r="J596" s="1361">
        <f>J568+J575+J581+J589+J590+J592+J594</f>
        <v/>
      </c>
      <c r="K596" s="1379">
        <f>K568+K575+K581+K589+K590+K592+K594</f>
        <v/>
      </c>
      <c r="L596" s="1361">
        <f>L568+L575+L581+L589+L590+L592+L594</f>
        <v/>
      </c>
      <c r="M596" s="1361">
        <f>M568+M575+M581+M589+M590+M592+M594</f>
        <v/>
      </c>
      <c r="N596" s="1361">
        <f>N568+N575+N581+N589+N590+N592+N594</f>
        <v/>
      </c>
      <c r="O596" s="1361">
        <f>O568+O575+O581+O589+O590+O592+O594</f>
        <v/>
      </c>
      <c r="P596" s="1379">
        <f>P568+P575+P581+P589+P590+P592+P594</f>
        <v/>
      </c>
      <c r="Q596" s="1361">
        <f>Q568+Q575+Q581+Q589+Q590+Q592+Q594</f>
        <v/>
      </c>
      <c r="R596" s="1361">
        <f>R568+R575+R581+R589+R590+R592+R594</f>
        <v/>
      </c>
      <c r="S596" s="1361">
        <f>S568+S575+S581+S589+S590+S592+S594</f>
        <v/>
      </c>
      <c r="T596" s="1361">
        <f>T568+T575+T581+T589+T590+T592+T594</f>
        <v/>
      </c>
      <c r="U596" s="1379">
        <f>U568+U575+U581+U589+U590+U592+U594</f>
        <v/>
      </c>
      <c r="V596" s="1361">
        <f>V568+V575+V581+V589+V590+V592+V594</f>
        <v/>
      </c>
      <c r="W596" s="1361">
        <f>W568+W575+W581+W589+W590+W592+W594</f>
        <v/>
      </c>
      <c r="X596" s="1361">
        <f>X568+X575+X581+X589+X590+X592+X594</f>
        <v/>
      </c>
      <c r="Y596" s="1361">
        <f>Y568+Y575+Y581+Y589+Y590+Y592+Y594</f>
        <v/>
      </c>
      <c r="Z596" s="1379">
        <f>Z568+Z575+Z581+Z589+Z590+Z592+Z594</f>
        <v/>
      </c>
      <c r="AA596" s="1361">
        <f>AA568+AA575+AA581+AA589+AA590+AA592+AA594</f>
        <v/>
      </c>
      <c r="AB596" s="1361">
        <f>AB568+AB575+AB581+AB589+AB590+AB592+AB594</f>
        <v/>
      </c>
      <c r="AC596" s="1361">
        <f>AC568+AC575+AC581+AC589+AC590+AC592+AC594</f>
        <v/>
      </c>
      <c r="AD596" s="1361">
        <f>AD568+AD575+AD581+AD589+AD590+AD592+AD594</f>
        <v/>
      </c>
      <c r="AE596" s="1379">
        <f>AE568+AE575+AE581+AE589+AE590+AE592+AE594</f>
        <v/>
      </c>
      <c r="AF596" s="1361">
        <f>AF568+AF575+AF581+AF589+AF590+AF592+AF594</f>
        <v/>
      </c>
      <c r="AG596" s="1361">
        <f>AG568+AG575+AG581+AG589+AG590+AG592+AG594</f>
        <v/>
      </c>
      <c r="AH596" s="1361">
        <f>AH568+AH575+AH581+AH589+AH590+AH592+AH594</f>
        <v/>
      </c>
      <c r="AI596" s="1361">
        <f>AI568+AI575+AI581+AI589+AI590+AI592+AI594</f>
        <v/>
      </c>
      <c r="AJ596" s="1379">
        <f>AJ568+AJ575+AJ581+AJ589+AJ590+AJ592+AJ594</f>
        <v/>
      </c>
      <c r="AK596" s="1361">
        <f>AK568+AK575+AK581+AK589+AK590+AK592+AK594</f>
        <v/>
      </c>
      <c r="AL596" s="1361">
        <f>AL568+AL575+AL581+AL589+AL590+AL592+AL594</f>
        <v/>
      </c>
      <c r="AM596" s="1361">
        <f>AM568+AM575+AM581+AM589+AM590+AM592+AM594</f>
        <v/>
      </c>
      <c r="AN596" s="1361">
        <f>AN568+AN575+AN581+AN589+AN590+AN592+AN594</f>
        <v/>
      </c>
      <c r="AO596" s="1379">
        <f>AO568+AO575+AO581+AO589+AO590+AO592+AO594</f>
        <v/>
      </c>
      <c r="AP596" s="1361">
        <f>AP568+AP575+AP581+AP589+AP590+AP592+AP594</f>
        <v/>
      </c>
      <c r="AQ596" s="1361">
        <f>AQ568+AQ575+AQ581+AQ589+AQ590+AQ592+AQ594</f>
        <v/>
      </c>
      <c r="AR596" s="1361">
        <f>AR568+AR575+AR581+AR589+AR590+AR592+AR594</f>
        <v/>
      </c>
      <c r="AS596" s="1361">
        <f>AS568+AS575+AS581+AS589+AS590+AS592+AS594</f>
        <v/>
      </c>
      <c r="AT596" s="1379">
        <f>AT568+AT575+AT581+AT589+AT590+AT592+AT594</f>
        <v/>
      </c>
      <c r="AU596" s="1361">
        <f>AU568+AU575+AU581+AU589+AU590+AU592+AU594</f>
        <v/>
      </c>
      <c r="AV596" s="1361">
        <f>AV568+AV575+AV581+AV589+AV590+AV592+AV594</f>
        <v/>
      </c>
      <c r="AW596" s="1361">
        <f>AW568+AW575+AW581+AW589+AW590+AW592+AW594</f>
        <v/>
      </c>
      <c r="AX596" s="1361">
        <f>AX568+AX575+AX581+AX589+AX590+AX592+AX594</f>
        <v/>
      </c>
      <c r="AY596" s="1379">
        <f>AY568+AY575+AY581+AY589+AY590+AY592+AY594</f>
        <v/>
      </c>
      <c r="AZ596" s="1361">
        <f>AZ568+AZ575+AZ581+AZ589+AZ590+AZ592+AZ594</f>
        <v/>
      </c>
      <c r="BA596" s="1361">
        <f>BA568+BA575+BA581+BA589+BA590+BA592+BA594</f>
        <v/>
      </c>
      <c r="BB596" s="1361">
        <f>BB568+BB575+BB581+BB589+BB590+BB592+BB594</f>
        <v/>
      </c>
      <c r="BC596" s="1361">
        <f>BC568+BC575+BC581+BC589+BC590+BC592+BC594</f>
        <v/>
      </c>
      <c r="BD596" s="1379">
        <f>BD568+BD575+BD581+BD589+BD590+BD592+BD594</f>
        <v/>
      </c>
      <c r="BE596" s="1361">
        <f>BE568+BE575+BE581+BE589+BE590+BE592+BE594</f>
        <v/>
      </c>
      <c r="BF596" s="1361">
        <f>BF568+BF575+BF581+BF589+BF590+BF592+BF594</f>
        <v/>
      </c>
      <c r="BG596" s="1361">
        <f>BG568+BG575+BG581+BG589+BG590+BG592+BG594</f>
        <v/>
      </c>
      <c r="BH596" s="1364">
        <f>BH568+BH575+BH581+BH589+BH590+BH592+BH594</f>
        <v/>
      </c>
      <c r="BI596" s="1379">
        <f>BI568+BI575+BI581+BI589+BI590+BI592+BI594</f>
        <v/>
      </c>
      <c r="BJ596" s="1361">
        <f>BJ568+BJ575+BJ581+BJ589+BJ590+BJ592+BJ594</f>
        <v/>
      </c>
      <c r="BK596" s="1361">
        <f>BK568+BK575+BK581+BK589+BK590+BK592+BK594</f>
        <v/>
      </c>
      <c r="BL596" s="1361">
        <f>BL568+BL575+BL581+BL589+BL590+BL592+BL594</f>
        <v/>
      </c>
      <c r="BM596" s="1364">
        <f>BM568+BM575+BM581+BM589+BM590+BM592+BM594</f>
        <v/>
      </c>
      <c r="BN596" s="1378">
        <f>BN568+BN575+BN581+BN589+BN590+BN592+BN594</f>
        <v/>
      </c>
      <c r="BO596" s="1361">
        <f>BO568+BO575+BO581+BO589+BO590+BO592+BO594</f>
        <v/>
      </c>
      <c r="BP596" s="1361">
        <f>BP568+BP575+BP581+BP589+BP590+BP592+BP594</f>
        <v/>
      </c>
      <c r="BQ596" s="1363">
        <f>BQ568+BQ575+BQ581+BQ589+BQ590+BQ592+BQ594</f>
        <v/>
      </c>
      <c r="BR596" s="1361">
        <f>BR532*BR597-BR532</f>
        <v/>
      </c>
      <c r="BS596" s="1379">
        <f>BR596</f>
        <v/>
      </c>
      <c r="BT596" s="1361">
        <f>BT532*BT597-BT532</f>
        <v/>
      </c>
      <c r="BU596" s="1361">
        <f>BU532*BU597-BU532</f>
        <v/>
      </c>
      <c r="BV596" s="1361">
        <f>BV532*BV597-BV532</f>
        <v/>
      </c>
      <c r="BW596" s="1361">
        <f>BW532*BW597-BW532</f>
        <v/>
      </c>
      <c r="BX596" s="1379">
        <f>BW596</f>
        <v/>
      </c>
      <c r="BY596" s="1379">
        <f>BY532*BY597-BY532</f>
        <v/>
      </c>
      <c r="BZ596" s="1379">
        <f>BZ532*BZ597-BZ532</f>
        <v/>
      </c>
      <c r="CA596" s="1379">
        <f>CA532*CA597-CA532</f>
        <v/>
      </c>
      <c r="CB596" s="1361" t="n"/>
    </row>
    <row r="597" hidden="1" outlineLevel="1" ht="15" customFormat="1" customHeight="1" s="1706">
      <c r="A597" s="1415" t="inlineStr">
        <is>
          <t>Diluted Shares from SBC plus Basic Shares to Basic Share Count Ratio, x</t>
        </is>
      </c>
      <c r="B597" s="1746" t="n"/>
      <c r="C597" s="1747">
        <f>(C596+C532)/C532</f>
        <v/>
      </c>
      <c r="D597" s="1747">
        <f>(D596+D532)/D532</f>
        <v/>
      </c>
      <c r="E597" s="1747">
        <f>(E596+E532)/E532</f>
        <v/>
      </c>
      <c r="F597" s="1747">
        <f>(F596+F532)/F532</f>
        <v/>
      </c>
      <c r="G597" s="1748">
        <f>(G596+G532)/G532</f>
        <v/>
      </c>
      <c r="H597" s="1748">
        <f>(H596+H532)/H532</f>
        <v/>
      </c>
      <c r="I597" s="1748">
        <f>(I596+I532)/I532</f>
        <v/>
      </c>
      <c r="J597" s="1748">
        <f>(J596+J532)/J532</f>
        <v/>
      </c>
      <c r="K597" s="1747">
        <f>(K596+K532)/K532</f>
        <v/>
      </c>
      <c r="L597" s="1748">
        <f>(L596+L532)/L532</f>
        <v/>
      </c>
      <c r="M597" s="1748">
        <f>(M596+M532)/M532</f>
        <v/>
      </c>
      <c r="N597" s="1748">
        <f>(N596+N532)/N532</f>
        <v/>
      </c>
      <c r="O597" s="1748">
        <f>(O596+O532)/O532</f>
        <v/>
      </c>
      <c r="P597" s="1747">
        <f>(P596+P532)/P532</f>
        <v/>
      </c>
      <c r="Q597" s="1748">
        <f>(Q596+Q532)/Q532</f>
        <v/>
      </c>
      <c r="R597" s="1748">
        <f>(R596+R532)/R532</f>
        <v/>
      </c>
      <c r="S597" s="1748">
        <f>(S596+S532)/S532</f>
        <v/>
      </c>
      <c r="T597" s="1748">
        <f>(T596+T532)/T532</f>
        <v/>
      </c>
      <c r="U597" s="1747">
        <f>(U596+U532)/U532</f>
        <v/>
      </c>
      <c r="V597" s="1748">
        <f>(V596+V532)/V532</f>
        <v/>
      </c>
      <c r="W597" s="1748">
        <f>(W596+W532)/W532</f>
        <v/>
      </c>
      <c r="X597" s="1748">
        <f>(X596+X532)/X532</f>
        <v/>
      </c>
      <c r="Y597" s="1748">
        <f>(Y596+Y532)/Y532</f>
        <v/>
      </c>
      <c r="Z597" s="1747">
        <f>(Z596+Z532)/Z532</f>
        <v/>
      </c>
      <c r="AA597" s="1748">
        <f>(AA596+AA532)/AA532</f>
        <v/>
      </c>
      <c r="AB597" s="1748">
        <f>(AB596+AB532)/AB532</f>
        <v/>
      </c>
      <c r="AC597" s="1748">
        <f>(AC596+AC532)/AC532</f>
        <v/>
      </c>
      <c r="AD597" s="1748">
        <f>(AD596+AD532)/AD532</f>
        <v/>
      </c>
      <c r="AE597" s="1747">
        <f>(AE596+AE532)/AE532</f>
        <v/>
      </c>
      <c r="AF597" s="1748">
        <f>(AF596+AF532)/AF532</f>
        <v/>
      </c>
      <c r="AG597" s="1748">
        <f>(AG596+AG532)/AG532</f>
        <v/>
      </c>
      <c r="AH597" s="1748">
        <f>(AH596+AH532)/AH532</f>
        <v/>
      </c>
      <c r="AI597" s="1748">
        <f>(AI596+AI532)/AI532</f>
        <v/>
      </c>
      <c r="AJ597" s="1747">
        <f>(AJ596+AJ532)/AJ532</f>
        <v/>
      </c>
      <c r="AK597" s="1748">
        <f>(AK596+AK532)/AK532</f>
        <v/>
      </c>
      <c r="AL597" s="1748">
        <f>(AL596+AL532)/AL532</f>
        <v/>
      </c>
      <c r="AM597" s="1748">
        <f>(AM596+AM532)/AM532</f>
        <v/>
      </c>
      <c r="AN597" s="1748">
        <f>(AN596+AN532)/AN532</f>
        <v/>
      </c>
      <c r="AO597" s="1747">
        <f>(AO596+AO532)/AO532</f>
        <v/>
      </c>
      <c r="AP597" s="1748">
        <f>(AP596+AP532)/AP532</f>
        <v/>
      </c>
      <c r="AQ597" s="1748">
        <f>(AQ596+AQ532)/AQ532</f>
        <v/>
      </c>
      <c r="AR597" s="1748">
        <f>(AR596+AR532)/AR532</f>
        <v/>
      </c>
      <c r="AS597" s="1748">
        <f>(AS596+AS532)/AS532</f>
        <v/>
      </c>
      <c r="AT597" s="1747">
        <f>(AT596+AT532)/AT532</f>
        <v/>
      </c>
      <c r="AU597" s="1748">
        <f>(AU596+AU532)/AU532</f>
        <v/>
      </c>
      <c r="AV597" s="1748">
        <f>(AV596+AV532)/AV532</f>
        <v/>
      </c>
      <c r="AW597" s="1748">
        <f>(AW596+AW532)/AW532</f>
        <v/>
      </c>
      <c r="AX597" s="1748">
        <f>(AX596+AX532)/AX532</f>
        <v/>
      </c>
      <c r="AY597" s="1747">
        <f>(AY596+AY532)/AY532</f>
        <v/>
      </c>
      <c r="AZ597" s="1748">
        <f>(AZ596+AZ532)/AZ532</f>
        <v/>
      </c>
      <c r="BA597" s="1748">
        <f>(BA596+BA532)/BA532</f>
        <v/>
      </c>
      <c r="BB597" s="1748">
        <f>(BB596+BB532)/BB532</f>
        <v/>
      </c>
      <c r="BC597" s="1748">
        <f>(BC596+BC532)/BC532</f>
        <v/>
      </c>
      <c r="BD597" s="1747">
        <f>(BD596+BD532)/BD532</f>
        <v/>
      </c>
      <c r="BE597" s="1748">
        <f>(BE596+BE532)/BE532</f>
        <v/>
      </c>
      <c r="BF597" s="1748">
        <f>(BF596+BF532)/BF532</f>
        <v/>
      </c>
      <c r="BG597" s="1748">
        <f>(BG596+BG532)/BG532</f>
        <v/>
      </c>
      <c r="BH597" s="1749">
        <f>(BH596+BH532)/BH532</f>
        <v/>
      </c>
      <c r="BI597" s="1747">
        <f>(BI596+BI532)/BI532</f>
        <v/>
      </c>
      <c r="BJ597" s="1748">
        <f>(BJ596+BJ532)/BJ532</f>
        <v/>
      </c>
      <c r="BK597" s="1748">
        <f>(BK596+BK532)/BK532</f>
        <v/>
      </c>
      <c r="BL597" s="1748">
        <f>(BL596+BL532)/BL532</f>
        <v/>
      </c>
      <c r="BM597" s="1749">
        <f>(BM596+BM532)/BM532</f>
        <v/>
      </c>
      <c r="BN597" s="1750">
        <f>(BN596+BN532)/BN532</f>
        <v/>
      </c>
      <c r="BO597" s="1748">
        <f>(BO596+BO532)/BO532</f>
        <v/>
      </c>
      <c r="BP597" s="1748">
        <f>(BP596+BP532)/BP532</f>
        <v/>
      </c>
      <c r="BQ597" s="1751">
        <f>(BQ596+BQ532)/BQ532</f>
        <v/>
      </c>
      <c r="BR597" s="1752" t="n">
        <v>1.018249328174353</v>
      </c>
      <c r="BS597" s="1747">
        <f>BR597</f>
        <v/>
      </c>
      <c r="BT597" s="1752" t="n">
        <v>1.018249328174353</v>
      </c>
      <c r="BU597" s="1752" t="n">
        <v>1.018249328174353</v>
      </c>
      <c r="BV597" s="1752" t="n">
        <v>1.018249328174353</v>
      </c>
      <c r="BW597" s="1752" t="n">
        <v>1.018249328174353</v>
      </c>
      <c r="BX597" s="1747">
        <f>BW597</f>
        <v/>
      </c>
      <c r="BY597" s="1753" t="n">
        <v>1.018249328174353</v>
      </c>
      <c r="BZ597" s="1753" t="n">
        <v>1.018249328174353</v>
      </c>
      <c r="CA597" s="1753" t="n">
        <v>1.018249328174353</v>
      </c>
      <c r="CB597" s="1684" t="n"/>
    </row>
    <row r="598" hidden="1" outlineLevel="1" ht="15" customFormat="1" customHeight="1" s="1706">
      <c r="A598" s="1503" t="n"/>
      <c r="B598" s="1512" t="n"/>
      <c r="C598" s="1379" t="n"/>
      <c r="D598" s="1379" t="n"/>
      <c r="E598" s="1379" t="n"/>
      <c r="F598" s="1379" t="n"/>
      <c r="G598" s="1361" t="n"/>
      <c r="H598" s="1361" t="n"/>
      <c r="I598" s="1361" t="n"/>
      <c r="J598" s="1361" t="n"/>
      <c r="K598" s="1379" t="n"/>
      <c r="L598" s="1361" t="n"/>
      <c r="M598" s="1361" t="n"/>
      <c r="N598" s="1361" t="n"/>
      <c r="O598" s="1361" t="n"/>
      <c r="P598" s="1379" t="n"/>
      <c r="Q598" s="1361" t="n"/>
      <c r="R598" s="1361" t="n"/>
      <c r="S598" s="1361" t="n"/>
      <c r="T598" s="1361" t="n"/>
      <c r="U598" s="1379" t="n"/>
      <c r="V598" s="1361" t="n"/>
      <c r="W598" s="1361" t="n"/>
      <c r="X598" s="1361" t="n"/>
      <c r="Y598" s="1361" t="n"/>
      <c r="Z598" s="1379" t="n"/>
      <c r="AA598" s="1361" t="n"/>
      <c r="AB598" s="1361" t="n"/>
      <c r="AC598" s="1361" t="n"/>
      <c r="AD598" s="1361" t="n"/>
      <c r="AE598" s="1379" t="n"/>
      <c r="AF598" s="1361" t="n"/>
      <c r="AG598" s="1361" t="n"/>
      <c r="AH598" s="1361" t="n"/>
      <c r="AI598" s="1361" t="n"/>
      <c r="AJ598" s="1379" t="n"/>
      <c r="AK598" s="1361" t="n"/>
      <c r="AL598" s="1361" t="n"/>
      <c r="AM598" s="1361" t="n"/>
      <c r="AN598" s="1361" t="n"/>
      <c r="AO598" s="1379" t="n"/>
      <c r="AP598" s="1361" t="n"/>
      <c r="AQ598" s="1361" t="n"/>
      <c r="AR598" s="1361" t="n"/>
      <c r="AS598" s="1361" t="n"/>
      <c r="AT598" s="1379" t="n"/>
      <c r="AU598" s="1361" t="n"/>
      <c r="AV598" s="1361" t="n"/>
      <c r="AW598" s="1361" t="n"/>
      <c r="AX598" s="1361" t="n"/>
      <c r="AY598" s="1379" t="n"/>
      <c r="AZ598" s="1361" t="n"/>
      <c r="BA598" s="1361" t="n"/>
      <c r="BB598" s="1361" t="n"/>
      <c r="BC598" s="1361" t="n"/>
      <c r="BD598" s="1379" t="n"/>
      <c r="BE598" s="1361" t="n"/>
      <c r="BF598" s="1361" t="n"/>
      <c r="BG598" s="1361" t="n"/>
      <c r="BH598" s="1361" t="n"/>
      <c r="BI598" s="1379" t="n"/>
      <c r="BJ598" s="1361" t="n"/>
      <c r="BK598" s="1361" t="n"/>
      <c r="BL598" s="1361" t="n"/>
      <c r="BM598" s="1361" t="n"/>
      <c r="BN598" s="1379" t="n"/>
      <c r="BO598" s="1361" t="n"/>
      <c r="BP598" s="1361" t="n"/>
      <c r="BQ598" s="1363" t="n"/>
      <c r="BR598" s="1361" t="n"/>
      <c r="BS598" s="1379" t="n"/>
      <c r="BT598" s="1361" t="n"/>
      <c r="BU598" s="1361" t="n"/>
      <c r="BV598" s="1361" t="n"/>
      <c r="BW598" s="1361" t="n"/>
      <c r="BX598" s="1379" t="n"/>
      <c r="BY598" s="1379" t="n"/>
      <c r="BZ598" s="1379" t="n"/>
      <c r="CA598" s="1379" t="n"/>
      <c r="CB598" s="1684" t="n"/>
    </row>
    <row r="599" hidden="1" outlineLevel="3" ht="14.4" customFormat="1" customHeight="1" s="1597">
      <c r="A599" s="1508" t="inlineStr">
        <is>
          <t>20X1 Notes Outstanding Principal EoP</t>
        </is>
      </c>
      <c r="B599" s="432" t="n"/>
      <c r="C599" s="1379" t="n"/>
      <c r="D599" s="1379" t="n"/>
      <c r="E599" s="1379" t="n"/>
      <c r="F599" s="1379" t="n"/>
      <c r="G599" s="1361" t="n"/>
      <c r="H599" s="1361" t="n"/>
      <c r="I599" s="1361" t="n"/>
      <c r="J599" s="1361" t="n"/>
      <c r="K599" s="1379" t="n"/>
      <c r="L599" s="1361" t="n"/>
      <c r="M599" s="1361" t="n"/>
      <c r="N599" s="1361" t="n"/>
      <c r="O599" s="1361" t="n"/>
      <c r="P599" s="1379" t="n"/>
      <c r="Q599" s="1361" t="n"/>
      <c r="R599" s="1361" t="n"/>
      <c r="S599" s="1361" t="n"/>
      <c r="T599" s="1361" t="n"/>
      <c r="U599" s="1379" t="n"/>
      <c r="V599" s="1361" t="n"/>
      <c r="W599" s="1361" t="n"/>
      <c r="X599" s="1361" t="n"/>
      <c r="Y599" s="1361" t="n"/>
      <c r="Z599" s="1379" t="n"/>
      <c r="AA599" s="1361" t="n"/>
      <c r="AB599" s="1361" t="n"/>
      <c r="AC599" s="1361" t="n"/>
      <c r="AD599" s="1361" t="n"/>
      <c r="AE599" s="1379" t="n"/>
      <c r="AF599" s="1361" t="n"/>
      <c r="AG599" s="1361" t="n"/>
      <c r="AH599" s="1361" t="n"/>
      <c r="AI599" s="1361" t="n"/>
      <c r="AJ599" s="1379" t="n"/>
      <c r="AK599" s="1361" t="n"/>
      <c r="AL599" s="1361" t="n"/>
      <c r="AM599" s="1361" t="n"/>
      <c r="AN599" s="1361" t="n"/>
      <c r="AO599" s="1379" t="n"/>
      <c r="AP599" s="1361" t="n"/>
      <c r="AQ599" s="1361" t="n"/>
      <c r="AR599" s="1361" t="n"/>
      <c r="AS599" s="1361" t="n"/>
      <c r="AT599" s="1379" t="n"/>
      <c r="AU599" s="1361" t="n"/>
      <c r="AV599" s="1361" t="n"/>
      <c r="AW599" s="1361" t="n"/>
      <c r="AX599" s="1361" t="n"/>
      <c r="AY599" s="1379" t="n"/>
      <c r="AZ599" s="1361" t="n"/>
      <c r="BA599" s="1361" t="n"/>
      <c r="BB599" s="1361" t="n"/>
      <c r="BC599" s="1361" t="n"/>
      <c r="BD599" s="1379" t="n"/>
      <c r="BE599" s="1361" t="n"/>
      <c r="BF599" s="1361" t="n"/>
      <c r="BG599" s="1361" t="n"/>
      <c r="BH599" s="1361" t="n"/>
      <c r="BI599" s="1379" t="n"/>
      <c r="BJ599" s="1361" t="n"/>
      <c r="BK599" s="1361" t="n"/>
      <c r="BL599" s="1361" t="n"/>
      <c r="BM599" s="1361" t="n"/>
      <c r="BN599" s="1379" t="n"/>
      <c r="BO599" s="1361" t="n"/>
      <c r="BP599" s="1361" t="n"/>
      <c r="BQ599" s="1363" t="n"/>
      <c r="BR599" s="1361">
        <f>IF(B599&lt;=BR4,0,BQ599)</f>
        <v/>
      </c>
      <c r="BS599" s="1379">
        <f>BR599</f>
        <v/>
      </c>
      <c r="BT599" s="1361">
        <f>IF(B599&lt;=BT4,0,BS599)</f>
        <v/>
      </c>
      <c r="BU599" s="1361">
        <f>IF(B599&lt;=BU4,0,BT599)</f>
        <v/>
      </c>
      <c r="BV599" s="1361">
        <f>IF(B599&lt;=BV4,0,BU599)</f>
        <v/>
      </c>
      <c r="BW599" s="1361">
        <f>IF(B599&lt;=BW4,0,BV599)</f>
        <v/>
      </c>
      <c r="BX599" s="1379">
        <f>BW599</f>
        <v/>
      </c>
      <c r="BY599" s="1379">
        <f>IF(B599&lt;=BY4,0,BX599)</f>
        <v/>
      </c>
      <c r="BZ599" s="1379">
        <f>IF(B599&lt;=BZ4,0,BY599)</f>
        <v/>
      </c>
      <c r="CA599" s="1379">
        <f>IF(B599&lt;=CA4,0,BZ599)</f>
        <v/>
      </c>
      <c r="CB599" s="1361" t="n"/>
    </row>
    <row r="600" hidden="1" outlineLevel="3" ht="14.4" customFormat="1" customHeight="1" s="1597">
      <c r="A600" s="1512" t="inlineStr">
        <is>
          <t>20X1 Notes Outstanding Unamortized Debt Discount</t>
        </is>
      </c>
      <c r="B600" s="1512" t="n"/>
      <c r="C600" s="1379" t="n"/>
      <c r="D600" s="1379" t="n"/>
      <c r="E600" s="1379" t="n"/>
      <c r="F600" s="1379" t="n"/>
      <c r="G600" s="1361" t="n"/>
      <c r="H600" s="1361" t="n"/>
      <c r="I600" s="1361" t="n"/>
      <c r="J600" s="1361" t="n"/>
      <c r="K600" s="1379" t="n"/>
      <c r="L600" s="1361" t="n"/>
      <c r="M600" s="1361" t="n"/>
      <c r="N600" s="1361" t="n"/>
      <c r="O600" s="1361" t="n"/>
      <c r="P600" s="1379" t="n"/>
      <c r="Q600" s="1361" t="n"/>
      <c r="R600" s="1361" t="n"/>
      <c r="S600" s="1361" t="n"/>
      <c r="T600" s="1361" t="n"/>
      <c r="U600" s="1379" t="n"/>
      <c r="V600" s="1361" t="n"/>
      <c r="W600" s="1361" t="n"/>
      <c r="X600" s="1361" t="n"/>
      <c r="Y600" s="1361" t="n"/>
      <c r="Z600" s="1379" t="n"/>
      <c r="AA600" s="1361" t="n"/>
      <c r="AB600" s="1361" t="n"/>
      <c r="AC600" s="1361" t="n"/>
      <c r="AD600" s="1361" t="n"/>
      <c r="AE600" s="1379" t="n"/>
      <c r="AF600" s="1361" t="n"/>
      <c r="AG600" s="1361" t="n"/>
      <c r="AH600" s="1361" t="n"/>
      <c r="AI600" s="1361" t="n"/>
      <c r="AJ600" s="1379" t="n"/>
      <c r="AK600" s="1361" t="n"/>
      <c r="AL600" s="1361" t="n"/>
      <c r="AM600" s="1361" t="n"/>
      <c r="AN600" s="1361" t="n"/>
      <c r="AO600" s="1379" t="n"/>
      <c r="AP600" s="1361" t="n"/>
      <c r="AQ600" s="1361" t="n"/>
      <c r="AR600" s="1361" t="n"/>
      <c r="AS600" s="1361" t="n"/>
      <c r="AT600" s="1379" t="n"/>
      <c r="AU600" s="1361" t="n"/>
      <c r="AV600" s="1361" t="n"/>
      <c r="AW600" s="1361" t="n"/>
      <c r="AX600" s="1361" t="n"/>
      <c r="AY600" s="1379" t="n"/>
      <c r="AZ600" s="1361" t="n"/>
      <c r="BA600" s="1361" t="n"/>
      <c r="BB600" s="1361" t="n"/>
      <c r="BC600" s="1361" t="n"/>
      <c r="BD600" s="1379" t="n"/>
      <c r="BE600" s="1361" t="n"/>
      <c r="BF600" s="1361" t="n"/>
      <c r="BG600" s="1361" t="n"/>
      <c r="BH600" s="1361" t="n"/>
      <c r="BI600" s="1379" t="n"/>
      <c r="BJ600" s="1361" t="n"/>
      <c r="BK600" s="1361" t="n"/>
      <c r="BL600" s="1361" t="n"/>
      <c r="BM600" s="1361" t="n"/>
      <c r="BN600" s="1379" t="n"/>
      <c r="BO600" s="1361" t="n"/>
      <c r="BP600" s="1361" t="n"/>
      <c r="BQ600" s="1363" t="n"/>
      <c r="BR600" s="1361" t="n"/>
      <c r="BS600" s="1379" t="n"/>
      <c r="BT600" s="1361" t="n"/>
      <c r="BU600" s="1361" t="n"/>
      <c r="BV600" s="1361" t="n"/>
      <c r="BW600" s="1361" t="n"/>
      <c r="BX600" s="1379" t="n"/>
      <c r="BY600" s="1379" t="n"/>
      <c r="BZ600" s="1379" t="n"/>
      <c r="CA600" s="1379" t="n"/>
      <c r="CB600" s="1361" t="n"/>
    </row>
    <row r="601" hidden="1" outlineLevel="3" ht="14.4" customFormat="1" customHeight="1" s="1597">
      <c r="A601" s="1613" t="inlineStr">
        <is>
          <t>20X1 Notes Outstanding Unamortized Debt Issuance Costs</t>
        </is>
      </c>
      <c r="B601" s="1613" t="n"/>
      <c r="C601" s="1614" t="n"/>
      <c r="D601" s="1614" t="n"/>
      <c r="E601" s="1614" t="n"/>
      <c r="F601" s="1614" t="n"/>
      <c r="G601" s="1615" t="n"/>
      <c r="H601" s="1615" t="n"/>
      <c r="I601" s="1615" t="n"/>
      <c r="J601" s="1615" t="n"/>
      <c r="K601" s="1614" t="n"/>
      <c r="L601" s="1615" t="n"/>
      <c r="M601" s="1615" t="n"/>
      <c r="N601" s="1615" t="n"/>
      <c r="O601" s="1615" t="n"/>
      <c r="P601" s="1614" t="n"/>
      <c r="Q601" s="1615" t="n"/>
      <c r="R601" s="1615" t="n"/>
      <c r="S601" s="1615" t="n"/>
      <c r="T601" s="1615" t="n"/>
      <c r="U601" s="1614" t="n"/>
      <c r="V601" s="1615" t="n"/>
      <c r="W601" s="1615" t="n"/>
      <c r="X601" s="1615" t="n"/>
      <c r="Y601" s="1615" t="n"/>
      <c r="Z601" s="1614" t="n"/>
      <c r="AA601" s="1615" t="n"/>
      <c r="AB601" s="1615" t="n"/>
      <c r="AC601" s="1615" t="n"/>
      <c r="AD601" s="1615" t="n"/>
      <c r="AE601" s="1614" t="n"/>
      <c r="AF601" s="1615" t="n"/>
      <c r="AG601" s="1615" t="n"/>
      <c r="AH601" s="1615" t="n"/>
      <c r="AI601" s="1615" t="n"/>
      <c r="AJ601" s="1614" t="n"/>
      <c r="AK601" s="1615" t="n"/>
      <c r="AL601" s="1615" t="n"/>
      <c r="AM601" s="1615" t="n"/>
      <c r="AN601" s="1615" t="n"/>
      <c r="AO601" s="1614" t="n"/>
      <c r="AP601" s="1615" t="n"/>
      <c r="AQ601" s="1615" t="n"/>
      <c r="AR601" s="1615" t="n"/>
      <c r="AS601" s="1615" t="n"/>
      <c r="AT601" s="1614" t="n"/>
      <c r="AU601" s="1615" t="n"/>
      <c r="AV601" s="1615" t="n"/>
      <c r="AW601" s="1615" t="n"/>
      <c r="AX601" s="1615" t="n"/>
      <c r="AY601" s="1614" t="n"/>
      <c r="AZ601" s="1615" t="n"/>
      <c r="BA601" s="1615" t="n"/>
      <c r="BB601" s="1615" t="n"/>
      <c r="BC601" s="1615" t="n"/>
      <c r="BD601" s="1614" t="n"/>
      <c r="BE601" s="1615" t="n"/>
      <c r="BF601" s="1615" t="n"/>
      <c r="BG601" s="1615" t="n"/>
      <c r="BH601" s="1615" t="n"/>
      <c r="BI601" s="1614" t="n"/>
      <c r="BJ601" s="1615" t="n"/>
      <c r="BK601" s="1615" t="n"/>
      <c r="BL601" s="1615" t="n"/>
      <c r="BM601" s="1615" t="n"/>
      <c r="BN601" s="1614" t="n"/>
      <c r="BO601" s="1615" t="n"/>
      <c r="BP601" s="1615" t="n"/>
      <c r="BQ601" s="1616" t="n"/>
      <c r="BR601" s="1615">
        <f>IF(BR599=0,0,BQ601-BQ601/(B599-BQ4)*BR3)</f>
        <v/>
      </c>
      <c r="BS601" s="1614">
        <f>BR601</f>
        <v/>
      </c>
      <c r="BT601" s="1615">
        <f>IF(BT599=0,0,BS601-BS601/(B599-BS4)*BT3)</f>
        <v/>
      </c>
      <c r="BU601" s="1615">
        <f>IF(BU599=0,0,BT601-BT601/(B599-BT4)*BU3)</f>
        <v/>
      </c>
      <c r="BV601" s="1615">
        <f>IF(BV599=0,0,BU601-BU601/(B599-BU4)*BV3)</f>
        <v/>
      </c>
      <c r="BW601" s="1615">
        <f>IF(BW599=0,0,BV601-BV601/(B599-BV4)*BW3)</f>
        <v/>
      </c>
      <c r="BX601" s="1614">
        <f>BW601</f>
        <v/>
      </c>
      <c r="BY601" s="1614">
        <f>IF(BY599=0,0,BX601-BX601/(B599-BX4)*BY3)</f>
        <v/>
      </c>
      <c r="BZ601" s="1614">
        <f>IF(BZ599=0,0,BY601-BY601/(B599-BY4)*BZ3)</f>
        <v/>
      </c>
      <c r="CA601" s="1614">
        <f>IF(CA599=0,0,BZ601-BZ601/(B599-BZ4)*CA3)</f>
        <v/>
      </c>
      <c r="CB601" s="1361" t="n"/>
    </row>
    <row r="602" hidden="1" outlineLevel="2" collapsed="1" ht="14.4" customFormat="1" customHeight="1" s="1597">
      <c r="A602" s="1508" t="inlineStr">
        <is>
          <t>20X1 Notes Outstanding Book Value</t>
        </is>
      </c>
      <c r="B602" s="1512" t="n"/>
      <c r="C602" s="1379">
        <f>SUM(C599:C601)</f>
        <v/>
      </c>
      <c r="D602" s="1379">
        <f>SUM(D599:D601)</f>
        <v/>
      </c>
      <c r="E602" s="1379">
        <f>SUM(E599:E601)</f>
        <v/>
      </c>
      <c r="F602" s="1379">
        <f>SUM(F599:F601)</f>
        <v/>
      </c>
      <c r="G602" s="1361">
        <f>SUM(G599:G601)</f>
        <v/>
      </c>
      <c r="H602" s="1361">
        <f>SUM(H599:H601)</f>
        <v/>
      </c>
      <c r="I602" s="1361">
        <f>SUM(I599:I601)</f>
        <v/>
      </c>
      <c r="J602" s="1361">
        <f>SUM(J599:J601)</f>
        <v/>
      </c>
      <c r="K602" s="1379">
        <f>SUM(K599:K601)</f>
        <v/>
      </c>
      <c r="L602" s="1361">
        <f>SUM(L599:L601)</f>
        <v/>
      </c>
      <c r="M602" s="1361">
        <f>SUM(M599:M601)</f>
        <v/>
      </c>
      <c r="N602" s="1361">
        <f>SUM(N599:N601)</f>
        <v/>
      </c>
      <c r="O602" s="1361">
        <f>SUM(O599:O601)</f>
        <v/>
      </c>
      <c r="P602" s="1379">
        <f>SUM(P599:P601)</f>
        <v/>
      </c>
      <c r="Q602" s="1361">
        <f>SUM(Q599:Q601)</f>
        <v/>
      </c>
      <c r="R602" s="1361">
        <f>SUM(R599:R601)</f>
        <v/>
      </c>
      <c r="S602" s="1361">
        <f>SUM(S599:S601)</f>
        <v/>
      </c>
      <c r="T602" s="1361">
        <f>SUM(T599:T601)</f>
        <v/>
      </c>
      <c r="U602" s="1379">
        <f>SUM(U599:U601)</f>
        <v/>
      </c>
      <c r="V602" s="1361">
        <f>SUM(V599:V601)</f>
        <v/>
      </c>
      <c r="W602" s="1361">
        <f>SUM(W599:W601)</f>
        <v/>
      </c>
      <c r="X602" s="1361">
        <f>SUM(X599:X601)</f>
        <v/>
      </c>
      <c r="Y602" s="1361">
        <f>SUM(Y599:Y601)</f>
        <v/>
      </c>
      <c r="Z602" s="1379">
        <f>SUM(Z599:Z601)</f>
        <v/>
      </c>
      <c r="AA602" s="1361">
        <f>SUM(AA599:AA601)</f>
        <v/>
      </c>
      <c r="AB602" s="1361">
        <f>SUM(AB599:AB601)</f>
        <v/>
      </c>
      <c r="AC602" s="1361">
        <f>SUM(AC599:AC601)</f>
        <v/>
      </c>
      <c r="AD602" s="1361">
        <f>SUM(AD599:AD601)</f>
        <v/>
      </c>
      <c r="AE602" s="1379">
        <f>SUM(AE599:AE601)</f>
        <v/>
      </c>
      <c r="AF602" s="1361">
        <f>SUM(AF599:AF601)</f>
        <v/>
      </c>
      <c r="AG602" s="1361">
        <f>SUM(AG599:AG601)</f>
        <v/>
      </c>
      <c r="AH602" s="1361">
        <f>SUM(AH599:AH601)</f>
        <v/>
      </c>
      <c r="AI602" s="1361">
        <f>SUM(AI599:AI601)</f>
        <v/>
      </c>
      <c r="AJ602" s="1379">
        <f>SUM(AJ599:AJ601)</f>
        <v/>
      </c>
      <c r="AK602" s="1361">
        <f>SUM(AK599:AK601)</f>
        <v/>
      </c>
      <c r="AL602" s="1361">
        <f>SUM(AL599:AL601)</f>
        <v/>
      </c>
      <c r="AM602" s="1361">
        <f>SUM(AM599:AM601)</f>
        <v/>
      </c>
      <c r="AN602" s="1361">
        <f>SUM(AN599:AN601)</f>
        <v/>
      </c>
      <c r="AO602" s="1379">
        <f>SUM(AO599:AO601)</f>
        <v/>
      </c>
      <c r="AP602" s="1361">
        <f>SUM(AP599:AP601)</f>
        <v/>
      </c>
      <c r="AQ602" s="1361">
        <f>SUM(AQ599:AQ601)</f>
        <v/>
      </c>
      <c r="AR602" s="1361">
        <f>SUM(AR599:AR601)</f>
        <v/>
      </c>
      <c r="AS602" s="1361">
        <f>SUM(AS599:AS601)</f>
        <v/>
      </c>
      <c r="AT602" s="1379">
        <f>SUM(AT599:AT601)</f>
        <v/>
      </c>
      <c r="AU602" s="1361">
        <f>SUM(AU599:AU601)</f>
        <v/>
      </c>
      <c r="AV602" s="1361">
        <f>SUM(AV599:AV601)</f>
        <v/>
      </c>
      <c r="AW602" s="1361">
        <f>SUM(AW599:AW601)</f>
        <v/>
      </c>
      <c r="AX602" s="1361">
        <f>SUM(AX599:AX601)</f>
        <v/>
      </c>
      <c r="AY602" s="1379">
        <f>SUM(AY599:AY601)</f>
        <v/>
      </c>
      <c r="AZ602" s="1361">
        <f>SUM(AZ599:AZ601)</f>
        <v/>
      </c>
      <c r="BA602" s="1361">
        <f>SUM(BA599:BA601)</f>
        <v/>
      </c>
      <c r="BB602" s="1361">
        <f>SUM(BB599:BB601)</f>
        <v/>
      </c>
      <c r="BC602" s="1361">
        <f>SUM(BC599:BC601)</f>
        <v/>
      </c>
      <c r="BD602" s="1379">
        <f>SUM(BD599:BD601)</f>
        <v/>
      </c>
      <c r="BE602" s="1361">
        <f>SUM(BE599:BE601)</f>
        <v/>
      </c>
      <c r="BF602" s="1361">
        <f>SUM(BF599:BF601)</f>
        <v/>
      </c>
      <c r="BG602" s="1361">
        <f>SUM(BG599:BG601)</f>
        <v/>
      </c>
      <c r="BH602" s="1361">
        <f>SUM(BH599:BH601)</f>
        <v/>
      </c>
      <c r="BI602" s="1379">
        <f>SUM(BI599:BI601)</f>
        <v/>
      </c>
      <c r="BJ602" s="1361">
        <f>SUM(BJ599:BJ601)</f>
        <v/>
      </c>
      <c r="BK602" s="1361">
        <f>SUM(BK599:BK601)</f>
        <v/>
      </c>
      <c r="BL602" s="1361">
        <f>SUM(BL599:BL601)</f>
        <v/>
      </c>
      <c r="BM602" s="1361">
        <f>SUM(BM599:BM601)</f>
        <v/>
      </c>
      <c r="BN602" s="1379">
        <f>SUM(BN599:BN601)</f>
        <v/>
      </c>
      <c r="BO602" s="1361">
        <f>SUM(BO599:BO601)</f>
        <v/>
      </c>
      <c r="BP602" s="1361">
        <f>SUM(BP599:BP601)</f>
        <v/>
      </c>
      <c r="BQ602" s="1363">
        <f>SUM(BQ599:BQ601)</f>
        <v/>
      </c>
      <c r="BR602" s="1361">
        <f>SUM(BR599:BR601)</f>
        <v/>
      </c>
      <c r="BS602" s="1379">
        <f>SUM(BS599:BS601)</f>
        <v/>
      </c>
      <c r="BT602" s="1361">
        <f>SUM(BT599:BT601)</f>
        <v/>
      </c>
      <c r="BU602" s="1361">
        <f>SUM(BU599:BU601)</f>
        <v/>
      </c>
      <c r="BV602" s="1361">
        <f>SUM(BV599:BV601)</f>
        <v/>
      </c>
      <c r="BW602" s="1361">
        <f>SUM(BW599:BW601)</f>
        <v/>
      </c>
      <c r="BX602" s="1379">
        <f>SUM(BX599:BX601)</f>
        <v/>
      </c>
      <c r="BY602" s="1379">
        <f>SUM(BY599:BY601)</f>
        <v/>
      </c>
      <c r="BZ602" s="1379">
        <f>SUM(BZ599:BZ601)</f>
        <v/>
      </c>
      <c r="CA602" s="1379">
        <f>SUM(CA599:CA601)</f>
        <v/>
      </c>
      <c r="CB602" s="1361" t="n"/>
    </row>
    <row r="603" hidden="1" outlineLevel="2" ht="14.4" customFormat="1" customHeight="1" s="1597">
      <c r="A603" s="1508" t="inlineStr">
        <is>
          <t>Initial Conversion Price 20X1, $/share</t>
        </is>
      </c>
      <c r="B603" s="1512" t="n"/>
      <c r="C603" s="1716" t="n"/>
      <c r="D603" s="1716" t="n"/>
      <c r="E603" s="1716" t="n"/>
      <c r="F603" s="1716" t="n"/>
      <c r="G603" s="1714" t="n"/>
      <c r="H603" s="1714" t="n"/>
      <c r="I603" s="1714" t="n"/>
      <c r="J603" s="1714" t="n"/>
      <c r="K603" s="1716" t="n"/>
      <c r="L603" s="1714" t="n"/>
      <c r="M603" s="1714" t="n"/>
      <c r="N603" s="1714" t="n"/>
      <c r="O603" s="1714" t="n"/>
      <c r="P603" s="1716" t="n"/>
      <c r="Q603" s="1714" t="n"/>
      <c r="R603" s="1714" t="n"/>
      <c r="S603" s="1714" t="n"/>
      <c r="T603" s="1714" t="n"/>
      <c r="U603" s="1716" t="n"/>
      <c r="V603" s="1714" t="n"/>
      <c r="W603" s="1714" t="n"/>
      <c r="X603" s="1714" t="n"/>
      <c r="Y603" s="1714" t="n"/>
      <c r="Z603" s="1716" t="n"/>
      <c r="AA603" s="1714" t="n"/>
      <c r="AB603" s="1714" t="n"/>
      <c r="AC603" s="1714" t="n"/>
      <c r="AD603" s="1714" t="n"/>
      <c r="AE603" s="1716" t="n"/>
      <c r="AF603" s="1714" t="n"/>
      <c r="AG603" s="1714" t="n"/>
      <c r="AH603" s="1714" t="n"/>
      <c r="AI603" s="1714" t="n"/>
      <c r="AJ603" s="1716" t="n"/>
      <c r="AK603" s="1714" t="n"/>
      <c r="AL603" s="1714" t="n"/>
      <c r="AM603" s="1714" t="n"/>
      <c r="AN603" s="1714" t="n"/>
      <c r="AO603" s="1716" t="n"/>
      <c r="AP603" s="1714" t="n"/>
      <c r="AQ603" s="1714" t="n"/>
      <c r="AR603" s="1714" t="n"/>
      <c r="AS603" s="1714" t="n"/>
      <c r="AT603" s="1716" t="n"/>
      <c r="AU603" s="1714" t="n"/>
      <c r="AV603" s="1714" t="n"/>
      <c r="AW603" s="1714" t="n"/>
      <c r="AX603" s="1714" t="n"/>
      <c r="AY603" s="1716" t="n"/>
      <c r="AZ603" s="1714" t="n"/>
      <c r="BA603" s="1714" t="n"/>
      <c r="BB603" s="1714" t="n"/>
      <c r="BC603" s="1714" t="n"/>
      <c r="BD603" s="1716" t="n"/>
      <c r="BE603" s="1714" t="n"/>
      <c r="BF603" s="1714" t="n"/>
      <c r="BG603" s="1714" t="n"/>
      <c r="BH603" s="1714" t="n"/>
      <c r="BI603" s="1716" t="n"/>
      <c r="BJ603" s="1714" t="n"/>
      <c r="BK603" s="1714" t="n"/>
      <c r="BL603" s="1714" t="n"/>
      <c r="BM603" s="1714" t="n"/>
      <c r="BN603" s="1716" t="n"/>
      <c r="BO603" s="1714" t="n"/>
      <c r="BP603" s="1714" t="n"/>
      <c r="BQ603" s="1717" t="n"/>
      <c r="BR603" s="1714">
        <f>IF(BR599=0,0,BQ603)</f>
        <v/>
      </c>
      <c r="BS603" s="1716">
        <f>BR603</f>
        <v/>
      </c>
      <c r="BT603" s="1714">
        <f>IF(BT599=0,0,BS603)</f>
        <v/>
      </c>
      <c r="BU603" s="1714">
        <f>IF(BU599=0,0,BT603)</f>
        <v/>
      </c>
      <c r="BV603" s="1714">
        <f>IF(BV599=0,0,BU603)</f>
        <v/>
      </c>
      <c r="BW603" s="1714">
        <f>IF(BW599=0,0,BV603)</f>
        <v/>
      </c>
      <c r="BX603" s="1716">
        <f>BW603</f>
        <v/>
      </c>
      <c r="BY603" s="1716">
        <f>IF(BY599=0,0,BX603)</f>
        <v/>
      </c>
      <c r="BZ603" s="1716">
        <f>IF(BZ599=0,0,BY603)</f>
        <v/>
      </c>
      <c r="CA603" s="1716">
        <f>IF(CA599=0,0,BZ603)</f>
        <v/>
      </c>
      <c r="CB603" s="1361" t="n"/>
    </row>
    <row r="604" hidden="1" outlineLevel="2" ht="14.4" customFormat="1" customHeight="1" s="1597">
      <c r="A604" s="1474" t="inlineStr">
        <is>
          <t>Shares Issuable Upon Conversion, mm shares</t>
        </is>
      </c>
      <c r="B604" s="1512" t="n"/>
      <c r="C604" s="1379">
        <f>IFERROR(C599/C603,0)</f>
        <v/>
      </c>
      <c r="D604" s="1379">
        <f>IFERROR(D599/D603,0)</f>
        <v/>
      </c>
      <c r="E604" s="1379">
        <f>IFERROR(E599/E603,0)</f>
        <v/>
      </c>
      <c r="F604" s="1379">
        <f>IFERROR(F599/F603,0)</f>
        <v/>
      </c>
      <c r="G604" s="1361">
        <f>IFERROR(G599/G603,0)</f>
        <v/>
      </c>
      <c r="H604" s="1361">
        <f>IFERROR(H599/H603,0)</f>
        <v/>
      </c>
      <c r="I604" s="1361">
        <f>IFERROR(I599/I603,0)</f>
        <v/>
      </c>
      <c r="J604" s="1361">
        <f>IFERROR(J599/J603,0)</f>
        <v/>
      </c>
      <c r="K604" s="1379">
        <f>IFERROR(K599/K603,0)</f>
        <v/>
      </c>
      <c r="L604" s="1361">
        <f>IFERROR(L599/L603,0)</f>
        <v/>
      </c>
      <c r="M604" s="1361">
        <f>IFERROR(M599/M603,0)</f>
        <v/>
      </c>
      <c r="N604" s="1361">
        <f>IFERROR(N599/N603,0)</f>
        <v/>
      </c>
      <c r="O604" s="1361">
        <f>IFERROR(O599/O603,0)</f>
        <v/>
      </c>
      <c r="P604" s="1379">
        <f>IFERROR(P599/P603,0)</f>
        <v/>
      </c>
      <c r="Q604" s="1361">
        <f>IFERROR(Q599/Q603,0)</f>
        <v/>
      </c>
      <c r="R604" s="1361">
        <f>IFERROR(R599/R603,0)</f>
        <v/>
      </c>
      <c r="S604" s="1361">
        <f>IFERROR(S599/S603,0)</f>
        <v/>
      </c>
      <c r="T604" s="1361">
        <f>IFERROR(T599/T603,0)</f>
        <v/>
      </c>
      <c r="U604" s="1379">
        <f>IFERROR(U599/U603,0)</f>
        <v/>
      </c>
      <c r="V604" s="1361">
        <f>IFERROR(V599/V603,0)</f>
        <v/>
      </c>
      <c r="W604" s="1361">
        <f>IFERROR(W599/W603,0)</f>
        <v/>
      </c>
      <c r="X604" s="1361">
        <f>IFERROR(X599/X603,0)</f>
        <v/>
      </c>
      <c r="Y604" s="1361">
        <f>IFERROR(Y599/Y603,0)</f>
        <v/>
      </c>
      <c r="Z604" s="1379">
        <f>IFERROR(Z599/Z603,0)</f>
        <v/>
      </c>
      <c r="AA604" s="1361">
        <f>IFERROR(AA599/AA603,0)</f>
        <v/>
      </c>
      <c r="AB604" s="1361">
        <f>IFERROR(AB599/AB603,0)</f>
        <v/>
      </c>
      <c r="AC604" s="1361">
        <f>IFERROR(AC599/AC603,0)</f>
        <v/>
      </c>
      <c r="AD604" s="1361">
        <f>IFERROR(AD599/AD603,0)</f>
        <v/>
      </c>
      <c r="AE604" s="1379">
        <f>IFERROR(AE599/AE603,0)</f>
        <v/>
      </c>
      <c r="AF604" s="1361">
        <f>IFERROR(AF599/AF603,0)</f>
        <v/>
      </c>
      <c r="AG604" s="1361">
        <f>IFERROR(AG599/AG603,0)</f>
        <v/>
      </c>
      <c r="AH604" s="1361">
        <f>IFERROR(AH599/AH603,0)</f>
        <v/>
      </c>
      <c r="AI604" s="1361">
        <f>IFERROR(AI599/AI603,0)</f>
        <v/>
      </c>
      <c r="AJ604" s="1379">
        <f>IFERROR(AJ599/AJ603,0)</f>
        <v/>
      </c>
      <c r="AK604" s="1361">
        <f>IFERROR(AK599/AK603,0)</f>
        <v/>
      </c>
      <c r="AL604" s="1361">
        <f>IFERROR(AL599/AL603,0)</f>
        <v/>
      </c>
      <c r="AM604" s="1361">
        <f>IFERROR(AM599/AM603,0)</f>
        <v/>
      </c>
      <c r="AN604" s="1361">
        <f>IFERROR(AN599/AN603,0)</f>
        <v/>
      </c>
      <c r="AO604" s="1379">
        <f>IFERROR(AO599/AO603,0)</f>
        <v/>
      </c>
      <c r="AP604" s="1361">
        <f>IFERROR(AP599/AP603,0)</f>
        <v/>
      </c>
      <c r="AQ604" s="1361">
        <f>IFERROR(AQ599/AQ603,0)</f>
        <v/>
      </c>
      <c r="AR604" s="1361">
        <f>IFERROR(AR599/AR603,0)</f>
        <v/>
      </c>
      <c r="AS604" s="1361">
        <f>IFERROR(AS599/AS603,0)</f>
        <v/>
      </c>
      <c r="AT604" s="1379">
        <f>IFERROR(AT599/AT603,0)</f>
        <v/>
      </c>
      <c r="AU604" s="1361">
        <f>IFERROR(AU599/AU603,0)</f>
        <v/>
      </c>
      <c r="AV604" s="1361">
        <f>IFERROR(AV599/AV603,0)</f>
        <v/>
      </c>
      <c r="AW604" s="1361">
        <f>IFERROR(AW599/AW603,0)</f>
        <v/>
      </c>
      <c r="AX604" s="1361">
        <f>IFERROR(AX599/AX603,0)</f>
        <v/>
      </c>
      <c r="AY604" s="1379">
        <f>IFERROR(AY599/AY603,0)</f>
        <v/>
      </c>
      <c r="AZ604" s="1361">
        <f>IFERROR(AZ599/AZ603,0)</f>
        <v/>
      </c>
      <c r="BA604" s="1361">
        <f>IFERROR(BA599/BA603,0)</f>
        <v/>
      </c>
      <c r="BB604" s="1361">
        <f>IFERROR(BB599/BB603,0)</f>
        <v/>
      </c>
      <c r="BC604" s="1361">
        <f>IFERROR(BC599/BC603,0)</f>
        <v/>
      </c>
      <c r="BD604" s="1379">
        <f>IFERROR(BD599/BD603,0)</f>
        <v/>
      </c>
      <c r="BE604" s="1361">
        <f>IFERROR(BE599/BE603,0)</f>
        <v/>
      </c>
      <c r="BF604" s="1361">
        <f>IFERROR(BF599/BF603,0)</f>
        <v/>
      </c>
      <c r="BG604" s="1361">
        <f>IFERROR(BG599/BG603,0)</f>
        <v/>
      </c>
      <c r="BH604" s="1361">
        <f>IFERROR(BH599/BH603,0)</f>
        <v/>
      </c>
      <c r="BI604" s="1379">
        <f>IFERROR(BI599/BI603,0)</f>
        <v/>
      </c>
      <c r="BJ604" s="1361">
        <f>IFERROR(BJ599/BJ603,0)</f>
        <v/>
      </c>
      <c r="BK604" s="1361">
        <f>IFERROR(BK599/BK603,0)</f>
        <v/>
      </c>
      <c r="BL604" s="1361">
        <f>IFERROR(BL599/BL603,0)</f>
        <v/>
      </c>
      <c r="BM604" s="1361">
        <f>IFERROR(BM599/BM603,0)</f>
        <v/>
      </c>
      <c r="BN604" s="1379">
        <f>IFERROR(BN599/BN603,0)</f>
        <v/>
      </c>
      <c r="BO604" s="1361">
        <f>IFERROR(BO599/BO603,0)</f>
        <v/>
      </c>
      <c r="BP604" s="1361">
        <f>IFERROR(BP599/BP603,0)</f>
        <v/>
      </c>
      <c r="BQ604" s="1363">
        <f>IFERROR(BQ599/BQ603,0)</f>
        <v/>
      </c>
      <c r="BR604" s="1361">
        <f>IFERROR(BR599/BR603,0)</f>
        <v/>
      </c>
      <c r="BS604" s="1379">
        <f>IFERROR(BS599/BS603,0)</f>
        <v/>
      </c>
      <c r="BT604" s="1361">
        <f>IFERROR(BT599/BT603,0)</f>
        <v/>
      </c>
      <c r="BU604" s="1361">
        <f>IFERROR(BU599/BU603,0)</f>
        <v/>
      </c>
      <c r="BV604" s="1361">
        <f>IFERROR(BV599/BV603,0)</f>
        <v/>
      </c>
      <c r="BW604" s="1361">
        <f>IFERROR(BW599/BW603,0)</f>
        <v/>
      </c>
      <c r="BX604" s="1379">
        <f>IFERROR(BX599/BX603,0)</f>
        <v/>
      </c>
      <c r="BY604" s="1379">
        <f>IFERROR(BY599/BY603,0)</f>
        <v/>
      </c>
      <c r="BZ604" s="1379">
        <f>IFERROR(BZ599/BZ603,0)</f>
        <v/>
      </c>
      <c r="CA604" s="1379">
        <f>IFERROR(CA599/CA603,0)</f>
        <v/>
      </c>
      <c r="CB604" s="1361" t="n"/>
    </row>
    <row r="605" hidden="1" outlineLevel="2" ht="14.4" customFormat="1" customHeight="1" s="1597">
      <c r="A605" s="1693" t="inlineStr">
        <is>
          <t>Dilutive Shares from Convertible Notes 20X1, mm shares</t>
        </is>
      </c>
      <c r="B605" s="1694" t="n"/>
      <c r="C605" s="1698">
        <f>IFERROR(IF(C526&gt;C603,C604,0),0)</f>
        <v/>
      </c>
      <c r="D605" s="1698">
        <f>IFERROR(IF(D526&gt;D603,D604,0),0)</f>
        <v/>
      </c>
      <c r="E605" s="1698">
        <f>IFERROR(IF(E526&gt;E603,E604,0),0)</f>
        <v/>
      </c>
      <c r="F605" s="1698">
        <f>IFERROR(IF(F526&gt;F603,F604,0),0)</f>
        <v/>
      </c>
      <c r="G605" s="1693">
        <f>IFERROR(IF(G526&gt;G603,G604,0),0)</f>
        <v/>
      </c>
      <c r="H605" s="1693">
        <f>IFERROR(IF(H526&gt;H603,H604,0),0)</f>
        <v/>
      </c>
      <c r="I605" s="1693">
        <f>IFERROR(IF(I526&gt;I603,I604,0),0)</f>
        <v/>
      </c>
      <c r="J605" s="1693">
        <f>IFERROR(IF(J526&gt;J603,J604,0),0)</f>
        <v/>
      </c>
      <c r="K605" s="1698">
        <f>IFERROR(IF(K526&gt;K603,K604,0),0)</f>
        <v/>
      </c>
      <c r="L605" s="1693">
        <f>IFERROR(IF(L526&gt;L603,L604,0),0)</f>
        <v/>
      </c>
      <c r="M605" s="1693">
        <f>IFERROR(IF(M526&gt;M603,M604,0),0)</f>
        <v/>
      </c>
      <c r="N605" s="1693">
        <f>IFERROR(IF(N526&gt;N603,N604,0),0)</f>
        <v/>
      </c>
      <c r="O605" s="1693">
        <f>IFERROR(IF(O526&gt;O603,O604,0),0)</f>
        <v/>
      </c>
      <c r="P605" s="1698">
        <f>IFERROR(IF(P526&gt;P603,P604,0),0)</f>
        <v/>
      </c>
      <c r="Q605" s="1693">
        <f>IFERROR(IF(Q526&gt;Q603,Q604,0),0)</f>
        <v/>
      </c>
      <c r="R605" s="1693">
        <f>IFERROR(IF(R526&gt;R603,R604,0),0)</f>
        <v/>
      </c>
      <c r="S605" s="1693">
        <f>IFERROR(IF(S526&gt;S603,S604,0),0)</f>
        <v/>
      </c>
      <c r="T605" s="1693">
        <f>IFERROR(IF(T526&gt;T603,T604,0),0)</f>
        <v/>
      </c>
      <c r="U605" s="1698">
        <f>IFERROR(IF(U526&gt;U603,U604,0),0)</f>
        <v/>
      </c>
      <c r="V605" s="1693">
        <f>IFERROR(IF(V526&gt;V603,V604,0),0)</f>
        <v/>
      </c>
      <c r="W605" s="1693">
        <f>IFERROR(IF(W526&gt;W603,W604,0),0)</f>
        <v/>
      </c>
      <c r="X605" s="1693">
        <f>IFERROR(IF(X526&gt;X603,X604,0),0)</f>
        <v/>
      </c>
      <c r="Y605" s="1693">
        <f>IFERROR(IF(Y526&gt;Y603,Y604,0),0)</f>
        <v/>
      </c>
      <c r="Z605" s="1698">
        <f>IFERROR(IF(Z526&gt;Z603,Z604,0),0)</f>
        <v/>
      </c>
      <c r="AA605" s="1693">
        <f>IFERROR(IF(AA526&gt;AA603,AA604,0),0)</f>
        <v/>
      </c>
      <c r="AB605" s="1693">
        <f>IFERROR(IF(AB526&gt;AB603,AB604,0),0)</f>
        <v/>
      </c>
      <c r="AC605" s="1693">
        <f>IFERROR(IF(AC526&gt;AC603,AC604,0),0)</f>
        <v/>
      </c>
      <c r="AD605" s="1693">
        <f>IFERROR(IF(AD526&gt;AD603,AD604,0),0)</f>
        <v/>
      </c>
      <c r="AE605" s="1698">
        <f>IFERROR(IF(AE526&gt;AE603,AE604,0),0)</f>
        <v/>
      </c>
      <c r="AF605" s="1693">
        <f>IFERROR(IF(AF526&gt;AF603,AF604,0),0)</f>
        <v/>
      </c>
      <c r="AG605" s="1693">
        <f>IFERROR(IF(AG526&gt;AG603,AG604,0),0)</f>
        <v/>
      </c>
      <c r="AH605" s="1693">
        <f>IFERROR(IF(AH526&gt;AH603,AH604,0),0)</f>
        <v/>
      </c>
      <c r="AI605" s="1693">
        <f>IFERROR(IF(AI526&gt;AI603,AI604,0),0)</f>
        <v/>
      </c>
      <c r="AJ605" s="1698">
        <f>IFERROR(IF(AJ526&gt;AJ603,AJ604,0),0)</f>
        <v/>
      </c>
      <c r="AK605" s="1693">
        <f>IFERROR(IF(AK526&gt;AK603,AK604,0),0)</f>
        <v/>
      </c>
      <c r="AL605" s="1693">
        <f>IFERROR(IF(AL526&gt;AL603,AL604,0),0)</f>
        <v/>
      </c>
      <c r="AM605" s="1693">
        <f>IFERROR(IF(AM526&gt;AM603,AM604,0),0)</f>
        <v/>
      </c>
      <c r="AN605" s="1693">
        <f>IFERROR(IF(AN526&gt;AN603,AN604,0),0)</f>
        <v/>
      </c>
      <c r="AO605" s="1698">
        <f>IFERROR(IF(AO526&gt;AO603,AO604,0),0)</f>
        <v/>
      </c>
      <c r="AP605" s="1693">
        <f>IFERROR(IF(AP526&gt;AP603,AP604,0),0)</f>
        <v/>
      </c>
      <c r="AQ605" s="1693">
        <f>IFERROR(IF(AQ526&gt;AQ603,AQ604,0),0)</f>
        <v/>
      </c>
      <c r="AR605" s="1693">
        <f>IFERROR(IF(AR526&gt;AR603,AR604,0),0)</f>
        <v/>
      </c>
      <c r="AS605" s="1693">
        <f>IFERROR(IF(AS526&gt;AS603,AS604,0),0)</f>
        <v/>
      </c>
      <c r="AT605" s="1698">
        <f>IFERROR(IF(AT526&gt;AT603,AT604,0),0)</f>
        <v/>
      </c>
      <c r="AU605" s="1693">
        <f>IFERROR(IF(AU526&gt;AU603,AU604,0),0)</f>
        <v/>
      </c>
      <c r="AV605" s="1693">
        <f>IFERROR(IF(AV526&gt;AV603,AV604,0),0)</f>
        <v/>
      </c>
      <c r="AW605" s="1693">
        <f>IFERROR(IF(AW526&gt;AW603,AW604,0),0)</f>
        <v/>
      </c>
      <c r="AX605" s="1693">
        <f>IFERROR(IF(AX526&gt;AX603,AX604,0),0)</f>
        <v/>
      </c>
      <c r="AY605" s="1698">
        <f>IFERROR(IF(AY526&gt;AY603,AY604,0),0)</f>
        <v/>
      </c>
      <c r="AZ605" s="1693">
        <f>IFERROR(IF(AZ526&gt;AZ603,AZ604,0),0)</f>
        <v/>
      </c>
      <c r="BA605" s="1693">
        <f>IFERROR(IF(BA526&gt;BA603,BA604,0),0)</f>
        <v/>
      </c>
      <c r="BB605" s="1693">
        <f>IFERROR(IF(BB526&gt;BB603,BB604,0),0)</f>
        <v/>
      </c>
      <c r="BC605" s="1693">
        <f>IFERROR(IF(BC526&gt;BC603,BC604,0),0)</f>
        <v/>
      </c>
      <c r="BD605" s="1698">
        <f>IFERROR(IF(BD526&gt;BD603,BD604,0),0)</f>
        <v/>
      </c>
      <c r="BE605" s="1693">
        <f>IFERROR(IF(BE526&gt;BE603,BE604,0),0)</f>
        <v/>
      </c>
      <c r="BF605" s="1693">
        <f>IFERROR(IF(BF526&gt;BF603,BF604,0),0)</f>
        <v/>
      </c>
      <c r="BG605" s="1693">
        <f>IFERROR(IF(BG526&gt;BG603,BG604,0),0)</f>
        <v/>
      </c>
      <c r="BH605" s="1693">
        <f>IFERROR(IF(BH526&gt;BH603,BH604,0),0)</f>
        <v/>
      </c>
      <c r="BI605" s="1698">
        <f>IFERROR(IF(BI526&gt;BI603,BI604,0),0)</f>
        <v/>
      </c>
      <c r="BJ605" s="1693">
        <f>IFERROR(IF(BJ526&gt;BJ603,BJ604,0),0)</f>
        <v/>
      </c>
      <c r="BK605" s="1693">
        <f>IFERROR(IF(BK526&gt;BK603,BK604,0),0)</f>
        <v/>
      </c>
      <c r="BL605" s="1693">
        <f>IFERROR(IF(BL526&gt;BL603,BL604,0),0)</f>
        <v/>
      </c>
      <c r="BM605" s="1693">
        <f>IFERROR(IF(BM526&gt;BM603,BM604,0),0)</f>
        <v/>
      </c>
      <c r="BN605" s="1698">
        <f>IFERROR(IF(BN526&gt;BN603,BN604,0),0)</f>
        <v/>
      </c>
      <c r="BO605" s="1693">
        <f>IFERROR(IF(BO526&gt;BO603,BO604,0),0)</f>
        <v/>
      </c>
      <c r="BP605" s="1693">
        <f>IFERROR(IF(BP526&gt;BP603,BP604,0),0)</f>
        <v/>
      </c>
      <c r="BQ605" s="1733">
        <f>IFERROR(IF(BQ526&gt;BQ603,BQ604,0),0)</f>
        <v/>
      </c>
      <c r="BR605" s="1693">
        <f>IFERROR(IF(BR526&gt;BR603,BR604,0),0)</f>
        <v/>
      </c>
      <c r="BS605" s="1698">
        <f>IFERROR(IF(BS526&gt;BS603,BS604,0),0)</f>
        <v/>
      </c>
      <c r="BT605" s="1693">
        <f>IFERROR(IF(BT526&gt;BT603,BT604,0),0)</f>
        <v/>
      </c>
      <c r="BU605" s="1693">
        <f>IFERROR(IF(BU526&gt;BU603,BU604,0),0)</f>
        <v/>
      </c>
      <c r="BV605" s="1693">
        <f>IFERROR(IF(BV526&gt;BV603,BV604,0),0)</f>
        <v/>
      </c>
      <c r="BW605" s="1693">
        <f>IFERROR(IF(BW526&gt;BW603,BW604,0),0)</f>
        <v/>
      </c>
      <c r="BX605" s="1698">
        <f>IFERROR(IF(BX526&gt;BX603,BX604,0),0)</f>
        <v/>
      </c>
      <c r="BY605" s="1698">
        <f>IFERROR(IF(BY526&gt;BY603,BY604,0),0)</f>
        <v/>
      </c>
      <c r="BZ605" s="1698">
        <f>IFERROR(IF(BZ526&gt;BZ603,BZ604,0),0)</f>
        <v/>
      </c>
      <c r="CA605" s="1698">
        <f>IFERROR(IF(CA526&gt;CA603,CA604,0),0)</f>
        <v/>
      </c>
      <c r="CB605" s="1361" t="n"/>
    </row>
    <row r="606" hidden="1" outlineLevel="2" ht="14.4" customFormat="1" customHeight="1" s="1597">
      <c r="A606" s="1361" t="n"/>
      <c r="B606" s="1512" t="n"/>
      <c r="C606" s="1379" t="n"/>
      <c r="D606" s="1379" t="n"/>
      <c r="E606" s="1379" t="n"/>
      <c r="F606" s="1379" t="n"/>
      <c r="G606" s="1361" t="n"/>
      <c r="H606" s="1361" t="n"/>
      <c r="I606" s="1361" t="n"/>
      <c r="J606" s="1361" t="n"/>
      <c r="K606" s="1379" t="n"/>
      <c r="L606" s="1361" t="n"/>
      <c r="M606" s="1361" t="n"/>
      <c r="N606" s="1361" t="n"/>
      <c r="O606" s="1361" t="n"/>
      <c r="P606" s="1379" t="n"/>
      <c r="Q606" s="1361" t="n"/>
      <c r="R606" s="1361" t="n"/>
      <c r="S606" s="1361" t="n"/>
      <c r="T606" s="1361" t="n"/>
      <c r="U606" s="1379" t="n"/>
      <c r="V606" s="1361" t="n"/>
      <c r="W606" s="1361" t="n"/>
      <c r="X606" s="1361" t="n"/>
      <c r="Y606" s="1361" t="n"/>
      <c r="Z606" s="1379" t="n"/>
      <c r="AA606" s="1361" t="n"/>
      <c r="AB606" s="1361" t="n"/>
      <c r="AC606" s="1361" t="n"/>
      <c r="AD606" s="1361" t="n"/>
      <c r="AE606" s="1379" t="n"/>
      <c r="AF606" s="1361" t="n"/>
      <c r="AG606" s="1361" t="n"/>
      <c r="AH606" s="1361" t="n"/>
      <c r="AI606" s="1361" t="n"/>
      <c r="AJ606" s="1379" t="n"/>
      <c r="AK606" s="1361" t="n"/>
      <c r="AL606" s="1361" t="n"/>
      <c r="AM606" s="1361" t="n"/>
      <c r="AN606" s="1361" t="n"/>
      <c r="AO606" s="1379" t="n"/>
      <c r="AP606" s="1361" t="n"/>
      <c r="AQ606" s="1361" t="n"/>
      <c r="AR606" s="1361" t="n"/>
      <c r="AS606" s="1361" t="n"/>
      <c r="AT606" s="1379" t="n"/>
      <c r="AU606" s="1361" t="n"/>
      <c r="AV606" s="1361" t="n"/>
      <c r="AW606" s="1361" t="n"/>
      <c r="AX606" s="1361" t="n"/>
      <c r="AY606" s="1379" t="n"/>
      <c r="AZ606" s="1361" t="n"/>
      <c r="BA606" s="1361" t="n"/>
      <c r="BB606" s="1361" t="n"/>
      <c r="BC606" s="1361" t="n"/>
      <c r="BD606" s="1379" t="n"/>
      <c r="BE606" s="1361" t="n"/>
      <c r="BF606" s="1361" t="n"/>
      <c r="BG606" s="1361" t="n"/>
      <c r="BH606" s="1361" t="n"/>
      <c r="BI606" s="1379" t="n"/>
      <c r="BJ606" s="1361" t="n"/>
      <c r="BK606" s="1361" t="n"/>
      <c r="BL606" s="1361" t="n"/>
      <c r="BM606" s="1361" t="n"/>
      <c r="BN606" s="1379" t="n"/>
      <c r="BO606" s="1361" t="n"/>
      <c r="BP606" s="1361" t="n"/>
      <c r="BQ606" s="1363" t="n"/>
      <c r="BR606" s="1361" t="n"/>
      <c r="BS606" s="1379" t="n"/>
      <c r="BT606" s="1361" t="n"/>
      <c r="BU606" s="1361" t="n"/>
      <c r="BV606" s="1361" t="n"/>
      <c r="BW606" s="1361" t="n"/>
      <c r="BX606" s="1379" t="n"/>
      <c r="BY606" s="1379" t="n"/>
      <c r="BZ606" s="1379" t="n"/>
      <c r="CA606" s="1379" t="n"/>
      <c r="CB606" s="1361" t="n"/>
    </row>
    <row r="607" hidden="1" outlineLevel="2" ht="14.4" customFormat="1" customHeight="1" s="1597">
      <c r="A607" s="1474" t="inlineStr">
        <is>
          <t>Shares Covered 20X1, mm shares</t>
        </is>
      </c>
      <c r="B607" s="1512" t="n"/>
      <c r="C607" s="1379">
        <f>C604</f>
        <v/>
      </c>
      <c r="D607" s="1379">
        <f>D604</f>
        <v/>
      </c>
      <c r="E607" s="1379">
        <f>E604</f>
        <v/>
      </c>
      <c r="F607" s="1379">
        <f>F604</f>
        <v/>
      </c>
      <c r="G607" s="1361">
        <f>G604</f>
        <v/>
      </c>
      <c r="H607" s="1361">
        <f>H604</f>
        <v/>
      </c>
      <c r="I607" s="1361">
        <f>I604</f>
        <v/>
      </c>
      <c r="J607" s="1361">
        <f>J604</f>
        <v/>
      </c>
      <c r="K607" s="1379">
        <f>K604</f>
        <v/>
      </c>
      <c r="L607" s="1361">
        <f>L604</f>
        <v/>
      </c>
      <c r="M607" s="1361">
        <f>M604</f>
        <v/>
      </c>
      <c r="N607" s="1361">
        <f>N604</f>
        <v/>
      </c>
      <c r="O607" s="1361">
        <f>O604</f>
        <v/>
      </c>
      <c r="P607" s="1379">
        <f>P604</f>
        <v/>
      </c>
      <c r="Q607" s="1361">
        <f>Q604</f>
        <v/>
      </c>
      <c r="R607" s="1361">
        <f>R604</f>
        <v/>
      </c>
      <c r="S607" s="1361">
        <f>S604</f>
        <v/>
      </c>
      <c r="T607" s="1361">
        <f>T604</f>
        <v/>
      </c>
      <c r="U607" s="1379">
        <f>U604</f>
        <v/>
      </c>
      <c r="V607" s="1361">
        <f>V604</f>
        <v/>
      </c>
      <c r="W607" s="1361">
        <f>W604</f>
        <v/>
      </c>
      <c r="X607" s="1361">
        <f>X604</f>
        <v/>
      </c>
      <c r="Y607" s="1361">
        <f>Y604</f>
        <v/>
      </c>
      <c r="Z607" s="1379">
        <f>Z604</f>
        <v/>
      </c>
      <c r="AA607" s="1361">
        <f>AA604</f>
        <v/>
      </c>
      <c r="AB607" s="1361">
        <f>AB604</f>
        <v/>
      </c>
      <c r="AC607" s="1361">
        <f>AC604</f>
        <v/>
      </c>
      <c r="AD607" s="1361">
        <f>AD604</f>
        <v/>
      </c>
      <c r="AE607" s="1379">
        <f>AE604</f>
        <v/>
      </c>
      <c r="AF607" s="1361">
        <f>AF604</f>
        <v/>
      </c>
      <c r="AG607" s="1361">
        <f>AG604</f>
        <v/>
      </c>
      <c r="AH607" s="1361">
        <f>AH604</f>
        <v/>
      </c>
      <c r="AI607" s="1361">
        <f>AI604</f>
        <v/>
      </c>
      <c r="AJ607" s="1379">
        <f>AJ604</f>
        <v/>
      </c>
      <c r="AK607" s="1361">
        <f>AK604</f>
        <v/>
      </c>
      <c r="AL607" s="1361">
        <f>AL604</f>
        <v/>
      </c>
      <c r="AM607" s="1361">
        <f>AM604</f>
        <v/>
      </c>
      <c r="AN607" s="1361">
        <f>AN604</f>
        <v/>
      </c>
      <c r="AO607" s="1379">
        <f>AO604</f>
        <v/>
      </c>
      <c r="AP607" s="1361">
        <f>AP604</f>
        <v/>
      </c>
      <c r="AQ607" s="1361">
        <f>AQ604</f>
        <v/>
      </c>
      <c r="AR607" s="1361">
        <f>AR604</f>
        <v/>
      </c>
      <c r="AS607" s="1361">
        <f>AS604</f>
        <v/>
      </c>
      <c r="AT607" s="1379">
        <f>AT604</f>
        <v/>
      </c>
      <c r="AU607" s="1361">
        <f>AU604</f>
        <v/>
      </c>
      <c r="AV607" s="1361">
        <f>AV604</f>
        <v/>
      </c>
      <c r="AW607" s="1361">
        <f>AW604</f>
        <v/>
      </c>
      <c r="AX607" s="1361">
        <f>AX604</f>
        <v/>
      </c>
      <c r="AY607" s="1379">
        <f>AY604</f>
        <v/>
      </c>
      <c r="AZ607" s="1361">
        <f>AZ604</f>
        <v/>
      </c>
      <c r="BA607" s="1361">
        <f>BA604</f>
        <v/>
      </c>
      <c r="BB607" s="1361">
        <f>BB604</f>
        <v/>
      </c>
      <c r="BC607" s="1361">
        <f>BC604</f>
        <v/>
      </c>
      <c r="BD607" s="1379">
        <f>BD604</f>
        <v/>
      </c>
      <c r="BE607" s="1361">
        <f>BE604</f>
        <v/>
      </c>
      <c r="BF607" s="1361">
        <f>BF604</f>
        <v/>
      </c>
      <c r="BG607" s="1361">
        <f>BG604</f>
        <v/>
      </c>
      <c r="BH607" s="1361">
        <f>BH604</f>
        <v/>
      </c>
      <c r="BI607" s="1379">
        <f>BI604</f>
        <v/>
      </c>
      <c r="BJ607" s="1361">
        <f>BJ604</f>
        <v/>
      </c>
      <c r="BK607" s="1361">
        <f>BK604</f>
        <v/>
      </c>
      <c r="BL607" s="1361">
        <f>BL604</f>
        <v/>
      </c>
      <c r="BM607" s="1361">
        <f>BM604</f>
        <v/>
      </c>
      <c r="BN607" s="1379">
        <f>BN604</f>
        <v/>
      </c>
      <c r="BO607" s="1361">
        <f>BO604</f>
        <v/>
      </c>
      <c r="BP607" s="1361">
        <f>BP604</f>
        <v/>
      </c>
      <c r="BQ607" s="1363">
        <f>BQ604</f>
        <v/>
      </c>
      <c r="BR607" s="1361">
        <f>BR604</f>
        <v/>
      </c>
      <c r="BS607" s="1379">
        <f>BS604</f>
        <v/>
      </c>
      <c r="BT607" s="1361">
        <f>BT604</f>
        <v/>
      </c>
      <c r="BU607" s="1361">
        <f>BU604</f>
        <v/>
      </c>
      <c r="BV607" s="1361">
        <f>BV604</f>
        <v/>
      </c>
      <c r="BW607" s="1361">
        <f>BW604</f>
        <v/>
      </c>
      <c r="BX607" s="1379">
        <f>BX604</f>
        <v/>
      </c>
      <c r="BY607" s="1379">
        <f>BY604</f>
        <v/>
      </c>
      <c r="BZ607" s="1379">
        <f>BZ604</f>
        <v/>
      </c>
      <c r="CA607" s="1379">
        <f>CA604</f>
        <v/>
      </c>
      <c r="CB607" s="1361" t="n"/>
    </row>
    <row r="608" hidden="1" outlineLevel="2" ht="14.4" customFormat="1" customHeight="1" s="1597">
      <c r="A608" s="1474" t="inlineStr">
        <is>
          <t>Initial Cap Price 20X1, $/share</t>
        </is>
      </c>
      <c r="B608" s="1512" t="n"/>
      <c r="C608" s="1716" t="n"/>
      <c r="D608" s="1716" t="n"/>
      <c r="E608" s="1716" t="n"/>
      <c r="F608" s="1716" t="n"/>
      <c r="G608" s="1714" t="n"/>
      <c r="H608" s="1714" t="n"/>
      <c r="I608" s="1714" t="n"/>
      <c r="J608" s="1714" t="n"/>
      <c r="K608" s="1716" t="n"/>
      <c r="L608" s="1714" t="n"/>
      <c r="M608" s="1714" t="n"/>
      <c r="N608" s="1714" t="n"/>
      <c r="O608" s="1714" t="n"/>
      <c r="P608" s="1716" t="n"/>
      <c r="Q608" s="1714" t="n"/>
      <c r="R608" s="1714" t="n"/>
      <c r="S608" s="1714" t="n"/>
      <c r="T608" s="1714" t="n"/>
      <c r="U608" s="1716" t="n"/>
      <c r="V608" s="1714" t="n"/>
      <c r="W608" s="1714" t="n"/>
      <c r="X608" s="1714" t="n"/>
      <c r="Y608" s="1714" t="n"/>
      <c r="Z608" s="1716" t="n"/>
      <c r="AA608" s="1714" t="n"/>
      <c r="AB608" s="1714" t="n"/>
      <c r="AC608" s="1714" t="n"/>
      <c r="AD608" s="1714" t="n"/>
      <c r="AE608" s="1716" t="n"/>
      <c r="AF608" s="1714" t="n"/>
      <c r="AG608" s="1714" t="n"/>
      <c r="AH608" s="1714" t="n"/>
      <c r="AI608" s="1714" t="n"/>
      <c r="AJ608" s="1716" t="n"/>
      <c r="AK608" s="1714" t="n"/>
      <c r="AL608" s="1714" t="n"/>
      <c r="AM608" s="1714" t="n"/>
      <c r="AN608" s="1714" t="n"/>
      <c r="AO608" s="1716" t="n"/>
      <c r="AP608" s="1714" t="n"/>
      <c r="AQ608" s="1714" t="n"/>
      <c r="AR608" s="1714" t="n"/>
      <c r="AS608" s="1714" t="n"/>
      <c r="AT608" s="1716" t="n"/>
      <c r="AU608" s="1714" t="n"/>
      <c r="AV608" s="1714" t="n"/>
      <c r="AW608" s="1714" t="n"/>
      <c r="AX608" s="1714" t="n"/>
      <c r="AY608" s="1716" t="n"/>
      <c r="AZ608" s="1714" t="n"/>
      <c r="BA608" s="1714" t="n"/>
      <c r="BB608" s="1714" t="n"/>
      <c r="BC608" s="1714" t="n"/>
      <c r="BD608" s="1716" t="n"/>
      <c r="BE608" s="1714" t="n"/>
      <c r="BF608" s="1714" t="n"/>
      <c r="BG608" s="1714" t="n"/>
      <c r="BH608" s="1714" t="n"/>
      <c r="BI608" s="1716" t="n"/>
      <c r="BJ608" s="1714" t="n"/>
      <c r="BK608" s="1714" t="n"/>
      <c r="BL608" s="1714" t="n"/>
      <c r="BM608" s="1714" t="n"/>
      <c r="BN608" s="1716" t="n"/>
      <c r="BO608" s="1714" t="n"/>
      <c r="BP608" s="1714" t="n"/>
      <c r="BQ608" s="1717" t="n"/>
      <c r="BR608" s="1714">
        <f>IF(BR607=0,0,BQ608)</f>
        <v/>
      </c>
      <c r="BS608" s="1716">
        <f>BR608</f>
        <v/>
      </c>
      <c r="BT608" s="1714">
        <f>IF(BT607=0,0,BS608)</f>
        <v/>
      </c>
      <c r="BU608" s="1714">
        <f>IF(BU607=0,0,BT608)</f>
        <v/>
      </c>
      <c r="BV608" s="1714">
        <f>IF(BV607=0,0,BU608)</f>
        <v/>
      </c>
      <c r="BW608" s="1714">
        <f>IF(BW607=0,0,BV608)</f>
        <v/>
      </c>
      <c r="BX608" s="1716">
        <f>BW608</f>
        <v/>
      </c>
      <c r="BY608" s="1716">
        <f>IF(BY607=0,0,BX608)</f>
        <v/>
      </c>
      <c r="BZ608" s="1716">
        <f>IF(BZ607=0,0,BY608)</f>
        <v/>
      </c>
      <c r="CA608" s="1716">
        <f>IF(CA607=0,0,BZ608)</f>
        <v/>
      </c>
      <c r="CB608" s="1361" t="n"/>
    </row>
    <row r="609" hidden="1" outlineLevel="2" ht="14.4" customFormat="1" customHeight="1" s="1597">
      <c r="A609" s="1693" t="inlineStr">
        <is>
          <t>Dilutive Offset from Capped Call 20X1, mm shares</t>
        </is>
      </c>
      <c r="B609" s="1694" t="n"/>
      <c r="C609" s="1698">
        <f>IFERROR(IF(C526&gt;C608,-C605*C608/C526*C607/C604,-C605),0)</f>
        <v/>
      </c>
      <c r="D609" s="1698">
        <f>IFERROR(IF(D526&gt;D608,-D605*D608/D526*D607/D604,-D605),0)</f>
        <v/>
      </c>
      <c r="E609" s="1698">
        <f>IFERROR(IF(E526&gt;E608,-E605*E608/E526*E607/E604,-E605),0)</f>
        <v/>
      </c>
      <c r="F609" s="1698">
        <f>IFERROR(IF(F526&gt;F608,-F605*F608/F526*F607/F604,-F605),0)</f>
        <v/>
      </c>
      <c r="G609" s="1693">
        <f>IFERROR(IF(G526&gt;G608,-G605*G608/G526*G607/G604,-G605),0)</f>
        <v/>
      </c>
      <c r="H609" s="1693">
        <f>IFERROR(IF(H526&gt;H608,-H605*H608/H526*H607/H604,-H605),0)</f>
        <v/>
      </c>
      <c r="I609" s="1693">
        <f>IFERROR(IF(I526&gt;I608,-I605*I608/I526*I607/I604,-I605),0)</f>
        <v/>
      </c>
      <c r="J609" s="1693">
        <f>IFERROR(IF(J526&gt;J608,-J605*J608/J526*J607/J604,-J605),0)</f>
        <v/>
      </c>
      <c r="K609" s="1698">
        <f>IFERROR(IF(K526&gt;K608,-K605*K608/K526*K607/K604,-K605),0)</f>
        <v/>
      </c>
      <c r="L609" s="1693">
        <f>IFERROR(IF(L526&gt;L608,-L605*L608/L526*L607/L604,-L605),0)</f>
        <v/>
      </c>
      <c r="M609" s="1693">
        <f>IFERROR(IF(M526&gt;M608,-M605*M608/M526*M607/M604,-M605),0)</f>
        <v/>
      </c>
      <c r="N609" s="1693">
        <f>IFERROR(IF(N526&gt;N608,-N605*N608/N526*N607/N604,-N605),0)</f>
        <v/>
      </c>
      <c r="O609" s="1693">
        <f>IFERROR(IF(O526&gt;O608,-O605*O608/O526*O607/O604,-O605),0)</f>
        <v/>
      </c>
      <c r="P609" s="1698">
        <f>IFERROR(IF(P526&gt;P608,-P605*P608/P526*P607/P604,-P605),0)</f>
        <v/>
      </c>
      <c r="Q609" s="1693">
        <f>IFERROR(IF(Q526&gt;Q608,-Q605*Q608/Q526*Q607/Q604,-Q605),0)</f>
        <v/>
      </c>
      <c r="R609" s="1693">
        <f>IFERROR(IF(R526&gt;R608,-R605*R608/R526*R607/R604,-R605),0)</f>
        <v/>
      </c>
      <c r="S609" s="1693">
        <f>IFERROR(IF(S526&gt;S608,-S605*S608/S526*S607/S604,-S605),0)</f>
        <v/>
      </c>
      <c r="T609" s="1693">
        <f>IFERROR(IF(T526&gt;T608,-T605*T608/T526*T607/T604,-T605),0)</f>
        <v/>
      </c>
      <c r="U609" s="1698">
        <f>IFERROR(IF(U526&gt;U608,-U605*U608/U526*U607/U604,-U605),0)</f>
        <v/>
      </c>
      <c r="V609" s="1693">
        <f>IFERROR(IF(V526&gt;V608,-V605*V608/V526*V607/V604,-V605),0)</f>
        <v/>
      </c>
      <c r="W609" s="1693">
        <f>IFERROR(IF(W526&gt;W608,-W605*W608/W526*W607/W604,-W605),0)</f>
        <v/>
      </c>
      <c r="X609" s="1693">
        <f>IFERROR(IF(X526&gt;X608,-X605*X608/X526*X607/X604,-X605),0)</f>
        <v/>
      </c>
      <c r="Y609" s="1693">
        <f>IFERROR(IF(Y526&gt;Y608,-Y605*Y608/Y526*Y607/Y604,-Y605),0)</f>
        <v/>
      </c>
      <c r="Z609" s="1698">
        <f>IFERROR(IF(Z526&gt;Z608,-Z605*Z608/Z526*Z607/Z604,-Z605),0)</f>
        <v/>
      </c>
      <c r="AA609" s="1693">
        <f>IFERROR(IF(AA526&gt;AA608,-AA605*AA608/AA526*AA607/AA604,-AA605),0)</f>
        <v/>
      </c>
      <c r="AB609" s="1693">
        <f>IFERROR(IF(AB526&gt;AB608,-AB605*AB608/AB526*AB607/AB604,-AB605),0)</f>
        <v/>
      </c>
      <c r="AC609" s="1693">
        <f>IFERROR(IF(AC526&gt;AC608,-AC605*AC608/AC526*AC607/AC604,-AC605),0)</f>
        <v/>
      </c>
      <c r="AD609" s="1693">
        <f>IFERROR(IF(AD526&gt;AD608,-AD605*AD608/AD526*AD607/AD604,-AD605),0)</f>
        <v/>
      </c>
      <c r="AE609" s="1698">
        <f>IFERROR(IF(AE526&gt;AE608,-AE605*AE608/AE526*AE607/AE604,-AE605),0)</f>
        <v/>
      </c>
      <c r="AF609" s="1693">
        <f>IFERROR(IF(AF526&gt;AF608,-AF605*AF608/AF526*AF607/AF604,-AF605),0)</f>
        <v/>
      </c>
      <c r="AG609" s="1693">
        <f>IFERROR(IF(AG526&gt;AG608,-AG605*AG608/AG526*AG607/AG604,-AG605),0)</f>
        <v/>
      </c>
      <c r="AH609" s="1693">
        <f>IFERROR(IF(AH526&gt;AH608,-AH605*AH608/AH526*AH607/AH604,-AH605),0)</f>
        <v/>
      </c>
      <c r="AI609" s="1693">
        <f>IFERROR(IF(AI526&gt;AI608,-AI605*AI608/AI526*AI607/AI604,-AI605),0)</f>
        <v/>
      </c>
      <c r="AJ609" s="1698">
        <f>IFERROR(IF(AJ526&gt;AJ608,-AJ605*AJ608/AJ526*AJ607/AJ604,-AJ605),0)</f>
        <v/>
      </c>
      <c r="AK609" s="1693">
        <f>IFERROR(IF(AK526&gt;AK608,-AK605*AK608/AK526*AK607/AK604,-AK605),0)</f>
        <v/>
      </c>
      <c r="AL609" s="1693">
        <f>IFERROR(IF(AL526&gt;AL608,-AL605*AL608/AL526*AL607/AL604,-AL605),0)</f>
        <v/>
      </c>
      <c r="AM609" s="1693">
        <f>IFERROR(IF(AM526&gt;AM608,-AM605*AM608/AM526*AM607/AM604,-AM605),0)</f>
        <v/>
      </c>
      <c r="AN609" s="1693">
        <f>IFERROR(IF(AN526&gt;AN608,-AN605*AN608/AN526*AN607/AN604,-AN605),0)</f>
        <v/>
      </c>
      <c r="AO609" s="1698">
        <f>IFERROR(IF(AO526&gt;AO608,-AO605*AO608/AO526*AO607/AO604,-AO605),0)</f>
        <v/>
      </c>
      <c r="AP609" s="1693">
        <f>IFERROR(IF(AP526&gt;AP608,-AP605*AP608/AP526*AP607/AP604,-AP605),0)</f>
        <v/>
      </c>
      <c r="AQ609" s="1693">
        <f>IFERROR(IF(AQ526&gt;AQ608,-AQ605*AQ608/AQ526*AQ607/AQ604,-AQ605),0)</f>
        <v/>
      </c>
      <c r="AR609" s="1693">
        <f>IFERROR(IF(AR526&gt;AR608,-AR605*AR608/AR526*AR607/AR604,-AR605),0)</f>
        <v/>
      </c>
      <c r="AS609" s="1693">
        <f>IFERROR(IF(AS526&gt;AS608,-AS605*AS608/AS526*AS607/AS604,-AS605),0)</f>
        <v/>
      </c>
      <c r="AT609" s="1698">
        <f>IFERROR(IF(AT526&gt;AT608,-AT605*AT608/AT526*AT607/AT604,-AT605),0)</f>
        <v/>
      </c>
      <c r="AU609" s="1693">
        <f>IFERROR(IF(AU526&gt;AU608,-AU605*AU608/AU526*AU607/AU604,-AU605),0)</f>
        <v/>
      </c>
      <c r="AV609" s="1693">
        <f>IFERROR(IF(AV526&gt;AV608,-AV605*AV608/AV526*AV607/AV604,-AV605),0)</f>
        <v/>
      </c>
      <c r="AW609" s="1693">
        <f>IFERROR(IF(AW526&gt;AW608,-AW605*AW608/AW526*AW607/AW604,-AW605),0)</f>
        <v/>
      </c>
      <c r="AX609" s="1693">
        <f>IFERROR(IF(AX526&gt;AX608,-AX605*AX608/AX526*AX607/AX604,-AX605),0)</f>
        <v/>
      </c>
      <c r="AY609" s="1698">
        <f>IFERROR(IF(AY526&gt;AY608,-AY605*AY608/AY526*AY607/AY604,-AY605),0)</f>
        <v/>
      </c>
      <c r="AZ609" s="1693">
        <f>IFERROR(IF(AZ526&gt;AZ608,-AZ605*AZ608/AZ526*AZ607/AZ604,-AZ605),0)</f>
        <v/>
      </c>
      <c r="BA609" s="1693">
        <f>IFERROR(IF(BA526&gt;BA608,-BA605*BA608/BA526*BA607/BA604,-BA605),0)</f>
        <v/>
      </c>
      <c r="BB609" s="1693">
        <f>IFERROR(IF(BB526&gt;BB608,-BB605*BB608/BB526*BB607/BB604,-BB605),0)</f>
        <v/>
      </c>
      <c r="BC609" s="1693">
        <f>IFERROR(IF(BC526&gt;BC608,-BC605*BC608/BC526*BC607/BC604,-BC605),0)</f>
        <v/>
      </c>
      <c r="BD609" s="1698">
        <f>IFERROR(IF(BD526&gt;BD608,-BD605*BD608/BD526*BD607/BD604,-BD605),0)</f>
        <v/>
      </c>
      <c r="BE609" s="1693">
        <f>IFERROR(IF(BE526&gt;BE608,-BE605*BE608/BE526*BE607/BE604,-BE605),0)</f>
        <v/>
      </c>
      <c r="BF609" s="1693">
        <f>IFERROR(IF(BF526&gt;BF608,-BF605*BF608/BF526*BF607/BF604,-BF605),0)</f>
        <v/>
      </c>
      <c r="BG609" s="1693">
        <f>IFERROR(IF(BG526&gt;BG608,-BG605*BG608/BG526*BG607/BG604,-BG605),0)</f>
        <v/>
      </c>
      <c r="BH609" s="1693">
        <f>IFERROR(IF(BH526&gt;BH608,-BH605*BH608/BH526*BH607/BH604,-BH605),0)</f>
        <v/>
      </c>
      <c r="BI609" s="1698">
        <f>IFERROR(IF(BI526&gt;BI608,-BI605*BI608/BI526*BI607/BI604,-BI605),0)</f>
        <v/>
      </c>
      <c r="BJ609" s="1693">
        <f>IFERROR(IF(BJ526&gt;BJ608,-BJ605*BJ608/BJ526*BJ607/BJ604,-BJ605),0)</f>
        <v/>
      </c>
      <c r="BK609" s="1693">
        <f>IFERROR(IF(BK526&gt;BK608,-BK605*BK608/BK526*BK607/BK604,-BK605),0)</f>
        <v/>
      </c>
      <c r="BL609" s="1693">
        <f>IFERROR(IF(BL526&gt;BL608,-BL605*BL608/BL526*BL607/BL604,-BL605),0)</f>
        <v/>
      </c>
      <c r="BM609" s="1693">
        <f>IFERROR(IF(BM526&gt;BM608,-BM605*BM608/BM526*BM607/BM604,-BM605),0)</f>
        <v/>
      </c>
      <c r="BN609" s="1698">
        <f>IFERROR(IF(BN526&gt;BN608,-BN605*BN608/BN526*BN607/BN604,-BN605),0)</f>
        <v/>
      </c>
      <c r="BO609" s="1693">
        <f>IFERROR(IF(BO526&gt;BO608,-BO605*BO608/BO526*BO607/BO604,-BO605),0)</f>
        <v/>
      </c>
      <c r="BP609" s="1693">
        <f>IFERROR(IF(BP526&gt;BP608,-BP605*BP608/BP526*BP607/BP604,-BP605),0)</f>
        <v/>
      </c>
      <c r="BQ609" s="1733">
        <f>IFERROR(IF(BQ526&gt;BQ608,-BQ605*BQ608/BQ526*BQ607/BQ604,-BQ605),0)</f>
        <v/>
      </c>
      <c r="BR609" s="1693">
        <f>IFERROR(IF(BR526&gt;BR608,-BR605*BR608/BR526*BR607/BR604,-BR605),0)</f>
        <v/>
      </c>
      <c r="BS609" s="1698">
        <f>IFERROR(IF(BS526&gt;BS608,-BS605*BS608/BS526*BS607/BS604,-BS605),0)</f>
        <v/>
      </c>
      <c r="BT609" s="1693">
        <f>IFERROR(IF(BT526&gt;BT608,-BT605*BT608/BT526*BT607/BT604,-BT605),0)</f>
        <v/>
      </c>
      <c r="BU609" s="1693">
        <f>IFERROR(IF(BU526&gt;BU608,-BU605*BU608/BU526*BU607/BU604,-BU605),0)</f>
        <v/>
      </c>
      <c r="BV609" s="1693">
        <f>IFERROR(IF(BV526&gt;BV608,-BV605*BV608/BV526*BV607/BV604,-BV605),0)</f>
        <v/>
      </c>
      <c r="BW609" s="1693">
        <f>IFERROR(IF(BW526&gt;BW608,-BW605*BW608/BW526*BW607/BW604,-BW605),0)</f>
        <v/>
      </c>
      <c r="BX609" s="1698">
        <f>IFERROR(IF(BX526&gt;BX608,-BX605*BX608/BX526*BX607/BX604,-BX605),0)</f>
        <v/>
      </c>
      <c r="BY609" s="1698">
        <f>IFERROR(IF(BY526&gt;BY608,-BY605*BY608/BY526*BY607/BY604,-BY605),0)</f>
        <v/>
      </c>
      <c r="BZ609" s="1698">
        <f>IFERROR(IF(BZ526&gt;BZ608,-BZ605*BZ608/BZ526*BZ607/BZ604,-BZ605),0)</f>
        <v/>
      </c>
      <c r="CA609" s="1698">
        <f>IFERROR(IF(CA526&gt;CA608,-CA605*CA608/CA526*CA607/CA604,-CA605),0)</f>
        <v/>
      </c>
      <c r="CB609" s="1361" t="n"/>
    </row>
    <row r="610" hidden="1" outlineLevel="2" ht="14.4" customFormat="1" customHeight="1" s="1597">
      <c r="A610" s="1474" t="inlineStr">
        <is>
          <t>Cash Paid for Exercising Call Options, mm</t>
        </is>
      </c>
      <c r="B610" s="1512" t="n"/>
      <c r="C610" s="1379">
        <f>IF(C609&lt;0,C607*C603,0)</f>
        <v/>
      </c>
      <c r="D610" s="1379">
        <f>IF(D609&lt;0,D607*D603,0)</f>
        <v/>
      </c>
      <c r="E610" s="1379">
        <f>IF(E609&lt;0,E607*E603,0)</f>
        <v/>
      </c>
      <c r="F610" s="1379">
        <f>IF(F609&lt;0,F607*F603,0)</f>
        <v/>
      </c>
      <c r="G610" s="1361">
        <f>IF(G609&lt;0,G607*G603,0)</f>
        <v/>
      </c>
      <c r="H610" s="1361">
        <f>IF(H609&lt;0,H607*H603,0)</f>
        <v/>
      </c>
      <c r="I610" s="1361">
        <f>IF(I609&lt;0,I607*I603,0)</f>
        <v/>
      </c>
      <c r="J610" s="1361">
        <f>IF(J609&lt;0,J607*J603,0)</f>
        <v/>
      </c>
      <c r="K610" s="1379">
        <f>IF(K609&lt;0,K607*K603,0)</f>
        <v/>
      </c>
      <c r="L610" s="1361">
        <f>IF(L609&lt;0,L607*L603,0)</f>
        <v/>
      </c>
      <c r="M610" s="1361">
        <f>IF(M609&lt;0,M607*M603,0)</f>
        <v/>
      </c>
      <c r="N610" s="1361">
        <f>IF(N609&lt;0,N607*N603,0)</f>
        <v/>
      </c>
      <c r="O610" s="1361">
        <f>IF(O609&lt;0,O607*O603,0)</f>
        <v/>
      </c>
      <c r="P610" s="1379">
        <f>IF(P609&lt;0,P607*P603,0)</f>
        <v/>
      </c>
      <c r="Q610" s="1361">
        <f>IF(Q609&lt;0,Q607*Q603,0)</f>
        <v/>
      </c>
      <c r="R610" s="1361">
        <f>IF(R609&lt;0,R607*R603,0)</f>
        <v/>
      </c>
      <c r="S610" s="1361">
        <f>IF(S609&lt;0,S607*S603,0)</f>
        <v/>
      </c>
      <c r="T610" s="1361">
        <f>IF(T609&lt;0,T607*T603,0)</f>
        <v/>
      </c>
      <c r="U610" s="1379">
        <f>IF(U609&lt;0,U607*U603,0)</f>
        <v/>
      </c>
      <c r="V610" s="1361">
        <f>IF(V609&lt;0,V607*V603,0)</f>
        <v/>
      </c>
      <c r="W610" s="1361">
        <f>IF(W609&lt;0,W607*W603,0)</f>
        <v/>
      </c>
      <c r="X610" s="1361">
        <f>IF(X609&lt;0,X607*X603,0)</f>
        <v/>
      </c>
      <c r="Y610" s="1361">
        <f>IF(Y609&lt;0,Y607*Y603,0)</f>
        <v/>
      </c>
      <c r="Z610" s="1379">
        <f>IF(Z609&lt;0,Z607*Z603,0)</f>
        <v/>
      </c>
      <c r="AA610" s="1361">
        <f>IF(AA609&lt;0,AA607*AA603,0)</f>
        <v/>
      </c>
      <c r="AB610" s="1361">
        <f>IF(AB609&lt;0,AB607*AB603,0)</f>
        <v/>
      </c>
      <c r="AC610" s="1361">
        <f>IF(AC609&lt;0,AC607*AC603,0)</f>
        <v/>
      </c>
      <c r="AD610" s="1361">
        <f>IF(AD609&lt;0,AD607*AD603,0)</f>
        <v/>
      </c>
      <c r="AE610" s="1379">
        <f>IF(AE609&lt;0,AE607*AE603,0)</f>
        <v/>
      </c>
      <c r="AF610" s="1361">
        <f>IF(AF609&lt;0,AF607*AF603,0)</f>
        <v/>
      </c>
      <c r="AG610" s="1361">
        <f>IF(AG609&lt;0,AG607*AG603,0)</f>
        <v/>
      </c>
      <c r="AH610" s="1361">
        <f>IF(AH609&lt;0,AH607*AH603,0)</f>
        <v/>
      </c>
      <c r="AI610" s="1361">
        <f>IF(AI609&lt;0,AI607*AI603,0)</f>
        <v/>
      </c>
      <c r="AJ610" s="1379">
        <f>IF(AJ609&lt;0,AJ607*AJ603,0)</f>
        <v/>
      </c>
      <c r="AK610" s="1361">
        <f>IF(AK609&lt;0,AK607*AK603,0)</f>
        <v/>
      </c>
      <c r="AL610" s="1361">
        <f>IF(AL609&lt;0,AL607*AL603,0)</f>
        <v/>
      </c>
      <c r="AM610" s="1361">
        <f>IF(AM609&lt;0,AM607*AM603,0)</f>
        <v/>
      </c>
      <c r="AN610" s="1361">
        <f>IF(AN609&lt;0,AN607*AN603,0)</f>
        <v/>
      </c>
      <c r="AO610" s="1379">
        <f>IF(AO609&lt;0,AO607*AO603,0)</f>
        <v/>
      </c>
      <c r="AP610" s="1361">
        <f>IF(AP609&lt;0,AP607*AP603,0)</f>
        <v/>
      </c>
      <c r="AQ610" s="1361">
        <f>IF(AQ609&lt;0,AQ607*AQ603,0)</f>
        <v/>
      </c>
      <c r="AR610" s="1361">
        <f>IF(AR609&lt;0,AR607*AR603,0)</f>
        <v/>
      </c>
      <c r="AS610" s="1361">
        <f>IF(AS609&lt;0,AS607*AS603,0)</f>
        <v/>
      </c>
      <c r="AT610" s="1379">
        <f>IF(AT609&lt;0,AT607*AT603,0)</f>
        <v/>
      </c>
      <c r="AU610" s="1361">
        <f>IF(AU609&lt;0,AU607*AU603,0)</f>
        <v/>
      </c>
      <c r="AV610" s="1361">
        <f>IF(AV609&lt;0,AV607*AV603,0)</f>
        <v/>
      </c>
      <c r="AW610" s="1361">
        <f>IF(AW609&lt;0,AW607*AW603,0)</f>
        <v/>
      </c>
      <c r="AX610" s="1361">
        <f>IF(AX609&lt;0,AX607*AX603,0)</f>
        <v/>
      </c>
      <c r="AY610" s="1379">
        <f>IF(AY609&lt;0,AY607*AY603,0)</f>
        <v/>
      </c>
      <c r="AZ610" s="1361">
        <f>IF(AZ609&lt;0,AZ607*AZ603,0)</f>
        <v/>
      </c>
      <c r="BA610" s="1361">
        <f>IF(BA609&lt;0,BA607*BA603,0)</f>
        <v/>
      </c>
      <c r="BB610" s="1361">
        <f>IF(BB609&lt;0,BB607*BB603,0)</f>
        <v/>
      </c>
      <c r="BC610" s="1361">
        <f>IF(BC609&lt;0,BC607*BC603,0)</f>
        <v/>
      </c>
      <c r="BD610" s="1379">
        <f>IF(BD609&lt;0,BD607*BD603,0)</f>
        <v/>
      </c>
      <c r="BE610" s="1361">
        <f>IF(BE609&lt;0,BE607*BE603,0)</f>
        <v/>
      </c>
      <c r="BF610" s="1361">
        <f>IF(BF609&lt;0,BF607*BF603,0)</f>
        <v/>
      </c>
      <c r="BG610" s="1361">
        <f>IF(BG609&lt;0,BG607*BG603,0)</f>
        <v/>
      </c>
      <c r="BH610" s="1361">
        <f>IF(BH609&lt;0,BH607*BH603,0)</f>
        <v/>
      </c>
      <c r="BI610" s="1379">
        <f>IF(BI609&lt;0,BI607*BI603,0)</f>
        <v/>
      </c>
      <c r="BJ610" s="1361">
        <f>IF(BJ609&lt;0,BJ607*BJ603,0)</f>
        <v/>
      </c>
      <c r="BK610" s="1361">
        <f>IF(BK609&lt;0,BK607*BK603,0)</f>
        <v/>
      </c>
      <c r="BL610" s="1361">
        <f>IF(BL609&lt;0,BL607*BL603,0)</f>
        <v/>
      </c>
      <c r="BM610" s="1361">
        <f>IF(BM609&lt;0,BM607*BM603,0)</f>
        <v/>
      </c>
      <c r="BN610" s="1379">
        <f>IF(BN609&lt;0,BN607*BN603,0)</f>
        <v/>
      </c>
      <c r="BO610" s="1361">
        <f>IF(BO609&lt;0,BO607*BO603,0)</f>
        <v/>
      </c>
      <c r="BP610" s="1361">
        <f>IF(BP609&lt;0,BP607*BP603,0)</f>
        <v/>
      </c>
      <c r="BQ610" s="1363">
        <f>IF(BQ609&lt;0,BQ607*BQ603,0)</f>
        <v/>
      </c>
      <c r="BR610" s="1361">
        <f>IF(BR609&lt;0,BR607*BR603,0)</f>
        <v/>
      </c>
      <c r="BS610" s="1379">
        <f>IF(BS609&lt;0,BS607*BS603,0)</f>
        <v/>
      </c>
      <c r="BT610" s="1361">
        <f>IF(BT609&lt;0,BT607*BT603,0)</f>
        <v/>
      </c>
      <c r="BU610" s="1361">
        <f>IF(BU609&lt;0,BU607*BU603,0)</f>
        <v/>
      </c>
      <c r="BV610" s="1361">
        <f>IF(BV609&lt;0,BV607*BV603,0)</f>
        <v/>
      </c>
      <c r="BW610" s="1361">
        <f>IF(BW609&lt;0,BW607*BW603,0)</f>
        <v/>
      </c>
      <c r="BX610" s="1379">
        <f>IF(BX609&lt;0,BX607*BX603,0)</f>
        <v/>
      </c>
      <c r="BY610" s="1379">
        <f>IF(BY609&lt;0,BY607*BY603,0)</f>
        <v/>
      </c>
      <c r="BZ610" s="1379">
        <f>IF(BZ609&lt;0,BZ607*BZ603,0)</f>
        <v/>
      </c>
      <c r="CA610" s="1379">
        <f>IF(CA609&lt;0,CA607*CA603,0)</f>
        <v/>
      </c>
      <c r="CB610" s="1361" t="n"/>
    </row>
    <row r="611" hidden="1" outlineLevel="2" ht="14.4" customFormat="1" customHeight="1" s="1597">
      <c r="A611" s="1361" t="n"/>
      <c r="B611" s="1512" t="n"/>
      <c r="C611" s="1379" t="n"/>
      <c r="D611" s="1379" t="n"/>
      <c r="E611" s="1379" t="n"/>
      <c r="F611" s="1379" t="n"/>
      <c r="G611" s="1361" t="n"/>
      <c r="H611" s="1361" t="n"/>
      <c r="I611" s="1361" t="n"/>
      <c r="J611" s="1361" t="n"/>
      <c r="K611" s="1379" t="n"/>
      <c r="L611" s="1361" t="n"/>
      <c r="M611" s="1361" t="n"/>
      <c r="N611" s="1361" t="n"/>
      <c r="O611" s="1361" t="n"/>
      <c r="P611" s="1379" t="n"/>
      <c r="Q611" s="1361" t="n"/>
      <c r="R611" s="1361" t="n"/>
      <c r="S611" s="1361" t="n"/>
      <c r="T611" s="1361" t="n"/>
      <c r="U611" s="1379" t="n"/>
      <c r="V611" s="1361" t="n"/>
      <c r="W611" s="1361" t="n"/>
      <c r="X611" s="1361" t="n"/>
      <c r="Y611" s="1361" t="n"/>
      <c r="Z611" s="1379" t="n"/>
      <c r="AA611" s="1361" t="n"/>
      <c r="AB611" s="1361" t="n"/>
      <c r="AC611" s="1361" t="n"/>
      <c r="AD611" s="1361" t="n"/>
      <c r="AE611" s="1379" t="n"/>
      <c r="AF611" s="1361" t="n"/>
      <c r="AG611" s="1361" t="n"/>
      <c r="AH611" s="1361" t="n"/>
      <c r="AI611" s="1361" t="n"/>
      <c r="AJ611" s="1379" t="n"/>
      <c r="AK611" s="1361" t="n"/>
      <c r="AL611" s="1361" t="n"/>
      <c r="AM611" s="1361" t="n"/>
      <c r="AN611" s="1361" t="n"/>
      <c r="AO611" s="1379" t="n"/>
      <c r="AP611" s="1361" t="n"/>
      <c r="AQ611" s="1361" t="n"/>
      <c r="AR611" s="1361" t="n"/>
      <c r="AS611" s="1361" t="n"/>
      <c r="AT611" s="1379" t="n"/>
      <c r="AU611" s="1361" t="n"/>
      <c r="AV611" s="1361" t="n"/>
      <c r="AW611" s="1361" t="n"/>
      <c r="AX611" s="1361" t="n"/>
      <c r="AY611" s="1379" t="n"/>
      <c r="AZ611" s="1361" t="n"/>
      <c r="BA611" s="1361" t="n"/>
      <c r="BB611" s="1361" t="n"/>
      <c r="BC611" s="1361" t="n"/>
      <c r="BD611" s="1379" t="n"/>
      <c r="BE611" s="1361" t="n"/>
      <c r="BF611" s="1361" t="n"/>
      <c r="BG611" s="1361" t="n"/>
      <c r="BH611" s="1361" t="n"/>
      <c r="BI611" s="1379" t="n"/>
      <c r="BJ611" s="1361" t="n"/>
      <c r="BK611" s="1361" t="n"/>
      <c r="BL611" s="1361" t="n"/>
      <c r="BM611" s="1361" t="n"/>
      <c r="BN611" s="1379" t="n"/>
      <c r="BO611" s="1361" t="n"/>
      <c r="BP611" s="1361" t="n"/>
      <c r="BQ611" s="1363" t="n"/>
      <c r="BR611" s="1361" t="n"/>
      <c r="BS611" s="1379" t="n"/>
      <c r="BT611" s="1361" t="n"/>
      <c r="BU611" s="1361" t="n"/>
      <c r="BV611" s="1361" t="n"/>
      <c r="BW611" s="1361" t="n"/>
      <c r="BX611" s="1379" t="n"/>
      <c r="BY611" s="1379" t="n"/>
      <c r="BZ611" s="1379" t="n"/>
      <c r="CA611" s="1379" t="n"/>
      <c r="CB611" s="1361" t="n"/>
    </row>
    <row r="612" hidden="1" outlineLevel="2" ht="14.4" customFormat="1" customHeight="1" s="1597">
      <c r="A612" s="1361" t="inlineStr">
        <is>
          <t>20X1 Notes Net Share Increase from Note Conversion and Capped Call Exercise, mm shares</t>
        </is>
      </c>
      <c r="B612" s="1512" t="n"/>
      <c r="C612" s="1379" t="n"/>
      <c r="D612" s="1379" t="n"/>
      <c r="E612" s="1379" t="n"/>
      <c r="F612" s="1379" t="n"/>
      <c r="G612" s="1361" t="n"/>
      <c r="H612" s="1361" t="n"/>
      <c r="I612" s="1361" t="n"/>
      <c r="J612" s="1361" t="n"/>
      <c r="K612" s="1379" t="n"/>
      <c r="L612" s="1361" t="n"/>
      <c r="M612" s="1361" t="n"/>
      <c r="N612" s="1361" t="n"/>
      <c r="O612" s="1361" t="n"/>
      <c r="P612" s="1379" t="n"/>
      <c r="Q612" s="1361" t="n"/>
      <c r="R612" s="1361" t="n"/>
      <c r="S612" s="1361" t="n"/>
      <c r="T612" s="1361" t="n"/>
      <c r="U612" s="1379" t="n"/>
      <c r="V612" s="1361" t="n"/>
      <c r="W612" s="1361" t="n"/>
      <c r="X612" s="1361" t="n"/>
      <c r="Y612" s="1361" t="n"/>
      <c r="Z612" s="1379" t="n"/>
      <c r="AA612" s="1361" t="n"/>
      <c r="AB612" s="1361" t="n"/>
      <c r="AC612" s="1361" t="n"/>
      <c r="AD612" s="1361" t="n"/>
      <c r="AE612" s="1379" t="n"/>
      <c r="AF612" s="1361" t="n"/>
      <c r="AG612" s="1361" t="n"/>
      <c r="AH612" s="1361" t="n"/>
      <c r="AI612" s="1361" t="n"/>
      <c r="AJ612" s="1379" t="n"/>
      <c r="AK612" s="1361" t="n"/>
      <c r="AL612" s="1361" t="n"/>
      <c r="AM612" s="1361" t="n"/>
      <c r="AN612" s="1361" t="n"/>
      <c r="AO612" s="1379" t="n"/>
      <c r="AP612" s="1361" t="n"/>
      <c r="AQ612" s="1361" t="n"/>
      <c r="AR612" s="1361" t="n"/>
      <c r="AS612" s="1361" t="n"/>
      <c r="AT612" s="1379" t="n"/>
      <c r="AU612" s="1361" t="n"/>
      <c r="AV612" s="1361" t="n"/>
      <c r="AW612" s="1361" t="n"/>
      <c r="AX612" s="1361" t="n"/>
      <c r="AY612" s="1379" t="n"/>
      <c r="AZ612" s="1361" t="n"/>
      <c r="BA612" s="1361" t="n"/>
      <c r="BB612" s="1361" t="n"/>
      <c r="BC612" s="1361" t="n"/>
      <c r="BD612" s="1379" t="n"/>
      <c r="BE612" s="1361" t="n"/>
      <c r="BF612" s="1361" t="n"/>
      <c r="BG612" s="1361" t="n"/>
      <c r="BH612" s="1361" t="n"/>
      <c r="BI612" s="1379" t="n"/>
      <c r="BJ612" s="1361" t="n"/>
      <c r="BK612" s="1361" t="n"/>
      <c r="BL612" s="1361" t="n"/>
      <c r="BM612" s="1361" t="n"/>
      <c r="BN612" s="1379" t="n"/>
      <c r="BO612" s="1361" t="n"/>
      <c r="BP612" s="1361" t="n"/>
      <c r="BQ612" s="1363" t="n"/>
      <c r="BR612" s="1361">
        <f>IFERROR(IF(AND(BR599=0,BR526&gt;BQ603,BR526&gt;BQ608),BQ604-BQ604*BQ608/BR526*BQ607/BQ604,0),0)</f>
        <v/>
      </c>
      <c r="BS612" s="1379">
        <f>SUM(BO612,BP612,BQ612,BR612)</f>
        <v/>
      </c>
      <c r="BT612" s="1361">
        <f>IFERROR(IF(AND(BT599=0,BT526&gt;BS603,BT526&gt;BS608),BS604-BS604*BS608/BT526*BS607/BS604,0),0)</f>
        <v/>
      </c>
      <c r="BU612" s="1361">
        <f>IFERROR(IF(AND(BU599=0,BU526&gt;BT603,BU526&gt;BT608),BT604-BT604*BT608/BU526*BT607/BT604,0),0)</f>
        <v/>
      </c>
      <c r="BV612" s="1361">
        <f>IFERROR(IF(AND(BV599=0,BV526&gt;BU603,BV526&gt;BU608),BU604-BU604*BU608/BV526*BU607/BU604,0),0)</f>
        <v/>
      </c>
      <c r="BW612" s="1361">
        <f>IFERROR(IF(AND(BW599=0,BW526&gt;BV603,BW526&gt;BV608),BV604-BV604*BV608/BW526*BV607/BV604,0),0)</f>
        <v/>
      </c>
      <c r="BX612" s="1379">
        <f>SUM(BT612,BU612,BV612,BW612)</f>
        <v/>
      </c>
      <c r="BY612" s="1379">
        <f>IFERROR(IF(AND(BY599=0,BY526&gt;BX603,BY526&gt;BX608),BX604-BX604*BX608/BY526*BX607/BX604,0),0)</f>
        <v/>
      </c>
      <c r="BZ612" s="1379">
        <f>IFERROR(IF(AND(BZ599=0,BZ526&gt;BY603,BZ526&gt;BY608),BY604-BY604*BY608/BZ526*BY607/BY604,0),0)</f>
        <v/>
      </c>
      <c r="CA612" s="1379">
        <f>IFERROR(IF(AND(CA599=0,CA526&gt;BZ603,CA526&gt;BZ608),BZ604-BZ604*BZ608/CA526*BZ607/BZ604,0),0)</f>
        <v/>
      </c>
      <c r="CB612" s="1361" t="n"/>
    </row>
    <row r="613" hidden="1" outlineLevel="2" ht="14.4" customFormat="1" customHeight="1" s="1597">
      <c r="A613" s="1361" t="inlineStr">
        <is>
          <t>20X1 Notes Cash Payment on Capped Call Exercise</t>
        </is>
      </c>
      <c r="B613" s="1512" t="n"/>
      <c r="C613" s="1379" t="n"/>
      <c r="D613" s="1379" t="n"/>
      <c r="E613" s="1379" t="n"/>
      <c r="F613" s="1379" t="n"/>
      <c r="G613" s="1361" t="n"/>
      <c r="H613" s="1361" t="n"/>
      <c r="I613" s="1361" t="n"/>
      <c r="J613" s="1361" t="n"/>
      <c r="K613" s="1379" t="n"/>
      <c r="L613" s="1361" t="n"/>
      <c r="M613" s="1361" t="n"/>
      <c r="N613" s="1361" t="n"/>
      <c r="O613" s="1361" t="n"/>
      <c r="P613" s="1379" t="n"/>
      <c r="Q613" s="1361" t="n"/>
      <c r="R613" s="1361" t="n"/>
      <c r="S613" s="1361" t="n"/>
      <c r="T613" s="1361" t="n"/>
      <c r="U613" s="1379" t="n"/>
      <c r="V613" s="1361" t="n"/>
      <c r="W613" s="1361" t="n"/>
      <c r="X613" s="1361" t="n"/>
      <c r="Y613" s="1361" t="n"/>
      <c r="Z613" s="1379" t="n"/>
      <c r="AA613" s="1361" t="n"/>
      <c r="AB613" s="1361" t="n"/>
      <c r="AC613" s="1361" t="n"/>
      <c r="AD613" s="1361" t="n"/>
      <c r="AE613" s="1379" t="n"/>
      <c r="AF613" s="1361" t="n"/>
      <c r="AG613" s="1361" t="n"/>
      <c r="AH613" s="1361" t="n"/>
      <c r="AI613" s="1361" t="n"/>
      <c r="AJ613" s="1379" t="n"/>
      <c r="AK613" s="1361" t="n"/>
      <c r="AL613" s="1361" t="n"/>
      <c r="AM613" s="1361" t="n"/>
      <c r="AN613" s="1361" t="n"/>
      <c r="AO613" s="1379" t="n"/>
      <c r="AP613" s="1361" t="n"/>
      <c r="AQ613" s="1361" t="n"/>
      <c r="AR613" s="1361" t="n"/>
      <c r="AS613" s="1361" t="n"/>
      <c r="AT613" s="1379" t="n"/>
      <c r="AU613" s="1361" t="n"/>
      <c r="AV613" s="1361" t="n"/>
      <c r="AW613" s="1361" t="n"/>
      <c r="AX613" s="1361" t="n"/>
      <c r="AY613" s="1379" t="n"/>
      <c r="AZ613" s="1361" t="n"/>
      <c r="BA613" s="1361" t="n"/>
      <c r="BB613" s="1361" t="n"/>
      <c r="BC613" s="1361" t="n"/>
      <c r="BD613" s="1379" t="n"/>
      <c r="BE613" s="1361" t="n"/>
      <c r="BF613" s="1361" t="n"/>
      <c r="BG613" s="1361" t="n"/>
      <c r="BH613" s="1361" t="n"/>
      <c r="BI613" s="1379" t="n"/>
      <c r="BJ613" s="1361" t="n"/>
      <c r="BK613" s="1361" t="n"/>
      <c r="BL613" s="1361" t="n"/>
      <c r="BM613" s="1361" t="n"/>
      <c r="BN613" s="1379" t="n"/>
      <c r="BO613" s="1361" t="n"/>
      <c r="BP613" s="1361" t="n"/>
      <c r="BQ613" s="1363" t="n"/>
      <c r="BR613" s="1361">
        <f>IF(AND(BR599=0,BR526&gt;BQ603),-BQ603*BQ607,0)</f>
        <v/>
      </c>
      <c r="BS613" s="1379">
        <f>SUM(BO613,BP613,BQ613,BR613)</f>
        <v/>
      </c>
      <c r="BT613" s="1361">
        <f>IF(AND(BT599=0,BT526&gt;BS603),-BS603*BS607,0)</f>
        <v/>
      </c>
      <c r="BU613" s="1361">
        <f>IF(AND(BU599=0,BU526&gt;BT603),-BT603*BT607,0)</f>
        <v/>
      </c>
      <c r="BV613" s="1361">
        <f>IF(AND(BV599=0,BV526&gt;BU603),-BU603*BU607,0)</f>
        <v/>
      </c>
      <c r="BW613" s="1361">
        <f>IF(AND(BW599=0,BW526&gt;BV603),-BV603*BV607,0)</f>
        <v/>
      </c>
      <c r="BX613" s="1379">
        <f>SUM(BT613,BU613,BV613,BW613)</f>
        <v/>
      </c>
      <c r="BY613" s="1379">
        <f>IF(AND(BY599=0,BY526&gt;BX603),-BX603*BX607,0)</f>
        <v/>
      </c>
      <c r="BZ613" s="1379">
        <f>IF(AND(BZ599=0,BZ526&gt;BY603),-BY603*BY607,0)</f>
        <v/>
      </c>
      <c r="CA613" s="1379">
        <f>IF(AND(CA599=0,CA526&gt;BZ603),-BZ603*BZ607,0)</f>
        <v/>
      </c>
      <c r="CB613" s="1361" t="n"/>
    </row>
    <row r="614" hidden="1" outlineLevel="2" ht="14.4" customFormat="1" customHeight="1" s="1597">
      <c r="A614" s="1361" t="inlineStr">
        <is>
          <t>20X1 Notes Cash Payment on Note Principal Repayment</t>
        </is>
      </c>
      <c r="B614" s="1512" t="n"/>
      <c r="C614" s="1379" t="n"/>
      <c r="D614" s="1379" t="n"/>
      <c r="E614" s="1379" t="n"/>
      <c r="F614" s="1379" t="n"/>
      <c r="G614" s="1361" t="n"/>
      <c r="H614" s="1361" t="n"/>
      <c r="I614" s="1361" t="n"/>
      <c r="J614" s="1361" t="n"/>
      <c r="K614" s="1379" t="n"/>
      <c r="L614" s="1361" t="n"/>
      <c r="M614" s="1361" t="n"/>
      <c r="N614" s="1361" t="n"/>
      <c r="O614" s="1361" t="n"/>
      <c r="P614" s="1379" t="n"/>
      <c r="Q614" s="1361" t="n"/>
      <c r="R614" s="1361" t="n"/>
      <c r="S614" s="1361" t="n"/>
      <c r="T614" s="1361" t="n"/>
      <c r="U614" s="1379" t="n"/>
      <c r="V614" s="1361" t="n"/>
      <c r="W614" s="1361" t="n"/>
      <c r="X614" s="1361" t="n"/>
      <c r="Y614" s="1361" t="n"/>
      <c r="Z614" s="1379" t="n"/>
      <c r="AA614" s="1361" t="n"/>
      <c r="AB614" s="1361" t="n"/>
      <c r="AC614" s="1361" t="n"/>
      <c r="AD614" s="1361" t="n"/>
      <c r="AE614" s="1379" t="n"/>
      <c r="AF614" s="1361" t="n"/>
      <c r="AG614" s="1361" t="n"/>
      <c r="AH614" s="1361" t="n"/>
      <c r="AI614" s="1361" t="n"/>
      <c r="AJ614" s="1379" t="n"/>
      <c r="AK614" s="1361" t="n"/>
      <c r="AL614" s="1361" t="n"/>
      <c r="AM614" s="1361" t="n"/>
      <c r="AN614" s="1361" t="n"/>
      <c r="AO614" s="1379" t="n"/>
      <c r="AP614" s="1361" t="n"/>
      <c r="AQ614" s="1361" t="n"/>
      <c r="AR614" s="1361" t="n"/>
      <c r="AS614" s="1361" t="n"/>
      <c r="AT614" s="1379" t="n"/>
      <c r="AU614" s="1361" t="n"/>
      <c r="AV614" s="1361" t="n"/>
      <c r="AW614" s="1361" t="n"/>
      <c r="AX614" s="1361" t="n"/>
      <c r="AY614" s="1379" t="n"/>
      <c r="AZ614" s="1361" t="n"/>
      <c r="BA614" s="1361" t="n"/>
      <c r="BB614" s="1361" t="n"/>
      <c r="BC614" s="1361" t="n"/>
      <c r="BD614" s="1379" t="n"/>
      <c r="BE614" s="1361" t="n"/>
      <c r="BF614" s="1361" t="n"/>
      <c r="BG614" s="1361" t="n"/>
      <c r="BH614" s="1361" t="n"/>
      <c r="BI614" s="1379" t="n"/>
      <c r="BJ614" s="1361" t="n"/>
      <c r="BK614" s="1361" t="n"/>
      <c r="BL614" s="1361" t="n"/>
      <c r="BM614" s="1361" t="n"/>
      <c r="BN614" s="1379" t="n"/>
      <c r="BO614" s="1361" t="n"/>
      <c r="BP614" s="1361" t="n"/>
      <c r="BQ614" s="1363" t="n"/>
      <c r="BR614" s="1361">
        <f>IF(AND(BR599=0,BR526&lt;=BQ603),-BQ599,0)</f>
        <v/>
      </c>
      <c r="BS614" s="1379">
        <f>SUM(BO614,BP614,BQ614,BR614)</f>
        <v/>
      </c>
      <c r="BT614" s="1361">
        <f>IF(AND(BT599=0,BT526&lt;=BS603),-BS599,0)</f>
        <v/>
      </c>
      <c r="BU614" s="1361">
        <f>IF(AND(BU599=0,BU526&lt;=BT603),-BT599,0)</f>
        <v/>
      </c>
      <c r="BV614" s="1361">
        <f>IF(AND(BV599=0,BV526&lt;=BU603),-BU599,0)</f>
        <v/>
      </c>
      <c r="BW614" s="1361">
        <f>IF(AND(BW599=0,BW526&lt;=BV603),-BV599,0)</f>
        <v/>
      </c>
      <c r="BX614" s="1379">
        <f>SUM(BT614,BU614,BV614,BW614)</f>
        <v/>
      </c>
      <c r="BY614" s="1379">
        <f>IF(AND(BY599=0,BY526&lt;=BX603),-BX599,0)</f>
        <v/>
      </c>
      <c r="BZ614" s="1379">
        <f>IF(AND(BZ599=0,BZ526&lt;=BY603),-BY599,0)</f>
        <v/>
      </c>
      <c r="CA614" s="1379">
        <f>IF(AND(CA599=0,CA526&lt;=BZ603),-BZ599,0)</f>
        <v/>
      </c>
      <c r="CB614" s="1361" t="n"/>
    </row>
    <row r="615" hidden="1" outlineLevel="2" ht="14.4" customFormat="1" customHeight="1" s="1597">
      <c r="A615" s="1361" t="n"/>
      <c r="B615" s="1512" t="n"/>
      <c r="C615" s="1379" t="n"/>
      <c r="D615" s="1379" t="n"/>
      <c r="E615" s="1379" t="n"/>
      <c r="F615" s="1379" t="n"/>
      <c r="G615" s="1361" t="n"/>
      <c r="H615" s="1361" t="n"/>
      <c r="I615" s="1361" t="n"/>
      <c r="J615" s="1361" t="n"/>
      <c r="K615" s="1379" t="n"/>
      <c r="L615" s="1361" t="n"/>
      <c r="M615" s="1361" t="n"/>
      <c r="N615" s="1361" t="n"/>
      <c r="O615" s="1361" t="n"/>
      <c r="P615" s="1379" t="n"/>
      <c r="Q615" s="1361" t="n"/>
      <c r="R615" s="1361" t="n"/>
      <c r="S615" s="1361" t="n"/>
      <c r="T615" s="1361" t="n"/>
      <c r="U615" s="1379" t="n"/>
      <c r="V615" s="1361" t="n"/>
      <c r="W615" s="1361" t="n"/>
      <c r="X615" s="1361" t="n"/>
      <c r="Y615" s="1361" t="n"/>
      <c r="Z615" s="1379" t="n"/>
      <c r="AA615" s="1361" t="n"/>
      <c r="AB615" s="1361" t="n"/>
      <c r="AC615" s="1361" t="n"/>
      <c r="AD615" s="1361" t="n"/>
      <c r="AE615" s="1379" t="n"/>
      <c r="AF615" s="1361" t="n"/>
      <c r="AG615" s="1361" t="n"/>
      <c r="AH615" s="1361" t="n"/>
      <c r="AI615" s="1361" t="n"/>
      <c r="AJ615" s="1379" t="n"/>
      <c r="AK615" s="1361" t="n"/>
      <c r="AL615" s="1361" t="n"/>
      <c r="AM615" s="1361" t="n"/>
      <c r="AN615" s="1361" t="n"/>
      <c r="AO615" s="1379" t="n"/>
      <c r="AP615" s="1361" t="n"/>
      <c r="AQ615" s="1361" t="n"/>
      <c r="AR615" s="1361" t="n"/>
      <c r="AS615" s="1361" t="n"/>
      <c r="AT615" s="1379" t="n"/>
      <c r="AU615" s="1361" t="n"/>
      <c r="AV615" s="1361" t="n"/>
      <c r="AW615" s="1361" t="n"/>
      <c r="AX615" s="1361" t="n"/>
      <c r="AY615" s="1379" t="n"/>
      <c r="AZ615" s="1361" t="n"/>
      <c r="BA615" s="1361" t="n"/>
      <c r="BB615" s="1361" t="n"/>
      <c r="BC615" s="1361" t="n"/>
      <c r="BD615" s="1379" t="n"/>
      <c r="BE615" s="1361" t="n"/>
      <c r="BF615" s="1361" t="n"/>
      <c r="BG615" s="1361" t="n"/>
      <c r="BH615" s="1361" t="n"/>
      <c r="BI615" s="1379" t="n"/>
      <c r="BJ615" s="1361" t="n"/>
      <c r="BK615" s="1361" t="n"/>
      <c r="BL615" s="1361" t="n"/>
      <c r="BM615" s="1361" t="n"/>
      <c r="BN615" s="1379" t="n"/>
      <c r="BO615" s="1361" t="n"/>
      <c r="BP615" s="1361" t="n"/>
      <c r="BQ615" s="1363" t="n"/>
      <c r="BR615" s="1361" t="n"/>
      <c r="BS615" s="1379" t="n"/>
      <c r="BT615" s="1361" t="n"/>
      <c r="BU615" s="1361" t="n"/>
      <c r="BV615" s="1361" t="n"/>
      <c r="BW615" s="1361" t="n"/>
      <c r="BX615" s="1379" t="n"/>
      <c r="BY615" s="1379" t="n"/>
      <c r="BZ615" s="1379" t="n"/>
      <c r="CA615" s="1379" t="n"/>
      <c r="CB615" s="1361" t="n"/>
    </row>
    <row r="616" hidden="1" outlineLevel="3" ht="14.4" customFormat="1" customHeight="1" s="1597">
      <c r="A616" s="1508" t="inlineStr">
        <is>
          <t>2011 Notes Outstanding Principal EoP</t>
        </is>
      </c>
      <c r="B616" s="1077" t="n">
        <v>40892</v>
      </c>
      <c r="C616" s="1494" t="n">
        <v>250</v>
      </c>
      <c r="D616" s="1494" t="n">
        <v>150</v>
      </c>
      <c r="E616" s="1379" t="n"/>
      <c r="F616" s="1379" t="n"/>
      <c r="G616" s="1361" t="n"/>
      <c r="H616" s="1361" t="n"/>
      <c r="I616" s="1361" t="n"/>
      <c r="J616" s="1361" t="n"/>
      <c r="K616" s="1379" t="n"/>
      <c r="L616" s="1361" t="n"/>
      <c r="M616" s="1361" t="n"/>
      <c r="N616" s="1361" t="n"/>
      <c r="O616" s="1361" t="n"/>
      <c r="P616" s="1379" t="n"/>
      <c r="Q616" s="1361" t="n"/>
      <c r="R616" s="1361" t="n"/>
      <c r="S616" s="1361" t="n"/>
      <c r="T616" s="1361" t="n"/>
      <c r="U616" s="1379" t="n"/>
      <c r="V616" s="1361" t="n"/>
      <c r="W616" s="1361" t="n"/>
      <c r="X616" s="1361" t="n"/>
      <c r="Y616" s="1361" t="n"/>
      <c r="Z616" s="1379" t="n"/>
      <c r="AA616" s="1361" t="n"/>
      <c r="AB616" s="1361" t="n"/>
      <c r="AC616" s="1361" t="n"/>
      <c r="AD616" s="1361" t="n"/>
      <c r="AE616" s="1379" t="n"/>
      <c r="AF616" s="1361" t="n"/>
      <c r="AG616" s="1361" t="n"/>
      <c r="AH616" s="1361" t="n"/>
      <c r="AI616" s="1361" t="n"/>
      <c r="AJ616" s="1379" t="n"/>
      <c r="AK616" s="1361" t="n"/>
      <c r="AL616" s="1361" t="n"/>
      <c r="AM616" s="1361" t="n"/>
      <c r="AN616" s="1361" t="n"/>
      <c r="AO616" s="1379" t="n"/>
      <c r="AP616" s="1361" t="n"/>
      <c r="AQ616" s="1361" t="n"/>
      <c r="AR616" s="1361" t="n"/>
      <c r="AS616" s="1361" t="n"/>
      <c r="AT616" s="1379" t="n"/>
      <c r="AU616" s="1361" t="n"/>
      <c r="AV616" s="1361" t="n"/>
      <c r="AW616" s="1361" t="n"/>
      <c r="AX616" s="1361" t="n"/>
      <c r="AY616" s="1379" t="n"/>
      <c r="AZ616" s="1361" t="n"/>
      <c r="BA616" s="1361" t="n"/>
      <c r="BB616" s="1361" t="n"/>
      <c r="BC616" s="1361" t="n"/>
      <c r="BD616" s="1379" t="n"/>
      <c r="BE616" s="1361" t="n"/>
      <c r="BF616" s="1361" t="n"/>
      <c r="BG616" s="1361" t="n"/>
      <c r="BH616" s="1361" t="n"/>
      <c r="BI616" s="1379" t="n"/>
      <c r="BJ616" s="1361" t="n"/>
      <c r="BK616" s="1361" t="n"/>
      <c r="BL616" s="1361" t="n"/>
      <c r="BM616" s="1361" t="n"/>
      <c r="BN616" s="1379" t="n"/>
      <c r="BO616" s="1361" t="n"/>
      <c r="BP616" s="1361" t="n"/>
      <c r="BQ616" s="1363" t="n"/>
      <c r="BR616" s="1361">
        <f>IF(B616&lt;=BR4,0,BQ616)</f>
        <v/>
      </c>
      <c r="BS616" s="1379">
        <f>BR616</f>
        <v/>
      </c>
      <c r="BT616" s="1361">
        <f>IF(B616&lt;=BT4,0,BS616)</f>
        <v/>
      </c>
      <c r="BU616" s="1361">
        <f>IF(B616&lt;=BU4,0,BT616)</f>
        <v/>
      </c>
      <c r="BV616" s="1361">
        <f>IF(B616&lt;=BV4,0,BU616)</f>
        <v/>
      </c>
      <c r="BW616" s="1361">
        <f>IF(B616&lt;=BW4,0,BV616)</f>
        <v/>
      </c>
      <c r="BX616" s="1379">
        <f>BW616</f>
        <v/>
      </c>
      <c r="BY616" s="1379">
        <f>IF(B616&lt;=BY4,0,BX616)</f>
        <v/>
      </c>
      <c r="BZ616" s="1379">
        <f>IF(B616&lt;=BZ4,0,BY616)</f>
        <v/>
      </c>
      <c r="CA616" s="1379">
        <f>IF(B616&lt;=CA4,0,BZ616)</f>
        <v/>
      </c>
      <c r="CB616" s="1361" t="n"/>
    </row>
    <row r="617" hidden="1" outlineLevel="3" ht="14.4" customFormat="1" customHeight="1" s="1597">
      <c r="A617" s="1512" t="inlineStr">
        <is>
          <t>2011 Notes Outstanding Unamortized Debt Discount</t>
        </is>
      </c>
      <c r="B617" s="1512" t="n"/>
      <c r="C617" s="1494">
        <f>-64.166/2</f>
        <v/>
      </c>
      <c r="D617" s="1379">
        <f>D619-D616</f>
        <v/>
      </c>
      <c r="E617" s="1379" t="n"/>
      <c r="F617" s="1379" t="n"/>
      <c r="G617" s="1361" t="n"/>
      <c r="H617" s="1361" t="n"/>
      <c r="I617" s="1361" t="n"/>
      <c r="J617" s="1361" t="n"/>
      <c r="K617" s="1379" t="n"/>
      <c r="L617" s="1361" t="n"/>
      <c r="M617" s="1361" t="n"/>
      <c r="N617" s="1361" t="n"/>
      <c r="O617" s="1361" t="n"/>
      <c r="P617" s="1379" t="n"/>
      <c r="Q617" s="1361" t="n"/>
      <c r="R617" s="1361" t="n"/>
      <c r="S617" s="1361" t="n"/>
      <c r="T617" s="1361" t="n"/>
      <c r="U617" s="1379" t="n"/>
      <c r="V617" s="1361" t="n"/>
      <c r="W617" s="1361" t="n"/>
      <c r="X617" s="1361" t="n"/>
      <c r="Y617" s="1361" t="n"/>
      <c r="Z617" s="1379" t="n"/>
      <c r="AA617" s="1361" t="n"/>
      <c r="AB617" s="1361" t="n"/>
      <c r="AC617" s="1361" t="n"/>
      <c r="AD617" s="1361" t="n"/>
      <c r="AE617" s="1379" t="n"/>
      <c r="AF617" s="1361" t="n"/>
      <c r="AG617" s="1361" t="n"/>
      <c r="AH617" s="1361" t="n"/>
      <c r="AI617" s="1361" t="n"/>
      <c r="AJ617" s="1379" t="n"/>
      <c r="AK617" s="1361" t="n"/>
      <c r="AL617" s="1361" t="n"/>
      <c r="AM617" s="1361" t="n"/>
      <c r="AN617" s="1361" t="n"/>
      <c r="AO617" s="1379" t="n"/>
      <c r="AP617" s="1361" t="n"/>
      <c r="AQ617" s="1361" t="n"/>
      <c r="AR617" s="1361" t="n"/>
      <c r="AS617" s="1361" t="n"/>
      <c r="AT617" s="1379" t="n"/>
      <c r="AU617" s="1361" t="n"/>
      <c r="AV617" s="1361" t="n"/>
      <c r="AW617" s="1361" t="n"/>
      <c r="AX617" s="1361" t="n"/>
      <c r="AY617" s="1379" t="n"/>
      <c r="AZ617" s="1361" t="n"/>
      <c r="BA617" s="1361" t="n"/>
      <c r="BB617" s="1361" t="n"/>
      <c r="BC617" s="1361" t="n"/>
      <c r="BD617" s="1379" t="n"/>
      <c r="BE617" s="1361" t="n"/>
      <c r="BF617" s="1361" t="n"/>
      <c r="BG617" s="1361" t="n"/>
      <c r="BH617" s="1361" t="n"/>
      <c r="BI617" s="1379" t="n"/>
      <c r="BJ617" s="1361" t="n"/>
      <c r="BK617" s="1361" t="n"/>
      <c r="BL617" s="1361" t="n"/>
      <c r="BM617" s="1361" t="n"/>
      <c r="BN617" s="1379" t="n"/>
      <c r="BO617" s="1361" t="n"/>
      <c r="BP617" s="1361" t="n"/>
      <c r="BQ617" s="1363" t="n"/>
      <c r="BR617" s="1361" t="n"/>
      <c r="BS617" s="1379" t="n"/>
      <c r="BT617" s="1361" t="n"/>
      <c r="BU617" s="1361" t="n"/>
      <c r="BV617" s="1361" t="n"/>
      <c r="BW617" s="1361" t="n"/>
      <c r="BX617" s="1379" t="n"/>
      <c r="BY617" s="1379" t="n"/>
      <c r="BZ617" s="1379" t="n"/>
      <c r="CA617" s="1379" t="n"/>
      <c r="CB617" s="1361" t="n"/>
    </row>
    <row r="618" hidden="1" outlineLevel="3" ht="14.4" customFormat="1" customHeight="1" s="1597">
      <c r="A618" s="1613" t="inlineStr">
        <is>
          <t>2011 Notes Outstanding Unamortized Debt Issuance Costs</t>
        </is>
      </c>
      <c r="B618" s="1613" t="n"/>
      <c r="C618" s="1614" t="n"/>
      <c r="D618" s="1614" t="n"/>
      <c r="E618" s="1614" t="n"/>
      <c r="F618" s="1614" t="n"/>
      <c r="G618" s="1615" t="n"/>
      <c r="H618" s="1615" t="n"/>
      <c r="I618" s="1615" t="n"/>
      <c r="J618" s="1615" t="n"/>
      <c r="K618" s="1614" t="n"/>
      <c r="L618" s="1615" t="n"/>
      <c r="M618" s="1615" t="n"/>
      <c r="N618" s="1615" t="n"/>
      <c r="O618" s="1615" t="n"/>
      <c r="P618" s="1614" t="n"/>
      <c r="Q618" s="1615" t="n"/>
      <c r="R618" s="1615" t="n"/>
      <c r="S618" s="1615" t="n"/>
      <c r="T618" s="1615" t="n"/>
      <c r="U618" s="1614" t="n"/>
      <c r="V618" s="1615" t="n"/>
      <c r="W618" s="1615" t="n"/>
      <c r="X618" s="1615" t="n"/>
      <c r="Y618" s="1615" t="n"/>
      <c r="Z618" s="1614" t="n"/>
      <c r="AA618" s="1615" t="n"/>
      <c r="AB618" s="1615" t="n"/>
      <c r="AC618" s="1615" t="n"/>
      <c r="AD618" s="1615" t="n"/>
      <c r="AE618" s="1614" t="n"/>
      <c r="AF618" s="1615" t="n"/>
      <c r="AG618" s="1615" t="n"/>
      <c r="AH618" s="1615" t="n"/>
      <c r="AI618" s="1615" t="n"/>
      <c r="AJ618" s="1614" t="n"/>
      <c r="AK618" s="1615" t="n"/>
      <c r="AL618" s="1615" t="n"/>
      <c r="AM618" s="1615" t="n"/>
      <c r="AN618" s="1615" t="n"/>
      <c r="AO618" s="1614" t="n"/>
      <c r="AP618" s="1615" t="n"/>
      <c r="AQ618" s="1615" t="n"/>
      <c r="AR618" s="1615" t="n"/>
      <c r="AS618" s="1615" t="n"/>
      <c r="AT618" s="1614" t="n"/>
      <c r="AU618" s="1615" t="n"/>
      <c r="AV618" s="1615" t="n"/>
      <c r="AW618" s="1615" t="n"/>
      <c r="AX618" s="1615" t="n"/>
      <c r="AY618" s="1614" t="n"/>
      <c r="AZ618" s="1615" t="n"/>
      <c r="BA618" s="1615" t="n"/>
      <c r="BB618" s="1615" t="n"/>
      <c r="BC618" s="1615" t="n"/>
      <c r="BD618" s="1614" t="n"/>
      <c r="BE618" s="1615" t="n"/>
      <c r="BF618" s="1615" t="n"/>
      <c r="BG618" s="1615" t="n"/>
      <c r="BH618" s="1615" t="n"/>
      <c r="BI618" s="1614" t="n"/>
      <c r="BJ618" s="1615" t="n"/>
      <c r="BK618" s="1615" t="n"/>
      <c r="BL618" s="1615" t="n"/>
      <c r="BM618" s="1615" t="n"/>
      <c r="BN618" s="1614" t="n"/>
      <c r="BO618" s="1615" t="n"/>
      <c r="BP618" s="1615" t="n"/>
      <c r="BQ618" s="1616" t="n"/>
      <c r="BR618" s="1615">
        <f>IF(BR616=0,0,BQ618-BQ618/(B616-BQ4)*BR3)</f>
        <v/>
      </c>
      <c r="BS618" s="1614">
        <f>BR618</f>
        <v/>
      </c>
      <c r="BT618" s="1615">
        <f>IF(BT616=0,0,BS618-BS618/(B616-BS4)*BT3)</f>
        <v/>
      </c>
      <c r="BU618" s="1615">
        <f>IF(BU616=0,0,BT618-BT618/(B616-BT4)*BU3)</f>
        <v/>
      </c>
      <c r="BV618" s="1615">
        <f>IF(BV616=0,0,BU618-BU618/(B616-BU4)*BV3)</f>
        <v/>
      </c>
      <c r="BW618" s="1615">
        <f>IF(BW616=0,0,BV618-BV618/(B616-BV4)*BW3)</f>
        <v/>
      </c>
      <c r="BX618" s="1614">
        <f>BW618</f>
        <v/>
      </c>
      <c r="BY618" s="1614">
        <f>IF(BY616=0,0,BX618-BX618/(B616-BX4)*BY3)</f>
        <v/>
      </c>
      <c r="BZ618" s="1614">
        <f>IF(BZ616=0,0,BY618-BY618/(B616-BY4)*BZ3)</f>
        <v/>
      </c>
      <c r="CA618" s="1614">
        <f>IF(CA616=0,0,BZ618-BZ618/(B616-BZ4)*CA3)</f>
        <v/>
      </c>
      <c r="CB618" s="1361" t="n"/>
    </row>
    <row r="619" hidden="1" outlineLevel="2" collapsed="1" ht="14.4" customFormat="1" customHeight="1" s="1597">
      <c r="A619" s="1508" t="inlineStr">
        <is>
          <t>2011 Notes Outstanding Book Value</t>
        </is>
      </c>
      <c r="B619" s="1512" t="n"/>
      <c r="C619" s="1379">
        <f>SUM(C616:C618)</f>
        <v/>
      </c>
      <c r="D619" s="1494" t="n">
        <v>143.3</v>
      </c>
      <c r="E619" s="1379">
        <f>SUM(E616:E618)</f>
        <v/>
      </c>
      <c r="F619" s="1379">
        <f>SUM(F616:F618)</f>
        <v/>
      </c>
      <c r="G619" s="1361">
        <f>SUM(G616:G618)</f>
        <v/>
      </c>
      <c r="H619" s="1361">
        <f>SUM(H616:H618)</f>
        <v/>
      </c>
      <c r="I619" s="1361">
        <f>SUM(I616:I618)</f>
        <v/>
      </c>
      <c r="J619" s="1361">
        <f>SUM(J616:J618)</f>
        <v/>
      </c>
      <c r="K619" s="1379">
        <f>SUM(K616:K618)</f>
        <v/>
      </c>
      <c r="L619" s="1361">
        <f>SUM(L616:L618)</f>
        <v/>
      </c>
      <c r="M619" s="1361">
        <f>SUM(M616:M618)</f>
        <v/>
      </c>
      <c r="N619" s="1361">
        <f>SUM(N616:N618)</f>
        <v/>
      </c>
      <c r="O619" s="1361">
        <f>SUM(O616:O618)</f>
        <v/>
      </c>
      <c r="P619" s="1379">
        <f>SUM(P616:P618)</f>
        <v/>
      </c>
      <c r="Q619" s="1361">
        <f>SUM(Q616:Q618)</f>
        <v/>
      </c>
      <c r="R619" s="1361">
        <f>SUM(R616:R618)</f>
        <v/>
      </c>
      <c r="S619" s="1361">
        <f>SUM(S616:S618)</f>
        <v/>
      </c>
      <c r="T619" s="1361">
        <f>SUM(T616:T618)</f>
        <v/>
      </c>
      <c r="U619" s="1379">
        <f>SUM(U616:U618)</f>
        <v/>
      </c>
      <c r="V619" s="1361">
        <f>SUM(V616:V618)</f>
        <v/>
      </c>
      <c r="W619" s="1361">
        <f>SUM(W616:W618)</f>
        <v/>
      </c>
      <c r="X619" s="1361">
        <f>SUM(X616:X618)</f>
        <v/>
      </c>
      <c r="Y619" s="1361">
        <f>SUM(Y616:Y618)</f>
        <v/>
      </c>
      <c r="Z619" s="1379">
        <f>SUM(Z616:Z618)</f>
        <v/>
      </c>
      <c r="AA619" s="1361">
        <f>SUM(AA616:AA618)</f>
        <v/>
      </c>
      <c r="AB619" s="1361">
        <f>SUM(AB616:AB618)</f>
        <v/>
      </c>
      <c r="AC619" s="1361">
        <f>SUM(AC616:AC618)</f>
        <v/>
      </c>
      <c r="AD619" s="1361">
        <f>SUM(AD616:AD618)</f>
        <v/>
      </c>
      <c r="AE619" s="1379">
        <f>SUM(AE616:AE618)</f>
        <v/>
      </c>
      <c r="AF619" s="1361">
        <f>SUM(AF616:AF618)</f>
        <v/>
      </c>
      <c r="AG619" s="1361">
        <f>SUM(AG616:AG618)</f>
        <v/>
      </c>
      <c r="AH619" s="1361">
        <f>SUM(AH616:AH618)</f>
        <v/>
      </c>
      <c r="AI619" s="1361">
        <f>SUM(AI616:AI618)</f>
        <v/>
      </c>
      <c r="AJ619" s="1379">
        <f>SUM(AJ616:AJ618)</f>
        <v/>
      </c>
      <c r="AK619" s="1361">
        <f>SUM(AK616:AK618)</f>
        <v/>
      </c>
      <c r="AL619" s="1361">
        <f>SUM(AL616:AL618)</f>
        <v/>
      </c>
      <c r="AM619" s="1361">
        <f>SUM(AM616:AM618)</f>
        <v/>
      </c>
      <c r="AN619" s="1361">
        <f>SUM(AN616:AN618)</f>
        <v/>
      </c>
      <c r="AO619" s="1379">
        <f>SUM(AO616:AO618)</f>
        <v/>
      </c>
      <c r="AP619" s="1361">
        <f>SUM(AP616:AP618)</f>
        <v/>
      </c>
      <c r="AQ619" s="1361">
        <f>SUM(AQ616:AQ618)</f>
        <v/>
      </c>
      <c r="AR619" s="1361">
        <f>SUM(AR616:AR618)</f>
        <v/>
      </c>
      <c r="AS619" s="1361">
        <f>SUM(AS616:AS618)</f>
        <v/>
      </c>
      <c r="AT619" s="1379">
        <f>SUM(AT616:AT618)</f>
        <v/>
      </c>
      <c r="AU619" s="1361">
        <f>SUM(AU616:AU618)</f>
        <v/>
      </c>
      <c r="AV619" s="1361">
        <f>SUM(AV616:AV618)</f>
        <v/>
      </c>
      <c r="AW619" s="1361">
        <f>SUM(AW616:AW618)</f>
        <v/>
      </c>
      <c r="AX619" s="1361">
        <f>SUM(AX616:AX618)</f>
        <v/>
      </c>
      <c r="AY619" s="1379">
        <f>SUM(AY616:AY618)</f>
        <v/>
      </c>
      <c r="AZ619" s="1361">
        <f>SUM(AZ616:AZ618)</f>
        <v/>
      </c>
      <c r="BA619" s="1361">
        <f>SUM(BA616:BA618)</f>
        <v/>
      </c>
      <c r="BB619" s="1361">
        <f>SUM(BB616:BB618)</f>
        <v/>
      </c>
      <c r="BC619" s="1361">
        <f>SUM(BC616:BC618)</f>
        <v/>
      </c>
      <c r="BD619" s="1379">
        <f>SUM(BD616:BD618)</f>
        <v/>
      </c>
      <c r="BE619" s="1361">
        <f>SUM(BE616:BE618)</f>
        <v/>
      </c>
      <c r="BF619" s="1361">
        <f>SUM(BF616:BF618)</f>
        <v/>
      </c>
      <c r="BG619" s="1361">
        <f>SUM(BG616:BG618)</f>
        <v/>
      </c>
      <c r="BH619" s="1361">
        <f>SUM(BH616:BH618)</f>
        <v/>
      </c>
      <c r="BI619" s="1379">
        <f>SUM(BI616:BI618)</f>
        <v/>
      </c>
      <c r="BJ619" s="1361">
        <f>SUM(BJ616:BJ618)</f>
        <v/>
      </c>
      <c r="BK619" s="1361">
        <f>SUM(BK616:BK618)</f>
        <v/>
      </c>
      <c r="BL619" s="1361">
        <f>SUM(BL616:BL618)</f>
        <v/>
      </c>
      <c r="BM619" s="1361">
        <f>SUM(BM616:BM618)</f>
        <v/>
      </c>
      <c r="BN619" s="1379">
        <f>SUM(BN616:BN618)</f>
        <v/>
      </c>
      <c r="BO619" s="1361">
        <f>SUM(BO616:BO618)</f>
        <v/>
      </c>
      <c r="BP619" s="1361">
        <f>SUM(BP616:BP618)</f>
        <v/>
      </c>
      <c r="BQ619" s="1363">
        <f>SUM(BQ616:BQ618)</f>
        <v/>
      </c>
      <c r="BR619" s="1361">
        <f>SUM(BR616:BR618)</f>
        <v/>
      </c>
      <c r="BS619" s="1379">
        <f>SUM(BS616:BS618)</f>
        <v/>
      </c>
      <c r="BT619" s="1361">
        <f>SUM(BT616:BT618)</f>
        <v/>
      </c>
      <c r="BU619" s="1361">
        <f>SUM(BU616:BU618)</f>
        <v/>
      </c>
      <c r="BV619" s="1361">
        <f>SUM(BV616:BV618)</f>
        <v/>
      </c>
      <c r="BW619" s="1361">
        <f>SUM(BW616:BW618)</f>
        <v/>
      </c>
      <c r="BX619" s="1379">
        <f>SUM(BX616:BX618)</f>
        <v/>
      </c>
      <c r="BY619" s="1379">
        <f>SUM(BY616:BY618)</f>
        <v/>
      </c>
      <c r="BZ619" s="1379">
        <f>SUM(BZ616:BZ618)</f>
        <v/>
      </c>
      <c r="CA619" s="1379">
        <f>SUM(CA616:CA618)</f>
        <v/>
      </c>
      <c r="CB619" s="1361" t="n"/>
    </row>
    <row r="620" hidden="1" outlineLevel="2" ht="14.4" customFormat="1" customHeight="1" s="1597">
      <c r="A620" s="1508" t="inlineStr">
        <is>
          <t>Initial Conversion Price 2011, $/share</t>
        </is>
      </c>
      <c r="B620" s="1512" t="n"/>
      <c r="C620" s="1745" t="n">
        <v>21.15</v>
      </c>
      <c r="D620" s="1745" t="n">
        <v>21.15</v>
      </c>
      <c r="E620" s="1716" t="n"/>
      <c r="F620" s="1716" t="n"/>
      <c r="G620" s="1714" t="n"/>
      <c r="H620" s="1714" t="n"/>
      <c r="I620" s="1714" t="n"/>
      <c r="J620" s="1714" t="n"/>
      <c r="K620" s="1716" t="n"/>
      <c r="L620" s="1714" t="n"/>
      <c r="M620" s="1714" t="n"/>
      <c r="N620" s="1714" t="n"/>
      <c r="O620" s="1714" t="n"/>
      <c r="P620" s="1716" t="n"/>
      <c r="Q620" s="1714" t="n"/>
      <c r="R620" s="1714" t="n"/>
      <c r="S620" s="1714" t="n"/>
      <c r="T620" s="1714" t="n"/>
      <c r="U620" s="1716" t="n"/>
      <c r="V620" s="1714" t="n"/>
      <c r="W620" s="1714" t="n"/>
      <c r="X620" s="1714" t="n"/>
      <c r="Y620" s="1714" t="n"/>
      <c r="Z620" s="1716" t="n"/>
      <c r="AA620" s="1714" t="n"/>
      <c r="AB620" s="1714" t="n"/>
      <c r="AC620" s="1714" t="n"/>
      <c r="AD620" s="1714" t="n"/>
      <c r="AE620" s="1716" t="n"/>
      <c r="AF620" s="1714" t="n"/>
      <c r="AG620" s="1714" t="n"/>
      <c r="AH620" s="1714" t="n"/>
      <c r="AI620" s="1714" t="n"/>
      <c r="AJ620" s="1716" t="n"/>
      <c r="AK620" s="1714" t="n"/>
      <c r="AL620" s="1714" t="n"/>
      <c r="AM620" s="1714" t="n"/>
      <c r="AN620" s="1714" t="n"/>
      <c r="AO620" s="1716" t="n"/>
      <c r="AP620" s="1714" t="n"/>
      <c r="AQ620" s="1714" t="n"/>
      <c r="AR620" s="1714" t="n"/>
      <c r="AS620" s="1714" t="n"/>
      <c r="AT620" s="1716" t="n"/>
      <c r="AU620" s="1714" t="n"/>
      <c r="AV620" s="1714" t="n"/>
      <c r="AW620" s="1714" t="n"/>
      <c r="AX620" s="1714" t="n"/>
      <c r="AY620" s="1716" t="n"/>
      <c r="AZ620" s="1714" t="n"/>
      <c r="BA620" s="1714" t="n"/>
      <c r="BB620" s="1714" t="n"/>
      <c r="BC620" s="1714" t="n"/>
      <c r="BD620" s="1716" t="n"/>
      <c r="BE620" s="1714" t="n"/>
      <c r="BF620" s="1714" t="n"/>
      <c r="BG620" s="1714" t="n"/>
      <c r="BH620" s="1714" t="n"/>
      <c r="BI620" s="1716" t="n"/>
      <c r="BJ620" s="1714" t="n"/>
      <c r="BK620" s="1714" t="n"/>
      <c r="BL620" s="1714" t="n"/>
      <c r="BM620" s="1714" t="n"/>
      <c r="BN620" s="1716" t="n"/>
      <c r="BO620" s="1714" t="n"/>
      <c r="BP620" s="1714" t="n"/>
      <c r="BQ620" s="1717" t="n"/>
      <c r="BR620" s="1714">
        <f>IF(BR616=0,0,BQ620)</f>
        <v/>
      </c>
      <c r="BS620" s="1716">
        <f>BR620</f>
        <v/>
      </c>
      <c r="BT620" s="1714">
        <f>IF(BT616=0,0,BS620)</f>
        <v/>
      </c>
      <c r="BU620" s="1714">
        <f>IF(BU616=0,0,BT620)</f>
        <v/>
      </c>
      <c r="BV620" s="1714">
        <f>IF(BV616=0,0,BU620)</f>
        <v/>
      </c>
      <c r="BW620" s="1714">
        <f>IF(BW616=0,0,BV620)</f>
        <v/>
      </c>
      <c r="BX620" s="1716">
        <f>BW620</f>
        <v/>
      </c>
      <c r="BY620" s="1716">
        <f>IF(BY616=0,0,BX620)</f>
        <v/>
      </c>
      <c r="BZ620" s="1716">
        <f>IF(BZ616=0,0,BY620)</f>
        <v/>
      </c>
      <c r="CA620" s="1716">
        <f>IF(CA616=0,0,BZ620)</f>
        <v/>
      </c>
      <c r="CB620" s="1361" t="n"/>
    </row>
    <row r="621" hidden="1" outlineLevel="2" ht="14.4" customFormat="1" customHeight="1" s="1597">
      <c r="A621" s="1474" t="inlineStr">
        <is>
          <t>Shares Issuable Upon Conversion, mm shares</t>
        </is>
      </c>
      <c r="B621" s="1512" t="n"/>
      <c r="C621" s="1379">
        <f>IFERROR(C616/C620,0)</f>
        <v/>
      </c>
      <c r="D621" s="1379">
        <f>IFERROR(D616/D620,0)</f>
        <v/>
      </c>
      <c r="E621" s="1379">
        <f>IFERROR(E616/E620,0)</f>
        <v/>
      </c>
      <c r="F621" s="1379">
        <f>IFERROR(F616/F620,0)</f>
        <v/>
      </c>
      <c r="G621" s="1361">
        <f>IFERROR(G616/G620,0)</f>
        <v/>
      </c>
      <c r="H621" s="1361">
        <f>IFERROR(H616/H620,0)</f>
        <v/>
      </c>
      <c r="I621" s="1361">
        <f>IFERROR(I616/I620,0)</f>
        <v/>
      </c>
      <c r="J621" s="1361">
        <f>IFERROR(J616/J620,0)</f>
        <v/>
      </c>
      <c r="K621" s="1379">
        <f>IFERROR(K616/K620,0)</f>
        <v/>
      </c>
      <c r="L621" s="1361">
        <f>IFERROR(L616/L620,0)</f>
        <v/>
      </c>
      <c r="M621" s="1361">
        <f>IFERROR(M616/M620,0)</f>
        <v/>
      </c>
      <c r="N621" s="1361">
        <f>IFERROR(N616/N620,0)</f>
        <v/>
      </c>
      <c r="O621" s="1361">
        <f>IFERROR(O616/O620,0)</f>
        <v/>
      </c>
      <c r="P621" s="1379">
        <f>IFERROR(P616/P620,0)</f>
        <v/>
      </c>
      <c r="Q621" s="1361">
        <f>IFERROR(Q616/Q620,0)</f>
        <v/>
      </c>
      <c r="R621" s="1361">
        <f>IFERROR(R616/R620,0)</f>
        <v/>
      </c>
      <c r="S621" s="1361">
        <f>IFERROR(S616/S620,0)</f>
        <v/>
      </c>
      <c r="T621" s="1361">
        <f>IFERROR(T616/T620,0)</f>
        <v/>
      </c>
      <c r="U621" s="1379">
        <f>IFERROR(U616/U620,0)</f>
        <v/>
      </c>
      <c r="V621" s="1361">
        <f>IFERROR(V616/V620,0)</f>
        <v/>
      </c>
      <c r="W621" s="1361">
        <f>IFERROR(W616/W620,0)</f>
        <v/>
      </c>
      <c r="X621" s="1361">
        <f>IFERROR(X616/X620,0)</f>
        <v/>
      </c>
      <c r="Y621" s="1361">
        <f>IFERROR(Y616/Y620,0)</f>
        <v/>
      </c>
      <c r="Z621" s="1379">
        <f>IFERROR(Z616/Z620,0)</f>
        <v/>
      </c>
      <c r="AA621" s="1361">
        <f>IFERROR(AA616/AA620,0)</f>
        <v/>
      </c>
      <c r="AB621" s="1361">
        <f>IFERROR(AB616/AB620,0)</f>
        <v/>
      </c>
      <c r="AC621" s="1361">
        <f>IFERROR(AC616/AC620,0)</f>
        <v/>
      </c>
      <c r="AD621" s="1361">
        <f>IFERROR(AD616/AD620,0)</f>
        <v/>
      </c>
      <c r="AE621" s="1379">
        <f>IFERROR(AE616/AE620,0)</f>
        <v/>
      </c>
      <c r="AF621" s="1361">
        <f>IFERROR(AF616/AF620,0)</f>
        <v/>
      </c>
      <c r="AG621" s="1361">
        <f>IFERROR(AG616/AG620,0)</f>
        <v/>
      </c>
      <c r="AH621" s="1361">
        <f>IFERROR(AH616/AH620,0)</f>
        <v/>
      </c>
      <c r="AI621" s="1361">
        <f>IFERROR(AI616/AI620,0)</f>
        <v/>
      </c>
      <c r="AJ621" s="1379">
        <f>IFERROR(AJ616/AJ620,0)</f>
        <v/>
      </c>
      <c r="AK621" s="1361">
        <f>IFERROR(AK616/AK620,0)</f>
        <v/>
      </c>
      <c r="AL621" s="1361">
        <f>IFERROR(AL616/AL620,0)</f>
        <v/>
      </c>
      <c r="AM621" s="1361">
        <f>IFERROR(AM616/AM620,0)</f>
        <v/>
      </c>
      <c r="AN621" s="1361">
        <f>IFERROR(AN616/AN620,0)</f>
        <v/>
      </c>
      <c r="AO621" s="1379">
        <f>IFERROR(AO616/AO620,0)</f>
        <v/>
      </c>
      <c r="AP621" s="1361">
        <f>IFERROR(AP616/AP620,0)</f>
        <v/>
      </c>
      <c r="AQ621" s="1361">
        <f>IFERROR(AQ616/AQ620,0)</f>
        <v/>
      </c>
      <c r="AR621" s="1361">
        <f>IFERROR(AR616/AR620,0)</f>
        <v/>
      </c>
      <c r="AS621" s="1361">
        <f>IFERROR(AS616/AS620,0)</f>
        <v/>
      </c>
      <c r="AT621" s="1379">
        <f>IFERROR(AT616/AT620,0)</f>
        <v/>
      </c>
      <c r="AU621" s="1361">
        <f>IFERROR(AU616/AU620,0)</f>
        <v/>
      </c>
      <c r="AV621" s="1361">
        <f>IFERROR(AV616/AV620,0)</f>
        <v/>
      </c>
      <c r="AW621" s="1361">
        <f>IFERROR(AW616/AW620,0)</f>
        <v/>
      </c>
      <c r="AX621" s="1361">
        <f>IFERROR(AX616/AX620,0)</f>
        <v/>
      </c>
      <c r="AY621" s="1379">
        <f>IFERROR(AY616/AY620,0)</f>
        <v/>
      </c>
      <c r="AZ621" s="1361">
        <f>IFERROR(AZ616/AZ620,0)</f>
        <v/>
      </c>
      <c r="BA621" s="1361">
        <f>IFERROR(BA616/BA620,0)</f>
        <v/>
      </c>
      <c r="BB621" s="1361">
        <f>IFERROR(BB616/BB620,0)</f>
        <v/>
      </c>
      <c r="BC621" s="1361">
        <f>IFERROR(BC616/BC620,0)</f>
        <v/>
      </c>
      <c r="BD621" s="1379">
        <f>IFERROR(BD616/BD620,0)</f>
        <v/>
      </c>
      <c r="BE621" s="1361">
        <f>IFERROR(BE616/BE620,0)</f>
        <v/>
      </c>
      <c r="BF621" s="1361">
        <f>IFERROR(BF616/BF620,0)</f>
        <v/>
      </c>
      <c r="BG621" s="1361">
        <f>IFERROR(BG616/BG620,0)</f>
        <v/>
      </c>
      <c r="BH621" s="1361">
        <f>IFERROR(BH616/BH620,0)</f>
        <v/>
      </c>
      <c r="BI621" s="1379">
        <f>IFERROR(BI616/BI620,0)</f>
        <v/>
      </c>
      <c r="BJ621" s="1361">
        <f>IFERROR(BJ616/BJ620,0)</f>
        <v/>
      </c>
      <c r="BK621" s="1361">
        <f>IFERROR(BK616/BK620,0)</f>
        <v/>
      </c>
      <c r="BL621" s="1361">
        <f>IFERROR(BL616/BL620,0)</f>
        <v/>
      </c>
      <c r="BM621" s="1361">
        <f>IFERROR(BM616/BM620,0)</f>
        <v/>
      </c>
      <c r="BN621" s="1379">
        <f>IFERROR(BN616/BN620,0)</f>
        <v/>
      </c>
      <c r="BO621" s="1361">
        <f>IFERROR(BO616/BO620,0)</f>
        <v/>
      </c>
      <c r="BP621" s="1361">
        <f>IFERROR(BP616/BP620,0)</f>
        <v/>
      </c>
      <c r="BQ621" s="1363">
        <f>IFERROR(BQ616/BQ620,0)</f>
        <v/>
      </c>
      <c r="BR621" s="1361">
        <f>IFERROR(BR616/BR620,0)</f>
        <v/>
      </c>
      <c r="BS621" s="1379">
        <f>IFERROR(BS616/BS620,0)</f>
        <v/>
      </c>
      <c r="BT621" s="1361">
        <f>IFERROR(BT616/BT620,0)</f>
        <v/>
      </c>
      <c r="BU621" s="1361">
        <f>IFERROR(BU616/BU620,0)</f>
        <v/>
      </c>
      <c r="BV621" s="1361">
        <f>IFERROR(BV616/BV620,0)</f>
        <v/>
      </c>
      <c r="BW621" s="1361">
        <f>IFERROR(BW616/BW620,0)</f>
        <v/>
      </c>
      <c r="BX621" s="1379">
        <f>IFERROR(BX616/BX620,0)</f>
        <v/>
      </c>
      <c r="BY621" s="1379">
        <f>IFERROR(BY616/BY620,0)</f>
        <v/>
      </c>
      <c r="BZ621" s="1379">
        <f>IFERROR(BZ616/BZ620,0)</f>
        <v/>
      </c>
      <c r="CA621" s="1379">
        <f>IFERROR(CA616/CA620,0)</f>
        <v/>
      </c>
      <c r="CB621" s="1361" t="n"/>
    </row>
    <row r="622" hidden="1" outlineLevel="2" ht="14.4" customFormat="1" customHeight="1" s="1597">
      <c r="A622" s="1693" t="inlineStr">
        <is>
          <t>Dilutive Shares from Convertible Notes 2011, mm shares</t>
        </is>
      </c>
      <c r="B622" s="1694" t="n"/>
      <c r="C622" s="1698">
        <f>IFERROR(IF(C526&gt;C620,C621,0),0)</f>
        <v/>
      </c>
      <c r="D622" s="1698">
        <f>IFERROR(IF(D526&gt;D620,D621,0),0)</f>
        <v/>
      </c>
      <c r="E622" s="1698">
        <f>IFERROR(IF(E526&gt;E620,E621,0),0)</f>
        <v/>
      </c>
      <c r="F622" s="1698">
        <f>IFERROR(IF(F526&gt;F620,F621,0),0)</f>
        <v/>
      </c>
      <c r="G622" s="1693">
        <f>IFERROR(IF(G526&gt;G620,G621,0),0)</f>
        <v/>
      </c>
      <c r="H622" s="1693">
        <f>IFERROR(IF(H526&gt;H620,H621,0),0)</f>
        <v/>
      </c>
      <c r="I622" s="1693">
        <f>IFERROR(IF(I526&gt;I620,I621,0),0)</f>
        <v/>
      </c>
      <c r="J622" s="1693">
        <f>IFERROR(IF(J526&gt;J620,J621,0),0)</f>
        <v/>
      </c>
      <c r="K622" s="1698">
        <f>IFERROR(IF(K526&gt;K620,K621,0),0)</f>
        <v/>
      </c>
      <c r="L622" s="1693">
        <f>IFERROR(IF(L526&gt;L620,L621,0),0)</f>
        <v/>
      </c>
      <c r="M622" s="1693">
        <f>IFERROR(IF(M526&gt;M620,M621,0),0)</f>
        <v/>
      </c>
      <c r="N622" s="1693">
        <f>IFERROR(IF(N526&gt;N620,N621,0),0)</f>
        <v/>
      </c>
      <c r="O622" s="1693">
        <f>IFERROR(IF(O526&gt;O620,O621,0),0)</f>
        <v/>
      </c>
      <c r="P622" s="1698">
        <f>IFERROR(IF(P526&gt;P620,P621,0),0)</f>
        <v/>
      </c>
      <c r="Q622" s="1693">
        <f>IFERROR(IF(Q526&gt;Q620,Q621,0),0)</f>
        <v/>
      </c>
      <c r="R622" s="1693">
        <f>IFERROR(IF(R526&gt;R620,R621,0),0)</f>
        <v/>
      </c>
      <c r="S622" s="1693">
        <f>IFERROR(IF(S526&gt;S620,S621,0),0)</f>
        <v/>
      </c>
      <c r="T622" s="1693">
        <f>IFERROR(IF(T526&gt;T620,T621,0),0)</f>
        <v/>
      </c>
      <c r="U622" s="1698">
        <f>IFERROR(IF(U526&gt;U620,U621,0),0)</f>
        <v/>
      </c>
      <c r="V622" s="1693">
        <f>IFERROR(IF(V526&gt;V620,V621,0),0)</f>
        <v/>
      </c>
      <c r="W622" s="1693">
        <f>IFERROR(IF(W526&gt;W620,W621,0),0)</f>
        <v/>
      </c>
      <c r="X622" s="1693">
        <f>IFERROR(IF(X526&gt;X620,X621,0),0)</f>
        <v/>
      </c>
      <c r="Y622" s="1693">
        <f>IFERROR(IF(Y526&gt;Y620,Y621,0),0)</f>
        <v/>
      </c>
      <c r="Z622" s="1698">
        <f>IFERROR(IF(Z526&gt;Z620,Z621,0),0)</f>
        <v/>
      </c>
      <c r="AA622" s="1693">
        <f>IFERROR(IF(AA526&gt;AA620,AA621,0),0)</f>
        <v/>
      </c>
      <c r="AB622" s="1693">
        <f>IFERROR(IF(AB526&gt;AB620,AB621,0),0)</f>
        <v/>
      </c>
      <c r="AC622" s="1693">
        <f>IFERROR(IF(AC526&gt;AC620,AC621,0),0)</f>
        <v/>
      </c>
      <c r="AD622" s="1693">
        <f>IFERROR(IF(AD526&gt;AD620,AD621,0),0)</f>
        <v/>
      </c>
      <c r="AE622" s="1698">
        <f>IFERROR(IF(AE526&gt;AE620,AE621,0),0)</f>
        <v/>
      </c>
      <c r="AF622" s="1693">
        <f>IFERROR(IF(AF526&gt;AF620,AF621,0),0)</f>
        <v/>
      </c>
      <c r="AG622" s="1693">
        <f>IFERROR(IF(AG526&gt;AG620,AG621,0),0)</f>
        <v/>
      </c>
      <c r="AH622" s="1693">
        <f>IFERROR(IF(AH526&gt;AH620,AH621,0),0)</f>
        <v/>
      </c>
      <c r="AI622" s="1693">
        <f>IFERROR(IF(AI526&gt;AI620,AI621,0),0)</f>
        <v/>
      </c>
      <c r="AJ622" s="1698">
        <f>IFERROR(IF(AJ526&gt;AJ620,AJ621,0),0)</f>
        <v/>
      </c>
      <c r="AK622" s="1693">
        <f>IFERROR(IF(AK526&gt;AK620,AK621,0),0)</f>
        <v/>
      </c>
      <c r="AL622" s="1693">
        <f>IFERROR(IF(AL526&gt;AL620,AL621,0),0)</f>
        <v/>
      </c>
      <c r="AM622" s="1693">
        <f>IFERROR(IF(AM526&gt;AM620,AM621,0),0)</f>
        <v/>
      </c>
      <c r="AN622" s="1693">
        <f>IFERROR(IF(AN526&gt;AN620,AN621,0),0)</f>
        <v/>
      </c>
      <c r="AO622" s="1698">
        <f>IFERROR(IF(AO526&gt;AO620,AO621,0),0)</f>
        <v/>
      </c>
      <c r="AP622" s="1693">
        <f>IFERROR(IF(AP526&gt;AP620,AP621,0),0)</f>
        <v/>
      </c>
      <c r="AQ622" s="1693">
        <f>IFERROR(IF(AQ526&gt;AQ620,AQ621,0),0)</f>
        <v/>
      </c>
      <c r="AR622" s="1693">
        <f>IFERROR(IF(AR526&gt;AR620,AR621,0),0)</f>
        <v/>
      </c>
      <c r="AS622" s="1693">
        <f>IFERROR(IF(AS526&gt;AS620,AS621,0),0)</f>
        <v/>
      </c>
      <c r="AT622" s="1698">
        <f>IFERROR(IF(AT526&gt;AT620,AT621,0),0)</f>
        <v/>
      </c>
      <c r="AU622" s="1693">
        <f>IFERROR(IF(AU526&gt;AU620,AU621,0),0)</f>
        <v/>
      </c>
      <c r="AV622" s="1693">
        <f>IFERROR(IF(AV526&gt;AV620,AV621,0),0)</f>
        <v/>
      </c>
      <c r="AW622" s="1693">
        <f>IFERROR(IF(AW526&gt;AW620,AW621,0),0)</f>
        <v/>
      </c>
      <c r="AX622" s="1693">
        <f>IFERROR(IF(AX526&gt;AX620,AX621,0),0)</f>
        <v/>
      </c>
      <c r="AY622" s="1698">
        <f>IFERROR(IF(AY526&gt;AY620,AY621,0),0)</f>
        <v/>
      </c>
      <c r="AZ622" s="1693">
        <f>IFERROR(IF(AZ526&gt;AZ620,AZ621,0),0)</f>
        <v/>
      </c>
      <c r="BA622" s="1693">
        <f>IFERROR(IF(BA526&gt;BA620,BA621,0),0)</f>
        <v/>
      </c>
      <c r="BB622" s="1693">
        <f>IFERROR(IF(BB526&gt;BB620,BB621,0),0)</f>
        <v/>
      </c>
      <c r="BC622" s="1693">
        <f>IFERROR(IF(BC526&gt;BC620,BC621,0),0)</f>
        <v/>
      </c>
      <c r="BD622" s="1698">
        <f>IFERROR(IF(BD526&gt;BD620,BD621,0),0)</f>
        <v/>
      </c>
      <c r="BE622" s="1693">
        <f>IFERROR(IF(BE526&gt;BE620,BE621,0),0)</f>
        <v/>
      </c>
      <c r="BF622" s="1693">
        <f>IFERROR(IF(BF526&gt;BF620,BF621,0),0)</f>
        <v/>
      </c>
      <c r="BG622" s="1693">
        <f>IFERROR(IF(BG526&gt;BG620,BG621,0),0)</f>
        <v/>
      </c>
      <c r="BH622" s="1693">
        <f>IFERROR(IF(BH526&gt;BH620,BH621,0),0)</f>
        <v/>
      </c>
      <c r="BI622" s="1698">
        <f>IFERROR(IF(BI526&gt;BI620,BI621,0),0)</f>
        <v/>
      </c>
      <c r="BJ622" s="1693">
        <f>IFERROR(IF(BJ526&gt;BJ620,BJ621,0),0)</f>
        <v/>
      </c>
      <c r="BK622" s="1693">
        <f>IFERROR(IF(BK526&gt;BK620,BK621,0),0)</f>
        <v/>
      </c>
      <c r="BL622" s="1693">
        <f>IFERROR(IF(BL526&gt;BL620,BL621,0),0)</f>
        <v/>
      </c>
      <c r="BM622" s="1693">
        <f>IFERROR(IF(BM526&gt;BM620,BM621,0),0)</f>
        <v/>
      </c>
      <c r="BN622" s="1698">
        <f>IFERROR(IF(BN526&gt;BN620,BN621,0),0)</f>
        <v/>
      </c>
      <c r="BO622" s="1693">
        <f>IFERROR(IF(BO526&gt;BO620,BO621,0),0)</f>
        <v/>
      </c>
      <c r="BP622" s="1693">
        <f>IFERROR(IF(BP526&gt;BP620,BP621,0),0)</f>
        <v/>
      </c>
      <c r="BQ622" s="1733">
        <f>IFERROR(IF(BQ526&gt;BQ620,BQ621,0),0)</f>
        <v/>
      </c>
      <c r="BR622" s="1693">
        <f>IFERROR(IF(BR526&gt;BR620,BR621,0),0)</f>
        <v/>
      </c>
      <c r="BS622" s="1698">
        <f>IFERROR(IF(BS526&gt;BS620,BS621,0),0)</f>
        <v/>
      </c>
      <c r="BT622" s="1693">
        <f>IFERROR(IF(BT526&gt;BT620,BT621,0),0)</f>
        <v/>
      </c>
      <c r="BU622" s="1693">
        <f>IFERROR(IF(BU526&gt;BU620,BU621,0),0)</f>
        <v/>
      </c>
      <c r="BV622" s="1693">
        <f>IFERROR(IF(BV526&gt;BV620,BV621,0),0)</f>
        <v/>
      </c>
      <c r="BW622" s="1693">
        <f>IFERROR(IF(BW526&gt;BW620,BW621,0),0)</f>
        <v/>
      </c>
      <c r="BX622" s="1698">
        <f>IFERROR(IF(BX526&gt;BX620,BX621,0),0)</f>
        <v/>
      </c>
      <c r="BY622" s="1698">
        <f>IFERROR(IF(BY526&gt;BY620,BY621,0),0)</f>
        <v/>
      </c>
      <c r="BZ622" s="1698">
        <f>IFERROR(IF(BZ526&gt;BZ620,BZ621,0),0)</f>
        <v/>
      </c>
      <c r="CA622" s="1698">
        <f>IFERROR(IF(CA526&gt;CA620,CA621,0),0)</f>
        <v/>
      </c>
      <c r="CB622" s="1361" t="n"/>
    </row>
    <row r="623" hidden="1" outlineLevel="2" ht="14.4" customFormat="1" customHeight="1" s="1597">
      <c r="A623" s="1361" t="n"/>
      <c r="B623" s="1512" t="n"/>
      <c r="C623" s="1379" t="n"/>
      <c r="D623" s="1379" t="n"/>
      <c r="E623" s="1379" t="n"/>
      <c r="F623" s="1379" t="n"/>
      <c r="G623" s="1361" t="n"/>
      <c r="H623" s="1361" t="n"/>
      <c r="I623" s="1361" t="n"/>
      <c r="J623" s="1361" t="n"/>
      <c r="K623" s="1379" t="n"/>
      <c r="L623" s="1361" t="n"/>
      <c r="M623" s="1361" t="n"/>
      <c r="N623" s="1361" t="n"/>
      <c r="O623" s="1361" t="n"/>
      <c r="P623" s="1379" t="n"/>
      <c r="Q623" s="1361" t="n"/>
      <c r="R623" s="1361" t="n"/>
      <c r="S623" s="1361" t="n"/>
      <c r="T623" s="1361" t="n"/>
      <c r="U623" s="1379" t="n"/>
      <c r="V623" s="1361" t="n"/>
      <c r="W623" s="1361" t="n"/>
      <c r="X623" s="1361" t="n"/>
      <c r="Y623" s="1361" t="n"/>
      <c r="Z623" s="1379" t="n"/>
      <c r="AA623" s="1361" t="n"/>
      <c r="AB623" s="1361" t="n"/>
      <c r="AC623" s="1361" t="n"/>
      <c r="AD623" s="1361" t="n"/>
      <c r="AE623" s="1379" t="n"/>
      <c r="AF623" s="1361" t="n"/>
      <c r="AG623" s="1361" t="n"/>
      <c r="AH623" s="1361" t="n"/>
      <c r="AI623" s="1361" t="n"/>
      <c r="AJ623" s="1379" t="n"/>
      <c r="AK623" s="1361" t="n"/>
      <c r="AL623" s="1361" t="n"/>
      <c r="AM623" s="1361" t="n"/>
      <c r="AN623" s="1361" t="n"/>
      <c r="AO623" s="1379" t="n"/>
      <c r="AP623" s="1361" t="n"/>
      <c r="AQ623" s="1361" t="n"/>
      <c r="AR623" s="1361" t="n"/>
      <c r="AS623" s="1361" t="n"/>
      <c r="AT623" s="1379" t="n"/>
      <c r="AU623" s="1361" t="n"/>
      <c r="AV623" s="1361" t="n"/>
      <c r="AW623" s="1361" t="n"/>
      <c r="AX623" s="1361" t="n"/>
      <c r="AY623" s="1379" t="n"/>
      <c r="AZ623" s="1361" t="n"/>
      <c r="BA623" s="1361" t="n"/>
      <c r="BB623" s="1361" t="n"/>
      <c r="BC623" s="1361" t="n"/>
      <c r="BD623" s="1379" t="n"/>
      <c r="BE623" s="1361" t="n"/>
      <c r="BF623" s="1361" t="n"/>
      <c r="BG623" s="1361" t="n"/>
      <c r="BH623" s="1361" t="n"/>
      <c r="BI623" s="1379" t="n"/>
      <c r="BJ623" s="1361" t="n"/>
      <c r="BK623" s="1361" t="n"/>
      <c r="BL623" s="1361" t="n"/>
      <c r="BM623" s="1361" t="n"/>
      <c r="BN623" s="1379" t="n"/>
      <c r="BO623" s="1361" t="n"/>
      <c r="BP623" s="1361" t="n"/>
      <c r="BQ623" s="1363" t="n"/>
      <c r="BR623" s="1361" t="n"/>
      <c r="BS623" s="1379" t="n"/>
      <c r="BT623" s="1361" t="n"/>
      <c r="BU623" s="1361" t="n"/>
      <c r="BV623" s="1361" t="n"/>
      <c r="BW623" s="1361" t="n"/>
      <c r="BX623" s="1379" t="n"/>
      <c r="BY623" s="1379" t="n"/>
      <c r="BZ623" s="1379" t="n"/>
      <c r="CA623" s="1379" t="n"/>
      <c r="CB623" s="1361" t="n"/>
    </row>
    <row r="624" hidden="1" outlineLevel="2" ht="14.4" customFormat="1" customHeight="1" s="1597">
      <c r="A624" s="1474" t="inlineStr">
        <is>
          <t>Shares Covered 2011, mm shares</t>
        </is>
      </c>
      <c r="B624" s="1512" t="n"/>
      <c r="C624" s="1379">
        <f>C621</f>
        <v/>
      </c>
      <c r="D624" s="1379">
        <f>D621</f>
        <v/>
      </c>
      <c r="E624" s="1379">
        <f>E621</f>
        <v/>
      </c>
      <c r="F624" s="1379">
        <f>F621</f>
        <v/>
      </c>
      <c r="G624" s="1361">
        <f>G621</f>
        <v/>
      </c>
      <c r="H624" s="1361">
        <f>H621</f>
        <v/>
      </c>
      <c r="I624" s="1361">
        <f>I621</f>
        <v/>
      </c>
      <c r="J624" s="1361">
        <f>J621</f>
        <v/>
      </c>
      <c r="K624" s="1379">
        <f>K621</f>
        <v/>
      </c>
      <c r="L624" s="1361">
        <f>L621</f>
        <v/>
      </c>
      <c r="M624" s="1361">
        <f>M621</f>
        <v/>
      </c>
      <c r="N624" s="1361">
        <f>N621</f>
        <v/>
      </c>
      <c r="O624" s="1361">
        <f>O621</f>
        <v/>
      </c>
      <c r="P624" s="1379">
        <f>P621</f>
        <v/>
      </c>
      <c r="Q624" s="1361">
        <f>Q621</f>
        <v/>
      </c>
      <c r="R624" s="1361">
        <f>R621</f>
        <v/>
      </c>
      <c r="S624" s="1361">
        <f>S621</f>
        <v/>
      </c>
      <c r="T624" s="1361">
        <f>T621</f>
        <v/>
      </c>
      <c r="U624" s="1379">
        <f>U621</f>
        <v/>
      </c>
      <c r="V624" s="1361">
        <f>V621</f>
        <v/>
      </c>
      <c r="W624" s="1361">
        <f>W621</f>
        <v/>
      </c>
      <c r="X624" s="1361">
        <f>X621</f>
        <v/>
      </c>
      <c r="Y624" s="1361">
        <f>Y621</f>
        <v/>
      </c>
      <c r="Z624" s="1379">
        <f>Z621</f>
        <v/>
      </c>
      <c r="AA624" s="1361">
        <f>AA621</f>
        <v/>
      </c>
      <c r="AB624" s="1361">
        <f>AB621</f>
        <v/>
      </c>
      <c r="AC624" s="1361">
        <f>AC621</f>
        <v/>
      </c>
      <c r="AD624" s="1361">
        <f>AD621</f>
        <v/>
      </c>
      <c r="AE624" s="1379">
        <f>AE621</f>
        <v/>
      </c>
      <c r="AF624" s="1361">
        <f>AF621</f>
        <v/>
      </c>
      <c r="AG624" s="1361">
        <f>AG621</f>
        <v/>
      </c>
      <c r="AH624" s="1361">
        <f>AH621</f>
        <v/>
      </c>
      <c r="AI624" s="1361">
        <f>AI621</f>
        <v/>
      </c>
      <c r="AJ624" s="1379">
        <f>AJ621</f>
        <v/>
      </c>
      <c r="AK624" s="1361">
        <f>AK621</f>
        <v/>
      </c>
      <c r="AL624" s="1361">
        <f>AL621</f>
        <v/>
      </c>
      <c r="AM624" s="1361">
        <f>AM621</f>
        <v/>
      </c>
      <c r="AN624" s="1361">
        <f>AN621</f>
        <v/>
      </c>
      <c r="AO624" s="1379">
        <f>AO621</f>
        <v/>
      </c>
      <c r="AP624" s="1361">
        <f>AP621</f>
        <v/>
      </c>
      <c r="AQ624" s="1361">
        <f>AQ621</f>
        <v/>
      </c>
      <c r="AR624" s="1361">
        <f>AR621</f>
        <v/>
      </c>
      <c r="AS624" s="1361">
        <f>AS621</f>
        <v/>
      </c>
      <c r="AT624" s="1379">
        <f>AT621</f>
        <v/>
      </c>
      <c r="AU624" s="1361">
        <f>AU621</f>
        <v/>
      </c>
      <c r="AV624" s="1361">
        <f>AV621</f>
        <v/>
      </c>
      <c r="AW624" s="1361">
        <f>AW621</f>
        <v/>
      </c>
      <c r="AX624" s="1361">
        <f>AX621</f>
        <v/>
      </c>
      <c r="AY624" s="1379">
        <f>AY621</f>
        <v/>
      </c>
      <c r="AZ624" s="1361">
        <f>AZ621</f>
        <v/>
      </c>
      <c r="BA624" s="1361">
        <f>BA621</f>
        <v/>
      </c>
      <c r="BB624" s="1361">
        <f>BB621</f>
        <v/>
      </c>
      <c r="BC624" s="1361">
        <f>BC621</f>
        <v/>
      </c>
      <c r="BD624" s="1379">
        <f>BD621</f>
        <v/>
      </c>
      <c r="BE624" s="1361">
        <f>BE621</f>
        <v/>
      </c>
      <c r="BF624" s="1361">
        <f>BF621</f>
        <v/>
      </c>
      <c r="BG624" s="1361">
        <f>BG621</f>
        <v/>
      </c>
      <c r="BH624" s="1361">
        <f>BH621</f>
        <v/>
      </c>
      <c r="BI624" s="1379">
        <f>BI621</f>
        <v/>
      </c>
      <c r="BJ624" s="1361">
        <f>BJ621</f>
        <v/>
      </c>
      <c r="BK624" s="1361">
        <f>BK621</f>
        <v/>
      </c>
      <c r="BL624" s="1361">
        <f>BL621</f>
        <v/>
      </c>
      <c r="BM624" s="1361">
        <f>BM621</f>
        <v/>
      </c>
      <c r="BN624" s="1379">
        <f>BN621</f>
        <v/>
      </c>
      <c r="BO624" s="1361">
        <f>BO621</f>
        <v/>
      </c>
      <c r="BP624" s="1361">
        <f>BP621</f>
        <v/>
      </c>
      <c r="BQ624" s="1363">
        <f>BQ621</f>
        <v/>
      </c>
      <c r="BR624" s="1361">
        <f>BR621</f>
        <v/>
      </c>
      <c r="BS624" s="1379">
        <f>BS621</f>
        <v/>
      </c>
      <c r="BT624" s="1361">
        <f>BT621</f>
        <v/>
      </c>
      <c r="BU624" s="1361">
        <f>BU621</f>
        <v/>
      </c>
      <c r="BV624" s="1361">
        <f>BV621</f>
        <v/>
      </c>
      <c r="BW624" s="1361">
        <f>BW621</f>
        <v/>
      </c>
      <c r="BX624" s="1379">
        <f>BX621</f>
        <v/>
      </c>
      <c r="BY624" s="1379">
        <f>BY621</f>
        <v/>
      </c>
      <c r="BZ624" s="1379">
        <f>BZ621</f>
        <v/>
      </c>
      <c r="CA624" s="1379">
        <f>CA621</f>
        <v/>
      </c>
      <c r="CB624" s="1361" t="n"/>
    </row>
    <row r="625" hidden="1" outlineLevel="2" ht="14.4" customFormat="1" customHeight="1" s="1597">
      <c r="A625" s="1474" t="inlineStr">
        <is>
          <t>Initial Cap Price 2011, $/share</t>
        </is>
      </c>
      <c r="B625" s="1512" t="n"/>
      <c r="C625" s="1745" t="n">
        <v>31.5</v>
      </c>
      <c r="D625" s="1745" t="n">
        <v>31.5</v>
      </c>
      <c r="E625" s="1716" t="n"/>
      <c r="F625" s="1716" t="n"/>
      <c r="G625" s="1714" t="n"/>
      <c r="H625" s="1714" t="n"/>
      <c r="I625" s="1714" t="n"/>
      <c r="J625" s="1714" t="n"/>
      <c r="K625" s="1716" t="n"/>
      <c r="L625" s="1714" t="n"/>
      <c r="M625" s="1714" t="n"/>
      <c r="N625" s="1714" t="n"/>
      <c r="O625" s="1714" t="n"/>
      <c r="P625" s="1716" t="n"/>
      <c r="Q625" s="1714" t="n"/>
      <c r="R625" s="1714" t="n"/>
      <c r="S625" s="1714" t="n"/>
      <c r="T625" s="1714" t="n"/>
      <c r="U625" s="1716" t="n"/>
      <c r="V625" s="1714" t="n"/>
      <c r="W625" s="1714" t="n"/>
      <c r="X625" s="1714" t="n"/>
      <c r="Y625" s="1714" t="n"/>
      <c r="Z625" s="1716" t="n"/>
      <c r="AA625" s="1714" t="n"/>
      <c r="AB625" s="1714" t="n"/>
      <c r="AC625" s="1714" t="n"/>
      <c r="AD625" s="1714" t="n"/>
      <c r="AE625" s="1716" t="n"/>
      <c r="AF625" s="1714" t="n"/>
      <c r="AG625" s="1714" t="n"/>
      <c r="AH625" s="1714" t="n"/>
      <c r="AI625" s="1714" t="n"/>
      <c r="AJ625" s="1716" t="n"/>
      <c r="AK625" s="1714" t="n"/>
      <c r="AL625" s="1714" t="n"/>
      <c r="AM625" s="1714" t="n"/>
      <c r="AN625" s="1714" t="n"/>
      <c r="AO625" s="1716" t="n"/>
      <c r="AP625" s="1714" t="n"/>
      <c r="AQ625" s="1714" t="n"/>
      <c r="AR625" s="1714" t="n"/>
      <c r="AS625" s="1714" t="n"/>
      <c r="AT625" s="1716" t="n"/>
      <c r="AU625" s="1714" t="n"/>
      <c r="AV625" s="1714" t="n"/>
      <c r="AW625" s="1714" t="n"/>
      <c r="AX625" s="1714" t="n"/>
      <c r="AY625" s="1716" t="n"/>
      <c r="AZ625" s="1714" t="n"/>
      <c r="BA625" s="1714" t="n"/>
      <c r="BB625" s="1714" t="n"/>
      <c r="BC625" s="1714" t="n"/>
      <c r="BD625" s="1716" t="n"/>
      <c r="BE625" s="1714" t="n"/>
      <c r="BF625" s="1714" t="n"/>
      <c r="BG625" s="1714" t="n"/>
      <c r="BH625" s="1714" t="n"/>
      <c r="BI625" s="1716" t="n"/>
      <c r="BJ625" s="1714" t="n"/>
      <c r="BK625" s="1714" t="n"/>
      <c r="BL625" s="1714" t="n"/>
      <c r="BM625" s="1714" t="n"/>
      <c r="BN625" s="1716" t="n"/>
      <c r="BO625" s="1714" t="n"/>
      <c r="BP625" s="1714" t="n"/>
      <c r="BQ625" s="1717" t="n"/>
      <c r="BR625" s="1714">
        <f>IF(BR624=0,0,BQ625)</f>
        <v/>
      </c>
      <c r="BS625" s="1716">
        <f>BR625</f>
        <v/>
      </c>
      <c r="BT625" s="1714">
        <f>IF(BT624=0,0,BS625)</f>
        <v/>
      </c>
      <c r="BU625" s="1714">
        <f>IF(BU624=0,0,BT625)</f>
        <v/>
      </c>
      <c r="BV625" s="1714">
        <f>IF(BV624=0,0,BU625)</f>
        <v/>
      </c>
      <c r="BW625" s="1714">
        <f>IF(BW624=0,0,BV625)</f>
        <v/>
      </c>
      <c r="BX625" s="1716">
        <f>BW625</f>
        <v/>
      </c>
      <c r="BY625" s="1716">
        <f>IF(BY624=0,0,BX625)</f>
        <v/>
      </c>
      <c r="BZ625" s="1716">
        <f>IF(BZ624=0,0,BY625)</f>
        <v/>
      </c>
      <c r="CA625" s="1716">
        <f>IF(CA624=0,0,BZ625)</f>
        <v/>
      </c>
      <c r="CB625" s="1361" t="n"/>
    </row>
    <row r="626" hidden="1" outlineLevel="2" ht="14.4" customFormat="1" customHeight="1" s="1597">
      <c r="A626" s="1693" t="inlineStr">
        <is>
          <t>Dilutive Offset from Capped Call 2011, mm shares</t>
        </is>
      </c>
      <c r="B626" s="1694" t="n"/>
      <c r="C626" s="1698">
        <f>IFERROR(IF(C526&gt;C625,-C622*C625/C526*C624/C621,-C622),0)</f>
        <v/>
      </c>
      <c r="D626" s="1698">
        <f>IFERROR(IF(D526&gt;D625,-D622*D625/D526*D624/D621,-D622),0)</f>
        <v/>
      </c>
      <c r="E626" s="1698">
        <f>IFERROR(IF(E526&gt;E625,-E622*E625/E526*E624/E621,-E622),0)</f>
        <v/>
      </c>
      <c r="F626" s="1698">
        <f>IFERROR(IF(F526&gt;F625,-F622*F625/F526*F624/F621,-F622),0)</f>
        <v/>
      </c>
      <c r="G626" s="1693">
        <f>IFERROR(IF(G526&gt;G625,-G622*G625/G526*G624/G621,-G622),0)</f>
        <v/>
      </c>
      <c r="H626" s="1693">
        <f>IFERROR(IF(H526&gt;H625,-H622*H625/H526*H624/H621,-H622),0)</f>
        <v/>
      </c>
      <c r="I626" s="1693">
        <f>IFERROR(IF(I526&gt;I625,-I622*I625/I526*I624/I621,-I622),0)</f>
        <v/>
      </c>
      <c r="J626" s="1693">
        <f>IFERROR(IF(J526&gt;J625,-J622*J625/J526*J624/J621,-J622),0)</f>
        <v/>
      </c>
      <c r="K626" s="1698">
        <f>IFERROR(IF(K526&gt;K625,-K622*K625/K526*K624/K621,-K622),0)</f>
        <v/>
      </c>
      <c r="L626" s="1693">
        <f>IFERROR(IF(L526&gt;L625,-L622*L625/L526*L624/L621,-L622),0)</f>
        <v/>
      </c>
      <c r="M626" s="1693">
        <f>IFERROR(IF(M526&gt;M625,-M622*M625/M526*M624/M621,-M622),0)</f>
        <v/>
      </c>
      <c r="N626" s="1693">
        <f>IFERROR(IF(N526&gt;N625,-N622*N625/N526*N624/N621,-N622),0)</f>
        <v/>
      </c>
      <c r="O626" s="1693">
        <f>IFERROR(IF(O526&gt;O625,-O622*O625/O526*O624/O621,-O622),0)</f>
        <v/>
      </c>
      <c r="P626" s="1698">
        <f>IFERROR(IF(P526&gt;P625,-P622*P625/P526*P624/P621,-P622),0)</f>
        <v/>
      </c>
      <c r="Q626" s="1693">
        <f>IFERROR(IF(Q526&gt;Q625,-Q622*Q625/Q526*Q624/Q621,-Q622),0)</f>
        <v/>
      </c>
      <c r="R626" s="1693">
        <f>IFERROR(IF(R526&gt;R625,-R622*R625/R526*R624/R621,-R622),0)</f>
        <v/>
      </c>
      <c r="S626" s="1693">
        <f>IFERROR(IF(S526&gt;S625,-S622*S625/S526*S624/S621,-S622),0)</f>
        <v/>
      </c>
      <c r="T626" s="1693">
        <f>IFERROR(IF(T526&gt;T625,-T622*T625/T526*T624/T621,-T622),0)</f>
        <v/>
      </c>
      <c r="U626" s="1698">
        <f>IFERROR(IF(U526&gt;U625,-U622*U625/U526*U624/U621,-U622),0)</f>
        <v/>
      </c>
      <c r="V626" s="1693">
        <f>IFERROR(IF(V526&gt;V625,-V622*V625/V526*V624/V621,-V622),0)</f>
        <v/>
      </c>
      <c r="W626" s="1693">
        <f>IFERROR(IF(W526&gt;W625,-W622*W625/W526*W624/W621,-W622),0)</f>
        <v/>
      </c>
      <c r="X626" s="1693">
        <f>IFERROR(IF(X526&gt;X625,-X622*X625/X526*X624/X621,-X622),0)</f>
        <v/>
      </c>
      <c r="Y626" s="1693">
        <f>IFERROR(IF(Y526&gt;Y625,-Y622*Y625/Y526*Y624/Y621,-Y622),0)</f>
        <v/>
      </c>
      <c r="Z626" s="1698">
        <f>IFERROR(IF(Z526&gt;Z625,-Z622*Z625/Z526*Z624/Z621,-Z622),0)</f>
        <v/>
      </c>
      <c r="AA626" s="1693">
        <f>IFERROR(IF(AA526&gt;AA625,-AA622*AA625/AA526*AA624/AA621,-AA622),0)</f>
        <v/>
      </c>
      <c r="AB626" s="1693">
        <f>IFERROR(IF(AB526&gt;AB625,-AB622*AB625/AB526*AB624/AB621,-AB622),0)</f>
        <v/>
      </c>
      <c r="AC626" s="1693">
        <f>IFERROR(IF(AC526&gt;AC625,-AC622*AC625/AC526*AC624/AC621,-AC622),0)</f>
        <v/>
      </c>
      <c r="AD626" s="1693">
        <f>IFERROR(IF(AD526&gt;AD625,-AD622*AD625/AD526*AD624/AD621,-AD622),0)</f>
        <v/>
      </c>
      <c r="AE626" s="1698">
        <f>IFERROR(IF(AE526&gt;AE625,-AE622*AE625/AE526*AE624/AE621,-AE622),0)</f>
        <v/>
      </c>
      <c r="AF626" s="1693">
        <f>IFERROR(IF(AF526&gt;AF625,-AF622*AF625/AF526*AF624/AF621,-AF622),0)</f>
        <v/>
      </c>
      <c r="AG626" s="1693">
        <f>IFERROR(IF(AG526&gt;AG625,-AG622*AG625/AG526*AG624/AG621,-AG622),0)</f>
        <v/>
      </c>
      <c r="AH626" s="1693">
        <f>IFERROR(IF(AH526&gt;AH625,-AH622*AH625/AH526*AH624/AH621,-AH622),0)</f>
        <v/>
      </c>
      <c r="AI626" s="1693">
        <f>IFERROR(IF(AI526&gt;AI625,-AI622*AI625/AI526*AI624/AI621,-AI622),0)</f>
        <v/>
      </c>
      <c r="AJ626" s="1698">
        <f>IFERROR(IF(AJ526&gt;AJ625,-AJ622*AJ625/AJ526*AJ624/AJ621,-AJ622),0)</f>
        <v/>
      </c>
      <c r="AK626" s="1693">
        <f>IFERROR(IF(AK526&gt;AK625,-AK622*AK625/AK526*AK624/AK621,-AK622),0)</f>
        <v/>
      </c>
      <c r="AL626" s="1693">
        <f>IFERROR(IF(AL526&gt;AL625,-AL622*AL625/AL526*AL624/AL621,-AL622),0)</f>
        <v/>
      </c>
      <c r="AM626" s="1693">
        <f>IFERROR(IF(AM526&gt;AM625,-AM622*AM625/AM526*AM624/AM621,-AM622),0)</f>
        <v/>
      </c>
      <c r="AN626" s="1693">
        <f>IFERROR(IF(AN526&gt;AN625,-AN622*AN625/AN526*AN624/AN621,-AN622),0)</f>
        <v/>
      </c>
      <c r="AO626" s="1698">
        <f>IFERROR(IF(AO526&gt;AO625,-AO622*AO625/AO526*AO624/AO621,-AO622),0)</f>
        <v/>
      </c>
      <c r="AP626" s="1693">
        <f>IFERROR(IF(AP526&gt;AP625,-AP622*AP625/AP526*AP624/AP621,-AP622),0)</f>
        <v/>
      </c>
      <c r="AQ626" s="1693">
        <f>IFERROR(IF(AQ526&gt;AQ625,-AQ622*AQ625/AQ526*AQ624/AQ621,-AQ622),0)</f>
        <v/>
      </c>
      <c r="AR626" s="1693">
        <f>IFERROR(IF(AR526&gt;AR625,-AR622*AR625/AR526*AR624/AR621,-AR622),0)</f>
        <v/>
      </c>
      <c r="AS626" s="1693">
        <f>IFERROR(IF(AS526&gt;AS625,-AS622*AS625/AS526*AS624/AS621,-AS622),0)</f>
        <v/>
      </c>
      <c r="AT626" s="1698">
        <f>IFERROR(IF(AT526&gt;AT625,-AT622*AT625/AT526*AT624/AT621,-AT622),0)</f>
        <v/>
      </c>
      <c r="AU626" s="1693">
        <f>IFERROR(IF(AU526&gt;AU625,-AU622*AU625/AU526*AU624/AU621,-AU622),0)</f>
        <v/>
      </c>
      <c r="AV626" s="1693">
        <f>IFERROR(IF(AV526&gt;AV625,-AV622*AV625/AV526*AV624/AV621,-AV622),0)</f>
        <v/>
      </c>
      <c r="AW626" s="1693">
        <f>IFERROR(IF(AW526&gt;AW625,-AW622*AW625/AW526*AW624/AW621,-AW622),0)</f>
        <v/>
      </c>
      <c r="AX626" s="1693">
        <f>IFERROR(IF(AX526&gt;AX625,-AX622*AX625/AX526*AX624/AX621,-AX622),0)</f>
        <v/>
      </c>
      <c r="AY626" s="1698">
        <f>IFERROR(IF(AY526&gt;AY625,-AY622*AY625/AY526*AY624/AY621,-AY622),0)</f>
        <v/>
      </c>
      <c r="AZ626" s="1693">
        <f>IFERROR(IF(AZ526&gt;AZ625,-AZ622*AZ625/AZ526*AZ624/AZ621,-AZ622),0)</f>
        <v/>
      </c>
      <c r="BA626" s="1693">
        <f>IFERROR(IF(BA526&gt;BA625,-BA622*BA625/BA526*BA624/BA621,-BA622),0)</f>
        <v/>
      </c>
      <c r="BB626" s="1693">
        <f>IFERROR(IF(BB526&gt;BB625,-BB622*BB625/BB526*BB624/BB621,-BB622),0)</f>
        <v/>
      </c>
      <c r="BC626" s="1693">
        <f>IFERROR(IF(BC526&gt;BC625,-BC622*BC625/BC526*BC624/BC621,-BC622),0)</f>
        <v/>
      </c>
      <c r="BD626" s="1698">
        <f>IFERROR(IF(BD526&gt;BD625,-BD622*BD625/BD526*BD624/BD621,-BD622),0)</f>
        <v/>
      </c>
      <c r="BE626" s="1693">
        <f>IFERROR(IF(BE526&gt;BE625,-BE622*BE625/BE526*BE624/BE621,-BE622),0)</f>
        <v/>
      </c>
      <c r="BF626" s="1693">
        <f>IFERROR(IF(BF526&gt;BF625,-BF622*BF625/BF526*BF624/BF621,-BF622),0)</f>
        <v/>
      </c>
      <c r="BG626" s="1693">
        <f>IFERROR(IF(BG526&gt;BG625,-BG622*BG625/BG526*BG624/BG621,-BG622),0)</f>
        <v/>
      </c>
      <c r="BH626" s="1693">
        <f>IFERROR(IF(BH526&gt;BH625,-BH622*BH625/BH526*BH624/BH621,-BH622),0)</f>
        <v/>
      </c>
      <c r="BI626" s="1698">
        <f>IFERROR(IF(BI526&gt;BI625,-BI622*BI625/BI526*BI624/BI621,-BI622),0)</f>
        <v/>
      </c>
      <c r="BJ626" s="1693">
        <f>IFERROR(IF(BJ526&gt;BJ625,-BJ622*BJ625/BJ526*BJ624/BJ621,-BJ622),0)</f>
        <v/>
      </c>
      <c r="BK626" s="1693">
        <f>IFERROR(IF(BK526&gt;BK625,-BK622*BK625/BK526*BK624/BK621,-BK622),0)</f>
        <v/>
      </c>
      <c r="BL626" s="1693">
        <f>IFERROR(IF(BL526&gt;BL625,-BL622*BL625/BL526*BL624/BL621,-BL622),0)</f>
        <v/>
      </c>
      <c r="BM626" s="1693">
        <f>IFERROR(IF(BM526&gt;BM625,-BM622*BM625/BM526*BM624/BM621,-BM622),0)</f>
        <v/>
      </c>
      <c r="BN626" s="1698">
        <f>IFERROR(IF(BN526&gt;BN625,-BN622*BN625/BN526*BN624/BN621,-BN622),0)</f>
        <v/>
      </c>
      <c r="BO626" s="1693">
        <f>IFERROR(IF(BO526&gt;BO625,-BO622*BO625/BO526*BO624/BO621,-BO622),0)</f>
        <v/>
      </c>
      <c r="BP626" s="1693">
        <f>IFERROR(IF(BP526&gt;BP625,-BP622*BP625/BP526*BP624/BP621,-BP622),0)</f>
        <v/>
      </c>
      <c r="BQ626" s="1733">
        <f>IFERROR(IF(BQ526&gt;BQ625,-BQ622*BQ625/BQ526*BQ624/BQ621,-BQ622),0)</f>
        <v/>
      </c>
      <c r="BR626" s="1693">
        <f>IFERROR(IF(BR526&gt;BR625,-BR622*BR625/BR526*BR624/BR621,-BR622),0)</f>
        <v/>
      </c>
      <c r="BS626" s="1698">
        <f>IFERROR(IF(BS526&gt;BS625,-BS622*BS625/BS526*BS624/BS621,-BS622),0)</f>
        <v/>
      </c>
      <c r="BT626" s="1693">
        <f>IFERROR(IF(BT526&gt;BT625,-BT622*BT625/BT526*BT624/BT621,-BT622),0)</f>
        <v/>
      </c>
      <c r="BU626" s="1693">
        <f>IFERROR(IF(BU526&gt;BU625,-BU622*BU625/BU526*BU624/BU621,-BU622),0)</f>
        <v/>
      </c>
      <c r="BV626" s="1693">
        <f>IFERROR(IF(BV526&gt;BV625,-BV622*BV625/BV526*BV624/BV621,-BV622),0)</f>
        <v/>
      </c>
      <c r="BW626" s="1693">
        <f>IFERROR(IF(BW526&gt;BW625,-BW622*BW625/BW526*BW624/BW621,-BW622),0)</f>
        <v/>
      </c>
      <c r="BX626" s="1698">
        <f>IFERROR(IF(BX526&gt;BX625,-BX622*BX625/BX526*BX624/BX621,-BX622),0)</f>
        <v/>
      </c>
      <c r="BY626" s="1698">
        <f>IFERROR(IF(BY526&gt;BY625,-BY622*BY625/BY526*BY624/BY621,-BY622),0)</f>
        <v/>
      </c>
      <c r="BZ626" s="1698">
        <f>IFERROR(IF(BZ526&gt;BZ625,-BZ622*BZ625/BZ526*BZ624/BZ621,-BZ622),0)</f>
        <v/>
      </c>
      <c r="CA626" s="1698">
        <f>IFERROR(IF(CA526&gt;CA625,-CA622*CA625/CA526*CA624/CA621,-CA622),0)</f>
        <v/>
      </c>
      <c r="CB626" s="1361" t="n"/>
    </row>
    <row r="627" hidden="1" outlineLevel="2" ht="14.4" customFormat="1" customHeight="1" s="1597">
      <c r="A627" s="1474" t="inlineStr">
        <is>
          <t>Cash Paid for Exercising Call Options, mm</t>
        </is>
      </c>
      <c r="B627" s="1512" t="n"/>
      <c r="C627" s="1379">
        <f>IF(C626&lt;0,C624*C620,0)</f>
        <v/>
      </c>
      <c r="D627" s="1379">
        <f>IF(D626&lt;0,D624*D620,0)</f>
        <v/>
      </c>
      <c r="E627" s="1379">
        <f>IF(E626&lt;0,E624*E620,0)</f>
        <v/>
      </c>
      <c r="F627" s="1379">
        <f>IF(F626&lt;0,F624*F620,0)</f>
        <v/>
      </c>
      <c r="G627" s="1361">
        <f>IF(G626&lt;0,G624*G620,0)</f>
        <v/>
      </c>
      <c r="H627" s="1361">
        <f>IF(H626&lt;0,H624*H620,0)</f>
        <v/>
      </c>
      <c r="I627" s="1361">
        <f>IF(I626&lt;0,I624*I620,0)</f>
        <v/>
      </c>
      <c r="J627" s="1361">
        <f>IF(J626&lt;0,J624*J620,0)</f>
        <v/>
      </c>
      <c r="K627" s="1379">
        <f>IF(K626&lt;0,K624*K620,0)</f>
        <v/>
      </c>
      <c r="L627" s="1361">
        <f>IF(L626&lt;0,L624*L620,0)</f>
        <v/>
      </c>
      <c r="M627" s="1361">
        <f>IF(M626&lt;0,M624*M620,0)</f>
        <v/>
      </c>
      <c r="N627" s="1361">
        <f>IF(N626&lt;0,N624*N620,0)</f>
        <v/>
      </c>
      <c r="O627" s="1361">
        <f>IF(O626&lt;0,O624*O620,0)</f>
        <v/>
      </c>
      <c r="P627" s="1379">
        <f>IF(P626&lt;0,P624*P620,0)</f>
        <v/>
      </c>
      <c r="Q627" s="1361">
        <f>IF(Q626&lt;0,Q624*Q620,0)</f>
        <v/>
      </c>
      <c r="R627" s="1361">
        <f>IF(R626&lt;0,R624*R620,0)</f>
        <v/>
      </c>
      <c r="S627" s="1361">
        <f>IF(S626&lt;0,S624*S620,0)</f>
        <v/>
      </c>
      <c r="T627" s="1361">
        <f>IF(T626&lt;0,T624*T620,0)</f>
        <v/>
      </c>
      <c r="U627" s="1379">
        <f>IF(U626&lt;0,U624*U620,0)</f>
        <v/>
      </c>
      <c r="V627" s="1361">
        <f>IF(V626&lt;0,V624*V620,0)</f>
        <v/>
      </c>
      <c r="W627" s="1361">
        <f>IF(W626&lt;0,W624*W620,0)</f>
        <v/>
      </c>
      <c r="X627" s="1361">
        <f>IF(X626&lt;0,X624*X620,0)</f>
        <v/>
      </c>
      <c r="Y627" s="1361">
        <f>IF(Y626&lt;0,Y624*Y620,0)</f>
        <v/>
      </c>
      <c r="Z627" s="1379">
        <f>IF(Z626&lt;0,Z624*Z620,0)</f>
        <v/>
      </c>
      <c r="AA627" s="1361">
        <f>IF(AA626&lt;0,AA624*AA620,0)</f>
        <v/>
      </c>
      <c r="AB627" s="1361">
        <f>IF(AB626&lt;0,AB624*AB620,0)</f>
        <v/>
      </c>
      <c r="AC627" s="1361">
        <f>IF(AC626&lt;0,AC624*AC620,0)</f>
        <v/>
      </c>
      <c r="AD627" s="1361">
        <f>IF(AD626&lt;0,AD624*AD620,0)</f>
        <v/>
      </c>
      <c r="AE627" s="1379">
        <f>IF(AE626&lt;0,AE624*AE620,0)</f>
        <v/>
      </c>
      <c r="AF627" s="1361">
        <f>IF(AF626&lt;0,AF624*AF620,0)</f>
        <v/>
      </c>
      <c r="AG627" s="1361">
        <f>IF(AG626&lt;0,AG624*AG620,0)</f>
        <v/>
      </c>
      <c r="AH627" s="1361">
        <f>IF(AH626&lt;0,AH624*AH620,0)</f>
        <v/>
      </c>
      <c r="AI627" s="1361">
        <f>IF(AI626&lt;0,AI624*AI620,0)</f>
        <v/>
      </c>
      <c r="AJ627" s="1379">
        <f>IF(AJ626&lt;0,AJ624*AJ620,0)</f>
        <v/>
      </c>
      <c r="AK627" s="1361">
        <f>IF(AK626&lt;0,AK624*AK620,0)</f>
        <v/>
      </c>
      <c r="AL627" s="1361">
        <f>IF(AL626&lt;0,AL624*AL620,0)</f>
        <v/>
      </c>
      <c r="AM627" s="1361">
        <f>IF(AM626&lt;0,AM624*AM620,0)</f>
        <v/>
      </c>
      <c r="AN627" s="1361">
        <f>IF(AN626&lt;0,AN624*AN620,0)</f>
        <v/>
      </c>
      <c r="AO627" s="1379">
        <f>IF(AO626&lt;0,AO624*AO620,0)</f>
        <v/>
      </c>
      <c r="AP627" s="1361">
        <f>IF(AP626&lt;0,AP624*AP620,0)</f>
        <v/>
      </c>
      <c r="AQ627" s="1361">
        <f>IF(AQ626&lt;0,AQ624*AQ620,0)</f>
        <v/>
      </c>
      <c r="AR627" s="1361">
        <f>IF(AR626&lt;0,AR624*AR620,0)</f>
        <v/>
      </c>
      <c r="AS627" s="1361">
        <f>IF(AS626&lt;0,AS624*AS620,0)</f>
        <v/>
      </c>
      <c r="AT627" s="1379">
        <f>IF(AT626&lt;0,AT624*AT620,0)</f>
        <v/>
      </c>
      <c r="AU627" s="1361">
        <f>IF(AU626&lt;0,AU624*AU620,0)</f>
        <v/>
      </c>
      <c r="AV627" s="1361">
        <f>IF(AV626&lt;0,AV624*AV620,0)</f>
        <v/>
      </c>
      <c r="AW627" s="1361">
        <f>IF(AW626&lt;0,AW624*AW620,0)</f>
        <v/>
      </c>
      <c r="AX627" s="1361">
        <f>IF(AX626&lt;0,AX624*AX620,0)</f>
        <v/>
      </c>
      <c r="AY627" s="1379">
        <f>IF(AY626&lt;0,AY624*AY620,0)</f>
        <v/>
      </c>
      <c r="AZ627" s="1361">
        <f>IF(AZ626&lt;0,AZ624*AZ620,0)</f>
        <v/>
      </c>
      <c r="BA627" s="1361">
        <f>IF(BA626&lt;0,BA624*BA620,0)</f>
        <v/>
      </c>
      <c r="BB627" s="1361">
        <f>IF(BB626&lt;0,BB624*BB620,0)</f>
        <v/>
      </c>
      <c r="BC627" s="1361">
        <f>IF(BC626&lt;0,BC624*BC620,0)</f>
        <v/>
      </c>
      <c r="BD627" s="1379">
        <f>IF(BD626&lt;0,BD624*BD620,0)</f>
        <v/>
      </c>
      <c r="BE627" s="1361">
        <f>IF(BE626&lt;0,BE624*BE620,0)</f>
        <v/>
      </c>
      <c r="BF627" s="1361">
        <f>IF(BF626&lt;0,BF624*BF620,0)</f>
        <v/>
      </c>
      <c r="BG627" s="1361">
        <f>IF(BG626&lt;0,BG624*BG620,0)</f>
        <v/>
      </c>
      <c r="BH627" s="1361">
        <f>IF(BH626&lt;0,BH624*BH620,0)</f>
        <v/>
      </c>
      <c r="BI627" s="1379">
        <f>IF(BI626&lt;0,BI624*BI620,0)</f>
        <v/>
      </c>
      <c r="BJ627" s="1361">
        <f>IF(BJ626&lt;0,BJ624*BJ620,0)</f>
        <v/>
      </c>
      <c r="BK627" s="1361">
        <f>IF(BK626&lt;0,BK624*BK620,0)</f>
        <v/>
      </c>
      <c r="BL627" s="1361">
        <f>IF(BL626&lt;0,BL624*BL620,0)</f>
        <v/>
      </c>
      <c r="BM627" s="1361">
        <f>IF(BM626&lt;0,BM624*BM620,0)</f>
        <v/>
      </c>
      <c r="BN627" s="1379">
        <f>IF(BN626&lt;0,BN624*BN620,0)</f>
        <v/>
      </c>
      <c r="BO627" s="1361">
        <f>IF(BO626&lt;0,BO624*BO620,0)</f>
        <v/>
      </c>
      <c r="BP627" s="1361">
        <f>IF(BP626&lt;0,BP624*BP620,0)</f>
        <v/>
      </c>
      <c r="BQ627" s="1363">
        <f>IF(BQ626&lt;0,BQ624*BQ620,0)</f>
        <v/>
      </c>
      <c r="BR627" s="1361">
        <f>IF(BR626&lt;0,BR624*BR620,0)</f>
        <v/>
      </c>
      <c r="BS627" s="1379">
        <f>IF(BS626&lt;0,BS624*BS620,0)</f>
        <v/>
      </c>
      <c r="BT627" s="1361">
        <f>IF(BT626&lt;0,BT624*BT620,0)</f>
        <v/>
      </c>
      <c r="BU627" s="1361">
        <f>IF(BU626&lt;0,BU624*BU620,0)</f>
        <v/>
      </c>
      <c r="BV627" s="1361">
        <f>IF(BV626&lt;0,BV624*BV620,0)</f>
        <v/>
      </c>
      <c r="BW627" s="1361">
        <f>IF(BW626&lt;0,BW624*BW620,0)</f>
        <v/>
      </c>
      <c r="BX627" s="1379">
        <f>IF(BX626&lt;0,BX624*BX620,0)</f>
        <v/>
      </c>
      <c r="BY627" s="1379">
        <f>IF(BY626&lt;0,BY624*BY620,0)</f>
        <v/>
      </c>
      <c r="BZ627" s="1379">
        <f>IF(BZ626&lt;0,BZ624*BZ620,0)</f>
        <v/>
      </c>
      <c r="CA627" s="1379">
        <f>IF(CA626&lt;0,CA624*CA620,0)</f>
        <v/>
      </c>
      <c r="CB627" s="1361" t="n"/>
    </row>
    <row r="628" hidden="1" outlineLevel="2" ht="14.4" customFormat="1" customHeight="1" s="1597">
      <c r="A628" s="1361" t="n"/>
      <c r="B628" s="1512" t="n"/>
      <c r="C628" s="1379" t="n"/>
      <c r="D628" s="1379" t="n"/>
      <c r="E628" s="1379" t="n"/>
      <c r="F628" s="1379" t="n"/>
      <c r="G628" s="1361" t="n"/>
      <c r="H628" s="1361" t="n"/>
      <c r="I628" s="1361" t="n"/>
      <c r="J628" s="1361" t="n"/>
      <c r="K628" s="1379" t="n"/>
      <c r="L628" s="1361" t="n"/>
      <c r="M628" s="1361" t="n"/>
      <c r="N628" s="1361" t="n"/>
      <c r="O628" s="1361" t="n"/>
      <c r="P628" s="1379" t="n"/>
      <c r="Q628" s="1361" t="n"/>
      <c r="R628" s="1361" t="n"/>
      <c r="S628" s="1361" t="n"/>
      <c r="T628" s="1361" t="n"/>
      <c r="U628" s="1379" t="n"/>
      <c r="V628" s="1361" t="n"/>
      <c r="W628" s="1361" t="n"/>
      <c r="X628" s="1361" t="n"/>
      <c r="Y628" s="1361" t="n"/>
      <c r="Z628" s="1379" t="n"/>
      <c r="AA628" s="1361" t="n"/>
      <c r="AB628" s="1361" t="n"/>
      <c r="AC628" s="1361" t="n"/>
      <c r="AD628" s="1361" t="n"/>
      <c r="AE628" s="1379" t="n"/>
      <c r="AF628" s="1361" t="n"/>
      <c r="AG628" s="1361" t="n"/>
      <c r="AH628" s="1361" t="n"/>
      <c r="AI628" s="1361" t="n"/>
      <c r="AJ628" s="1379" t="n"/>
      <c r="AK628" s="1361" t="n"/>
      <c r="AL628" s="1361" t="n"/>
      <c r="AM628" s="1361" t="n"/>
      <c r="AN628" s="1361" t="n"/>
      <c r="AO628" s="1379" t="n"/>
      <c r="AP628" s="1361" t="n"/>
      <c r="AQ628" s="1361" t="n"/>
      <c r="AR628" s="1361" t="n"/>
      <c r="AS628" s="1361" t="n"/>
      <c r="AT628" s="1379" t="n"/>
      <c r="AU628" s="1361" t="n"/>
      <c r="AV628" s="1361" t="n"/>
      <c r="AW628" s="1361" t="n"/>
      <c r="AX628" s="1361" t="n"/>
      <c r="AY628" s="1379" t="n"/>
      <c r="AZ628" s="1361" t="n"/>
      <c r="BA628" s="1361" t="n"/>
      <c r="BB628" s="1361" t="n"/>
      <c r="BC628" s="1361" t="n"/>
      <c r="BD628" s="1379" t="n"/>
      <c r="BE628" s="1361" t="n"/>
      <c r="BF628" s="1361" t="n"/>
      <c r="BG628" s="1361" t="n"/>
      <c r="BH628" s="1361" t="n"/>
      <c r="BI628" s="1379" t="n"/>
      <c r="BJ628" s="1361" t="n"/>
      <c r="BK628" s="1361" t="n"/>
      <c r="BL628" s="1361" t="n"/>
      <c r="BM628" s="1361" t="n"/>
      <c r="BN628" s="1379" t="n"/>
      <c r="BO628" s="1361" t="n"/>
      <c r="BP628" s="1361" t="n"/>
      <c r="BQ628" s="1363" t="n"/>
      <c r="BR628" s="1361" t="n"/>
      <c r="BS628" s="1379" t="n"/>
      <c r="BT628" s="1361" t="n"/>
      <c r="BU628" s="1361" t="n"/>
      <c r="BV628" s="1361" t="n"/>
      <c r="BW628" s="1361" t="n"/>
      <c r="BX628" s="1379" t="n"/>
      <c r="BY628" s="1379" t="n"/>
      <c r="BZ628" s="1379" t="n"/>
      <c r="CA628" s="1379" t="n"/>
      <c r="CB628" s="1361" t="n"/>
    </row>
    <row r="629" hidden="1" outlineLevel="2" ht="14.4" customFormat="1" customHeight="1" s="1597">
      <c r="A629" s="1361" t="inlineStr">
        <is>
          <t>2011 Notes Net Share Increase from Note Conversion and Capped Call Exercise, mm shares</t>
        </is>
      </c>
      <c r="B629" s="1512" t="n"/>
      <c r="C629" s="1379" t="n"/>
      <c r="D629" s="1379" t="n"/>
      <c r="E629" s="1379" t="n"/>
      <c r="F629" s="1379" t="n"/>
      <c r="G629" s="1361" t="n"/>
      <c r="H629" s="1361" t="n"/>
      <c r="I629" s="1361" t="n"/>
      <c r="J629" s="1361" t="n"/>
      <c r="K629" s="1379" t="n"/>
      <c r="L629" s="1361" t="n"/>
      <c r="M629" s="1361" t="n"/>
      <c r="N629" s="1361" t="n"/>
      <c r="O629" s="1361" t="n"/>
      <c r="P629" s="1379" t="n"/>
      <c r="Q629" s="1361" t="n"/>
      <c r="R629" s="1361" t="n"/>
      <c r="S629" s="1361" t="n"/>
      <c r="T629" s="1361" t="n"/>
      <c r="U629" s="1379" t="n"/>
      <c r="V629" s="1361" t="n"/>
      <c r="W629" s="1361" t="n"/>
      <c r="X629" s="1361" t="n"/>
      <c r="Y629" s="1361" t="n"/>
      <c r="Z629" s="1379" t="n"/>
      <c r="AA629" s="1361" t="n"/>
      <c r="AB629" s="1361" t="n"/>
      <c r="AC629" s="1361" t="n"/>
      <c r="AD629" s="1361" t="n"/>
      <c r="AE629" s="1379" t="n"/>
      <c r="AF629" s="1361" t="n"/>
      <c r="AG629" s="1361" t="n"/>
      <c r="AH629" s="1361" t="n"/>
      <c r="AI629" s="1361" t="n"/>
      <c r="AJ629" s="1379" t="n"/>
      <c r="AK629" s="1361" t="n"/>
      <c r="AL629" s="1361" t="n"/>
      <c r="AM629" s="1361" t="n"/>
      <c r="AN629" s="1361" t="n"/>
      <c r="AO629" s="1379" t="n"/>
      <c r="AP629" s="1361" t="n"/>
      <c r="AQ629" s="1361" t="n"/>
      <c r="AR629" s="1361" t="n"/>
      <c r="AS629" s="1361" t="n"/>
      <c r="AT629" s="1379" t="n"/>
      <c r="AU629" s="1361" t="n"/>
      <c r="AV629" s="1361" t="n"/>
      <c r="AW629" s="1361" t="n"/>
      <c r="AX629" s="1361" t="n"/>
      <c r="AY629" s="1379" t="n"/>
      <c r="AZ629" s="1361" t="n"/>
      <c r="BA629" s="1361" t="n"/>
      <c r="BB629" s="1361" t="n"/>
      <c r="BC629" s="1361" t="n"/>
      <c r="BD629" s="1379" t="n"/>
      <c r="BE629" s="1361" t="n"/>
      <c r="BF629" s="1361" t="n"/>
      <c r="BG629" s="1361" t="n"/>
      <c r="BH629" s="1361" t="n"/>
      <c r="BI629" s="1379" t="n"/>
      <c r="BJ629" s="1361" t="n"/>
      <c r="BK629" s="1361" t="n"/>
      <c r="BL629" s="1361" t="n"/>
      <c r="BM629" s="1361" t="n"/>
      <c r="BN629" s="1379" t="n"/>
      <c r="BO629" s="1361" t="n"/>
      <c r="BP629" s="1361" t="n"/>
      <c r="BQ629" s="1363" t="n"/>
      <c r="BR629" s="1361">
        <f>IFERROR(IF(AND(BR616=0,BR526&gt;BQ620,BR526&gt;BQ625),BQ621-BQ621*BQ625/BR526*BQ624/BQ621,0),0)</f>
        <v/>
      </c>
      <c r="BS629" s="1379">
        <f>SUM(BO629,BP629,BQ629,BR629)</f>
        <v/>
      </c>
      <c r="BT629" s="1361">
        <f>IFERROR(IF(AND(BT616=0,BT526&gt;BS620,BT526&gt;BS625),BS621-BS621*BS625/BT526*BS624/BS621,0),0)</f>
        <v/>
      </c>
      <c r="BU629" s="1361">
        <f>IFERROR(IF(AND(BU616=0,BU526&gt;BT620,BU526&gt;BT625),BT621-BT621*BT625/BU526*BT624/BT621,0),0)</f>
        <v/>
      </c>
      <c r="BV629" s="1361">
        <f>IFERROR(IF(AND(BV616=0,BV526&gt;BU620,BV526&gt;BU625),BU621-BU621*BU625/BV526*BU624/BU621,0),0)</f>
        <v/>
      </c>
      <c r="BW629" s="1361">
        <f>IFERROR(IF(AND(BW616=0,BW526&gt;BV620,BW526&gt;BV625),BV621-BV621*BV625/BW526*BV624/BV621,0),0)</f>
        <v/>
      </c>
      <c r="BX629" s="1379">
        <f>SUM(BT629,BU629,BV629,BW629)</f>
        <v/>
      </c>
      <c r="BY629" s="1379">
        <f>IFERROR(IF(AND(BY616=0,BY526&gt;BX620,BY526&gt;BX625),BX621-BX621*BX625/BY526*BX624/BX621,0),0)</f>
        <v/>
      </c>
      <c r="BZ629" s="1379">
        <f>IFERROR(IF(AND(BZ616=0,BZ526&gt;BY620,BZ526&gt;BY625),BY621-BY621*BY625/BZ526*BY624/BY621,0),0)</f>
        <v/>
      </c>
      <c r="CA629" s="1379">
        <f>IFERROR(IF(AND(CA616=0,CA526&gt;BZ620,CA526&gt;BZ625),BZ621-BZ621*BZ625/CA526*BZ624/BZ621,0),0)</f>
        <v/>
      </c>
      <c r="CB629" s="1361" t="n"/>
    </row>
    <row r="630" hidden="1" outlineLevel="2" ht="14.4" customFormat="1" customHeight="1" s="1597">
      <c r="A630" s="1361" t="inlineStr">
        <is>
          <t>2011 Notes Cash Payment on Capped Call Exercise</t>
        </is>
      </c>
      <c r="B630" s="1512" t="n"/>
      <c r="C630" s="1379" t="n"/>
      <c r="D630" s="1379" t="n"/>
      <c r="E630" s="1379" t="n"/>
      <c r="F630" s="1379" t="n"/>
      <c r="G630" s="1361" t="n"/>
      <c r="H630" s="1361" t="n"/>
      <c r="I630" s="1361" t="n"/>
      <c r="J630" s="1361" t="n"/>
      <c r="K630" s="1379" t="n"/>
      <c r="L630" s="1361" t="n"/>
      <c r="M630" s="1361" t="n"/>
      <c r="N630" s="1361" t="n"/>
      <c r="O630" s="1361" t="n"/>
      <c r="P630" s="1379" t="n"/>
      <c r="Q630" s="1361" t="n"/>
      <c r="R630" s="1361" t="n"/>
      <c r="S630" s="1361" t="n"/>
      <c r="T630" s="1361" t="n"/>
      <c r="U630" s="1379" t="n"/>
      <c r="V630" s="1361" t="n"/>
      <c r="W630" s="1361" t="n"/>
      <c r="X630" s="1361" t="n"/>
      <c r="Y630" s="1361" t="n"/>
      <c r="Z630" s="1379" t="n"/>
      <c r="AA630" s="1361" t="n"/>
      <c r="AB630" s="1361" t="n"/>
      <c r="AC630" s="1361" t="n"/>
      <c r="AD630" s="1361" t="n"/>
      <c r="AE630" s="1379" t="n"/>
      <c r="AF630" s="1361" t="n"/>
      <c r="AG630" s="1361" t="n"/>
      <c r="AH630" s="1361" t="n"/>
      <c r="AI630" s="1361" t="n"/>
      <c r="AJ630" s="1379" t="n"/>
      <c r="AK630" s="1361" t="n"/>
      <c r="AL630" s="1361" t="n"/>
      <c r="AM630" s="1361" t="n"/>
      <c r="AN630" s="1361" t="n"/>
      <c r="AO630" s="1379" t="n"/>
      <c r="AP630" s="1361" t="n"/>
      <c r="AQ630" s="1361" t="n"/>
      <c r="AR630" s="1361" t="n"/>
      <c r="AS630" s="1361" t="n"/>
      <c r="AT630" s="1379" t="n"/>
      <c r="AU630" s="1361" t="n"/>
      <c r="AV630" s="1361" t="n"/>
      <c r="AW630" s="1361" t="n"/>
      <c r="AX630" s="1361" t="n"/>
      <c r="AY630" s="1379" t="n"/>
      <c r="AZ630" s="1361" t="n"/>
      <c r="BA630" s="1361" t="n"/>
      <c r="BB630" s="1361" t="n"/>
      <c r="BC630" s="1361" t="n"/>
      <c r="BD630" s="1379" t="n"/>
      <c r="BE630" s="1361" t="n"/>
      <c r="BF630" s="1361" t="n"/>
      <c r="BG630" s="1361" t="n"/>
      <c r="BH630" s="1361" t="n"/>
      <c r="BI630" s="1379" t="n"/>
      <c r="BJ630" s="1361" t="n"/>
      <c r="BK630" s="1361" t="n"/>
      <c r="BL630" s="1361" t="n"/>
      <c r="BM630" s="1361" t="n"/>
      <c r="BN630" s="1379" t="n"/>
      <c r="BO630" s="1361" t="n"/>
      <c r="BP630" s="1361" t="n"/>
      <c r="BQ630" s="1363" t="n"/>
      <c r="BR630" s="1361">
        <f>IF(AND(BR616=0,BR526&gt;BQ620),-BQ620*BQ624,0)</f>
        <v/>
      </c>
      <c r="BS630" s="1379">
        <f>SUM(BO630,BP630,BQ630,BR630)</f>
        <v/>
      </c>
      <c r="BT630" s="1361">
        <f>IF(AND(BT616=0,BT526&gt;BS620),-BS620*BS624,0)</f>
        <v/>
      </c>
      <c r="BU630" s="1361">
        <f>IF(AND(BU616=0,BU526&gt;BT620),-BT620*BT624,0)</f>
        <v/>
      </c>
      <c r="BV630" s="1361">
        <f>IF(AND(BV616=0,BV526&gt;BU620),-BU620*BU624,0)</f>
        <v/>
      </c>
      <c r="BW630" s="1361">
        <f>IF(AND(BW616=0,BW526&gt;BV620),-BV620*BV624,0)</f>
        <v/>
      </c>
      <c r="BX630" s="1379">
        <f>SUM(BT630,BU630,BV630,BW630)</f>
        <v/>
      </c>
      <c r="BY630" s="1379">
        <f>IF(AND(BY616=0,BY526&gt;BX620),-BX620*BX624,0)</f>
        <v/>
      </c>
      <c r="BZ630" s="1379">
        <f>IF(AND(BZ616=0,BZ526&gt;BY620),-BY620*BY624,0)</f>
        <v/>
      </c>
      <c r="CA630" s="1379">
        <f>IF(AND(CA616=0,CA526&gt;BZ620),-BZ620*BZ624,0)</f>
        <v/>
      </c>
      <c r="CB630" s="1361" t="n"/>
    </row>
    <row r="631" hidden="1" outlineLevel="2" ht="14.4" customFormat="1" customHeight="1" s="1597">
      <c r="A631" s="1361" t="inlineStr">
        <is>
          <t>2011 Notes Cash Payment on Note Principal Repayment</t>
        </is>
      </c>
      <c r="B631" s="1512" t="n"/>
      <c r="C631" s="1379" t="n"/>
      <c r="D631" s="1379" t="n"/>
      <c r="E631" s="1379" t="n"/>
      <c r="F631" s="1379" t="n"/>
      <c r="G631" s="1361" t="n"/>
      <c r="H631" s="1361" t="n"/>
      <c r="I631" s="1361" t="n"/>
      <c r="J631" s="1361" t="n"/>
      <c r="K631" s="1379" t="n"/>
      <c r="L631" s="1361" t="n"/>
      <c r="M631" s="1361" t="n"/>
      <c r="N631" s="1361" t="n"/>
      <c r="O631" s="1361" t="n"/>
      <c r="P631" s="1379" t="n"/>
      <c r="Q631" s="1361" t="n"/>
      <c r="R631" s="1361" t="n"/>
      <c r="S631" s="1361" t="n"/>
      <c r="T631" s="1361" t="n"/>
      <c r="U631" s="1379" t="n"/>
      <c r="V631" s="1361" t="n"/>
      <c r="W631" s="1361" t="n"/>
      <c r="X631" s="1361" t="n"/>
      <c r="Y631" s="1361" t="n"/>
      <c r="Z631" s="1379" t="n"/>
      <c r="AA631" s="1361" t="n"/>
      <c r="AB631" s="1361" t="n"/>
      <c r="AC631" s="1361" t="n"/>
      <c r="AD631" s="1361" t="n"/>
      <c r="AE631" s="1379" t="n"/>
      <c r="AF631" s="1361" t="n"/>
      <c r="AG631" s="1361" t="n"/>
      <c r="AH631" s="1361" t="n"/>
      <c r="AI631" s="1361" t="n"/>
      <c r="AJ631" s="1379" t="n"/>
      <c r="AK631" s="1361" t="n"/>
      <c r="AL631" s="1361" t="n"/>
      <c r="AM631" s="1361" t="n"/>
      <c r="AN631" s="1361" t="n"/>
      <c r="AO631" s="1379" t="n"/>
      <c r="AP631" s="1361" t="n"/>
      <c r="AQ631" s="1361" t="n"/>
      <c r="AR631" s="1361" t="n"/>
      <c r="AS631" s="1361" t="n"/>
      <c r="AT631" s="1379" t="n"/>
      <c r="AU631" s="1361" t="n"/>
      <c r="AV631" s="1361" t="n"/>
      <c r="AW631" s="1361" t="n"/>
      <c r="AX631" s="1361" t="n"/>
      <c r="AY631" s="1379" t="n"/>
      <c r="AZ631" s="1361" t="n"/>
      <c r="BA631" s="1361" t="n"/>
      <c r="BB631" s="1361" t="n"/>
      <c r="BC631" s="1361" t="n"/>
      <c r="BD631" s="1379" t="n"/>
      <c r="BE631" s="1361" t="n"/>
      <c r="BF631" s="1361" t="n"/>
      <c r="BG631" s="1361" t="n"/>
      <c r="BH631" s="1361" t="n"/>
      <c r="BI631" s="1379" t="n"/>
      <c r="BJ631" s="1361" t="n"/>
      <c r="BK631" s="1361" t="n"/>
      <c r="BL631" s="1361" t="n"/>
      <c r="BM631" s="1361" t="n"/>
      <c r="BN631" s="1379" t="n"/>
      <c r="BO631" s="1361" t="n"/>
      <c r="BP631" s="1361" t="n"/>
      <c r="BQ631" s="1363" t="n"/>
      <c r="BR631" s="1361">
        <f>IF(AND(BR616=0,BR526&lt;=BQ620),-BQ616,0)</f>
        <v/>
      </c>
      <c r="BS631" s="1379">
        <f>SUM(BO631,BP631,BQ631,BR631)</f>
        <v/>
      </c>
      <c r="BT631" s="1361">
        <f>IF(AND(BT616=0,BT526&lt;=BS620),-BS616,0)</f>
        <v/>
      </c>
      <c r="BU631" s="1361">
        <f>IF(AND(BU616=0,BU526&lt;=BT620),-BT616,0)</f>
        <v/>
      </c>
      <c r="BV631" s="1361">
        <f>IF(AND(BV616=0,BV526&lt;=BU620),-BU616,0)</f>
        <v/>
      </c>
      <c r="BW631" s="1361">
        <f>IF(AND(BW616=0,BW526&lt;=BV620),-BV616,0)</f>
        <v/>
      </c>
      <c r="BX631" s="1379">
        <f>SUM(BT631,BU631,BV631,BW631)</f>
        <v/>
      </c>
      <c r="BY631" s="1379">
        <f>IF(AND(BY616=0,BY526&lt;=BX620),-BX616,0)</f>
        <v/>
      </c>
      <c r="BZ631" s="1379">
        <f>IF(AND(BZ616=0,BZ526&lt;=BY620),-BY616,0)</f>
        <v/>
      </c>
      <c r="CA631" s="1379">
        <f>IF(AND(CA616=0,CA526&lt;=BZ620),-BZ616,0)</f>
        <v/>
      </c>
      <c r="CB631" s="1361" t="n"/>
    </row>
    <row r="632" hidden="1" outlineLevel="2" ht="14.4" customFormat="1" customHeight="1" s="1597">
      <c r="A632" s="1361" t="n"/>
      <c r="B632" s="1512" t="n"/>
      <c r="C632" s="1379" t="n"/>
      <c r="D632" s="1379" t="n"/>
      <c r="E632" s="1379" t="n"/>
      <c r="F632" s="1379" t="n"/>
      <c r="G632" s="1361" t="n"/>
      <c r="H632" s="1361" t="n"/>
      <c r="I632" s="1361" t="n"/>
      <c r="J632" s="1361" t="n"/>
      <c r="K632" s="1379" t="n"/>
      <c r="L632" s="1361" t="n"/>
      <c r="M632" s="1361" t="n"/>
      <c r="N632" s="1361" t="n"/>
      <c r="O632" s="1361" t="n"/>
      <c r="P632" s="1379" t="n"/>
      <c r="Q632" s="1361" t="n"/>
      <c r="R632" s="1361" t="n"/>
      <c r="S632" s="1361" t="n"/>
      <c r="T632" s="1361" t="n"/>
      <c r="U632" s="1379" t="n"/>
      <c r="V632" s="1361" t="n"/>
      <c r="W632" s="1361" t="n"/>
      <c r="X632" s="1361" t="n"/>
      <c r="Y632" s="1361" t="n"/>
      <c r="Z632" s="1379" t="n"/>
      <c r="AA632" s="1361" t="n"/>
      <c r="AB632" s="1361" t="n"/>
      <c r="AC632" s="1361" t="n"/>
      <c r="AD632" s="1361" t="n"/>
      <c r="AE632" s="1379" t="n"/>
      <c r="AF632" s="1361" t="n"/>
      <c r="AG632" s="1361" t="n"/>
      <c r="AH632" s="1361" t="n"/>
      <c r="AI632" s="1361" t="n"/>
      <c r="AJ632" s="1379" t="n"/>
      <c r="AK632" s="1361" t="n"/>
      <c r="AL632" s="1361" t="n"/>
      <c r="AM632" s="1361" t="n"/>
      <c r="AN632" s="1361" t="n"/>
      <c r="AO632" s="1379" t="n"/>
      <c r="AP632" s="1361" t="n"/>
      <c r="AQ632" s="1361" t="n"/>
      <c r="AR632" s="1361" t="n"/>
      <c r="AS632" s="1361" t="n"/>
      <c r="AT632" s="1379" t="n"/>
      <c r="AU632" s="1361" t="n"/>
      <c r="AV632" s="1361" t="n"/>
      <c r="AW632" s="1361" t="n"/>
      <c r="AX632" s="1361" t="n"/>
      <c r="AY632" s="1379" t="n"/>
      <c r="AZ632" s="1361" t="n"/>
      <c r="BA632" s="1361" t="n"/>
      <c r="BB632" s="1361" t="n"/>
      <c r="BC632" s="1361" t="n"/>
      <c r="BD632" s="1379" t="n"/>
      <c r="BE632" s="1361" t="n"/>
      <c r="BF632" s="1361" t="n"/>
      <c r="BG632" s="1361" t="n"/>
      <c r="BH632" s="1361" t="n"/>
      <c r="BI632" s="1379" t="n"/>
      <c r="BJ632" s="1361" t="n"/>
      <c r="BK632" s="1361" t="n"/>
      <c r="BL632" s="1361" t="n"/>
      <c r="BM632" s="1361" t="n"/>
      <c r="BN632" s="1379" t="n"/>
      <c r="BO632" s="1361" t="n"/>
      <c r="BP632" s="1361" t="n"/>
      <c r="BQ632" s="1363" t="n"/>
      <c r="BR632" s="1361" t="n"/>
      <c r="BS632" s="1379" t="n"/>
      <c r="BT632" s="1361" t="n"/>
      <c r="BU632" s="1361" t="n"/>
      <c r="BV632" s="1361" t="n"/>
      <c r="BW632" s="1361" t="n"/>
      <c r="BX632" s="1379" t="n"/>
      <c r="BY632" s="1379" t="n"/>
      <c r="BZ632" s="1379" t="n"/>
      <c r="CA632" s="1379" t="n"/>
      <c r="CB632" s="1361" t="n"/>
    </row>
    <row r="633" hidden="1" outlineLevel="3" ht="14.4" customFormat="1" customHeight="1" s="1597">
      <c r="A633" s="1508" t="inlineStr">
        <is>
          <t>2013 Notes Outstanding Principal EoP</t>
        </is>
      </c>
      <c r="B633" s="1077" t="n">
        <v>41621</v>
      </c>
      <c r="C633" s="1494" t="n">
        <v>250</v>
      </c>
      <c r="D633" s="1379">
        <f>294.461-D616</f>
        <v/>
      </c>
      <c r="E633" s="1494" t="n">
        <v>144.461</v>
      </c>
      <c r="F633" s="1494" t="n">
        <v>144.461</v>
      </c>
      <c r="G633" s="1493" t="n">
        <v>144.461</v>
      </c>
      <c r="H633" s="1493" t="n">
        <v>144.461</v>
      </c>
      <c r="I633" s="1493" t="n">
        <v>144.461</v>
      </c>
      <c r="J633" s="1361" t="n"/>
      <c r="K633" s="1379" t="n"/>
      <c r="L633" s="1361" t="n"/>
      <c r="M633" s="1361" t="n"/>
      <c r="N633" s="1361" t="n"/>
      <c r="O633" s="1361" t="n"/>
      <c r="P633" s="1379" t="n"/>
      <c r="Q633" s="1361" t="n"/>
      <c r="R633" s="1361" t="n"/>
      <c r="S633" s="1361" t="n"/>
      <c r="T633" s="1361" t="n"/>
      <c r="U633" s="1379" t="n"/>
      <c r="V633" s="1361" t="n"/>
      <c r="W633" s="1361" t="n"/>
      <c r="X633" s="1361" t="n"/>
      <c r="Y633" s="1361" t="n"/>
      <c r="Z633" s="1379" t="n"/>
      <c r="AA633" s="1361" t="n"/>
      <c r="AB633" s="1361" t="n"/>
      <c r="AC633" s="1361" t="n"/>
      <c r="AD633" s="1361" t="n"/>
      <c r="AE633" s="1379" t="n"/>
      <c r="AF633" s="1361" t="n"/>
      <c r="AG633" s="1361" t="n"/>
      <c r="AH633" s="1361" t="n"/>
      <c r="AI633" s="1361" t="n"/>
      <c r="AJ633" s="1379" t="n"/>
      <c r="AK633" s="1361" t="n"/>
      <c r="AL633" s="1361" t="n"/>
      <c r="AM633" s="1361" t="n"/>
      <c r="AN633" s="1361" t="n"/>
      <c r="AO633" s="1379" t="n"/>
      <c r="AP633" s="1361" t="n"/>
      <c r="AQ633" s="1361" t="n"/>
      <c r="AR633" s="1361" t="n"/>
      <c r="AS633" s="1361" t="n"/>
      <c r="AT633" s="1379" t="n"/>
      <c r="AU633" s="1361" t="n"/>
      <c r="AV633" s="1361" t="n"/>
      <c r="AW633" s="1361" t="n"/>
      <c r="AX633" s="1361" t="n"/>
      <c r="AY633" s="1379" t="n"/>
      <c r="AZ633" s="1361" t="n"/>
      <c r="BA633" s="1361" t="n"/>
      <c r="BB633" s="1361" t="n"/>
      <c r="BC633" s="1361" t="n"/>
      <c r="BD633" s="1379" t="n"/>
      <c r="BE633" s="1361" t="n"/>
      <c r="BF633" s="1361" t="n"/>
      <c r="BG633" s="1361" t="n"/>
      <c r="BH633" s="1361" t="n"/>
      <c r="BI633" s="1379" t="n"/>
      <c r="BJ633" s="1361" t="n"/>
      <c r="BK633" s="1361" t="n"/>
      <c r="BL633" s="1361" t="n"/>
      <c r="BM633" s="1361" t="n"/>
      <c r="BN633" s="1379" t="n"/>
      <c r="BO633" s="1361" t="n"/>
      <c r="BP633" s="1361" t="n"/>
      <c r="BQ633" s="1363" t="n"/>
      <c r="BR633" s="1361">
        <f>IF(B633&lt;=BR4,0,BQ633)</f>
        <v/>
      </c>
      <c r="BS633" s="1379">
        <f>BR633</f>
        <v/>
      </c>
      <c r="BT633" s="1361">
        <f>IF(B633&lt;=BT4,0,BS633)</f>
        <v/>
      </c>
      <c r="BU633" s="1361">
        <f>IF(B633&lt;=BU4,0,BT633)</f>
        <v/>
      </c>
      <c r="BV633" s="1361">
        <f>IF(B633&lt;=BV4,0,BU633)</f>
        <v/>
      </c>
      <c r="BW633" s="1361">
        <f>IF(B633&lt;=BW4,0,BV633)</f>
        <v/>
      </c>
      <c r="BX633" s="1379">
        <f>BW633</f>
        <v/>
      </c>
      <c r="BY633" s="1379">
        <f>IF(B633&lt;=BY4,0,BX633)</f>
        <v/>
      </c>
      <c r="BZ633" s="1379">
        <f>IF(B633&lt;=BZ4,0,BY633)</f>
        <v/>
      </c>
      <c r="CA633" s="1379">
        <f>IF(B633&lt;=CA4,0,BZ633)</f>
        <v/>
      </c>
      <c r="CB633" s="1361" t="n"/>
    </row>
    <row r="634" hidden="1" outlineLevel="3" ht="14.4" customFormat="1" customHeight="1" s="1597">
      <c r="A634" s="1512" t="inlineStr">
        <is>
          <t>2013 Notes Outstanding Unamortized Debt Discount</t>
        </is>
      </c>
      <c r="B634" s="1512" t="n"/>
      <c r="C634" s="1494">
        <f>-64.166/2</f>
        <v/>
      </c>
      <c r="D634" s="1379">
        <f>-25.373-D617</f>
        <v/>
      </c>
      <c r="E634" s="1494" t="n">
        <v>-12.719</v>
      </c>
      <c r="F634" s="1494" t="n">
        <v>-6.447</v>
      </c>
      <c r="G634" s="1493" t="n">
        <v>-4.797</v>
      </c>
      <c r="H634" s="1493" t="n">
        <v>-3.14</v>
      </c>
      <c r="I634" s="1493" t="n">
        <v>-1.449</v>
      </c>
      <c r="J634" s="1361" t="n"/>
      <c r="K634" s="1379" t="n"/>
      <c r="L634" s="1361" t="n"/>
      <c r="M634" s="1361" t="n"/>
      <c r="N634" s="1361" t="n"/>
      <c r="O634" s="1361" t="n"/>
      <c r="P634" s="1379" t="n"/>
      <c r="Q634" s="1361" t="n"/>
      <c r="R634" s="1361" t="n"/>
      <c r="S634" s="1361" t="n"/>
      <c r="T634" s="1361" t="n"/>
      <c r="U634" s="1379" t="n"/>
      <c r="V634" s="1361" t="n"/>
      <c r="W634" s="1361" t="n"/>
      <c r="X634" s="1361" t="n"/>
      <c r="Y634" s="1361" t="n"/>
      <c r="Z634" s="1379" t="n"/>
      <c r="AA634" s="1361" t="n"/>
      <c r="AB634" s="1361" t="n"/>
      <c r="AC634" s="1361" t="n"/>
      <c r="AD634" s="1361" t="n"/>
      <c r="AE634" s="1379" t="n"/>
      <c r="AF634" s="1361" t="n"/>
      <c r="AG634" s="1361" t="n"/>
      <c r="AH634" s="1361" t="n"/>
      <c r="AI634" s="1361" t="n"/>
      <c r="AJ634" s="1379" t="n"/>
      <c r="AK634" s="1361" t="n"/>
      <c r="AL634" s="1361" t="n"/>
      <c r="AM634" s="1361" t="n"/>
      <c r="AN634" s="1361" t="n"/>
      <c r="AO634" s="1379" t="n"/>
      <c r="AP634" s="1361" t="n"/>
      <c r="AQ634" s="1361" t="n"/>
      <c r="AR634" s="1361" t="n"/>
      <c r="AS634" s="1361" t="n"/>
      <c r="AT634" s="1379" t="n"/>
      <c r="AU634" s="1361" t="n"/>
      <c r="AV634" s="1361" t="n"/>
      <c r="AW634" s="1361" t="n"/>
      <c r="AX634" s="1361" t="n"/>
      <c r="AY634" s="1379" t="n"/>
      <c r="AZ634" s="1361" t="n"/>
      <c r="BA634" s="1361" t="n"/>
      <c r="BB634" s="1361" t="n"/>
      <c r="BC634" s="1361" t="n"/>
      <c r="BD634" s="1379" t="n"/>
      <c r="BE634" s="1361" t="n"/>
      <c r="BF634" s="1361" t="n"/>
      <c r="BG634" s="1361" t="n"/>
      <c r="BH634" s="1361" t="n"/>
      <c r="BI634" s="1379" t="n"/>
      <c r="BJ634" s="1361" t="n"/>
      <c r="BK634" s="1361" t="n"/>
      <c r="BL634" s="1361" t="n"/>
      <c r="BM634" s="1361" t="n"/>
      <c r="BN634" s="1379" t="n"/>
      <c r="BO634" s="1361" t="n"/>
      <c r="BP634" s="1361" t="n"/>
      <c r="BQ634" s="1363" t="n"/>
      <c r="BR634" s="1361" t="n"/>
      <c r="BS634" s="1379" t="n"/>
      <c r="BT634" s="1361" t="n"/>
      <c r="BU634" s="1361" t="n"/>
      <c r="BV634" s="1361" t="n"/>
      <c r="BW634" s="1361" t="n"/>
      <c r="BX634" s="1379" t="n"/>
      <c r="BY634" s="1379" t="n"/>
      <c r="BZ634" s="1379" t="n"/>
      <c r="CA634" s="1379" t="n"/>
      <c r="CB634" s="1361" t="n"/>
    </row>
    <row r="635" hidden="1" outlineLevel="3" ht="14.4" customFormat="1" customHeight="1" s="1597">
      <c r="A635" s="1613" t="inlineStr">
        <is>
          <t>2013 Notes Outstanding Unamortized Debt Issuance Costs</t>
        </is>
      </c>
      <c r="B635" s="1613" t="n"/>
      <c r="C635" s="1614" t="n"/>
      <c r="D635" s="1614" t="n"/>
      <c r="E635" s="1614" t="n"/>
      <c r="F635" s="1614" t="n"/>
      <c r="G635" s="1615" t="n"/>
      <c r="H635" s="1615" t="n"/>
      <c r="I635" s="1615" t="n"/>
      <c r="J635" s="1615" t="n"/>
      <c r="K635" s="1614" t="n"/>
      <c r="L635" s="1615" t="n"/>
      <c r="M635" s="1615" t="n"/>
      <c r="N635" s="1615" t="n"/>
      <c r="O635" s="1615" t="n"/>
      <c r="P635" s="1614" t="n"/>
      <c r="Q635" s="1615" t="n"/>
      <c r="R635" s="1615" t="n"/>
      <c r="S635" s="1615" t="n"/>
      <c r="T635" s="1615" t="n"/>
      <c r="U635" s="1614" t="n"/>
      <c r="V635" s="1615" t="n"/>
      <c r="W635" s="1615" t="n"/>
      <c r="X635" s="1615" t="n"/>
      <c r="Y635" s="1615" t="n"/>
      <c r="Z635" s="1614" t="n"/>
      <c r="AA635" s="1615" t="n"/>
      <c r="AB635" s="1615" t="n"/>
      <c r="AC635" s="1615" t="n"/>
      <c r="AD635" s="1615" t="n"/>
      <c r="AE635" s="1614" t="n"/>
      <c r="AF635" s="1615" t="n"/>
      <c r="AG635" s="1615" t="n"/>
      <c r="AH635" s="1615" t="n"/>
      <c r="AI635" s="1615" t="n"/>
      <c r="AJ635" s="1614" t="n"/>
      <c r="AK635" s="1615" t="n"/>
      <c r="AL635" s="1615" t="n"/>
      <c r="AM635" s="1615" t="n"/>
      <c r="AN635" s="1615" t="n"/>
      <c r="AO635" s="1614" t="n"/>
      <c r="AP635" s="1615" t="n"/>
      <c r="AQ635" s="1615" t="n"/>
      <c r="AR635" s="1615" t="n"/>
      <c r="AS635" s="1615" t="n"/>
      <c r="AT635" s="1614" t="n"/>
      <c r="AU635" s="1615" t="n"/>
      <c r="AV635" s="1615" t="n"/>
      <c r="AW635" s="1615" t="n"/>
      <c r="AX635" s="1615" t="n"/>
      <c r="AY635" s="1614" t="n"/>
      <c r="AZ635" s="1615" t="n"/>
      <c r="BA635" s="1615" t="n"/>
      <c r="BB635" s="1615" t="n"/>
      <c r="BC635" s="1615" t="n"/>
      <c r="BD635" s="1614" t="n"/>
      <c r="BE635" s="1615" t="n"/>
      <c r="BF635" s="1615" t="n"/>
      <c r="BG635" s="1615" t="n"/>
      <c r="BH635" s="1615" t="n"/>
      <c r="BI635" s="1614" t="n"/>
      <c r="BJ635" s="1615" t="n"/>
      <c r="BK635" s="1615" t="n"/>
      <c r="BL635" s="1615" t="n"/>
      <c r="BM635" s="1615" t="n"/>
      <c r="BN635" s="1614" t="n"/>
      <c r="BO635" s="1615" t="n"/>
      <c r="BP635" s="1615" t="n"/>
      <c r="BQ635" s="1616" t="n"/>
      <c r="BR635" s="1615">
        <f>IF(BR633=0,0,BQ635-BQ635/(B633-BQ4)*BR3)</f>
        <v/>
      </c>
      <c r="BS635" s="1614">
        <f>BR635</f>
        <v/>
      </c>
      <c r="BT635" s="1615">
        <f>IF(BT633=0,0,BS635-BS635/(B633-BS4)*BT3)</f>
        <v/>
      </c>
      <c r="BU635" s="1615">
        <f>IF(BU633=0,0,BT635-BT635/(B633-BT4)*BU3)</f>
        <v/>
      </c>
      <c r="BV635" s="1615">
        <f>IF(BV633=0,0,BU635-BU635/(B633-BU4)*BV3)</f>
        <v/>
      </c>
      <c r="BW635" s="1615">
        <f>IF(BW633=0,0,BV635-BV635/(B633-BV4)*BW3)</f>
        <v/>
      </c>
      <c r="BX635" s="1614">
        <f>BW635</f>
        <v/>
      </c>
      <c r="BY635" s="1614">
        <f>IF(BY633=0,0,BX635-BX635/(B633-BX4)*BY3)</f>
        <v/>
      </c>
      <c r="BZ635" s="1614">
        <f>IF(BZ633=0,0,BY635-BY635/(B633-BY4)*BZ3)</f>
        <v/>
      </c>
      <c r="CA635" s="1614">
        <f>IF(CA633=0,0,BZ635-BZ635/(B633-BZ4)*CA3)</f>
        <v/>
      </c>
      <c r="CB635" s="1361" t="n"/>
    </row>
    <row r="636" hidden="1" outlineLevel="2" collapsed="1" ht="14.4" customFormat="1" customHeight="1" s="1597">
      <c r="A636" s="1508" t="inlineStr">
        <is>
          <t>2013 Notes Outstanding Book Value</t>
        </is>
      </c>
      <c r="B636" s="1512" t="n"/>
      <c r="C636" s="1379">
        <f>SUM(C633:C635)</f>
        <v/>
      </c>
      <c r="D636" s="1379">
        <f>SUM(D633:D635)</f>
        <v/>
      </c>
      <c r="E636" s="1379">
        <f>SUM(E633:E635)</f>
        <v/>
      </c>
      <c r="F636" s="1379">
        <f>SUM(F633:F635)</f>
        <v/>
      </c>
      <c r="G636" s="1361">
        <f>SUM(G633:G635)</f>
        <v/>
      </c>
      <c r="H636" s="1361">
        <f>SUM(H633:H635)</f>
        <v/>
      </c>
      <c r="I636" s="1361">
        <f>SUM(I633:I635)</f>
        <v/>
      </c>
      <c r="J636" s="1361">
        <f>SUM(J633:J635)</f>
        <v/>
      </c>
      <c r="K636" s="1379">
        <f>SUM(K633:K635)</f>
        <v/>
      </c>
      <c r="L636" s="1361">
        <f>SUM(L633:L635)</f>
        <v/>
      </c>
      <c r="M636" s="1361">
        <f>SUM(M633:M635)</f>
        <v/>
      </c>
      <c r="N636" s="1361">
        <f>SUM(N633:N635)</f>
        <v/>
      </c>
      <c r="O636" s="1361">
        <f>SUM(O633:O635)</f>
        <v/>
      </c>
      <c r="P636" s="1379">
        <f>SUM(P633:P635)</f>
        <v/>
      </c>
      <c r="Q636" s="1361">
        <f>SUM(Q633:Q635)</f>
        <v/>
      </c>
      <c r="R636" s="1361">
        <f>SUM(R633:R635)</f>
        <v/>
      </c>
      <c r="S636" s="1361">
        <f>SUM(S633:S635)</f>
        <v/>
      </c>
      <c r="T636" s="1361">
        <f>SUM(T633:T635)</f>
        <v/>
      </c>
      <c r="U636" s="1379">
        <f>SUM(U633:U635)</f>
        <v/>
      </c>
      <c r="V636" s="1361">
        <f>SUM(V633:V635)</f>
        <v/>
      </c>
      <c r="W636" s="1361">
        <f>SUM(W633:W635)</f>
        <v/>
      </c>
      <c r="X636" s="1361">
        <f>SUM(X633:X635)</f>
        <v/>
      </c>
      <c r="Y636" s="1361">
        <f>SUM(Y633:Y635)</f>
        <v/>
      </c>
      <c r="Z636" s="1379">
        <f>SUM(Z633:Z635)</f>
        <v/>
      </c>
      <c r="AA636" s="1361">
        <f>SUM(AA633:AA635)</f>
        <v/>
      </c>
      <c r="AB636" s="1361">
        <f>SUM(AB633:AB635)</f>
        <v/>
      </c>
      <c r="AC636" s="1361">
        <f>SUM(AC633:AC635)</f>
        <v/>
      </c>
      <c r="AD636" s="1361">
        <f>SUM(AD633:AD635)</f>
        <v/>
      </c>
      <c r="AE636" s="1379">
        <f>SUM(AE633:AE635)</f>
        <v/>
      </c>
      <c r="AF636" s="1361">
        <f>SUM(AF633:AF635)</f>
        <v/>
      </c>
      <c r="AG636" s="1361">
        <f>SUM(AG633:AG635)</f>
        <v/>
      </c>
      <c r="AH636" s="1361">
        <f>SUM(AH633:AH635)</f>
        <v/>
      </c>
      <c r="AI636" s="1361">
        <f>SUM(AI633:AI635)</f>
        <v/>
      </c>
      <c r="AJ636" s="1379">
        <f>SUM(AJ633:AJ635)</f>
        <v/>
      </c>
      <c r="AK636" s="1361">
        <f>SUM(AK633:AK635)</f>
        <v/>
      </c>
      <c r="AL636" s="1361">
        <f>SUM(AL633:AL635)</f>
        <v/>
      </c>
      <c r="AM636" s="1361">
        <f>SUM(AM633:AM635)</f>
        <v/>
      </c>
      <c r="AN636" s="1361">
        <f>SUM(AN633:AN635)</f>
        <v/>
      </c>
      <c r="AO636" s="1379">
        <f>SUM(AO633:AO635)</f>
        <v/>
      </c>
      <c r="AP636" s="1361">
        <f>SUM(AP633:AP635)</f>
        <v/>
      </c>
      <c r="AQ636" s="1361">
        <f>SUM(AQ633:AQ635)</f>
        <v/>
      </c>
      <c r="AR636" s="1361">
        <f>SUM(AR633:AR635)</f>
        <v/>
      </c>
      <c r="AS636" s="1361">
        <f>SUM(AS633:AS635)</f>
        <v/>
      </c>
      <c r="AT636" s="1379">
        <f>SUM(AT633:AT635)</f>
        <v/>
      </c>
      <c r="AU636" s="1361">
        <f>SUM(AU633:AU635)</f>
        <v/>
      </c>
      <c r="AV636" s="1361">
        <f>SUM(AV633:AV635)</f>
        <v/>
      </c>
      <c r="AW636" s="1361">
        <f>SUM(AW633:AW635)</f>
        <v/>
      </c>
      <c r="AX636" s="1361">
        <f>SUM(AX633:AX635)</f>
        <v/>
      </c>
      <c r="AY636" s="1379">
        <f>SUM(AY633:AY635)</f>
        <v/>
      </c>
      <c r="AZ636" s="1361">
        <f>SUM(AZ633:AZ635)</f>
        <v/>
      </c>
      <c r="BA636" s="1361">
        <f>SUM(BA633:BA635)</f>
        <v/>
      </c>
      <c r="BB636" s="1361">
        <f>SUM(BB633:BB635)</f>
        <v/>
      </c>
      <c r="BC636" s="1361">
        <f>SUM(BC633:BC635)</f>
        <v/>
      </c>
      <c r="BD636" s="1379">
        <f>SUM(BD633:BD635)</f>
        <v/>
      </c>
      <c r="BE636" s="1361">
        <f>SUM(BE633:BE635)</f>
        <v/>
      </c>
      <c r="BF636" s="1361">
        <f>SUM(BF633:BF635)</f>
        <v/>
      </c>
      <c r="BG636" s="1361">
        <f>SUM(BG633:BG635)</f>
        <v/>
      </c>
      <c r="BH636" s="1361">
        <f>SUM(BH633:BH635)</f>
        <v/>
      </c>
      <c r="BI636" s="1379">
        <f>SUM(BI633:BI635)</f>
        <v/>
      </c>
      <c r="BJ636" s="1361">
        <f>SUM(BJ633:BJ635)</f>
        <v/>
      </c>
      <c r="BK636" s="1361">
        <f>SUM(BK633:BK635)</f>
        <v/>
      </c>
      <c r="BL636" s="1361">
        <f>SUM(BL633:BL635)</f>
        <v/>
      </c>
      <c r="BM636" s="1361">
        <f>SUM(BM633:BM635)</f>
        <v/>
      </c>
      <c r="BN636" s="1379">
        <f>SUM(BN633:BN635)</f>
        <v/>
      </c>
      <c r="BO636" s="1361">
        <f>SUM(BO633:BO635)</f>
        <v/>
      </c>
      <c r="BP636" s="1361">
        <f>SUM(BP633:BP635)</f>
        <v/>
      </c>
      <c r="BQ636" s="1363">
        <f>SUM(BQ633:BQ635)</f>
        <v/>
      </c>
      <c r="BR636" s="1361">
        <f>SUM(BR633:BR635)</f>
        <v/>
      </c>
      <c r="BS636" s="1379">
        <f>SUM(BS633:BS635)</f>
        <v/>
      </c>
      <c r="BT636" s="1361">
        <f>SUM(BT633:BT635)</f>
        <v/>
      </c>
      <c r="BU636" s="1361">
        <f>SUM(BU633:BU635)</f>
        <v/>
      </c>
      <c r="BV636" s="1361">
        <f>SUM(BV633:BV635)</f>
        <v/>
      </c>
      <c r="BW636" s="1361">
        <f>SUM(BW633:BW635)</f>
        <v/>
      </c>
      <c r="BX636" s="1379">
        <f>SUM(BX633:BX635)</f>
        <v/>
      </c>
      <c r="BY636" s="1379">
        <f>SUM(BY633:BY635)</f>
        <v/>
      </c>
      <c r="BZ636" s="1379">
        <f>SUM(BZ633:BZ635)</f>
        <v/>
      </c>
      <c r="CA636" s="1379">
        <f>SUM(CA633:CA635)</f>
        <v/>
      </c>
      <c r="CB636" s="1361" t="n"/>
    </row>
    <row r="637" hidden="1" outlineLevel="2" ht="14.4" customFormat="1" customHeight="1" s="1597">
      <c r="A637" s="1508" t="inlineStr">
        <is>
          <t>Initial Conversion Price 2013, $/share</t>
        </is>
      </c>
      <c r="B637" s="1512" t="n"/>
      <c r="C637" s="1745" t="n">
        <v>21.15</v>
      </c>
      <c r="D637" s="1745" t="n">
        <v>21.15</v>
      </c>
      <c r="E637" s="1745" t="n">
        <v>21.15</v>
      </c>
      <c r="F637" s="1745" t="n">
        <v>21.15</v>
      </c>
      <c r="G637" s="1754" t="n">
        <v>21.15</v>
      </c>
      <c r="H637" s="1754" t="n">
        <v>21.15</v>
      </c>
      <c r="I637" s="1754" t="n">
        <v>21.15</v>
      </c>
      <c r="J637" s="1714" t="n"/>
      <c r="K637" s="1716" t="n"/>
      <c r="L637" s="1714" t="n"/>
      <c r="M637" s="1714" t="n"/>
      <c r="N637" s="1714" t="n"/>
      <c r="O637" s="1714" t="n"/>
      <c r="P637" s="1716" t="n"/>
      <c r="Q637" s="1714" t="n"/>
      <c r="R637" s="1714" t="n"/>
      <c r="S637" s="1714" t="n"/>
      <c r="T637" s="1714" t="n"/>
      <c r="U637" s="1716" t="n"/>
      <c r="V637" s="1714" t="n"/>
      <c r="W637" s="1714" t="n"/>
      <c r="X637" s="1714" t="n"/>
      <c r="Y637" s="1714" t="n"/>
      <c r="Z637" s="1716" t="n"/>
      <c r="AA637" s="1714" t="n"/>
      <c r="AB637" s="1714" t="n"/>
      <c r="AC637" s="1714" t="n"/>
      <c r="AD637" s="1714" t="n"/>
      <c r="AE637" s="1716" t="n"/>
      <c r="AF637" s="1714" t="n"/>
      <c r="AG637" s="1714" t="n"/>
      <c r="AH637" s="1714" t="n"/>
      <c r="AI637" s="1714" t="n"/>
      <c r="AJ637" s="1716" t="n"/>
      <c r="AK637" s="1714" t="n"/>
      <c r="AL637" s="1714" t="n"/>
      <c r="AM637" s="1714" t="n"/>
      <c r="AN637" s="1714" t="n"/>
      <c r="AO637" s="1716" t="n"/>
      <c r="AP637" s="1714" t="n"/>
      <c r="AQ637" s="1714" t="n"/>
      <c r="AR637" s="1714" t="n"/>
      <c r="AS637" s="1714" t="n"/>
      <c r="AT637" s="1716" t="n"/>
      <c r="AU637" s="1714" t="n"/>
      <c r="AV637" s="1714" t="n"/>
      <c r="AW637" s="1714" t="n"/>
      <c r="AX637" s="1714" t="n"/>
      <c r="AY637" s="1716" t="n"/>
      <c r="AZ637" s="1714" t="n"/>
      <c r="BA637" s="1714" t="n"/>
      <c r="BB637" s="1714" t="n"/>
      <c r="BC637" s="1714" t="n"/>
      <c r="BD637" s="1716" t="n"/>
      <c r="BE637" s="1714" t="n"/>
      <c r="BF637" s="1714" t="n"/>
      <c r="BG637" s="1714" t="n"/>
      <c r="BH637" s="1714" t="n"/>
      <c r="BI637" s="1716" t="n"/>
      <c r="BJ637" s="1714" t="n"/>
      <c r="BK637" s="1714" t="n"/>
      <c r="BL637" s="1714" t="n"/>
      <c r="BM637" s="1714" t="n"/>
      <c r="BN637" s="1716" t="n"/>
      <c r="BO637" s="1714" t="n"/>
      <c r="BP637" s="1714" t="n"/>
      <c r="BQ637" s="1717" t="n"/>
      <c r="BR637" s="1714">
        <f>IF(BR633=0,0,BQ637)</f>
        <v/>
      </c>
      <c r="BS637" s="1716">
        <f>BR637</f>
        <v/>
      </c>
      <c r="BT637" s="1714">
        <f>IF(BT633=0,0,BS637)</f>
        <v/>
      </c>
      <c r="BU637" s="1714">
        <f>IF(BU633=0,0,BT637)</f>
        <v/>
      </c>
      <c r="BV637" s="1714">
        <f>IF(BV633=0,0,BU637)</f>
        <v/>
      </c>
      <c r="BW637" s="1714">
        <f>IF(BW633=0,0,BV637)</f>
        <v/>
      </c>
      <c r="BX637" s="1716">
        <f>BW637</f>
        <v/>
      </c>
      <c r="BY637" s="1716">
        <f>IF(BY633=0,0,BX637)</f>
        <v/>
      </c>
      <c r="BZ637" s="1716">
        <f>IF(BZ633=0,0,BY637)</f>
        <v/>
      </c>
      <c r="CA637" s="1716">
        <f>IF(CA633=0,0,BZ637)</f>
        <v/>
      </c>
      <c r="CB637" s="1361" t="n"/>
    </row>
    <row r="638" hidden="1" outlineLevel="2" ht="14.4" customFormat="1" customHeight="1" s="1597">
      <c r="A638" s="1474" t="inlineStr">
        <is>
          <t>Shares Issuable Upon Conversion, mm shares</t>
        </is>
      </c>
      <c r="B638" s="1512" t="n"/>
      <c r="C638" s="1379">
        <f>IFERROR(C633/C637,0)</f>
        <v/>
      </c>
      <c r="D638" s="1379">
        <f>IFERROR(D633/D637,0)</f>
        <v/>
      </c>
      <c r="E638" s="1379">
        <f>IFERROR(E633/E637,0)</f>
        <v/>
      </c>
      <c r="F638" s="1379">
        <f>IFERROR(F633/F637,0)</f>
        <v/>
      </c>
      <c r="G638" s="1361">
        <f>IFERROR(G633/G637,0)</f>
        <v/>
      </c>
      <c r="H638" s="1361">
        <f>IFERROR(H633/H637,0)</f>
        <v/>
      </c>
      <c r="I638" s="1361">
        <f>IFERROR(I633/I637,0)</f>
        <v/>
      </c>
      <c r="J638" s="1361">
        <f>IFERROR(J633/J637,0)</f>
        <v/>
      </c>
      <c r="K638" s="1379">
        <f>IFERROR(K633/K637,0)</f>
        <v/>
      </c>
      <c r="L638" s="1361">
        <f>IFERROR(L633/L637,0)</f>
        <v/>
      </c>
      <c r="M638" s="1361">
        <f>IFERROR(M633/M637,0)</f>
        <v/>
      </c>
      <c r="N638" s="1361">
        <f>IFERROR(N633/N637,0)</f>
        <v/>
      </c>
      <c r="O638" s="1361">
        <f>IFERROR(O633/O637,0)</f>
        <v/>
      </c>
      <c r="P638" s="1379">
        <f>IFERROR(P633/P637,0)</f>
        <v/>
      </c>
      <c r="Q638" s="1361">
        <f>IFERROR(Q633/Q637,0)</f>
        <v/>
      </c>
      <c r="R638" s="1361">
        <f>IFERROR(R633/R637,0)</f>
        <v/>
      </c>
      <c r="S638" s="1361">
        <f>IFERROR(S633/S637,0)</f>
        <v/>
      </c>
      <c r="T638" s="1361">
        <f>IFERROR(T633/T637,0)</f>
        <v/>
      </c>
      <c r="U638" s="1379">
        <f>IFERROR(U633/U637,0)</f>
        <v/>
      </c>
      <c r="V638" s="1361">
        <f>IFERROR(V633/V637,0)</f>
        <v/>
      </c>
      <c r="W638" s="1361">
        <f>IFERROR(W633/W637,0)</f>
        <v/>
      </c>
      <c r="X638" s="1361">
        <f>IFERROR(X633/X637,0)</f>
        <v/>
      </c>
      <c r="Y638" s="1361">
        <f>IFERROR(Y633/Y637,0)</f>
        <v/>
      </c>
      <c r="Z638" s="1379">
        <f>IFERROR(Z633/Z637,0)</f>
        <v/>
      </c>
      <c r="AA638" s="1361">
        <f>IFERROR(AA633/AA637,0)</f>
        <v/>
      </c>
      <c r="AB638" s="1361">
        <f>IFERROR(AB633/AB637,0)</f>
        <v/>
      </c>
      <c r="AC638" s="1361">
        <f>IFERROR(AC633/AC637,0)</f>
        <v/>
      </c>
      <c r="AD638" s="1361">
        <f>IFERROR(AD633/AD637,0)</f>
        <v/>
      </c>
      <c r="AE638" s="1379">
        <f>IFERROR(AE633/AE637,0)</f>
        <v/>
      </c>
      <c r="AF638" s="1361">
        <f>IFERROR(AF633/AF637,0)</f>
        <v/>
      </c>
      <c r="AG638" s="1361">
        <f>IFERROR(AG633/AG637,0)</f>
        <v/>
      </c>
      <c r="AH638" s="1361">
        <f>IFERROR(AH633/AH637,0)</f>
        <v/>
      </c>
      <c r="AI638" s="1361">
        <f>IFERROR(AI633/AI637,0)</f>
        <v/>
      </c>
      <c r="AJ638" s="1379">
        <f>IFERROR(AJ633/AJ637,0)</f>
        <v/>
      </c>
      <c r="AK638" s="1361">
        <f>IFERROR(AK633/AK637,0)</f>
        <v/>
      </c>
      <c r="AL638" s="1361">
        <f>IFERROR(AL633/AL637,0)</f>
        <v/>
      </c>
      <c r="AM638" s="1361">
        <f>IFERROR(AM633/AM637,0)</f>
        <v/>
      </c>
      <c r="AN638" s="1361">
        <f>IFERROR(AN633/AN637,0)</f>
        <v/>
      </c>
      <c r="AO638" s="1379">
        <f>IFERROR(AO633/AO637,0)</f>
        <v/>
      </c>
      <c r="AP638" s="1361">
        <f>IFERROR(AP633/AP637,0)</f>
        <v/>
      </c>
      <c r="AQ638" s="1361">
        <f>IFERROR(AQ633/AQ637,0)</f>
        <v/>
      </c>
      <c r="AR638" s="1361">
        <f>IFERROR(AR633/AR637,0)</f>
        <v/>
      </c>
      <c r="AS638" s="1361">
        <f>IFERROR(AS633/AS637,0)</f>
        <v/>
      </c>
      <c r="AT638" s="1379">
        <f>IFERROR(AT633/AT637,0)</f>
        <v/>
      </c>
      <c r="AU638" s="1361">
        <f>IFERROR(AU633/AU637,0)</f>
        <v/>
      </c>
      <c r="AV638" s="1361">
        <f>IFERROR(AV633/AV637,0)</f>
        <v/>
      </c>
      <c r="AW638" s="1361">
        <f>IFERROR(AW633/AW637,0)</f>
        <v/>
      </c>
      <c r="AX638" s="1361">
        <f>IFERROR(AX633/AX637,0)</f>
        <v/>
      </c>
      <c r="AY638" s="1379">
        <f>IFERROR(AY633/AY637,0)</f>
        <v/>
      </c>
      <c r="AZ638" s="1361">
        <f>IFERROR(AZ633/AZ637,0)</f>
        <v/>
      </c>
      <c r="BA638" s="1361">
        <f>IFERROR(BA633/BA637,0)</f>
        <v/>
      </c>
      <c r="BB638" s="1361">
        <f>IFERROR(BB633/BB637,0)</f>
        <v/>
      </c>
      <c r="BC638" s="1361">
        <f>IFERROR(BC633/BC637,0)</f>
        <v/>
      </c>
      <c r="BD638" s="1379">
        <f>IFERROR(BD633/BD637,0)</f>
        <v/>
      </c>
      <c r="BE638" s="1361">
        <f>IFERROR(BE633/BE637,0)</f>
        <v/>
      </c>
      <c r="BF638" s="1361">
        <f>IFERROR(BF633/BF637,0)</f>
        <v/>
      </c>
      <c r="BG638" s="1361">
        <f>IFERROR(BG633/BG637,0)</f>
        <v/>
      </c>
      <c r="BH638" s="1361">
        <f>IFERROR(BH633/BH637,0)</f>
        <v/>
      </c>
      <c r="BI638" s="1379">
        <f>IFERROR(BI633/BI637,0)</f>
        <v/>
      </c>
      <c r="BJ638" s="1361">
        <f>IFERROR(BJ633/BJ637,0)</f>
        <v/>
      </c>
      <c r="BK638" s="1361">
        <f>IFERROR(BK633/BK637,0)</f>
        <v/>
      </c>
      <c r="BL638" s="1361">
        <f>IFERROR(BL633/BL637,0)</f>
        <v/>
      </c>
      <c r="BM638" s="1361">
        <f>IFERROR(BM633/BM637,0)</f>
        <v/>
      </c>
      <c r="BN638" s="1379">
        <f>IFERROR(BN633/BN637,0)</f>
        <v/>
      </c>
      <c r="BO638" s="1361">
        <f>IFERROR(BO633/BO637,0)</f>
        <v/>
      </c>
      <c r="BP638" s="1361">
        <f>IFERROR(BP633/BP637,0)</f>
        <v/>
      </c>
      <c r="BQ638" s="1363">
        <f>IFERROR(BQ633/BQ637,0)</f>
        <v/>
      </c>
      <c r="BR638" s="1361">
        <f>IFERROR(BR633/BR637,0)</f>
        <v/>
      </c>
      <c r="BS638" s="1379">
        <f>IFERROR(BS633/BS637,0)</f>
        <v/>
      </c>
      <c r="BT638" s="1361">
        <f>IFERROR(BT633/BT637,0)</f>
        <v/>
      </c>
      <c r="BU638" s="1361">
        <f>IFERROR(BU633/BU637,0)</f>
        <v/>
      </c>
      <c r="BV638" s="1361">
        <f>IFERROR(BV633/BV637,0)</f>
        <v/>
      </c>
      <c r="BW638" s="1361">
        <f>IFERROR(BW633/BW637,0)</f>
        <v/>
      </c>
      <c r="BX638" s="1379">
        <f>IFERROR(BX633/BX637,0)</f>
        <v/>
      </c>
      <c r="BY638" s="1379">
        <f>IFERROR(BY633/BY637,0)</f>
        <v/>
      </c>
      <c r="BZ638" s="1379">
        <f>IFERROR(BZ633/BZ637,0)</f>
        <v/>
      </c>
      <c r="CA638" s="1379">
        <f>IFERROR(CA633/CA637,0)</f>
        <v/>
      </c>
      <c r="CB638" s="1361" t="n"/>
    </row>
    <row r="639" hidden="1" outlineLevel="2" ht="14.4" customFormat="1" customHeight="1" s="1597">
      <c r="A639" s="1693" t="inlineStr">
        <is>
          <t>Dilutive Shares from Convertible Notes 2013, mm shares</t>
        </is>
      </c>
      <c r="B639" s="1694" t="n"/>
      <c r="C639" s="1698">
        <f>IFERROR(IF(C526&gt;C637,C638,0),0)</f>
        <v/>
      </c>
      <c r="D639" s="1698">
        <f>IFERROR(IF(D526&gt;D637,D638,0),0)</f>
        <v/>
      </c>
      <c r="E639" s="1698">
        <f>IFERROR(IF(E526&gt;E637,E638,0),0)</f>
        <v/>
      </c>
      <c r="F639" s="1698">
        <f>IFERROR(IF(F526&gt;F637,F638,0),0)</f>
        <v/>
      </c>
      <c r="G639" s="1693">
        <f>IFERROR(IF(G526&gt;G637,G638,0),0)</f>
        <v/>
      </c>
      <c r="H639" s="1693">
        <f>IFERROR(IF(H526&gt;H637,H638,0),0)</f>
        <v/>
      </c>
      <c r="I639" s="1693">
        <f>IFERROR(IF(I526&gt;I637,I638,0),0)</f>
        <v/>
      </c>
      <c r="J639" s="1693">
        <f>IFERROR(IF(J526&gt;J637,J638,0),0)</f>
        <v/>
      </c>
      <c r="K639" s="1698">
        <f>IFERROR(IF(K526&gt;K637,K638,0),0)</f>
        <v/>
      </c>
      <c r="L639" s="1693">
        <f>IFERROR(IF(L526&gt;L637,L638,0),0)</f>
        <v/>
      </c>
      <c r="M639" s="1693">
        <f>IFERROR(IF(M526&gt;M637,M638,0),0)</f>
        <v/>
      </c>
      <c r="N639" s="1693">
        <f>IFERROR(IF(N526&gt;N637,N638,0),0)</f>
        <v/>
      </c>
      <c r="O639" s="1693">
        <f>IFERROR(IF(O526&gt;O637,O638,0),0)</f>
        <v/>
      </c>
      <c r="P639" s="1698">
        <f>IFERROR(IF(P526&gt;P637,P638,0),0)</f>
        <v/>
      </c>
      <c r="Q639" s="1693">
        <f>IFERROR(IF(Q526&gt;Q637,Q638,0),0)</f>
        <v/>
      </c>
      <c r="R639" s="1693">
        <f>IFERROR(IF(R526&gt;R637,R638,0),0)</f>
        <v/>
      </c>
      <c r="S639" s="1693">
        <f>IFERROR(IF(S526&gt;S637,S638,0),0)</f>
        <v/>
      </c>
      <c r="T639" s="1693">
        <f>IFERROR(IF(T526&gt;T637,T638,0),0)</f>
        <v/>
      </c>
      <c r="U639" s="1698">
        <f>IFERROR(IF(U526&gt;U637,U638,0),0)</f>
        <v/>
      </c>
      <c r="V639" s="1693">
        <f>IFERROR(IF(V526&gt;V637,V638,0),0)</f>
        <v/>
      </c>
      <c r="W639" s="1693">
        <f>IFERROR(IF(W526&gt;W637,W638,0),0)</f>
        <v/>
      </c>
      <c r="X639" s="1693">
        <f>IFERROR(IF(X526&gt;X637,X638,0),0)</f>
        <v/>
      </c>
      <c r="Y639" s="1693">
        <f>IFERROR(IF(Y526&gt;Y637,Y638,0),0)</f>
        <v/>
      </c>
      <c r="Z639" s="1698">
        <f>IFERROR(IF(Z526&gt;Z637,Z638,0),0)</f>
        <v/>
      </c>
      <c r="AA639" s="1693">
        <f>IFERROR(IF(AA526&gt;AA637,AA638,0),0)</f>
        <v/>
      </c>
      <c r="AB639" s="1693">
        <f>IFERROR(IF(AB526&gt;AB637,AB638,0),0)</f>
        <v/>
      </c>
      <c r="AC639" s="1693">
        <f>IFERROR(IF(AC526&gt;AC637,AC638,0),0)</f>
        <v/>
      </c>
      <c r="AD639" s="1693">
        <f>IFERROR(IF(AD526&gt;AD637,AD638,0),0)</f>
        <v/>
      </c>
      <c r="AE639" s="1698">
        <f>IFERROR(IF(AE526&gt;AE637,AE638,0),0)</f>
        <v/>
      </c>
      <c r="AF639" s="1693">
        <f>IFERROR(IF(AF526&gt;AF637,AF638,0),0)</f>
        <v/>
      </c>
      <c r="AG639" s="1693">
        <f>IFERROR(IF(AG526&gt;AG637,AG638,0),0)</f>
        <v/>
      </c>
      <c r="AH639" s="1693">
        <f>IFERROR(IF(AH526&gt;AH637,AH638,0),0)</f>
        <v/>
      </c>
      <c r="AI639" s="1693">
        <f>IFERROR(IF(AI526&gt;AI637,AI638,0),0)</f>
        <v/>
      </c>
      <c r="AJ639" s="1698">
        <f>IFERROR(IF(AJ526&gt;AJ637,AJ638,0),0)</f>
        <v/>
      </c>
      <c r="AK639" s="1693">
        <f>IFERROR(IF(AK526&gt;AK637,AK638,0),0)</f>
        <v/>
      </c>
      <c r="AL639" s="1693">
        <f>IFERROR(IF(AL526&gt;AL637,AL638,0),0)</f>
        <v/>
      </c>
      <c r="AM639" s="1693">
        <f>IFERROR(IF(AM526&gt;AM637,AM638,0),0)</f>
        <v/>
      </c>
      <c r="AN639" s="1693">
        <f>IFERROR(IF(AN526&gt;AN637,AN638,0),0)</f>
        <v/>
      </c>
      <c r="AO639" s="1698">
        <f>IFERROR(IF(AO526&gt;AO637,AO638,0),0)</f>
        <v/>
      </c>
      <c r="AP639" s="1693">
        <f>IFERROR(IF(AP526&gt;AP637,AP638,0),0)</f>
        <v/>
      </c>
      <c r="AQ639" s="1693">
        <f>IFERROR(IF(AQ526&gt;AQ637,AQ638,0),0)</f>
        <v/>
      </c>
      <c r="AR639" s="1693">
        <f>IFERROR(IF(AR526&gt;AR637,AR638,0),0)</f>
        <v/>
      </c>
      <c r="AS639" s="1693">
        <f>IFERROR(IF(AS526&gt;AS637,AS638,0),0)</f>
        <v/>
      </c>
      <c r="AT639" s="1698">
        <f>IFERROR(IF(AT526&gt;AT637,AT638,0),0)</f>
        <v/>
      </c>
      <c r="AU639" s="1693">
        <f>IFERROR(IF(AU526&gt;AU637,AU638,0),0)</f>
        <v/>
      </c>
      <c r="AV639" s="1693">
        <f>IFERROR(IF(AV526&gt;AV637,AV638,0),0)</f>
        <v/>
      </c>
      <c r="AW639" s="1693">
        <f>IFERROR(IF(AW526&gt;AW637,AW638,0),0)</f>
        <v/>
      </c>
      <c r="AX639" s="1693">
        <f>IFERROR(IF(AX526&gt;AX637,AX638,0),0)</f>
        <v/>
      </c>
      <c r="AY639" s="1698">
        <f>IFERROR(IF(AY526&gt;AY637,AY638,0),0)</f>
        <v/>
      </c>
      <c r="AZ639" s="1693">
        <f>IFERROR(IF(AZ526&gt;AZ637,AZ638,0),0)</f>
        <v/>
      </c>
      <c r="BA639" s="1693">
        <f>IFERROR(IF(BA526&gt;BA637,BA638,0),0)</f>
        <v/>
      </c>
      <c r="BB639" s="1693">
        <f>IFERROR(IF(BB526&gt;BB637,BB638,0),0)</f>
        <v/>
      </c>
      <c r="BC639" s="1693">
        <f>IFERROR(IF(BC526&gt;BC637,BC638,0),0)</f>
        <v/>
      </c>
      <c r="BD639" s="1698">
        <f>IFERROR(IF(BD526&gt;BD637,BD638,0),0)</f>
        <v/>
      </c>
      <c r="BE639" s="1693">
        <f>IFERROR(IF(BE526&gt;BE637,BE638,0),0)</f>
        <v/>
      </c>
      <c r="BF639" s="1693">
        <f>IFERROR(IF(BF526&gt;BF637,BF638,0),0)</f>
        <v/>
      </c>
      <c r="BG639" s="1693">
        <f>IFERROR(IF(BG526&gt;BG637,BG638,0),0)</f>
        <v/>
      </c>
      <c r="BH639" s="1693">
        <f>IFERROR(IF(BH526&gt;BH637,BH638,0),0)</f>
        <v/>
      </c>
      <c r="BI639" s="1698">
        <f>IFERROR(IF(BI526&gt;BI637,BI638,0),0)</f>
        <v/>
      </c>
      <c r="BJ639" s="1693">
        <f>IFERROR(IF(BJ526&gt;BJ637,BJ638,0),0)</f>
        <v/>
      </c>
      <c r="BK639" s="1693">
        <f>IFERROR(IF(BK526&gt;BK637,BK638,0),0)</f>
        <v/>
      </c>
      <c r="BL639" s="1693">
        <f>IFERROR(IF(BL526&gt;BL637,BL638,0),0)</f>
        <v/>
      </c>
      <c r="BM639" s="1693">
        <f>IFERROR(IF(BM526&gt;BM637,BM638,0),0)</f>
        <v/>
      </c>
      <c r="BN639" s="1698">
        <f>IFERROR(IF(BN526&gt;BN637,BN638,0),0)</f>
        <v/>
      </c>
      <c r="BO639" s="1693">
        <f>IFERROR(IF(BO526&gt;BO637,BO638,0),0)</f>
        <v/>
      </c>
      <c r="BP639" s="1693">
        <f>IFERROR(IF(BP526&gt;BP637,BP638,0),0)</f>
        <v/>
      </c>
      <c r="BQ639" s="1733">
        <f>IFERROR(IF(BQ526&gt;BQ637,BQ638,0),0)</f>
        <v/>
      </c>
      <c r="BR639" s="1693">
        <f>IFERROR(IF(BR526&gt;BR637,BR638,0),0)</f>
        <v/>
      </c>
      <c r="BS639" s="1698">
        <f>IFERROR(IF(BS526&gt;BS637,BS638,0),0)</f>
        <v/>
      </c>
      <c r="BT639" s="1693">
        <f>IFERROR(IF(BT526&gt;BT637,BT638,0),0)</f>
        <v/>
      </c>
      <c r="BU639" s="1693">
        <f>IFERROR(IF(BU526&gt;BU637,BU638,0),0)</f>
        <v/>
      </c>
      <c r="BV639" s="1693">
        <f>IFERROR(IF(BV526&gt;BV637,BV638,0),0)</f>
        <v/>
      </c>
      <c r="BW639" s="1693">
        <f>IFERROR(IF(BW526&gt;BW637,BW638,0),0)</f>
        <v/>
      </c>
      <c r="BX639" s="1698">
        <f>IFERROR(IF(BX526&gt;BX637,BX638,0),0)</f>
        <v/>
      </c>
      <c r="BY639" s="1698">
        <f>IFERROR(IF(BY526&gt;BY637,BY638,0),0)</f>
        <v/>
      </c>
      <c r="BZ639" s="1698">
        <f>IFERROR(IF(BZ526&gt;BZ637,BZ638,0),0)</f>
        <v/>
      </c>
      <c r="CA639" s="1698">
        <f>IFERROR(IF(CA526&gt;CA637,CA638,0),0)</f>
        <v/>
      </c>
      <c r="CB639" s="1361" t="n"/>
    </row>
    <row r="640" hidden="1" outlineLevel="2" ht="14.4" customFormat="1" customHeight="1" s="1597">
      <c r="A640" s="1361" t="n"/>
      <c r="B640" s="1512" t="n"/>
      <c r="C640" s="1379" t="n"/>
      <c r="D640" s="1379" t="n"/>
      <c r="E640" s="1379" t="n"/>
      <c r="F640" s="1379" t="n"/>
      <c r="G640" s="1361" t="n"/>
      <c r="H640" s="1361" t="n"/>
      <c r="I640" s="1361" t="n"/>
      <c r="J640" s="1361" t="n"/>
      <c r="K640" s="1379" t="n"/>
      <c r="L640" s="1361" t="n"/>
      <c r="M640" s="1361" t="n"/>
      <c r="N640" s="1361" t="n"/>
      <c r="O640" s="1361" t="n"/>
      <c r="P640" s="1379" t="n"/>
      <c r="Q640" s="1361" t="n"/>
      <c r="R640" s="1361" t="n"/>
      <c r="S640" s="1361" t="n"/>
      <c r="T640" s="1361" t="n"/>
      <c r="U640" s="1379" t="n"/>
      <c r="V640" s="1361" t="n"/>
      <c r="W640" s="1361" t="n"/>
      <c r="X640" s="1361" t="n"/>
      <c r="Y640" s="1361" t="n"/>
      <c r="Z640" s="1379" t="n"/>
      <c r="AA640" s="1361" t="n"/>
      <c r="AB640" s="1361" t="n"/>
      <c r="AC640" s="1361" t="n"/>
      <c r="AD640" s="1361" t="n"/>
      <c r="AE640" s="1379" t="n"/>
      <c r="AF640" s="1361" t="n"/>
      <c r="AG640" s="1361" t="n"/>
      <c r="AH640" s="1361" t="n"/>
      <c r="AI640" s="1361" t="n"/>
      <c r="AJ640" s="1379" t="n"/>
      <c r="AK640" s="1361" t="n"/>
      <c r="AL640" s="1361" t="n"/>
      <c r="AM640" s="1361" t="n"/>
      <c r="AN640" s="1361" t="n"/>
      <c r="AO640" s="1379" t="n"/>
      <c r="AP640" s="1361" t="n"/>
      <c r="AQ640" s="1361" t="n"/>
      <c r="AR640" s="1361" t="n"/>
      <c r="AS640" s="1361" t="n"/>
      <c r="AT640" s="1379" t="n"/>
      <c r="AU640" s="1361" t="n"/>
      <c r="AV640" s="1361" t="n"/>
      <c r="AW640" s="1361" t="n"/>
      <c r="AX640" s="1361" t="n"/>
      <c r="AY640" s="1379" t="n"/>
      <c r="AZ640" s="1361" t="n"/>
      <c r="BA640" s="1361" t="n"/>
      <c r="BB640" s="1361" t="n"/>
      <c r="BC640" s="1361" t="n"/>
      <c r="BD640" s="1379" t="n"/>
      <c r="BE640" s="1361" t="n"/>
      <c r="BF640" s="1361" t="n"/>
      <c r="BG640" s="1361" t="n"/>
      <c r="BH640" s="1361" t="n"/>
      <c r="BI640" s="1379" t="n"/>
      <c r="BJ640" s="1361" t="n"/>
      <c r="BK640" s="1361" t="n"/>
      <c r="BL640" s="1361" t="n"/>
      <c r="BM640" s="1361" t="n"/>
      <c r="BN640" s="1379" t="n"/>
      <c r="BO640" s="1361" t="n"/>
      <c r="BP640" s="1361" t="n"/>
      <c r="BQ640" s="1363" t="n"/>
      <c r="BR640" s="1361" t="n"/>
      <c r="BS640" s="1379" t="n"/>
      <c r="BT640" s="1361" t="n"/>
      <c r="BU640" s="1361" t="n"/>
      <c r="BV640" s="1361" t="n"/>
      <c r="BW640" s="1361" t="n"/>
      <c r="BX640" s="1379" t="n"/>
      <c r="BY640" s="1379" t="n"/>
      <c r="BZ640" s="1379" t="n"/>
      <c r="CA640" s="1379" t="n"/>
      <c r="CB640" s="1361" t="n"/>
    </row>
    <row r="641" hidden="1" outlineLevel="2" ht="14.4" customFormat="1" customHeight="1" s="1597">
      <c r="A641" s="1474" t="inlineStr">
        <is>
          <t>Shares Covered 2013, mm shares</t>
        </is>
      </c>
      <c r="B641" s="1512" t="n"/>
      <c r="C641" s="1379">
        <f>C638</f>
        <v/>
      </c>
      <c r="D641" s="1379">
        <f>D638</f>
        <v/>
      </c>
      <c r="E641" s="1379">
        <f>E638</f>
        <v/>
      </c>
      <c r="F641" s="1379">
        <f>F638</f>
        <v/>
      </c>
      <c r="G641" s="1361">
        <f>G638</f>
        <v/>
      </c>
      <c r="H641" s="1361">
        <f>H638</f>
        <v/>
      </c>
      <c r="I641" s="1361">
        <f>I638</f>
        <v/>
      </c>
      <c r="J641" s="1361">
        <f>J638</f>
        <v/>
      </c>
      <c r="K641" s="1379">
        <f>K638</f>
        <v/>
      </c>
      <c r="L641" s="1361">
        <f>L638</f>
        <v/>
      </c>
      <c r="M641" s="1361">
        <f>M638</f>
        <v/>
      </c>
      <c r="N641" s="1361">
        <f>N638</f>
        <v/>
      </c>
      <c r="O641" s="1361">
        <f>O638</f>
        <v/>
      </c>
      <c r="P641" s="1379">
        <f>P638</f>
        <v/>
      </c>
      <c r="Q641" s="1361">
        <f>Q638</f>
        <v/>
      </c>
      <c r="R641" s="1361">
        <f>R638</f>
        <v/>
      </c>
      <c r="S641" s="1361">
        <f>S638</f>
        <v/>
      </c>
      <c r="T641" s="1361">
        <f>T638</f>
        <v/>
      </c>
      <c r="U641" s="1379">
        <f>U638</f>
        <v/>
      </c>
      <c r="V641" s="1361">
        <f>V638</f>
        <v/>
      </c>
      <c r="W641" s="1361">
        <f>W638</f>
        <v/>
      </c>
      <c r="X641" s="1361">
        <f>X638</f>
        <v/>
      </c>
      <c r="Y641" s="1361">
        <f>Y638</f>
        <v/>
      </c>
      <c r="Z641" s="1379">
        <f>Z638</f>
        <v/>
      </c>
      <c r="AA641" s="1361">
        <f>AA638</f>
        <v/>
      </c>
      <c r="AB641" s="1361">
        <f>AB638</f>
        <v/>
      </c>
      <c r="AC641" s="1361">
        <f>AC638</f>
        <v/>
      </c>
      <c r="AD641" s="1361">
        <f>AD638</f>
        <v/>
      </c>
      <c r="AE641" s="1379">
        <f>AE638</f>
        <v/>
      </c>
      <c r="AF641" s="1361">
        <f>AF638</f>
        <v/>
      </c>
      <c r="AG641" s="1361">
        <f>AG638</f>
        <v/>
      </c>
      <c r="AH641" s="1361">
        <f>AH638</f>
        <v/>
      </c>
      <c r="AI641" s="1361">
        <f>AI638</f>
        <v/>
      </c>
      <c r="AJ641" s="1379">
        <f>AJ638</f>
        <v/>
      </c>
      <c r="AK641" s="1361">
        <f>AK638</f>
        <v/>
      </c>
      <c r="AL641" s="1361">
        <f>AL638</f>
        <v/>
      </c>
      <c r="AM641" s="1361">
        <f>AM638</f>
        <v/>
      </c>
      <c r="AN641" s="1361">
        <f>AN638</f>
        <v/>
      </c>
      <c r="AO641" s="1379">
        <f>AO638</f>
        <v/>
      </c>
      <c r="AP641" s="1361">
        <f>AP638</f>
        <v/>
      </c>
      <c r="AQ641" s="1361">
        <f>AQ638</f>
        <v/>
      </c>
      <c r="AR641" s="1361">
        <f>AR638</f>
        <v/>
      </c>
      <c r="AS641" s="1361">
        <f>AS638</f>
        <v/>
      </c>
      <c r="AT641" s="1379">
        <f>AT638</f>
        <v/>
      </c>
      <c r="AU641" s="1361">
        <f>AU638</f>
        <v/>
      </c>
      <c r="AV641" s="1361">
        <f>AV638</f>
        <v/>
      </c>
      <c r="AW641" s="1361">
        <f>AW638</f>
        <v/>
      </c>
      <c r="AX641" s="1361">
        <f>AX638</f>
        <v/>
      </c>
      <c r="AY641" s="1379">
        <f>AY638</f>
        <v/>
      </c>
      <c r="AZ641" s="1361">
        <f>AZ638</f>
        <v/>
      </c>
      <c r="BA641" s="1361">
        <f>BA638</f>
        <v/>
      </c>
      <c r="BB641" s="1361">
        <f>BB638</f>
        <v/>
      </c>
      <c r="BC641" s="1361">
        <f>BC638</f>
        <v/>
      </c>
      <c r="BD641" s="1379">
        <f>BD638</f>
        <v/>
      </c>
      <c r="BE641" s="1361">
        <f>BE638</f>
        <v/>
      </c>
      <c r="BF641" s="1361">
        <f>BF638</f>
        <v/>
      </c>
      <c r="BG641" s="1361">
        <f>BG638</f>
        <v/>
      </c>
      <c r="BH641" s="1361">
        <f>BH638</f>
        <v/>
      </c>
      <c r="BI641" s="1379">
        <f>BI638</f>
        <v/>
      </c>
      <c r="BJ641" s="1361">
        <f>BJ638</f>
        <v/>
      </c>
      <c r="BK641" s="1361">
        <f>BK638</f>
        <v/>
      </c>
      <c r="BL641" s="1361">
        <f>BL638</f>
        <v/>
      </c>
      <c r="BM641" s="1361">
        <f>BM638</f>
        <v/>
      </c>
      <c r="BN641" s="1379">
        <f>BN638</f>
        <v/>
      </c>
      <c r="BO641" s="1361">
        <f>BO638</f>
        <v/>
      </c>
      <c r="BP641" s="1361">
        <f>BP638</f>
        <v/>
      </c>
      <c r="BQ641" s="1363">
        <f>BQ638</f>
        <v/>
      </c>
      <c r="BR641" s="1361">
        <f>BR638</f>
        <v/>
      </c>
      <c r="BS641" s="1379">
        <f>BS638</f>
        <v/>
      </c>
      <c r="BT641" s="1361">
        <f>BT638</f>
        <v/>
      </c>
      <c r="BU641" s="1361">
        <f>BU638</f>
        <v/>
      </c>
      <c r="BV641" s="1361">
        <f>BV638</f>
        <v/>
      </c>
      <c r="BW641" s="1361">
        <f>BW638</f>
        <v/>
      </c>
      <c r="BX641" s="1379">
        <f>BX638</f>
        <v/>
      </c>
      <c r="BY641" s="1379">
        <f>BY638</f>
        <v/>
      </c>
      <c r="BZ641" s="1379">
        <f>BZ638</f>
        <v/>
      </c>
      <c r="CA641" s="1379">
        <f>CA638</f>
        <v/>
      </c>
      <c r="CB641" s="1361" t="n"/>
    </row>
    <row r="642" hidden="1" outlineLevel="2" ht="14.4" customFormat="1" customHeight="1" s="1597">
      <c r="A642" s="1474" t="inlineStr">
        <is>
          <t>Initial Cap Price 2013, $/share</t>
        </is>
      </c>
      <c r="B642" s="1512" t="n"/>
      <c r="C642" s="1745" t="n">
        <v>31.5</v>
      </c>
      <c r="D642" s="1745" t="n">
        <v>31.5</v>
      </c>
      <c r="E642" s="1745" t="n">
        <v>31.5</v>
      </c>
      <c r="F642" s="1745" t="n">
        <v>31.5</v>
      </c>
      <c r="G642" s="1754" t="n">
        <v>31.5</v>
      </c>
      <c r="H642" s="1754" t="n">
        <v>31.5</v>
      </c>
      <c r="I642" s="1754" t="n">
        <v>31.5</v>
      </c>
      <c r="J642" s="1714" t="n"/>
      <c r="K642" s="1716" t="n"/>
      <c r="L642" s="1714" t="n"/>
      <c r="M642" s="1714" t="n"/>
      <c r="N642" s="1714" t="n"/>
      <c r="O642" s="1714" t="n"/>
      <c r="P642" s="1716" t="n"/>
      <c r="Q642" s="1714" t="n"/>
      <c r="R642" s="1714" t="n"/>
      <c r="S642" s="1714" t="n"/>
      <c r="T642" s="1714" t="n"/>
      <c r="U642" s="1716" t="n"/>
      <c r="V642" s="1714" t="n"/>
      <c r="W642" s="1714" t="n"/>
      <c r="X642" s="1714" t="n"/>
      <c r="Y642" s="1714" t="n"/>
      <c r="Z642" s="1716" t="n"/>
      <c r="AA642" s="1714" t="n"/>
      <c r="AB642" s="1714" t="n"/>
      <c r="AC642" s="1714" t="n"/>
      <c r="AD642" s="1714" t="n"/>
      <c r="AE642" s="1716" t="n"/>
      <c r="AF642" s="1714" t="n"/>
      <c r="AG642" s="1714" t="n"/>
      <c r="AH642" s="1714" t="n"/>
      <c r="AI642" s="1714" t="n"/>
      <c r="AJ642" s="1716" t="n"/>
      <c r="AK642" s="1714" t="n"/>
      <c r="AL642" s="1714" t="n"/>
      <c r="AM642" s="1714" t="n"/>
      <c r="AN642" s="1714" t="n"/>
      <c r="AO642" s="1716" t="n"/>
      <c r="AP642" s="1714" t="n"/>
      <c r="AQ642" s="1714" t="n"/>
      <c r="AR642" s="1714" t="n"/>
      <c r="AS642" s="1714" t="n"/>
      <c r="AT642" s="1716" t="n"/>
      <c r="AU642" s="1714" t="n"/>
      <c r="AV642" s="1714" t="n"/>
      <c r="AW642" s="1714" t="n"/>
      <c r="AX642" s="1714" t="n"/>
      <c r="AY642" s="1716" t="n"/>
      <c r="AZ642" s="1714" t="n"/>
      <c r="BA642" s="1714" t="n"/>
      <c r="BB642" s="1714" t="n"/>
      <c r="BC642" s="1714" t="n"/>
      <c r="BD642" s="1716" t="n"/>
      <c r="BE642" s="1714" t="n"/>
      <c r="BF642" s="1714" t="n"/>
      <c r="BG642" s="1714" t="n"/>
      <c r="BH642" s="1714" t="n"/>
      <c r="BI642" s="1716" t="n"/>
      <c r="BJ642" s="1714" t="n"/>
      <c r="BK642" s="1714" t="n"/>
      <c r="BL642" s="1714" t="n"/>
      <c r="BM642" s="1714" t="n"/>
      <c r="BN642" s="1716" t="n"/>
      <c r="BO642" s="1714" t="n"/>
      <c r="BP642" s="1714" t="n"/>
      <c r="BQ642" s="1717" t="n"/>
      <c r="BR642" s="1714">
        <f>IF(BR641=0,0,BQ642)</f>
        <v/>
      </c>
      <c r="BS642" s="1716">
        <f>BR642</f>
        <v/>
      </c>
      <c r="BT642" s="1714">
        <f>IF(BT641=0,0,BS642)</f>
        <v/>
      </c>
      <c r="BU642" s="1714">
        <f>IF(BU641=0,0,BT642)</f>
        <v/>
      </c>
      <c r="BV642" s="1714">
        <f>IF(BV641=0,0,BU642)</f>
        <v/>
      </c>
      <c r="BW642" s="1714">
        <f>IF(BW641=0,0,BV642)</f>
        <v/>
      </c>
      <c r="BX642" s="1716">
        <f>BW642</f>
        <v/>
      </c>
      <c r="BY642" s="1716">
        <f>IF(BY641=0,0,BX642)</f>
        <v/>
      </c>
      <c r="BZ642" s="1716">
        <f>IF(BZ641=0,0,BY642)</f>
        <v/>
      </c>
      <c r="CA642" s="1716">
        <f>IF(CA641=0,0,BZ642)</f>
        <v/>
      </c>
      <c r="CB642" s="1361" t="n"/>
    </row>
    <row r="643" hidden="1" outlineLevel="2" ht="14.4" customFormat="1" customHeight="1" s="1597">
      <c r="A643" s="1693" t="inlineStr">
        <is>
          <t>Dilutive Offset from Capped Call 2013, mm shares</t>
        </is>
      </c>
      <c r="B643" s="1694" t="n"/>
      <c r="C643" s="1698">
        <f>IFERROR(IF(C526&gt;C642,-C639*C642/C526*C641/C638,-C639),0)</f>
        <v/>
      </c>
      <c r="D643" s="1698">
        <f>IFERROR(IF(D526&gt;D642,-D639*D642/D526*D641/D638,-D639),0)</f>
        <v/>
      </c>
      <c r="E643" s="1698">
        <f>IFERROR(IF(E526&gt;E642,-E639*E642/E526*E641/E638,-E639),0)</f>
        <v/>
      </c>
      <c r="F643" s="1698">
        <f>IFERROR(IF(F526&gt;F642,-F639*F642/F526*F641/F638,-F639),0)</f>
        <v/>
      </c>
      <c r="G643" s="1693">
        <f>IFERROR(IF(G526&gt;G642,-G639*G642/G526*G641/G638,-G639),0)</f>
        <v/>
      </c>
      <c r="H643" s="1693">
        <f>IFERROR(IF(H526&gt;H642,-H639*H642/H526*H641/H638,-H639),0)</f>
        <v/>
      </c>
      <c r="I643" s="1693">
        <f>IFERROR(IF(I526&gt;I642,-I639*I642/I526*I641/I638,-I639),0)</f>
        <v/>
      </c>
      <c r="J643" s="1693">
        <f>IFERROR(IF(J526&gt;J642,-J639*J642/J526*J641/J638,-J639),0)</f>
        <v/>
      </c>
      <c r="K643" s="1698">
        <f>IFERROR(IF(K526&gt;K642,-K639*K642/K526*K641/K638,-K639),0)</f>
        <v/>
      </c>
      <c r="L643" s="1693">
        <f>IFERROR(IF(L526&gt;L642,-L639*L642/L526*L641/L638,-L639),0)</f>
        <v/>
      </c>
      <c r="M643" s="1693">
        <f>IFERROR(IF(M526&gt;M642,-M639*M642/M526*M641/M638,-M639),0)</f>
        <v/>
      </c>
      <c r="N643" s="1693">
        <f>IFERROR(IF(N526&gt;N642,-N639*N642/N526*N641/N638,-N639),0)</f>
        <v/>
      </c>
      <c r="O643" s="1693">
        <f>IFERROR(IF(O526&gt;O642,-O639*O642/O526*O641/O638,-O639),0)</f>
        <v/>
      </c>
      <c r="P643" s="1698">
        <f>IFERROR(IF(P526&gt;P642,-P639*P642/P526*P641/P638,-P639),0)</f>
        <v/>
      </c>
      <c r="Q643" s="1693">
        <f>IFERROR(IF(Q526&gt;Q642,-Q639*Q642/Q526*Q641/Q638,-Q639),0)</f>
        <v/>
      </c>
      <c r="R643" s="1693">
        <f>IFERROR(IF(R526&gt;R642,-R639*R642/R526*R641/R638,-R639),0)</f>
        <v/>
      </c>
      <c r="S643" s="1693">
        <f>IFERROR(IF(S526&gt;S642,-S639*S642/S526*S641/S638,-S639),0)</f>
        <v/>
      </c>
      <c r="T643" s="1693">
        <f>IFERROR(IF(T526&gt;T642,-T639*T642/T526*T641/T638,-T639),0)</f>
        <v/>
      </c>
      <c r="U643" s="1698">
        <f>IFERROR(IF(U526&gt;U642,-U639*U642/U526*U641/U638,-U639),0)</f>
        <v/>
      </c>
      <c r="V643" s="1693">
        <f>IFERROR(IF(V526&gt;V642,-V639*V642/V526*V641/V638,-V639),0)</f>
        <v/>
      </c>
      <c r="W643" s="1693">
        <f>IFERROR(IF(W526&gt;W642,-W639*W642/W526*W641/W638,-W639),0)</f>
        <v/>
      </c>
      <c r="X643" s="1693">
        <f>IFERROR(IF(X526&gt;X642,-X639*X642/X526*X641/X638,-X639),0)</f>
        <v/>
      </c>
      <c r="Y643" s="1693">
        <f>IFERROR(IF(Y526&gt;Y642,-Y639*Y642/Y526*Y641/Y638,-Y639),0)</f>
        <v/>
      </c>
      <c r="Z643" s="1698">
        <f>IFERROR(IF(Z526&gt;Z642,-Z639*Z642/Z526*Z641/Z638,-Z639),0)</f>
        <v/>
      </c>
      <c r="AA643" s="1693">
        <f>IFERROR(IF(AA526&gt;AA642,-AA639*AA642/AA526*AA641/AA638,-AA639),0)</f>
        <v/>
      </c>
      <c r="AB643" s="1693">
        <f>IFERROR(IF(AB526&gt;AB642,-AB639*AB642/AB526*AB641/AB638,-AB639),0)</f>
        <v/>
      </c>
      <c r="AC643" s="1693">
        <f>IFERROR(IF(AC526&gt;AC642,-AC639*AC642/AC526*AC641/AC638,-AC639),0)</f>
        <v/>
      </c>
      <c r="AD643" s="1693">
        <f>IFERROR(IF(AD526&gt;AD642,-AD639*AD642/AD526*AD641/AD638,-AD639),0)</f>
        <v/>
      </c>
      <c r="AE643" s="1698">
        <f>IFERROR(IF(AE526&gt;AE642,-AE639*AE642/AE526*AE641/AE638,-AE639),0)</f>
        <v/>
      </c>
      <c r="AF643" s="1693">
        <f>IFERROR(IF(AF526&gt;AF642,-AF639*AF642/AF526*AF641/AF638,-AF639),0)</f>
        <v/>
      </c>
      <c r="AG643" s="1693">
        <f>IFERROR(IF(AG526&gt;AG642,-AG639*AG642/AG526*AG641/AG638,-AG639),0)</f>
        <v/>
      </c>
      <c r="AH643" s="1693">
        <f>IFERROR(IF(AH526&gt;AH642,-AH639*AH642/AH526*AH641/AH638,-AH639),0)</f>
        <v/>
      </c>
      <c r="AI643" s="1693">
        <f>IFERROR(IF(AI526&gt;AI642,-AI639*AI642/AI526*AI641/AI638,-AI639),0)</f>
        <v/>
      </c>
      <c r="AJ643" s="1698">
        <f>IFERROR(IF(AJ526&gt;AJ642,-AJ639*AJ642/AJ526*AJ641/AJ638,-AJ639),0)</f>
        <v/>
      </c>
      <c r="AK643" s="1693">
        <f>IFERROR(IF(AK526&gt;AK642,-AK639*AK642/AK526*AK641/AK638,-AK639),0)</f>
        <v/>
      </c>
      <c r="AL643" s="1693">
        <f>IFERROR(IF(AL526&gt;AL642,-AL639*AL642/AL526*AL641/AL638,-AL639),0)</f>
        <v/>
      </c>
      <c r="AM643" s="1693">
        <f>IFERROR(IF(AM526&gt;AM642,-AM639*AM642/AM526*AM641/AM638,-AM639),0)</f>
        <v/>
      </c>
      <c r="AN643" s="1693">
        <f>IFERROR(IF(AN526&gt;AN642,-AN639*AN642/AN526*AN641/AN638,-AN639),0)</f>
        <v/>
      </c>
      <c r="AO643" s="1698">
        <f>IFERROR(IF(AO526&gt;AO642,-AO639*AO642/AO526*AO641/AO638,-AO639),0)</f>
        <v/>
      </c>
      <c r="AP643" s="1693">
        <f>IFERROR(IF(AP526&gt;AP642,-AP639*AP642/AP526*AP641/AP638,-AP639),0)</f>
        <v/>
      </c>
      <c r="AQ643" s="1693">
        <f>IFERROR(IF(AQ526&gt;AQ642,-AQ639*AQ642/AQ526*AQ641/AQ638,-AQ639),0)</f>
        <v/>
      </c>
      <c r="AR643" s="1693">
        <f>IFERROR(IF(AR526&gt;AR642,-AR639*AR642/AR526*AR641/AR638,-AR639),0)</f>
        <v/>
      </c>
      <c r="AS643" s="1693">
        <f>IFERROR(IF(AS526&gt;AS642,-AS639*AS642/AS526*AS641/AS638,-AS639),0)</f>
        <v/>
      </c>
      <c r="AT643" s="1698">
        <f>IFERROR(IF(AT526&gt;AT642,-AT639*AT642/AT526*AT641/AT638,-AT639),0)</f>
        <v/>
      </c>
      <c r="AU643" s="1693">
        <f>IFERROR(IF(AU526&gt;AU642,-AU639*AU642/AU526*AU641/AU638,-AU639),0)</f>
        <v/>
      </c>
      <c r="AV643" s="1693">
        <f>IFERROR(IF(AV526&gt;AV642,-AV639*AV642/AV526*AV641/AV638,-AV639),0)</f>
        <v/>
      </c>
      <c r="AW643" s="1693">
        <f>IFERROR(IF(AW526&gt;AW642,-AW639*AW642/AW526*AW641/AW638,-AW639),0)</f>
        <v/>
      </c>
      <c r="AX643" s="1693">
        <f>IFERROR(IF(AX526&gt;AX642,-AX639*AX642/AX526*AX641/AX638,-AX639),0)</f>
        <v/>
      </c>
      <c r="AY643" s="1698">
        <f>IFERROR(IF(AY526&gt;AY642,-AY639*AY642/AY526*AY641/AY638,-AY639),0)</f>
        <v/>
      </c>
      <c r="AZ643" s="1693">
        <f>IFERROR(IF(AZ526&gt;AZ642,-AZ639*AZ642/AZ526*AZ641/AZ638,-AZ639),0)</f>
        <v/>
      </c>
      <c r="BA643" s="1693">
        <f>IFERROR(IF(BA526&gt;BA642,-BA639*BA642/BA526*BA641/BA638,-BA639),0)</f>
        <v/>
      </c>
      <c r="BB643" s="1693">
        <f>IFERROR(IF(BB526&gt;BB642,-BB639*BB642/BB526*BB641/BB638,-BB639),0)</f>
        <v/>
      </c>
      <c r="BC643" s="1693">
        <f>IFERROR(IF(BC526&gt;BC642,-BC639*BC642/BC526*BC641/BC638,-BC639),0)</f>
        <v/>
      </c>
      <c r="BD643" s="1698">
        <f>IFERROR(IF(BD526&gt;BD642,-BD639*BD642/BD526*BD641/BD638,-BD639),0)</f>
        <v/>
      </c>
      <c r="BE643" s="1693">
        <f>IFERROR(IF(BE526&gt;BE642,-BE639*BE642/BE526*BE641/BE638,-BE639),0)</f>
        <v/>
      </c>
      <c r="BF643" s="1693">
        <f>IFERROR(IF(BF526&gt;BF642,-BF639*BF642/BF526*BF641/BF638,-BF639),0)</f>
        <v/>
      </c>
      <c r="BG643" s="1693">
        <f>IFERROR(IF(BG526&gt;BG642,-BG639*BG642/BG526*BG641/BG638,-BG639),0)</f>
        <v/>
      </c>
      <c r="BH643" s="1693">
        <f>IFERROR(IF(BH526&gt;BH642,-BH639*BH642/BH526*BH641/BH638,-BH639),0)</f>
        <v/>
      </c>
      <c r="BI643" s="1698">
        <f>IFERROR(IF(BI526&gt;BI642,-BI639*BI642/BI526*BI641/BI638,-BI639),0)</f>
        <v/>
      </c>
      <c r="BJ643" s="1693">
        <f>IFERROR(IF(BJ526&gt;BJ642,-BJ639*BJ642/BJ526*BJ641/BJ638,-BJ639),0)</f>
        <v/>
      </c>
      <c r="BK643" s="1693">
        <f>IFERROR(IF(BK526&gt;BK642,-BK639*BK642/BK526*BK641/BK638,-BK639),0)</f>
        <v/>
      </c>
      <c r="BL643" s="1693">
        <f>IFERROR(IF(BL526&gt;BL642,-BL639*BL642/BL526*BL641/BL638,-BL639),0)</f>
        <v/>
      </c>
      <c r="BM643" s="1693">
        <f>IFERROR(IF(BM526&gt;BM642,-BM639*BM642/BM526*BM641/BM638,-BM639),0)</f>
        <v/>
      </c>
      <c r="BN643" s="1698">
        <f>IFERROR(IF(BN526&gt;BN642,-BN639*BN642/BN526*BN641/BN638,-BN639),0)</f>
        <v/>
      </c>
      <c r="BO643" s="1693">
        <f>IFERROR(IF(BO526&gt;BO642,-BO639*BO642/BO526*BO641/BO638,-BO639),0)</f>
        <v/>
      </c>
      <c r="BP643" s="1693">
        <f>IFERROR(IF(BP526&gt;BP642,-BP639*BP642/BP526*BP641/BP638,-BP639),0)</f>
        <v/>
      </c>
      <c r="BQ643" s="1733">
        <f>IFERROR(IF(BQ526&gt;BQ642,-BQ639*BQ642/BQ526*BQ641/BQ638,-BQ639),0)</f>
        <v/>
      </c>
      <c r="BR643" s="1693">
        <f>IFERROR(IF(BR526&gt;BR642,-BR639*BR642/BR526*BR641/BR638,-BR639),0)</f>
        <v/>
      </c>
      <c r="BS643" s="1698">
        <f>IFERROR(IF(BS526&gt;BS642,-BS639*BS642/BS526*BS641/BS638,-BS639),0)</f>
        <v/>
      </c>
      <c r="BT643" s="1693">
        <f>IFERROR(IF(BT526&gt;BT642,-BT639*BT642/BT526*BT641/BT638,-BT639),0)</f>
        <v/>
      </c>
      <c r="BU643" s="1693">
        <f>IFERROR(IF(BU526&gt;BU642,-BU639*BU642/BU526*BU641/BU638,-BU639),0)</f>
        <v/>
      </c>
      <c r="BV643" s="1693">
        <f>IFERROR(IF(BV526&gt;BV642,-BV639*BV642/BV526*BV641/BV638,-BV639),0)</f>
        <v/>
      </c>
      <c r="BW643" s="1693">
        <f>IFERROR(IF(BW526&gt;BW642,-BW639*BW642/BW526*BW641/BW638,-BW639),0)</f>
        <v/>
      </c>
      <c r="BX643" s="1698">
        <f>IFERROR(IF(BX526&gt;BX642,-BX639*BX642/BX526*BX641/BX638,-BX639),0)</f>
        <v/>
      </c>
      <c r="BY643" s="1698">
        <f>IFERROR(IF(BY526&gt;BY642,-BY639*BY642/BY526*BY641/BY638,-BY639),0)</f>
        <v/>
      </c>
      <c r="BZ643" s="1698">
        <f>IFERROR(IF(BZ526&gt;BZ642,-BZ639*BZ642/BZ526*BZ641/BZ638,-BZ639),0)</f>
        <v/>
      </c>
      <c r="CA643" s="1698">
        <f>IFERROR(IF(CA526&gt;CA642,-CA639*CA642/CA526*CA641/CA638,-CA639),0)</f>
        <v/>
      </c>
      <c r="CB643" s="1361" t="n"/>
    </row>
    <row r="644" hidden="1" outlineLevel="2" ht="14.4" customFormat="1" customHeight="1" s="1597">
      <c r="A644" s="1474" t="inlineStr">
        <is>
          <t>Cash Paid for Exercising Call Options, mm</t>
        </is>
      </c>
      <c r="B644" s="1512" t="n"/>
      <c r="C644" s="1379">
        <f>IF(C643&lt;0,C641*C637,0)</f>
        <v/>
      </c>
      <c r="D644" s="1379">
        <f>IF(D643&lt;0,D641*D637,0)</f>
        <v/>
      </c>
      <c r="E644" s="1379">
        <f>IF(E643&lt;0,E641*E637,0)</f>
        <v/>
      </c>
      <c r="F644" s="1379">
        <f>IF(F643&lt;0,F641*F637,0)</f>
        <v/>
      </c>
      <c r="G644" s="1361">
        <f>IF(G643&lt;0,G641*G637,0)</f>
        <v/>
      </c>
      <c r="H644" s="1361">
        <f>IF(H643&lt;0,H641*H637,0)</f>
        <v/>
      </c>
      <c r="I644" s="1361">
        <f>IF(I643&lt;0,I641*I637,0)</f>
        <v/>
      </c>
      <c r="J644" s="1361">
        <f>IF(J643&lt;0,J641*J637,0)</f>
        <v/>
      </c>
      <c r="K644" s="1379">
        <f>IF(K643&lt;0,K641*K637,0)</f>
        <v/>
      </c>
      <c r="L644" s="1361">
        <f>IF(L643&lt;0,L641*L637,0)</f>
        <v/>
      </c>
      <c r="M644" s="1361">
        <f>IF(M643&lt;0,M641*M637,0)</f>
        <v/>
      </c>
      <c r="N644" s="1361">
        <f>IF(N643&lt;0,N641*N637,0)</f>
        <v/>
      </c>
      <c r="O644" s="1361">
        <f>IF(O643&lt;0,O641*O637,0)</f>
        <v/>
      </c>
      <c r="P644" s="1379">
        <f>IF(P643&lt;0,P641*P637,0)</f>
        <v/>
      </c>
      <c r="Q644" s="1361">
        <f>IF(Q643&lt;0,Q641*Q637,0)</f>
        <v/>
      </c>
      <c r="R644" s="1361">
        <f>IF(R643&lt;0,R641*R637,0)</f>
        <v/>
      </c>
      <c r="S644" s="1361">
        <f>IF(S643&lt;0,S641*S637,0)</f>
        <v/>
      </c>
      <c r="T644" s="1361">
        <f>IF(T643&lt;0,T641*T637,0)</f>
        <v/>
      </c>
      <c r="U644" s="1379">
        <f>IF(U643&lt;0,U641*U637,0)</f>
        <v/>
      </c>
      <c r="V644" s="1361">
        <f>IF(V643&lt;0,V641*V637,0)</f>
        <v/>
      </c>
      <c r="W644" s="1361">
        <f>IF(W643&lt;0,W641*W637,0)</f>
        <v/>
      </c>
      <c r="X644" s="1361">
        <f>IF(X643&lt;0,X641*X637,0)</f>
        <v/>
      </c>
      <c r="Y644" s="1361">
        <f>IF(Y643&lt;0,Y641*Y637,0)</f>
        <v/>
      </c>
      <c r="Z644" s="1379">
        <f>IF(Z643&lt;0,Z641*Z637,0)</f>
        <v/>
      </c>
      <c r="AA644" s="1361">
        <f>IF(AA643&lt;0,AA641*AA637,0)</f>
        <v/>
      </c>
      <c r="AB644" s="1361">
        <f>IF(AB643&lt;0,AB641*AB637,0)</f>
        <v/>
      </c>
      <c r="AC644" s="1361">
        <f>IF(AC643&lt;0,AC641*AC637,0)</f>
        <v/>
      </c>
      <c r="AD644" s="1361">
        <f>IF(AD643&lt;0,AD641*AD637,0)</f>
        <v/>
      </c>
      <c r="AE644" s="1379">
        <f>IF(AE643&lt;0,AE641*AE637,0)</f>
        <v/>
      </c>
      <c r="AF644" s="1361">
        <f>IF(AF643&lt;0,AF641*AF637,0)</f>
        <v/>
      </c>
      <c r="AG644" s="1361">
        <f>IF(AG643&lt;0,AG641*AG637,0)</f>
        <v/>
      </c>
      <c r="AH644" s="1361">
        <f>IF(AH643&lt;0,AH641*AH637,0)</f>
        <v/>
      </c>
      <c r="AI644" s="1361">
        <f>IF(AI643&lt;0,AI641*AI637,0)</f>
        <v/>
      </c>
      <c r="AJ644" s="1379">
        <f>IF(AJ643&lt;0,AJ641*AJ637,0)</f>
        <v/>
      </c>
      <c r="AK644" s="1361">
        <f>IF(AK643&lt;0,AK641*AK637,0)</f>
        <v/>
      </c>
      <c r="AL644" s="1361">
        <f>IF(AL643&lt;0,AL641*AL637,0)</f>
        <v/>
      </c>
      <c r="AM644" s="1361">
        <f>IF(AM643&lt;0,AM641*AM637,0)</f>
        <v/>
      </c>
      <c r="AN644" s="1361">
        <f>IF(AN643&lt;0,AN641*AN637,0)</f>
        <v/>
      </c>
      <c r="AO644" s="1379">
        <f>IF(AO643&lt;0,AO641*AO637,0)</f>
        <v/>
      </c>
      <c r="AP644" s="1361">
        <f>IF(AP643&lt;0,AP641*AP637,0)</f>
        <v/>
      </c>
      <c r="AQ644" s="1361">
        <f>IF(AQ643&lt;0,AQ641*AQ637,0)</f>
        <v/>
      </c>
      <c r="AR644" s="1361">
        <f>IF(AR643&lt;0,AR641*AR637,0)</f>
        <v/>
      </c>
      <c r="AS644" s="1361">
        <f>IF(AS643&lt;0,AS641*AS637,0)</f>
        <v/>
      </c>
      <c r="AT644" s="1379">
        <f>IF(AT643&lt;0,AT641*AT637,0)</f>
        <v/>
      </c>
      <c r="AU644" s="1361">
        <f>IF(AU643&lt;0,AU641*AU637,0)</f>
        <v/>
      </c>
      <c r="AV644" s="1361">
        <f>IF(AV643&lt;0,AV641*AV637,0)</f>
        <v/>
      </c>
      <c r="AW644" s="1361">
        <f>IF(AW643&lt;0,AW641*AW637,0)</f>
        <v/>
      </c>
      <c r="AX644" s="1361">
        <f>IF(AX643&lt;0,AX641*AX637,0)</f>
        <v/>
      </c>
      <c r="AY644" s="1379">
        <f>IF(AY643&lt;0,AY641*AY637,0)</f>
        <v/>
      </c>
      <c r="AZ644" s="1361">
        <f>IF(AZ643&lt;0,AZ641*AZ637,0)</f>
        <v/>
      </c>
      <c r="BA644" s="1361">
        <f>IF(BA643&lt;0,BA641*BA637,0)</f>
        <v/>
      </c>
      <c r="BB644" s="1361">
        <f>IF(BB643&lt;0,BB641*BB637,0)</f>
        <v/>
      </c>
      <c r="BC644" s="1361">
        <f>IF(BC643&lt;0,BC641*BC637,0)</f>
        <v/>
      </c>
      <c r="BD644" s="1379">
        <f>IF(BD643&lt;0,BD641*BD637,0)</f>
        <v/>
      </c>
      <c r="BE644" s="1361">
        <f>IF(BE643&lt;0,BE641*BE637,0)</f>
        <v/>
      </c>
      <c r="BF644" s="1361">
        <f>IF(BF643&lt;0,BF641*BF637,0)</f>
        <v/>
      </c>
      <c r="BG644" s="1361">
        <f>IF(BG643&lt;0,BG641*BG637,0)</f>
        <v/>
      </c>
      <c r="BH644" s="1361">
        <f>IF(BH643&lt;0,BH641*BH637,0)</f>
        <v/>
      </c>
      <c r="BI644" s="1379">
        <f>IF(BI643&lt;0,BI641*BI637,0)</f>
        <v/>
      </c>
      <c r="BJ644" s="1361">
        <f>IF(BJ643&lt;0,BJ641*BJ637,0)</f>
        <v/>
      </c>
      <c r="BK644" s="1361">
        <f>IF(BK643&lt;0,BK641*BK637,0)</f>
        <v/>
      </c>
      <c r="BL644" s="1361">
        <f>IF(BL643&lt;0,BL641*BL637,0)</f>
        <v/>
      </c>
      <c r="BM644" s="1361">
        <f>IF(BM643&lt;0,BM641*BM637,0)</f>
        <v/>
      </c>
      <c r="BN644" s="1379">
        <f>IF(BN643&lt;0,BN641*BN637,0)</f>
        <v/>
      </c>
      <c r="BO644" s="1361">
        <f>IF(BO643&lt;0,BO641*BO637,0)</f>
        <v/>
      </c>
      <c r="BP644" s="1361">
        <f>IF(BP643&lt;0,BP641*BP637,0)</f>
        <v/>
      </c>
      <c r="BQ644" s="1363">
        <f>IF(BQ643&lt;0,BQ641*BQ637,0)</f>
        <v/>
      </c>
      <c r="BR644" s="1361">
        <f>IF(BR643&lt;0,BR641*BR637,0)</f>
        <v/>
      </c>
      <c r="BS644" s="1379">
        <f>IF(BS643&lt;0,BS641*BS637,0)</f>
        <v/>
      </c>
      <c r="BT644" s="1361">
        <f>IF(BT643&lt;0,BT641*BT637,0)</f>
        <v/>
      </c>
      <c r="BU644" s="1361">
        <f>IF(BU643&lt;0,BU641*BU637,0)</f>
        <v/>
      </c>
      <c r="BV644" s="1361">
        <f>IF(BV643&lt;0,BV641*BV637,0)</f>
        <v/>
      </c>
      <c r="BW644" s="1361">
        <f>IF(BW643&lt;0,BW641*BW637,0)</f>
        <v/>
      </c>
      <c r="BX644" s="1379">
        <f>IF(BX643&lt;0,BX641*BX637,0)</f>
        <v/>
      </c>
      <c r="BY644" s="1379">
        <f>IF(BY643&lt;0,BY641*BY637,0)</f>
        <v/>
      </c>
      <c r="BZ644" s="1379">
        <f>IF(BZ643&lt;0,BZ641*BZ637,0)</f>
        <v/>
      </c>
      <c r="CA644" s="1379">
        <f>IF(CA643&lt;0,CA641*CA637,0)</f>
        <v/>
      </c>
      <c r="CB644" s="1361" t="n"/>
    </row>
    <row r="645" hidden="1" outlineLevel="2" ht="14.4" customFormat="1" customHeight="1" s="1597">
      <c r="A645" s="1361" t="n"/>
      <c r="B645" s="1512" t="n"/>
      <c r="C645" s="1379" t="n"/>
      <c r="D645" s="1379" t="n"/>
      <c r="E645" s="1379" t="n"/>
      <c r="F645" s="1379" t="n"/>
      <c r="G645" s="1361" t="n"/>
      <c r="H645" s="1361" t="n"/>
      <c r="I645" s="1361" t="n"/>
      <c r="J645" s="1361" t="n"/>
      <c r="K645" s="1379" t="n"/>
      <c r="L645" s="1361" t="n"/>
      <c r="M645" s="1361" t="n"/>
      <c r="N645" s="1361" t="n"/>
      <c r="O645" s="1361" t="n"/>
      <c r="P645" s="1379" t="n"/>
      <c r="Q645" s="1361" t="n"/>
      <c r="R645" s="1361" t="n"/>
      <c r="S645" s="1361" t="n"/>
      <c r="T645" s="1361" t="n"/>
      <c r="U645" s="1379" t="n"/>
      <c r="V645" s="1361" t="n"/>
      <c r="W645" s="1361" t="n"/>
      <c r="X645" s="1361" t="n"/>
      <c r="Y645" s="1361" t="n"/>
      <c r="Z645" s="1379" t="n"/>
      <c r="AA645" s="1361" t="n"/>
      <c r="AB645" s="1361" t="n"/>
      <c r="AC645" s="1361" t="n"/>
      <c r="AD645" s="1361" t="n"/>
      <c r="AE645" s="1379" t="n"/>
      <c r="AF645" s="1361" t="n"/>
      <c r="AG645" s="1361" t="n"/>
      <c r="AH645" s="1361" t="n"/>
      <c r="AI645" s="1361" t="n"/>
      <c r="AJ645" s="1379" t="n"/>
      <c r="AK645" s="1361" t="n"/>
      <c r="AL645" s="1361" t="n"/>
      <c r="AM645" s="1361" t="n"/>
      <c r="AN645" s="1361" t="n"/>
      <c r="AO645" s="1379" t="n"/>
      <c r="AP645" s="1361" t="n"/>
      <c r="AQ645" s="1361" t="n"/>
      <c r="AR645" s="1361" t="n"/>
      <c r="AS645" s="1361" t="n"/>
      <c r="AT645" s="1379" t="n"/>
      <c r="AU645" s="1361" t="n"/>
      <c r="AV645" s="1361" t="n"/>
      <c r="AW645" s="1361" t="n"/>
      <c r="AX645" s="1361" t="n"/>
      <c r="AY645" s="1379" t="n"/>
      <c r="AZ645" s="1361" t="n"/>
      <c r="BA645" s="1361" t="n"/>
      <c r="BB645" s="1361" t="n"/>
      <c r="BC645" s="1361" t="n"/>
      <c r="BD645" s="1379" t="n"/>
      <c r="BE645" s="1361" t="n"/>
      <c r="BF645" s="1361" t="n"/>
      <c r="BG645" s="1361" t="n"/>
      <c r="BH645" s="1361" t="n"/>
      <c r="BI645" s="1379" t="n"/>
      <c r="BJ645" s="1361" t="n"/>
      <c r="BK645" s="1361" t="n"/>
      <c r="BL645" s="1361" t="n"/>
      <c r="BM645" s="1361" t="n"/>
      <c r="BN645" s="1379" t="n"/>
      <c r="BO645" s="1361" t="n"/>
      <c r="BP645" s="1361" t="n"/>
      <c r="BQ645" s="1363" t="n"/>
      <c r="BR645" s="1361" t="n"/>
      <c r="BS645" s="1379" t="n"/>
      <c r="BT645" s="1361" t="n"/>
      <c r="BU645" s="1361" t="n"/>
      <c r="BV645" s="1361" t="n"/>
      <c r="BW645" s="1361" t="n"/>
      <c r="BX645" s="1379" t="n"/>
      <c r="BY645" s="1379" t="n"/>
      <c r="BZ645" s="1379" t="n"/>
      <c r="CA645" s="1379" t="n"/>
      <c r="CB645" s="1361" t="n"/>
    </row>
    <row r="646" hidden="1" outlineLevel="2" ht="14.4" customFormat="1" customHeight="1" s="1597">
      <c r="A646" s="1361" t="inlineStr">
        <is>
          <t>2013 Notes Net Share Increase from Note Conversion and Capped Call Exercise, mm shares</t>
        </is>
      </c>
      <c r="B646" s="1512" t="n"/>
      <c r="C646" s="1379" t="n"/>
      <c r="D646" s="1379" t="n"/>
      <c r="E646" s="1379" t="n"/>
      <c r="F646" s="1379" t="n"/>
      <c r="G646" s="1361" t="n"/>
      <c r="H646" s="1361" t="n"/>
      <c r="I646" s="1361" t="n"/>
      <c r="J646" s="1361" t="n"/>
      <c r="K646" s="1379" t="n"/>
      <c r="L646" s="1361" t="n"/>
      <c r="M646" s="1361" t="n"/>
      <c r="N646" s="1361" t="n"/>
      <c r="O646" s="1361" t="n"/>
      <c r="P646" s="1379" t="n"/>
      <c r="Q646" s="1361" t="n"/>
      <c r="R646" s="1361" t="n"/>
      <c r="S646" s="1361" t="n"/>
      <c r="T646" s="1361" t="n"/>
      <c r="U646" s="1379" t="n"/>
      <c r="V646" s="1361" t="n"/>
      <c r="W646" s="1361" t="n"/>
      <c r="X646" s="1361" t="n"/>
      <c r="Y646" s="1361" t="n"/>
      <c r="Z646" s="1379" t="n"/>
      <c r="AA646" s="1361" t="n"/>
      <c r="AB646" s="1361" t="n"/>
      <c r="AC646" s="1361" t="n"/>
      <c r="AD646" s="1361" t="n"/>
      <c r="AE646" s="1379" t="n"/>
      <c r="AF646" s="1361" t="n"/>
      <c r="AG646" s="1361" t="n"/>
      <c r="AH646" s="1361" t="n"/>
      <c r="AI646" s="1361" t="n"/>
      <c r="AJ646" s="1379" t="n"/>
      <c r="AK646" s="1361" t="n"/>
      <c r="AL646" s="1361" t="n"/>
      <c r="AM646" s="1361" t="n"/>
      <c r="AN646" s="1361" t="n"/>
      <c r="AO646" s="1379" t="n"/>
      <c r="AP646" s="1361" t="n"/>
      <c r="AQ646" s="1361" t="n"/>
      <c r="AR646" s="1361" t="n"/>
      <c r="AS646" s="1361" t="n"/>
      <c r="AT646" s="1379" t="n"/>
      <c r="AU646" s="1361" t="n"/>
      <c r="AV646" s="1361" t="n"/>
      <c r="AW646" s="1361" t="n"/>
      <c r="AX646" s="1361" t="n"/>
      <c r="AY646" s="1379" t="n"/>
      <c r="AZ646" s="1361" t="n"/>
      <c r="BA646" s="1361" t="n"/>
      <c r="BB646" s="1361" t="n"/>
      <c r="BC646" s="1361" t="n"/>
      <c r="BD646" s="1379" t="n"/>
      <c r="BE646" s="1361" t="n"/>
      <c r="BF646" s="1361" t="n"/>
      <c r="BG646" s="1361" t="n"/>
      <c r="BH646" s="1361" t="n"/>
      <c r="BI646" s="1379" t="n"/>
      <c r="BJ646" s="1361" t="n"/>
      <c r="BK646" s="1361" t="n"/>
      <c r="BL646" s="1361" t="n"/>
      <c r="BM646" s="1361" t="n"/>
      <c r="BN646" s="1379" t="n"/>
      <c r="BO646" s="1361" t="n"/>
      <c r="BP646" s="1361" t="n"/>
      <c r="BQ646" s="1363" t="n"/>
      <c r="BR646" s="1361">
        <f>IFERROR(IF(AND(BR633=0,BR526&gt;BQ637,BR526&gt;BQ642),BQ638-BQ638*BQ642/BR526*BQ641/BQ638,0),0)</f>
        <v/>
      </c>
      <c r="BS646" s="1379">
        <f>SUM(BO646,BP646,BQ646,BR646)</f>
        <v/>
      </c>
      <c r="BT646" s="1361">
        <f>IFERROR(IF(AND(BT633=0,BT526&gt;BS637,BT526&gt;BS642),BS638-BS638*BS642/BT526*BS641/BS638,0),0)</f>
        <v/>
      </c>
      <c r="BU646" s="1361">
        <f>IFERROR(IF(AND(BU633=0,BU526&gt;BT637,BU526&gt;BT642),BT638-BT638*BT642/BU526*BT641/BT638,0),0)</f>
        <v/>
      </c>
      <c r="BV646" s="1361">
        <f>IFERROR(IF(AND(BV633=0,BV526&gt;BU637,BV526&gt;BU642),BU638-BU638*BU642/BV526*BU641/BU638,0),0)</f>
        <v/>
      </c>
      <c r="BW646" s="1361">
        <f>IFERROR(IF(AND(BW633=0,BW526&gt;BV637,BW526&gt;BV642),BV638-BV638*BV642/BW526*BV641/BV638,0),0)</f>
        <v/>
      </c>
      <c r="BX646" s="1379">
        <f>SUM(BT646,BU646,BV646,BW646)</f>
        <v/>
      </c>
      <c r="BY646" s="1379">
        <f>IFERROR(IF(AND(BY633=0,BY526&gt;BX637,BY526&gt;BX642),BX638-BX638*BX642/BY526*BX641/BX638,0),0)</f>
        <v/>
      </c>
      <c r="BZ646" s="1379">
        <f>IFERROR(IF(AND(BZ633=0,BZ526&gt;BY637,BZ526&gt;BY642),BY638-BY638*BY642/BZ526*BY641/BY638,0),0)</f>
        <v/>
      </c>
      <c r="CA646" s="1379">
        <f>IFERROR(IF(AND(CA633=0,CA526&gt;BZ637,CA526&gt;BZ642),BZ638-BZ638*BZ642/CA526*BZ641/BZ638,0),0)</f>
        <v/>
      </c>
      <c r="CB646" s="1361" t="n"/>
    </row>
    <row r="647" hidden="1" outlineLevel="2" ht="14.4" customFormat="1" customHeight="1" s="1597">
      <c r="A647" s="1361" t="inlineStr">
        <is>
          <t>2013 Notes Cash Payment on Capped Call Exercise</t>
        </is>
      </c>
      <c r="B647" s="1512" t="n"/>
      <c r="C647" s="1379" t="n"/>
      <c r="D647" s="1379" t="n"/>
      <c r="E647" s="1379" t="n"/>
      <c r="F647" s="1379" t="n"/>
      <c r="G647" s="1361" t="n"/>
      <c r="H647" s="1361" t="n"/>
      <c r="I647" s="1361" t="n"/>
      <c r="J647" s="1361" t="n"/>
      <c r="K647" s="1379" t="n"/>
      <c r="L647" s="1361" t="n"/>
      <c r="M647" s="1361" t="n"/>
      <c r="N647" s="1361" t="n"/>
      <c r="O647" s="1361" t="n"/>
      <c r="P647" s="1379" t="n"/>
      <c r="Q647" s="1361" t="n"/>
      <c r="R647" s="1361" t="n"/>
      <c r="S647" s="1361" t="n"/>
      <c r="T647" s="1361" t="n"/>
      <c r="U647" s="1379" t="n"/>
      <c r="V647" s="1361" t="n"/>
      <c r="W647" s="1361" t="n"/>
      <c r="X647" s="1361" t="n"/>
      <c r="Y647" s="1361" t="n"/>
      <c r="Z647" s="1379" t="n"/>
      <c r="AA647" s="1361" t="n"/>
      <c r="AB647" s="1361" t="n"/>
      <c r="AC647" s="1361" t="n"/>
      <c r="AD647" s="1361" t="n"/>
      <c r="AE647" s="1379" t="n"/>
      <c r="AF647" s="1361" t="n"/>
      <c r="AG647" s="1361" t="n"/>
      <c r="AH647" s="1361" t="n"/>
      <c r="AI647" s="1361" t="n"/>
      <c r="AJ647" s="1379" t="n"/>
      <c r="AK647" s="1361" t="n"/>
      <c r="AL647" s="1361" t="n"/>
      <c r="AM647" s="1361" t="n"/>
      <c r="AN647" s="1361" t="n"/>
      <c r="AO647" s="1379" t="n"/>
      <c r="AP647" s="1361" t="n"/>
      <c r="AQ647" s="1361" t="n"/>
      <c r="AR647" s="1361" t="n"/>
      <c r="AS647" s="1361" t="n"/>
      <c r="AT647" s="1379" t="n"/>
      <c r="AU647" s="1361" t="n"/>
      <c r="AV647" s="1361" t="n"/>
      <c r="AW647" s="1361" t="n"/>
      <c r="AX647" s="1361" t="n"/>
      <c r="AY647" s="1379" t="n"/>
      <c r="AZ647" s="1361" t="n"/>
      <c r="BA647" s="1361" t="n"/>
      <c r="BB647" s="1361" t="n"/>
      <c r="BC647" s="1361" t="n"/>
      <c r="BD647" s="1379" t="n"/>
      <c r="BE647" s="1361" t="n"/>
      <c r="BF647" s="1361" t="n"/>
      <c r="BG647" s="1361" t="n"/>
      <c r="BH647" s="1361" t="n"/>
      <c r="BI647" s="1379" t="n"/>
      <c r="BJ647" s="1361" t="n"/>
      <c r="BK647" s="1361" t="n"/>
      <c r="BL647" s="1361" t="n"/>
      <c r="BM647" s="1361" t="n"/>
      <c r="BN647" s="1379" t="n"/>
      <c r="BO647" s="1361" t="n"/>
      <c r="BP647" s="1361" t="n"/>
      <c r="BQ647" s="1363" t="n"/>
      <c r="BR647" s="1361">
        <f>IF(AND(BR633=0,BR526&gt;BQ637),-BQ637*BQ641,0)</f>
        <v/>
      </c>
      <c r="BS647" s="1379">
        <f>SUM(BO647,BP647,BQ647,BR647)</f>
        <v/>
      </c>
      <c r="BT647" s="1361">
        <f>IF(AND(BT633=0,BT526&gt;BS637),-BS637*BS641,0)</f>
        <v/>
      </c>
      <c r="BU647" s="1361">
        <f>IF(AND(BU633=0,BU526&gt;BT637),-BT637*BT641,0)</f>
        <v/>
      </c>
      <c r="BV647" s="1361">
        <f>IF(AND(BV633=0,BV526&gt;BU637),-BU637*BU641,0)</f>
        <v/>
      </c>
      <c r="BW647" s="1361">
        <f>IF(AND(BW633=0,BW526&gt;BV637),-BV637*BV641,0)</f>
        <v/>
      </c>
      <c r="BX647" s="1379">
        <f>SUM(BT647,BU647,BV647,BW647)</f>
        <v/>
      </c>
      <c r="BY647" s="1379">
        <f>IF(AND(BY633=0,BY526&gt;BX637),-BX637*BX641,0)</f>
        <v/>
      </c>
      <c r="BZ647" s="1379">
        <f>IF(AND(BZ633=0,BZ526&gt;BY637),-BY637*BY641,0)</f>
        <v/>
      </c>
      <c r="CA647" s="1379">
        <f>IF(AND(CA633=0,CA526&gt;BZ637),-BZ637*BZ641,0)</f>
        <v/>
      </c>
      <c r="CB647" s="1361" t="n"/>
    </row>
    <row r="648" hidden="1" outlineLevel="2" ht="14.4" customFormat="1" customHeight="1" s="1597">
      <c r="A648" s="1361" t="inlineStr">
        <is>
          <t>2013 Notes Cash Payment on Note Principal Repayment</t>
        </is>
      </c>
      <c r="B648" s="1512" t="n"/>
      <c r="C648" s="1379" t="n"/>
      <c r="D648" s="1379" t="n"/>
      <c r="E648" s="1379" t="n"/>
      <c r="F648" s="1379" t="n"/>
      <c r="G648" s="1361" t="n"/>
      <c r="H648" s="1361" t="n"/>
      <c r="I648" s="1361" t="n"/>
      <c r="J648" s="1361" t="n"/>
      <c r="K648" s="1379" t="n"/>
      <c r="L648" s="1361" t="n"/>
      <c r="M648" s="1361" t="n"/>
      <c r="N648" s="1361" t="n"/>
      <c r="O648" s="1361" t="n"/>
      <c r="P648" s="1379" t="n"/>
      <c r="Q648" s="1361" t="n"/>
      <c r="R648" s="1361" t="n"/>
      <c r="S648" s="1361" t="n"/>
      <c r="T648" s="1361" t="n"/>
      <c r="U648" s="1379" t="n"/>
      <c r="V648" s="1361" t="n"/>
      <c r="W648" s="1361" t="n"/>
      <c r="X648" s="1361" t="n"/>
      <c r="Y648" s="1361" t="n"/>
      <c r="Z648" s="1379" t="n"/>
      <c r="AA648" s="1361" t="n"/>
      <c r="AB648" s="1361" t="n"/>
      <c r="AC648" s="1361" t="n"/>
      <c r="AD648" s="1361" t="n"/>
      <c r="AE648" s="1379" t="n"/>
      <c r="AF648" s="1361" t="n"/>
      <c r="AG648" s="1361" t="n"/>
      <c r="AH648" s="1361" t="n"/>
      <c r="AI648" s="1361" t="n"/>
      <c r="AJ648" s="1379" t="n"/>
      <c r="AK648" s="1361" t="n"/>
      <c r="AL648" s="1361" t="n"/>
      <c r="AM648" s="1361" t="n"/>
      <c r="AN648" s="1361" t="n"/>
      <c r="AO648" s="1379" t="n"/>
      <c r="AP648" s="1361" t="n"/>
      <c r="AQ648" s="1361" t="n"/>
      <c r="AR648" s="1361" t="n"/>
      <c r="AS648" s="1361" t="n"/>
      <c r="AT648" s="1379" t="n"/>
      <c r="AU648" s="1361" t="n"/>
      <c r="AV648" s="1361" t="n"/>
      <c r="AW648" s="1361" t="n"/>
      <c r="AX648" s="1361" t="n"/>
      <c r="AY648" s="1379" t="n"/>
      <c r="AZ648" s="1361" t="n"/>
      <c r="BA648" s="1361" t="n"/>
      <c r="BB648" s="1361" t="n"/>
      <c r="BC648" s="1361" t="n"/>
      <c r="BD648" s="1379" t="n"/>
      <c r="BE648" s="1361" t="n"/>
      <c r="BF648" s="1361" t="n"/>
      <c r="BG648" s="1361" t="n"/>
      <c r="BH648" s="1361" t="n"/>
      <c r="BI648" s="1379" t="n"/>
      <c r="BJ648" s="1361" t="n"/>
      <c r="BK648" s="1361" t="n"/>
      <c r="BL648" s="1361" t="n"/>
      <c r="BM648" s="1361" t="n"/>
      <c r="BN648" s="1379" t="n"/>
      <c r="BO648" s="1361" t="n"/>
      <c r="BP648" s="1361" t="n"/>
      <c r="BQ648" s="1363" t="n"/>
      <c r="BR648" s="1361">
        <f>IF(AND(BR633=0,BR526&lt;=BQ637),-BQ633,0)</f>
        <v/>
      </c>
      <c r="BS648" s="1379">
        <f>SUM(BO648,BP648,BQ648,BR648)</f>
        <v/>
      </c>
      <c r="BT648" s="1361">
        <f>IF(AND(BT633=0,BT526&lt;=BS637),-BS633,0)</f>
        <v/>
      </c>
      <c r="BU648" s="1361">
        <f>IF(AND(BU633=0,BU526&lt;=BT637),-BT633,0)</f>
        <v/>
      </c>
      <c r="BV648" s="1361">
        <f>IF(AND(BV633=0,BV526&lt;=BU637),-BU633,0)</f>
        <v/>
      </c>
      <c r="BW648" s="1361">
        <f>IF(AND(BW633=0,BW526&lt;=BV637),-BV633,0)</f>
        <v/>
      </c>
      <c r="BX648" s="1379">
        <f>SUM(BT648,BU648,BV648,BW648)</f>
        <v/>
      </c>
      <c r="BY648" s="1379">
        <f>IF(AND(BY633=0,BY526&lt;=BX637),-BX633,0)</f>
        <v/>
      </c>
      <c r="BZ648" s="1379">
        <f>IF(AND(BZ633=0,BZ526&lt;=BY637),-BY633,0)</f>
        <v/>
      </c>
      <c r="CA648" s="1379">
        <f>IF(AND(CA633=0,CA526&lt;=BZ637),-BZ633,0)</f>
        <v/>
      </c>
      <c r="CB648" s="1361" t="n"/>
    </row>
    <row r="649" hidden="1" outlineLevel="2" ht="14.4" customFormat="1" customHeight="1" s="1597">
      <c r="A649" s="1361" t="n"/>
      <c r="B649" s="1512" t="n"/>
      <c r="C649" s="1379" t="n"/>
      <c r="D649" s="1379" t="n"/>
      <c r="E649" s="1379" t="n"/>
      <c r="F649" s="1379" t="n"/>
      <c r="G649" s="1361" t="n"/>
      <c r="H649" s="1361" t="n"/>
      <c r="I649" s="1361" t="n"/>
      <c r="J649" s="1361" t="n"/>
      <c r="K649" s="1379" t="n"/>
      <c r="L649" s="1361" t="n"/>
      <c r="M649" s="1361" t="n"/>
      <c r="N649" s="1361" t="n"/>
      <c r="O649" s="1361" t="n"/>
      <c r="P649" s="1379" t="n"/>
      <c r="Q649" s="1361" t="n"/>
      <c r="R649" s="1361" t="n"/>
      <c r="S649" s="1361" t="n"/>
      <c r="T649" s="1361" t="n"/>
      <c r="U649" s="1379" t="n"/>
      <c r="V649" s="1361" t="n"/>
      <c r="W649" s="1361" t="n"/>
      <c r="X649" s="1361" t="n"/>
      <c r="Y649" s="1361" t="n"/>
      <c r="Z649" s="1379" t="n"/>
      <c r="AA649" s="1361" t="n"/>
      <c r="AB649" s="1361" t="n"/>
      <c r="AC649" s="1361" t="n"/>
      <c r="AD649" s="1361" t="n"/>
      <c r="AE649" s="1379" t="n"/>
      <c r="AF649" s="1361" t="n"/>
      <c r="AG649" s="1361" t="n"/>
      <c r="AH649" s="1361" t="n"/>
      <c r="AI649" s="1361" t="n"/>
      <c r="AJ649" s="1379" t="n"/>
      <c r="AK649" s="1361" t="n"/>
      <c r="AL649" s="1361" t="n"/>
      <c r="AM649" s="1361" t="n"/>
      <c r="AN649" s="1361" t="n"/>
      <c r="AO649" s="1379" t="n"/>
      <c r="AP649" s="1361" t="n"/>
      <c r="AQ649" s="1361" t="n"/>
      <c r="AR649" s="1361" t="n"/>
      <c r="AS649" s="1361" t="n"/>
      <c r="AT649" s="1379" t="n"/>
      <c r="AU649" s="1361" t="n"/>
      <c r="AV649" s="1361" t="n"/>
      <c r="AW649" s="1361" t="n"/>
      <c r="AX649" s="1361" t="n"/>
      <c r="AY649" s="1379" t="n"/>
      <c r="AZ649" s="1361" t="n"/>
      <c r="BA649" s="1361" t="n"/>
      <c r="BB649" s="1361" t="n"/>
      <c r="BC649" s="1361" t="n"/>
      <c r="BD649" s="1379" t="n"/>
      <c r="BE649" s="1361" t="n"/>
      <c r="BF649" s="1361" t="n"/>
      <c r="BG649" s="1361" t="n"/>
      <c r="BH649" s="1361" t="n"/>
      <c r="BI649" s="1379" t="n"/>
      <c r="BJ649" s="1361" t="n"/>
      <c r="BK649" s="1361" t="n"/>
      <c r="BL649" s="1361" t="n"/>
      <c r="BM649" s="1361" t="n"/>
      <c r="BN649" s="1379" t="n"/>
      <c r="BO649" s="1361" t="n"/>
      <c r="BP649" s="1361" t="n"/>
      <c r="BQ649" s="1363" t="n"/>
      <c r="BR649" s="1361" t="n"/>
      <c r="BS649" s="1379" t="n"/>
      <c r="BT649" s="1361" t="n"/>
      <c r="BU649" s="1361" t="n"/>
      <c r="BV649" s="1361" t="n"/>
      <c r="BW649" s="1361" t="n"/>
      <c r="BX649" s="1379" t="n"/>
      <c r="BY649" s="1379" t="n"/>
      <c r="BZ649" s="1379" t="n"/>
      <c r="CA649" s="1379" t="n"/>
      <c r="CB649" s="1361" t="n"/>
    </row>
    <row r="650" hidden="1" outlineLevel="3" ht="14.4" customFormat="1" customHeight="1" s="1597">
      <c r="A650" s="1508" t="inlineStr">
        <is>
          <t>2015 Notes Outstanding Principal EoP</t>
        </is>
      </c>
      <c r="B650" s="1077" t="n">
        <v>42156</v>
      </c>
      <c r="C650" s="1379" t="n"/>
      <c r="D650" s="1494" t="n">
        <v>350</v>
      </c>
      <c r="E650" s="1494" t="n">
        <v>350</v>
      </c>
      <c r="F650" s="1494" t="n">
        <v>350</v>
      </c>
      <c r="G650" s="1493" t="n">
        <v>350</v>
      </c>
      <c r="H650" s="1493" t="n">
        <v>350</v>
      </c>
      <c r="I650" s="1493" t="n">
        <v>350</v>
      </c>
      <c r="J650" s="1361">
        <f>K650</f>
        <v/>
      </c>
      <c r="K650" s="1494" t="n">
        <v>350</v>
      </c>
      <c r="L650" s="1493" t="n">
        <v>350</v>
      </c>
      <c r="M650" s="1493" t="n">
        <v>350</v>
      </c>
      <c r="N650" s="1493" t="n">
        <v>349.999</v>
      </c>
      <c r="O650" s="1361">
        <f>P650</f>
        <v/>
      </c>
      <c r="P650" s="1494" t="n">
        <v>349.999</v>
      </c>
      <c r="Q650" s="1493" t="n">
        <v>296.137</v>
      </c>
      <c r="R650" s="1493" t="n">
        <v>0</v>
      </c>
      <c r="S650" s="1361" t="n"/>
      <c r="T650" s="1361" t="n"/>
      <c r="U650" s="1379" t="n"/>
      <c r="V650" s="1361" t="n"/>
      <c r="W650" s="1361" t="n"/>
      <c r="X650" s="1361" t="n"/>
      <c r="Y650" s="1361" t="n"/>
      <c r="Z650" s="1494" t="n">
        <v>0</v>
      </c>
      <c r="AA650" s="1361" t="n"/>
      <c r="AB650" s="1361" t="n"/>
      <c r="AC650" s="1361" t="n"/>
      <c r="AD650" s="1361" t="n"/>
      <c r="AE650" s="1379" t="n"/>
      <c r="AF650" s="1361" t="n"/>
      <c r="AG650" s="1361" t="n"/>
      <c r="AH650" s="1361" t="n"/>
      <c r="AI650" s="1361" t="n"/>
      <c r="AJ650" s="1379" t="n"/>
      <c r="AK650" s="1361" t="n"/>
      <c r="AL650" s="1361" t="n"/>
      <c r="AM650" s="1361" t="n"/>
      <c r="AN650" s="1361" t="n"/>
      <c r="AO650" s="1379" t="n"/>
      <c r="AP650" s="1361" t="n"/>
      <c r="AQ650" s="1361" t="n"/>
      <c r="AR650" s="1361" t="n"/>
      <c r="AS650" s="1361" t="n"/>
      <c r="AT650" s="1379" t="n"/>
      <c r="AU650" s="1361" t="n"/>
      <c r="AV650" s="1361" t="n"/>
      <c r="AW650" s="1361" t="n"/>
      <c r="AX650" s="1361" t="n"/>
      <c r="AY650" s="1379" t="n"/>
      <c r="AZ650" s="1361" t="n"/>
      <c r="BA650" s="1361" t="n"/>
      <c r="BB650" s="1361" t="n"/>
      <c r="BC650" s="1361" t="n"/>
      <c r="BD650" s="1379" t="n"/>
      <c r="BE650" s="1361" t="n"/>
      <c r="BF650" s="1361" t="n"/>
      <c r="BG650" s="1361" t="n"/>
      <c r="BH650" s="1361" t="n"/>
      <c r="BI650" s="1379" t="n"/>
      <c r="BJ650" s="1361" t="n"/>
      <c r="BK650" s="1361" t="n"/>
      <c r="BL650" s="1361" t="n"/>
      <c r="BM650" s="1361" t="n"/>
      <c r="BN650" s="1379" t="n"/>
      <c r="BO650" s="1361" t="n"/>
      <c r="BP650" s="1361" t="n"/>
      <c r="BQ650" s="1363" t="n"/>
      <c r="BR650" s="1361">
        <f>IF(B650&lt;=BR4,0,BQ650)</f>
        <v/>
      </c>
      <c r="BS650" s="1379">
        <f>BR650</f>
        <v/>
      </c>
      <c r="BT650" s="1361">
        <f>IF(B650&lt;=BT4,0,BS650)</f>
        <v/>
      </c>
      <c r="BU650" s="1361">
        <f>IF(B650&lt;=BU4,0,BT650)</f>
        <v/>
      </c>
      <c r="BV650" s="1361">
        <f>IF(B650&lt;=BV4,0,BU650)</f>
        <v/>
      </c>
      <c r="BW650" s="1361">
        <f>IF(B650&lt;=BW4,0,BV650)</f>
        <v/>
      </c>
      <c r="BX650" s="1379">
        <f>BW650</f>
        <v/>
      </c>
      <c r="BY650" s="1379">
        <f>IF(B650&lt;=BY4,0,BX650)</f>
        <v/>
      </c>
      <c r="BZ650" s="1379">
        <f>IF(B650&lt;=BZ4,0,BY650)</f>
        <v/>
      </c>
      <c r="CA650" s="1379">
        <f>IF(B650&lt;=CA4,0,BZ650)</f>
        <v/>
      </c>
      <c r="CB650" s="1361" t="n"/>
    </row>
    <row r="651" hidden="1" outlineLevel="3" ht="14.4" customFormat="1" customHeight="1" s="1597">
      <c r="A651" s="1512" t="inlineStr">
        <is>
          <t>2015 Notes Outstanding Unamortized Debt Discount</t>
        </is>
      </c>
      <c r="B651" s="1512" t="n"/>
      <c r="C651" s="1379" t="n"/>
      <c r="D651" s="1494" t="n">
        <v>-69.604</v>
      </c>
      <c r="E651" s="1494" t="n">
        <v>-55.939</v>
      </c>
      <c r="F651" s="1494" t="n">
        <v>-41.181</v>
      </c>
      <c r="G651" s="1493" t="n">
        <v>-37.271</v>
      </c>
      <c r="H651" s="1493" t="n">
        <v>-33.32</v>
      </c>
      <c r="I651" s="1493" t="n">
        <v>-29.275</v>
      </c>
      <c r="J651" s="1361">
        <f>K651</f>
        <v/>
      </c>
      <c r="K651" s="1494" t="n">
        <v>-25.174</v>
      </c>
      <c r="L651" s="1493" t="n">
        <v>-20.942</v>
      </c>
      <c r="M651" s="1493" t="n">
        <v>-16.667</v>
      </c>
      <c r="N651" s="1493" t="n">
        <v>-12.288</v>
      </c>
      <c r="O651" s="1361">
        <f>P651</f>
        <v/>
      </c>
      <c r="P651" s="1494" t="n">
        <v>-7.5</v>
      </c>
      <c r="Q651" s="1493" t="n">
        <v>-2.47</v>
      </c>
      <c r="R651" s="1493" t="n">
        <v>0</v>
      </c>
      <c r="S651" s="1361" t="n"/>
      <c r="T651" s="1361" t="n"/>
      <c r="U651" s="1379" t="n"/>
      <c r="V651" s="1361" t="n"/>
      <c r="W651" s="1361" t="n"/>
      <c r="X651" s="1361" t="n"/>
      <c r="Y651" s="1361" t="n"/>
      <c r="Z651" s="1494" t="n">
        <v>0</v>
      </c>
      <c r="AA651" s="1361" t="n"/>
      <c r="AB651" s="1361" t="n"/>
      <c r="AC651" s="1361" t="n"/>
      <c r="AD651" s="1361" t="n"/>
      <c r="AE651" s="1379" t="n"/>
      <c r="AF651" s="1361" t="n"/>
      <c r="AG651" s="1361" t="n"/>
      <c r="AH651" s="1361" t="n"/>
      <c r="AI651" s="1361" t="n"/>
      <c r="AJ651" s="1379" t="n"/>
      <c r="AK651" s="1361" t="n"/>
      <c r="AL651" s="1361" t="n"/>
      <c r="AM651" s="1361" t="n"/>
      <c r="AN651" s="1361" t="n"/>
      <c r="AO651" s="1379" t="n"/>
      <c r="AP651" s="1361" t="n"/>
      <c r="AQ651" s="1361" t="n"/>
      <c r="AR651" s="1361" t="n"/>
      <c r="AS651" s="1361" t="n"/>
      <c r="AT651" s="1379" t="n"/>
      <c r="AU651" s="1361" t="n"/>
      <c r="AV651" s="1361" t="n"/>
      <c r="AW651" s="1361" t="n"/>
      <c r="AX651" s="1361" t="n"/>
      <c r="AY651" s="1379" t="n"/>
      <c r="AZ651" s="1361" t="n"/>
      <c r="BA651" s="1361" t="n"/>
      <c r="BB651" s="1361" t="n"/>
      <c r="BC651" s="1361" t="n"/>
      <c r="BD651" s="1379" t="n"/>
      <c r="BE651" s="1361" t="n"/>
      <c r="BF651" s="1361" t="n"/>
      <c r="BG651" s="1361" t="n"/>
      <c r="BH651" s="1361" t="n"/>
      <c r="BI651" s="1379" t="n"/>
      <c r="BJ651" s="1361" t="n"/>
      <c r="BK651" s="1361" t="n"/>
      <c r="BL651" s="1361" t="n"/>
      <c r="BM651" s="1361" t="n"/>
      <c r="BN651" s="1379" t="n"/>
      <c r="BO651" s="1361" t="n"/>
      <c r="BP651" s="1361" t="n"/>
      <c r="BQ651" s="1363" t="n"/>
      <c r="BR651" s="1361" t="n"/>
      <c r="BS651" s="1379" t="n"/>
      <c r="BT651" s="1361" t="n"/>
      <c r="BU651" s="1361" t="n"/>
      <c r="BV651" s="1361" t="n"/>
      <c r="BW651" s="1361" t="n"/>
      <c r="BX651" s="1379" t="n"/>
      <c r="BY651" s="1379" t="n"/>
      <c r="BZ651" s="1379" t="n"/>
      <c r="CA651" s="1379" t="n"/>
      <c r="CB651" s="1361" t="n"/>
    </row>
    <row r="652" hidden="1" outlineLevel="3" ht="14.4" customFormat="1" customHeight="1" s="1597">
      <c r="A652" s="1613" t="inlineStr">
        <is>
          <t>2015 Notes Outstanding Unamortized Debt Issuance Costs</t>
        </is>
      </c>
      <c r="B652" s="1613" t="n"/>
      <c r="C652" s="1614" t="n"/>
      <c r="D652" s="1614" t="n"/>
      <c r="E652" s="1614" t="n"/>
      <c r="F652" s="1614" t="n"/>
      <c r="G652" s="1615" t="n"/>
      <c r="H652" s="1615" t="n"/>
      <c r="I652" s="1615" t="n"/>
      <c r="J652" s="1615">
        <f>K652</f>
        <v/>
      </c>
      <c r="K652" s="1614" t="n"/>
      <c r="L652" s="1615" t="n"/>
      <c r="M652" s="1615" t="n"/>
      <c r="N652" s="1615" t="n"/>
      <c r="O652" s="1615">
        <f>P652</f>
        <v/>
      </c>
      <c r="P652" s="1614" t="n"/>
      <c r="Q652" s="1615" t="n"/>
      <c r="R652" s="1615" t="n"/>
      <c r="S652" s="1615" t="n"/>
      <c r="T652" s="1615" t="n"/>
      <c r="U652" s="1614" t="n"/>
      <c r="V652" s="1615" t="n"/>
      <c r="W652" s="1615" t="n"/>
      <c r="X652" s="1615" t="n"/>
      <c r="Y652" s="1615" t="n"/>
      <c r="Z652" s="1614" t="n"/>
      <c r="AA652" s="1615" t="n"/>
      <c r="AB652" s="1615" t="n"/>
      <c r="AC652" s="1615" t="n"/>
      <c r="AD652" s="1615" t="n"/>
      <c r="AE652" s="1614" t="n"/>
      <c r="AF652" s="1615" t="n"/>
      <c r="AG652" s="1615" t="n"/>
      <c r="AH652" s="1615" t="n"/>
      <c r="AI652" s="1615" t="n"/>
      <c r="AJ652" s="1614" t="n"/>
      <c r="AK652" s="1615" t="n"/>
      <c r="AL652" s="1615" t="n"/>
      <c r="AM652" s="1615" t="n"/>
      <c r="AN652" s="1615" t="n"/>
      <c r="AO652" s="1614" t="n"/>
      <c r="AP652" s="1615" t="n"/>
      <c r="AQ652" s="1615" t="n"/>
      <c r="AR652" s="1615" t="n"/>
      <c r="AS652" s="1615" t="n"/>
      <c r="AT652" s="1614" t="n"/>
      <c r="AU652" s="1615" t="n"/>
      <c r="AV652" s="1615" t="n"/>
      <c r="AW652" s="1615" t="n"/>
      <c r="AX652" s="1615" t="n"/>
      <c r="AY652" s="1614" t="n"/>
      <c r="AZ652" s="1615" t="n"/>
      <c r="BA652" s="1615" t="n"/>
      <c r="BB652" s="1615" t="n"/>
      <c r="BC652" s="1615" t="n"/>
      <c r="BD652" s="1614" t="n"/>
      <c r="BE652" s="1615" t="n"/>
      <c r="BF652" s="1615" t="n"/>
      <c r="BG652" s="1615" t="n"/>
      <c r="BH652" s="1615" t="n"/>
      <c r="BI652" s="1614" t="n"/>
      <c r="BJ652" s="1615" t="n"/>
      <c r="BK652" s="1615" t="n"/>
      <c r="BL652" s="1615" t="n"/>
      <c r="BM652" s="1615" t="n"/>
      <c r="BN652" s="1614" t="n"/>
      <c r="BO652" s="1615" t="n"/>
      <c r="BP652" s="1615" t="n"/>
      <c r="BQ652" s="1616" t="n"/>
      <c r="BR652" s="1615">
        <f>IF(BR650=0,0,BQ652-BQ652/(B650-BQ4)*BR3)</f>
        <v/>
      </c>
      <c r="BS652" s="1614">
        <f>BR652</f>
        <v/>
      </c>
      <c r="BT652" s="1615">
        <f>IF(BT650=0,0,BS652-BS652/(B650-BS4)*BT3)</f>
        <v/>
      </c>
      <c r="BU652" s="1615">
        <f>IF(BU650=0,0,BT652-BT652/(B650-BT4)*BU3)</f>
        <v/>
      </c>
      <c r="BV652" s="1615">
        <f>IF(BV650=0,0,BU652-BU652/(B650-BU4)*BV3)</f>
        <v/>
      </c>
      <c r="BW652" s="1615">
        <f>IF(BW650=0,0,BV652-BV652/(B650-BV4)*BW3)</f>
        <v/>
      </c>
      <c r="BX652" s="1614">
        <f>BW652</f>
        <v/>
      </c>
      <c r="BY652" s="1614">
        <f>IF(BY650=0,0,BX652-BX652/(B650-BX4)*BY3)</f>
        <v/>
      </c>
      <c r="BZ652" s="1614">
        <f>IF(BZ650=0,0,BY652-BY652/(B650-BY4)*BZ3)</f>
        <v/>
      </c>
      <c r="CA652" s="1614">
        <f>IF(CA650=0,0,BZ652-BZ652/(B650-BZ4)*CA3)</f>
        <v/>
      </c>
      <c r="CB652" s="1361" t="n"/>
    </row>
    <row r="653" hidden="1" outlineLevel="2" collapsed="1" ht="14.4" customFormat="1" customHeight="1" s="1597">
      <c r="A653" s="1508" t="inlineStr">
        <is>
          <t>2015 Notes Outstanding Book Value</t>
        </is>
      </c>
      <c r="B653" s="1512" t="n"/>
      <c r="C653" s="1379">
        <f>SUM(C650:C652)</f>
        <v/>
      </c>
      <c r="D653" s="1379">
        <f>SUM(D650:D652)</f>
        <v/>
      </c>
      <c r="E653" s="1379">
        <f>SUM(E650:E652)</f>
        <v/>
      </c>
      <c r="F653" s="1379">
        <f>SUM(F650:F652)</f>
        <v/>
      </c>
      <c r="G653" s="1361">
        <f>SUM(G650:G652)</f>
        <v/>
      </c>
      <c r="H653" s="1361">
        <f>SUM(H650:H652)</f>
        <v/>
      </c>
      <c r="I653" s="1361">
        <f>SUM(I650:I652)</f>
        <v/>
      </c>
      <c r="J653" s="1361">
        <f>SUM(J650:J652)</f>
        <v/>
      </c>
      <c r="K653" s="1379">
        <f>SUM(K650:K652)</f>
        <v/>
      </c>
      <c r="L653" s="1361">
        <f>SUM(L650:L652)</f>
        <v/>
      </c>
      <c r="M653" s="1361">
        <f>SUM(M650:M652)</f>
        <v/>
      </c>
      <c r="N653" s="1361">
        <f>SUM(N650:N652)</f>
        <v/>
      </c>
      <c r="O653" s="1361">
        <f>SUM(O650:O652)</f>
        <v/>
      </c>
      <c r="P653" s="1379">
        <f>SUM(P650:P652)</f>
        <v/>
      </c>
      <c r="Q653" s="1361">
        <f>SUM(Q650:Q652)</f>
        <v/>
      </c>
      <c r="R653" s="1361">
        <f>SUM(R650:R652)</f>
        <v/>
      </c>
      <c r="S653" s="1361">
        <f>SUM(S650:S652)</f>
        <v/>
      </c>
      <c r="T653" s="1361">
        <f>SUM(T650:T652)</f>
        <v/>
      </c>
      <c r="U653" s="1379">
        <f>SUM(U650:U652)</f>
        <v/>
      </c>
      <c r="V653" s="1361">
        <f>SUM(V650:V652)</f>
        <v/>
      </c>
      <c r="W653" s="1361">
        <f>SUM(W650:W652)</f>
        <v/>
      </c>
      <c r="X653" s="1361">
        <f>SUM(X650:X652)</f>
        <v/>
      </c>
      <c r="Y653" s="1361">
        <f>SUM(Y650:Y652)</f>
        <v/>
      </c>
      <c r="Z653" s="1379">
        <f>SUM(Z650:Z652)</f>
        <v/>
      </c>
      <c r="AA653" s="1361">
        <f>SUM(AA650:AA652)</f>
        <v/>
      </c>
      <c r="AB653" s="1361">
        <f>SUM(AB650:AB652)</f>
        <v/>
      </c>
      <c r="AC653" s="1361">
        <f>SUM(AC650:AC652)</f>
        <v/>
      </c>
      <c r="AD653" s="1361">
        <f>SUM(AD650:AD652)</f>
        <v/>
      </c>
      <c r="AE653" s="1379">
        <f>SUM(AE650:AE652)</f>
        <v/>
      </c>
      <c r="AF653" s="1361">
        <f>SUM(AF650:AF652)</f>
        <v/>
      </c>
      <c r="AG653" s="1361">
        <f>SUM(AG650:AG652)</f>
        <v/>
      </c>
      <c r="AH653" s="1361">
        <f>SUM(AH650:AH652)</f>
        <v/>
      </c>
      <c r="AI653" s="1361">
        <f>SUM(AI650:AI652)</f>
        <v/>
      </c>
      <c r="AJ653" s="1379">
        <f>SUM(AJ650:AJ652)</f>
        <v/>
      </c>
      <c r="AK653" s="1361">
        <f>SUM(AK650:AK652)</f>
        <v/>
      </c>
      <c r="AL653" s="1361">
        <f>SUM(AL650:AL652)</f>
        <v/>
      </c>
      <c r="AM653" s="1361">
        <f>SUM(AM650:AM652)</f>
        <v/>
      </c>
      <c r="AN653" s="1361">
        <f>SUM(AN650:AN652)</f>
        <v/>
      </c>
      <c r="AO653" s="1379">
        <f>SUM(AO650:AO652)</f>
        <v/>
      </c>
      <c r="AP653" s="1361">
        <f>SUM(AP650:AP652)</f>
        <v/>
      </c>
      <c r="AQ653" s="1361">
        <f>SUM(AQ650:AQ652)</f>
        <v/>
      </c>
      <c r="AR653" s="1361">
        <f>SUM(AR650:AR652)</f>
        <v/>
      </c>
      <c r="AS653" s="1361">
        <f>SUM(AS650:AS652)</f>
        <v/>
      </c>
      <c r="AT653" s="1379">
        <f>SUM(AT650:AT652)</f>
        <v/>
      </c>
      <c r="AU653" s="1361">
        <f>SUM(AU650:AU652)</f>
        <v/>
      </c>
      <c r="AV653" s="1361">
        <f>SUM(AV650:AV652)</f>
        <v/>
      </c>
      <c r="AW653" s="1361">
        <f>SUM(AW650:AW652)</f>
        <v/>
      </c>
      <c r="AX653" s="1361">
        <f>SUM(AX650:AX652)</f>
        <v/>
      </c>
      <c r="AY653" s="1379">
        <f>SUM(AY650:AY652)</f>
        <v/>
      </c>
      <c r="AZ653" s="1361">
        <f>SUM(AZ650:AZ652)</f>
        <v/>
      </c>
      <c r="BA653" s="1361">
        <f>SUM(BA650:BA652)</f>
        <v/>
      </c>
      <c r="BB653" s="1361">
        <f>SUM(BB650:BB652)</f>
        <v/>
      </c>
      <c r="BC653" s="1361">
        <f>SUM(BC650:BC652)</f>
        <v/>
      </c>
      <c r="BD653" s="1379">
        <f>SUM(BD650:BD652)</f>
        <v/>
      </c>
      <c r="BE653" s="1361">
        <f>SUM(BE650:BE652)</f>
        <v/>
      </c>
      <c r="BF653" s="1361">
        <f>SUM(BF650:BF652)</f>
        <v/>
      </c>
      <c r="BG653" s="1361">
        <f>SUM(BG650:BG652)</f>
        <v/>
      </c>
      <c r="BH653" s="1361">
        <f>SUM(BH650:BH652)</f>
        <v/>
      </c>
      <c r="BI653" s="1379">
        <f>SUM(BI650:BI652)</f>
        <v/>
      </c>
      <c r="BJ653" s="1361">
        <f>SUM(BJ650:BJ652)</f>
        <v/>
      </c>
      <c r="BK653" s="1361">
        <f>SUM(BK650:BK652)</f>
        <v/>
      </c>
      <c r="BL653" s="1361">
        <f>SUM(BL650:BL652)</f>
        <v/>
      </c>
      <c r="BM653" s="1361">
        <f>SUM(BM650:BM652)</f>
        <v/>
      </c>
      <c r="BN653" s="1379">
        <f>SUM(BN650:BN652)</f>
        <v/>
      </c>
      <c r="BO653" s="1361">
        <f>SUM(BO650:BO652)</f>
        <v/>
      </c>
      <c r="BP653" s="1361">
        <f>SUM(BP650:BP652)</f>
        <v/>
      </c>
      <c r="BQ653" s="1363">
        <f>SUM(BQ650:BQ652)</f>
        <v/>
      </c>
      <c r="BR653" s="1361">
        <f>SUM(BR650:BR652)</f>
        <v/>
      </c>
      <c r="BS653" s="1379">
        <f>SUM(BS650:BS652)</f>
        <v/>
      </c>
      <c r="BT653" s="1361">
        <f>SUM(BT650:BT652)</f>
        <v/>
      </c>
      <c r="BU653" s="1361">
        <f>SUM(BU650:BU652)</f>
        <v/>
      </c>
      <c r="BV653" s="1361">
        <f>SUM(BV650:BV652)</f>
        <v/>
      </c>
      <c r="BW653" s="1361">
        <f>SUM(BW650:BW652)</f>
        <v/>
      </c>
      <c r="BX653" s="1379">
        <f>SUM(BX650:BX652)</f>
        <v/>
      </c>
      <c r="BY653" s="1379">
        <f>SUM(BY650:BY652)</f>
        <v/>
      </c>
      <c r="BZ653" s="1379">
        <f>SUM(BZ650:BZ652)</f>
        <v/>
      </c>
      <c r="CA653" s="1379">
        <f>SUM(CA650:CA652)</f>
        <v/>
      </c>
      <c r="CB653" s="1361" t="n"/>
    </row>
    <row r="654" hidden="1" outlineLevel="2" ht="14.4" customFormat="1" customHeight="1" s="1597">
      <c r="A654" s="1508" t="inlineStr">
        <is>
          <t>Initial Conversion Price 2015, $/share</t>
        </is>
      </c>
      <c r="B654" s="1512" t="n"/>
      <c r="C654" s="1716" t="n"/>
      <c r="D654" s="1745" t="n">
        <v>7.55</v>
      </c>
      <c r="E654" s="1745" t="n">
        <v>7.55</v>
      </c>
      <c r="F654" s="1745" t="n">
        <v>7.55</v>
      </c>
      <c r="G654" s="1754" t="n">
        <v>7.55</v>
      </c>
      <c r="H654" s="1754" t="n">
        <v>7.55</v>
      </c>
      <c r="I654" s="1754" t="n">
        <v>7.55</v>
      </c>
      <c r="J654" s="1714">
        <f>K654</f>
        <v/>
      </c>
      <c r="K654" s="1745" t="n">
        <v>7.55</v>
      </c>
      <c r="L654" s="1754" t="n">
        <v>7.55</v>
      </c>
      <c r="M654" s="1754" t="n">
        <v>7.55</v>
      </c>
      <c r="N654" s="1754" t="n">
        <v>7.55</v>
      </c>
      <c r="O654" s="1714">
        <f>P654</f>
        <v/>
      </c>
      <c r="P654" s="1745" t="n">
        <v>7.55</v>
      </c>
      <c r="Q654" s="1754" t="n">
        <v>7.55</v>
      </c>
      <c r="R654" s="1714" t="n"/>
      <c r="S654" s="1714" t="n"/>
      <c r="T654" s="1714" t="n"/>
      <c r="U654" s="1716" t="n"/>
      <c r="V654" s="1714" t="n"/>
      <c r="W654" s="1714" t="n"/>
      <c r="X654" s="1714" t="n"/>
      <c r="Y654" s="1714" t="n"/>
      <c r="Z654" s="1716" t="n"/>
      <c r="AA654" s="1714" t="n"/>
      <c r="AB654" s="1714" t="n"/>
      <c r="AC654" s="1714" t="n"/>
      <c r="AD654" s="1714" t="n"/>
      <c r="AE654" s="1716" t="n"/>
      <c r="AF654" s="1714" t="n"/>
      <c r="AG654" s="1714" t="n"/>
      <c r="AH654" s="1714" t="n"/>
      <c r="AI654" s="1714" t="n"/>
      <c r="AJ654" s="1716" t="n"/>
      <c r="AK654" s="1714" t="n"/>
      <c r="AL654" s="1714" t="n"/>
      <c r="AM654" s="1714" t="n"/>
      <c r="AN654" s="1714" t="n"/>
      <c r="AO654" s="1716" t="n"/>
      <c r="AP654" s="1714" t="n"/>
      <c r="AQ654" s="1714" t="n"/>
      <c r="AR654" s="1714" t="n"/>
      <c r="AS654" s="1714" t="n"/>
      <c r="AT654" s="1716" t="n"/>
      <c r="AU654" s="1714" t="n"/>
      <c r="AV654" s="1714" t="n"/>
      <c r="AW654" s="1714" t="n"/>
      <c r="AX654" s="1714" t="n"/>
      <c r="AY654" s="1716" t="n"/>
      <c r="AZ654" s="1714" t="n"/>
      <c r="BA654" s="1714" t="n"/>
      <c r="BB654" s="1714" t="n"/>
      <c r="BC654" s="1714" t="n"/>
      <c r="BD654" s="1716" t="n"/>
      <c r="BE654" s="1714" t="n"/>
      <c r="BF654" s="1714" t="n"/>
      <c r="BG654" s="1714" t="n"/>
      <c r="BH654" s="1714" t="n"/>
      <c r="BI654" s="1716" t="n"/>
      <c r="BJ654" s="1714" t="n"/>
      <c r="BK654" s="1714" t="n"/>
      <c r="BL654" s="1714" t="n"/>
      <c r="BM654" s="1714" t="n"/>
      <c r="BN654" s="1716" t="n"/>
      <c r="BO654" s="1714" t="n"/>
      <c r="BP654" s="1714" t="n"/>
      <c r="BQ654" s="1717" t="n"/>
      <c r="BR654" s="1714">
        <f>IF(BR650=0,0,BQ654)</f>
        <v/>
      </c>
      <c r="BS654" s="1716">
        <f>BR654</f>
        <v/>
      </c>
      <c r="BT654" s="1714">
        <f>IF(BT650=0,0,BS654)</f>
        <v/>
      </c>
      <c r="BU654" s="1714">
        <f>IF(BU650=0,0,BT654)</f>
        <v/>
      </c>
      <c r="BV654" s="1714">
        <f>IF(BV650=0,0,BU654)</f>
        <v/>
      </c>
      <c r="BW654" s="1714">
        <f>IF(BW650=0,0,BV654)</f>
        <v/>
      </c>
      <c r="BX654" s="1716">
        <f>BW654</f>
        <v/>
      </c>
      <c r="BY654" s="1716">
        <f>IF(BY650=0,0,BX654)</f>
        <v/>
      </c>
      <c r="BZ654" s="1716">
        <f>IF(BZ650=0,0,BY654)</f>
        <v/>
      </c>
      <c r="CA654" s="1716">
        <f>IF(CA650=0,0,BZ654)</f>
        <v/>
      </c>
      <c r="CB654" s="1361" t="n"/>
    </row>
    <row r="655" hidden="1" outlineLevel="2" ht="14.4" customFormat="1" customHeight="1" s="1597">
      <c r="A655" s="1474" t="inlineStr">
        <is>
          <t>Shares Issuable Upon Conversion, mm shares</t>
        </is>
      </c>
      <c r="B655" s="1512" t="n"/>
      <c r="C655" s="1379">
        <f>IFERROR(C650/C654,0)</f>
        <v/>
      </c>
      <c r="D655" s="1379">
        <f>IFERROR(D650/D654,0)</f>
        <v/>
      </c>
      <c r="E655" s="1379">
        <f>IFERROR(E650/E654,0)</f>
        <v/>
      </c>
      <c r="F655" s="1379">
        <f>IFERROR(F650/F654,0)</f>
        <v/>
      </c>
      <c r="G655" s="1361">
        <f>IFERROR(G650/G654,0)</f>
        <v/>
      </c>
      <c r="H655" s="1361">
        <f>IFERROR(H650/H654,0)</f>
        <v/>
      </c>
      <c r="I655" s="1361">
        <f>IFERROR(I650/I654,0)</f>
        <v/>
      </c>
      <c r="J655" s="1361">
        <f>IFERROR(J650/J654,0)</f>
        <v/>
      </c>
      <c r="K655" s="1379">
        <f>IFERROR(K650/K654,0)</f>
        <v/>
      </c>
      <c r="L655" s="1361">
        <f>IFERROR(L650/L654,0)</f>
        <v/>
      </c>
      <c r="M655" s="1361">
        <f>IFERROR(M650/M654,0)</f>
        <v/>
      </c>
      <c r="N655" s="1361">
        <f>IFERROR(N650/N654,0)</f>
        <v/>
      </c>
      <c r="O655" s="1361">
        <f>IFERROR(O650/O654,0)</f>
        <v/>
      </c>
      <c r="P655" s="1379">
        <f>IFERROR(P650/P654,0)</f>
        <v/>
      </c>
      <c r="Q655" s="1361">
        <f>IFERROR(Q650/Q654,0)</f>
        <v/>
      </c>
      <c r="R655" s="1361">
        <f>IFERROR(R650/R654,0)</f>
        <v/>
      </c>
      <c r="S655" s="1361">
        <f>IFERROR(S650/S654,0)</f>
        <v/>
      </c>
      <c r="T655" s="1361">
        <f>IFERROR(T650/T654,0)</f>
        <v/>
      </c>
      <c r="U655" s="1379">
        <f>IFERROR(U650/U654,0)</f>
        <v/>
      </c>
      <c r="V655" s="1361">
        <f>IFERROR(V650/V654,0)</f>
        <v/>
      </c>
      <c r="W655" s="1361">
        <f>IFERROR(W650/W654,0)</f>
        <v/>
      </c>
      <c r="X655" s="1361">
        <f>IFERROR(X650/X654,0)</f>
        <v/>
      </c>
      <c r="Y655" s="1361">
        <f>IFERROR(Y650/Y654,0)</f>
        <v/>
      </c>
      <c r="Z655" s="1379">
        <f>IFERROR(Z650/Z654,0)</f>
        <v/>
      </c>
      <c r="AA655" s="1361">
        <f>IFERROR(AA650/AA654,0)</f>
        <v/>
      </c>
      <c r="AB655" s="1361">
        <f>IFERROR(AB650/AB654,0)</f>
        <v/>
      </c>
      <c r="AC655" s="1361">
        <f>IFERROR(AC650/AC654,0)</f>
        <v/>
      </c>
      <c r="AD655" s="1361">
        <f>IFERROR(AD650/AD654,0)</f>
        <v/>
      </c>
      <c r="AE655" s="1379">
        <f>IFERROR(AE650/AE654,0)</f>
        <v/>
      </c>
      <c r="AF655" s="1361">
        <f>IFERROR(AF650/AF654,0)</f>
        <v/>
      </c>
      <c r="AG655" s="1361">
        <f>IFERROR(AG650/AG654,0)</f>
        <v/>
      </c>
      <c r="AH655" s="1361">
        <f>IFERROR(AH650/AH654,0)</f>
        <v/>
      </c>
      <c r="AI655" s="1361">
        <f>IFERROR(AI650/AI654,0)</f>
        <v/>
      </c>
      <c r="AJ655" s="1379">
        <f>IFERROR(AJ650/AJ654,0)</f>
        <v/>
      </c>
      <c r="AK655" s="1361">
        <f>IFERROR(AK650/AK654,0)</f>
        <v/>
      </c>
      <c r="AL655" s="1361">
        <f>IFERROR(AL650/AL654,0)</f>
        <v/>
      </c>
      <c r="AM655" s="1361">
        <f>IFERROR(AM650/AM654,0)</f>
        <v/>
      </c>
      <c r="AN655" s="1361">
        <f>IFERROR(AN650/AN654,0)</f>
        <v/>
      </c>
      <c r="AO655" s="1379">
        <f>IFERROR(AO650/AO654,0)</f>
        <v/>
      </c>
      <c r="AP655" s="1361">
        <f>IFERROR(AP650/AP654,0)</f>
        <v/>
      </c>
      <c r="AQ655" s="1361">
        <f>IFERROR(AQ650/AQ654,0)</f>
        <v/>
      </c>
      <c r="AR655" s="1361">
        <f>IFERROR(AR650/AR654,0)</f>
        <v/>
      </c>
      <c r="AS655" s="1361">
        <f>IFERROR(AS650/AS654,0)</f>
        <v/>
      </c>
      <c r="AT655" s="1379">
        <f>IFERROR(AT650/AT654,0)</f>
        <v/>
      </c>
      <c r="AU655" s="1361">
        <f>IFERROR(AU650/AU654,0)</f>
        <v/>
      </c>
      <c r="AV655" s="1361">
        <f>IFERROR(AV650/AV654,0)</f>
        <v/>
      </c>
      <c r="AW655" s="1361">
        <f>IFERROR(AW650/AW654,0)</f>
        <v/>
      </c>
      <c r="AX655" s="1361">
        <f>IFERROR(AX650/AX654,0)</f>
        <v/>
      </c>
      <c r="AY655" s="1379">
        <f>IFERROR(AY650/AY654,0)</f>
        <v/>
      </c>
      <c r="AZ655" s="1361">
        <f>IFERROR(AZ650/AZ654,0)</f>
        <v/>
      </c>
      <c r="BA655" s="1361">
        <f>IFERROR(BA650/BA654,0)</f>
        <v/>
      </c>
      <c r="BB655" s="1361">
        <f>IFERROR(BB650/BB654,0)</f>
        <v/>
      </c>
      <c r="BC655" s="1361">
        <f>IFERROR(BC650/BC654,0)</f>
        <v/>
      </c>
      <c r="BD655" s="1379">
        <f>IFERROR(BD650/BD654,0)</f>
        <v/>
      </c>
      <c r="BE655" s="1361">
        <f>IFERROR(BE650/BE654,0)</f>
        <v/>
      </c>
      <c r="BF655" s="1361">
        <f>IFERROR(BF650/BF654,0)</f>
        <v/>
      </c>
      <c r="BG655" s="1361">
        <f>IFERROR(BG650/BG654,0)</f>
        <v/>
      </c>
      <c r="BH655" s="1361">
        <f>IFERROR(BH650/BH654,0)</f>
        <v/>
      </c>
      <c r="BI655" s="1379">
        <f>IFERROR(BI650/BI654,0)</f>
        <v/>
      </c>
      <c r="BJ655" s="1361">
        <f>IFERROR(BJ650/BJ654,0)</f>
        <v/>
      </c>
      <c r="BK655" s="1361">
        <f>IFERROR(BK650/BK654,0)</f>
        <v/>
      </c>
      <c r="BL655" s="1361">
        <f>IFERROR(BL650/BL654,0)</f>
        <v/>
      </c>
      <c r="BM655" s="1361">
        <f>IFERROR(BM650/BM654,0)</f>
        <v/>
      </c>
      <c r="BN655" s="1379">
        <f>IFERROR(BN650/BN654,0)</f>
        <v/>
      </c>
      <c r="BO655" s="1361">
        <f>IFERROR(BO650/BO654,0)</f>
        <v/>
      </c>
      <c r="BP655" s="1361">
        <f>IFERROR(BP650/BP654,0)</f>
        <v/>
      </c>
      <c r="BQ655" s="1363">
        <f>IFERROR(BQ650/BQ654,0)</f>
        <v/>
      </c>
      <c r="BR655" s="1361">
        <f>IFERROR(BR650/BR654,0)</f>
        <v/>
      </c>
      <c r="BS655" s="1379">
        <f>IFERROR(BS650/BS654,0)</f>
        <v/>
      </c>
      <c r="BT655" s="1361">
        <f>IFERROR(BT650/BT654,0)</f>
        <v/>
      </c>
      <c r="BU655" s="1361">
        <f>IFERROR(BU650/BU654,0)</f>
        <v/>
      </c>
      <c r="BV655" s="1361">
        <f>IFERROR(BV650/BV654,0)</f>
        <v/>
      </c>
      <c r="BW655" s="1361">
        <f>IFERROR(BW650/BW654,0)</f>
        <v/>
      </c>
      <c r="BX655" s="1379">
        <f>IFERROR(BX650/BX654,0)</f>
        <v/>
      </c>
      <c r="BY655" s="1379">
        <f>IFERROR(BY650/BY654,0)</f>
        <v/>
      </c>
      <c r="BZ655" s="1379">
        <f>IFERROR(BZ650/BZ654,0)</f>
        <v/>
      </c>
      <c r="CA655" s="1379">
        <f>IFERROR(CA650/CA654,0)</f>
        <v/>
      </c>
      <c r="CB655" s="1361" t="n"/>
    </row>
    <row r="656" hidden="1" outlineLevel="2" ht="14.4" customFormat="1" customHeight="1" s="1597">
      <c r="A656" s="1693" t="inlineStr">
        <is>
          <t>Dilutive Shares from Convertible Notes 2015, mm shares</t>
        </is>
      </c>
      <c r="B656" s="1694" t="n"/>
      <c r="C656" s="1698">
        <f>IFERROR(IF(C526&gt;C654,C655,0),0)</f>
        <v/>
      </c>
      <c r="D656" s="1698">
        <f>IFERROR(IF(D526&gt;D654,D655,0),0)</f>
        <v/>
      </c>
      <c r="E656" s="1698">
        <f>IFERROR(IF(E526&gt;E654,E655,0),0)</f>
        <v/>
      </c>
      <c r="F656" s="1698">
        <f>IFERROR(IF(F526&gt;F654,F655,0),0)</f>
        <v/>
      </c>
      <c r="G656" s="1693">
        <f>IFERROR(IF(G526&gt;G654,G655,0),0)</f>
        <v/>
      </c>
      <c r="H656" s="1693">
        <f>IFERROR(IF(H526&gt;H654,H655,0),0)</f>
        <v/>
      </c>
      <c r="I656" s="1693">
        <f>IFERROR(IF(I526&gt;I654,I655,0),0)</f>
        <v/>
      </c>
      <c r="J656" s="1693">
        <f>IFERROR(IF(J526&gt;J654,J655,0),0)</f>
        <v/>
      </c>
      <c r="K656" s="1698">
        <f>IFERROR(IF(K526&gt;K654,K655,0),0)</f>
        <v/>
      </c>
      <c r="L656" s="1693">
        <f>IFERROR(IF(L526&gt;L654,L655,0),0)</f>
        <v/>
      </c>
      <c r="M656" s="1693">
        <f>IFERROR(IF(M526&gt;M654,M655,0),0)</f>
        <v/>
      </c>
      <c r="N656" s="1693">
        <f>IFERROR(IF(N526&gt;N654,N655,0),0)</f>
        <v/>
      </c>
      <c r="O656" s="1693">
        <f>IFERROR(IF(O526&gt;O654,O655,0),0)</f>
        <v/>
      </c>
      <c r="P656" s="1698">
        <f>IFERROR(IF(P526&gt;P654,P655,0),0)</f>
        <v/>
      </c>
      <c r="Q656" s="1693">
        <f>IFERROR(IF(Q526&gt;Q654,Q655,0),0)</f>
        <v/>
      </c>
      <c r="R656" s="1693">
        <f>IFERROR(IF(R526&gt;R654,R655,0),0)</f>
        <v/>
      </c>
      <c r="S656" s="1693">
        <f>IFERROR(IF(S526&gt;S654,S655,0),0)</f>
        <v/>
      </c>
      <c r="T656" s="1693">
        <f>IFERROR(IF(T526&gt;T654,T655,0),0)</f>
        <v/>
      </c>
      <c r="U656" s="1698">
        <f>IFERROR(IF(U526&gt;U654,U655,0),0)</f>
        <v/>
      </c>
      <c r="V656" s="1693">
        <f>IFERROR(IF(V526&gt;V654,V655,0),0)</f>
        <v/>
      </c>
      <c r="W656" s="1693">
        <f>IFERROR(IF(W526&gt;W654,W655,0),0)</f>
        <v/>
      </c>
      <c r="X656" s="1693">
        <f>IFERROR(IF(X526&gt;X654,X655,0),0)</f>
        <v/>
      </c>
      <c r="Y656" s="1693">
        <f>IFERROR(IF(Y526&gt;Y654,Y655,0),0)</f>
        <v/>
      </c>
      <c r="Z656" s="1698">
        <f>IFERROR(IF(Z526&gt;Z654,Z655,0),0)</f>
        <v/>
      </c>
      <c r="AA656" s="1693">
        <f>IFERROR(IF(AA526&gt;AA654,AA655,0),0)</f>
        <v/>
      </c>
      <c r="AB656" s="1693">
        <f>IFERROR(IF(AB526&gt;AB654,AB655,0),0)</f>
        <v/>
      </c>
      <c r="AC656" s="1693">
        <f>IFERROR(IF(AC526&gt;AC654,AC655,0),0)</f>
        <v/>
      </c>
      <c r="AD656" s="1693">
        <f>IFERROR(IF(AD526&gt;AD654,AD655,0),0)</f>
        <v/>
      </c>
      <c r="AE656" s="1698">
        <f>IFERROR(IF(AE526&gt;AE654,AE655,0),0)</f>
        <v/>
      </c>
      <c r="AF656" s="1693">
        <f>IFERROR(IF(AF526&gt;AF654,AF655,0),0)</f>
        <v/>
      </c>
      <c r="AG656" s="1693">
        <f>IFERROR(IF(AG526&gt;AG654,AG655,0),0)</f>
        <v/>
      </c>
      <c r="AH656" s="1693">
        <f>IFERROR(IF(AH526&gt;AH654,AH655,0),0)</f>
        <v/>
      </c>
      <c r="AI656" s="1693">
        <f>IFERROR(IF(AI526&gt;AI654,AI655,0),0)</f>
        <v/>
      </c>
      <c r="AJ656" s="1698">
        <f>IFERROR(IF(AJ526&gt;AJ654,AJ655,0),0)</f>
        <v/>
      </c>
      <c r="AK656" s="1693">
        <f>IFERROR(IF(AK526&gt;AK654,AK655,0),0)</f>
        <v/>
      </c>
      <c r="AL656" s="1693">
        <f>IFERROR(IF(AL526&gt;AL654,AL655,0),0)</f>
        <v/>
      </c>
      <c r="AM656" s="1693">
        <f>IFERROR(IF(AM526&gt;AM654,AM655,0),0)</f>
        <v/>
      </c>
      <c r="AN656" s="1693">
        <f>IFERROR(IF(AN526&gt;AN654,AN655,0),0)</f>
        <v/>
      </c>
      <c r="AO656" s="1698">
        <f>IFERROR(IF(AO526&gt;AO654,AO655,0),0)</f>
        <v/>
      </c>
      <c r="AP656" s="1693">
        <f>IFERROR(IF(AP526&gt;AP654,AP655,0),0)</f>
        <v/>
      </c>
      <c r="AQ656" s="1693">
        <f>IFERROR(IF(AQ526&gt;AQ654,AQ655,0),0)</f>
        <v/>
      </c>
      <c r="AR656" s="1693">
        <f>IFERROR(IF(AR526&gt;AR654,AR655,0),0)</f>
        <v/>
      </c>
      <c r="AS656" s="1693">
        <f>IFERROR(IF(AS526&gt;AS654,AS655,0),0)</f>
        <v/>
      </c>
      <c r="AT656" s="1698">
        <f>IFERROR(IF(AT526&gt;AT654,AT655,0),0)</f>
        <v/>
      </c>
      <c r="AU656" s="1693">
        <f>IFERROR(IF(AU526&gt;AU654,AU655,0),0)</f>
        <v/>
      </c>
      <c r="AV656" s="1693">
        <f>IFERROR(IF(AV526&gt;AV654,AV655,0),0)</f>
        <v/>
      </c>
      <c r="AW656" s="1693">
        <f>IFERROR(IF(AW526&gt;AW654,AW655,0),0)</f>
        <v/>
      </c>
      <c r="AX656" s="1693">
        <f>IFERROR(IF(AX526&gt;AX654,AX655,0),0)</f>
        <v/>
      </c>
      <c r="AY656" s="1698">
        <f>IFERROR(IF(AY526&gt;AY654,AY655,0),0)</f>
        <v/>
      </c>
      <c r="AZ656" s="1693">
        <f>IFERROR(IF(AZ526&gt;AZ654,AZ655,0),0)</f>
        <v/>
      </c>
      <c r="BA656" s="1693">
        <f>IFERROR(IF(BA526&gt;BA654,BA655,0),0)</f>
        <v/>
      </c>
      <c r="BB656" s="1693">
        <f>IFERROR(IF(BB526&gt;BB654,BB655,0),0)</f>
        <v/>
      </c>
      <c r="BC656" s="1693">
        <f>IFERROR(IF(BC526&gt;BC654,BC655,0),0)</f>
        <v/>
      </c>
      <c r="BD656" s="1698">
        <f>IFERROR(IF(BD526&gt;BD654,BD655,0),0)</f>
        <v/>
      </c>
      <c r="BE656" s="1693">
        <f>IFERROR(IF(BE526&gt;BE654,BE655,0),0)</f>
        <v/>
      </c>
      <c r="BF656" s="1693">
        <f>IFERROR(IF(BF526&gt;BF654,BF655,0),0)</f>
        <v/>
      </c>
      <c r="BG656" s="1693">
        <f>IFERROR(IF(BG526&gt;BG654,BG655,0),0)</f>
        <v/>
      </c>
      <c r="BH656" s="1693">
        <f>IFERROR(IF(BH526&gt;BH654,BH655,0),0)</f>
        <v/>
      </c>
      <c r="BI656" s="1698">
        <f>IFERROR(IF(BI526&gt;BI654,BI655,0),0)</f>
        <v/>
      </c>
      <c r="BJ656" s="1693">
        <f>IFERROR(IF(BJ526&gt;BJ654,BJ655,0),0)</f>
        <v/>
      </c>
      <c r="BK656" s="1693">
        <f>IFERROR(IF(BK526&gt;BK654,BK655,0),0)</f>
        <v/>
      </c>
      <c r="BL656" s="1693">
        <f>IFERROR(IF(BL526&gt;BL654,BL655,0),0)</f>
        <v/>
      </c>
      <c r="BM656" s="1693">
        <f>IFERROR(IF(BM526&gt;BM654,BM655,0),0)</f>
        <v/>
      </c>
      <c r="BN656" s="1698">
        <f>IFERROR(IF(BN526&gt;BN654,BN655,0),0)</f>
        <v/>
      </c>
      <c r="BO656" s="1693">
        <f>IFERROR(IF(BO526&gt;BO654,BO655,0),0)</f>
        <v/>
      </c>
      <c r="BP656" s="1693">
        <f>IFERROR(IF(BP526&gt;BP654,BP655,0),0)</f>
        <v/>
      </c>
      <c r="BQ656" s="1733">
        <f>IFERROR(IF(BQ526&gt;BQ654,BQ655,0),0)</f>
        <v/>
      </c>
      <c r="BR656" s="1693">
        <f>IFERROR(IF(BR526&gt;BR654,BR655,0),0)</f>
        <v/>
      </c>
      <c r="BS656" s="1698">
        <f>IFERROR(IF(BS526&gt;BS654,BS655,0),0)</f>
        <v/>
      </c>
      <c r="BT656" s="1693">
        <f>IFERROR(IF(BT526&gt;BT654,BT655,0),0)</f>
        <v/>
      </c>
      <c r="BU656" s="1693">
        <f>IFERROR(IF(BU526&gt;BU654,BU655,0),0)</f>
        <v/>
      </c>
      <c r="BV656" s="1693">
        <f>IFERROR(IF(BV526&gt;BV654,BV655,0),0)</f>
        <v/>
      </c>
      <c r="BW656" s="1693">
        <f>IFERROR(IF(BW526&gt;BW654,BW655,0),0)</f>
        <v/>
      </c>
      <c r="BX656" s="1698">
        <f>IFERROR(IF(BX526&gt;BX654,BX655,0),0)</f>
        <v/>
      </c>
      <c r="BY656" s="1698">
        <f>IFERROR(IF(BY526&gt;BY654,BY655,0),0)</f>
        <v/>
      </c>
      <c r="BZ656" s="1698">
        <f>IFERROR(IF(BZ526&gt;BZ654,BZ655,0),0)</f>
        <v/>
      </c>
      <c r="CA656" s="1698">
        <f>IFERROR(IF(CA526&gt;CA654,CA655,0),0)</f>
        <v/>
      </c>
      <c r="CB656" s="1361" t="n"/>
    </row>
    <row r="657" hidden="1" outlineLevel="2" ht="14.4" customFormat="1" customHeight="1" s="1597">
      <c r="A657" s="1361" t="n"/>
      <c r="B657" s="1512" t="n"/>
      <c r="C657" s="1379" t="n"/>
      <c r="D657" s="1379" t="n"/>
      <c r="E657" s="1379" t="n"/>
      <c r="F657" s="1379" t="n"/>
      <c r="G657" s="1361" t="n"/>
      <c r="H657" s="1361" t="n"/>
      <c r="I657" s="1361" t="n"/>
      <c r="J657" s="1361" t="n"/>
      <c r="K657" s="1379" t="n"/>
      <c r="L657" s="1361" t="n"/>
      <c r="M657" s="1361" t="n"/>
      <c r="N657" s="1361" t="n"/>
      <c r="O657" s="1361" t="n"/>
      <c r="P657" s="1379" t="n"/>
      <c r="Q657" s="1361" t="n"/>
      <c r="R657" s="1361" t="n"/>
      <c r="S657" s="1361" t="n"/>
      <c r="T657" s="1361" t="n"/>
      <c r="U657" s="1379" t="n"/>
      <c r="V657" s="1361" t="n"/>
      <c r="W657" s="1361" t="n"/>
      <c r="X657" s="1361" t="n"/>
      <c r="Y657" s="1361" t="n"/>
      <c r="Z657" s="1379" t="n"/>
      <c r="AA657" s="1361" t="n"/>
      <c r="AB657" s="1361" t="n"/>
      <c r="AC657" s="1361" t="n"/>
      <c r="AD657" s="1361" t="n"/>
      <c r="AE657" s="1379" t="n"/>
      <c r="AF657" s="1361" t="n"/>
      <c r="AG657" s="1361" t="n"/>
      <c r="AH657" s="1361" t="n"/>
      <c r="AI657" s="1361" t="n"/>
      <c r="AJ657" s="1379" t="n"/>
      <c r="AK657" s="1361" t="n"/>
      <c r="AL657" s="1361" t="n"/>
      <c r="AM657" s="1361" t="n"/>
      <c r="AN657" s="1361" t="n"/>
      <c r="AO657" s="1379" t="n"/>
      <c r="AP657" s="1361" t="n"/>
      <c r="AQ657" s="1361" t="n"/>
      <c r="AR657" s="1361" t="n"/>
      <c r="AS657" s="1361" t="n"/>
      <c r="AT657" s="1379" t="n"/>
      <c r="AU657" s="1361" t="n"/>
      <c r="AV657" s="1361" t="n"/>
      <c r="AW657" s="1361" t="n"/>
      <c r="AX657" s="1361" t="n"/>
      <c r="AY657" s="1379" t="n"/>
      <c r="AZ657" s="1361" t="n"/>
      <c r="BA657" s="1361" t="n"/>
      <c r="BB657" s="1361" t="n"/>
      <c r="BC657" s="1361" t="n"/>
      <c r="BD657" s="1379" t="n"/>
      <c r="BE657" s="1361" t="n"/>
      <c r="BF657" s="1361" t="n"/>
      <c r="BG657" s="1361" t="n"/>
      <c r="BH657" s="1361" t="n"/>
      <c r="BI657" s="1379" t="n"/>
      <c r="BJ657" s="1361" t="n"/>
      <c r="BK657" s="1361" t="n"/>
      <c r="BL657" s="1361" t="n"/>
      <c r="BM657" s="1361" t="n"/>
      <c r="BN657" s="1379" t="n"/>
      <c r="BO657" s="1361" t="n"/>
      <c r="BP657" s="1361" t="n"/>
      <c r="BQ657" s="1363" t="n"/>
      <c r="BR657" s="1361" t="n"/>
      <c r="BS657" s="1379" t="n"/>
      <c r="BT657" s="1361" t="n"/>
      <c r="BU657" s="1361" t="n"/>
      <c r="BV657" s="1361" t="n"/>
      <c r="BW657" s="1361" t="n"/>
      <c r="BX657" s="1379" t="n"/>
      <c r="BY657" s="1379" t="n"/>
      <c r="BZ657" s="1379" t="n"/>
      <c r="CA657" s="1379" t="n"/>
      <c r="CB657" s="1361" t="n"/>
    </row>
    <row r="658" hidden="1" outlineLevel="2" ht="14.4" customFormat="1" customHeight="1" s="1597">
      <c r="A658" s="1474" t="inlineStr">
        <is>
          <t>Shares Covered 2015, mm shares</t>
        </is>
      </c>
      <c r="B658" s="1512" t="n"/>
      <c r="C658" s="1379">
        <f>C655</f>
        <v/>
      </c>
      <c r="D658" s="1379">
        <f>D655</f>
        <v/>
      </c>
      <c r="E658" s="1379">
        <f>E655</f>
        <v/>
      </c>
      <c r="F658" s="1379">
        <f>F655</f>
        <v/>
      </c>
      <c r="G658" s="1361">
        <f>G655</f>
        <v/>
      </c>
      <c r="H658" s="1361">
        <f>H655</f>
        <v/>
      </c>
      <c r="I658" s="1361">
        <f>I655</f>
        <v/>
      </c>
      <c r="J658" s="1361">
        <f>J655</f>
        <v/>
      </c>
      <c r="K658" s="1379">
        <f>K655</f>
        <v/>
      </c>
      <c r="L658" s="1361">
        <f>L655</f>
        <v/>
      </c>
      <c r="M658" s="1361">
        <f>M655</f>
        <v/>
      </c>
      <c r="N658" s="1361">
        <f>N655</f>
        <v/>
      </c>
      <c r="O658" s="1361">
        <f>O655</f>
        <v/>
      </c>
      <c r="P658" s="1379">
        <f>P655</f>
        <v/>
      </c>
      <c r="Q658" s="1361">
        <f>Q655</f>
        <v/>
      </c>
      <c r="R658" s="1361">
        <f>R655</f>
        <v/>
      </c>
      <c r="S658" s="1361">
        <f>S655</f>
        <v/>
      </c>
      <c r="T658" s="1361">
        <f>T655</f>
        <v/>
      </c>
      <c r="U658" s="1379">
        <f>U655</f>
        <v/>
      </c>
      <c r="V658" s="1361">
        <f>V655</f>
        <v/>
      </c>
      <c r="W658" s="1361">
        <f>W655</f>
        <v/>
      </c>
      <c r="X658" s="1361">
        <f>X655</f>
        <v/>
      </c>
      <c r="Y658" s="1361">
        <f>Y655</f>
        <v/>
      </c>
      <c r="Z658" s="1379">
        <f>Z655</f>
        <v/>
      </c>
      <c r="AA658" s="1361">
        <f>AA655</f>
        <v/>
      </c>
      <c r="AB658" s="1361">
        <f>AB655</f>
        <v/>
      </c>
      <c r="AC658" s="1361">
        <f>AC655</f>
        <v/>
      </c>
      <c r="AD658" s="1361">
        <f>AD655</f>
        <v/>
      </c>
      <c r="AE658" s="1379">
        <f>AE655</f>
        <v/>
      </c>
      <c r="AF658" s="1361">
        <f>AF655</f>
        <v/>
      </c>
      <c r="AG658" s="1361">
        <f>AG655</f>
        <v/>
      </c>
      <c r="AH658" s="1361">
        <f>AH655</f>
        <v/>
      </c>
      <c r="AI658" s="1361">
        <f>AI655</f>
        <v/>
      </c>
      <c r="AJ658" s="1379">
        <f>AJ655</f>
        <v/>
      </c>
      <c r="AK658" s="1361">
        <f>AK655</f>
        <v/>
      </c>
      <c r="AL658" s="1361">
        <f>AL655</f>
        <v/>
      </c>
      <c r="AM658" s="1361">
        <f>AM655</f>
        <v/>
      </c>
      <c r="AN658" s="1361">
        <f>AN655</f>
        <v/>
      </c>
      <c r="AO658" s="1379">
        <f>AO655</f>
        <v/>
      </c>
      <c r="AP658" s="1361">
        <f>AP655</f>
        <v/>
      </c>
      <c r="AQ658" s="1361">
        <f>AQ655</f>
        <v/>
      </c>
      <c r="AR658" s="1361">
        <f>AR655</f>
        <v/>
      </c>
      <c r="AS658" s="1361">
        <f>AS655</f>
        <v/>
      </c>
      <c r="AT658" s="1379">
        <f>AT655</f>
        <v/>
      </c>
      <c r="AU658" s="1361">
        <f>AU655</f>
        <v/>
      </c>
      <c r="AV658" s="1361">
        <f>AV655</f>
        <v/>
      </c>
      <c r="AW658" s="1361">
        <f>AW655</f>
        <v/>
      </c>
      <c r="AX658" s="1361">
        <f>AX655</f>
        <v/>
      </c>
      <c r="AY658" s="1379">
        <f>AY655</f>
        <v/>
      </c>
      <c r="AZ658" s="1361">
        <f>AZ655</f>
        <v/>
      </c>
      <c r="BA658" s="1361">
        <f>BA655</f>
        <v/>
      </c>
      <c r="BB658" s="1361">
        <f>BB655</f>
        <v/>
      </c>
      <c r="BC658" s="1361">
        <f>BC655</f>
        <v/>
      </c>
      <c r="BD658" s="1379">
        <f>BD655</f>
        <v/>
      </c>
      <c r="BE658" s="1361">
        <f>BE655</f>
        <v/>
      </c>
      <c r="BF658" s="1361">
        <f>BF655</f>
        <v/>
      </c>
      <c r="BG658" s="1361">
        <f>BG655</f>
        <v/>
      </c>
      <c r="BH658" s="1361">
        <f>BH655</f>
        <v/>
      </c>
      <c r="BI658" s="1379">
        <f>BI655</f>
        <v/>
      </c>
      <c r="BJ658" s="1361">
        <f>BJ655</f>
        <v/>
      </c>
      <c r="BK658" s="1361">
        <f>BK655</f>
        <v/>
      </c>
      <c r="BL658" s="1361">
        <f>BL655</f>
        <v/>
      </c>
      <c r="BM658" s="1361">
        <f>BM655</f>
        <v/>
      </c>
      <c r="BN658" s="1379">
        <f>BN655</f>
        <v/>
      </c>
      <c r="BO658" s="1361">
        <f>BO655</f>
        <v/>
      </c>
      <c r="BP658" s="1361">
        <f>BP655</f>
        <v/>
      </c>
      <c r="BQ658" s="1363">
        <f>BQ655</f>
        <v/>
      </c>
      <c r="BR658" s="1361">
        <f>BR655</f>
        <v/>
      </c>
      <c r="BS658" s="1379">
        <f>BS655</f>
        <v/>
      </c>
      <c r="BT658" s="1361">
        <f>BT655</f>
        <v/>
      </c>
      <c r="BU658" s="1361">
        <f>BU655</f>
        <v/>
      </c>
      <c r="BV658" s="1361">
        <f>BV655</f>
        <v/>
      </c>
      <c r="BW658" s="1361">
        <f>BW655</f>
        <v/>
      </c>
      <c r="BX658" s="1379">
        <f>BX655</f>
        <v/>
      </c>
      <c r="BY658" s="1379">
        <f>BY655</f>
        <v/>
      </c>
      <c r="BZ658" s="1379">
        <f>BZ655</f>
        <v/>
      </c>
      <c r="CA658" s="1379">
        <f>CA655</f>
        <v/>
      </c>
      <c r="CB658" s="1361" t="n"/>
    </row>
    <row r="659" hidden="1" outlineLevel="2" ht="14.4" customFormat="1" customHeight="1" s="1597">
      <c r="A659" s="1474" t="inlineStr">
        <is>
          <t>Initial Cap Price 2015, $/share</t>
        </is>
      </c>
      <c r="B659" s="1512" t="n"/>
      <c r="C659" s="1716" t="n"/>
      <c r="D659" s="1745" t="n">
        <v>10.78</v>
      </c>
      <c r="E659" s="1745" t="n">
        <v>10.78</v>
      </c>
      <c r="F659" s="1745" t="n">
        <v>10.78</v>
      </c>
      <c r="G659" s="1754" t="n">
        <v>10.78</v>
      </c>
      <c r="H659" s="1754" t="n">
        <v>10.78</v>
      </c>
      <c r="I659" s="1754" t="n">
        <v>10.78</v>
      </c>
      <c r="J659" s="1714">
        <f>K659</f>
        <v/>
      </c>
      <c r="K659" s="1745" t="n">
        <v>10.78</v>
      </c>
      <c r="L659" s="1754" t="n">
        <v>10.78</v>
      </c>
      <c r="M659" s="1754" t="n">
        <v>10.78</v>
      </c>
      <c r="N659" s="1754" t="n">
        <v>10.78</v>
      </c>
      <c r="O659" s="1714">
        <f>P659</f>
        <v/>
      </c>
      <c r="P659" s="1745" t="n">
        <v>10.78</v>
      </c>
      <c r="Q659" s="1754" t="n">
        <v>10.78</v>
      </c>
      <c r="R659" s="1714" t="n"/>
      <c r="S659" s="1714" t="n"/>
      <c r="T659" s="1714" t="n"/>
      <c r="U659" s="1716" t="n"/>
      <c r="V659" s="1714" t="n"/>
      <c r="W659" s="1714" t="n"/>
      <c r="X659" s="1714" t="n"/>
      <c r="Y659" s="1714" t="n"/>
      <c r="Z659" s="1716" t="n"/>
      <c r="AA659" s="1714" t="n"/>
      <c r="AB659" s="1714" t="n"/>
      <c r="AC659" s="1714" t="n"/>
      <c r="AD659" s="1714" t="n"/>
      <c r="AE659" s="1716" t="n"/>
      <c r="AF659" s="1714" t="n"/>
      <c r="AG659" s="1714" t="n"/>
      <c r="AH659" s="1714" t="n"/>
      <c r="AI659" s="1714" t="n"/>
      <c r="AJ659" s="1716" t="n"/>
      <c r="AK659" s="1714" t="n"/>
      <c r="AL659" s="1714" t="n"/>
      <c r="AM659" s="1714" t="n"/>
      <c r="AN659" s="1714" t="n"/>
      <c r="AO659" s="1716" t="n"/>
      <c r="AP659" s="1714" t="n"/>
      <c r="AQ659" s="1714" t="n"/>
      <c r="AR659" s="1714" t="n"/>
      <c r="AS659" s="1714" t="n"/>
      <c r="AT659" s="1716" t="n"/>
      <c r="AU659" s="1714" t="n"/>
      <c r="AV659" s="1714" t="n"/>
      <c r="AW659" s="1714" t="n"/>
      <c r="AX659" s="1714" t="n"/>
      <c r="AY659" s="1716" t="n"/>
      <c r="AZ659" s="1714" t="n"/>
      <c r="BA659" s="1714" t="n"/>
      <c r="BB659" s="1714" t="n"/>
      <c r="BC659" s="1714" t="n"/>
      <c r="BD659" s="1716" t="n"/>
      <c r="BE659" s="1714" t="n"/>
      <c r="BF659" s="1714" t="n"/>
      <c r="BG659" s="1714" t="n"/>
      <c r="BH659" s="1714" t="n"/>
      <c r="BI659" s="1716" t="n"/>
      <c r="BJ659" s="1714" t="n"/>
      <c r="BK659" s="1714" t="n"/>
      <c r="BL659" s="1714" t="n"/>
      <c r="BM659" s="1714" t="n"/>
      <c r="BN659" s="1716" t="n"/>
      <c r="BO659" s="1714" t="n"/>
      <c r="BP659" s="1714" t="n"/>
      <c r="BQ659" s="1717" t="n"/>
      <c r="BR659" s="1714">
        <f>IF(BR658=0,0,BQ659)</f>
        <v/>
      </c>
      <c r="BS659" s="1716">
        <f>BR659</f>
        <v/>
      </c>
      <c r="BT659" s="1714">
        <f>IF(BT658=0,0,BS659)</f>
        <v/>
      </c>
      <c r="BU659" s="1714">
        <f>IF(BU658=0,0,BT659)</f>
        <v/>
      </c>
      <c r="BV659" s="1714">
        <f>IF(BV658=0,0,BU659)</f>
        <v/>
      </c>
      <c r="BW659" s="1714">
        <f>IF(BW658=0,0,BV659)</f>
        <v/>
      </c>
      <c r="BX659" s="1716">
        <f>BW659</f>
        <v/>
      </c>
      <c r="BY659" s="1716">
        <f>IF(BY658=0,0,BX659)</f>
        <v/>
      </c>
      <c r="BZ659" s="1716">
        <f>IF(BZ658=0,0,BY659)</f>
        <v/>
      </c>
      <c r="CA659" s="1716">
        <f>IF(CA658=0,0,BZ659)</f>
        <v/>
      </c>
      <c r="CB659" s="1361" t="n"/>
    </row>
    <row r="660" hidden="1" outlineLevel="2" ht="14.4" customFormat="1" customHeight="1" s="1597">
      <c r="A660" s="1693" t="inlineStr">
        <is>
          <t>Dilutive Offset from Capped Call 2015, mm shares</t>
        </is>
      </c>
      <c r="B660" s="1694" t="n"/>
      <c r="C660" s="1698">
        <f>IFERROR(IF(C526&gt;C659,-C656*C659/C526*C658/C655,-C656),0)</f>
        <v/>
      </c>
      <c r="D660" s="1698">
        <f>IFERROR(IF(D526&gt;D659,-D656*D659/D526*D658/D655,-D656),0)</f>
        <v/>
      </c>
      <c r="E660" s="1698">
        <f>IFERROR(IF(E526&gt;E659,-E656*E659/E526*E658/E655,-E656),0)</f>
        <v/>
      </c>
      <c r="F660" s="1698">
        <f>IFERROR(IF(F526&gt;F659,-F656*F659/F526*F658/F655,-F656),0)</f>
        <v/>
      </c>
      <c r="G660" s="1693">
        <f>IFERROR(IF(G526&gt;G659,-G656*G659/G526*G658/G655,-G656),0)</f>
        <v/>
      </c>
      <c r="H660" s="1693">
        <f>IFERROR(IF(H526&gt;H659,-H656*H659/H526*H658/H655,-H656),0)</f>
        <v/>
      </c>
      <c r="I660" s="1693">
        <f>IFERROR(IF(I526&gt;I659,-I656*I659/I526*I658/I655,-I656),0)</f>
        <v/>
      </c>
      <c r="J660" s="1693">
        <f>IFERROR(IF(J526&gt;J659,-J656*J659/J526*J658/J655,-J656),0)</f>
        <v/>
      </c>
      <c r="K660" s="1698">
        <f>IFERROR(IF(K526&gt;K659,-K656*K659/K526*K658/K655,-K656),0)</f>
        <v/>
      </c>
      <c r="L660" s="1693">
        <f>IFERROR(IF(L526&gt;L659,-L656*L659/L526*L658/L655,-L656),0)</f>
        <v/>
      </c>
      <c r="M660" s="1693">
        <f>IFERROR(IF(M526&gt;M659,-M656*M659/M526*M658/M655,-M656),0)</f>
        <v/>
      </c>
      <c r="N660" s="1693">
        <f>IFERROR(IF(N526&gt;N659,-N656*N659/N526*N658/N655,-N656),0)</f>
        <v/>
      </c>
      <c r="O660" s="1693">
        <f>IFERROR(IF(O526&gt;O659,-O656*O659/O526*O658/O655,-O656),0)</f>
        <v/>
      </c>
      <c r="P660" s="1698">
        <f>IFERROR(IF(P526&gt;P659,-P656*P659/P526*P658/P655,-P656),0)</f>
        <v/>
      </c>
      <c r="Q660" s="1693">
        <f>IFERROR(IF(Q526&gt;Q659,-Q656*Q659/Q526*Q658/Q655,-Q656),0)</f>
        <v/>
      </c>
      <c r="R660" s="1693">
        <f>IFERROR(IF(R526&gt;R659,-R656*R659/R526*R658/R655,-R656),0)</f>
        <v/>
      </c>
      <c r="S660" s="1693">
        <f>IFERROR(IF(S526&gt;S659,-S656*S659/S526*S658/S655,-S656),0)</f>
        <v/>
      </c>
      <c r="T660" s="1693">
        <f>IFERROR(IF(T526&gt;T659,-T656*T659/T526*T658/T655,-T656),0)</f>
        <v/>
      </c>
      <c r="U660" s="1698">
        <f>IFERROR(IF(U526&gt;U659,-U656*U659/U526*U658/U655,-U656),0)</f>
        <v/>
      </c>
      <c r="V660" s="1693">
        <f>IFERROR(IF(V526&gt;V659,-V656*V659/V526*V658/V655,-V656),0)</f>
        <v/>
      </c>
      <c r="W660" s="1693">
        <f>IFERROR(IF(W526&gt;W659,-W656*W659/W526*W658/W655,-W656),0)</f>
        <v/>
      </c>
      <c r="X660" s="1693">
        <f>IFERROR(IF(X526&gt;X659,-X656*X659/X526*X658/X655,-X656),0)</f>
        <v/>
      </c>
      <c r="Y660" s="1693">
        <f>IFERROR(IF(Y526&gt;Y659,-Y656*Y659/Y526*Y658/Y655,-Y656),0)</f>
        <v/>
      </c>
      <c r="Z660" s="1698">
        <f>IFERROR(IF(Z526&gt;Z659,-Z656*Z659/Z526*Z658/Z655,-Z656),0)</f>
        <v/>
      </c>
      <c r="AA660" s="1693">
        <f>IFERROR(IF(AA526&gt;AA659,-AA656*AA659/AA526*AA658/AA655,-AA656),0)</f>
        <v/>
      </c>
      <c r="AB660" s="1693">
        <f>IFERROR(IF(AB526&gt;AB659,-AB656*AB659/AB526*AB658/AB655,-AB656),0)</f>
        <v/>
      </c>
      <c r="AC660" s="1693">
        <f>IFERROR(IF(AC526&gt;AC659,-AC656*AC659/AC526*AC658/AC655,-AC656),0)</f>
        <v/>
      </c>
      <c r="AD660" s="1693">
        <f>IFERROR(IF(AD526&gt;AD659,-AD656*AD659/AD526*AD658/AD655,-AD656),0)</f>
        <v/>
      </c>
      <c r="AE660" s="1698">
        <f>IFERROR(IF(AE526&gt;AE659,-AE656*AE659/AE526*AE658/AE655,-AE656),0)</f>
        <v/>
      </c>
      <c r="AF660" s="1693">
        <f>IFERROR(IF(AF526&gt;AF659,-AF656*AF659/AF526*AF658/AF655,-AF656),0)</f>
        <v/>
      </c>
      <c r="AG660" s="1693">
        <f>IFERROR(IF(AG526&gt;AG659,-AG656*AG659/AG526*AG658/AG655,-AG656),0)</f>
        <v/>
      </c>
      <c r="AH660" s="1693">
        <f>IFERROR(IF(AH526&gt;AH659,-AH656*AH659/AH526*AH658/AH655,-AH656),0)</f>
        <v/>
      </c>
      <c r="AI660" s="1693">
        <f>IFERROR(IF(AI526&gt;AI659,-AI656*AI659/AI526*AI658/AI655,-AI656),0)</f>
        <v/>
      </c>
      <c r="AJ660" s="1698">
        <f>IFERROR(IF(AJ526&gt;AJ659,-AJ656*AJ659/AJ526*AJ658/AJ655,-AJ656),0)</f>
        <v/>
      </c>
      <c r="AK660" s="1693">
        <f>IFERROR(IF(AK526&gt;AK659,-AK656*AK659/AK526*AK658/AK655,-AK656),0)</f>
        <v/>
      </c>
      <c r="AL660" s="1693">
        <f>IFERROR(IF(AL526&gt;AL659,-AL656*AL659/AL526*AL658/AL655,-AL656),0)</f>
        <v/>
      </c>
      <c r="AM660" s="1693">
        <f>IFERROR(IF(AM526&gt;AM659,-AM656*AM659/AM526*AM658/AM655,-AM656),0)</f>
        <v/>
      </c>
      <c r="AN660" s="1693">
        <f>IFERROR(IF(AN526&gt;AN659,-AN656*AN659/AN526*AN658/AN655,-AN656),0)</f>
        <v/>
      </c>
      <c r="AO660" s="1698">
        <f>IFERROR(IF(AO526&gt;AO659,-AO656*AO659/AO526*AO658/AO655,-AO656),0)</f>
        <v/>
      </c>
      <c r="AP660" s="1693">
        <f>IFERROR(IF(AP526&gt;AP659,-AP656*AP659/AP526*AP658/AP655,-AP656),0)</f>
        <v/>
      </c>
      <c r="AQ660" s="1693">
        <f>IFERROR(IF(AQ526&gt;AQ659,-AQ656*AQ659/AQ526*AQ658/AQ655,-AQ656),0)</f>
        <v/>
      </c>
      <c r="AR660" s="1693">
        <f>IFERROR(IF(AR526&gt;AR659,-AR656*AR659/AR526*AR658/AR655,-AR656),0)</f>
        <v/>
      </c>
      <c r="AS660" s="1693">
        <f>IFERROR(IF(AS526&gt;AS659,-AS656*AS659/AS526*AS658/AS655,-AS656),0)</f>
        <v/>
      </c>
      <c r="AT660" s="1698">
        <f>IFERROR(IF(AT526&gt;AT659,-AT656*AT659/AT526*AT658/AT655,-AT656),0)</f>
        <v/>
      </c>
      <c r="AU660" s="1693">
        <f>IFERROR(IF(AU526&gt;AU659,-AU656*AU659/AU526*AU658/AU655,-AU656),0)</f>
        <v/>
      </c>
      <c r="AV660" s="1693">
        <f>IFERROR(IF(AV526&gt;AV659,-AV656*AV659/AV526*AV658/AV655,-AV656),0)</f>
        <v/>
      </c>
      <c r="AW660" s="1693">
        <f>IFERROR(IF(AW526&gt;AW659,-AW656*AW659/AW526*AW658/AW655,-AW656),0)</f>
        <v/>
      </c>
      <c r="AX660" s="1693">
        <f>IFERROR(IF(AX526&gt;AX659,-AX656*AX659/AX526*AX658/AX655,-AX656),0)</f>
        <v/>
      </c>
      <c r="AY660" s="1698">
        <f>IFERROR(IF(AY526&gt;AY659,-AY656*AY659/AY526*AY658/AY655,-AY656),0)</f>
        <v/>
      </c>
      <c r="AZ660" s="1693">
        <f>IFERROR(IF(AZ526&gt;AZ659,-AZ656*AZ659/AZ526*AZ658/AZ655,-AZ656),0)</f>
        <v/>
      </c>
      <c r="BA660" s="1693">
        <f>IFERROR(IF(BA526&gt;BA659,-BA656*BA659/BA526*BA658/BA655,-BA656),0)</f>
        <v/>
      </c>
      <c r="BB660" s="1693">
        <f>IFERROR(IF(BB526&gt;BB659,-BB656*BB659/BB526*BB658/BB655,-BB656),0)</f>
        <v/>
      </c>
      <c r="BC660" s="1693">
        <f>IFERROR(IF(BC526&gt;BC659,-BC656*BC659/BC526*BC658/BC655,-BC656),0)</f>
        <v/>
      </c>
      <c r="BD660" s="1698">
        <f>IFERROR(IF(BD526&gt;BD659,-BD656*BD659/BD526*BD658/BD655,-BD656),0)</f>
        <v/>
      </c>
      <c r="BE660" s="1693">
        <f>IFERROR(IF(BE526&gt;BE659,-BE656*BE659/BE526*BE658/BE655,-BE656),0)</f>
        <v/>
      </c>
      <c r="BF660" s="1693">
        <f>IFERROR(IF(BF526&gt;BF659,-BF656*BF659/BF526*BF658/BF655,-BF656),0)</f>
        <v/>
      </c>
      <c r="BG660" s="1693">
        <f>IFERROR(IF(BG526&gt;BG659,-BG656*BG659/BG526*BG658/BG655,-BG656),0)</f>
        <v/>
      </c>
      <c r="BH660" s="1693">
        <f>IFERROR(IF(BH526&gt;BH659,-BH656*BH659/BH526*BH658/BH655,-BH656),0)</f>
        <v/>
      </c>
      <c r="BI660" s="1698">
        <f>IFERROR(IF(BI526&gt;BI659,-BI656*BI659/BI526*BI658/BI655,-BI656),0)</f>
        <v/>
      </c>
      <c r="BJ660" s="1693">
        <f>IFERROR(IF(BJ526&gt;BJ659,-BJ656*BJ659/BJ526*BJ658/BJ655,-BJ656),0)</f>
        <v/>
      </c>
      <c r="BK660" s="1693">
        <f>IFERROR(IF(BK526&gt;BK659,-BK656*BK659/BK526*BK658/BK655,-BK656),0)</f>
        <v/>
      </c>
      <c r="BL660" s="1693">
        <f>IFERROR(IF(BL526&gt;BL659,-BL656*BL659/BL526*BL658/BL655,-BL656),0)</f>
        <v/>
      </c>
      <c r="BM660" s="1693">
        <f>IFERROR(IF(BM526&gt;BM659,-BM656*BM659/BM526*BM658/BM655,-BM656),0)</f>
        <v/>
      </c>
      <c r="BN660" s="1698">
        <f>IFERROR(IF(BN526&gt;BN659,-BN656*BN659/BN526*BN658/BN655,-BN656),0)</f>
        <v/>
      </c>
      <c r="BO660" s="1693">
        <f>IFERROR(IF(BO526&gt;BO659,-BO656*BO659/BO526*BO658/BO655,-BO656),0)</f>
        <v/>
      </c>
      <c r="BP660" s="1693">
        <f>IFERROR(IF(BP526&gt;BP659,-BP656*BP659/BP526*BP658/BP655,-BP656),0)</f>
        <v/>
      </c>
      <c r="BQ660" s="1733">
        <f>IFERROR(IF(BQ526&gt;BQ659,-BQ656*BQ659/BQ526*BQ658/BQ655,-BQ656),0)</f>
        <v/>
      </c>
      <c r="BR660" s="1693">
        <f>IFERROR(IF(BR526&gt;BR659,-BR656*BR659/BR526*BR658/BR655,-BR656),0)</f>
        <v/>
      </c>
      <c r="BS660" s="1698">
        <f>IFERROR(IF(BS526&gt;BS659,-BS656*BS659/BS526*BS658/BS655,-BS656),0)</f>
        <v/>
      </c>
      <c r="BT660" s="1693">
        <f>IFERROR(IF(BT526&gt;BT659,-BT656*BT659/BT526*BT658/BT655,-BT656),0)</f>
        <v/>
      </c>
      <c r="BU660" s="1693">
        <f>IFERROR(IF(BU526&gt;BU659,-BU656*BU659/BU526*BU658/BU655,-BU656),0)</f>
        <v/>
      </c>
      <c r="BV660" s="1693">
        <f>IFERROR(IF(BV526&gt;BV659,-BV656*BV659/BV526*BV658/BV655,-BV656),0)</f>
        <v/>
      </c>
      <c r="BW660" s="1693">
        <f>IFERROR(IF(BW526&gt;BW659,-BW656*BW659/BW526*BW658/BW655,-BW656),0)</f>
        <v/>
      </c>
      <c r="BX660" s="1698">
        <f>IFERROR(IF(BX526&gt;BX659,-BX656*BX659/BX526*BX658/BX655,-BX656),0)</f>
        <v/>
      </c>
      <c r="BY660" s="1698">
        <f>IFERROR(IF(BY526&gt;BY659,-BY656*BY659/BY526*BY658/BY655,-BY656),0)</f>
        <v/>
      </c>
      <c r="BZ660" s="1698">
        <f>IFERROR(IF(BZ526&gt;BZ659,-BZ656*BZ659/BZ526*BZ658/BZ655,-BZ656),0)</f>
        <v/>
      </c>
      <c r="CA660" s="1698">
        <f>IFERROR(IF(CA526&gt;CA659,-CA656*CA659/CA526*CA658/CA655,-CA656),0)</f>
        <v/>
      </c>
      <c r="CB660" s="1361" t="n"/>
    </row>
    <row r="661" hidden="1" outlineLevel="2" ht="14.4" customFormat="1" customHeight="1" s="1597">
      <c r="A661" s="1474" t="inlineStr">
        <is>
          <t>Cash Paid for Exercising Call Options, mm</t>
        </is>
      </c>
      <c r="B661" s="1512" t="n"/>
      <c r="C661" s="1379">
        <f>IF(C660&lt;0,C658*C654,0)</f>
        <v/>
      </c>
      <c r="D661" s="1379">
        <f>IF(D660&lt;0,D658*D654,0)</f>
        <v/>
      </c>
      <c r="E661" s="1379">
        <f>IF(E660&lt;0,E658*E654,0)</f>
        <v/>
      </c>
      <c r="F661" s="1379">
        <f>IF(F660&lt;0,F658*F654,0)</f>
        <v/>
      </c>
      <c r="G661" s="1361">
        <f>IF(G660&lt;0,G658*G654,0)</f>
        <v/>
      </c>
      <c r="H661" s="1361">
        <f>IF(H660&lt;0,H658*H654,0)</f>
        <v/>
      </c>
      <c r="I661" s="1361">
        <f>IF(I660&lt;0,I658*I654,0)</f>
        <v/>
      </c>
      <c r="J661" s="1361">
        <f>IF(J660&lt;0,J658*J654,0)</f>
        <v/>
      </c>
      <c r="K661" s="1379">
        <f>IF(K660&lt;0,K658*K654,0)</f>
        <v/>
      </c>
      <c r="L661" s="1361">
        <f>IF(L660&lt;0,L658*L654,0)</f>
        <v/>
      </c>
      <c r="M661" s="1361">
        <f>IF(M660&lt;0,M658*M654,0)</f>
        <v/>
      </c>
      <c r="N661" s="1361">
        <f>IF(N660&lt;0,N658*N654,0)</f>
        <v/>
      </c>
      <c r="O661" s="1361">
        <f>IF(O660&lt;0,O658*O654,0)</f>
        <v/>
      </c>
      <c r="P661" s="1379">
        <f>IF(P660&lt;0,P658*P654,0)</f>
        <v/>
      </c>
      <c r="Q661" s="1361">
        <f>IF(Q660&lt;0,Q658*Q654,0)</f>
        <v/>
      </c>
      <c r="R661" s="1361">
        <f>IF(R660&lt;0,R658*R654,0)</f>
        <v/>
      </c>
      <c r="S661" s="1361">
        <f>IF(S660&lt;0,S658*S654,0)</f>
        <v/>
      </c>
      <c r="T661" s="1361">
        <f>IF(T660&lt;0,T658*T654,0)</f>
        <v/>
      </c>
      <c r="U661" s="1379">
        <f>IF(U660&lt;0,U658*U654,0)</f>
        <v/>
      </c>
      <c r="V661" s="1361">
        <f>IF(V660&lt;0,V658*V654,0)</f>
        <v/>
      </c>
      <c r="W661" s="1361">
        <f>IF(W660&lt;0,W658*W654,0)</f>
        <v/>
      </c>
      <c r="X661" s="1361">
        <f>IF(X660&lt;0,X658*X654,0)</f>
        <v/>
      </c>
      <c r="Y661" s="1361">
        <f>IF(Y660&lt;0,Y658*Y654,0)</f>
        <v/>
      </c>
      <c r="Z661" s="1379">
        <f>IF(Z660&lt;0,Z658*Z654,0)</f>
        <v/>
      </c>
      <c r="AA661" s="1361">
        <f>IF(AA660&lt;0,AA658*AA654,0)</f>
        <v/>
      </c>
      <c r="AB661" s="1361">
        <f>IF(AB660&lt;0,AB658*AB654,0)</f>
        <v/>
      </c>
      <c r="AC661" s="1361">
        <f>IF(AC660&lt;0,AC658*AC654,0)</f>
        <v/>
      </c>
      <c r="AD661" s="1361">
        <f>IF(AD660&lt;0,AD658*AD654,0)</f>
        <v/>
      </c>
      <c r="AE661" s="1379">
        <f>IF(AE660&lt;0,AE658*AE654,0)</f>
        <v/>
      </c>
      <c r="AF661" s="1361">
        <f>IF(AF660&lt;0,AF658*AF654,0)</f>
        <v/>
      </c>
      <c r="AG661" s="1361">
        <f>IF(AG660&lt;0,AG658*AG654,0)</f>
        <v/>
      </c>
      <c r="AH661" s="1361">
        <f>IF(AH660&lt;0,AH658*AH654,0)</f>
        <v/>
      </c>
      <c r="AI661" s="1361">
        <f>IF(AI660&lt;0,AI658*AI654,0)</f>
        <v/>
      </c>
      <c r="AJ661" s="1379">
        <f>IF(AJ660&lt;0,AJ658*AJ654,0)</f>
        <v/>
      </c>
      <c r="AK661" s="1361">
        <f>IF(AK660&lt;0,AK658*AK654,0)</f>
        <v/>
      </c>
      <c r="AL661" s="1361">
        <f>IF(AL660&lt;0,AL658*AL654,0)</f>
        <v/>
      </c>
      <c r="AM661" s="1361">
        <f>IF(AM660&lt;0,AM658*AM654,0)</f>
        <v/>
      </c>
      <c r="AN661" s="1361">
        <f>IF(AN660&lt;0,AN658*AN654,0)</f>
        <v/>
      </c>
      <c r="AO661" s="1379">
        <f>IF(AO660&lt;0,AO658*AO654,0)</f>
        <v/>
      </c>
      <c r="AP661" s="1361">
        <f>IF(AP660&lt;0,AP658*AP654,0)</f>
        <v/>
      </c>
      <c r="AQ661" s="1361">
        <f>IF(AQ660&lt;0,AQ658*AQ654,0)</f>
        <v/>
      </c>
      <c r="AR661" s="1361">
        <f>IF(AR660&lt;0,AR658*AR654,0)</f>
        <v/>
      </c>
      <c r="AS661" s="1361">
        <f>IF(AS660&lt;0,AS658*AS654,0)</f>
        <v/>
      </c>
      <c r="AT661" s="1379">
        <f>IF(AT660&lt;0,AT658*AT654,0)</f>
        <v/>
      </c>
      <c r="AU661" s="1361">
        <f>IF(AU660&lt;0,AU658*AU654,0)</f>
        <v/>
      </c>
      <c r="AV661" s="1361">
        <f>IF(AV660&lt;0,AV658*AV654,0)</f>
        <v/>
      </c>
      <c r="AW661" s="1361">
        <f>IF(AW660&lt;0,AW658*AW654,0)</f>
        <v/>
      </c>
      <c r="AX661" s="1361">
        <f>IF(AX660&lt;0,AX658*AX654,0)</f>
        <v/>
      </c>
      <c r="AY661" s="1379">
        <f>IF(AY660&lt;0,AY658*AY654,0)</f>
        <v/>
      </c>
      <c r="AZ661" s="1361">
        <f>IF(AZ660&lt;0,AZ658*AZ654,0)</f>
        <v/>
      </c>
      <c r="BA661" s="1361">
        <f>IF(BA660&lt;0,BA658*BA654,0)</f>
        <v/>
      </c>
      <c r="BB661" s="1361">
        <f>IF(BB660&lt;0,BB658*BB654,0)</f>
        <v/>
      </c>
      <c r="BC661" s="1361">
        <f>IF(BC660&lt;0,BC658*BC654,0)</f>
        <v/>
      </c>
      <c r="BD661" s="1379">
        <f>IF(BD660&lt;0,BD658*BD654,0)</f>
        <v/>
      </c>
      <c r="BE661" s="1361">
        <f>IF(BE660&lt;0,BE658*BE654,0)</f>
        <v/>
      </c>
      <c r="BF661" s="1361">
        <f>IF(BF660&lt;0,BF658*BF654,0)</f>
        <v/>
      </c>
      <c r="BG661" s="1361">
        <f>IF(BG660&lt;0,BG658*BG654,0)</f>
        <v/>
      </c>
      <c r="BH661" s="1361">
        <f>IF(BH660&lt;0,BH658*BH654,0)</f>
        <v/>
      </c>
      <c r="BI661" s="1379">
        <f>IF(BI660&lt;0,BI658*BI654,0)</f>
        <v/>
      </c>
      <c r="BJ661" s="1361">
        <f>IF(BJ660&lt;0,BJ658*BJ654,0)</f>
        <v/>
      </c>
      <c r="BK661" s="1361">
        <f>IF(BK660&lt;0,BK658*BK654,0)</f>
        <v/>
      </c>
      <c r="BL661" s="1361">
        <f>IF(BL660&lt;0,BL658*BL654,0)</f>
        <v/>
      </c>
      <c r="BM661" s="1361">
        <f>IF(BM660&lt;0,BM658*BM654,0)</f>
        <v/>
      </c>
      <c r="BN661" s="1379">
        <f>IF(BN660&lt;0,BN658*BN654,0)</f>
        <v/>
      </c>
      <c r="BO661" s="1361">
        <f>IF(BO660&lt;0,BO658*BO654,0)</f>
        <v/>
      </c>
      <c r="BP661" s="1361">
        <f>IF(BP660&lt;0,BP658*BP654,0)</f>
        <v/>
      </c>
      <c r="BQ661" s="1363">
        <f>IF(BQ660&lt;0,BQ658*BQ654,0)</f>
        <v/>
      </c>
      <c r="BR661" s="1361">
        <f>IF(BR660&lt;0,BR658*BR654,0)</f>
        <v/>
      </c>
      <c r="BS661" s="1379">
        <f>IF(BS660&lt;0,BS658*BS654,0)</f>
        <v/>
      </c>
      <c r="BT661" s="1361">
        <f>IF(BT660&lt;0,BT658*BT654,0)</f>
        <v/>
      </c>
      <c r="BU661" s="1361">
        <f>IF(BU660&lt;0,BU658*BU654,0)</f>
        <v/>
      </c>
      <c r="BV661" s="1361">
        <f>IF(BV660&lt;0,BV658*BV654,0)</f>
        <v/>
      </c>
      <c r="BW661" s="1361">
        <f>IF(BW660&lt;0,BW658*BW654,0)</f>
        <v/>
      </c>
      <c r="BX661" s="1379">
        <f>IF(BX660&lt;0,BX658*BX654,0)</f>
        <v/>
      </c>
      <c r="BY661" s="1379">
        <f>IF(BY660&lt;0,BY658*BY654,0)</f>
        <v/>
      </c>
      <c r="BZ661" s="1379">
        <f>IF(BZ660&lt;0,BZ658*BZ654,0)</f>
        <v/>
      </c>
      <c r="CA661" s="1379">
        <f>IF(CA660&lt;0,CA658*CA654,0)</f>
        <v/>
      </c>
      <c r="CB661" s="1361" t="n"/>
    </row>
    <row r="662" hidden="1" outlineLevel="2" ht="14.4" customFormat="1" customHeight="1" s="1597">
      <c r="A662" s="1361" t="n"/>
      <c r="B662" s="1512" t="n"/>
      <c r="C662" s="1379" t="n"/>
      <c r="D662" s="1379" t="n"/>
      <c r="E662" s="1379" t="n"/>
      <c r="F662" s="1379" t="n"/>
      <c r="G662" s="1361" t="n"/>
      <c r="H662" s="1361" t="n"/>
      <c r="I662" s="1361" t="n"/>
      <c r="J662" s="1361" t="n"/>
      <c r="K662" s="1379" t="n"/>
      <c r="L662" s="1361" t="n"/>
      <c r="M662" s="1361" t="n"/>
      <c r="N662" s="1361" t="n"/>
      <c r="O662" s="1361" t="n"/>
      <c r="P662" s="1379" t="n"/>
      <c r="Q662" s="1361" t="n"/>
      <c r="R662" s="1361" t="n"/>
      <c r="S662" s="1361" t="n"/>
      <c r="T662" s="1361" t="n"/>
      <c r="U662" s="1379" t="n"/>
      <c r="V662" s="1361" t="n"/>
      <c r="W662" s="1361" t="n"/>
      <c r="X662" s="1361" t="n"/>
      <c r="Y662" s="1361" t="n"/>
      <c r="Z662" s="1379" t="n"/>
      <c r="AA662" s="1361" t="n"/>
      <c r="AB662" s="1361" t="n"/>
      <c r="AC662" s="1361" t="n"/>
      <c r="AD662" s="1361" t="n"/>
      <c r="AE662" s="1379" t="n"/>
      <c r="AF662" s="1361" t="n"/>
      <c r="AG662" s="1361" t="n"/>
      <c r="AH662" s="1361" t="n"/>
      <c r="AI662" s="1361" t="n"/>
      <c r="AJ662" s="1379" t="n"/>
      <c r="AK662" s="1361" t="n"/>
      <c r="AL662" s="1361" t="n"/>
      <c r="AM662" s="1361" t="n"/>
      <c r="AN662" s="1361" t="n"/>
      <c r="AO662" s="1379" t="n"/>
      <c r="AP662" s="1361" t="n"/>
      <c r="AQ662" s="1361" t="n"/>
      <c r="AR662" s="1361" t="n"/>
      <c r="AS662" s="1361" t="n"/>
      <c r="AT662" s="1379" t="n"/>
      <c r="AU662" s="1361" t="n"/>
      <c r="AV662" s="1361" t="n"/>
      <c r="AW662" s="1361" t="n"/>
      <c r="AX662" s="1361" t="n"/>
      <c r="AY662" s="1379" t="n"/>
      <c r="AZ662" s="1361" t="n"/>
      <c r="BA662" s="1361" t="n"/>
      <c r="BB662" s="1361" t="n"/>
      <c r="BC662" s="1361" t="n"/>
      <c r="BD662" s="1379" t="n"/>
      <c r="BE662" s="1361" t="n"/>
      <c r="BF662" s="1361" t="n"/>
      <c r="BG662" s="1361" t="n"/>
      <c r="BH662" s="1361" t="n"/>
      <c r="BI662" s="1379" t="n"/>
      <c r="BJ662" s="1361" t="n"/>
      <c r="BK662" s="1361" t="n"/>
      <c r="BL662" s="1361" t="n"/>
      <c r="BM662" s="1361" t="n"/>
      <c r="BN662" s="1379" t="n"/>
      <c r="BO662" s="1361" t="n"/>
      <c r="BP662" s="1361" t="n"/>
      <c r="BQ662" s="1363" t="n"/>
      <c r="BR662" s="1361" t="n"/>
      <c r="BS662" s="1379" t="n"/>
      <c r="BT662" s="1361" t="n"/>
      <c r="BU662" s="1361" t="n"/>
      <c r="BV662" s="1361" t="n"/>
      <c r="BW662" s="1361" t="n"/>
      <c r="BX662" s="1379" t="n"/>
      <c r="BY662" s="1379" t="n"/>
      <c r="BZ662" s="1379" t="n"/>
      <c r="CA662" s="1379" t="n"/>
      <c r="CB662" s="1361" t="n"/>
    </row>
    <row r="663" hidden="1" outlineLevel="2" ht="14.4" customFormat="1" customHeight="1" s="1597">
      <c r="A663" s="1361" t="inlineStr">
        <is>
          <t>2015 Notes Net Share Increase from Note Conversion and Capped Call Exercise, mm shares</t>
        </is>
      </c>
      <c r="B663" s="1512" t="n"/>
      <c r="C663" s="1379" t="n"/>
      <c r="D663" s="1379" t="n"/>
      <c r="E663" s="1379" t="n"/>
      <c r="F663" s="1379" t="n"/>
      <c r="G663" s="1361" t="n"/>
      <c r="H663" s="1361" t="n"/>
      <c r="I663" s="1361" t="n"/>
      <c r="J663" s="1361" t="n"/>
      <c r="K663" s="1379" t="n"/>
      <c r="L663" s="1361" t="n"/>
      <c r="M663" s="1361" t="n"/>
      <c r="N663" s="1361" t="n"/>
      <c r="O663" s="1361" t="n"/>
      <c r="P663" s="1379" t="n"/>
      <c r="Q663" s="1361" t="n"/>
      <c r="R663" s="1361" t="n"/>
      <c r="S663" s="1361" t="n"/>
      <c r="T663" s="1361" t="n"/>
      <c r="U663" s="1379" t="n"/>
      <c r="V663" s="1361" t="n"/>
      <c r="W663" s="1361" t="n"/>
      <c r="X663" s="1361" t="n"/>
      <c r="Y663" s="1361" t="n"/>
      <c r="Z663" s="1379" t="n"/>
      <c r="AA663" s="1361" t="n"/>
      <c r="AB663" s="1361" t="n"/>
      <c r="AC663" s="1361" t="n"/>
      <c r="AD663" s="1361" t="n"/>
      <c r="AE663" s="1379" t="n"/>
      <c r="AF663" s="1361" t="n"/>
      <c r="AG663" s="1361" t="n"/>
      <c r="AH663" s="1361" t="n"/>
      <c r="AI663" s="1361" t="n"/>
      <c r="AJ663" s="1379" t="n"/>
      <c r="AK663" s="1361" t="n"/>
      <c r="AL663" s="1361" t="n"/>
      <c r="AM663" s="1361" t="n"/>
      <c r="AN663" s="1361" t="n"/>
      <c r="AO663" s="1379" t="n"/>
      <c r="AP663" s="1361" t="n"/>
      <c r="AQ663" s="1361" t="n"/>
      <c r="AR663" s="1361" t="n"/>
      <c r="AS663" s="1361" t="n"/>
      <c r="AT663" s="1379" t="n"/>
      <c r="AU663" s="1361" t="n"/>
      <c r="AV663" s="1361" t="n"/>
      <c r="AW663" s="1361" t="n"/>
      <c r="AX663" s="1361" t="n"/>
      <c r="AY663" s="1379" t="n"/>
      <c r="AZ663" s="1361" t="n"/>
      <c r="BA663" s="1361" t="n"/>
      <c r="BB663" s="1361" t="n"/>
      <c r="BC663" s="1361" t="n"/>
      <c r="BD663" s="1379" t="n"/>
      <c r="BE663" s="1361" t="n"/>
      <c r="BF663" s="1361" t="n"/>
      <c r="BG663" s="1361" t="n"/>
      <c r="BH663" s="1361" t="n"/>
      <c r="BI663" s="1379" t="n"/>
      <c r="BJ663" s="1361" t="n"/>
      <c r="BK663" s="1361" t="n"/>
      <c r="BL663" s="1361" t="n"/>
      <c r="BM663" s="1361" t="n"/>
      <c r="BN663" s="1379" t="n"/>
      <c r="BO663" s="1361" t="n"/>
      <c r="BP663" s="1361" t="n"/>
      <c r="BQ663" s="1363" t="n"/>
      <c r="BR663" s="1361">
        <f>IFERROR(IF(AND(BR650=0,BR526&gt;BQ654,BR526&gt;BQ659),BQ655-BQ655*BQ659/BR526*BQ658/BQ655,0),0)</f>
        <v/>
      </c>
      <c r="BS663" s="1379">
        <f>SUM(BO663,BP663,BQ663,BR663)</f>
        <v/>
      </c>
      <c r="BT663" s="1361">
        <f>IFERROR(IF(AND(BT650=0,BT526&gt;BS654,BT526&gt;BS659),BS655-BS655*BS659/BT526*BS658/BS655,0),0)</f>
        <v/>
      </c>
      <c r="BU663" s="1361">
        <f>IFERROR(IF(AND(BU650=0,BU526&gt;BT654,BU526&gt;BT659),BT655-BT655*BT659/BU526*BT658/BT655,0),0)</f>
        <v/>
      </c>
      <c r="BV663" s="1361">
        <f>IFERROR(IF(AND(BV650=0,BV526&gt;BU654,BV526&gt;BU659),BU655-BU655*BU659/BV526*BU658/BU655,0),0)</f>
        <v/>
      </c>
      <c r="BW663" s="1361">
        <f>IFERROR(IF(AND(BW650=0,BW526&gt;BV654,BW526&gt;BV659),BV655-BV655*BV659/BW526*BV658/BV655,0),0)</f>
        <v/>
      </c>
      <c r="BX663" s="1379">
        <f>SUM(BT663,BU663,BV663,BW663)</f>
        <v/>
      </c>
      <c r="BY663" s="1379">
        <f>IFERROR(IF(AND(BY650=0,BY526&gt;BX654,BY526&gt;BX659),BX655-BX655*BX659/BY526*BX658/BX655,0),0)</f>
        <v/>
      </c>
      <c r="BZ663" s="1379">
        <f>IFERROR(IF(AND(BZ650=0,BZ526&gt;BY654,BZ526&gt;BY659),BY655-BY655*BY659/BZ526*BY658/BY655,0),0)</f>
        <v/>
      </c>
      <c r="CA663" s="1379">
        <f>IFERROR(IF(AND(CA650=0,CA526&gt;BZ654,CA526&gt;BZ659),BZ655-BZ655*BZ659/CA526*BZ658/BZ655,0),0)</f>
        <v/>
      </c>
      <c r="CB663" s="1361" t="n"/>
    </row>
    <row r="664" hidden="1" outlineLevel="2" ht="14.4" customFormat="1" customHeight="1" s="1597">
      <c r="A664" s="1361" t="inlineStr">
        <is>
          <t>2015 Notes Cash Payment on Capped Call Exercise</t>
        </is>
      </c>
      <c r="B664" s="1512" t="n"/>
      <c r="C664" s="1379" t="n"/>
      <c r="D664" s="1379" t="n"/>
      <c r="E664" s="1379" t="n"/>
      <c r="F664" s="1379" t="n"/>
      <c r="G664" s="1361" t="n"/>
      <c r="H664" s="1361" t="n"/>
      <c r="I664" s="1361" t="n"/>
      <c r="J664" s="1361" t="n"/>
      <c r="K664" s="1379" t="n"/>
      <c r="L664" s="1361" t="n"/>
      <c r="M664" s="1361" t="n"/>
      <c r="N664" s="1361" t="n"/>
      <c r="O664" s="1361" t="n"/>
      <c r="P664" s="1379" t="n"/>
      <c r="Q664" s="1361" t="n"/>
      <c r="R664" s="1361" t="n"/>
      <c r="S664" s="1361" t="n"/>
      <c r="T664" s="1361" t="n"/>
      <c r="U664" s="1379" t="n"/>
      <c r="V664" s="1361" t="n"/>
      <c r="W664" s="1361" t="n"/>
      <c r="X664" s="1361" t="n"/>
      <c r="Y664" s="1361" t="n"/>
      <c r="Z664" s="1379" t="n"/>
      <c r="AA664" s="1361" t="n"/>
      <c r="AB664" s="1361" t="n"/>
      <c r="AC664" s="1361" t="n"/>
      <c r="AD664" s="1361" t="n"/>
      <c r="AE664" s="1379" t="n"/>
      <c r="AF664" s="1361" t="n"/>
      <c r="AG664" s="1361" t="n"/>
      <c r="AH664" s="1361" t="n"/>
      <c r="AI664" s="1361" t="n"/>
      <c r="AJ664" s="1379" t="n"/>
      <c r="AK664" s="1361" t="n"/>
      <c r="AL664" s="1361" t="n"/>
      <c r="AM664" s="1361" t="n"/>
      <c r="AN664" s="1361" t="n"/>
      <c r="AO664" s="1379" t="n"/>
      <c r="AP664" s="1361" t="n"/>
      <c r="AQ664" s="1361" t="n"/>
      <c r="AR664" s="1361" t="n"/>
      <c r="AS664" s="1361" t="n"/>
      <c r="AT664" s="1379" t="n"/>
      <c r="AU664" s="1361" t="n"/>
      <c r="AV664" s="1361" t="n"/>
      <c r="AW664" s="1361" t="n"/>
      <c r="AX664" s="1361" t="n"/>
      <c r="AY664" s="1379" t="n"/>
      <c r="AZ664" s="1361" t="n"/>
      <c r="BA664" s="1361" t="n"/>
      <c r="BB664" s="1361" t="n"/>
      <c r="BC664" s="1361" t="n"/>
      <c r="BD664" s="1379" t="n"/>
      <c r="BE664" s="1361" t="n"/>
      <c r="BF664" s="1361" t="n"/>
      <c r="BG664" s="1361" t="n"/>
      <c r="BH664" s="1361" t="n"/>
      <c r="BI664" s="1379" t="n"/>
      <c r="BJ664" s="1361" t="n"/>
      <c r="BK664" s="1361" t="n"/>
      <c r="BL664" s="1361" t="n"/>
      <c r="BM664" s="1361" t="n"/>
      <c r="BN664" s="1379" t="n"/>
      <c r="BO664" s="1361" t="n"/>
      <c r="BP664" s="1361" t="n"/>
      <c r="BQ664" s="1363" t="n"/>
      <c r="BR664" s="1361">
        <f>IF(AND(BR650=0,BR526&gt;BQ654),-BQ654*BQ658,0)</f>
        <v/>
      </c>
      <c r="BS664" s="1379">
        <f>SUM(BO664,BP664,BQ664,BR664)</f>
        <v/>
      </c>
      <c r="BT664" s="1361">
        <f>IF(AND(BT650=0,BT526&gt;BS654),-BS654*BS658,0)</f>
        <v/>
      </c>
      <c r="BU664" s="1361">
        <f>IF(AND(BU650=0,BU526&gt;BT654),-BT654*BT658,0)</f>
        <v/>
      </c>
      <c r="BV664" s="1361">
        <f>IF(AND(BV650=0,BV526&gt;BU654),-BU654*BU658,0)</f>
        <v/>
      </c>
      <c r="BW664" s="1361">
        <f>IF(AND(BW650=0,BW526&gt;BV654),-BV654*BV658,0)</f>
        <v/>
      </c>
      <c r="BX664" s="1379">
        <f>SUM(BT664,BU664,BV664,BW664)</f>
        <v/>
      </c>
      <c r="BY664" s="1379">
        <f>IF(AND(BY650=0,BY526&gt;BX654),-BX654*BX658,0)</f>
        <v/>
      </c>
      <c r="BZ664" s="1379">
        <f>IF(AND(BZ650=0,BZ526&gt;BY654),-BY654*BY658,0)</f>
        <v/>
      </c>
      <c r="CA664" s="1379">
        <f>IF(AND(CA650=0,CA526&gt;BZ654),-BZ654*BZ658,0)</f>
        <v/>
      </c>
      <c r="CB664" s="1361" t="n"/>
    </row>
    <row r="665" hidden="1" outlineLevel="2" ht="14.4" customFormat="1" customHeight="1" s="1597">
      <c r="A665" s="1361" t="inlineStr">
        <is>
          <t>2015 Notes Cash Payment on Note Principal Repayment</t>
        </is>
      </c>
      <c r="B665" s="1512" t="n"/>
      <c r="C665" s="1379" t="n"/>
      <c r="D665" s="1379" t="n"/>
      <c r="E665" s="1379" t="n"/>
      <c r="F665" s="1379" t="n"/>
      <c r="G665" s="1361" t="n"/>
      <c r="H665" s="1361" t="n"/>
      <c r="I665" s="1361" t="n"/>
      <c r="J665" s="1361" t="n"/>
      <c r="K665" s="1379" t="n"/>
      <c r="L665" s="1361" t="n"/>
      <c r="M665" s="1361" t="n"/>
      <c r="N665" s="1361" t="n"/>
      <c r="O665" s="1361" t="n"/>
      <c r="P665" s="1379" t="n"/>
      <c r="Q665" s="1361" t="n"/>
      <c r="R665" s="1361" t="n"/>
      <c r="S665" s="1361" t="n"/>
      <c r="T665" s="1361" t="n"/>
      <c r="U665" s="1379" t="n"/>
      <c r="V665" s="1361" t="n"/>
      <c r="W665" s="1361" t="n"/>
      <c r="X665" s="1361" t="n"/>
      <c r="Y665" s="1361" t="n"/>
      <c r="Z665" s="1379" t="n"/>
      <c r="AA665" s="1361" t="n"/>
      <c r="AB665" s="1361" t="n"/>
      <c r="AC665" s="1361" t="n"/>
      <c r="AD665" s="1361" t="n"/>
      <c r="AE665" s="1379" t="n"/>
      <c r="AF665" s="1361" t="n"/>
      <c r="AG665" s="1361" t="n"/>
      <c r="AH665" s="1361" t="n"/>
      <c r="AI665" s="1361" t="n"/>
      <c r="AJ665" s="1379" t="n"/>
      <c r="AK665" s="1361" t="n"/>
      <c r="AL665" s="1361" t="n"/>
      <c r="AM665" s="1361" t="n"/>
      <c r="AN665" s="1361" t="n"/>
      <c r="AO665" s="1379" t="n"/>
      <c r="AP665" s="1361" t="n"/>
      <c r="AQ665" s="1361" t="n"/>
      <c r="AR665" s="1361" t="n"/>
      <c r="AS665" s="1361" t="n"/>
      <c r="AT665" s="1379" t="n"/>
      <c r="AU665" s="1361" t="n"/>
      <c r="AV665" s="1361" t="n"/>
      <c r="AW665" s="1361" t="n"/>
      <c r="AX665" s="1361" t="n"/>
      <c r="AY665" s="1379" t="n"/>
      <c r="AZ665" s="1361" t="n"/>
      <c r="BA665" s="1361" t="n"/>
      <c r="BB665" s="1361" t="n"/>
      <c r="BC665" s="1361" t="n"/>
      <c r="BD665" s="1379" t="n"/>
      <c r="BE665" s="1361" t="n"/>
      <c r="BF665" s="1361" t="n"/>
      <c r="BG665" s="1361" t="n"/>
      <c r="BH665" s="1361" t="n"/>
      <c r="BI665" s="1379" t="n"/>
      <c r="BJ665" s="1361" t="n"/>
      <c r="BK665" s="1361" t="n"/>
      <c r="BL665" s="1361" t="n"/>
      <c r="BM665" s="1361" t="n"/>
      <c r="BN665" s="1379" t="n"/>
      <c r="BO665" s="1361" t="n"/>
      <c r="BP665" s="1361" t="n"/>
      <c r="BQ665" s="1363" t="n"/>
      <c r="BR665" s="1361">
        <f>IF(AND(BR650=0,BR526&lt;=BQ654),-BQ650,0)</f>
        <v/>
      </c>
      <c r="BS665" s="1379">
        <f>SUM(BO665,BP665,BQ665,BR665)</f>
        <v/>
      </c>
      <c r="BT665" s="1361">
        <f>IF(AND(BT650=0,BT526&lt;=BS654),-BS650,0)</f>
        <v/>
      </c>
      <c r="BU665" s="1361">
        <f>IF(AND(BU650=0,BU526&lt;=BT654),-BT650,0)</f>
        <v/>
      </c>
      <c r="BV665" s="1361">
        <f>IF(AND(BV650=0,BV526&lt;=BU654),-BU650,0)</f>
        <v/>
      </c>
      <c r="BW665" s="1361">
        <f>IF(AND(BW650=0,BW526&lt;=BV654),-BV650,0)</f>
        <v/>
      </c>
      <c r="BX665" s="1379">
        <f>SUM(BT665,BU665,BV665,BW665)</f>
        <v/>
      </c>
      <c r="BY665" s="1379">
        <f>IF(AND(BY650=0,BY526&lt;=BX654),-BX650,0)</f>
        <v/>
      </c>
      <c r="BZ665" s="1379">
        <f>IF(AND(BZ650=0,BZ526&lt;=BY654),-BY650,0)</f>
        <v/>
      </c>
      <c r="CA665" s="1379">
        <f>IF(AND(CA650=0,CA526&lt;=BZ654),-BZ650,0)</f>
        <v/>
      </c>
      <c r="CB665" s="1361" t="n"/>
    </row>
    <row r="666" hidden="1" outlineLevel="2" ht="14.4" customFormat="1" customHeight="1" s="1597">
      <c r="A666" s="1361" t="n"/>
      <c r="B666" s="1512" t="n"/>
      <c r="C666" s="1379" t="n"/>
      <c r="D666" s="1379" t="n"/>
      <c r="E666" s="1379" t="n"/>
      <c r="F666" s="1379" t="n"/>
      <c r="G666" s="1361" t="n"/>
      <c r="H666" s="1361" t="n"/>
      <c r="I666" s="1361" t="n"/>
      <c r="J666" s="1361" t="n"/>
      <c r="K666" s="1379" t="n"/>
      <c r="L666" s="1361" t="n"/>
      <c r="M666" s="1361" t="n"/>
      <c r="N666" s="1361" t="n"/>
      <c r="O666" s="1361" t="n"/>
      <c r="P666" s="1379" t="n"/>
      <c r="Q666" s="1361" t="n"/>
      <c r="R666" s="1361" t="n"/>
      <c r="S666" s="1361" t="n"/>
      <c r="T666" s="1361" t="n"/>
      <c r="U666" s="1379" t="n"/>
      <c r="V666" s="1361" t="n"/>
      <c r="W666" s="1361" t="n"/>
      <c r="X666" s="1361" t="n"/>
      <c r="Y666" s="1361" t="n"/>
      <c r="Z666" s="1379" t="n"/>
      <c r="AA666" s="1361" t="n"/>
      <c r="AB666" s="1361" t="n"/>
      <c r="AC666" s="1361" t="n"/>
      <c r="AD666" s="1361" t="n"/>
      <c r="AE666" s="1379" t="n"/>
      <c r="AF666" s="1361" t="n"/>
      <c r="AG666" s="1361" t="n"/>
      <c r="AH666" s="1361" t="n"/>
      <c r="AI666" s="1361" t="n"/>
      <c r="AJ666" s="1379" t="n"/>
      <c r="AK666" s="1361" t="n"/>
      <c r="AL666" s="1361" t="n"/>
      <c r="AM666" s="1361" t="n"/>
      <c r="AN666" s="1361" t="n"/>
      <c r="AO666" s="1379" t="n"/>
      <c r="AP666" s="1361" t="n"/>
      <c r="AQ666" s="1361" t="n"/>
      <c r="AR666" s="1361" t="n"/>
      <c r="AS666" s="1361" t="n"/>
      <c r="AT666" s="1379" t="n"/>
      <c r="AU666" s="1361" t="n"/>
      <c r="AV666" s="1361" t="n"/>
      <c r="AW666" s="1361" t="n"/>
      <c r="AX666" s="1361" t="n"/>
      <c r="AY666" s="1379" t="n"/>
      <c r="AZ666" s="1361" t="n"/>
      <c r="BA666" s="1361" t="n"/>
      <c r="BB666" s="1361" t="n"/>
      <c r="BC666" s="1361" t="n"/>
      <c r="BD666" s="1379" t="n"/>
      <c r="BE666" s="1361" t="n"/>
      <c r="BF666" s="1361" t="n"/>
      <c r="BG666" s="1361" t="n"/>
      <c r="BH666" s="1361" t="n"/>
      <c r="BI666" s="1379" t="n"/>
      <c r="BJ666" s="1361" t="n"/>
      <c r="BK666" s="1361" t="n"/>
      <c r="BL666" s="1361" t="n"/>
      <c r="BM666" s="1361" t="n"/>
      <c r="BN666" s="1379" t="n"/>
      <c r="BO666" s="1361" t="n"/>
      <c r="BP666" s="1361" t="n"/>
      <c r="BQ666" s="1363" t="n"/>
      <c r="BR666" s="1361" t="n"/>
      <c r="BS666" s="1379" t="n"/>
      <c r="BT666" s="1361" t="n"/>
      <c r="BU666" s="1361" t="n"/>
      <c r="BV666" s="1361" t="n"/>
      <c r="BW666" s="1361" t="n"/>
      <c r="BX666" s="1379" t="n"/>
      <c r="BY666" s="1379" t="n"/>
      <c r="BZ666" s="1379" t="n"/>
      <c r="CA666" s="1379" t="n"/>
      <c r="CB666" s="1361" t="n"/>
    </row>
    <row r="667" hidden="1" outlineLevel="3" ht="14.4" customFormat="1" customHeight="1" s="1597">
      <c r="A667" s="1508" t="inlineStr">
        <is>
          <t>2023 Notes Outstanding Principal EoP</t>
        </is>
      </c>
      <c r="B667" s="1077" t="n">
        <v>45139</v>
      </c>
      <c r="C667" s="1379">
        <f>D667</f>
        <v/>
      </c>
      <c r="D667" s="1379">
        <f>E667</f>
        <v/>
      </c>
      <c r="E667" s="1494" t="n">
        <v>0.178</v>
      </c>
      <c r="F667" s="1494" t="n">
        <v>0.178</v>
      </c>
      <c r="G667" s="1493" t="n">
        <v>0.178</v>
      </c>
      <c r="H667" s="1493" t="n">
        <v>0.178</v>
      </c>
      <c r="I667" s="1493" t="n">
        <v>0.1</v>
      </c>
      <c r="J667" s="1361">
        <f>K667</f>
        <v/>
      </c>
      <c r="K667" s="1494" t="n">
        <v>0</v>
      </c>
      <c r="L667" s="1361" t="n"/>
      <c r="M667" s="1361" t="n"/>
      <c r="N667" s="1361" t="n"/>
      <c r="O667" s="1361" t="n"/>
      <c r="P667" s="1379" t="n"/>
      <c r="Q667" s="1361" t="n"/>
      <c r="R667" s="1361" t="n"/>
      <c r="S667" s="1361" t="n"/>
      <c r="T667" s="1361" t="n"/>
      <c r="U667" s="1379" t="n"/>
      <c r="V667" s="1361" t="n"/>
      <c r="W667" s="1361" t="n"/>
      <c r="X667" s="1361" t="n"/>
      <c r="Y667" s="1361" t="n"/>
      <c r="Z667" s="1379" t="n"/>
      <c r="AA667" s="1361" t="n"/>
      <c r="AB667" s="1361" t="n"/>
      <c r="AC667" s="1361" t="n"/>
      <c r="AD667" s="1361" t="n"/>
      <c r="AE667" s="1379" t="n"/>
      <c r="AF667" s="1361" t="n"/>
      <c r="AG667" s="1361" t="n"/>
      <c r="AH667" s="1361" t="n"/>
      <c r="AI667" s="1361" t="n"/>
      <c r="AJ667" s="1379" t="n"/>
      <c r="AK667" s="1361" t="n"/>
      <c r="AL667" s="1361" t="n"/>
      <c r="AM667" s="1361" t="n"/>
      <c r="AN667" s="1361" t="n"/>
      <c r="AO667" s="1379" t="n"/>
      <c r="AP667" s="1361" t="n"/>
      <c r="AQ667" s="1361" t="n"/>
      <c r="AR667" s="1361" t="n"/>
      <c r="AS667" s="1361" t="n"/>
      <c r="AT667" s="1379" t="n"/>
      <c r="AU667" s="1361" t="n"/>
      <c r="AV667" s="1361" t="n"/>
      <c r="AW667" s="1361" t="n"/>
      <c r="AX667" s="1361" t="n"/>
      <c r="AY667" s="1379" t="n"/>
      <c r="AZ667" s="1361" t="n"/>
      <c r="BA667" s="1361" t="n"/>
      <c r="BB667" s="1361" t="n"/>
      <c r="BC667" s="1361" t="n"/>
      <c r="BD667" s="1379" t="n"/>
      <c r="BE667" s="1361" t="n"/>
      <c r="BF667" s="1361" t="n"/>
      <c r="BG667" s="1361" t="n"/>
      <c r="BH667" s="1361" t="n"/>
      <c r="BI667" s="1379" t="n"/>
      <c r="BJ667" s="1361" t="n"/>
      <c r="BK667" s="1361" t="n"/>
      <c r="BL667" s="1361" t="n"/>
      <c r="BM667" s="1361" t="n"/>
      <c r="BN667" s="1379" t="n"/>
      <c r="BO667" s="1361" t="n"/>
      <c r="BP667" s="1361" t="n"/>
      <c r="BQ667" s="1363" t="n"/>
      <c r="BR667" s="1361">
        <f>IF(B667&lt;=BR4,0,BQ667)</f>
        <v/>
      </c>
      <c r="BS667" s="1379">
        <f>BR667</f>
        <v/>
      </c>
      <c r="BT667" s="1361">
        <f>IF(B667&lt;=BT4,0,BS667)</f>
        <v/>
      </c>
      <c r="BU667" s="1361">
        <f>IF(B667&lt;=BU4,0,BT667)</f>
        <v/>
      </c>
      <c r="BV667" s="1361">
        <f>IF(B667&lt;=BV4,0,BU667)</f>
        <v/>
      </c>
      <c r="BW667" s="1361">
        <f>IF(B667&lt;=BW4,0,BV667)</f>
        <v/>
      </c>
      <c r="BX667" s="1379">
        <f>BW667</f>
        <v/>
      </c>
      <c r="BY667" s="1379">
        <f>IF(B667&lt;=BY4,0,BX667)</f>
        <v/>
      </c>
      <c r="BZ667" s="1379">
        <f>IF(B667&lt;=BZ4,0,BY667)</f>
        <v/>
      </c>
      <c r="CA667" s="1379">
        <f>IF(B667&lt;=CA4,0,BZ667)</f>
        <v/>
      </c>
      <c r="CB667" s="1361" t="n"/>
    </row>
    <row r="668" hidden="1" outlineLevel="3" ht="14.4" customFormat="1" customHeight="1" s="1597">
      <c r="A668" s="1512" t="inlineStr">
        <is>
          <t>2023 Notes Outstanding Unamortized Debt Discount</t>
        </is>
      </c>
      <c r="B668" s="1512" t="n"/>
      <c r="C668" s="1379">
        <f>ROUND(C667-C670,4)</f>
        <v/>
      </c>
      <c r="D668" s="1379">
        <f>ROUND(D667-D670,4)</f>
        <v/>
      </c>
      <c r="E668" s="1494" t="n">
        <v>0</v>
      </c>
      <c r="F668" s="1494" t="n">
        <v>0</v>
      </c>
      <c r="G668" s="1493" t="n">
        <v>0</v>
      </c>
      <c r="H668" s="1493" t="n">
        <v>0</v>
      </c>
      <c r="I668" s="1493" t="n">
        <v>0</v>
      </c>
      <c r="J668" s="1361">
        <f>K668</f>
        <v/>
      </c>
      <c r="K668" s="1494" t="n">
        <v>0</v>
      </c>
      <c r="L668" s="1361" t="n"/>
      <c r="M668" s="1361" t="n"/>
      <c r="N668" s="1361" t="n"/>
      <c r="O668" s="1361" t="n"/>
      <c r="P668" s="1379" t="n"/>
      <c r="Q668" s="1361" t="n"/>
      <c r="R668" s="1361" t="n"/>
      <c r="S668" s="1361" t="n"/>
      <c r="T668" s="1361" t="n"/>
      <c r="U668" s="1379" t="n"/>
      <c r="V668" s="1361" t="n"/>
      <c r="W668" s="1361" t="n"/>
      <c r="X668" s="1361" t="n"/>
      <c r="Y668" s="1361" t="n"/>
      <c r="Z668" s="1379" t="n"/>
      <c r="AA668" s="1361" t="n"/>
      <c r="AB668" s="1361" t="n"/>
      <c r="AC668" s="1361" t="n"/>
      <c r="AD668" s="1361" t="n"/>
      <c r="AE668" s="1379" t="n"/>
      <c r="AF668" s="1361" t="n"/>
      <c r="AG668" s="1361" t="n"/>
      <c r="AH668" s="1361" t="n"/>
      <c r="AI668" s="1361" t="n"/>
      <c r="AJ668" s="1379" t="n"/>
      <c r="AK668" s="1361" t="n"/>
      <c r="AL668" s="1361" t="n"/>
      <c r="AM668" s="1361" t="n"/>
      <c r="AN668" s="1361" t="n"/>
      <c r="AO668" s="1379" t="n"/>
      <c r="AP668" s="1361" t="n"/>
      <c r="AQ668" s="1361" t="n"/>
      <c r="AR668" s="1361" t="n"/>
      <c r="AS668" s="1361" t="n"/>
      <c r="AT668" s="1379" t="n"/>
      <c r="AU668" s="1361" t="n"/>
      <c r="AV668" s="1361" t="n"/>
      <c r="AW668" s="1361" t="n"/>
      <c r="AX668" s="1361" t="n"/>
      <c r="AY668" s="1379" t="n"/>
      <c r="AZ668" s="1361" t="n"/>
      <c r="BA668" s="1361" t="n"/>
      <c r="BB668" s="1361" t="n"/>
      <c r="BC668" s="1361" t="n"/>
      <c r="BD668" s="1379" t="n"/>
      <c r="BE668" s="1361" t="n"/>
      <c r="BF668" s="1361" t="n"/>
      <c r="BG668" s="1361" t="n"/>
      <c r="BH668" s="1361" t="n"/>
      <c r="BI668" s="1379" t="n"/>
      <c r="BJ668" s="1361" t="n"/>
      <c r="BK668" s="1361" t="n"/>
      <c r="BL668" s="1361" t="n"/>
      <c r="BM668" s="1361" t="n"/>
      <c r="BN668" s="1379" t="n"/>
      <c r="BO668" s="1361" t="n"/>
      <c r="BP668" s="1361" t="n"/>
      <c r="BQ668" s="1363" t="n"/>
      <c r="BR668" s="1361" t="n"/>
      <c r="BS668" s="1379" t="n"/>
      <c r="BT668" s="1361" t="n"/>
      <c r="BU668" s="1361" t="n"/>
      <c r="BV668" s="1361" t="n"/>
      <c r="BW668" s="1361" t="n"/>
      <c r="BX668" s="1379" t="n"/>
      <c r="BY668" s="1379" t="n"/>
      <c r="BZ668" s="1379" t="n"/>
      <c r="CA668" s="1379" t="n"/>
      <c r="CB668" s="1361" t="n"/>
    </row>
    <row r="669" hidden="1" outlineLevel="3" ht="14.4" customFormat="1" customHeight="1" s="1597">
      <c r="A669" s="1613" t="inlineStr">
        <is>
          <t>2023 Notes Outstanding Unamortized Debt Issuance Costs</t>
        </is>
      </c>
      <c r="B669" s="1613" t="n"/>
      <c r="C669" s="1614" t="n"/>
      <c r="D669" s="1614" t="n"/>
      <c r="E669" s="1614" t="n"/>
      <c r="F669" s="1614" t="n"/>
      <c r="G669" s="1615" t="n"/>
      <c r="H669" s="1615" t="n"/>
      <c r="I669" s="1615" t="n"/>
      <c r="J669" s="1615" t="n"/>
      <c r="K669" s="1614" t="n"/>
      <c r="L669" s="1615" t="n"/>
      <c r="M669" s="1615" t="n"/>
      <c r="N669" s="1615" t="n"/>
      <c r="O669" s="1615" t="n"/>
      <c r="P669" s="1614" t="n"/>
      <c r="Q669" s="1615" t="n"/>
      <c r="R669" s="1615" t="n"/>
      <c r="S669" s="1615" t="n"/>
      <c r="T669" s="1615" t="n"/>
      <c r="U669" s="1614" t="n"/>
      <c r="V669" s="1615" t="n"/>
      <c r="W669" s="1615" t="n"/>
      <c r="X669" s="1615" t="n"/>
      <c r="Y669" s="1615" t="n"/>
      <c r="Z669" s="1614" t="n"/>
      <c r="AA669" s="1615" t="n"/>
      <c r="AB669" s="1615" t="n"/>
      <c r="AC669" s="1615" t="n"/>
      <c r="AD669" s="1615" t="n"/>
      <c r="AE669" s="1614" t="n"/>
      <c r="AF669" s="1615" t="n"/>
      <c r="AG669" s="1615" t="n"/>
      <c r="AH669" s="1615" t="n"/>
      <c r="AI669" s="1615" t="n"/>
      <c r="AJ669" s="1614" t="n"/>
      <c r="AK669" s="1615" t="n"/>
      <c r="AL669" s="1615" t="n"/>
      <c r="AM669" s="1615" t="n"/>
      <c r="AN669" s="1615" t="n"/>
      <c r="AO669" s="1614" t="n"/>
      <c r="AP669" s="1615" t="n"/>
      <c r="AQ669" s="1615" t="n"/>
      <c r="AR669" s="1615" t="n"/>
      <c r="AS669" s="1615" t="n"/>
      <c r="AT669" s="1614" t="n"/>
      <c r="AU669" s="1615" t="n"/>
      <c r="AV669" s="1615" t="n"/>
      <c r="AW669" s="1615" t="n"/>
      <c r="AX669" s="1615" t="n"/>
      <c r="AY669" s="1614" t="n"/>
      <c r="AZ669" s="1615" t="n"/>
      <c r="BA669" s="1615" t="n"/>
      <c r="BB669" s="1615" t="n"/>
      <c r="BC669" s="1615" t="n"/>
      <c r="BD669" s="1614" t="n"/>
      <c r="BE669" s="1615" t="n"/>
      <c r="BF669" s="1615" t="n"/>
      <c r="BG669" s="1615" t="n"/>
      <c r="BH669" s="1615" t="n"/>
      <c r="BI669" s="1614" t="n"/>
      <c r="BJ669" s="1615" t="n"/>
      <c r="BK669" s="1615" t="n"/>
      <c r="BL669" s="1615" t="n"/>
      <c r="BM669" s="1615" t="n"/>
      <c r="BN669" s="1614" t="n"/>
      <c r="BO669" s="1615" t="n"/>
      <c r="BP669" s="1615" t="n"/>
      <c r="BQ669" s="1616" t="n"/>
      <c r="BR669" s="1615">
        <f>IF(BR667=0,0,BQ669-BQ669/(B667-BQ4)*BR3)</f>
        <v/>
      </c>
      <c r="BS669" s="1614">
        <f>BR669</f>
        <v/>
      </c>
      <c r="BT669" s="1615">
        <f>IF(BT667=0,0,BS669-BS669/(B667-BS4)*BT3)</f>
        <v/>
      </c>
      <c r="BU669" s="1615">
        <f>IF(BU667=0,0,BT669-BT669/(B667-BT4)*BU3)</f>
        <v/>
      </c>
      <c r="BV669" s="1615">
        <f>IF(BV667=0,0,BU669-BU669/(B667-BU4)*BV3)</f>
        <v/>
      </c>
      <c r="BW669" s="1615">
        <f>IF(BW667=0,0,BV669-BV669/(B667-BV4)*BW3)</f>
        <v/>
      </c>
      <c r="BX669" s="1614">
        <f>BW669</f>
        <v/>
      </c>
      <c r="BY669" s="1614">
        <f>IF(BY667=0,0,BX669-BX669/(B667-BX4)*BY3)</f>
        <v/>
      </c>
      <c r="BZ669" s="1614">
        <f>IF(BZ667=0,0,BY669-BY669/(B667-BY4)*BZ3)</f>
        <v/>
      </c>
      <c r="CA669" s="1614">
        <f>IF(CA667=0,0,BZ669-BZ669/(B667-BZ4)*CA3)</f>
        <v/>
      </c>
      <c r="CB669" s="1361" t="n"/>
    </row>
    <row r="670" hidden="1" outlineLevel="2" collapsed="1" ht="14.4" customFormat="1" customHeight="1" s="1597">
      <c r="A670" s="1508" t="inlineStr">
        <is>
          <t>2023 Notes Outstanding Book Value</t>
        </is>
      </c>
      <c r="B670" s="1512" t="n"/>
      <c r="C670" s="1379">
        <f>C1237+C1225-C636-C619</f>
        <v/>
      </c>
      <c r="D670" s="1379">
        <f>D1237+D1225-D653-D636-D619</f>
        <v/>
      </c>
      <c r="E670" s="1379">
        <f>SUM(E667:E669)</f>
        <v/>
      </c>
      <c r="F670" s="1379">
        <f>SUM(F667:F669)</f>
        <v/>
      </c>
      <c r="G670" s="1361">
        <f>SUM(G667:G669)</f>
        <v/>
      </c>
      <c r="H670" s="1361">
        <f>SUM(H667:H669)</f>
        <v/>
      </c>
      <c r="I670" s="1361">
        <f>SUM(I667:I669)</f>
        <v/>
      </c>
      <c r="J670" s="1361">
        <f>SUM(J667:J669)</f>
        <v/>
      </c>
      <c r="K670" s="1379">
        <f>SUM(K667:K669)</f>
        <v/>
      </c>
      <c r="L670" s="1361">
        <f>SUM(L667:L669)</f>
        <v/>
      </c>
      <c r="M670" s="1361">
        <f>SUM(M667:M669)</f>
        <v/>
      </c>
      <c r="N670" s="1361">
        <f>SUM(N667:N669)</f>
        <v/>
      </c>
      <c r="O670" s="1361">
        <f>SUM(O667:O669)</f>
        <v/>
      </c>
      <c r="P670" s="1379">
        <f>SUM(P667:P669)</f>
        <v/>
      </c>
      <c r="Q670" s="1361">
        <f>SUM(Q667:Q669)</f>
        <v/>
      </c>
      <c r="R670" s="1361">
        <f>SUM(R667:R669)</f>
        <v/>
      </c>
      <c r="S670" s="1361">
        <f>SUM(S667:S669)</f>
        <v/>
      </c>
      <c r="T670" s="1361">
        <f>SUM(T667:T669)</f>
        <v/>
      </c>
      <c r="U670" s="1379">
        <f>SUM(U667:U669)</f>
        <v/>
      </c>
      <c r="V670" s="1361">
        <f>SUM(V667:V669)</f>
        <v/>
      </c>
      <c r="W670" s="1361">
        <f>SUM(W667:W669)</f>
        <v/>
      </c>
      <c r="X670" s="1361">
        <f>SUM(X667:X669)</f>
        <v/>
      </c>
      <c r="Y670" s="1361">
        <f>SUM(Y667:Y669)</f>
        <v/>
      </c>
      <c r="Z670" s="1379">
        <f>SUM(Z667:Z669)</f>
        <v/>
      </c>
      <c r="AA670" s="1361">
        <f>SUM(AA667:AA669)</f>
        <v/>
      </c>
      <c r="AB670" s="1361">
        <f>SUM(AB667:AB669)</f>
        <v/>
      </c>
      <c r="AC670" s="1361">
        <f>SUM(AC667:AC669)</f>
        <v/>
      </c>
      <c r="AD670" s="1361">
        <f>SUM(AD667:AD669)</f>
        <v/>
      </c>
      <c r="AE670" s="1379">
        <f>SUM(AE667:AE669)</f>
        <v/>
      </c>
      <c r="AF670" s="1361">
        <f>SUM(AF667:AF669)</f>
        <v/>
      </c>
      <c r="AG670" s="1361">
        <f>SUM(AG667:AG669)</f>
        <v/>
      </c>
      <c r="AH670" s="1361">
        <f>SUM(AH667:AH669)</f>
        <v/>
      </c>
      <c r="AI670" s="1361">
        <f>SUM(AI667:AI669)</f>
        <v/>
      </c>
      <c r="AJ670" s="1379">
        <f>SUM(AJ667:AJ669)</f>
        <v/>
      </c>
      <c r="AK670" s="1361">
        <f>SUM(AK667:AK669)</f>
        <v/>
      </c>
      <c r="AL670" s="1361">
        <f>SUM(AL667:AL669)</f>
        <v/>
      </c>
      <c r="AM670" s="1361">
        <f>SUM(AM667:AM669)</f>
        <v/>
      </c>
      <c r="AN670" s="1361">
        <f>SUM(AN667:AN669)</f>
        <v/>
      </c>
      <c r="AO670" s="1379">
        <f>SUM(AO667:AO669)</f>
        <v/>
      </c>
      <c r="AP670" s="1361">
        <f>SUM(AP667:AP669)</f>
        <v/>
      </c>
      <c r="AQ670" s="1361">
        <f>SUM(AQ667:AQ669)</f>
        <v/>
      </c>
      <c r="AR670" s="1361">
        <f>SUM(AR667:AR669)</f>
        <v/>
      </c>
      <c r="AS670" s="1361">
        <f>SUM(AS667:AS669)</f>
        <v/>
      </c>
      <c r="AT670" s="1379">
        <f>SUM(AT667:AT669)</f>
        <v/>
      </c>
      <c r="AU670" s="1361">
        <f>SUM(AU667:AU669)</f>
        <v/>
      </c>
      <c r="AV670" s="1361">
        <f>SUM(AV667:AV669)</f>
        <v/>
      </c>
      <c r="AW670" s="1361">
        <f>SUM(AW667:AW669)</f>
        <v/>
      </c>
      <c r="AX670" s="1361">
        <f>SUM(AX667:AX669)</f>
        <v/>
      </c>
      <c r="AY670" s="1379">
        <f>SUM(AY667:AY669)</f>
        <v/>
      </c>
      <c r="AZ670" s="1361">
        <f>SUM(AZ667:AZ669)</f>
        <v/>
      </c>
      <c r="BA670" s="1361">
        <f>SUM(BA667:BA669)</f>
        <v/>
      </c>
      <c r="BB670" s="1361">
        <f>SUM(BB667:BB669)</f>
        <v/>
      </c>
      <c r="BC670" s="1361">
        <f>SUM(BC667:BC669)</f>
        <v/>
      </c>
      <c r="BD670" s="1379">
        <f>SUM(BD667:BD669)</f>
        <v/>
      </c>
      <c r="BE670" s="1361">
        <f>SUM(BE667:BE669)</f>
        <v/>
      </c>
      <c r="BF670" s="1361">
        <f>SUM(BF667:BF669)</f>
        <v/>
      </c>
      <c r="BG670" s="1361">
        <f>SUM(BG667:BG669)</f>
        <v/>
      </c>
      <c r="BH670" s="1361">
        <f>SUM(BH667:BH669)</f>
        <v/>
      </c>
      <c r="BI670" s="1379">
        <f>SUM(BI667:BI669)</f>
        <v/>
      </c>
      <c r="BJ670" s="1361">
        <f>SUM(BJ667:BJ669)</f>
        <v/>
      </c>
      <c r="BK670" s="1361">
        <f>SUM(BK667:BK669)</f>
        <v/>
      </c>
      <c r="BL670" s="1361">
        <f>SUM(BL667:BL669)</f>
        <v/>
      </c>
      <c r="BM670" s="1361">
        <f>SUM(BM667:BM669)</f>
        <v/>
      </c>
      <c r="BN670" s="1379">
        <f>SUM(BN667:BN669)</f>
        <v/>
      </c>
      <c r="BO670" s="1361">
        <f>SUM(BO667:BO669)</f>
        <v/>
      </c>
      <c r="BP670" s="1361">
        <f>SUM(BP667:BP669)</f>
        <v/>
      </c>
      <c r="BQ670" s="1363">
        <f>SUM(BQ667:BQ669)</f>
        <v/>
      </c>
      <c r="BR670" s="1361">
        <f>SUM(BR667:BR669)</f>
        <v/>
      </c>
      <c r="BS670" s="1379">
        <f>SUM(BS667:BS669)</f>
        <v/>
      </c>
      <c r="BT670" s="1361">
        <f>SUM(BT667:BT669)</f>
        <v/>
      </c>
      <c r="BU670" s="1361">
        <f>SUM(BU667:BU669)</f>
        <v/>
      </c>
      <c r="BV670" s="1361">
        <f>SUM(BV667:BV669)</f>
        <v/>
      </c>
      <c r="BW670" s="1361">
        <f>SUM(BW667:BW669)</f>
        <v/>
      </c>
      <c r="BX670" s="1379">
        <f>SUM(BX667:BX669)</f>
        <v/>
      </c>
      <c r="BY670" s="1379">
        <f>SUM(BY667:BY669)</f>
        <v/>
      </c>
      <c r="BZ670" s="1379">
        <f>SUM(BZ667:BZ669)</f>
        <v/>
      </c>
      <c r="CA670" s="1379">
        <f>SUM(CA667:CA669)</f>
        <v/>
      </c>
      <c r="CB670" s="1361" t="n"/>
    </row>
    <row r="671" hidden="1" outlineLevel="2" ht="14.4" customFormat="1" customHeight="1" s="1597">
      <c r="A671" s="1508" t="inlineStr">
        <is>
          <t>Initial Conversion Price 2023, $/share</t>
        </is>
      </c>
      <c r="B671" s="1512" t="n"/>
      <c r="C671" s="1716" t="n"/>
      <c r="D671" s="1716" t="n"/>
      <c r="E671" s="1716" t="n"/>
      <c r="F671" s="1716" t="n"/>
      <c r="G671" s="1714" t="n"/>
      <c r="H671" s="1714" t="n"/>
      <c r="I671" s="1714" t="n"/>
      <c r="J671" s="1714" t="n"/>
      <c r="K671" s="1716" t="n"/>
      <c r="L671" s="1714" t="n"/>
      <c r="M671" s="1714" t="n"/>
      <c r="N671" s="1714" t="n"/>
      <c r="O671" s="1714" t="n"/>
      <c r="P671" s="1716" t="n"/>
      <c r="Q671" s="1714" t="n"/>
      <c r="R671" s="1714" t="n"/>
      <c r="S671" s="1714" t="n"/>
      <c r="T671" s="1714" t="n"/>
      <c r="U671" s="1716" t="n"/>
      <c r="V671" s="1714" t="n"/>
      <c r="W671" s="1714" t="n"/>
      <c r="X671" s="1714" t="n"/>
      <c r="Y671" s="1714" t="n"/>
      <c r="Z671" s="1716" t="n"/>
      <c r="AA671" s="1714" t="n"/>
      <c r="AB671" s="1714" t="n"/>
      <c r="AC671" s="1714" t="n"/>
      <c r="AD671" s="1714" t="n"/>
      <c r="AE671" s="1716" t="n"/>
      <c r="AF671" s="1714" t="n"/>
      <c r="AG671" s="1714" t="n"/>
      <c r="AH671" s="1714" t="n"/>
      <c r="AI671" s="1714" t="n"/>
      <c r="AJ671" s="1716" t="n"/>
      <c r="AK671" s="1714" t="n"/>
      <c r="AL671" s="1714" t="n"/>
      <c r="AM671" s="1714" t="n"/>
      <c r="AN671" s="1714" t="n"/>
      <c r="AO671" s="1716" t="n"/>
      <c r="AP671" s="1714" t="n"/>
      <c r="AQ671" s="1714" t="n"/>
      <c r="AR671" s="1714" t="n"/>
      <c r="AS671" s="1714" t="n"/>
      <c r="AT671" s="1716" t="n"/>
      <c r="AU671" s="1714" t="n"/>
      <c r="AV671" s="1714" t="n"/>
      <c r="AW671" s="1714" t="n"/>
      <c r="AX671" s="1714" t="n"/>
      <c r="AY671" s="1716" t="n"/>
      <c r="AZ671" s="1714" t="n"/>
      <c r="BA671" s="1714" t="n"/>
      <c r="BB671" s="1714" t="n"/>
      <c r="BC671" s="1714" t="n"/>
      <c r="BD671" s="1716" t="n"/>
      <c r="BE671" s="1714" t="n"/>
      <c r="BF671" s="1714" t="n"/>
      <c r="BG671" s="1714" t="n"/>
      <c r="BH671" s="1714" t="n"/>
      <c r="BI671" s="1716" t="n"/>
      <c r="BJ671" s="1714" t="n"/>
      <c r="BK671" s="1714" t="n"/>
      <c r="BL671" s="1714" t="n"/>
      <c r="BM671" s="1714" t="n"/>
      <c r="BN671" s="1716" t="n"/>
      <c r="BO671" s="1714" t="n"/>
      <c r="BP671" s="1714" t="n"/>
      <c r="BQ671" s="1717" t="n"/>
      <c r="BR671" s="1714">
        <f>IF(BR667=0,0,BQ671)</f>
        <v/>
      </c>
      <c r="BS671" s="1716">
        <f>BR671</f>
        <v/>
      </c>
      <c r="BT671" s="1714">
        <f>IF(BT667=0,0,BS671)</f>
        <v/>
      </c>
      <c r="BU671" s="1714">
        <f>IF(BU667=0,0,BT671)</f>
        <v/>
      </c>
      <c r="BV671" s="1714">
        <f>IF(BV667=0,0,BU671)</f>
        <v/>
      </c>
      <c r="BW671" s="1714">
        <f>IF(BW667=0,0,BV671)</f>
        <v/>
      </c>
      <c r="BX671" s="1716">
        <f>BW671</f>
        <v/>
      </c>
      <c r="BY671" s="1716">
        <f>IF(BY667=0,0,BX671)</f>
        <v/>
      </c>
      <c r="BZ671" s="1716">
        <f>IF(BZ667=0,0,BY671)</f>
        <v/>
      </c>
      <c r="CA671" s="1716">
        <f>IF(CA667=0,0,BZ671)</f>
        <v/>
      </c>
      <c r="CB671" s="1361" t="n"/>
    </row>
    <row r="672" hidden="1" outlineLevel="2" ht="14.4" customFormat="1" customHeight="1" s="1597">
      <c r="A672" s="1474" t="inlineStr">
        <is>
          <t>Shares Issuable Upon Conversion, mm shares</t>
        </is>
      </c>
      <c r="B672" s="1512" t="n"/>
      <c r="C672" s="1379">
        <f>IFERROR(C667/C671,0)</f>
        <v/>
      </c>
      <c r="D672" s="1379">
        <f>IFERROR(D667/D671,0)</f>
        <v/>
      </c>
      <c r="E672" s="1379">
        <f>IFERROR(E667/E671,0)</f>
        <v/>
      </c>
      <c r="F672" s="1379">
        <f>IFERROR(F667/F671,0)</f>
        <v/>
      </c>
      <c r="G672" s="1361">
        <f>IFERROR(G667/G671,0)</f>
        <v/>
      </c>
      <c r="H672" s="1361">
        <f>IFERROR(H667/H671,0)</f>
        <v/>
      </c>
      <c r="I672" s="1361">
        <f>IFERROR(I667/I671,0)</f>
        <v/>
      </c>
      <c r="J672" s="1361">
        <f>IFERROR(J667/J671,0)</f>
        <v/>
      </c>
      <c r="K672" s="1379">
        <f>IFERROR(K667/K671,0)</f>
        <v/>
      </c>
      <c r="L672" s="1361">
        <f>IFERROR(L667/L671,0)</f>
        <v/>
      </c>
      <c r="M672" s="1361">
        <f>IFERROR(M667/M671,0)</f>
        <v/>
      </c>
      <c r="N672" s="1361">
        <f>IFERROR(N667/N671,0)</f>
        <v/>
      </c>
      <c r="O672" s="1361">
        <f>IFERROR(O667/O671,0)</f>
        <v/>
      </c>
      <c r="P672" s="1379">
        <f>IFERROR(P667/P671,0)</f>
        <v/>
      </c>
      <c r="Q672" s="1361">
        <f>IFERROR(Q667/Q671,0)</f>
        <v/>
      </c>
      <c r="R672" s="1361">
        <f>IFERROR(R667/R671,0)</f>
        <v/>
      </c>
      <c r="S672" s="1361">
        <f>IFERROR(S667/S671,0)</f>
        <v/>
      </c>
      <c r="T672" s="1361">
        <f>IFERROR(T667/T671,0)</f>
        <v/>
      </c>
      <c r="U672" s="1379">
        <f>IFERROR(U667/U671,0)</f>
        <v/>
      </c>
      <c r="V672" s="1361">
        <f>IFERROR(V667/V671,0)</f>
        <v/>
      </c>
      <c r="W672" s="1361">
        <f>IFERROR(W667/W671,0)</f>
        <v/>
      </c>
      <c r="X672" s="1361">
        <f>IFERROR(X667/X671,0)</f>
        <v/>
      </c>
      <c r="Y672" s="1361">
        <f>IFERROR(Y667/Y671,0)</f>
        <v/>
      </c>
      <c r="Z672" s="1379">
        <f>IFERROR(Z667/Z671,0)</f>
        <v/>
      </c>
      <c r="AA672" s="1361">
        <f>IFERROR(AA667/AA671,0)</f>
        <v/>
      </c>
      <c r="AB672" s="1361">
        <f>IFERROR(AB667/AB671,0)</f>
        <v/>
      </c>
      <c r="AC672" s="1361">
        <f>IFERROR(AC667/AC671,0)</f>
        <v/>
      </c>
      <c r="AD672" s="1361">
        <f>IFERROR(AD667/AD671,0)</f>
        <v/>
      </c>
      <c r="AE672" s="1379">
        <f>IFERROR(AE667/AE671,0)</f>
        <v/>
      </c>
      <c r="AF672" s="1361">
        <f>IFERROR(AF667/AF671,0)</f>
        <v/>
      </c>
      <c r="AG672" s="1361">
        <f>IFERROR(AG667/AG671,0)</f>
        <v/>
      </c>
      <c r="AH672" s="1361">
        <f>IFERROR(AH667/AH671,0)</f>
        <v/>
      </c>
      <c r="AI672" s="1361">
        <f>IFERROR(AI667/AI671,0)</f>
        <v/>
      </c>
      <c r="AJ672" s="1379">
        <f>IFERROR(AJ667/AJ671,0)</f>
        <v/>
      </c>
      <c r="AK672" s="1361">
        <f>IFERROR(AK667/AK671,0)</f>
        <v/>
      </c>
      <c r="AL672" s="1361">
        <f>IFERROR(AL667/AL671,0)</f>
        <v/>
      </c>
      <c r="AM672" s="1361">
        <f>IFERROR(AM667/AM671,0)</f>
        <v/>
      </c>
      <c r="AN672" s="1361">
        <f>IFERROR(AN667/AN671,0)</f>
        <v/>
      </c>
      <c r="AO672" s="1379">
        <f>IFERROR(AO667/AO671,0)</f>
        <v/>
      </c>
      <c r="AP672" s="1361">
        <f>IFERROR(AP667/AP671,0)</f>
        <v/>
      </c>
      <c r="AQ672" s="1361">
        <f>IFERROR(AQ667/AQ671,0)</f>
        <v/>
      </c>
      <c r="AR672" s="1361">
        <f>IFERROR(AR667/AR671,0)</f>
        <v/>
      </c>
      <c r="AS672" s="1361">
        <f>IFERROR(AS667/AS671,0)</f>
        <v/>
      </c>
      <c r="AT672" s="1379">
        <f>IFERROR(AT667/AT671,0)</f>
        <v/>
      </c>
      <c r="AU672" s="1361">
        <f>IFERROR(AU667/AU671,0)</f>
        <v/>
      </c>
      <c r="AV672" s="1361">
        <f>IFERROR(AV667/AV671,0)</f>
        <v/>
      </c>
      <c r="AW672" s="1361">
        <f>IFERROR(AW667/AW671,0)</f>
        <v/>
      </c>
      <c r="AX672" s="1361">
        <f>IFERROR(AX667/AX671,0)</f>
        <v/>
      </c>
      <c r="AY672" s="1379">
        <f>IFERROR(AY667/AY671,0)</f>
        <v/>
      </c>
      <c r="AZ672" s="1361">
        <f>IFERROR(AZ667/AZ671,0)</f>
        <v/>
      </c>
      <c r="BA672" s="1361">
        <f>IFERROR(BA667/BA671,0)</f>
        <v/>
      </c>
      <c r="BB672" s="1361">
        <f>IFERROR(BB667/BB671,0)</f>
        <v/>
      </c>
      <c r="BC672" s="1361">
        <f>IFERROR(BC667/BC671,0)</f>
        <v/>
      </c>
      <c r="BD672" s="1379">
        <f>IFERROR(BD667/BD671,0)</f>
        <v/>
      </c>
      <c r="BE672" s="1361">
        <f>IFERROR(BE667/BE671,0)</f>
        <v/>
      </c>
      <c r="BF672" s="1361">
        <f>IFERROR(BF667/BF671,0)</f>
        <v/>
      </c>
      <c r="BG672" s="1361">
        <f>IFERROR(BG667/BG671,0)</f>
        <v/>
      </c>
      <c r="BH672" s="1361">
        <f>IFERROR(BH667/BH671,0)</f>
        <v/>
      </c>
      <c r="BI672" s="1379">
        <f>IFERROR(BI667/BI671,0)</f>
        <v/>
      </c>
      <c r="BJ672" s="1361">
        <f>IFERROR(BJ667/BJ671,0)</f>
        <v/>
      </c>
      <c r="BK672" s="1361">
        <f>IFERROR(BK667/BK671,0)</f>
        <v/>
      </c>
      <c r="BL672" s="1361">
        <f>IFERROR(BL667/BL671,0)</f>
        <v/>
      </c>
      <c r="BM672" s="1361">
        <f>IFERROR(BM667/BM671,0)</f>
        <v/>
      </c>
      <c r="BN672" s="1379">
        <f>IFERROR(BN667/BN671,0)</f>
        <v/>
      </c>
      <c r="BO672" s="1361">
        <f>IFERROR(BO667/BO671,0)</f>
        <v/>
      </c>
      <c r="BP672" s="1361">
        <f>IFERROR(BP667/BP671,0)</f>
        <v/>
      </c>
      <c r="BQ672" s="1363">
        <f>IFERROR(BQ667/BQ671,0)</f>
        <v/>
      </c>
      <c r="BR672" s="1361">
        <f>IFERROR(BR667/BR671,0)</f>
        <v/>
      </c>
      <c r="BS672" s="1379">
        <f>IFERROR(BS667/BS671,0)</f>
        <v/>
      </c>
      <c r="BT672" s="1361">
        <f>IFERROR(BT667/BT671,0)</f>
        <v/>
      </c>
      <c r="BU672" s="1361">
        <f>IFERROR(BU667/BU671,0)</f>
        <v/>
      </c>
      <c r="BV672" s="1361">
        <f>IFERROR(BV667/BV671,0)</f>
        <v/>
      </c>
      <c r="BW672" s="1361">
        <f>IFERROR(BW667/BW671,0)</f>
        <v/>
      </c>
      <c r="BX672" s="1379">
        <f>IFERROR(BX667/BX671,0)</f>
        <v/>
      </c>
      <c r="BY672" s="1379">
        <f>IFERROR(BY667/BY671,0)</f>
        <v/>
      </c>
      <c r="BZ672" s="1379">
        <f>IFERROR(BZ667/BZ671,0)</f>
        <v/>
      </c>
      <c r="CA672" s="1379">
        <f>IFERROR(CA667/CA671,0)</f>
        <v/>
      </c>
      <c r="CB672" s="1361" t="n"/>
    </row>
    <row r="673" hidden="1" outlineLevel="2" ht="14.4" customFormat="1" customHeight="1" s="1597">
      <c r="A673" s="1693" t="inlineStr">
        <is>
          <t>Dilutive Shares from Convertible Notes 2023, mm shares</t>
        </is>
      </c>
      <c r="B673" s="1694" t="n"/>
      <c r="C673" s="1698">
        <f>IFERROR(IF(C526&gt;C671,C672,0),0)</f>
        <v/>
      </c>
      <c r="D673" s="1698">
        <f>IFERROR(IF(D526&gt;D671,D672,0),0)</f>
        <v/>
      </c>
      <c r="E673" s="1698">
        <f>IFERROR(IF(E526&gt;E671,E672,0),0)</f>
        <v/>
      </c>
      <c r="F673" s="1698">
        <f>IFERROR(IF(F526&gt;F671,F672,0),0)</f>
        <v/>
      </c>
      <c r="G673" s="1693">
        <f>IFERROR(IF(G526&gt;G671,G672,0),0)</f>
        <v/>
      </c>
      <c r="H673" s="1693">
        <f>IFERROR(IF(H526&gt;H671,H672,0),0)</f>
        <v/>
      </c>
      <c r="I673" s="1693">
        <f>IFERROR(IF(I526&gt;I671,I672,0),0)</f>
        <v/>
      </c>
      <c r="J673" s="1693">
        <f>IFERROR(IF(J526&gt;J671,J672,0),0)</f>
        <v/>
      </c>
      <c r="K673" s="1698">
        <f>IFERROR(IF(K526&gt;K671,K672,0),0)</f>
        <v/>
      </c>
      <c r="L673" s="1693">
        <f>IFERROR(IF(L526&gt;L671,L672,0),0)</f>
        <v/>
      </c>
      <c r="M673" s="1693">
        <f>IFERROR(IF(M526&gt;M671,M672,0),0)</f>
        <v/>
      </c>
      <c r="N673" s="1693">
        <f>IFERROR(IF(N526&gt;N671,N672,0),0)</f>
        <v/>
      </c>
      <c r="O673" s="1693">
        <f>IFERROR(IF(O526&gt;O671,O672,0),0)</f>
        <v/>
      </c>
      <c r="P673" s="1698">
        <f>IFERROR(IF(P526&gt;P671,P672,0),0)</f>
        <v/>
      </c>
      <c r="Q673" s="1693">
        <f>IFERROR(IF(Q526&gt;Q671,Q672,0),0)</f>
        <v/>
      </c>
      <c r="R673" s="1693">
        <f>IFERROR(IF(R526&gt;R671,R672,0),0)</f>
        <v/>
      </c>
      <c r="S673" s="1693">
        <f>IFERROR(IF(S526&gt;S671,S672,0),0)</f>
        <v/>
      </c>
      <c r="T673" s="1693">
        <f>IFERROR(IF(T526&gt;T671,T672,0),0)</f>
        <v/>
      </c>
      <c r="U673" s="1698">
        <f>IFERROR(IF(U526&gt;U671,U672,0),0)</f>
        <v/>
      </c>
      <c r="V673" s="1693">
        <f>IFERROR(IF(V526&gt;V671,V672,0),0)</f>
        <v/>
      </c>
      <c r="W673" s="1693">
        <f>IFERROR(IF(W526&gt;W671,W672,0),0)</f>
        <v/>
      </c>
      <c r="X673" s="1693">
        <f>IFERROR(IF(X526&gt;X671,X672,0),0)</f>
        <v/>
      </c>
      <c r="Y673" s="1693">
        <f>IFERROR(IF(Y526&gt;Y671,Y672,0),0)</f>
        <v/>
      </c>
      <c r="Z673" s="1698">
        <f>IFERROR(IF(Z526&gt;Z671,Z672,0),0)</f>
        <v/>
      </c>
      <c r="AA673" s="1693">
        <f>IFERROR(IF(AA526&gt;AA671,AA672,0),0)</f>
        <v/>
      </c>
      <c r="AB673" s="1693">
        <f>IFERROR(IF(AB526&gt;AB671,AB672,0),0)</f>
        <v/>
      </c>
      <c r="AC673" s="1693">
        <f>IFERROR(IF(AC526&gt;AC671,AC672,0),0)</f>
        <v/>
      </c>
      <c r="AD673" s="1693">
        <f>IFERROR(IF(AD526&gt;AD671,AD672,0),0)</f>
        <v/>
      </c>
      <c r="AE673" s="1698">
        <f>IFERROR(IF(AE526&gt;AE671,AE672,0),0)</f>
        <v/>
      </c>
      <c r="AF673" s="1693">
        <f>IFERROR(IF(AF526&gt;AF671,AF672,0),0)</f>
        <v/>
      </c>
      <c r="AG673" s="1693">
        <f>IFERROR(IF(AG526&gt;AG671,AG672,0),0)</f>
        <v/>
      </c>
      <c r="AH673" s="1693">
        <f>IFERROR(IF(AH526&gt;AH671,AH672,0),0)</f>
        <v/>
      </c>
      <c r="AI673" s="1693">
        <f>IFERROR(IF(AI526&gt;AI671,AI672,0),0)</f>
        <v/>
      </c>
      <c r="AJ673" s="1698">
        <f>IFERROR(IF(AJ526&gt;AJ671,AJ672,0),0)</f>
        <v/>
      </c>
      <c r="AK673" s="1693">
        <f>IFERROR(IF(AK526&gt;AK671,AK672,0),0)</f>
        <v/>
      </c>
      <c r="AL673" s="1693">
        <f>IFERROR(IF(AL526&gt;AL671,AL672,0),0)</f>
        <v/>
      </c>
      <c r="AM673" s="1693">
        <f>IFERROR(IF(AM526&gt;AM671,AM672,0),0)</f>
        <v/>
      </c>
      <c r="AN673" s="1693">
        <f>IFERROR(IF(AN526&gt;AN671,AN672,0),0)</f>
        <v/>
      </c>
      <c r="AO673" s="1698">
        <f>IFERROR(IF(AO526&gt;AO671,AO672,0),0)</f>
        <v/>
      </c>
      <c r="AP673" s="1693">
        <f>IFERROR(IF(AP526&gt;AP671,AP672,0),0)</f>
        <v/>
      </c>
      <c r="AQ673" s="1693">
        <f>IFERROR(IF(AQ526&gt;AQ671,AQ672,0),0)</f>
        <v/>
      </c>
      <c r="AR673" s="1693">
        <f>IFERROR(IF(AR526&gt;AR671,AR672,0),0)</f>
        <v/>
      </c>
      <c r="AS673" s="1693">
        <f>IFERROR(IF(AS526&gt;AS671,AS672,0),0)</f>
        <v/>
      </c>
      <c r="AT673" s="1698">
        <f>IFERROR(IF(AT526&gt;AT671,AT672,0),0)</f>
        <v/>
      </c>
      <c r="AU673" s="1693">
        <f>IFERROR(IF(AU526&gt;AU671,AU672,0),0)</f>
        <v/>
      </c>
      <c r="AV673" s="1693">
        <f>IFERROR(IF(AV526&gt;AV671,AV672,0),0)</f>
        <v/>
      </c>
      <c r="AW673" s="1693">
        <f>IFERROR(IF(AW526&gt;AW671,AW672,0),0)</f>
        <v/>
      </c>
      <c r="AX673" s="1693">
        <f>IFERROR(IF(AX526&gt;AX671,AX672,0),0)</f>
        <v/>
      </c>
      <c r="AY673" s="1698">
        <f>IFERROR(IF(AY526&gt;AY671,AY672,0),0)</f>
        <v/>
      </c>
      <c r="AZ673" s="1693">
        <f>IFERROR(IF(AZ526&gt;AZ671,AZ672,0),0)</f>
        <v/>
      </c>
      <c r="BA673" s="1693">
        <f>IFERROR(IF(BA526&gt;BA671,BA672,0),0)</f>
        <v/>
      </c>
      <c r="BB673" s="1693">
        <f>IFERROR(IF(BB526&gt;BB671,BB672,0),0)</f>
        <v/>
      </c>
      <c r="BC673" s="1693">
        <f>IFERROR(IF(BC526&gt;BC671,BC672,0),0)</f>
        <v/>
      </c>
      <c r="BD673" s="1698">
        <f>IFERROR(IF(BD526&gt;BD671,BD672,0),0)</f>
        <v/>
      </c>
      <c r="BE673" s="1693">
        <f>IFERROR(IF(BE526&gt;BE671,BE672,0),0)</f>
        <v/>
      </c>
      <c r="BF673" s="1693">
        <f>IFERROR(IF(BF526&gt;BF671,BF672,0),0)</f>
        <v/>
      </c>
      <c r="BG673" s="1693">
        <f>IFERROR(IF(BG526&gt;BG671,BG672,0),0)</f>
        <v/>
      </c>
      <c r="BH673" s="1693">
        <f>IFERROR(IF(BH526&gt;BH671,BH672,0),0)</f>
        <v/>
      </c>
      <c r="BI673" s="1698">
        <f>IFERROR(IF(BI526&gt;BI671,BI672,0),0)</f>
        <v/>
      </c>
      <c r="BJ673" s="1693">
        <f>IFERROR(IF(BJ526&gt;BJ671,BJ672,0),0)</f>
        <v/>
      </c>
      <c r="BK673" s="1693">
        <f>IFERROR(IF(BK526&gt;BK671,BK672,0),0)</f>
        <v/>
      </c>
      <c r="BL673" s="1693">
        <f>IFERROR(IF(BL526&gt;BL671,BL672,0),0)</f>
        <v/>
      </c>
      <c r="BM673" s="1693">
        <f>IFERROR(IF(BM526&gt;BM671,BM672,0),0)</f>
        <v/>
      </c>
      <c r="BN673" s="1698">
        <f>IFERROR(IF(BN526&gt;BN671,BN672,0),0)</f>
        <v/>
      </c>
      <c r="BO673" s="1693">
        <f>IFERROR(IF(BO526&gt;BO671,BO672,0),0)</f>
        <v/>
      </c>
      <c r="BP673" s="1693">
        <f>IFERROR(IF(BP526&gt;BP671,BP672,0),0)</f>
        <v/>
      </c>
      <c r="BQ673" s="1733">
        <f>IFERROR(IF(BQ526&gt;BQ671,BQ672,0),0)</f>
        <v/>
      </c>
      <c r="BR673" s="1693">
        <f>IFERROR(IF(BR526&gt;BR671,BR672,0),0)</f>
        <v/>
      </c>
      <c r="BS673" s="1698">
        <f>IFERROR(IF(BS526&gt;BS671,BS672,0),0)</f>
        <v/>
      </c>
      <c r="BT673" s="1693">
        <f>IFERROR(IF(BT526&gt;BT671,BT672,0),0)</f>
        <v/>
      </c>
      <c r="BU673" s="1693">
        <f>IFERROR(IF(BU526&gt;BU671,BU672,0),0)</f>
        <v/>
      </c>
      <c r="BV673" s="1693">
        <f>IFERROR(IF(BV526&gt;BV671,BV672,0),0)</f>
        <v/>
      </c>
      <c r="BW673" s="1693">
        <f>IFERROR(IF(BW526&gt;BW671,BW672,0),0)</f>
        <v/>
      </c>
      <c r="BX673" s="1698">
        <f>IFERROR(IF(BX526&gt;BX671,BX672,0),0)</f>
        <v/>
      </c>
      <c r="BY673" s="1698">
        <f>IFERROR(IF(BY526&gt;BY671,BY672,0),0)</f>
        <v/>
      </c>
      <c r="BZ673" s="1698">
        <f>IFERROR(IF(BZ526&gt;BZ671,BZ672,0),0)</f>
        <v/>
      </c>
      <c r="CA673" s="1698">
        <f>IFERROR(IF(CA526&gt;CA671,CA672,0),0)</f>
        <v/>
      </c>
      <c r="CB673" s="1361" t="n"/>
    </row>
    <row r="674" hidden="1" outlineLevel="2" ht="14.4" customFormat="1" customHeight="1" s="1597">
      <c r="A674" s="1361" t="n"/>
      <c r="B674" s="1512" t="n"/>
      <c r="C674" s="1379" t="n"/>
      <c r="D674" s="1379" t="n"/>
      <c r="E674" s="1379" t="n"/>
      <c r="F674" s="1379" t="n"/>
      <c r="G674" s="1361" t="n"/>
      <c r="H674" s="1361" t="n"/>
      <c r="I674" s="1361" t="n"/>
      <c r="J674" s="1361" t="n"/>
      <c r="K674" s="1379" t="n"/>
      <c r="L674" s="1361" t="n"/>
      <c r="M674" s="1361" t="n"/>
      <c r="N674" s="1361" t="n"/>
      <c r="O674" s="1361" t="n"/>
      <c r="P674" s="1379" t="n"/>
      <c r="Q674" s="1361" t="n"/>
      <c r="R674" s="1361" t="n"/>
      <c r="S674" s="1361" t="n"/>
      <c r="T674" s="1361" t="n"/>
      <c r="U674" s="1379" t="n"/>
      <c r="V674" s="1361" t="n"/>
      <c r="W674" s="1361" t="n"/>
      <c r="X674" s="1361" t="n"/>
      <c r="Y674" s="1361" t="n"/>
      <c r="Z674" s="1379" t="n"/>
      <c r="AA674" s="1361" t="n"/>
      <c r="AB674" s="1361" t="n"/>
      <c r="AC674" s="1361" t="n"/>
      <c r="AD674" s="1361" t="n"/>
      <c r="AE674" s="1379" t="n"/>
      <c r="AF674" s="1361" t="n"/>
      <c r="AG674" s="1361" t="n"/>
      <c r="AH674" s="1361" t="n"/>
      <c r="AI674" s="1361" t="n"/>
      <c r="AJ674" s="1379" t="n"/>
      <c r="AK674" s="1361" t="n"/>
      <c r="AL674" s="1361" t="n"/>
      <c r="AM674" s="1361" t="n"/>
      <c r="AN674" s="1361" t="n"/>
      <c r="AO674" s="1379" t="n"/>
      <c r="AP674" s="1361" t="n"/>
      <c r="AQ674" s="1361" t="n"/>
      <c r="AR674" s="1361" t="n"/>
      <c r="AS674" s="1361" t="n"/>
      <c r="AT674" s="1379" t="n"/>
      <c r="AU674" s="1361" t="n"/>
      <c r="AV674" s="1361" t="n"/>
      <c r="AW674" s="1361" t="n"/>
      <c r="AX674" s="1361" t="n"/>
      <c r="AY674" s="1379" t="n"/>
      <c r="AZ674" s="1361" t="n"/>
      <c r="BA674" s="1361" t="n"/>
      <c r="BB674" s="1361" t="n"/>
      <c r="BC674" s="1361" t="n"/>
      <c r="BD674" s="1379" t="n"/>
      <c r="BE674" s="1361" t="n"/>
      <c r="BF674" s="1361" t="n"/>
      <c r="BG674" s="1361" t="n"/>
      <c r="BH674" s="1361" t="n"/>
      <c r="BI674" s="1379" t="n"/>
      <c r="BJ674" s="1361" t="n"/>
      <c r="BK674" s="1361" t="n"/>
      <c r="BL674" s="1361" t="n"/>
      <c r="BM674" s="1361" t="n"/>
      <c r="BN674" s="1379" t="n"/>
      <c r="BO674" s="1361" t="n"/>
      <c r="BP674" s="1361" t="n"/>
      <c r="BQ674" s="1363" t="n"/>
      <c r="BR674" s="1361" t="n"/>
      <c r="BS674" s="1379" t="n"/>
      <c r="BT674" s="1361" t="n"/>
      <c r="BU674" s="1361" t="n"/>
      <c r="BV674" s="1361" t="n"/>
      <c r="BW674" s="1361" t="n"/>
      <c r="BX674" s="1379" t="n"/>
      <c r="BY674" s="1379" t="n"/>
      <c r="BZ674" s="1379" t="n"/>
      <c r="CA674" s="1379" t="n"/>
      <c r="CB674" s="1361" t="n"/>
    </row>
    <row r="675" hidden="1" outlineLevel="2" ht="14.4" customFormat="1" customHeight="1" s="1597">
      <c r="A675" s="1474" t="inlineStr">
        <is>
          <t>Shares Covered 2023, mm shares</t>
        </is>
      </c>
      <c r="B675" s="1512" t="n"/>
      <c r="C675" s="1379">
        <f>C672</f>
        <v/>
      </c>
      <c r="D675" s="1379">
        <f>D672</f>
        <v/>
      </c>
      <c r="E675" s="1379">
        <f>E672</f>
        <v/>
      </c>
      <c r="F675" s="1379">
        <f>F672</f>
        <v/>
      </c>
      <c r="G675" s="1361">
        <f>G672</f>
        <v/>
      </c>
      <c r="H675" s="1361">
        <f>H672</f>
        <v/>
      </c>
      <c r="I675" s="1361">
        <f>I672</f>
        <v/>
      </c>
      <c r="J675" s="1361">
        <f>J672</f>
        <v/>
      </c>
      <c r="K675" s="1379">
        <f>K672</f>
        <v/>
      </c>
      <c r="L675" s="1361">
        <f>L672</f>
        <v/>
      </c>
      <c r="M675" s="1361">
        <f>M672</f>
        <v/>
      </c>
      <c r="N675" s="1361">
        <f>N672</f>
        <v/>
      </c>
      <c r="O675" s="1361">
        <f>O672</f>
        <v/>
      </c>
      <c r="P675" s="1379">
        <f>P672</f>
        <v/>
      </c>
      <c r="Q675" s="1361">
        <f>Q672</f>
        <v/>
      </c>
      <c r="R675" s="1361">
        <f>R672</f>
        <v/>
      </c>
      <c r="S675" s="1361">
        <f>S672</f>
        <v/>
      </c>
      <c r="T675" s="1361">
        <f>T672</f>
        <v/>
      </c>
      <c r="U675" s="1379">
        <f>U672</f>
        <v/>
      </c>
      <c r="V675" s="1361">
        <f>V672</f>
        <v/>
      </c>
      <c r="W675" s="1361">
        <f>W672</f>
        <v/>
      </c>
      <c r="X675" s="1361">
        <f>X672</f>
        <v/>
      </c>
      <c r="Y675" s="1361">
        <f>Y672</f>
        <v/>
      </c>
      <c r="Z675" s="1379">
        <f>Z672</f>
        <v/>
      </c>
      <c r="AA675" s="1361">
        <f>AA672</f>
        <v/>
      </c>
      <c r="AB675" s="1361">
        <f>AB672</f>
        <v/>
      </c>
      <c r="AC675" s="1361">
        <f>AC672</f>
        <v/>
      </c>
      <c r="AD675" s="1361">
        <f>AD672</f>
        <v/>
      </c>
      <c r="AE675" s="1379">
        <f>AE672</f>
        <v/>
      </c>
      <c r="AF675" s="1361">
        <f>AF672</f>
        <v/>
      </c>
      <c r="AG675" s="1361">
        <f>AG672</f>
        <v/>
      </c>
      <c r="AH675" s="1361">
        <f>AH672</f>
        <v/>
      </c>
      <c r="AI675" s="1361">
        <f>AI672</f>
        <v/>
      </c>
      <c r="AJ675" s="1379">
        <f>AJ672</f>
        <v/>
      </c>
      <c r="AK675" s="1361">
        <f>AK672</f>
        <v/>
      </c>
      <c r="AL675" s="1361">
        <f>AL672</f>
        <v/>
      </c>
      <c r="AM675" s="1361">
        <f>AM672</f>
        <v/>
      </c>
      <c r="AN675" s="1361">
        <f>AN672</f>
        <v/>
      </c>
      <c r="AO675" s="1379">
        <f>AO672</f>
        <v/>
      </c>
      <c r="AP675" s="1361">
        <f>AP672</f>
        <v/>
      </c>
      <c r="AQ675" s="1361">
        <f>AQ672</f>
        <v/>
      </c>
      <c r="AR675" s="1361">
        <f>AR672</f>
        <v/>
      </c>
      <c r="AS675" s="1361">
        <f>AS672</f>
        <v/>
      </c>
      <c r="AT675" s="1379">
        <f>AT672</f>
        <v/>
      </c>
      <c r="AU675" s="1361">
        <f>AU672</f>
        <v/>
      </c>
      <c r="AV675" s="1361">
        <f>AV672</f>
        <v/>
      </c>
      <c r="AW675" s="1361">
        <f>AW672</f>
        <v/>
      </c>
      <c r="AX675" s="1361">
        <f>AX672</f>
        <v/>
      </c>
      <c r="AY675" s="1379">
        <f>AY672</f>
        <v/>
      </c>
      <c r="AZ675" s="1361">
        <f>AZ672</f>
        <v/>
      </c>
      <c r="BA675" s="1361">
        <f>BA672</f>
        <v/>
      </c>
      <c r="BB675" s="1361">
        <f>BB672</f>
        <v/>
      </c>
      <c r="BC675" s="1361">
        <f>BC672</f>
        <v/>
      </c>
      <c r="BD675" s="1379">
        <f>BD672</f>
        <v/>
      </c>
      <c r="BE675" s="1361">
        <f>BE672</f>
        <v/>
      </c>
      <c r="BF675" s="1361">
        <f>BF672</f>
        <v/>
      </c>
      <c r="BG675" s="1361">
        <f>BG672</f>
        <v/>
      </c>
      <c r="BH675" s="1361">
        <f>BH672</f>
        <v/>
      </c>
      <c r="BI675" s="1379">
        <f>BI672</f>
        <v/>
      </c>
      <c r="BJ675" s="1361">
        <f>BJ672</f>
        <v/>
      </c>
      <c r="BK675" s="1361">
        <f>BK672</f>
        <v/>
      </c>
      <c r="BL675" s="1361">
        <f>BL672</f>
        <v/>
      </c>
      <c r="BM675" s="1361">
        <f>BM672</f>
        <v/>
      </c>
      <c r="BN675" s="1379">
        <f>BN672</f>
        <v/>
      </c>
      <c r="BO675" s="1361">
        <f>BO672</f>
        <v/>
      </c>
      <c r="BP675" s="1361">
        <f>BP672</f>
        <v/>
      </c>
      <c r="BQ675" s="1363">
        <f>BQ672</f>
        <v/>
      </c>
      <c r="BR675" s="1361">
        <f>BR672</f>
        <v/>
      </c>
      <c r="BS675" s="1379">
        <f>BS672</f>
        <v/>
      </c>
      <c r="BT675" s="1361">
        <f>BT672</f>
        <v/>
      </c>
      <c r="BU675" s="1361">
        <f>BU672</f>
        <v/>
      </c>
      <c r="BV675" s="1361">
        <f>BV672</f>
        <v/>
      </c>
      <c r="BW675" s="1361">
        <f>BW672</f>
        <v/>
      </c>
      <c r="BX675" s="1379">
        <f>BX672</f>
        <v/>
      </c>
      <c r="BY675" s="1379">
        <f>BY672</f>
        <v/>
      </c>
      <c r="BZ675" s="1379">
        <f>BZ672</f>
        <v/>
      </c>
      <c r="CA675" s="1379">
        <f>CA672</f>
        <v/>
      </c>
      <c r="CB675" s="1361" t="n"/>
    </row>
    <row r="676" hidden="1" outlineLevel="2" ht="14.4" customFormat="1" customHeight="1" s="1597">
      <c r="A676" s="1474" t="inlineStr">
        <is>
          <t>Initial Cap Price 2023, $/share</t>
        </is>
      </c>
      <c r="B676" s="1512" t="n"/>
      <c r="C676" s="1716" t="n"/>
      <c r="D676" s="1716" t="n"/>
      <c r="E676" s="1716" t="n"/>
      <c r="F676" s="1716" t="n"/>
      <c r="G676" s="1714" t="n"/>
      <c r="H676" s="1714" t="n"/>
      <c r="I676" s="1714" t="n"/>
      <c r="J676" s="1714" t="n"/>
      <c r="K676" s="1716" t="n"/>
      <c r="L676" s="1714" t="n"/>
      <c r="M676" s="1714" t="n"/>
      <c r="N676" s="1714" t="n"/>
      <c r="O676" s="1714" t="n"/>
      <c r="P676" s="1716" t="n"/>
      <c r="Q676" s="1714" t="n"/>
      <c r="R676" s="1714" t="n"/>
      <c r="S676" s="1714" t="n"/>
      <c r="T676" s="1714" t="n"/>
      <c r="U676" s="1716" t="n"/>
      <c r="V676" s="1714" t="n"/>
      <c r="W676" s="1714" t="n"/>
      <c r="X676" s="1714" t="n"/>
      <c r="Y676" s="1714" t="n"/>
      <c r="Z676" s="1716" t="n"/>
      <c r="AA676" s="1714" t="n"/>
      <c r="AB676" s="1714" t="n"/>
      <c r="AC676" s="1714" t="n"/>
      <c r="AD676" s="1714" t="n"/>
      <c r="AE676" s="1716" t="n"/>
      <c r="AF676" s="1714" t="n"/>
      <c r="AG676" s="1714" t="n"/>
      <c r="AH676" s="1714" t="n"/>
      <c r="AI676" s="1714" t="n"/>
      <c r="AJ676" s="1716" t="n"/>
      <c r="AK676" s="1714" t="n"/>
      <c r="AL676" s="1714" t="n"/>
      <c r="AM676" s="1714" t="n"/>
      <c r="AN676" s="1714" t="n"/>
      <c r="AO676" s="1716" t="n"/>
      <c r="AP676" s="1714" t="n"/>
      <c r="AQ676" s="1714" t="n"/>
      <c r="AR676" s="1714" t="n"/>
      <c r="AS676" s="1714" t="n"/>
      <c r="AT676" s="1716" t="n"/>
      <c r="AU676" s="1714" t="n"/>
      <c r="AV676" s="1714" t="n"/>
      <c r="AW676" s="1714" t="n"/>
      <c r="AX676" s="1714" t="n"/>
      <c r="AY676" s="1716" t="n"/>
      <c r="AZ676" s="1714" t="n"/>
      <c r="BA676" s="1714" t="n"/>
      <c r="BB676" s="1714" t="n"/>
      <c r="BC676" s="1714" t="n"/>
      <c r="BD676" s="1716" t="n"/>
      <c r="BE676" s="1714" t="n"/>
      <c r="BF676" s="1714" t="n"/>
      <c r="BG676" s="1714" t="n"/>
      <c r="BH676" s="1714" t="n"/>
      <c r="BI676" s="1716" t="n"/>
      <c r="BJ676" s="1714" t="n"/>
      <c r="BK676" s="1714" t="n"/>
      <c r="BL676" s="1714" t="n"/>
      <c r="BM676" s="1714" t="n"/>
      <c r="BN676" s="1716" t="n"/>
      <c r="BO676" s="1714" t="n"/>
      <c r="BP676" s="1714" t="n"/>
      <c r="BQ676" s="1717" t="n"/>
      <c r="BR676" s="1714">
        <f>IF(BR675=0,0,BQ676)</f>
        <v/>
      </c>
      <c r="BS676" s="1716">
        <f>BR676</f>
        <v/>
      </c>
      <c r="BT676" s="1714">
        <f>IF(BT675=0,0,BS676)</f>
        <v/>
      </c>
      <c r="BU676" s="1714">
        <f>IF(BU675=0,0,BT676)</f>
        <v/>
      </c>
      <c r="BV676" s="1714">
        <f>IF(BV675=0,0,BU676)</f>
        <v/>
      </c>
      <c r="BW676" s="1714">
        <f>IF(BW675=0,0,BV676)</f>
        <v/>
      </c>
      <c r="BX676" s="1716">
        <f>BW676</f>
        <v/>
      </c>
      <c r="BY676" s="1716">
        <f>IF(BY675=0,0,BX676)</f>
        <v/>
      </c>
      <c r="BZ676" s="1716">
        <f>IF(BZ675=0,0,BY676)</f>
        <v/>
      </c>
      <c r="CA676" s="1716">
        <f>IF(CA675=0,0,BZ676)</f>
        <v/>
      </c>
      <c r="CB676" s="1361" t="n"/>
    </row>
    <row r="677" hidden="1" outlineLevel="2" ht="14.4" customFormat="1" customHeight="1" s="1597">
      <c r="A677" s="1693" t="inlineStr">
        <is>
          <t>Dilutive Offset from Capped Call 2023, mm shares</t>
        </is>
      </c>
      <c r="B677" s="1694" t="n"/>
      <c r="C677" s="1698">
        <f>IFERROR(IF(C526&gt;C676,-C673*C676/C526*C675/C672,-C673),0)</f>
        <v/>
      </c>
      <c r="D677" s="1698">
        <f>IFERROR(IF(D526&gt;D676,-D673*D676/D526*D675/D672,-D673),0)</f>
        <v/>
      </c>
      <c r="E677" s="1698">
        <f>IFERROR(IF(E526&gt;E676,-E673*E676/E526*E675/E672,-E673),0)</f>
        <v/>
      </c>
      <c r="F677" s="1698">
        <f>IFERROR(IF(F526&gt;F676,-F673*F676/F526*F675/F672,-F673),0)</f>
        <v/>
      </c>
      <c r="G677" s="1693">
        <f>IFERROR(IF(G526&gt;G676,-G673*G676/G526*G675/G672,-G673),0)</f>
        <v/>
      </c>
      <c r="H677" s="1693">
        <f>IFERROR(IF(H526&gt;H676,-H673*H676/H526*H675/H672,-H673),0)</f>
        <v/>
      </c>
      <c r="I677" s="1693">
        <f>IFERROR(IF(I526&gt;I676,-I673*I676/I526*I675/I672,-I673),0)</f>
        <v/>
      </c>
      <c r="J677" s="1693">
        <f>IFERROR(IF(J526&gt;J676,-J673*J676/J526*J675/J672,-J673),0)</f>
        <v/>
      </c>
      <c r="K677" s="1698">
        <f>IFERROR(IF(K526&gt;K676,-K673*K676/K526*K675/K672,-K673),0)</f>
        <v/>
      </c>
      <c r="L677" s="1693">
        <f>IFERROR(IF(L526&gt;L676,-L673*L676/L526*L675/L672,-L673),0)</f>
        <v/>
      </c>
      <c r="M677" s="1693">
        <f>IFERROR(IF(M526&gt;M676,-M673*M676/M526*M675/M672,-M673),0)</f>
        <v/>
      </c>
      <c r="N677" s="1693">
        <f>IFERROR(IF(N526&gt;N676,-N673*N676/N526*N675/N672,-N673),0)</f>
        <v/>
      </c>
      <c r="O677" s="1693">
        <f>IFERROR(IF(O526&gt;O676,-O673*O676/O526*O675/O672,-O673),0)</f>
        <v/>
      </c>
      <c r="P677" s="1698">
        <f>IFERROR(IF(P526&gt;P676,-P673*P676/P526*P675/P672,-P673),0)</f>
        <v/>
      </c>
      <c r="Q677" s="1693">
        <f>IFERROR(IF(Q526&gt;Q676,-Q673*Q676/Q526*Q675/Q672,-Q673),0)</f>
        <v/>
      </c>
      <c r="R677" s="1693">
        <f>IFERROR(IF(R526&gt;R676,-R673*R676/R526*R675/R672,-R673),0)</f>
        <v/>
      </c>
      <c r="S677" s="1693">
        <f>IFERROR(IF(S526&gt;S676,-S673*S676/S526*S675/S672,-S673),0)</f>
        <v/>
      </c>
      <c r="T677" s="1693">
        <f>IFERROR(IF(T526&gt;T676,-T673*T676/T526*T675/T672,-T673),0)</f>
        <v/>
      </c>
      <c r="U677" s="1698">
        <f>IFERROR(IF(U526&gt;U676,-U673*U676/U526*U675/U672,-U673),0)</f>
        <v/>
      </c>
      <c r="V677" s="1693">
        <f>IFERROR(IF(V526&gt;V676,-V673*V676/V526*V675/V672,-V673),0)</f>
        <v/>
      </c>
      <c r="W677" s="1693">
        <f>IFERROR(IF(W526&gt;W676,-W673*W676/W526*W675/W672,-W673),0)</f>
        <v/>
      </c>
      <c r="X677" s="1693">
        <f>IFERROR(IF(X526&gt;X676,-X673*X676/X526*X675/X672,-X673),0)</f>
        <v/>
      </c>
      <c r="Y677" s="1693">
        <f>IFERROR(IF(Y526&gt;Y676,-Y673*Y676/Y526*Y675/Y672,-Y673),0)</f>
        <v/>
      </c>
      <c r="Z677" s="1698">
        <f>IFERROR(IF(Z526&gt;Z676,-Z673*Z676/Z526*Z675/Z672,-Z673),0)</f>
        <v/>
      </c>
      <c r="AA677" s="1693">
        <f>IFERROR(IF(AA526&gt;AA676,-AA673*AA676/AA526*AA675/AA672,-AA673),0)</f>
        <v/>
      </c>
      <c r="AB677" s="1693">
        <f>IFERROR(IF(AB526&gt;AB676,-AB673*AB676/AB526*AB675/AB672,-AB673),0)</f>
        <v/>
      </c>
      <c r="AC677" s="1693">
        <f>IFERROR(IF(AC526&gt;AC676,-AC673*AC676/AC526*AC675/AC672,-AC673),0)</f>
        <v/>
      </c>
      <c r="AD677" s="1693">
        <f>IFERROR(IF(AD526&gt;AD676,-AD673*AD676/AD526*AD675/AD672,-AD673),0)</f>
        <v/>
      </c>
      <c r="AE677" s="1698">
        <f>IFERROR(IF(AE526&gt;AE676,-AE673*AE676/AE526*AE675/AE672,-AE673),0)</f>
        <v/>
      </c>
      <c r="AF677" s="1693">
        <f>IFERROR(IF(AF526&gt;AF676,-AF673*AF676/AF526*AF675/AF672,-AF673),0)</f>
        <v/>
      </c>
      <c r="AG677" s="1693">
        <f>IFERROR(IF(AG526&gt;AG676,-AG673*AG676/AG526*AG675/AG672,-AG673),0)</f>
        <v/>
      </c>
      <c r="AH677" s="1693">
        <f>IFERROR(IF(AH526&gt;AH676,-AH673*AH676/AH526*AH675/AH672,-AH673),0)</f>
        <v/>
      </c>
      <c r="AI677" s="1693">
        <f>IFERROR(IF(AI526&gt;AI676,-AI673*AI676/AI526*AI675/AI672,-AI673),0)</f>
        <v/>
      </c>
      <c r="AJ677" s="1698">
        <f>IFERROR(IF(AJ526&gt;AJ676,-AJ673*AJ676/AJ526*AJ675/AJ672,-AJ673),0)</f>
        <v/>
      </c>
      <c r="AK677" s="1693">
        <f>IFERROR(IF(AK526&gt;AK676,-AK673*AK676/AK526*AK675/AK672,-AK673),0)</f>
        <v/>
      </c>
      <c r="AL677" s="1693">
        <f>IFERROR(IF(AL526&gt;AL676,-AL673*AL676/AL526*AL675/AL672,-AL673),0)</f>
        <v/>
      </c>
      <c r="AM677" s="1693">
        <f>IFERROR(IF(AM526&gt;AM676,-AM673*AM676/AM526*AM675/AM672,-AM673),0)</f>
        <v/>
      </c>
      <c r="AN677" s="1693">
        <f>IFERROR(IF(AN526&gt;AN676,-AN673*AN676/AN526*AN675/AN672,-AN673),0)</f>
        <v/>
      </c>
      <c r="AO677" s="1698">
        <f>IFERROR(IF(AO526&gt;AO676,-AO673*AO676/AO526*AO675/AO672,-AO673),0)</f>
        <v/>
      </c>
      <c r="AP677" s="1693">
        <f>IFERROR(IF(AP526&gt;AP676,-AP673*AP676/AP526*AP675/AP672,-AP673),0)</f>
        <v/>
      </c>
      <c r="AQ677" s="1693">
        <f>IFERROR(IF(AQ526&gt;AQ676,-AQ673*AQ676/AQ526*AQ675/AQ672,-AQ673),0)</f>
        <v/>
      </c>
      <c r="AR677" s="1693">
        <f>IFERROR(IF(AR526&gt;AR676,-AR673*AR676/AR526*AR675/AR672,-AR673),0)</f>
        <v/>
      </c>
      <c r="AS677" s="1693">
        <f>IFERROR(IF(AS526&gt;AS676,-AS673*AS676/AS526*AS675/AS672,-AS673),0)</f>
        <v/>
      </c>
      <c r="AT677" s="1698">
        <f>IFERROR(IF(AT526&gt;AT676,-AT673*AT676/AT526*AT675/AT672,-AT673),0)</f>
        <v/>
      </c>
      <c r="AU677" s="1693">
        <f>IFERROR(IF(AU526&gt;AU676,-AU673*AU676/AU526*AU675/AU672,-AU673),0)</f>
        <v/>
      </c>
      <c r="AV677" s="1693">
        <f>IFERROR(IF(AV526&gt;AV676,-AV673*AV676/AV526*AV675/AV672,-AV673),0)</f>
        <v/>
      </c>
      <c r="AW677" s="1693">
        <f>IFERROR(IF(AW526&gt;AW676,-AW673*AW676/AW526*AW675/AW672,-AW673),0)</f>
        <v/>
      </c>
      <c r="AX677" s="1693">
        <f>IFERROR(IF(AX526&gt;AX676,-AX673*AX676/AX526*AX675/AX672,-AX673),0)</f>
        <v/>
      </c>
      <c r="AY677" s="1698">
        <f>IFERROR(IF(AY526&gt;AY676,-AY673*AY676/AY526*AY675/AY672,-AY673),0)</f>
        <v/>
      </c>
      <c r="AZ677" s="1693">
        <f>IFERROR(IF(AZ526&gt;AZ676,-AZ673*AZ676/AZ526*AZ675/AZ672,-AZ673),0)</f>
        <v/>
      </c>
      <c r="BA677" s="1693">
        <f>IFERROR(IF(BA526&gt;BA676,-BA673*BA676/BA526*BA675/BA672,-BA673),0)</f>
        <v/>
      </c>
      <c r="BB677" s="1693">
        <f>IFERROR(IF(BB526&gt;BB676,-BB673*BB676/BB526*BB675/BB672,-BB673),0)</f>
        <v/>
      </c>
      <c r="BC677" s="1693">
        <f>IFERROR(IF(BC526&gt;BC676,-BC673*BC676/BC526*BC675/BC672,-BC673),0)</f>
        <v/>
      </c>
      <c r="BD677" s="1698">
        <f>IFERROR(IF(BD526&gt;BD676,-BD673*BD676/BD526*BD675/BD672,-BD673),0)</f>
        <v/>
      </c>
      <c r="BE677" s="1693">
        <f>IFERROR(IF(BE526&gt;BE676,-BE673*BE676/BE526*BE675/BE672,-BE673),0)</f>
        <v/>
      </c>
      <c r="BF677" s="1693">
        <f>IFERROR(IF(BF526&gt;BF676,-BF673*BF676/BF526*BF675/BF672,-BF673),0)</f>
        <v/>
      </c>
      <c r="BG677" s="1693">
        <f>IFERROR(IF(BG526&gt;BG676,-BG673*BG676/BG526*BG675/BG672,-BG673),0)</f>
        <v/>
      </c>
      <c r="BH677" s="1693">
        <f>IFERROR(IF(BH526&gt;BH676,-BH673*BH676/BH526*BH675/BH672,-BH673),0)</f>
        <v/>
      </c>
      <c r="BI677" s="1698">
        <f>IFERROR(IF(BI526&gt;BI676,-BI673*BI676/BI526*BI675/BI672,-BI673),0)</f>
        <v/>
      </c>
      <c r="BJ677" s="1693">
        <f>IFERROR(IF(BJ526&gt;BJ676,-BJ673*BJ676/BJ526*BJ675/BJ672,-BJ673),0)</f>
        <v/>
      </c>
      <c r="BK677" s="1693">
        <f>IFERROR(IF(BK526&gt;BK676,-BK673*BK676/BK526*BK675/BK672,-BK673),0)</f>
        <v/>
      </c>
      <c r="BL677" s="1693">
        <f>IFERROR(IF(BL526&gt;BL676,-BL673*BL676/BL526*BL675/BL672,-BL673),0)</f>
        <v/>
      </c>
      <c r="BM677" s="1693">
        <f>IFERROR(IF(BM526&gt;BM676,-BM673*BM676/BM526*BM675/BM672,-BM673),0)</f>
        <v/>
      </c>
      <c r="BN677" s="1698">
        <f>IFERROR(IF(BN526&gt;BN676,-BN673*BN676/BN526*BN675/BN672,-BN673),0)</f>
        <v/>
      </c>
      <c r="BO677" s="1693">
        <f>IFERROR(IF(BO526&gt;BO676,-BO673*BO676/BO526*BO675/BO672,-BO673),0)</f>
        <v/>
      </c>
      <c r="BP677" s="1693">
        <f>IFERROR(IF(BP526&gt;BP676,-BP673*BP676/BP526*BP675/BP672,-BP673),0)</f>
        <v/>
      </c>
      <c r="BQ677" s="1733">
        <f>IFERROR(IF(BQ526&gt;BQ676,-BQ673*BQ676/BQ526*BQ675/BQ672,-BQ673),0)</f>
        <v/>
      </c>
      <c r="BR677" s="1693">
        <f>IFERROR(IF(BR526&gt;BR676,-BR673*BR676/BR526*BR675/BR672,-BR673),0)</f>
        <v/>
      </c>
      <c r="BS677" s="1698">
        <f>IFERROR(IF(BS526&gt;BS676,-BS673*BS676/BS526*BS675/BS672,-BS673),0)</f>
        <v/>
      </c>
      <c r="BT677" s="1693">
        <f>IFERROR(IF(BT526&gt;BT676,-BT673*BT676/BT526*BT675/BT672,-BT673),0)</f>
        <v/>
      </c>
      <c r="BU677" s="1693">
        <f>IFERROR(IF(BU526&gt;BU676,-BU673*BU676/BU526*BU675/BU672,-BU673),0)</f>
        <v/>
      </c>
      <c r="BV677" s="1693">
        <f>IFERROR(IF(BV526&gt;BV676,-BV673*BV676/BV526*BV675/BV672,-BV673),0)</f>
        <v/>
      </c>
      <c r="BW677" s="1693">
        <f>IFERROR(IF(BW526&gt;BW676,-BW673*BW676/BW526*BW675/BW672,-BW673),0)</f>
        <v/>
      </c>
      <c r="BX677" s="1698">
        <f>IFERROR(IF(BX526&gt;BX676,-BX673*BX676/BX526*BX675/BX672,-BX673),0)</f>
        <v/>
      </c>
      <c r="BY677" s="1698">
        <f>IFERROR(IF(BY526&gt;BY676,-BY673*BY676/BY526*BY675/BY672,-BY673),0)</f>
        <v/>
      </c>
      <c r="BZ677" s="1698">
        <f>IFERROR(IF(BZ526&gt;BZ676,-BZ673*BZ676/BZ526*BZ675/BZ672,-BZ673),0)</f>
        <v/>
      </c>
      <c r="CA677" s="1698">
        <f>IFERROR(IF(CA526&gt;CA676,-CA673*CA676/CA526*CA675/CA672,-CA673),0)</f>
        <v/>
      </c>
      <c r="CB677" s="1361" t="n"/>
    </row>
    <row r="678" hidden="1" outlineLevel="2" ht="14.4" customFormat="1" customHeight="1" s="1597">
      <c r="A678" s="1474" t="inlineStr">
        <is>
          <t>Cash Paid for Exercising Call Options, mm</t>
        </is>
      </c>
      <c r="B678" s="1512" t="n"/>
      <c r="C678" s="1379">
        <f>IF(C677&lt;0,C675*C671,0)</f>
        <v/>
      </c>
      <c r="D678" s="1379">
        <f>IF(D677&lt;0,D675*D671,0)</f>
        <v/>
      </c>
      <c r="E678" s="1379">
        <f>IF(E677&lt;0,E675*E671,0)</f>
        <v/>
      </c>
      <c r="F678" s="1379">
        <f>IF(F677&lt;0,F675*F671,0)</f>
        <v/>
      </c>
      <c r="G678" s="1361">
        <f>IF(G677&lt;0,G675*G671,0)</f>
        <v/>
      </c>
      <c r="H678" s="1361">
        <f>IF(H677&lt;0,H675*H671,0)</f>
        <v/>
      </c>
      <c r="I678" s="1361">
        <f>IF(I677&lt;0,I675*I671,0)</f>
        <v/>
      </c>
      <c r="J678" s="1361">
        <f>IF(J677&lt;0,J675*J671,0)</f>
        <v/>
      </c>
      <c r="K678" s="1379">
        <f>IF(K677&lt;0,K675*K671,0)</f>
        <v/>
      </c>
      <c r="L678" s="1361">
        <f>IF(L677&lt;0,L675*L671,0)</f>
        <v/>
      </c>
      <c r="M678" s="1361">
        <f>IF(M677&lt;0,M675*M671,0)</f>
        <v/>
      </c>
      <c r="N678" s="1361">
        <f>IF(N677&lt;0,N675*N671,0)</f>
        <v/>
      </c>
      <c r="O678" s="1361">
        <f>IF(O677&lt;0,O675*O671,0)</f>
        <v/>
      </c>
      <c r="P678" s="1379">
        <f>IF(P677&lt;0,P675*P671,0)</f>
        <v/>
      </c>
      <c r="Q678" s="1361">
        <f>IF(Q677&lt;0,Q675*Q671,0)</f>
        <v/>
      </c>
      <c r="R678" s="1361">
        <f>IF(R677&lt;0,R675*R671,0)</f>
        <v/>
      </c>
      <c r="S678" s="1361">
        <f>IF(S677&lt;0,S675*S671,0)</f>
        <v/>
      </c>
      <c r="T678" s="1361">
        <f>IF(T677&lt;0,T675*T671,0)</f>
        <v/>
      </c>
      <c r="U678" s="1379">
        <f>IF(U677&lt;0,U675*U671,0)</f>
        <v/>
      </c>
      <c r="V678" s="1361">
        <f>IF(V677&lt;0,V675*V671,0)</f>
        <v/>
      </c>
      <c r="W678" s="1361">
        <f>IF(W677&lt;0,W675*W671,0)</f>
        <v/>
      </c>
      <c r="X678" s="1361">
        <f>IF(X677&lt;0,X675*X671,0)</f>
        <v/>
      </c>
      <c r="Y678" s="1361">
        <f>IF(Y677&lt;0,Y675*Y671,0)</f>
        <v/>
      </c>
      <c r="Z678" s="1379">
        <f>IF(Z677&lt;0,Z675*Z671,0)</f>
        <v/>
      </c>
      <c r="AA678" s="1361">
        <f>IF(AA677&lt;0,AA675*AA671,0)</f>
        <v/>
      </c>
      <c r="AB678" s="1361">
        <f>IF(AB677&lt;0,AB675*AB671,0)</f>
        <v/>
      </c>
      <c r="AC678" s="1361">
        <f>IF(AC677&lt;0,AC675*AC671,0)</f>
        <v/>
      </c>
      <c r="AD678" s="1361">
        <f>IF(AD677&lt;0,AD675*AD671,0)</f>
        <v/>
      </c>
      <c r="AE678" s="1379">
        <f>IF(AE677&lt;0,AE675*AE671,0)</f>
        <v/>
      </c>
      <c r="AF678" s="1361">
        <f>IF(AF677&lt;0,AF675*AF671,0)</f>
        <v/>
      </c>
      <c r="AG678" s="1361">
        <f>IF(AG677&lt;0,AG675*AG671,0)</f>
        <v/>
      </c>
      <c r="AH678" s="1361">
        <f>IF(AH677&lt;0,AH675*AH671,0)</f>
        <v/>
      </c>
      <c r="AI678" s="1361">
        <f>IF(AI677&lt;0,AI675*AI671,0)</f>
        <v/>
      </c>
      <c r="AJ678" s="1379">
        <f>IF(AJ677&lt;0,AJ675*AJ671,0)</f>
        <v/>
      </c>
      <c r="AK678" s="1361">
        <f>IF(AK677&lt;0,AK675*AK671,0)</f>
        <v/>
      </c>
      <c r="AL678" s="1361">
        <f>IF(AL677&lt;0,AL675*AL671,0)</f>
        <v/>
      </c>
      <c r="AM678" s="1361">
        <f>IF(AM677&lt;0,AM675*AM671,0)</f>
        <v/>
      </c>
      <c r="AN678" s="1361">
        <f>IF(AN677&lt;0,AN675*AN671,0)</f>
        <v/>
      </c>
      <c r="AO678" s="1379">
        <f>IF(AO677&lt;0,AO675*AO671,0)</f>
        <v/>
      </c>
      <c r="AP678" s="1361">
        <f>IF(AP677&lt;0,AP675*AP671,0)</f>
        <v/>
      </c>
      <c r="AQ678" s="1361">
        <f>IF(AQ677&lt;0,AQ675*AQ671,0)</f>
        <v/>
      </c>
      <c r="AR678" s="1361">
        <f>IF(AR677&lt;0,AR675*AR671,0)</f>
        <v/>
      </c>
      <c r="AS678" s="1361">
        <f>IF(AS677&lt;0,AS675*AS671,0)</f>
        <v/>
      </c>
      <c r="AT678" s="1379">
        <f>IF(AT677&lt;0,AT675*AT671,0)</f>
        <v/>
      </c>
      <c r="AU678" s="1361">
        <f>IF(AU677&lt;0,AU675*AU671,0)</f>
        <v/>
      </c>
      <c r="AV678" s="1361">
        <f>IF(AV677&lt;0,AV675*AV671,0)</f>
        <v/>
      </c>
      <c r="AW678" s="1361">
        <f>IF(AW677&lt;0,AW675*AW671,0)</f>
        <v/>
      </c>
      <c r="AX678" s="1361">
        <f>IF(AX677&lt;0,AX675*AX671,0)</f>
        <v/>
      </c>
      <c r="AY678" s="1379">
        <f>IF(AY677&lt;0,AY675*AY671,0)</f>
        <v/>
      </c>
      <c r="AZ678" s="1361">
        <f>IF(AZ677&lt;0,AZ675*AZ671,0)</f>
        <v/>
      </c>
      <c r="BA678" s="1361">
        <f>IF(BA677&lt;0,BA675*BA671,0)</f>
        <v/>
      </c>
      <c r="BB678" s="1361">
        <f>IF(BB677&lt;0,BB675*BB671,0)</f>
        <v/>
      </c>
      <c r="BC678" s="1361">
        <f>IF(BC677&lt;0,BC675*BC671,0)</f>
        <v/>
      </c>
      <c r="BD678" s="1379">
        <f>IF(BD677&lt;0,BD675*BD671,0)</f>
        <v/>
      </c>
      <c r="BE678" s="1361">
        <f>IF(BE677&lt;0,BE675*BE671,0)</f>
        <v/>
      </c>
      <c r="BF678" s="1361">
        <f>IF(BF677&lt;0,BF675*BF671,0)</f>
        <v/>
      </c>
      <c r="BG678" s="1361">
        <f>IF(BG677&lt;0,BG675*BG671,0)</f>
        <v/>
      </c>
      <c r="BH678" s="1361">
        <f>IF(BH677&lt;0,BH675*BH671,0)</f>
        <v/>
      </c>
      <c r="BI678" s="1379">
        <f>IF(BI677&lt;0,BI675*BI671,0)</f>
        <v/>
      </c>
      <c r="BJ678" s="1361">
        <f>IF(BJ677&lt;0,BJ675*BJ671,0)</f>
        <v/>
      </c>
      <c r="BK678" s="1361">
        <f>IF(BK677&lt;0,BK675*BK671,0)</f>
        <v/>
      </c>
      <c r="BL678" s="1361">
        <f>IF(BL677&lt;0,BL675*BL671,0)</f>
        <v/>
      </c>
      <c r="BM678" s="1361">
        <f>IF(BM677&lt;0,BM675*BM671,0)</f>
        <v/>
      </c>
      <c r="BN678" s="1379">
        <f>IF(BN677&lt;0,BN675*BN671,0)</f>
        <v/>
      </c>
      <c r="BO678" s="1361">
        <f>IF(BO677&lt;0,BO675*BO671,0)</f>
        <v/>
      </c>
      <c r="BP678" s="1361">
        <f>IF(BP677&lt;0,BP675*BP671,0)</f>
        <v/>
      </c>
      <c r="BQ678" s="1363">
        <f>IF(BQ677&lt;0,BQ675*BQ671,0)</f>
        <v/>
      </c>
      <c r="BR678" s="1361">
        <f>IF(BR677&lt;0,BR675*BR671,0)</f>
        <v/>
      </c>
      <c r="BS678" s="1379">
        <f>IF(BS677&lt;0,BS675*BS671,0)</f>
        <v/>
      </c>
      <c r="BT678" s="1361">
        <f>IF(BT677&lt;0,BT675*BT671,0)</f>
        <v/>
      </c>
      <c r="BU678" s="1361">
        <f>IF(BU677&lt;0,BU675*BU671,0)</f>
        <v/>
      </c>
      <c r="BV678" s="1361">
        <f>IF(BV677&lt;0,BV675*BV671,0)</f>
        <v/>
      </c>
      <c r="BW678" s="1361">
        <f>IF(BW677&lt;0,BW675*BW671,0)</f>
        <v/>
      </c>
      <c r="BX678" s="1379">
        <f>IF(BX677&lt;0,BX675*BX671,0)</f>
        <v/>
      </c>
      <c r="BY678" s="1379">
        <f>IF(BY677&lt;0,BY675*BY671,0)</f>
        <v/>
      </c>
      <c r="BZ678" s="1379">
        <f>IF(BZ677&lt;0,BZ675*BZ671,0)</f>
        <v/>
      </c>
      <c r="CA678" s="1379">
        <f>IF(CA677&lt;0,CA675*CA671,0)</f>
        <v/>
      </c>
      <c r="CB678" s="1361" t="n"/>
    </row>
    <row r="679" hidden="1" outlineLevel="2" ht="14.4" customFormat="1" customHeight="1" s="1597">
      <c r="A679" s="1361" t="n"/>
      <c r="B679" s="1512" t="n"/>
      <c r="C679" s="1379" t="n"/>
      <c r="D679" s="1379" t="n"/>
      <c r="E679" s="1379" t="n"/>
      <c r="F679" s="1379" t="n"/>
      <c r="G679" s="1361" t="n"/>
      <c r="H679" s="1361" t="n"/>
      <c r="I679" s="1361" t="n"/>
      <c r="J679" s="1361" t="n"/>
      <c r="K679" s="1379" t="n"/>
      <c r="L679" s="1361" t="n"/>
      <c r="M679" s="1361" t="n"/>
      <c r="N679" s="1361" t="n"/>
      <c r="O679" s="1361" t="n"/>
      <c r="P679" s="1379" t="n"/>
      <c r="Q679" s="1361" t="n"/>
      <c r="R679" s="1361" t="n"/>
      <c r="S679" s="1361" t="n"/>
      <c r="T679" s="1361" t="n"/>
      <c r="U679" s="1379" t="n"/>
      <c r="V679" s="1361" t="n"/>
      <c r="W679" s="1361" t="n"/>
      <c r="X679" s="1361" t="n"/>
      <c r="Y679" s="1361" t="n"/>
      <c r="Z679" s="1379" t="n"/>
      <c r="AA679" s="1361" t="n"/>
      <c r="AB679" s="1361" t="n"/>
      <c r="AC679" s="1361" t="n"/>
      <c r="AD679" s="1361" t="n"/>
      <c r="AE679" s="1379" t="n"/>
      <c r="AF679" s="1361" t="n"/>
      <c r="AG679" s="1361" t="n"/>
      <c r="AH679" s="1361" t="n"/>
      <c r="AI679" s="1361" t="n"/>
      <c r="AJ679" s="1379" t="n"/>
      <c r="AK679" s="1361" t="n"/>
      <c r="AL679" s="1361" t="n"/>
      <c r="AM679" s="1361" t="n"/>
      <c r="AN679" s="1361" t="n"/>
      <c r="AO679" s="1379" t="n"/>
      <c r="AP679" s="1361" t="n"/>
      <c r="AQ679" s="1361" t="n"/>
      <c r="AR679" s="1361" t="n"/>
      <c r="AS679" s="1361" t="n"/>
      <c r="AT679" s="1379" t="n"/>
      <c r="AU679" s="1361" t="n"/>
      <c r="AV679" s="1361" t="n"/>
      <c r="AW679" s="1361" t="n"/>
      <c r="AX679" s="1361" t="n"/>
      <c r="AY679" s="1379" t="n"/>
      <c r="AZ679" s="1361" t="n"/>
      <c r="BA679" s="1361" t="n"/>
      <c r="BB679" s="1361" t="n"/>
      <c r="BC679" s="1361" t="n"/>
      <c r="BD679" s="1379" t="n"/>
      <c r="BE679" s="1361" t="n"/>
      <c r="BF679" s="1361" t="n"/>
      <c r="BG679" s="1361" t="n"/>
      <c r="BH679" s="1361" t="n"/>
      <c r="BI679" s="1379" t="n"/>
      <c r="BJ679" s="1361" t="n"/>
      <c r="BK679" s="1361" t="n"/>
      <c r="BL679" s="1361" t="n"/>
      <c r="BM679" s="1361" t="n"/>
      <c r="BN679" s="1379" t="n"/>
      <c r="BO679" s="1361" t="n"/>
      <c r="BP679" s="1361" t="n"/>
      <c r="BQ679" s="1363" t="n"/>
      <c r="BR679" s="1361" t="n"/>
      <c r="BS679" s="1379" t="n"/>
      <c r="BT679" s="1361" t="n"/>
      <c r="BU679" s="1361" t="n"/>
      <c r="BV679" s="1361" t="n"/>
      <c r="BW679" s="1361" t="n"/>
      <c r="BX679" s="1379" t="n"/>
      <c r="BY679" s="1379" t="n"/>
      <c r="BZ679" s="1379" t="n"/>
      <c r="CA679" s="1379" t="n"/>
      <c r="CB679" s="1361" t="n"/>
    </row>
    <row r="680" hidden="1" outlineLevel="2" ht="14.4" customFormat="1" customHeight="1" s="1597">
      <c r="A680" s="1361" t="inlineStr">
        <is>
          <t>2023 Notes Net Share Increase from Note Conversion and Capped Call Exercise, mm shares</t>
        </is>
      </c>
      <c r="B680" s="1512" t="n"/>
      <c r="C680" s="1379" t="n"/>
      <c r="D680" s="1379" t="n"/>
      <c r="E680" s="1379" t="n"/>
      <c r="F680" s="1379" t="n"/>
      <c r="G680" s="1361" t="n"/>
      <c r="H680" s="1361" t="n"/>
      <c r="I680" s="1361" t="n"/>
      <c r="J680" s="1361" t="n"/>
      <c r="K680" s="1379" t="n"/>
      <c r="L680" s="1361" t="n"/>
      <c r="M680" s="1361" t="n"/>
      <c r="N680" s="1361" t="n"/>
      <c r="O680" s="1361" t="n"/>
      <c r="P680" s="1379" t="n"/>
      <c r="Q680" s="1361" t="n"/>
      <c r="R680" s="1361" t="n"/>
      <c r="S680" s="1361" t="n"/>
      <c r="T680" s="1361" t="n"/>
      <c r="U680" s="1379" t="n"/>
      <c r="V680" s="1361" t="n"/>
      <c r="W680" s="1361" t="n"/>
      <c r="X680" s="1361" t="n"/>
      <c r="Y680" s="1361" t="n"/>
      <c r="Z680" s="1379" t="n"/>
      <c r="AA680" s="1361" t="n"/>
      <c r="AB680" s="1361" t="n"/>
      <c r="AC680" s="1361" t="n"/>
      <c r="AD680" s="1361" t="n"/>
      <c r="AE680" s="1379" t="n"/>
      <c r="AF680" s="1361" t="n"/>
      <c r="AG680" s="1361" t="n"/>
      <c r="AH680" s="1361" t="n"/>
      <c r="AI680" s="1361" t="n"/>
      <c r="AJ680" s="1379" t="n"/>
      <c r="AK680" s="1361" t="n"/>
      <c r="AL680" s="1361" t="n"/>
      <c r="AM680" s="1361" t="n"/>
      <c r="AN680" s="1361" t="n"/>
      <c r="AO680" s="1379" t="n"/>
      <c r="AP680" s="1361" t="n"/>
      <c r="AQ680" s="1361" t="n"/>
      <c r="AR680" s="1361" t="n"/>
      <c r="AS680" s="1361" t="n"/>
      <c r="AT680" s="1379" t="n"/>
      <c r="AU680" s="1361" t="n"/>
      <c r="AV680" s="1361" t="n"/>
      <c r="AW680" s="1361" t="n"/>
      <c r="AX680" s="1361" t="n"/>
      <c r="AY680" s="1379" t="n"/>
      <c r="AZ680" s="1361" t="n"/>
      <c r="BA680" s="1361" t="n"/>
      <c r="BB680" s="1361" t="n"/>
      <c r="BC680" s="1361" t="n"/>
      <c r="BD680" s="1379" t="n"/>
      <c r="BE680" s="1361" t="n"/>
      <c r="BF680" s="1361" t="n"/>
      <c r="BG680" s="1361" t="n"/>
      <c r="BH680" s="1361" t="n"/>
      <c r="BI680" s="1379" t="n"/>
      <c r="BJ680" s="1361" t="n"/>
      <c r="BK680" s="1361" t="n"/>
      <c r="BL680" s="1361" t="n"/>
      <c r="BM680" s="1361" t="n"/>
      <c r="BN680" s="1379" t="n"/>
      <c r="BO680" s="1361" t="n"/>
      <c r="BP680" s="1361" t="n"/>
      <c r="BQ680" s="1363" t="n"/>
      <c r="BR680" s="1361">
        <f>IFERROR(IF(AND(BR667=0,BR526&gt;BQ671,BR526&gt;BQ676),BQ672-BQ672*BQ676/BR526*BQ675/BQ672,0),0)</f>
        <v/>
      </c>
      <c r="BS680" s="1379">
        <f>SUM(BO680,BP680,BQ680,BR680)</f>
        <v/>
      </c>
      <c r="BT680" s="1361">
        <f>IFERROR(IF(AND(BT667=0,BT526&gt;BS671,BT526&gt;BS676),BS672-BS672*BS676/BT526*BS675/BS672,0),0)</f>
        <v/>
      </c>
      <c r="BU680" s="1361">
        <f>IFERROR(IF(AND(BU667=0,BU526&gt;BT671,BU526&gt;BT676),BT672-BT672*BT676/BU526*BT675/BT672,0),0)</f>
        <v/>
      </c>
      <c r="BV680" s="1361">
        <f>IFERROR(IF(AND(BV667=0,BV526&gt;BU671,BV526&gt;BU676),BU672-BU672*BU676/BV526*BU675/BU672,0),0)</f>
        <v/>
      </c>
      <c r="BW680" s="1361">
        <f>IFERROR(IF(AND(BW667=0,BW526&gt;BV671,BW526&gt;BV676),BV672-BV672*BV676/BW526*BV675/BV672,0),0)</f>
        <v/>
      </c>
      <c r="BX680" s="1379">
        <f>SUM(BT680,BU680,BV680,BW680)</f>
        <v/>
      </c>
      <c r="BY680" s="1379">
        <f>IFERROR(IF(AND(BY667=0,BY526&gt;BX671,BY526&gt;BX676),BX672-BX672*BX676/BY526*BX675/BX672,0),0)</f>
        <v/>
      </c>
      <c r="BZ680" s="1379">
        <f>IFERROR(IF(AND(BZ667=0,BZ526&gt;BY671,BZ526&gt;BY676),BY672-BY672*BY676/BZ526*BY675/BY672,0),0)</f>
        <v/>
      </c>
      <c r="CA680" s="1379">
        <f>IFERROR(IF(AND(CA667=0,CA526&gt;BZ671,CA526&gt;BZ676),BZ672-BZ672*BZ676/CA526*BZ675/BZ672,0),0)</f>
        <v/>
      </c>
      <c r="CB680" s="1361" t="n"/>
    </row>
    <row r="681" hidden="1" outlineLevel="2" ht="14.4" customFormat="1" customHeight="1" s="1597">
      <c r="A681" s="1361" t="inlineStr">
        <is>
          <t>2023 Notes Cash Payment on Capped Call Exercise</t>
        </is>
      </c>
      <c r="B681" s="1512" t="n"/>
      <c r="C681" s="1379" t="n"/>
      <c r="D681" s="1379" t="n"/>
      <c r="E681" s="1379" t="n"/>
      <c r="F681" s="1379" t="n"/>
      <c r="G681" s="1361" t="n"/>
      <c r="H681" s="1361" t="n"/>
      <c r="I681" s="1361" t="n"/>
      <c r="J681" s="1361" t="n"/>
      <c r="K681" s="1379" t="n"/>
      <c r="L681" s="1361" t="n"/>
      <c r="M681" s="1361" t="n"/>
      <c r="N681" s="1361" t="n"/>
      <c r="O681" s="1361" t="n"/>
      <c r="P681" s="1379" t="n"/>
      <c r="Q681" s="1361" t="n"/>
      <c r="R681" s="1361" t="n"/>
      <c r="S681" s="1361" t="n"/>
      <c r="T681" s="1361" t="n"/>
      <c r="U681" s="1379" t="n"/>
      <c r="V681" s="1361" t="n"/>
      <c r="W681" s="1361" t="n"/>
      <c r="X681" s="1361" t="n"/>
      <c r="Y681" s="1361" t="n"/>
      <c r="Z681" s="1379" t="n"/>
      <c r="AA681" s="1361" t="n"/>
      <c r="AB681" s="1361" t="n"/>
      <c r="AC681" s="1361" t="n"/>
      <c r="AD681" s="1361" t="n"/>
      <c r="AE681" s="1379" t="n"/>
      <c r="AF681" s="1361" t="n"/>
      <c r="AG681" s="1361" t="n"/>
      <c r="AH681" s="1361" t="n"/>
      <c r="AI681" s="1361" t="n"/>
      <c r="AJ681" s="1379" t="n"/>
      <c r="AK681" s="1361" t="n"/>
      <c r="AL681" s="1361" t="n"/>
      <c r="AM681" s="1361" t="n"/>
      <c r="AN681" s="1361" t="n"/>
      <c r="AO681" s="1379" t="n"/>
      <c r="AP681" s="1361" t="n"/>
      <c r="AQ681" s="1361" t="n"/>
      <c r="AR681" s="1361" t="n"/>
      <c r="AS681" s="1361" t="n"/>
      <c r="AT681" s="1379" t="n"/>
      <c r="AU681" s="1361" t="n"/>
      <c r="AV681" s="1361" t="n"/>
      <c r="AW681" s="1361" t="n"/>
      <c r="AX681" s="1361" t="n"/>
      <c r="AY681" s="1379" t="n"/>
      <c r="AZ681" s="1361" t="n"/>
      <c r="BA681" s="1361" t="n"/>
      <c r="BB681" s="1361" t="n"/>
      <c r="BC681" s="1361" t="n"/>
      <c r="BD681" s="1379" t="n"/>
      <c r="BE681" s="1361" t="n"/>
      <c r="BF681" s="1361" t="n"/>
      <c r="BG681" s="1361" t="n"/>
      <c r="BH681" s="1361" t="n"/>
      <c r="BI681" s="1379" t="n"/>
      <c r="BJ681" s="1361" t="n"/>
      <c r="BK681" s="1361" t="n"/>
      <c r="BL681" s="1361" t="n"/>
      <c r="BM681" s="1361" t="n"/>
      <c r="BN681" s="1379" t="n"/>
      <c r="BO681" s="1361" t="n"/>
      <c r="BP681" s="1361" t="n"/>
      <c r="BQ681" s="1363" t="n"/>
      <c r="BR681" s="1361">
        <f>IF(AND(BR667=0,BR526&gt;BQ671),-BQ671*BQ675,0)</f>
        <v/>
      </c>
      <c r="BS681" s="1379">
        <f>SUM(BO681,BP681,BQ681,BR681)</f>
        <v/>
      </c>
      <c r="BT681" s="1361">
        <f>IF(AND(BT667=0,BT526&gt;BS671),-BS671*BS675,0)</f>
        <v/>
      </c>
      <c r="BU681" s="1361">
        <f>IF(AND(BU667=0,BU526&gt;BT671),-BT671*BT675,0)</f>
        <v/>
      </c>
      <c r="BV681" s="1361">
        <f>IF(AND(BV667=0,BV526&gt;BU671),-BU671*BU675,0)</f>
        <v/>
      </c>
      <c r="BW681" s="1361">
        <f>IF(AND(BW667=0,BW526&gt;BV671),-BV671*BV675,0)</f>
        <v/>
      </c>
      <c r="BX681" s="1379">
        <f>SUM(BT681,BU681,BV681,BW681)</f>
        <v/>
      </c>
      <c r="BY681" s="1379">
        <f>IF(AND(BY667=0,BY526&gt;BX671),-BX671*BX675,0)</f>
        <v/>
      </c>
      <c r="BZ681" s="1379">
        <f>IF(AND(BZ667=0,BZ526&gt;BY671),-BY671*BY675,0)</f>
        <v/>
      </c>
      <c r="CA681" s="1379">
        <f>IF(AND(CA667=0,CA526&gt;BZ671),-BZ671*BZ675,0)</f>
        <v/>
      </c>
      <c r="CB681" s="1361" t="n"/>
    </row>
    <row r="682" hidden="1" outlineLevel="2" ht="14.4" customFormat="1" customHeight="1" s="1597">
      <c r="A682" s="1361" t="inlineStr">
        <is>
          <t>2023 Notes Cash Payment on Note Principal Repayment</t>
        </is>
      </c>
      <c r="B682" s="1512" t="n"/>
      <c r="C682" s="1379" t="n"/>
      <c r="D682" s="1379" t="n"/>
      <c r="E682" s="1379" t="n"/>
      <c r="F682" s="1379" t="n"/>
      <c r="G682" s="1361" t="n"/>
      <c r="H682" s="1361" t="n"/>
      <c r="I682" s="1361" t="n"/>
      <c r="J682" s="1361" t="n"/>
      <c r="K682" s="1379" t="n"/>
      <c r="L682" s="1361" t="n"/>
      <c r="M682" s="1361" t="n"/>
      <c r="N682" s="1361" t="n"/>
      <c r="O682" s="1361" t="n"/>
      <c r="P682" s="1379" t="n"/>
      <c r="Q682" s="1361" t="n"/>
      <c r="R682" s="1361" t="n"/>
      <c r="S682" s="1361" t="n"/>
      <c r="T682" s="1361" t="n"/>
      <c r="U682" s="1379" t="n"/>
      <c r="V682" s="1361" t="n"/>
      <c r="W682" s="1361" t="n"/>
      <c r="X682" s="1361" t="n"/>
      <c r="Y682" s="1361" t="n"/>
      <c r="Z682" s="1379" t="n"/>
      <c r="AA682" s="1361" t="n"/>
      <c r="AB682" s="1361" t="n"/>
      <c r="AC682" s="1361" t="n"/>
      <c r="AD682" s="1361" t="n"/>
      <c r="AE682" s="1379" t="n"/>
      <c r="AF682" s="1361" t="n"/>
      <c r="AG682" s="1361" t="n"/>
      <c r="AH682" s="1361" t="n"/>
      <c r="AI682" s="1361" t="n"/>
      <c r="AJ682" s="1379" t="n"/>
      <c r="AK682" s="1361" t="n"/>
      <c r="AL682" s="1361" t="n"/>
      <c r="AM682" s="1361" t="n"/>
      <c r="AN682" s="1361" t="n"/>
      <c r="AO682" s="1379" t="n"/>
      <c r="AP682" s="1361" t="n"/>
      <c r="AQ682" s="1361" t="n"/>
      <c r="AR682" s="1361" t="n"/>
      <c r="AS682" s="1361" t="n"/>
      <c r="AT682" s="1379" t="n"/>
      <c r="AU682" s="1361" t="n"/>
      <c r="AV682" s="1361" t="n"/>
      <c r="AW682" s="1361" t="n"/>
      <c r="AX682" s="1361" t="n"/>
      <c r="AY682" s="1379" t="n"/>
      <c r="AZ682" s="1361" t="n"/>
      <c r="BA682" s="1361" t="n"/>
      <c r="BB682" s="1361" t="n"/>
      <c r="BC682" s="1361" t="n"/>
      <c r="BD682" s="1379" t="n"/>
      <c r="BE682" s="1361" t="n"/>
      <c r="BF682" s="1361" t="n"/>
      <c r="BG682" s="1361" t="n"/>
      <c r="BH682" s="1361" t="n"/>
      <c r="BI682" s="1379" t="n"/>
      <c r="BJ682" s="1361" t="n"/>
      <c r="BK682" s="1361" t="n"/>
      <c r="BL682" s="1361" t="n"/>
      <c r="BM682" s="1361" t="n"/>
      <c r="BN682" s="1379" t="n"/>
      <c r="BO682" s="1361" t="n"/>
      <c r="BP682" s="1361" t="n"/>
      <c r="BQ682" s="1363" t="n"/>
      <c r="BR682" s="1361">
        <f>IF(AND(BR667=0,BR526&lt;=BQ671),-BQ667,0)</f>
        <v/>
      </c>
      <c r="BS682" s="1379">
        <f>SUM(BO682,BP682,BQ682,BR682)</f>
        <v/>
      </c>
      <c r="BT682" s="1361">
        <f>IF(AND(BT667=0,BT526&lt;=BS671),-BS667,0)</f>
        <v/>
      </c>
      <c r="BU682" s="1361">
        <f>IF(AND(BU667=0,BU526&lt;=BT671),-BT667,0)</f>
        <v/>
      </c>
      <c r="BV682" s="1361">
        <f>IF(AND(BV667=0,BV526&lt;=BU671),-BU667,0)</f>
        <v/>
      </c>
      <c r="BW682" s="1361">
        <f>IF(AND(BW667=0,BW526&lt;=BV671),-BV667,0)</f>
        <v/>
      </c>
      <c r="BX682" s="1379">
        <f>SUM(BT682,BU682,BV682,BW682)</f>
        <v/>
      </c>
      <c r="BY682" s="1379">
        <f>IF(AND(BY667=0,BY526&lt;=BX671),-BX667,0)</f>
        <v/>
      </c>
      <c r="BZ682" s="1379">
        <f>IF(AND(BZ667=0,BZ526&lt;=BY671),-BY667,0)</f>
        <v/>
      </c>
      <c r="CA682" s="1379">
        <f>IF(AND(CA667=0,CA526&lt;=BZ671),-BZ667,0)</f>
        <v/>
      </c>
      <c r="CB682" s="1361" t="n"/>
    </row>
    <row r="683" hidden="1" outlineLevel="2" ht="14.4" customFormat="1" customHeight="1" s="1597">
      <c r="A683" s="1361" t="n"/>
      <c r="B683" s="1512" t="n"/>
      <c r="C683" s="1379" t="n"/>
      <c r="D683" s="1379" t="n"/>
      <c r="E683" s="1379" t="n"/>
      <c r="F683" s="1379" t="n"/>
      <c r="G683" s="1361" t="n"/>
      <c r="H683" s="1361" t="n"/>
      <c r="I683" s="1361" t="n"/>
      <c r="J683" s="1361" t="n"/>
      <c r="K683" s="1379" t="n"/>
      <c r="L683" s="1361" t="n"/>
      <c r="M683" s="1361" t="n"/>
      <c r="N683" s="1361" t="n"/>
      <c r="O683" s="1361" t="n"/>
      <c r="P683" s="1379" t="n"/>
      <c r="Q683" s="1361" t="n"/>
      <c r="R683" s="1361" t="n"/>
      <c r="S683" s="1361" t="n"/>
      <c r="T683" s="1361" t="n"/>
      <c r="U683" s="1379" t="n"/>
      <c r="V683" s="1361" t="n"/>
      <c r="W683" s="1361" t="n"/>
      <c r="X683" s="1361" t="n"/>
      <c r="Y683" s="1361" t="n"/>
      <c r="Z683" s="1379" t="n"/>
      <c r="AA683" s="1361" t="n"/>
      <c r="AB683" s="1361" t="n"/>
      <c r="AC683" s="1361" t="n"/>
      <c r="AD683" s="1361" t="n"/>
      <c r="AE683" s="1379" t="n"/>
      <c r="AF683" s="1361" t="n"/>
      <c r="AG683" s="1361" t="n"/>
      <c r="AH683" s="1361" t="n"/>
      <c r="AI683" s="1361" t="n"/>
      <c r="AJ683" s="1379" t="n"/>
      <c r="AK683" s="1361" t="n"/>
      <c r="AL683" s="1361" t="n"/>
      <c r="AM683" s="1361" t="n"/>
      <c r="AN683" s="1361" t="n"/>
      <c r="AO683" s="1379" t="n"/>
      <c r="AP683" s="1361" t="n"/>
      <c r="AQ683" s="1361" t="n"/>
      <c r="AR683" s="1361" t="n"/>
      <c r="AS683" s="1361" t="n"/>
      <c r="AT683" s="1379" t="n"/>
      <c r="AU683" s="1361" t="n"/>
      <c r="AV683" s="1361" t="n"/>
      <c r="AW683" s="1361" t="n"/>
      <c r="AX683" s="1361" t="n"/>
      <c r="AY683" s="1379" t="n"/>
      <c r="AZ683" s="1361" t="n"/>
      <c r="BA683" s="1361" t="n"/>
      <c r="BB683" s="1361" t="n"/>
      <c r="BC683" s="1361" t="n"/>
      <c r="BD683" s="1379" t="n"/>
      <c r="BE683" s="1361" t="n"/>
      <c r="BF683" s="1361" t="n"/>
      <c r="BG683" s="1361" t="n"/>
      <c r="BH683" s="1361" t="n"/>
      <c r="BI683" s="1379" t="n"/>
      <c r="BJ683" s="1361" t="n"/>
      <c r="BK683" s="1361" t="n"/>
      <c r="BL683" s="1361" t="n"/>
      <c r="BM683" s="1361" t="n"/>
      <c r="BN683" s="1379" t="n"/>
      <c r="BO683" s="1361" t="n"/>
      <c r="BP683" s="1361" t="n"/>
      <c r="BQ683" s="1363" t="n"/>
      <c r="BR683" s="1361" t="n"/>
      <c r="BS683" s="1379" t="n"/>
      <c r="BT683" s="1361" t="n"/>
      <c r="BU683" s="1361" t="n"/>
      <c r="BV683" s="1361" t="n"/>
      <c r="BW683" s="1361" t="n"/>
      <c r="BX683" s="1379" t="n"/>
      <c r="BY683" s="1379" t="n"/>
      <c r="BZ683" s="1379" t="n"/>
      <c r="CA683" s="1379" t="n"/>
      <c r="CB683" s="1361" t="n"/>
    </row>
    <row r="684" hidden="1" outlineLevel="2" ht="14.4" customFormat="1" customHeight="1" s="1597">
      <c r="A684" s="1474" t="inlineStr">
        <is>
          <t>20X1 Note Amortization of Debt Issuance Cost</t>
        </is>
      </c>
      <c r="B684" s="1512" t="n"/>
      <c r="C684" s="1379" t="n"/>
      <c r="D684" s="1379" t="n"/>
      <c r="E684" s="1379" t="n"/>
      <c r="F684" s="1379" t="n"/>
      <c r="G684" s="1361" t="n"/>
      <c r="H684" s="1361" t="n"/>
      <c r="I684" s="1361" t="n"/>
      <c r="J684" s="1361" t="n"/>
      <c r="K684" s="1379" t="n"/>
      <c r="L684" s="1361" t="n"/>
      <c r="M684" s="1361" t="n"/>
      <c r="N684" s="1361" t="n"/>
      <c r="O684" s="1361" t="n"/>
      <c r="P684" s="1379" t="n"/>
      <c r="Q684" s="1361" t="n"/>
      <c r="R684" s="1361" t="n"/>
      <c r="S684" s="1361" t="n"/>
      <c r="T684" s="1361" t="n"/>
      <c r="U684" s="1379" t="n"/>
      <c r="V684" s="1361" t="n"/>
      <c r="W684" s="1361" t="n"/>
      <c r="X684" s="1361" t="n"/>
      <c r="Y684" s="1361" t="n"/>
      <c r="Z684" s="1379" t="n"/>
      <c r="AA684" s="1361" t="n"/>
      <c r="AB684" s="1361" t="n"/>
      <c r="AC684" s="1361" t="n"/>
      <c r="AD684" s="1361" t="n"/>
      <c r="AE684" s="1379" t="n"/>
      <c r="AF684" s="1361" t="n"/>
      <c r="AG684" s="1361" t="n"/>
      <c r="AH684" s="1361" t="n"/>
      <c r="AI684" s="1361" t="n"/>
      <c r="AJ684" s="1379" t="n"/>
      <c r="AK684" s="1361" t="n"/>
      <c r="AL684" s="1361" t="n"/>
      <c r="AM684" s="1361" t="n"/>
      <c r="AN684" s="1361" t="n"/>
      <c r="AO684" s="1379" t="n"/>
      <c r="AP684" s="1361" t="n"/>
      <c r="AQ684" s="1361" t="n"/>
      <c r="AR684" s="1361" t="n"/>
      <c r="AS684" s="1361" t="n"/>
      <c r="AT684" s="1379" t="n"/>
      <c r="AU684" s="1361" t="n"/>
      <c r="AV684" s="1361" t="n"/>
      <c r="AW684" s="1361" t="n"/>
      <c r="AX684" s="1361" t="n"/>
      <c r="AY684" s="1379" t="n"/>
      <c r="AZ684" s="1361" t="n"/>
      <c r="BA684" s="1361" t="n"/>
      <c r="BB684" s="1361" t="n"/>
      <c r="BC684" s="1361" t="n"/>
      <c r="BD684" s="1379" t="n"/>
      <c r="BE684" s="1361" t="n"/>
      <c r="BF684" s="1361" t="n"/>
      <c r="BG684" s="1361" t="n"/>
      <c r="BH684" s="1361" t="n"/>
      <c r="BI684" s="1379" t="n"/>
      <c r="BJ684" s="1361" t="n"/>
      <c r="BK684" s="1361" t="n"/>
      <c r="BL684" s="1361" t="n"/>
      <c r="BM684" s="1361" t="n"/>
      <c r="BN684" s="1379" t="n"/>
      <c r="BO684" s="1361" t="n"/>
      <c r="BP684" s="1361" t="n"/>
      <c r="BQ684" s="1363" t="n"/>
      <c r="BR684" s="1361">
        <f>BR601-BQ601</f>
        <v/>
      </c>
      <c r="BS684" s="1379">
        <f>IF(OR(ISBLANK(BO684),ISBLANK(BP684),ISBLANK(BQ684),ISBLANK(BR684)),"n/a",SUM(BO684,BP684,BQ684,BR684))</f>
        <v/>
      </c>
      <c r="BT684" s="1361">
        <f>BT601-BS601</f>
        <v/>
      </c>
      <c r="BU684" s="1361">
        <f>BU601-BT601</f>
        <v/>
      </c>
      <c r="BV684" s="1361">
        <f>BV601-BU601</f>
        <v/>
      </c>
      <c r="BW684" s="1361">
        <f>BW601-BV601</f>
        <v/>
      </c>
      <c r="BX684" s="1379">
        <f>IF(OR(ISBLANK(BT684),ISBLANK(BU684),ISBLANK(BV684),ISBLANK(BW684)),"n/a",SUM(BT684,BU684,BV684,BW684))</f>
        <v/>
      </c>
      <c r="BY684" s="1379">
        <f>BY601-BX601</f>
        <v/>
      </c>
      <c r="BZ684" s="1379">
        <f>BZ601-BY601</f>
        <v/>
      </c>
      <c r="CA684" s="1379">
        <f>CA601-BZ601</f>
        <v/>
      </c>
      <c r="CB684" s="1361" t="n"/>
    </row>
    <row r="685" hidden="1" outlineLevel="2" ht="14.4" customFormat="1" customHeight="1" s="1597">
      <c r="A685" s="1474" t="inlineStr">
        <is>
          <t>2011 Note Amortization of Debt Issuance Cost</t>
        </is>
      </c>
      <c r="B685" s="1512" t="n"/>
      <c r="C685" s="1379" t="n"/>
      <c r="D685" s="1379" t="n"/>
      <c r="E685" s="1379">
        <f>E689-SUM(E686:E688)</f>
        <v/>
      </c>
      <c r="F685" s="1379" t="n"/>
      <c r="G685" s="1361" t="n"/>
      <c r="H685" s="1361" t="n"/>
      <c r="I685" s="1361" t="n"/>
      <c r="J685" s="1361" t="n"/>
      <c r="K685" s="1379" t="n"/>
      <c r="L685" s="1361" t="n"/>
      <c r="M685" s="1361" t="n"/>
      <c r="N685" s="1361" t="n"/>
      <c r="O685" s="1361" t="n"/>
      <c r="P685" s="1379" t="n"/>
      <c r="Q685" s="1361" t="n"/>
      <c r="R685" s="1361" t="n"/>
      <c r="S685" s="1361" t="n"/>
      <c r="T685" s="1361" t="n"/>
      <c r="U685" s="1379" t="n"/>
      <c r="V685" s="1361" t="n"/>
      <c r="W685" s="1361" t="n"/>
      <c r="X685" s="1361" t="n"/>
      <c r="Y685" s="1361" t="n"/>
      <c r="Z685" s="1379" t="n"/>
      <c r="AA685" s="1361" t="n"/>
      <c r="AB685" s="1361" t="n"/>
      <c r="AC685" s="1361" t="n"/>
      <c r="AD685" s="1361" t="n"/>
      <c r="AE685" s="1379" t="n"/>
      <c r="AF685" s="1361" t="n"/>
      <c r="AG685" s="1361" t="n"/>
      <c r="AH685" s="1361" t="n"/>
      <c r="AI685" s="1361" t="n"/>
      <c r="AJ685" s="1379" t="n"/>
      <c r="AK685" s="1361" t="n"/>
      <c r="AL685" s="1361" t="n"/>
      <c r="AM685" s="1361" t="n"/>
      <c r="AN685" s="1361" t="n"/>
      <c r="AO685" s="1379" t="n"/>
      <c r="AP685" s="1361" t="n"/>
      <c r="AQ685" s="1361" t="n"/>
      <c r="AR685" s="1361" t="n"/>
      <c r="AS685" s="1361" t="n"/>
      <c r="AT685" s="1379" t="n"/>
      <c r="AU685" s="1361" t="n"/>
      <c r="AV685" s="1361" t="n"/>
      <c r="AW685" s="1361" t="n"/>
      <c r="AX685" s="1361" t="n"/>
      <c r="AY685" s="1379" t="n"/>
      <c r="AZ685" s="1361" t="n"/>
      <c r="BA685" s="1361" t="n"/>
      <c r="BB685" s="1361" t="n"/>
      <c r="BC685" s="1361" t="n"/>
      <c r="BD685" s="1379" t="n"/>
      <c r="BE685" s="1361" t="n"/>
      <c r="BF685" s="1361" t="n"/>
      <c r="BG685" s="1361" t="n"/>
      <c r="BH685" s="1361" t="n"/>
      <c r="BI685" s="1379" t="n"/>
      <c r="BJ685" s="1361" t="n"/>
      <c r="BK685" s="1361" t="n"/>
      <c r="BL685" s="1361" t="n"/>
      <c r="BM685" s="1361" t="n"/>
      <c r="BN685" s="1379" t="n"/>
      <c r="BO685" s="1361" t="n"/>
      <c r="BP685" s="1361" t="n"/>
      <c r="BQ685" s="1363" t="n"/>
      <c r="BR685" s="1361">
        <f>BR618-BQ618</f>
        <v/>
      </c>
      <c r="BS685" s="1379">
        <f>IF(OR(ISBLANK(BO685),ISBLANK(BP685),ISBLANK(BQ685),ISBLANK(BR685)),"n/a",SUM(BO685,BP685,BQ685,BR685))</f>
        <v/>
      </c>
      <c r="BT685" s="1361">
        <f>BT618-BS618</f>
        <v/>
      </c>
      <c r="BU685" s="1361">
        <f>BU618-BT618</f>
        <v/>
      </c>
      <c r="BV685" s="1361">
        <f>BV618-BU618</f>
        <v/>
      </c>
      <c r="BW685" s="1361">
        <f>BW618-BV618</f>
        <v/>
      </c>
      <c r="BX685" s="1379">
        <f>IF(OR(ISBLANK(BT685),ISBLANK(BU685),ISBLANK(BV685),ISBLANK(BW685)),"n/a",SUM(BT685,BU685,BV685,BW685))</f>
        <v/>
      </c>
      <c r="BY685" s="1379">
        <f>BY618-BX618</f>
        <v/>
      </c>
      <c r="BZ685" s="1379">
        <f>BZ618-BY618</f>
        <v/>
      </c>
      <c r="CA685" s="1379">
        <f>CA618-BZ618</f>
        <v/>
      </c>
      <c r="CB685" s="1361" t="n"/>
    </row>
    <row r="686" hidden="1" outlineLevel="2" ht="14.4" customFormat="1" customHeight="1" s="1597">
      <c r="A686" s="1474" t="inlineStr">
        <is>
          <t>2013 Note Amortization of Debt Issuance Cost</t>
        </is>
      </c>
      <c r="B686" s="1512" t="n"/>
      <c r="C686" s="1379" t="n"/>
      <c r="D686" s="1379" t="n"/>
      <c r="E686" s="1379">
        <f>E634-D634</f>
        <v/>
      </c>
      <c r="F686" s="1379">
        <f>F689-F687-F688</f>
        <v/>
      </c>
      <c r="G686" s="1361">
        <f>G689-G687-G688</f>
        <v/>
      </c>
      <c r="H686" s="1361">
        <f>H689-H687-H688</f>
        <v/>
      </c>
      <c r="I686" s="1361">
        <f>I689-I687-I688</f>
        <v/>
      </c>
      <c r="J686" s="1361">
        <f>J689-J687-J688</f>
        <v/>
      </c>
      <c r="K686" s="1379">
        <f>SUM(G686,H686,I686,J686)</f>
        <v/>
      </c>
      <c r="L686" s="1361" t="n"/>
      <c r="M686" s="1361" t="n"/>
      <c r="N686" s="1361" t="n"/>
      <c r="O686" s="1361" t="n"/>
      <c r="P686" s="1379" t="n"/>
      <c r="Q686" s="1361" t="n"/>
      <c r="R686" s="1361" t="n"/>
      <c r="S686" s="1361" t="n"/>
      <c r="T686" s="1361" t="n"/>
      <c r="U686" s="1379" t="n"/>
      <c r="V686" s="1361" t="n"/>
      <c r="W686" s="1361" t="n"/>
      <c r="X686" s="1361" t="n"/>
      <c r="Y686" s="1361" t="n"/>
      <c r="Z686" s="1379" t="n"/>
      <c r="AA686" s="1361" t="n"/>
      <c r="AB686" s="1361" t="n"/>
      <c r="AC686" s="1361" t="n"/>
      <c r="AD686" s="1361" t="n"/>
      <c r="AE686" s="1379" t="n"/>
      <c r="AF686" s="1361" t="n"/>
      <c r="AG686" s="1361" t="n"/>
      <c r="AH686" s="1361" t="n"/>
      <c r="AI686" s="1361" t="n"/>
      <c r="AJ686" s="1379" t="n"/>
      <c r="AK686" s="1361" t="n"/>
      <c r="AL686" s="1361" t="n"/>
      <c r="AM686" s="1361" t="n"/>
      <c r="AN686" s="1361" t="n"/>
      <c r="AO686" s="1379" t="n"/>
      <c r="AP686" s="1361" t="n"/>
      <c r="AQ686" s="1361" t="n"/>
      <c r="AR686" s="1361" t="n"/>
      <c r="AS686" s="1361" t="n"/>
      <c r="AT686" s="1379" t="n"/>
      <c r="AU686" s="1361" t="n"/>
      <c r="AV686" s="1361" t="n"/>
      <c r="AW686" s="1361" t="n"/>
      <c r="AX686" s="1361" t="n"/>
      <c r="AY686" s="1379" t="n"/>
      <c r="AZ686" s="1361" t="n"/>
      <c r="BA686" s="1361" t="n"/>
      <c r="BB686" s="1361" t="n"/>
      <c r="BC686" s="1361" t="n"/>
      <c r="BD686" s="1379" t="n"/>
      <c r="BE686" s="1361" t="n"/>
      <c r="BF686" s="1361" t="n"/>
      <c r="BG686" s="1361" t="n"/>
      <c r="BH686" s="1361" t="n"/>
      <c r="BI686" s="1379" t="n"/>
      <c r="BJ686" s="1361" t="n"/>
      <c r="BK686" s="1361" t="n"/>
      <c r="BL686" s="1361" t="n"/>
      <c r="BM686" s="1361" t="n"/>
      <c r="BN686" s="1379" t="n"/>
      <c r="BO686" s="1361" t="n"/>
      <c r="BP686" s="1361" t="n"/>
      <c r="BQ686" s="1363" t="n"/>
      <c r="BR686" s="1361">
        <f>BR635-BQ635</f>
        <v/>
      </c>
      <c r="BS686" s="1379">
        <f>IF(OR(ISBLANK(BO686),ISBLANK(BP686),ISBLANK(BQ686),ISBLANK(BR686)),"n/a",SUM(BO686,BP686,BQ686,BR686))</f>
        <v/>
      </c>
      <c r="BT686" s="1361">
        <f>BT635-BS635</f>
        <v/>
      </c>
      <c r="BU686" s="1361">
        <f>BU635-BT635</f>
        <v/>
      </c>
      <c r="BV686" s="1361">
        <f>BV635-BU635</f>
        <v/>
      </c>
      <c r="BW686" s="1361">
        <f>BW635-BV635</f>
        <v/>
      </c>
      <c r="BX686" s="1379">
        <f>IF(OR(ISBLANK(BT686),ISBLANK(BU686),ISBLANK(BV686),ISBLANK(BW686)),"n/a",SUM(BT686,BU686,BV686,BW686))</f>
        <v/>
      </c>
      <c r="BY686" s="1379">
        <f>BY635-BX635</f>
        <v/>
      </c>
      <c r="BZ686" s="1379">
        <f>BZ635-BY635</f>
        <v/>
      </c>
      <c r="CA686" s="1379">
        <f>CA635-BZ635</f>
        <v/>
      </c>
      <c r="CB686" s="1361" t="n"/>
    </row>
    <row r="687" hidden="1" outlineLevel="2" ht="14.4" customFormat="1" customHeight="1" s="1597">
      <c r="A687" s="1474" t="inlineStr">
        <is>
          <t>2015 Note Amortization of Debt Issuance Cost</t>
        </is>
      </c>
      <c r="B687" s="1512" t="n"/>
      <c r="C687" s="1379" t="n"/>
      <c r="D687" s="1379" t="n"/>
      <c r="E687" s="1379">
        <f>E651-D651</f>
        <v/>
      </c>
      <c r="F687" s="1379">
        <f>F651-E651</f>
        <v/>
      </c>
      <c r="G687" s="1361">
        <f>G651-F651</f>
        <v/>
      </c>
      <c r="H687" s="1361">
        <f>H651-G651</f>
        <v/>
      </c>
      <c r="I687" s="1361">
        <f>I651-H651</f>
        <v/>
      </c>
      <c r="J687" s="1361">
        <f>J651-I651</f>
        <v/>
      </c>
      <c r="K687" s="1379">
        <f>SUM(G687,H687,I687,J687)</f>
        <v/>
      </c>
      <c r="L687" s="1361">
        <f>L689</f>
        <v/>
      </c>
      <c r="M687" s="1361">
        <f>M689</f>
        <v/>
      </c>
      <c r="N687" s="1361">
        <f>N689</f>
        <v/>
      </c>
      <c r="O687" s="1361">
        <f>O689</f>
        <v/>
      </c>
      <c r="P687" s="1379">
        <f>SUM(L687,M687,N687,O687)</f>
        <v/>
      </c>
      <c r="Q687" s="1361">
        <f>Q689</f>
        <v/>
      </c>
      <c r="R687" s="1361">
        <f>R689</f>
        <v/>
      </c>
      <c r="S687" s="1361">
        <f>S652-R652</f>
        <v/>
      </c>
      <c r="T687" s="1361">
        <f>T652-S652</f>
        <v/>
      </c>
      <c r="U687" s="1379">
        <f>SUM(Q687,R687,S687,T687)</f>
        <v/>
      </c>
      <c r="V687" s="1361" t="n"/>
      <c r="W687" s="1361" t="n"/>
      <c r="X687" s="1361" t="n"/>
      <c r="Y687" s="1361" t="n"/>
      <c r="Z687" s="1379" t="n"/>
      <c r="AA687" s="1361" t="n"/>
      <c r="AB687" s="1361" t="n"/>
      <c r="AC687" s="1361" t="n"/>
      <c r="AD687" s="1361" t="n"/>
      <c r="AE687" s="1379" t="n"/>
      <c r="AF687" s="1361" t="n"/>
      <c r="AG687" s="1361" t="n"/>
      <c r="AH687" s="1361" t="n"/>
      <c r="AI687" s="1361" t="n"/>
      <c r="AJ687" s="1379" t="n"/>
      <c r="AK687" s="1361" t="n"/>
      <c r="AL687" s="1361" t="n"/>
      <c r="AM687" s="1361" t="n"/>
      <c r="AN687" s="1361" t="n"/>
      <c r="AO687" s="1379" t="n"/>
      <c r="AP687" s="1361" t="n"/>
      <c r="AQ687" s="1361" t="n"/>
      <c r="AR687" s="1361" t="n"/>
      <c r="AS687" s="1361" t="n"/>
      <c r="AT687" s="1379" t="n"/>
      <c r="AU687" s="1361" t="n"/>
      <c r="AV687" s="1361" t="n"/>
      <c r="AW687" s="1361" t="n"/>
      <c r="AX687" s="1361" t="n"/>
      <c r="AY687" s="1379" t="n"/>
      <c r="AZ687" s="1361" t="n"/>
      <c r="BA687" s="1361" t="n"/>
      <c r="BB687" s="1361" t="n"/>
      <c r="BC687" s="1361" t="n"/>
      <c r="BD687" s="1379" t="n"/>
      <c r="BE687" s="1361" t="n"/>
      <c r="BF687" s="1361" t="n"/>
      <c r="BG687" s="1361" t="n"/>
      <c r="BH687" s="1361" t="n"/>
      <c r="BI687" s="1379" t="n"/>
      <c r="BJ687" s="1361" t="n"/>
      <c r="BK687" s="1361" t="n"/>
      <c r="BL687" s="1361" t="n"/>
      <c r="BM687" s="1361" t="n"/>
      <c r="BN687" s="1379" t="n"/>
      <c r="BO687" s="1361" t="n"/>
      <c r="BP687" s="1361" t="n"/>
      <c r="BQ687" s="1363" t="n"/>
      <c r="BR687" s="1361">
        <f>BR652-BQ652</f>
        <v/>
      </c>
      <c r="BS687" s="1379">
        <f>IF(OR(ISBLANK(BO687),ISBLANK(BP687),ISBLANK(BQ687),ISBLANK(BR687)),"n/a",SUM(BO687,BP687,BQ687,BR687))</f>
        <v/>
      </c>
      <c r="BT687" s="1361">
        <f>BT652-BS652</f>
        <v/>
      </c>
      <c r="BU687" s="1361">
        <f>BU652-BT652</f>
        <v/>
      </c>
      <c r="BV687" s="1361">
        <f>BV652-BU652</f>
        <v/>
      </c>
      <c r="BW687" s="1361">
        <f>BW652-BV652</f>
        <v/>
      </c>
      <c r="BX687" s="1379">
        <f>IF(OR(ISBLANK(BT687),ISBLANK(BU687),ISBLANK(BV687),ISBLANK(BW687)),"n/a",SUM(BT687,BU687,BV687,BW687))</f>
        <v/>
      </c>
      <c r="BY687" s="1379">
        <f>BY652-BX652</f>
        <v/>
      </c>
      <c r="BZ687" s="1379">
        <f>BZ652-BY652</f>
        <v/>
      </c>
      <c r="CA687" s="1379">
        <f>CA652-BZ652</f>
        <v/>
      </c>
      <c r="CB687" s="1361" t="n"/>
    </row>
    <row r="688" hidden="1" outlineLevel="2" ht="14.4" customFormat="1" customHeight="1" s="1597">
      <c r="A688" s="1474" t="inlineStr">
        <is>
          <t>2023 Note Amortization of Debt Issuance Cost</t>
        </is>
      </c>
      <c r="B688" s="1512" t="n"/>
      <c r="C688" s="1379" t="n"/>
      <c r="D688" s="1379" t="n"/>
      <c r="E688" s="1379">
        <f>E669-D669</f>
        <v/>
      </c>
      <c r="F688" s="1379">
        <f>F669-E669</f>
        <v/>
      </c>
      <c r="G688" s="1361">
        <f>G669-F669</f>
        <v/>
      </c>
      <c r="H688" s="1361">
        <f>H669-G669</f>
        <v/>
      </c>
      <c r="I688" s="1361">
        <f>I669-H669</f>
        <v/>
      </c>
      <c r="J688" s="1361">
        <f>J669-I669</f>
        <v/>
      </c>
      <c r="K688" s="1379">
        <f>SUM(G688,H688,I688,J688)</f>
        <v/>
      </c>
      <c r="L688" s="1361" t="n"/>
      <c r="M688" s="1361" t="n"/>
      <c r="N688" s="1361" t="n"/>
      <c r="O688" s="1361" t="n"/>
      <c r="P688" s="1379" t="n"/>
      <c r="Q688" s="1361" t="n"/>
      <c r="R688" s="1361" t="n"/>
      <c r="S688" s="1361" t="n"/>
      <c r="T688" s="1361" t="n"/>
      <c r="U688" s="1379" t="n"/>
      <c r="V688" s="1361" t="n"/>
      <c r="W688" s="1361" t="n"/>
      <c r="X688" s="1361" t="n"/>
      <c r="Y688" s="1361" t="n"/>
      <c r="Z688" s="1379" t="n"/>
      <c r="AA688" s="1361" t="n"/>
      <c r="AB688" s="1361" t="n"/>
      <c r="AC688" s="1361" t="n"/>
      <c r="AD688" s="1361" t="n"/>
      <c r="AE688" s="1379" t="n"/>
      <c r="AF688" s="1361" t="n"/>
      <c r="AG688" s="1361" t="n"/>
      <c r="AH688" s="1361" t="n"/>
      <c r="AI688" s="1361" t="n"/>
      <c r="AJ688" s="1379" t="n"/>
      <c r="AK688" s="1361" t="n"/>
      <c r="AL688" s="1361" t="n"/>
      <c r="AM688" s="1361" t="n"/>
      <c r="AN688" s="1361" t="n"/>
      <c r="AO688" s="1379" t="n"/>
      <c r="AP688" s="1361" t="n"/>
      <c r="AQ688" s="1361" t="n"/>
      <c r="AR688" s="1361" t="n"/>
      <c r="AS688" s="1361" t="n"/>
      <c r="AT688" s="1379" t="n"/>
      <c r="AU688" s="1361" t="n"/>
      <c r="AV688" s="1361" t="n"/>
      <c r="AW688" s="1361" t="n"/>
      <c r="AX688" s="1361" t="n"/>
      <c r="AY688" s="1379" t="n"/>
      <c r="AZ688" s="1361" t="n"/>
      <c r="BA688" s="1361" t="n"/>
      <c r="BB688" s="1361" t="n"/>
      <c r="BC688" s="1361" t="n"/>
      <c r="BD688" s="1379" t="n"/>
      <c r="BE688" s="1361" t="n"/>
      <c r="BF688" s="1361" t="n"/>
      <c r="BG688" s="1361" t="n"/>
      <c r="BH688" s="1361" t="n"/>
      <c r="BI688" s="1379" t="n"/>
      <c r="BJ688" s="1361" t="n"/>
      <c r="BK688" s="1361" t="n"/>
      <c r="BL688" s="1361" t="n"/>
      <c r="BM688" s="1361" t="n"/>
      <c r="BN688" s="1379" t="n"/>
      <c r="BO688" s="1361" t="n"/>
      <c r="BP688" s="1361" t="n"/>
      <c r="BQ688" s="1363" t="n"/>
      <c r="BR688" s="1361">
        <f>BR669-BQ669</f>
        <v/>
      </c>
      <c r="BS688" s="1379">
        <f>IF(OR(ISBLANK(BO688),ISBLANK(BP688),ISBLANK(BQ688),ISBLANK(BR688)),"n/a",SUM(BO688,BP688,BQ688,BR688))</f>
        <v/>
      </c>
      <c r="BT688" s="1361">
        <f>BT669-BS669</f>
        <v/>
      </c>
      <c r="BU688" s="1361">
        <f>BU669-BT669</f>
        <v/>
      </c>
      <c r="BV688" s="1361">
        <f>BV669-BU669</f>
        <v/>
      </c>
      <c r="BW688" s="1361">
        <f>BW669-BV669</f>
        <v/>
      </c>
      <c r="BX688" s="1379">
        <f>IF(OR(ISBLANK(BT688),ISBLANK(BU688),ISBLANK(BV688),ISBLANK(BW688)),"n/a",SUM(BT688,BU688,BV688,BW688))</f>
        <v/>
      </c>
      <c r="BY688" s="1379">
        <f>BY669-BX669</f>
        <v/>
      </c>
      <c r="BZ688" s="1379">
        <f>BZ669-BY669</f>
        <v/>
      </c>
      <c r="CA688" s="1379">
        <f>CA669-BZ669</f>
        <v/>
      </c>
      <c r="CB688" s="1361" t="n"/>
    </row>
    <row r="689" hidden="1" outlineLevel="2" ht="14.4" customFormat="1" customHeight="1" s="1597">
      <c r="A689" s="1755" t="inlineStr">
        <is>
          <t>Total Amortization of Debt Issuance Cost</t>
        </is>
      </c>
      <c r="B689" s="1756" t="n"/>
      <c r="C689" s="1757">
        <f>C374</f>
        <v/>
      </c>
      <c r="D689" s="1757">
        <f>D374</f>
        <v/>
      </c>
      <c r="E689" s="1757">
        <f>E374</f>
        <v/>
      </c>
      <c r="F689" s="1757">
        <f>F374</f>
        <v/>
      </c>
      <c r="G689" s="1755">
        <f>G374</f>
        <v/>
      </c>
      <c r="H689" s="1755">
        <f>H374</f>
        <v/>
      </c>
      <c r="I689" s="1755">
        <f>I374</f>
        <v/>
      </c>
      <c r="J689" s="1755">
        <f>J374</f>
        <v/>
      </c>
      <c r="K689" s="1757">
        <f>K374</f>
        <v/>
      </c>
      <c r="L689" s="1755">
        <f>L374</f>
        <v/>
      </c>
      <c r="M689" s="1755">
        <f>M374</f>
        <v/>
      </c>
      <c r="N689" s="1755">
        <f>N374</f>
        <v/>
      </c>
      <c r="O689" s="1755">
        <f>O374</f>
        <v/>
      </c>
      <c r="P689" s="1757">
        <f>P374</f>
        <v/>
      </c>
      <c r="Q689" s="1755">
        <f>Q374</f>
        <v/>
      </c>
      <c r="R689" s="1755">
        <f>R374</f>
        <v/>
      </c>
      <c r="S689" s="1755">
        <f>S374</f>
        <v/>
      </c>
      <c r="T689" s="1755">
        <f>T374</f>
        <v/>
      </c>
      <c r="U689" s="1757">
        <f>U374</f>
        <v/>
      </c>
      <c r="V689" s="1755">
        <f>V374</f>
        <v/>
      </c>
      <c r="W689" s="1755">
        <f>W374</f>
        <v/>
      </c>
      <c r="X689" s="1755">
        <f>X374</f>
        <v/>
      </c>
      <c r="Y689" s="1755">
        <f>Y374</f>
        <v/>
      </c>
      <c r="Z689" s="1757">
        <f>Z374</f>
        <v/>
      </c>
      <c r="AA689" s="1755">
        <f>AA374</f>
        <v/>
      </c>
      <c r="AB689" s="1755">
        <f>AB374</f>
        <v/>
      </c>
      <c r="AC689" s="1755">
        <f>AC374</f>
        <v/>
      </c>
      <c r="AD689" s="1755">
        <f>AD374</f>
        <v/>
      </c>
      <c r="AE689" s="1757">
        <f>AE374</f>
        <v/>
      </c>
      <c r="AF689" s="1755">
        <f>AF374</f>
        <v/>
      </c>
      <c r="AG689" s="1755">
        <f>AG374</f>
        <v/>
      </c>
      <c r="AH689" s="1755">
        <f>AH374</f>
        <v/>
      </c>
      <c r="AI689" s="1755">
        <f>AI374</f>
        <v/>
      </c>
      <c r="AJ689" s="1757">
        <f>AJ374</f>
        <v/>
      </c>
      <c r="AK689" s="1755">
        <f>AK374</f>
        <v/>
      </c>
      <c r="AL689" s="1755">
        <f>AL374</f>
        <v/>
      </c>
      <c r="AM689" s="1755">
        <f>AM374</f>
        <v/>
      </c>
      <c r="AN689" s="1755">
        <f>AN374</f>
        <v/>
      </c>
      <c r="AO689" s="1757">
        <f>AO374</f>
        <v/>
      </c>
      <c r="AP689" s="1755">
        <f>AP374</f>
        <v/>
      </c>
      <c r="AQ689" s="1755">
        <f>AQ374</f>
        <v/>
      </c>
      <c r="AR689" s="1755">
        <f>AR374</f>
        <v/>
      </c>
      <c r="AS689" s="1755">
        <f>AS374</f>
        <v/>
      </c>
      <c r="AT689" s="1757">
        <f>AT374</f>
        <v/>
      </c>
      <c r="AU689" s="1755">
        <f>AU374</f>
        <v/>
      </c>
      <c r="AV689" s="1755">
        <f>AV374</f>
        <v/>
      </c>
      <c r="AW689" s="1755">
        <f>AW374</f>
        <v/>
      </c>
      <c r="AX689" s="1755">
        <f>AX374</f>
        <v/>
      </c>
      <c r="AY689" s="1757">
        <f>AY374</f>
        <v/>
      </c>
      <c r="AZ689" s="1755">
        <f>AZ374</f>
        <v/>
      </c>
      <c r="BA689" s="1755">
        <f>BA374</f>
        <v/>
      </c>
      <c r="BB689" s="1755">
        <f>BB374</f>
        <v/>
      </c>
      <c r="BC689" s="1755">
        <f>BC374</f>
        <v/>
      </c>
      <c r="BD689" s="1757">
        <f>BD374</f>
        <v/>
      </c>
      <c r="BE689" s="1755">
        <f>BE374</f>
        <v/>
      </c>
      <c r="BF689" s="1755">
        <f>BF374</f>
        <v/>
      </c>
      <c r="BG689" s="1755">
        <f>BG374</f>
        <v/>
      </c>
      <c r="BH689" s="1755">
        <f>BH374</f>
        <v/>
      </c>
      <c r="BI689" s="1757">
        <f>BI374</f>
        <v/>
      </c>
      <c r="BJ689" s="1755">
        <f>BJ374</f>
        <v/>
      </c>
      <c r="BK689" s="1755">
        <f>BK374</f>
        <v/>
      </c>
      <c r="BL689" s="1755">
        <f>BL374</f>
        <v/>
      </c>
      <c r="BM689" s="1755">
        <f>BM374</f>
        <v/>
      </c>
      <c r="BN689" s="1757">
        <f>BN374</f>
        <v/>
      </c>
      <c r="BO689" s="1755">
        <f>BO374</f>
        <v/>
      </c>
      <c r="BP689" s="1755">
        <f>BP374</f>
        <v/>
      </c>
      <c r="BQ689" s="1758">
        <f>BQ374</f>
        <v/>
      </c>
      <c r="BR689" s="1755">
        <f>BR684+BR685+BR686+BR687+BR688</f>
        <v/>
      </c>
      <c r="BS689" s="1757">
        <f>IFERROR(BS684+BS685+BS686+BS687+BS688,"N/A")</f>
        <v/>
      </c>
      <c r="BT689" s="1755">
        <f>BT684+BT685+BT686+BT687+BT688</f>
        <v/>
      </c>
      <c r="BU689" s="1755">
        <f>BU684+BU685+BU686+BU687+BU688</f>
        <v/>
      </c>
      <c r="BV689" s="1755">
        <f>BV684+BV685+BV686+BV687+BV688</f>
        <v/>
      </c>
      <c r="BW689" s="1755">
        <f>BW684+BW685+BW686+BW687+BW688</f>
        <v/>
      </c>
      <c r="BX689" s="1757">
        <f>IFERROR(BX684+BX685+BX686+BX687+BX688,"N/A")</f>
        <v/>
      </c>
      <c r="BY689" s="1757">
        <f>BY684+BY685+BY686+BY687+BY688</f>
        <v/>
      </c>
      <c r="BZ689" s="1757">
        <f>BZ684+BZ685+BZ686+BZ687+BZ688</f>
        <v/>
      </c>
      <c r="CA689" s="1757">
        <f>CA684+CA685+CA686+CA687+CA688</f>
        <v/>
      </c>
      <c r="CB689" s="1361" t="n"/>
    </row>
    <row r="690" hidden="1" outlineLevel="2" ht="14.4" customFormat="1" customHeight="1" s="1597">
      <c r="A690" s="1361" t="n"/>
      <c r="B690" s="1512" t="n"/>
      <c r="C690" s="1379" t="n"/>
      <c r="D690" s="1379" t="n"/>
      <c r="E690" s="1379" t="n"/>
      <c r="F690" s="1379" t="n"/>
      <c r="G690" s="1361" t="n"/>
      <c r="H690" s="1361" t="n"/>
      <c r="I690" s="1361" t="n"/>
      <c r="J690" s="1361" t="n"/>
      <c r="K690" s="1379" t="n"/>
      <c r="L690" s="1361" t="n"/>
      <c r="M690" s="1361" t="n"/>
      <c r="N690" s="1361" t="n"/>
      <c r="O690" s="1361" t="n"/>
      <c r="P690" s="1379" t="n"/>
      <c r="Q690" s="1361" t="n"/>
      <c r="R690" s="1361" t="n"/>
      <c r="S690" s="1361" t="n"/>
      <c r="T690" s="1361" t="n"/>
      <c r="U690" s="1379" t="n"/>
      <c r="V690" s="1361" t="n"/>
      <c r="W690" s="1361" t="n"/>
      <c r="X690" s="1361" t="n"/>
      <c r="Y690" s="1361" t="n"/>
      <c r="Z690" s="1379" t="n"/>
      <c r="AA690" s="1361" t="n"/>
      <c r="AB690" s="1361" t="n"/>
      <c r="AC690" s="1361" t="n"/>
      <c r="AD690" s="1361" t="n"/>
      <c r="AE690" s="1379" t="n"/>
      <c r="AF690" s="1361" t="n"/>
      <c r="AG690" s="1361" t="n"/>
      <c r="AH690" s="1361" t="n"/>
      <c r="AI690" s="1361" t="n"/>
      <c r="AJ690" s="1379" t="n"/>
      <c r="AK690" s="1361" t="n"/>
      <c r="AL690" s="1361" t="n"/>
      <c r="AM690" s="1361" t="n"/>
      <c r="AN690" s="1361" t="n"/>
      <c r="AO690" s="1379" t="n"/>
      <c r="AP690" s="1361" t="n"/>
      <c r="AQ690" s="1361" t="n"/>
      <c r="AR690" s="1361" t="n"/>
      <c r="AS690" s="1361" t="n"/>
      <c r="AT690" s="1379" t="n"/>
      <c r="AU690" s="1361" t="n"/>
      <c r="AV690" s="1361" t="n"/>
      <c r="AW690" s="1361" t="n"/>
      <c r="AX690" s="1361" t="n"/>
      <c r="AY690" s="1379" t="n"/>
      <c r="AZ690" s="1361" t="n"/>
      <c r="BA690" s="1361" t="n"/>
      <c r="BB690" s="1361" t="n"/>
      <c r="BC690" s="1361" t="n"/>
      <c r="BD690" s="1379" t="n"/>
      <c r="BE690" s="1361" t="n"/>
      <c r="BF690" s="1361" t="n"/>
      <c r="BG690" s="1361" t="n"/>
      <c r="BH690" s="1361" t="n"/>
      <c r="BI690" s="1379" t="n"/>
      <c r="BJ690" s="1361" t="n"/>
      <c r="BK690" s="1361" t="n"/>
      <c r="BL690" s="1361" t="n"/>
      <c r="BM690" s="1361" t="n"/>
      <c r="BN690" s="1379" t="n"/>
      <c r="BO690" s="1361" t="n"/>
      <c r="BP690" s="1361" t="n"/>
      <c r="BQ690" s="1363" t="n"/>
      <c r="BR690" s="1361" t="n"/>
      <c r="BS690" s="1379" t="n"/>
      <c r="BT690" s="1361" t="n"/>
      <c r="BU690" s="1361" t="n"/>
      <c r="BV690" s="1361" t="n"/>
      <c r="BW690" s="1361" t="n"/>
      <c r="BX690" s="1379" t="n"/>
      <c r="BY690" s="1379" t="n"/>
      <c r="BZ690" s="1379" t="n"/>
      <c r="CA690" s="1379" t="n"/>
      <c r="CB690" s="1361" t="n"/>
    </row>
    <row r="691" hidden="1" outlineLevel="1" collapsed="1" ht="14.4" customFormat="1" customHeight="1" s="1597">
      <c r="A691" s="1361" t="inlineStr">
        <is>
          <t>Total Dilutive Shares from Convertible Notes, mm shares</t>
        </is>
      </c>
      <c r="B691" s="1512" t="n"/>
      <c r="C691" s="1379">
        <f>C605+C622+C639+C656+C673</f>
        <v/>
      </c>
      <c r="D691" s="1379">
        <f>D605+D622+D639+D656+D673</f>
        <v/>
      </c>
      <c r="E691" s="1379">
        <f>E605+E622+E639+E656+E673</f>
        <v/>
      </c>
      <c r="F691" s="1379">
        <f>F605+F622+F639+F656+F673</f>
        <v/>
      </c>
      <c r="G691" s="1361">
        <f>G605+G622+G639+G656+G673</f>
        <v/>
      </c>
      <c r="H691" s="1361">
        <f>H605+H622+H639+H656+H673</f>
        <v/>
      </c>
      <c r="I691" s="1361">
        <f>I605+I622+I639+I656+I673</f>
        <v/>
      </c>
      <c r="J691" s="1361">
        <f>J605+J622+J639+J656+J673</f>
        <v/>
      </c>
      <c r="K691" s="1379">
        <f>K605+K622+K639+K656+K673</f>
        <v/>
      </c>
      <c r="L691" s="1361">
        <f>L605+L622+L639+L656+L673</f>
        <v/>
      </c>
      <c r="M691" s="1361">
        <f>M605+M622+M639+M656+M673</f>
        <v/>
      </c>
      <c r="N691" s="1361">
        <f>N605+N622+N639+N656+N673</f>
        <v/>
      </c>
      <c r="O691" s="1361">
        <f>O605+O622+O639+O656+O673</f>
        <v/>
      </c>
      <c r="P691" s="1379">
        <f>P605+P622+P639+P656+P673</f>
        <v/>
      </c>
      <c r="Q691" s="1361">
        <f>Q605+Q622+Q639+Q656+Q673</f>
        <v/>
      </c>
      <c r="R691" s="1361">
        <f>R605+R622+R639+R656+R673</f>
        <v/>
      </c>
      <c r="S691" s="1361">
        <f>S605+S622+S639+S656+S673</f>
        <v/>
      </c>
      <c r="T691" s="1361">
        <f>T605+T622+T639+T656+T673</f>
        <v/>
      </c>
      <c r="U691" s="1379">
        <f>U605+U622+U639+U656+U673</f>
        <v/>
      </c>
      <c r="V691" s="1361">
        <f>V605+V622+V639+V656+V673</f>
        <v/>
      </c>
      <c r="W691" s="1361">
        <f>W605+W622+W639+W656+W673</f>
        <v/>
      </c>
      <c r="X691" s="1361">
        <f>X605+X622+X639+X656+X673</f>
        <v/>
      </c>
      <c r="Y691" s="1361">
        <f>Y605+Y622+Y639+Y656+Y673</f>
        <v/>
      </c>
      <c r="Z691" s="1379">
        <f>Z605+Z622+Z639+Z656+Z673</f>
        <v/>
      </c>
      <c r="AA691" s="1361">
        <f>AA605+AA622+AA639+AA656+AA673</f>
        <v/>
      </c>
      <c r="AB691" s="1361">
        <f>AB605+AB622+AB639+AB656+AB673</f>
        <v/>
      </c>
      <c r="AC691" s="1361">
        <f>AC605+AC622+AC639+AC656+AC673</f>
        <v/>
      </c>
      <c r="AD691" s="1361">
        <f>AD605+AD622+AD639+AD656+AD673</f>
        <v/>
      </c>
      <c r="AE691" s="1379">
        <f>AE605+AE622+AE639+AE656+AE673</f>
        <v/>
      </c>
      <c r="AF691" s="1361">
        <f>AF605+AF622+AF639+AF656+AF673</f>
        <v/>
      </c>
      <c r="AG691" s="1361">
        <f>AG605+AG622+AG639+AG656+AG673</f>
        <v/>
      </c>
      <c r="AH691" s="1361">
        <f>AH605+AH622+AH639+AH656+AH673</f>
        <v/>
      </c>
      <c r="AI691" s="1361">
        <f>AI605+AI622+AI639+AI656+AI673</f>
        <v/>
      </c>
      <c r="AJ691" s="1379">
        <f>AJ605+AJ622+AJ639+AJ656+AJ673</f>
        <v/>
      </c>
      <c r="AK691" s="1361">
        <f>AK605+AK622+AK639+AK656+AK673</f>
        <v/>
      </c>
      <c r="AL691" s="1361">
        <f>AL605+AL622+AL639+AL656+AL673</f>
        <v/>
      </c>
      <c r="AM691" s="1361">
        <f>AM605+AM622+AM639+AM656+AM673</f>
        <v/>
      </c>
      <c r="AN691" s="1361">
        <f>AN605+AN622+AN639+AN656+AN673</f>
        <v/>
      </c>
      <c r="AO691" s="1379">
        <f>AO605+AO622+AO639+AO656+AO673</f>
        <v/>
      </c>
      <c r="AP691" s="1361">
        <f>AP605+AP622+AP639+AP656+AP673</f>
        <v/>
      </c>
      <c r="AQ691" s="1361">
        <f>AQ605+AQ622+AQ639+AQ656+AQ673</f>
        <v/>
      </c>
      <c r="AR691" s="1361">
        <f>AR605+AR622+AR639+AR656+AR673</f>
        <v/>
      </c>
      <c r="AS691" s="1361">
        <f>AS605+AS622+AS639+AS656+AS673</f>
        <v/>
      </c>
      <c r="AT691" s="1379">
        <f>AT605+AT622+AT639+AT656+AT673</f>
        <v/>
      </c>
      <c r="AU691" s="1361">
        <f>AU605+AU622+AU639+AU656+AU673</f>
        <v/>
      </c>
      <c r="AV691" s="1361">
        <f>AV605+AV622+AV639+AV656+AV673</f>
        <v/>
      </c>
      <c r="AW691" s="1361">
        <f>AW605+AW622+AW639+AW656+AW673</f>
        <v/>
      </c>
      <c r="AX691" s="1361">
        <f>AX605+AX622+AX639+AX656+AX673</f>
        <v/>
      </c>
      <c r="AY691" s="1379">
        <f>AY605+AY622+AY639+AY656+AY673</f>
        <v/>
      </c>
      <c r="AZ691" s="1361">
        <f>AZ605+AZ622+AZ639+AZ656+AZ673</f>
        <v/>
      </c>
      <c r="BA691" s="1361">
        <f>BA605+BA622+BA639+BA656+BA673</f>
        <v/>
      </c>
      <c r="BB691" s="1361">
        <f>BB605+BB622+BB639+BB656+BB673</f>
        <v/>
      </c>
      <c r="BC691" s="1361">
        <f>BC605+BC622+BC639+BC656+BC673</f>
        <v/>
      </c>
      <c r="BD691" s="1379">
        <f>BD605+BD622+BD639+BD656+BD673</f>
        <v/>
      </c>
      <c r="BE691" s="1361">
        <f>BE605+BE622+BE639+BE656+BE673</f>
        <v/>
      </c>
      <c r="BF691" s="1361">
        <f>BF605+BF622+BF639+BF656+BF673</f>
        <v/>
      </c>
      <c r="BG691" s="1361">
        <f>BG605+BG622+BG639+BG656+BG673</f>
        <v/>
      </c>
      <c r="BH691" s="1361">
        <f>BH605+BH622+BH639+BH656+BH673</f>
        <v/>
      </c>
      <c r="BI691" s="1379">
        <f>BI605+BI622+BI639+BI656+BI673</f>
        <v/>
      </c>
      <c r="BJ691" s="1361">
        <f>BJ605+BJ622+BJ639+BJ656+BJ673</f>
        <v/>
      </c>
      <c r="BK691" s="1361">
        <f>BK605+BK622+BK639+BK656+BK673</f>
        <v/>
      </c>
      <c r="BL691" s="1361">
        <f>BL605+BL622+BL639+BL656+BL673</f>
        <v/>
      </c>
      <c r="BM691" s="1361">
        <f>BM605+BM622+BM639+BM656+BM673</f>
        <v/>
      </c>
      <c r="BN691" s="1379">
        <f>BN605+BN622+BN639+BN656+BN673</f>
        <v/>
      </c>
      <c r="BO691" s="1361">
        <f>BO605+BO622+BO639+BO656+BO673</f>
        <v/>
      </c>
      <c r="BP691" s="1361">
        <f>BP605+BP622+BP639+BP656+BP673</f>
        <v/>
      </c>
      <c r="BQ691" s="1363">
        <f>BQ605+BQ622+BQ639+BQ656+BQ673</f>
        <v/>
      </c>
      <c r="BR691" s="1361">
        <f>BR605+BR622+BR639+BR656+BR673</f>
        <v/>
      </c>
      <c r="BS691" s="1379">
        <f>BS605+BS622+BS639+BS656+BS673</f>
        <v/>
      </c>
      <c r="BT691" s="1361">
        <f>BT605+BT622+BT639+BT656+BT673</f>
        <v/>
      </c>
      <c r="BU691" s="1361">
        <f>BU605+BU622+BU639+BU656+BU673</f>
        <v/>
      </c>
      <c r="BV691" s="1361">
        <f>BV605+BV622+BV639+BV656+BV673</f>
        <v/>
      </c>
      <c r="BW691" s="1361">
        <f>BW605+BW622+BW639+BW656+BW673</f>
        <v/>
      </c>
      <c r="BX691" s="1379">
        <f>BX605+BX622+BX639+BX656+BX673</f>
        <v/>
      </c>
      <c r="BY691" s="1379">
        <f>BY605+BY622+BY639+BY656+BY673</f>
        <v/>
      </c>
      <c r="BZ691" s="1379">
        <f>BZ605+BZ622+BZ639+BZ656+BZ673</f>
        <v/>
      </c>
      <c r="CA691" s="1379">
        <f>CA605+CA622+CA639+CA656+CA673</f>
        <v/>
      </c>
      <c r="CB691" s="1361" t="n"/>
    </row>
    <row r="692" hidden="1" outlineLevel="1" ht="14.4" customFormat="1" customHeight="1" s="1597">
      <c r="A692" s="1361" t="inlineStr">
        <is>
          <t>Total Dilutive Offset from Capped Calls, mm shares</t>
        </is>
      </c>
      <c r="B692" s="1512" t="n"/>
      <c r="C692" s="1379">
        <f>C609+C626+C643+C660+C677</f>
        <v/>
      </c>
      <c r="D692" s="1379">
        <f>D609+D626+D643+D660+D677</f>
        <v/>
      </c>
      <c r="E692" s="1379">
        <f>E609+E626+E643+E660+E677</f>
        <v/>
      </c>
      <c r="F692" s="1379">
        <f>F609+F626+F643+F660+F677</f>
        <v/>
      </c>
      <c r="G692" s="1361">
        <f>G609+G626+G643+G660+G677</f>
        <v/>
      </c>
      <c r="H692" s="1361">
        <f>H609+H626+H643+H660+H677</f>
        <v/>
      </c>
      <c r="I692" s="1361">
        <f>I609+I626+I643+I660+I677</f>
        <v/>
      </c>
      <c r="J692" s="1361">
        <f>J609+J626+J643+J660+J677</f>
        <v/>
      </c>
      <c r="K692" s="1379">
        <f>K609+K626+K643+K660+K677</f>
        <v/>
      </c>
      <c r="L692" s="1361">
        <f>L609+L626+L643+L660+L677</f>
        <v/>
      </c>
      <c r="M692" s="1361">
        <f>M609+M626+M643+M660+M677</f>
        <v/>
      </c>
      <c r="N692" s="1361">
        <f>N609+N626+N643+N660+N677</f>
        <v/>
      </c>
      <c r="O692" s="1361">
        <f>O609+O626+O643+O660+O677</f>
        <v/>
      </c>
      <c r="P692" s="1379">
        <f>P609+P626+P643+P660+P677</f>
        <v/>
      </c>
      <c r="Q692" s="1361">
        <f>Q609+Q626+Q643+Q660+Q677</f>
        <v/>
      </c>
      <c r="R692" s="1361">
        <f>R609+R626+R643+R660+R677</f>
        <v/>
      </c>
      <c r="S692" s="1361">
        <f>S609+S626+S643+S660+S677</f>
        <v/>
      </c>
      <c r="T692" s="1361">
        <f>T609+T626+T643+T660+T677</f>
        <v/>
      </c>
      <c r="U692" s="1379">
        <f>U609+U626+U643+U660+U677</f>
        <v/>
      </c>
      <c r="V692" s="1361">
        <f>V609+V626+V643+V660+V677</f>
        <v/>
      </c>
      <c r="W692" s="1361">
        <f>W609+W626+W643+W660+W677</f>
        <v/>
      </c>
      <c r="X692" s="1361">
        <f>X609+X626+X643+X660+X677</f>
        <v/>
      </c>
      <c r="Y692" s="1361">
        <f>Y609+Y626+Y643+Y660+Y677</f>
        <v/>
      </c>
      <c r="Z692" s="1379">
        <f>Z609+Z626+Z643+Z660+Z677</f>
        <v/>
      </c>
      <c r="AA692" s="1361">
        <f>AA609+AA626+AA643+AA660+AA677</f>
        <v/>
      </c>
      <c r="AB692" s="1361">
        <f>AB609+AB626+AB643+AB660+AB677</f>
        <v/>
      </c>
      <c r="AC692" s="1361">
        <f>AC609+AC626+AC643+AC660+AC677</f>
        <v/>
      </c>
      <c r="AD692" s="1361">
        <f>AD609+AD626+AD643+AD660+AD677</f>
        <v/>
      </c>
      <c r="AE692" s="1379">
        <f>AE609+AE626+AE643+AE660+AE677</f>
        <v/>
      </c>
      <c r="AF692" s="1361">
        <f>AF609+AF626+AF643+AF660+AF677</f>
        <v/>
      </c>
      <c r="AG692" s="1361">
        <f>AG609+AG626+AG643+AG660+AG677</f>
        <v/>
      </c>
      <c r="AH692" s="1361">
        <f>AH609+AH626+AH643+AH660+AH677</f>
        <v/>
      </c>
      <c r="AI692" s="1361">
        <f>AI609+AI626+AI643+AI660+AI677</f>
        <v/>
      </c>
      <c r="AJ692" s="1379">
        <f>AJ609+AJ626+AJ643+AJ660+AJ677</f>
        <v/>
      </c>
      <c r="AK692" s="1361">
        <f>AK609+AK626+AK643+AK660+AK677</f>
        <v/>
      </c>
      <c r="AL692" s="1361">
        <f>AL609+AL626+AL643+AL660+AL677</f>
        <v/>
      </c>
      <c r="AM692" s="1361">
        <f>AM609+AM626+AM643+AM660+AM677</f>
        <v/>
      </c>
      <c r="AN692" s="1361">
        <f>AN609+AN626+AN643+AN660+AN677</f>
        <v/>
      </c>
      <c r="AO692" s="1379">
        <f>AO609+AO626+AO643+AO660+AO677</f>
        <v/>
      </c>
      <c r="AP692" s="1361">
        <f>AP609+AP626+AP643+AP660+AP677</f>
        <v/>
      </c>
      <c r="AQ692" s="1361">
        <f>AQ609+AQ626+AQ643+AQ660+AQ677</f>
        <v/>
      </c>
      <c r="AR692" s="1361">
        <f>AR609+AR626+AR643+AR660+AR677</f>
        <v/>
      </c>
      <c r="AS692" s="1361">
        <f>AS609+AS626+AS643+AS660+AS677</f>
        <v/>
      </c>
      <c r="AT692" s="1379">
        <f>AT609+AT626+AT643+AT660+AT677</f>
        <v/>
      </c>
      <c r="AU692" s="1361">
        <f>AU609+AU626+AU643+AU660+AU677</f>
        <v/>
      </c>
      <c r="AV692" s="1361">
        <f>AV609+AV626+AV643+AV660+AV677</f>
        <v/>
      </c>
      <c r="AW692" s="1361">
        <f>AW609+AW626+AW643+AW660+AW677</f>
        <v/>
      </c>
      <c r="AX692" s="1361">
        <f>AX609+AX626+AX643+AX660+AX677</f>
        <v/>
      </c>
      <c r="AY692" s="1379">
        <f>AY609+AY626+AY643+AY660+AY677</f>
        <v/>
      </c>
      <c r="AZ692" s="1361">
        <f>AZ609+AZ626+AZ643+AZ660+AZ677</f>
        <v/>
      </c>
      <c r="BA692" s="1361">
        <f>BA609+BA626+BA643+BA660+BA677</f>
        <v/>
      </c>
      <c r="BB692" s="1361">
        <f>BB609+BB626+BB643+BB660+BB677</f>
        <v/>
      </c>
      <c r="BC692" s="1361">
        <f>BC609+BC626+BC643+BC660+BC677</f>
        <v/>
      </c>
      <c r="BD692" s="1379">
        <f>BD609+BD626+BD643+BD660+BD677</f>
        <v/>
      </c>
      <c r="BE692" s="1361">
        <f>BE609+BE626+BE643+BE660+BE677</f>
        <v/>
      </c>
      <c r="BF692" s="1361">
        <f>BF609+BF626+BF643+BF660+BF677</f>
        <v/>
      </c>
      <c r="BG692" s="1361">
        <f>BG609+BG626+BG643+BG660+BG677</f>
        <v/>
      </c>
      <c r="BH692" s="1361">
        <f>BH609+BH626+BH643+BH660+BH677</f>
        <v/>
      </c>
      <c r="BI692" s="1379">
        <f>BI609+BI626+BI643+BI660+BI677</f>
        <v/>
      </c>
      <c r="BJ692" s="1361">
        <f>BJ609+BJ626+BJ643+BJ660+BJ677</f>
        <v/>
      </c>
      <c r="BK692" s="1361">
        <f>BK609+BK626+BK643+BK660+BK677</f>
        <v/>
      </c>
      <c r="BL692" s="1361">
        <f>BL609+BL626+BL643+BL660+BL677</f>
        <v/>
      </c>
      <c r="BM692" s="1361">
        <f>BM609+BM626+BM643+BM660+BM677</f>
        <v/>
      </c>
      <c r="BN692" s="1379">
        <f>BN609+BN626+BN643+BN660+BN677</f>
        <v/>
      </c>
      <c r="BO692" s="1361">
        <f>BO609+BO626+BO643+BO660+BO677</f>
        <v/>
      </c>
      <c r="BP692" s="1361">
        <f>BP609+BP626+BP643+BP660+BP677</f>
        <v/>
      </c>
      <c r="BQ692" s="1363">
        <f>BQ609+BQ626+BQ643+BQ660+BQ677</f>
        <v/>
      </c>
      <c r="BR692" s="1361">
        <f>BR609+BR626+BR643+BR660+BR677</f>
        <v/>
      </c>
      <c r="BS692" s="1379">
        <f>BS609+BS626+BS643+BS660+BS677</f>
        <v/>
      </c>
      <c r="BT692" s="1361">
        <f>BT609+BT626+BT643+BT660+BT677</f>
        <v/>
      </c>
      <c r="BU692" s="1361">
        <f>BU609+BU626+BU643+BU660+BU677</f>
        <v/>
      </c>
      <c r="BV692" s="1361">
        <f>BV609+BV626+BV643+BV660+BV677</f>
        <v/>
      </c>
      <c r="BW692" s="1361">
        <f>BW609+BW626+BW643+BW660+BW677</f>
        <v/>
      </c>
      <c r="BX692" s="1379">
        <f>BX609+BX626+BX643+BX660+BX677</f>
        <v/>
      </c>
      <c r="BY692" s="1379">
        <f>BY609+BY626+BY643+BY660+BY677</f>
        <v/>
      </c>
      <c r="BZ692" s="1379">
        <f>BZ609+BZ626+BZ643+BZ660+BZ677</f>
        <v/>
      </c>
      <c r="CA692" s="1379">
        <f>CA609+CA626+CA643+CA660+CA677</f>
        <v/>
      </c>
      <c r="CB692" s="1361" t="n"/>
    </row>
    <row r="693" hidden="1" outlineLevel="1" ht="14.4" customFormat="1" customHeight="1" s="1597">
      <c r="A693" s="1361" t="n"/>
      <c r="B693" s="1512" t="n"/>
      <c r="C693" s="1379" t="n"/>
      <c r="D693" s="1379" t="n"/>
      <c r="E693" s="1379" t="n"/>
      <c r="F693" s="1379" t="n"/>
      <c r="G693" s="1361" t="n"/>
      <c r="H693" s="1361" t="n"/>
      <c r="I693" s="1361" t="n"/>
      <c r="J693" s="1361" t="n"/>
      <c r="K693" s="1379" t="n"/>
      <c r="L693" s="1361" t="n"/>
      <c r="M693" s="1361" t="n"/>
      <c r="N693" s="1361" t="n"/>
      <c r="O693" s="1361" t="n"/>
      <c r="P693" s="1379" t="n"/>
      <c r="Q693" s="1361" t="n"/>
      <c r="R693" s="1361" t="n"/>
      <c r="S693" s="1361" t="n"/>
      <c r="T693" s="1361" t="n"/>
      <c r="U693" s="1379" t="n"/>
      <c r="V693" s="1361" t="n"/>
      <c r="W693" s="1361" t="n"/>
      <c r="X693" s="1361" t="n"/>
      <c r="Y693" s="1361" t="n"/>
      <c r="Z693" s="1379" t="n"/>
      <c r="AA693" s="1361" t="n"/>
      <c r="AB693" s="1361" t="n"/>
      <c r="AC693" s="1361" t="n"/>
      <c r="AD693" s="1361" t="n"/>
      <c r="AE693" s="1379" t="n"/>
      <c r="AF693" s="1361" t="n"/>
      <c r="AG693" s="1361" t="n"/>
      <c r="AH693" s="1361" t="n"/>
      <c r="AI693" s="1361" t="n"/>
      <c r="AJ693" s="1379" t="n"/>
      <c r="AK693" s="1361" t="n"/>
      <c r="AL693" s="1361" t="n"/>
      <c r="AM693" s="1361" t="n"/>
      <c r="AN693" s="1361" t="n"/>
      <c r="AO693" s="1379" t="n"/>
      <c r="AP693" s="1361" t="n"/>
      <c r="AQ693" s="1361" t="n"/>
      <c r="AR693" s="1361" t="n"/>
      <c r="AS693" s="1361" t="n"/>
      <c r="AT693" s="1379" t="n"/>
      <c r="AU693" s="1361" t="n"/>
      <c r="AV693" s="1361" t="n"/>
      <c r="AW693" s="1361" t="n"/>
      <c r="AX693" s="1361" t="n"/>
      <c r="AY693" s="1379" t="n"/>
      <c r="AZ693" s="1361" t="n"/>
      <c r="BA693" s="1361" t="n"/>
      <c r="BB693" s="1361" t="n"/>
      <c r="BC693" s="1361" t="n"/>
      <c r="BD693" s="1379" t="n"/>
      <c r="BE693" s="1361" t="n"/>
      <c r="BF693" s="1361" t="n"/>
      <c r="BG693" s="1361" t="n"/>
      <c r="BH693" s="1361" t="n"/>
      <c r="BI693" s="1379" t="n"/>
      <c r="BJ693" s="1361" t="n"/>
      <c r="BK693" s="1361" t="n"/>
      <c r="BL693" s="1361" t="n"/>
      <c r="BM693" s="1361" t="n"/>
      <c r="BN693" s="1379" t="n"/>
      <c r="BO693" s="1361" t="n"/>
      <c r="BP693" s="1361" t="n"/>
      <c r="BQ693" s="1363" t="n"/>
      <c r="BR693" s="1361" t="n"/>
      <c r="BS693" s="1379" t="n"/>
      <c r="BT693" s="1361" t="n"/>
      <c r="BU693" s="1361" t="n"/>
      <c r="BV693" s="1361" t="n"/>
      <c r="BW693" s="1361" t="n"/>
      <c r="BX693" s="1379" t="n"/>
      <c r="BY693" s="1379" t="n"/>
      <c r="BZ693" s="1379" t="n"/>
      <c r="CA693" s="1379" t="n"/>
      <c r="CB693" s="1361" t="n"/>
    </row>
    <row r="694" hidden="1" outlineLevel="1" ht="15" customFormat="1" customHeight="1" s="1706">
      <c r="A694" s="1759" t="inlineStr">
        <is>
          <t>EoP Canalyst Fully Diluted Shares Outstanding, mm shares</t>
        </is>
      </c>
      <c r="B694" s="1517" t="n"/>
      <c r="C694" s="1449">
        <f>C530+C596+C691+C692</f>
        <v/>
      </c>
      <c r="D694" s="1449">
        <f>D530+D596+D691+D692</f>
        <v/>
      </c>
      <c r="E694" s="1449">
        <f>E530+E596+E691+E692</f>
        <v/>
      </c>
      <c r="F694" s="1449">
        <f>F530+F596+F691+F692</f>
        <v/>
      </c>
      <c r="G694" s="1450">
        <f>G530+G596+G691+G692</f>
        <v/>
      </c>
      <c r="H694" s="1450">
        <f>H530+H596+H691+H692</f>
        <v/>
      </c>
      <c r="I694" s="1450">
        <f>I530+I596+I691+I692</f>
        <v/>
      </c>
      <c r="J694" s="1450">
        <f>J530+J596+J691+J692</f>
        <v/>
      </c>
      <c r="K694" s="1449">
        <f>K530+K596+K691+K692</f>
        <v/>
      </c>
      <c r="L694" s="1450">
        <f>L530+L596+L691+L692</f>
        <v/>
      </c>
      <c r="M694" s="1450">
        <f>M530+M596+M691+M692</f>
        <v/>
      </c>
      <c r="N694" s="1450">
        <f>N530+N596+N691+N692</f>
        <v/>
      </c>
      <c r="O694" s="1450">
        <f>O530+O596+O691+O692</f>
        <v/>
      </c>
      <c r="P694" s="1449">
        <f>P530+P596+P691+P692</f>
        <v/>
      </c>
      <c r="Q694" s="1450">
        <f>Q530+Q596+Q691+Q692</f>
        <v/>
      </c>
      <c r="R694" s="1450">
        <f>R530+R596+R691+R692</f>
        <v/>
      </c>
      <c r="S694" s="1450">
        <f>S530+S596+S691+S692</f>
        <v/>
      </c>
      <c r="T694" s="1450">
        <f>T530+T596+T691+T692</f>
        <v/>
      </c>
      <c r="U694" s="1449">
        <f>U530+U596+U691+U692</f>
        <v/>
      </c>
      <c r="V694" s="1450">
        <f>V530+V596+V691+V692</f>
        <v/>
      </c>
      <c r="W694" s="1450">
        <f>W530+W596+W691+W692</f>
        <v/>
      </c>
      <c r="X694" s="1450">
        <f>X530+X596+X691+X692</f>
        <v/>
      </c>
      <c r="Y694" s="1450">
        <f>Y530+Y596+Y691+Y692</f>
        <v/>
      </c>
      <c r="Z694" s="1449">
        <f>Z530+Z596+Z691+Z692</f>
        <v/>
      </c>
      <c r="AA694" s="1450">
        <f>AA530+AA596+AA691+AA692</f>
        <v/>
      </c>
      <c r="AB694" s="1450">
        <f>AB530+AB596+AB691+AB692</f>
        <v/>
      </c>
      <c r="AC694" s="1450">
        <f>AC530+AC596+AC691+AC692</f>
        <v/>
      </c>
      <c r="AD694" s="1450">
        <f>AD530+AD596+AD691+AD692</f>
        <v/>
      </c>
      <c r="AE694" s="1449">
        <f>AE530+AE596+AE691+AE692</f>
        <v/>
      </c>
      <c r="AF694" s="1450">
        <f>AF530+AF596+AF691+AF692</f>
        <v/>
      </c>
      <c r="AG694" s="1450">
        <f>AG530+AG596+AG691+AG692</f>
        <v/>
      </c>
      <c r="AH694" s="1450">
        <f>AH530+AH596+AH691+AH692</f>
        <v/>
      </c>
      <c r="AI694" s="1450">
        <f>AI530+AI596+AI691+AI692</f>
        <v/>
      </c>
      <c r="AJ694" s="1449">
        <f>AJ530+AJ596+AJ691+AJ692</f>
        <v/>
      </c>
      <c r="AK694" s="1450">
        <f>AK530+AK596+AK691+AK692</f>
        <v/>
      </c>
      <c r="AL694" s="1450">
        <f>AL530+AL596+AL691+AL692</f>
        <v/>
      </c>
      <c r="AM694" s="1450">
        <f>AM530+AM596+AM691+AM692</f>
        <v/>
      </c>
      <c r="AN694" s="1450">
        <f>AN530+AN596+AN691+AN692</f>
        <v/>
      </c>
      <c r="AO694" s="1449">
        <f>AO530+AO596+AO691+AO692</f>
        <v/>
      </c>
      <c r="AP694" s="1450">
        <f>AP530+AP596+AP691+AP692</f>
        <v/>
      </c>
      <c r="AQ694" s="1450">
        <f>AQ530+AQ596+AQ691+AQ692</f>
        <v/>
      </c>
      <c r="AR694" s="1450">
        <f>AR530+AR596+AR691+AR692</f>
        <v/>
      </c>
      <c r="AS694" s="1450">
        <f>AS530+AS596+AS691+AS692</f>
        <v/>
      </c>
      <c r="AT694" s="1449">
        <f>AT530+AT596+AT691+AT692</f>
        <v/>
      </c>
      <c r="AU694" s="1450">
        <f>AU530+AU596+AU691+AU692</f>
        <v/>
      </c>
      <c r="AV694" s="1450">
        <f>AV530+AV596+AV691+AV692</f>
        <v/>
      </c>
      <c r="AW694" s="1450">
        <f>AW530+AW596+AW691+AW692</f>
        <v/>
      </c>
      <c r="AX694" s="1450">
        <f>AX530+AX596+AX691+AX692</f>
        <v/>
      </c>
      <c r="AY694" s="1449">
        <f>AY530+AY596+AY691+AY692</f>
        <v/>
      </c>
      <c r="AZ694" s="1450">
        <f>AZ530+AZ596+AZ691+AZ692</f>
        <v/>
      </c>
      <c r="BA694" s="1450">
        <f>BA530+BA596+BA691+BA692</f>
        <v/>
      </c>
      <c r="BB694" s="1450">
        <f>BB530+BB596+BB691+BB692</f>
        <v/>
      </c>
      <c r="BC694" s="1450">
        <f>BC530+BC596+BC691+BC692</f>
        <v/>
      </c>
      <c r="BD694" s="1449">
        <f>BD530+BD596+BD691+BD692</f>
        <v/>
      </c>
      <c r="BE694" s="1450">
        <f>BE530+BE596+BE691+BE692</f>
        <v/>
      </c>
      <c r="BF694" s="1450">
        <f>BF530+BF596+BF691+BF692</f>
        <v/>
      </c>
      <c r="BG694" s="1450">
        <f>BG530+BG596+BG691+BG692</f>
        <v/>
      </c>
      <c r="BH694" s="1450">
        <f>BH530+BH596+BH691+BH692</f>
        <v/>
      </c>
      <c r="BI694" s="1449">
        <f>BI530+BI596+BI691+BI692</f>
        <v/>
      </c>
      <c r="BJ694" s="1450">
        <f>BJ530+BJ596+BJ691+BJ692</f>
        <v/>
      </c>
      <c r="BK694" s="1450">
        <f>BK530+BK596+BK691+BK692</f>
        <v/>
      </c>
      <c r="BL694" s="1450">
        <f>BL530+BL596+BL691+BL692</f>
        <v/>
      </c>
      <c r="BM694" s="1450">
        <f>BM530+BM596+BM691+BM692</f>
        <v/>
      </c>
      <c r="BN694" s="1449">
        <f>BN530+BN596+BN691+BN692</f>
        <v/>
      </c>
      <c r="BO694" s="1450">
        <f>BO530+BO596+BO691+BO692</f>
        <v/>
      </c>
      <c r="BP694" s="1450">
        <f>BP530+BP596+BP691+BP692</f>
        <v/>
      </c>
      <c r="BQ694" s="1451">
        <f>BQ530+BQ596+BQ691+BQ692</f>
        <v/>
      </c>
      <c r="BR694" s="1450">
        <f>BR530+BR596+BR691+BR692</f>
        <v/>
      </c>
      <c r="BS694" s="1449">
        <f>BS530+BS596+BS691+BS692</f>
        <v/>
      </c>
      <c r="BT694" s="1450">
        <f>BT530+BT596+BT691+BT692</f>
        <v/>
      </c>
      <c r="BU694" s="1450">
        <f>BU530+BU596+BU691+BU692</f>
        <v/>
      </c>
      <c r="BV694" s="1450">
        <f>BV530+BV596+BV691+BV692</f>
        <v/>
      </c>
      <c r="BW694" s="1450">
        <f>BW530+BW596+BW691+BW692</f>
        <v/>
      </c>
      <c r="BX694" s="1449">
        <f>BX530+BX596+BX691+BX692</f>
        <v/>
      </c>
      <c r="BY694" s="1449">
        <f>BY530+BY596+BY691+BY692</f>
        <v/>
      </c>
      <c r="BZ694" s="1449">
        <f>BZ530+BZ596+BZ691+BZ692</f>
        <v/>
      </c>
      <c r="CA694" s="1449">
        <f>CA530+CA596+CA691+CA692</f>
        <v/>
      </c>
      <c r="CB694" s="1361" t="n"/>
    </row>
    <row r="695" hidden="1" outlineLevel="2" ht="15" customFormat="1" customHeight="1" s="1706">
      <c r="A695" s="1450" t="n"/>
      <c r="B695" s="1517" t="n"/>
      <c r="C695" s="1449" t="n"/>
      <c r="D695" s="1449" t="n"/>
      <c r="E695" s="1449" t="n"/>
      <c r="F695" s="1449" t="n"/>
      <c r="G695" s="1450" t="n"/>
      <c r="H695" s="1450" t="n"/>
      <c r="I695" s="1450" t="n"/>
      <c r="J695" s="1450" t="n"/>
      <c r="K695" s="1449" t="n"/>
      <c r="L695" s="1450" t="n"/>
      <c r="M695" s="1450" t="n"/>
      <c r="N695" s="1450" t="n"/>
      <c r="O695" s="1450" t="n"/>
      <c r="P695" s="1449" t="n"/>
      <c r="Q695" s="1450" t="n"/>
      <c r="R695" s="1450" t="n"/>
      <c r="S695" s="1450" t="n"/>
      <c r="T695" s="1450" t="n"/>
      <c r="U695" s="1449" t="n"/>
      <c r="V695" s="1450" t="n"/>
      <c r="W695" s="1450" t="n"/>
      <c r="X695" s="1450" t="n"/>
      <c r="Y695" s="1450" t="n"/>
      <c r="Z695" s="1449" t="n"/>
      <c r="AA695" s="1450" t="n"/>
      <c r="AB695" s="1450" t="n"/>
      <c r="AC695" s="1450" t="n"/>
      <c r="AD695" s="1450" t="n"/>
      <c r="AE695" s="1449" t="n"/>
      <c r="AF695" s="1450" t="n"/>
      <c r="AG695" s="1450" t="n"/>
      <c r="AH695" s="1450" t="n"/>
      <c r="AI695" s="1450" t="n"/>
      <c r="AJ695" s="1449" t="n"/>
      <c r="AK695" s="1450" t="n"/>
      <c r="AL695" s="1450" t="n"/>
      <c r="AM695" s="1450" t="n"/>
      <c r="AN695" s="1450" t="n"/>
      <c r="AO695" s="1449" t="n"/>
      <c r="AP695" s="1450" t="n"/>
      <c r="AQ695" s="1450" t="n"/>
      <c r="AR695" s="1450" t="n"/>
      <c r="AS695" s="1450" t="n"/>
      <c r="AT695" s="1449" t="n"/>
      <c r="AU695" s="1450" t="n"/>
      <c r="AV695" s="1450" t="n"/>
      <c r="AW695" s="1450" t="n"/>
      <c r="AX695" s="1450" t="n"/>
      <c r="AY695" s="1449" t="n"/>
      <c r="AZ695" s="1450" t="n"/>
      <c r="BA695" s="1450" t="n"/>
      <c r="BB695" s="1450" t="n"/>
      <c r="BC695" s="1450" t="n"/>
      <c r="BD695" s="1449" t="n"/>
      <c r="BE695" s="1450" t="n"/>
      <c r="BF695" s="1450" t="n"/>
      <c r="BG695" s="1450" t="n"/>
      <c r="BH695" s="1450" t="n"/>
      <c r="BI695" s="1449" t="n"/>
      <c r="BJ695" s="1450" t="n"/>
      <c r="BK695" s="1450" t="n"/>
      <c r="BL695" s="1450" t="n"/>
      <c r="BM695" s="1450" t="n"/>
      <c r="BN695" s="1449" t="n"/>
      <c r="BO695" s="1450" t="n"/>
      <c r="BP695" s="1450" t="n"/>
      <c r="BQ695" s="1451" t="n"/>
      <c r="BR695" s="1450" t="n"/>
      <c r="BS695" s="1449" t="n"/>
      <c r="BT695" s="1450" t="n"/>
      <c r="BU695" s="1450" t="n"/>
      <c r="BV695" s="1450" t="n"/>
      <c r="BW695" s="1450" t="n"/>
      <c r="BX695" s="1449" t="n"/>
      <c r="BY695" s="1449" t="n"/>
      <c r="BZ695" s="1449" t="n"/>
      <c r="CA695" s="1449" t="n"/>
      <c r="CB695" s="1361" t="n"/>
    </row>
    <row r="696" hidden="1" outlineLevel="2" ht="15" customFormat="1" customHeight="1" s="1706">
      <c r="A696" s="1450" t="inlineStr">
        <is>
          <t>Cover Page Canalyst Fully Dilutive Shares Outstanding, mm shares</t>
        </is>
      </c>
      <c r="B696" s="1760" t="n"/>
      <c r="C696" s="1449">
        <f>C539+C596+C691+C692</f>
        <v/>
      </c>
      <c r="D696" s="1449">
        <f>D539+D596+D691+D692</f>
        <v/>
      </c>
      <c r="E696" s="1449">
        <f>E539+E596+E691+E692</f>
        <v/>
      </c>
      <c r="F696" s="1449">
        <f>F539+F596+F691+F692</f>
        <v/>
      </c>
      <c r="G696" s="1450">
        <f>G539+G596+G691+G692</f>
        <v/>
      </c>
      <c r="H696" s="1450">
        <f>H539+H596+H691+H692</f>
        <v/>
      </c>
      <c r="I696" s="1450">
        <f>I539+I596+I691+I692</f>
        <v/>
      </c>
      <c r="J696" s="1450">
        <f>J539+J596+J691+J692</f>
        <v/>
      </c>
      <c r="K696" s="1449">
        <f>K539+K596+K691+K692</f>
        <v/>
      </c>
      <c r="L696" s="1450">
        <f>L539+L596+L691+L692</f>
        <v/>
      </c>
      <c r="M696" s="1450">
        <f>M539+M596+M691+M692</f>
        <v/>
      </c>
      <c r="N696" s="1450">
        <f>N539+N596+N691+N692</f>
        <v/>
      </c>
      <c r="O696" s="1450">
        <f>O539+O596+O691+O692</f>
        <v/>
      </c>
      <c r="P696" s="1449">
        <f>P539+P596+P691+P692</f>
        <v/>
      </c>
      <c r="Q696" s="1450">
        <f>Q539+Q596+Q691+Q692</f>
        <v/>
      </c>
      <c r="R696" s="1450">
        <f>R539+R596+R691+R692</f>
        <v/>
      </c>
      <c r="S696" s="1450">
        <f>S539+S596+S691+S692</f>
        <v/>
      </c>
      <c r="T696" s="1450">
        <f>T539+T596+T691+T692</f>
        <v/>
      </c>
      <c r="U696" s="1449">
        <f>U539+U596+U691+U692</f>
        <v/>
      </c>
      <c r="V696" s="1450">
        <f>V539+V596+V691+V692</f>
        <v/>
      </c>
      <c r="W696" s="1450">
        <f>W539+W596+W691+W692</f>
        <v/>
      </c>
      <c r="X696" s="1450">
        <f>X539+X596+X691+X692</f>
        <v/>
      </c>
      <c r="Y696" s="1450">
        <f>Y539+Y596+Y691+Y692</f>
        <v/>
      </c>
      <c r="Z696" s="1449">
        <f>Z539+Z596+Z691+Z692</f>
        <v/>
      </c>
      <c r="AA696" s="1450">
        <f>AA539+AA596+AA691+AA692</f>
        <v/>
      </c>
      <c r="AB696" s="1450">
        <f>AB539+AB596+AB691+AB692</f>
        <v/>
      </c>
      <c r="AC696" s="1450">
        <f>AC539+AC596+AC691+AC692</f>
        <v/>
      </c>
      <c r="AD696" s="1450">
        <f>AD539+AD596+AD691+AD692</f>
        <v/>
      </c>
      <c r="AE696" s="1449">
        <f>AE539+AE596+AE691+AE692</f>
        <v/>
      </c>
      <c r="AF696" s="1450">
        <f>AF539+AF596+AF691+AF692</f>
        <v/>
      </c>
      <c r="AG696" s="1450">
        <f>AG539+AG596+AG691+AG692</f>
        <v/>
      </c>
      <c r="AH696" s="1450">
        <f>AH539+AH596+AH691+AH692</f>
        <v/>
      </c>
      <c r="AI696" s="1450">
        <f>AI539+AI596+AI691+AI692</f>
        <v/>
      </c>
      <c r="AJ696" s="1449">
        <f>AJ539+AJ596+AJ691+AJ692</f>
        <v/>
      </c>
      <c r="AK696" s="1450">
        <f>AK539+AK596+AK691+AK692</f>
        <v/>
      </c>
      <c r="AL696" s="1450">
        <f>AL539+AL596+AL691+AL692</f>
        <v/>
      </c>
      <c r="AM696" s="1450">
        <f>AM539+AM596+AM691+AM692</f>
        <v/>
      </c>
      <c r="AN696" s="1450">
        <f>AN539+AN596+AN691+AN692</f>
        <v/>
      </c>
      <c r="AO696" s="1449">
        <f>AO539+AO596+AO691+AO692</f>
        <v/>
      </c>
      <c r="AP696" s="1450">
        <f>AP539+AP596+AP691+AP692</f>
        <v/>
      </c>
      <c r="AQ696" s="1450">
        <f>AQ539+AQ596+AQ691+AQ692</f>
        <v/>
      </c>
      <c r="AR696" s="1450">
        <f>AR539+AR596+AR691+AR692</f>
        <v/>
      </c>
      <c r="AS696" s="1450">
        <f>AS539+AS596+AS691+AS692</f>
        <v/>
      </c>
      <c r="AT696" s="1449">
        <f>AT539+AT596+AT691+AT692</f>
        <v/>
      </c>
      <c r="AU696" s="1450">
        <f>AU539+AU596+AU691+AU692</f>
        <v/>
      </c>
      <c r="AV696" s="1450">
        <f>AV539+AV596+AV691+AV692</f>
        <v/>
      </c>
      <c r="AW696" s="1450">
        <f>AW539+AW596+AW691+AW692</f>
        <v/>
      </c>
      <c r="AX696" s="1450">
        <f>AX539+AX596+AX691+AX692</f>
        <v/>
      </c>
      <c r="AY696" s="1449">
        <f>AY539+AY596+AY691+AY692</f>
        <v/>
      </c>
      <c r="AZ696" s="1450">
        <f>AZ539+AZ596+AZ691+AZ692</f>
        <v/>
      </c>
      <c r="BA696" s="1450">
        <f>BA539+BA596+BA691+BA692</f>
        <v/>
      </c>
      <c r="BB696" s="1450">
        <f>BB539+BB596+BB691+BB692</f>
        <v/>
      </c>
      <c r="BC696" s="1450">
        <f>BC539+BC596+BC691+BC692</f>
        <v/>
      </c>
      <c r="BD696" s="1449">
        <f>BD539+BD596+BD691+BD692</f>
        <v/>
      </c>
      <c r="BE696" s="1450">
        <f>BE539+BE596+BE691+BE692</f>
        <v/>
      </c>
      <c r="BF696" s="1450">
        <f>BF539+BF596+BF691+BF692</f>
        <v/>
      </c>
      <c r="BG696" s="1450">
        <f>BG539+BG596+BG691+BG692</f>
        <v/>
      </c>
      <c r="BH696" s="1450">
        <f>BH539+BH596+BH691+BH692</f>
        <v/>
      </c>
      <c r="BI696" s="1449">
        <f>BI539+BI596+BI691+BI692</f>
        <v/>
      </c>
      <c r="BJ696" s="1450">
        <f>BJ539+BJ596+BJ691+BJ692</f>
        <v/>
      </c>
      <c r="BK696" s="1450">
        <f>BK539+BK596+BK691+BK692</f>
        <v/>
      </c>
      <c r="BL696" s="1450">
        <f>BL539+BL596+BL691+BL692</f>
        <v/>
      </c>
      <c r="BM696" s="1450">
        <f>BM539+BM596+BM691+BM692</f>
        <v/>
      </c>
      <c r="BN696" s="1449">
        <f>BN539+BN596+BN691+BN692</f>
        <v/>
      </c>
      <c r="BO696" s="1450">
        <f>BO539+BO596+BO691+BO692</f>
        <v/>
      </c>
      <c r="BP696" s="1450">
        <f>BP539+BP596+BP691+BP692</f>
        <v/>
      </c>
      <c r="BQ696" s="1451">
        <f>BQ539+BQ596+BQ691+BQ692</f>
        <v/>
      </c>
      <c r="BR696" s="1450" t="n"/>
      <c r="BS696" s="1449" t="n"/>
      <c r="BT696" s="1450" t="n"/>
      <c r="BU696" s="1450" t="n"/>
      <c r="BV696" s="1450" t="n"/>
      <c r="BW696" s="1450" t="n"/>
      <c r="BX696" s="1449" t="n"/>
      <c r="BY696" s="1449" t="n"/>
      <c r="BZ696" s="1449" t="n"/>
      <c r="CA696" s="1449" t="n"/>
      <c r="CB696" s="1684" t="n"/>
    </row>
    <row r="697" hidden="1" outlineLevel="1" collapsed="1" ht="15" customFormat="1" customHeight="1" s="1706">
      <c r="A697" s="1450" t="n"/>
      <c r="B697" s="1517" t="n"/>
      <c r="C697" s="1449" t="n"/>
      <c r="D697" s="1449" t="n"/>
      <c r="E697" s="1449" t="n"/>
      <c r="F697" s="1449" t="n"/>
      <c r="G697" s="1450" t="n"/>
      <c r="H697" s="1450" t="n"/>
      <c r="I697" s="1450" t="n"/>
      <c r="J697" s="1450" t="n"/>
      <c r="K697" s="1449" t="n"/>
      <c r="L697" s="1450" t="n"/>
      <c r="M697" s="1450" t="n"/>
      <c r="N697" s="1450" t="n"/>
      <c r="O697" s="1450" t="n"/>
      <c r="P697" s="1449" t="n"/>
      <c r="Q697" s="1450" t="n"/>
      <c r="R697" s="1450" t="n"/>
      <c r="S697" s="1450" t="n"/>
      <c r="T697" s="1450" t="n"/>
      <c r="U697" s="1449" t="n"/>
      <c r="V697" s="1450" t="n"/>
      <c r="W697" s="1450" t="n"/>
      <c r="X697" s="1450" t="n"/>
      <c r="Y697" s="1450" t="n"/>
      <c r="Z697" s="1449" t="n"/>
      <c r="AA697" s="1450" t="n"/>
      <c r="AB697" s="1450" t="n"/>
      <c r="AC697" s="1450" t="n"/>
      <c r="AD697" s="1450" t="n"/>
      <c r="AE697" s="1449" t="n"/>
      <c r="AF697" s="1450" t="n"/>
      <c r="AG697" s="1450" t="n"/>
      <c r="AH697" s="1450" t="n"/>
      <c r="AI697" s="1450" t="n"/>
      <c r="AJ697" s="1449" t="n"/>
      <c r="AK697" s="1450" t="n"/>
      <c r="AL697" s="1450" t="n"/>
      <c r="AM697" s="1450" t="n"/>
      <c r="AN697" s="1450" t="n"/>
      <c r="AO697" s="1449" t="n"/>
      <c r="AP697" s="1450" t="n"/>
      <c r="AQ697" s="1450" t="n"/>
      <c r="AR697" s="1450" t="n"/>
      <c r="AS697" s="1450" t="n"/>
      <c r="AT697" s="1449" t="n"/>
      <c r="AU697" s="1450" t="n"/>
      <c r="AV697" s="1450" t="n"/>
      <c r="AW697" s="1450" t="n"/>
      <c r="AX697" s="1450" t="n"/>
      <c r="AY697" s="1449" t="n"/>
      <c r="AZ697" s="1450" t="n"/>
      <c r="BA697" s="1450" t="n"/>
      <c r="BB697" s="1450" t="n"/>
      <c r="BC697" s="1450" t="n"/>
      <c r="BD697" s="1449" t="n"/>
      <c r="BE697" s="1450" t="n"/>
      <c r="BF697" s="1450" t="n"/>
      <c r="BG697" s="1450" t="n"/>
      <c r="BH697" s="1450" t="n"/>
      <c r="BI697" s="1449" t="n"/>
      <c r="BJ697" s="1450" t="n"/>
      <c r="BK697" s="1450" t="n"/>
      <c r="BL697" s="1450" t="n"/>
      <c r="BM697" s="1450" t="n"/>
      <c r="BN697" s="1449" t="n"/>
      <c r="BO697" s="1450" t="n"/>
      <c r="BP697" s="1450" t="n"/>
      <c r="BQ697" s="1451" t="n"/>
      <c r="BR697" s="1450" t="n"/>
      <c r="BS697" s="1449" t="n"/>
      <c r="BT697" s="1450" t="n"/>
      <c r="BU697" s="1450" t="n"/>
      <c r="BV697" s="1450" t="n"/>
      <c r="BW697" s="1450" t="n"/>
      <c r="BX697" s="1449" t="n"/>
      <c r="BY697" s="1449" t="n"/>
      <c r="BZ697" s="1449" t="n"/>
      <c r="CA697" s="1449" t="n"/>
      <c r="CB697" s="1361" t="n"/>
    </row>
    <row r="698" hidden="1" outlineLevel="1" ht="14.4" customFormat="1" customHeight="1" s="1597">
      <c r="A698" s="1450" t="inlineStr">
        <is>
          <t>Canalyst Fully Diluted Market Cap</t>
        </is>
      </c>
      <c r="B698" s="1517" t="n"/>
      <c r="C698" s="1449">
        <f>C526*C694</f>
        <v/>
      </c>
      <c r="D698" s="1449">
        <f>D526*D694</f>
        <v/>
      </c>
      <c r="E698" s="1449">
        <f>E526*E694</f>
        <v/>
      </c>
      <c r="F698" s="1449">
        <f>F526*F694</f>
        <v/>
      </c>
      <c r="G698" s="1450">
        <f>G526*G694</f>
        <v/>
      </c>
      <c r="H698" s="1450">
        <f>H526*H694</f>
        <v/>
      </c>
      <c r="I698" s="1450">
        <f>I526*I694</f>
        <v/>
      </c>
      <c r="J698" s="1450">
        <f>J526*J694</f>
        <v/>
      </c>
      <c r="K698" s="1449">
        <f>K526*K694</f>
        <v/>
      </c>
      <c r="L698" s="1450">
        <f>L526*L694</f>
        <v/>
      </c>
      <c r="M698" s="1450">
        <f>M526*M694</f>
        <v/>
      </c>
      <c r="N698" s="1450">
        <f>N526*N694</f>
        <v/>
      </c>
      <c r="O698" s="1450">
        <f>O526*O694</f>
        <v/>
      </c>
      <c r="P698" s="1449">
        <f>P526*P694</f>
        <v/>
      </c>
      <c r="Q698" s="1450">
        <f>Q526*Q694</f>
        <v/>
      </c>
      <c r="R698" s="1450">
        <f>R526*R694</f>
        <v/>
      </c>
      <c r="S698" s="1450">
        <f>S526*S694</f>
        <v/>
      </c>
      <c r="T698" s="1450">
        <f>T526*T694</f>
        <v/>
      </c>
      <c r="U698" s="1449">
        <f>U526*U694</f>
        <v/>
      </c>
      <c r="V698" s="1450">
        <f>V526*V694</f>
        <v/>
      </c>
      <c r="W698" s="1450">
        <f>W526*W694</f>
        <v/>
      </c>
      <c r="X698" s="1450">
        <f>X526*X694</f>
        <v/>
      </c>
      <c r="Y698" s="1450">
        <f>Y526*Y694</f>
        <v/>
      </c>
      <c r="Z698" s="1449">
        <f>Z526*Z694</f>
        <v/>
      </c>
      <c r="AA698" s="1450">
        <f>AA526*AA694</f>
        <v/>
      </c>
      <c r="AB698" s="1450">
        <f>AB526*AB694</f>
        <v/>
      </c>
      <c r="AC698" s="1450">
        <f>AC526*AC694</f>
        <v/>
      </c>
      <c r="AD698" s="1450">
        <f>AD526*AD694</f>
        <v/>
      </c>
      <c r="AE698" s="1449">
        <f>AE526*AE694</f>
        <v/>
      </c>
      <c r="AF698" s="1450">
        <f>AF526*AF694</f>
        <v/>
      </c>
      <c r="AG698" s="1450">
        <f>AG526*AG694</f>
        <v/>
      </c>
      <c r="AH698" s="1450">
        <f>AH526*AH694</f>
        <v/>
      </c>
      <c r="AI698" s="1450">
        <f>AI526*AI694</f>
        <v/>
      </c>
      <c r="AJ698" s="1449">
        <f>AJ526*AJ694</f>
        <v/>
      </c>
      <c r="AK698" s="1450">
        <f>AK526*AK694</f>
        <v/>
      </c>
      <c r="AL698" s="1450">
        <f>AL526*AL694</f>
        <v/>
      </c>
      <c r="AM698" s="1450">
        <f>AM526*AM694</f>
        <v/>
      </c>
      <c r="AN698" s="1450">
        <f>AN526*AN694</f>
        <v/>
      </c>
      <c r="AO698" s="1449">
        <f>AO526*AO694</f>
        <v/>
      </c>
      <c r="AP698" s="1450">
        <f>AP526*AP694</f>
        <v/>
      </c>
      <c r="AQ698" s="1450">
        <f>AQ526*AQ694</f>
        <v/>
      </c>
      <c r="AR698" s="1450">
        <f>AR526*AR694</f>
        <v/>
      </c>
      <c r="AS698" s="1450">
        <f>AS526*AS694</f>
        <v/>
      </c>
      <c r="AT698" s="1449">
        <f>AT526*AT694</f>
        <v/>
      </c>
      <c r="AU698" s="1450">
        <f>AU526*AU694</f>
        <v/>
      </c>
      <c r="AV698" s="1450">
        <f>AV526*AV694</f>
        <v/>
      </c>
      <c r="AW698" s="1450">
        <f>AW526*AW694</f>
        <v/>
      </c>
      <c r="AX698" s="1450">
        <f>AX526*AX694</f>
        <v/>
      </c>
      <c r="AY698" s="1449">
        <f>AY526*AY694</f>
        <v/>
      </c>
      <c r="AZ698" s="1450">
        <f>AZ526*AZ694</f>
        <v/>
      </c>
      <c r="BA698" s="1450">
        <f>BA526*BA694</f>
        <v/>
      </c>
      <c r="BB698" s="1450">
        <f>BB526*BB694</f>
        <v/>
      </c>
      <c r="BC698" s="1450">
        <f>BC526*BC694</f>
        <v/>
      </c>
      <c r="BD698" s="1449">
        <f>BD526*BD694</f>
        <v/>
      </c>
      <c r="BE698" s="1450">
        <f>BE526*BE694</f>
        <v/>
      </c>
      <c r="BF698" s="1450">
        <f>BF526*BF694</f>
        <v/>
      </c>
      <c r="BG698" s="1450">
        <f>BG526*BG694</f>
        <v/>
      </c>
      <c r="BH698" s="1450">
        <f>BH526*BH694</f>
        <v/>
      </c>
      <c r="BI698" s="1449">
        <f>BI526*BI694</f>
        <v/>
      </c>
      <c r="BJ698" s="1450">
        <f>BJ526*BJ694</f>
        <v/>
      </c>
      <c r="BK698" s="1450">
        <f>BK526*BK694</f>
        <v/>
      </c>
      <c r="BL698" s="1450">
        <f>BL526*BL694</f>
        <v/>
      </c>
      <c r="BM698" s="1450">
        <f>BM526*BM694</f>
        <v/>
      </c>
      <c r="BN698" s="1449">
        <f>BN526*BN694</f>
        <v/>
      </c>
      <c r="BO698" s="1450">
        <f>BO526*BO694</f>
        <v/>
      </c>
      <c r="BP698" s="1450">
        <f>BP526*BP694</f>
        <v/>
      </c>
      <c r="BQ698" s="1451">
        <f>BQ526*BQ694</f>
        <v/>
      </c>
      <c r="BR698" s="1450">
        <f>BR526*BR694</f>
        <v/>
      </c>
      <c r="BS698" s="1449">
        <f>BS526*BS694</f>
        <v/>
      </c>
      <c r="BT698" s="1450">
        <f>BT526*BT694</f>
        <v/>
      </c>
      <c r="BU698" s="1450">
        <f>BU526*BU694</f>
        <v/>
      </c>
      <c r="BV698" s="1450">
        <f>BV526*BV694</f>
        <v/>
      </c>
      <c r="BW698" s="1450">
        <f>BW526*BW694</f>
        <v/>
      </c>
      <c r="BX698" s="1449">
        <f>BX526*BX694</f>
        <v/>
      </c>
      <c r="BY698" s="1449">
        <f>BY526*BY694</f>
        <v/>
      </c>
      <c r="BZ698" s="1449">
        <f>BZ526*BZ694</f>
        <v/>
      </c>
      <c r="CA698" s="1449">
        <f>CA526*CA694</f>
        <v/>
      </c>
      <c r="CB698" s="1361" t="n"/>
    </row>
    <row r="699" hidden="1" outlineLevel="1" ht="14.4" customFormat="1" customHeight="1" s="1597">
      <c r="A699" s="1361" t="n"/>
      <c r="B699" s="1512" t="n"/>
      <c r="C699" s="1379" t="n"/>
      <c r="D699" s="1379" t="n"/>
      <c r="E699" s="1379" t="n"/>
      <c r="F699" s="1379" t="n"/>
      <c r="G699" s="1361" t="n"/>
      <c r="H699" s="1361" t="n"/>
      <c r="I699" s="1361" t="n"/>
      <c r="J699" s="1361" t="n"/>
      <c r="K699" s="1379" t="n"/>
      <c r="L699" s="1361" t="n"/>
      <c r="M699" s="1361" t="n"/>
      <c r="N699" s="1361" t="n"/>
      <c r="O699" s="1361" t="n"/>
      <c r="P699" s="1379" t="n"/>
      <c r="Q699" s="1361" t="n"/>
      <c r="R699" s="1361" t="n"/>
      <c r="S699" s="1361" t="n"/>
      <c r="T699" s="1361" t="n"/>
      <c r="U699" s="1379" t="n"/>
      <c r="V699" s="1361" t="n"/>
      <c r="W699" s="1361" t="n"/>
      <c r="X699" s="1361" t="n"/>
      <c r="Y699" s="1361" t="n"/>
      <c r="Z699" s="1379" t="n"/>
      <c r="AA699" s="1361" t="n"/>
      <c r="AB699" s="1361" t="n"/>
      <c r="AC699" s="1361" t="n"/>
      <c r="AD699" s="1361" t="n"/>
      <c r="AE699" s="1379" t="n"/>
      <c r="AF699" s="1361" t="n"/>
      <c r="AG699" s="1361" t="n"/>
      <c r="AH699" s="1361" t="n"/>
      <c r="AI699" s="1361" t="n"/>
      <c r="AJ699" s="1379" t="n"/>
      <c r="AK699" s="1361" t="n"/>
      <c r="AL699" s="1361" t="n"/>
      <c r="AM699" s="1361" t="n"/>
      <c r="AN699" s="1361" t="n"/>
      <c r="AO699" s="1379" t="n"/>
      <c r="AP699" s="1361" t="n"/>
      <c r="AQ699" s="1361" t="n"/>
      <c r="AR699" s="1361" t="n"/>
      <c r="AS699" s="1361" t="n"/>
      <c r="AT699" s="1379" t="n"/>
      <c r="AU699" s="1361" t="n"/>
      <c r="AV699" s="1361" t="n"/>
      <c r="AW699" s="1361" t="n"/>
      <c r="AX699" s="1361" t="n"/>
      <c r="AY699" s="1379" t="n"/>
      <c r="AZ699" s="1361" t="n"/>
      <c r="BA699" s="1361" t="n"/>
      <c r="BB699" s="1361" t="n"/>
      <c r="BC699" s="1361" t="n"/>
      <c r="BD699" s="1379" t="n"/>
      <c r="BE699" s="1361" t="n"/>
      <c r="BF699" s="1361" t="n"/>
      <c r="BG699" s="1361" t="n"/>
      <c r="BH699" s="1361" t="n"/>
      <c r="BI699" s="1379" t="n"/>
      <c r="BJ699" s="1361" t="n"/>
      <c r="BK699" s="1361" t="n"/>
      <c r="BL699" s="1361" t="n"/>
      <c r="BM699" s="1361" t="n"/>
      <c r="BN699" s="1379" t="n"/>
      <c r="BO699" s="1361" t="n"/>
      <c r="BP699" s="1361" t="n"/>
      <c r="BQ699" s="1363" t="n"/>
      <c r="BR699" s="1361" t="n"/>
      <c r="BS699" s="1379" t="n"/>
      <c r="BT699" s="1361" t="n"/>
      <c r="BU699" s="1361" t="n"/>
      <c r="BV699" s="1361" t="n"/>
      <c r="BW699" s="1361" t="n"/>
      <c r="BX699" s="1379" t="n"/>
      <c r="BY699" s="1379" t="n"/>
      <c r="BZ699" s="1379" t="n"/>
      <c r="CA699" s="1379" t="n"/>
      <c r="CB699" s="1361" t="n"/>
    </row>
    <row r="700" hidden="1" outlineLevel="2" ht="14.4" customFormat="1" customHeight="1" s="1597">
      <c r="A700" s="1512" t="inlineStr">
        <is>
          <t>Cash</t>
        </is>
      </c>
      <c r="B700" s="1512" t="n"/>
      <c r="C700" s="1379">
        <f>-C962</f>
        <v/>
      </c>
      <c r="D700" s="1379">
        <f>-D962</f>
        <v/>
      </c>
      <c r="E700" s="1379">
        <f>-E962</f>
        <v/>
      </c>
      <c r="F700" s="1379">
        <f>-F962</f>
        <v/>
      </c>
      <c r="G700" s="1361">
        <f>-G962</f>
        <v/>
      </c>
      <c r="H700" s="1361">
        <f>-H962</f>
        <v/>
      </c>
      <c r="I700" s="1361">
        <f>-I962</f>
        <v/>
      </c>
      <c r="J700" s="1361">
        <f>-J962</f>
        <v/>
      </c>
      <c r="K700" s="1379">
        <f>-K962</f>
        <v/>
      </c>
      <c r="L700" s="1361">
        <f>-L962</f>
        <v/>
      </c>
      <c r="M700" s="1361">
        <f>-M962</f>
        <v/>
      </c>
      <c r="N700" s="1361">
        <f>-N962</f>
        <v/>
      </c>
      <c r="O700" s="1361">
        <f>-O962</f>
        <v/>
      </c>
      <c r="P700" s="1379">
        <f>-P962</f>
        <v/>
      </c>
      <c r="Q700" s="1361">
        <f>-Q962</f>
        <v/>
      </c>
      <c r="R700" s="1361">
        <f>-R962</f>
        <v/>
      </c>
      <c r="S700" s="1361">
        <f>-S962</f>
        <v/>
      </c>
      <c r="T700" s="1361">
        <f>-T962</f>
        <v/>
      </c>
      <c r="U700" s="1379">
        <f>-U962</f>
        <v/>
      </c>
      <c r="V700" s="1361">
        <f>-V962</f>
        <v/>
      </c>
      <c r="W700" s="1361">
        <f>-W962</f>
        <v/>
      </c>
      <c r="X700" s="1361">
        <f>-X962</f>
        <v/>
      </c>
      <c r="Y700" s="1361">
        <f>-Y962</f>
        <v/>
      </c>
      <c r="Z700" s="1379">
        <f>-Z962</f>
        <v/>
      </c>
      <c r="AA700" s="1361">
        <f>-AA962</f>
        <v/>
      </c>
      <c r="AB700" s="1361">
        <f>-AB962</f>
        <v/>
      </c>
      <c r="AC700" s="1361">
        <f>-AC962</f>
        <v/>
      </c>
      <c r="AD700" s="1361">
        <f>-AD962</f>
        <v/>
      </c>
      <c r="AE700" s="1379">
        <f>-AE962</f>
        <v/>
      </c>
      <c r="AF700" s="1361">
        <f>-AF962</f>
        <v/>
      </c>
      <c r="AG700" s="1361">
        <f>-AG962</f>
        <v/>
      </c>
      <c r="AH700" s="1361">
        <f>-AH962</f>
        <v/>
      </c>
      <c r="AI700" s="1361">
        <f>-AI962</f>
        <v/>
      </c>
      <c r="AJ700" s="1379">
        <f>-AJ962</f>
        <v/>
      </c>
      <c r="AK700" s="1361">
        <f>-AK962</f>
        <v/>
      </c>
      <c r="AL700" s="1361">
        <f>-AL962</f>
        <v/>
      </c>
      <c r="AM700" s="1361">
        <f>-AM962</f>
        <v/>
      </c>
      <c r="AN700" s="1361">
        <f>-AN962</f>
        <v/>
      </c>
      <c r="AO700" s="1379">
        <f>-AO962</f>
        <v/>
      </c>
      <c r="AP700" s="1361">
        <f>-AP962</f>
        <v/>
      </c>
      <c r="AQ700" s="1361">
        <f>-AQ962</f>
        <v/>
      </c>
      <c r="AR700" s="1361">
        <f>-AR962</f>
        <v/>
      </c>
      <c r="AS700" s="1361">
        <f>-AS962</f>
        <v/>
      </c>
      <c r="AT700" s="1379">
        <f>-AT962</f>
        <v/>
      </c>
      <c r="AU700" s="1361">
        <f>-AU962</f>
        <v/>
      </c>
      <c r="AV700" s="1361">
        <f>-AV962</f>
        <v/>
      </c>
      <c r="AW700" s="1361">
        <f>-AW962</f>
        <v/>
      </c>
      <c r="AX700" s="1361">
        <f>-AX962</f>
        <v/>
      </c>
      <c r="AY700" s="1379">
        <f>-AY962</f>
        <v/>
      </c>
      <c r="AZ700" s="1361">
        <f>-AZ962</f>
        <v/>
      </c>
      <c r="BA700" s="1361">
        <f>-BA962</f>
        <v/>
      </c>
      <c r="BB700" s="1361">
        <f>-BB962</f>
        <v/>
      </c>
      <c r="BC700" s="1361">
        <f>-BC962</f>
        <v/>
      </c>
      <c r="BD700" s="1379">
        <f>-BD962</f>
        <v/>
      </c>
      <c r="BE700" s="1361">
        <f>-BE962</f>
        <v/>
      </c>
      <c r="BF700" s="1361">
        <f>-BF962</f>
        <v/>
      </c>
      <c r="BG700" s="1361">
        <f>-BG962</f>
        <v/>
      </c>
      <c r="BH700" s="1361">
        <f>-BH962</f>
        <v/>
      </c>
      <c r="BI700" s="1379">
        <f>-BI962</f>
        <v/>
      </c>
      <c r="BJ700" s="1361">
        <f>-BJ962</f>
        <v/>
      </c>
      <c r="BK700" s="1361">
        <f>-BK962</f>
        <v/>
      </c>
      <c r="BL700" s="1361">
        <f>-BL962</f>
        <v/>
      </c>
      <c r="BM700" s="1361">
        <f>-BM962</f>
        <v/>
      </c>
      <c r="BN700" s="1379">
        <f>-BN962</f>
        <v/>
      </c>
      <c r="BO700" s="1361">
        <f>-BO962</f>
        <v/>
      </c>
      <c r="BP700" s="1361">
        <f>-BP962</f>
        <v/>
      </c>
      <c r="BQ700" s="1363">
        <f>-BQ962</f>
        <v/>
      </c>
      <c r="BR700" s="1361">
        <f>-BR962</f>
        <v/>
      </c>
      <c r="BS700" s="1379">
        <f>-BS962</f>
        <v/>
      </c>
      <c r="BT700" s="1361">
        <f>-BT962</f>
        <v/>
      </c>
      <c r="BU700" s="1361">
        <f>-BU962</f>
        <v/>
      </c>
      <c r="BV700" s="1361">
        <f>-BV962</f>
        <v/>
      </c>
      <c r="BW700" s="1361">
        <f>-BW962</f>
        <v/>
      </c>
      <c r="BX700" s="1379">
        <f>-BX962</f>
        <v/>
      </c>
      <c r="BY700" s="1379">
        <f>-BY962</f>
        <v/>
      </c>
      <c r="BZ700" s="1379">
        <f>-BZ962</f>
        <v/>
      </c>
      <c r="CA700" s="1379">
        <f>-CA962</f>
        <v/>
      </c>
      <c r="CB700" s="1361" t="n"/>
    </row>
    <row r="701" hidden="1" outlineLevel="2" ht="14.4" customFormat="1" customHeight="1" s="1597">
      <c r="A701" s="1512" t="inlineStr">
        <is>
          <t>Capped Call Impact</t>
        </is>
      </c>
      <c r="B701" s="1512" t="n"/>
      <c r="C701" s="1379">
        <f>C610+C627+C644+C661+C678</f>
        <v/>
      </c>
      <c r="D701" s="1379">
        <f>D610+D627+D644+D661+D678</f>
        <v/>
      </c>
      <c r="E701" s="1379">
        <f>E610+E627+E644+E661+E678</f>
        <v/>
      </c>
      <c r="F701" s="1379">
        <f>F610+F627+F644+F661+F678</f>
        <v/>
      </c>
      <c r="G701" s="1361">
        <f>G610+G627+G644+G661+G678</f>
        <v/>
      </c>
      <c r="H701" s="1361">
        <f>H610+H627+H644+H661+H678</f>
        <v/>
      </c>
      <c r="I701" s="1361">
        <f>I610+I627+I644+I661+I678</f>
        <v/>
      </c>
      <c r="J701" s="1361">
        <f>J610+J627+J644+J661+J678</f>
        <v/>
      </c>
      <c r="K701" s="1379">
        <f>K610+K627+K644+K661+K678</f>
        <v/>
      </c>
      <c r="L701" s="1361">
        <f>L610+L627+L644+L661+L678</f>
        <v/>
      </c>
      <c r="M701" s="1361">
        <f>M610+M627+M644+M661+M678</f>
        <v/>
      </c>
      <c r="N701" s="1361">
        <f>N610+N627+N644+N661+N678</f>
        <v/>
      </c>
      <c r="O701" s="1361">
        <f>O610+O627+O644+O661+O678</f>
        <v/>
      </c>
      <c r="P701" s="1379">
        <f>P610+P627+P644+P661+P678</f>
        <v/>
      </c>
      <c r="Q701" s="1361">
        <f>Q610+Q627+Q644+Q661+Q678</f>
        <v/>
      </c>
      <c r="R701" s="1361">
        <f>R610+R627+R644+R661+R678</f>
        <v/>
      </c>
      <c r="S701" s="1361">
        <f>S610+S627+S644+S661+S678</f>
        <v/>
      </c>
      <c r="T701" s="1361">
        <f>T610+T627+T644+T661+T678</f>
        <v/>
      </c>
      <c r="U701" s="1379">
        <f>U610+U627+U644+U661+U678</f>
        <v/>
      </c>
      <c r="V701" s="1361">
        <f>V610+V627+V644+V661+V678</f>
        <v/>
      </c>
      <c r="W701" s="1361">
        <f>W610+W627+W644+W661+W678</f>
        <v/>
      </c>
      <c r="X701" s="1361">
        <f>X610+X627+X644+X661+X678</f>
        <v/>
      </c>
      <c r="Y701" s="1361">
        <f>Y610+Y627+Y644+Y661+Y678</f>
        <v/>
      </c>
      <c r="Z701" s="1379">
        <f>Z610+Z627+Z644+Z661+Z678</f>
        <v/>
      </c>
      <c r="AA701" s="1361">
        <f>AA610+AA627+AA644+AA661+AA678</f>
        <v/>
      </c>
      <c r="AB701" s="1361">
        <f>AB610+AB627+AB644+AB661+AB678</f>
        <v/>
      </c>
      <c r="AC701" s="1361">
        <f>AC610+AC627+AC644+AC661+AC678</f>
        <v/>
      </c>
      <c r="AD701" s="1361">
        <f>AD610+AD627+AD644+AD661+AD678</f>
        <v/>
      </c>
      <c r="AE701" s="1379">
        <f>AE610+AE627+AE644+AE661+AE678</f>
        <v/>
      </c>
      <c r="AF701" s="1361">
        <f>AF610+AF627+AF644+AF661+AF678</f>
        <v/>
      </c>
      <c r="AG701" s="1361">
        <f>AG610+AG627+AG644+AG661+AG678</f>
        <v/>
      </c>
      <c r="AH701" s="1361">
        <f>AH610+AH627+AH644+AH661+AH678</f>
        <v/>
      </c>
      <c r="AI701" s="1361">
        <f>AI610+AI627+AI644+AI661+AI678</f>
        <v/>
      </c>
      <c r="AJ701" s="1379">
        <f>AJ610+AJ627+AJ644+AJ661+AJ678</f>
        <v/>
      </c>
      <c r="AK701" s="1361">
        <f>AK610+AK627+AK644+AK661+AK678</f>
        <v/>
      </c>
      <c r="AL701" s="1361">
        <f>AL610+AL627+AL644+AL661+AL678</f>
        <v/>
      </c>
      <c r="AM701" s="1361">
        <f>AM610+AM627+AM644+AM661+AM678</f>
        <v/>
      </c>
      <c r="AN701" s="1361">
        <f>AN610+AN627+AN644+AN661+AN678</f>
        <v/>
      </c>
      <c r="AO701" s="1379">
        <f>AO610+AO627+AO644+AO661+AO678</f>
        <v/>
      </c>
      <c r="AP701" s="1361">
        <f>AP610+AP627+AP644+AP661+AP678</f>
        <v/>
      </c>
      <c r="AQ701" s="1361">
        <f>AQ610+AQ627+AQ644+AQ661+AQ678</f>
        <v/>
      </c>
      <c r="AR701" s="1361">
        <f>AR610+AR627+AR644+AR661+AR678</f>
        <v/>
      </c>
      <c r="AS701" s="1361">
        <f>AS610+AS627+AS644+AS661+AS678</f>
        <v/>
      </c>
      <c r="AT701" s="1379">
        <f>AT610+AT627+AT644+AT661+AT678</f>
        <v/>
      </c>
      <c r="AU701" s="1361">
        <f>AU610+AU627+AU644+AU661+AU678</f>
        <v/>
      </c>
      <c r="AV701" s="1361">
        <f>AV610+AV627+AV644+AV661+AV678</f>
        <v/>
      </c>
      <c r="AW701" s="1361">
        <f>AW610+AW627+AW644+AW661+AW678</f>
        <v/>
      </c>
      <c r="AX701" s="1361">
        <f>AX610+AX627+AX644+AX661+AX678</f>
        <v/>
      </c>
      <c r="AY701" s="1379">
        <f>AY610+AY627+AY644+AY661+AY678</f>
        <v/>
      </c>
      <c r="AZ701" s="1361">
        <f>AZ610+AZ627+AZ644+AZ661+AZ678</f>
        <v/>
      </c>
      <c r="BA701" s="1361">
        <f>BA610+BA627+BA644+BA661+BA678</f>
        <v/>
      </c>
      <c r="BB701" s="1361">
        <f>BB610+BB627+BB644+BB661+BB678</f>
        <v/>
      </c>
      <c r="BC701" s="1361">
        <f>BC610+BC627+BC644+BC661+BC678</f>
        <v/>
      </c>
      <c r="BD701" s="1379">
        <f>BD610+BD627+BD644+BD661+BD678</f>
        <v/>
      </c>
      <c r="BE701" s="1361">
        <f>BE610+BE627+BE644+BE661+BE678</f>
        <v/>
      </c>
      <c r="BF701" s="1361">
        <f>BF610+BF627+BF644+BF661+BF678</f>
        <v/>
      </c>
      <c r="BG701" s="1361">
        <f>BG610+BG627+BG644+BG661+BG678</f>
        <v/>
      </c>
      <c r="BH701" s="1361">
        <f>BH610+BH627+BH644+BH661+BH678</f>
        <v/>
      </c>
      <c r="BI701" s="1379">
        <f>BI610+BI627+BI644+BI661+BI678</f>
        <v/>
      </c>
      <c r="BJ701" s="1361">
        <f>BJ610+BJ627+BJ644+BJ661+BJ678</f>
        <v/>
      </c>
      <c r="BK701" s="1361">
        <f>BK610+BK627+BK644+BK661+BK678</f>
        <v/>
      </c>
      <c r="BL701" s="1361">
        <f>BL610+BL627+BL644+BL661+BL678</f>
        <v/>
      </c>
      <c r="BM701" s="1361">
        <f>BM610+BM627+BM644+BM661+BM678</f>
        <v/>
      </c>
      <c r="BN701" s="1379">
        <f>BN610+BN627+BN644+BN661+BN678</f>
        <v/>
      </c>
      <c r="BO701" s="1361">
        <f>BO610+BO627+BO644+BO661+BO678</f>
        <v/>
      </c>
      <c r="BP701" s="1361">
        <f>BP610+BP627+BP644+BP661+BP678</f>
        <v/>
      </c>
      <c r="BQ701" s="1363">
        <f>BQ610+BQ627+BQ644+BQ661+BQ678</f>
        <v/>
      </c>
      <c r="BR701" s="1361">
        <f>BR610+BR627+BR644+BR661+BR678</f>
        <v/>
      </c>
      <c r="BS701" s="1379">
        <f>BS610+BS627+BS644+BS661+BS678</f>
        <v/>
      </c>
      <c r="BT701" s="1361">
        <f>BT610+BT627+BT644+BT661+BT678</f>
        <v/>
      </c>
      <c r="BU701" s="1361">
        <f>BU610+BU627+BU644+BU661+BU678</f>
        <v/>
      </c>
      <c r="BV701" s="1361">
        <f>BV610+BV627+BV644+BV661+BV678</f>
        <v/>
      </c>
      <c r="BW701" s="1361">
        <f>BW610+BW627+BW644+BW661+BW678</f>
        <v/>
      </c>
      <c r="BX701" s="1379">
        <f>BX610+BX627+BX644+BX661+BX678</f>
        <v/>
      </c>
      <c r="BY701" s="1379">
        <f>BY610+BY627+BY644+BY661+BY678</f>
        <v/>
      </c>
      <c r="BZ701" s="1379">
        <f>BZ610+BZ627+BZ644+BZ661+BZ678</f>
        <v/>
      </c>
      <c r="CA701" s="1379">
        <f>CA610+CA627+CA644+CA661+CA678</f>
        <v/>
      </c>
      <c r="CB701" s="1361" t="n"/>
    </row>
    <row r="702" hidden="1" outlineLevel="2" ht="14.4" customFormat="1" customHeight="1" s="1597">
      <c r="A702" s="1761" t="inlineStr">
        <is>
          <t>Adjusted Cash</t>
        </is>
      </c>
      <c r="B702" s="1694" t="n"/>
      <c r="C702" s="1698">
        <f>SUM(C700:C701)</f>
        <v/>
      </c>
      <c r="D702" s="1698">
        <f>SUM(D700:D701)</f>
        <v/>
      </c>
      <c r="E702" s="1698">
        <f>SUM(E700:E701)</f>
        <v/>
      </c>
      <c r="F702" s="1698">
        <f>SUM(F700:F701)</f>
        <v/>
      </c>
      <c r="G702" s="1693">
        <f>SUM(G700:G701)</f>
        <v/>
      </c>
      <c r="H702" s="1693">
        <f>SUM(H700:H701)</f>
        <v/>
      </c>
      <c r="I702" s="1693">
        <f>SUM(I700:I701)</f>
        <v/>
      </c>
      <c r="J702" s="1693">
        <f>SUM(J700:J701)</f>
        <v/>
      </c>
      <c r="K702" s="1698">
        <f>SUM(K700:K701)</f>
        <v/>
      </c>
      <c r="L702" s="1693">
        <f>SUM(L700:L701)</f>
        <v/>
      </c>
      <c r="M702" s="1693">
        <f>SUM(M700:M701)</f>
        <v/>
      </c>
      <c r="N702" s="1693">
        <f>SUM(N700:N701)</f>
        <v/>
      </c>
      <c r="O702" s="1693">
        <f>SUM(O700:O701)</f>
        <v/>
      </c>
      <c r="P702" s="1698">
        <f>SUM(P700:P701)</f>
        <v/>
      </c>
      <c r="Q702" s="1693">
        <f>SUM(Q700:Q701)</f>
        <v/>
      </c>
      <c r="R702" s="1693">
        <f>SUM(R700:R701)</f>
        <v/>
      </c>
      <c r="S702" s="1693">
        <f>SUM(S700:S701)</f>
        <v/>
      </c>
      <c r="T702" s="1693">
        <f>SUM(T700:T701)</f>
        <v/>
      </c>
      <c r="U702" s="1698">
        <f>SUM(U700:U701)</f>
        <v/>
      </c>
      <c r="V702" s="1693">
        <f>SUM(V700:V701)</f>
        <v/>
      </c>
      <c r="W702" s="1693">
        <f>SUM(W700:W701)</f>
        <v/>
      </c>
      <c r="X702" s="1693">
        <f>SUM(X700:X701)</f>
        <v/>
      </c>
      <c r="Y702" s="1693">
        <f>SUM(Y700:Y701)</f>
        <v/>
      </c>
      <c r="Z702" s="1698">
        <f>SUM(Z700:Z701)</f>
        <v/>
      </c>
      <c r="AA702" s="1693">
        <f>SUM(AA700:AA701)</f>
        <v/>
      </c>
      <c r="AB702" s="1693">
        <f>SUM(AB700:AB701)</f>
        <v/>
      </c>
      <c r="AC702" s="1693">
        <f>SUM(AC700:AC701)</f>
        <v/>
      </c>
      <c r="AD702" s="1693">
        <f>SUM(AD700:AD701)</f>
        <v/>
      </c>
      <c r="AE702" s="1698">
        <f>SUM(AE700:AE701)</f>
        <v/>
      </c>
      <c r="AF702" s="1693">
        <f>SUM(AF700:AF701)</f>
        <v/>
      </c>
      <c r="AG702" s="1693">
        <f>SUM(AG700:AG701)</f>
        <v/>
      </c>
      <c r="AH702" s="1693">
        <f>SUM(AH700:AH701)</f>
        <v/>
      </c>
      <c r="AI702" s="1693">
        <f>SUM(AI700:AI701)</f>
        <v/>
      </c>
      <c r="AJ702" s="1698">
        <f>SUM(AJ700:AJ701)</f>
        <v/>
      </c>
      <c r="AK702" s="1693">
        <f>SUM(AK700:AK701)</f>
        <v/>
      </c>
      <c r="AL702" s="1693">
        <f>SUM(AL700:AL701)</f>
        <v/>
      </c>
      <c r="AM702" s="1693">
        <f>SUM(AM700:AM701)</f>
        <v/>
      </c>
      <c r="AN702" s="1693">
        <f>SUM(AN700:AN701)</f>
        <v/>
      </c>
      <c r="AO702" s="1698">
        <f>SUM(AO700:AO701)</f>
        <v/>
      </c>
      <c r="AP702" s="1693">
        <f>SUM(AP700:AP701)</f>
        <v/>
      </c>
      <c r="AQ702" s="1693">
        <f>SUM(AQ700:AQ701)</f>
        <v/>
      </c>
      <c r="AR702" s="1693">
        <f>SUM(AR700:AR701)</f>
        <v/>
      </c>
      <c r="AS702" s="1693">
        <f>SUM(AS700:AS701)</f>
        <v/>
      </c>
      <c r="AT702" s="1698">
        <f>SUM(AT700:AT701)</f>
        <v/>
      </c>
      <c r="AU702" s="1693">
        <f>SUM(AU700:AU701)</f>
        <v/>
      </c>
      <c r="AV702" s="1693">
        <f>SUM(AV700:AV701)</f>
        <v/>
      </c>
      <c r="AW702" s="1693">
        <f>SUM(AW700:AW701)</f>
        <v/>
      </c>
      <c r="AX702" s="1693">
        <f>SUM(AX700:AX701)</f>
        <v/>
      </c>
      <c r="AY702" s="1698">
        <f>SUM(AY700:AY701)</f>
        <v/>
      </c>
      <c r="AZ702" s="1693">
        <f>SUM(AZ700:AZ701)</f>
        <v/>
      </c>
      <c r="BA702" s="1693">
        <f>SUM(BA700:BA701)</f>
        <v/>
      </c>
      <c r="BB702" s="1693">
        <f>SUM(BB700:BB701)</f>
        <v/>
      </c>
      <c r="BC702" s="1693">
        <f>SUM(BC700:BC701)</f>
        <v/>
      </c>
      <c r="BD702" s="1698">
        <f>SUM(BD700:BD701)</f>
        <v/>
      </c>
      <c r="BE702" s="1693">
        <f>SUM(BE700:BE701)</f>
        <v/>
      </c>
      <c r="BF702" s="1693">
        <f>SUM(BF700:BF701)</f>
        <v/>
      </c>
      <c r="BG702" s="1693">
        <f>SUM(BG700:BG701)</f>
        <v/>
      </c>
      <c r="BH702" s="1693">
        <f>SUM(BH700:BH701)</f>
        <v/>
      </c>
      <c r="BI702" s="1698">
        <f>SUM(BI700:BI701)</f>
        <v/>
      </c>
      <c r="BJ702" s="1693">
        <f>SUM(BJ700:BJ701)</f>
        <v/>
      </c>
      <c r="BK702" s="1693">
        <f>SUM(BK700:BK701)</f>
        <v/>
      </c>
      <c r="BL702" s="1693">
        <f>SUM(BL700:BL701)</f>
        <v/>
      </c>
      <c r="BM702" s="1693">
        <f>SUM(BM700:BM701)</f>
        <v/>
      </c>
      <c r="BN702" s="1698">
        <f>SUM(BN700:BN701)</f>
        <v/>
      </c>
      <c r="BO702" s="1693">
        <f>SUM(BO700:BO701)</f>
        <v/>
      </c>
      <c r="BP702" s="1693">
        <f>SUM(BP700:BP701)</f>
        <v/>
      </c>
      <c r="BQ702" s="1733">
        <f>SUM(BQ700:BQ701)</f>
        <v/>
      </c>
      <c r="BR702" s="1693">
        <f>SUM(BR700:BR701)</f>
        <v/>
      </c>
      <c r="BS702" s="1698">
        <f>SUM(BS700:BS701)</f>
        <v/>
      </c>
      <c r="BT702" s="1693">
        <f>SUM(BT700:BT701)</f>
        <v/>
      </c>
      <c r="BU702" s="1693">
        <f>SUM(BU700:BU701)</f>
        <v/>
      </c>
      <c r="BV702" s="1693">
        <f>SUM(BV700:BV701)</f>
        <v/>
      </c>
      <c r="BW702" s="1693">
        <f>SUM(BW700:BW701)</f>
        <v/>
      </c>
      <c r="BX702" s="1698">
        <f>SUM(BX700:BX701)</f>
        <v/>
      </c>
      <c r="BY702" s="1698">
        <f>SUM(BY700:BY701)</f>
        <v/>
      </c>
      <c r="BZ702" s="1698">
        <f>SUM(BZ700:BZ701)</f>
        <v/>
      </c>
      <c r="CA702" s="1698">
        <f>SUM(CA700:CA701)</f>
        <v/>
      </c>
      <c r="CB702" s="1361" t="n"/>
    </row>
    <row r="703" hidden="1" outlineLevel="2" ht="14.4" customFormat="1" customHeight="1" s="1597">
      <c r="A703" s="1508" t="inlineStr">
        <is>
          <t>Debt</t>
        </is>
      </c>
      <c r="B703" s="1512" t="n"/>
      <c r="C703" s="1379">
        <f>C965</f>
        <v/>
      </c>
      <c r="D703" s="1379">
        <f>D965</f>
        <v/>
      </c>
      <c r="E703" s="1379">
        <f>E965</f>
        <v/>
      </c>
      <c r="F703" s="1379">
        <f>F965</f>
        <v/>
      </c>
      <c r="G703" s="1361">
        <f>G965</f>
        <v/>
      </c>
      <c r="H703" s="1361">
        <f>H965</f>
        <v/>
      </c>
      <c r="I703" s="1361">
        <f>I965</f>
        <v/>
      </c>
      <c r="J703" s="1361">
        <f>J965</f>
        <v/>
      </c>
      <c r="K703" s="1379">
        <f>K965</f>
        <v/>
      </c>
      <c r="L703" s="1361">
        <f>L965</f>
        <v/>
      </c>
      <c r="M703" s="1361">
        <f>M965</f>
        <v/>
      </c>
      <c r="N703" s="1361">
        <f>N965</f>
        <v/>
      </c>
      <c r="O703" s="1361">
        <f>O965</f>
        <v/>
      </c>
      <c r="P703" s="1379">
        <f>P965</f>
        <v/>
      </c>
      <c r="Q703" s="1361">
        <f>Q965</f>
        <v/>
      </c>
      <c r="R703" s="1361">
        <f>R965</f>
        <v/>
      </c>
      <c r="S703" s="1361">
        <f>S965</f>
        <v/>
      </c>
      <c r="T703" s="1361">
        <f>T965</f>
        <v/>
      </c>
      <c r="U703" s="1379">
        <f>U965</f>
        <v/>
      </c>
      <c r="V703" s="1361">
        <f>V965</f>
        <v/>
      </c>
      <c r="W703" s="1361">
        <f>W965</f>
        <v/>
      </c>
      <c r="X703" s="1361">
        <f>X965</f>
        <v/>
      </c>
      <c r="Y703" s="1361">
        <f>Y965</f>
        <v/>
      </c>
      <c r="Z703" s="1379">
        <f>Z965</f>
        <v/>
      </c>
      <c r="AA703" s="1361">
        <f>AA965</f>
        <v/>
      </c>
      <c r="AB703" s="1361">
        <f>AB965</f>
        <v/>
      </c>
      <c r="AC703" s="1361">
        <f>AC965</f>
        <v/>
      </c>
      <c r="AD703" s="1361">
        <f>AD965</f>
        <v/>
      </c>
      <c r="AE703" s="1379">
        <f>AE965</f>
        <v/>
      </c>
      <c r="AF703" s="1361">
        <f>AF965</f>
        <v/>
      </c>
      <c r="AG703" s="1361">
        <f>AG965</f>
        <v/>
      </c>
      <c r="AH703" s="1361">
        <f>AH965</f>
        <v/>
      </c>
      <c r="AI703" s="1361">
        <f>AI965</f>
        <v/>
      </c>
      <c r="AJ703" s="1379">
        <f>AJ965</f>
        <v/>
      </c>
      <c r="AK703" s="1361">
        <f>AK965</f>
        <v/>
      </c>
      <c r="AL703" s="1361">
        <f>AL965</f>
        <v/>
      </c>
      <c r="AM703" s="1361">
        <f>AM965</f>
        <v/>
      </c>
      <c r="AN703" s="1361">
        <f>AN965</f>
        <v/>
      </c>
      <c r="AO703" s="1379">
        <f>AO965</f>
        <v/>
      </c>
      <c r="AP703" s="1361">
        <f>AP965</f>
        <v/>
      </c>
      <c r="AQ703" s="1361">
        <f>AQ965</f>
        <v/>
      </c>
      <c r="AR703" s="1361">
        <f>AR965</f>
        <v/>
      </c>
      <c r="AS703" s="1361">
        <f>AS965</f>
        <v/>
      </c>
      <c r="AT703" s="1379">
        <f>AT965</f>
        <v/>
      </c>
      <c r="AU703" s="1361">
        <f>AU965</f>
        <v/>
      </c>
      <c r="AV703" s="1361">
        <f>AV965</f>
        <v/>
      </c>
      <c r="AW703" s="1361">
        <f>AW965</f>
        <v/>
      </c>
      <c r="AX703" s="1361">
        <f>AX965</f>
        <v/>
      </c>
      <c r="AY703" s="1379">
        <f>AY965</f>
        <v/>
      </c>
      <c r="AZ703" s="1361">
        <f>AZ965</f>
        <v/>
      </c>
      <c r="BA703" s="1361">
        <f>BA965</f>
        <v/>
      </c>
      <c r="BB703" s="1361">
        <f>BB965</f>
        <v/>
      </c>
      <c r="BC703" s="1361">
        <f>BC965</f>
        <v/>
      </c>
      <c r="BD703" s="1379">
        <f>BD965</f>
        <v/>
      </c>
      <c r="BE703" s="1361">
        <f>BE965</f>
        <v/>
      </c>
      <c r="BF703" s="1361">
        <f>BF965</f>
        <v/>
      </c>
      <c r="BG703" s="1361">
        <f>BG965</f>
        <v/>
      </c>
      <c r="BH703" s="1361">
        <f>BH965</f>
        <v/>
      </c>
      <c r="BI703" s="1379">
        <f>BI965</f>
        <v/>
      </c>
      <c r="BJ703" s="1361">
        <f>BJ965</f>
        <v/>
      </c>
      <c r="BK703" s="1361">
        <f>BK965</f>
        <v/>
      </c>
      <c r="BL703" s="1361">
        <f>BL965</f>
        <v/>
      </c>
      <c r="BM703" s="1361">
        <f>BM965</f>
        <v/>
      </c>
      <c r="BN703" s="1379">
        <f>BN965</f>
        <v/>
      </c>
      <c r="BO703" s="1361">
        <f>BO965</f>
        <v/>
      </c>
      <c r="BP703" s="1361">
        <f>BP965</f>
        <v/>
      </c>
      <c r="BQ703" s="1363">
        <f>BQ965</f>
        <v/>
      </c>
      <c r="BR703" s="1361">
        <f>BR965</f>
        <v/>
      </c>
      <c r="BS703" s="1379">
        <f>BS965</f>
        <v/>
      </c>
      <c r="BT703" s="1361">
        <f>BT965</f>
        <v/>
      </c>
      <c r="BU703" s="1361">
        <f>BU965</f>
        <v/>
      </c>
      <c r="BV703" s="1361">
        <f>BV965</f>
        <v/>
      </c>
      <c r="BW703" s="1361">
        <f>BW965</f>
        <v/>
      </c>
      <c r="BX703" s="1379">
        <f>BX965</f>
        <v/>
      </c>
      <c r="BY703" s="1379">
        <f>BY965</f>
        <v/>
      </c>
      <c r="BZ703" s="1379">
        <f>BZ965</f>
        <v/>
      </c>
      <c r="CA703" s="1379">
        <f>CA965</f>
        <v/>
      </c>
      <c r="CB703" s="1361" t="n"/>
    </row>
    <row r="704" hidden="1" outlineLevel="2" ht="14.4" customFormat="1" customHeight="1" s="1597">
      <c r="A704" s="1762" t="inlineStr">
        <is>
          <t>Operating Lease Liabilities</t>
        </is>
      </c>
      <c r="B704" s="1613" t="n"/>
      <c r="C704" s="1614">
        <f>C966</f>
        <v/>
      </c>
      <c r="D704" s="1614">
        <f>D966</f>
        <v/>
      </c>
      <c r="E704" s="1614">
        <f>E966</f>
        <v/>
      </c>
      <c r="F704" s="1614">
        <f>F966</f>
        <v/>
      </c>
      <c r="G704" s="1615">
        <f>G966</f>
        <v/>
      </c>
      <c r="H704" s="1615">
        <f>H966</f>
        <v/>
      </c>
      <c r="I704" s="1615">
        <f>I966</f>
        <v/>
      </c>
      <c r="J704" s="1615">
        <f>J966</f>
        <v/>
      </c>
      <c r="K704" s="1614">
        <f>K966</f>
        <v/>
      </c>
      <c r="L704" s="1615">
        <f>L966</f>
        <v/>
      </c>
      <c r="M704" s="1615">
        <f>M966</f>
        <v/>
      </c>
      <c r="N704" s="1615">
        <f>N966</f>
        <v/>
      </c>
      <c r="O704" s="1615">
        <f>O966</f>
        <v/>
      </c>
      <c r="P704" s="1614">
        <f>P966</f>
        <v/>
      </c>
      <c r="Q704" s="1615">
        <f>Q966</f>
        <v/>
      </c>
      <c r="R704" s="1615">
        <f>R966</f>
        <v/>
      </c>
      <c r="S704" s="1615">
        <f>S966</f>
        <v/>
      </c>
      <c r="T704" s="1615">
        <f>T966</f>
        <v/>
      </c>
      <c r="U704" s="1614">
        <f>U966</f>
        <v/>
      </c>
      <c r="V704" s="1615">
        <f>V966</f>
        <v/>
      </c>
      <c r="W704" s="1615">
        <f>W966</f>
        <v/>
      </c>
      <c r="X704" s="1615">
        <f>X966</f>
        <v/>
      </c>
      <c r="Y704" s="1615">
        <f>Y966</f>
        <v/>
      </c>
      <c r="Z704" s="1614">
        <f>Z966</f>
        <v/>
      </c>
      <c r="AA704" s="1615">
        <f>AA966</f>
        <v/>
      </c>
      <c r="AB704" s="1615">
        <f>AB966</f>
        <v/>
      </c>
      <c r="AC704" s="1615">
        <f>AC966</f>
        <v/>
      </c>
      <c r="AD704" s="1615">
        <f>AD966</f>
        <v/>
      </c>
      <c r="AE704" s="1614">
        <f>AE966</f>
        <v/>
      </c>
      <c r="AF704" s="1615">
        <f>AF966</f>
        <v/>
      </c>
      <c r="AG704" s="1615">
        <f>AG966</f>
        <v/>
      </c>
      <c r="AH704" s="1615">
        <f>AH966</f>
        <v/>
      </c>
      <c r="AI704" s="1615">
        <f>AI966</f>
        <v/>
      </c>
      <c r="AJ704" s="1614">
        <f>AJ966</f>
        <v/>
      </c>
      <c r="AK704" s="1615">
        <f>AK966</f>
        <v/>
      </c>
      <c r="AL704" s="1615">
        <f>AL966</f>
        <v/>
      </c>
      <c r="AM704" s="1615">
        <f>AM966</f>
        <v/>
      </c>
      <c r="AN704" s="1615">
        <f>AN966</f>
        <v/>
      </c>
      <c r="AO704" s="1614">
        <f>AO966</f>
        <v/>
      </c>
      <c r="AP704" s="1615">
        <f>AP966</f>
        <v/>
      </c>
      <c r="AQ704" s="1615">
        <f>AQ966</f>
        <v/>
      </c>
      <c r="AR704" s="1615">
        <f>AR966</f>
        <v/>
      </c>
      <c r="AS704" s="1615">
        <f>AS966</f>
        <v/>
      </c>
      <c r="AT704" s="1614">
        <f>AT966</f>
        <v/>
      </c>
      <c r="AU704" s="1615">
        <f>AU966</f>
        <v/>
      </c>
      <c r="AV704" s="1615">
        <f>AV966</f>
        <v/>
      </c>
      <c r="AW704" s="1615">
        <f>AW966</f>
        <v/>
      </c>
      <c r="AX704" s="1615">
        <f>AX966</f>
        <v/>
      </c>
      <c r="AY704" s="1614">
        <f>AY966</f>
        <v/>
      </c>
      <c r="AZ704" s="1615">
        <f>AZ966</f>
        <v/>
      </c>
      <c r="BA704" s="1615">
        <f>BA966</f>
        <v/>
      </c>
      <c r="BB704" s="1615">
        <f>BB966</f>
        <v/>
      </c>
      <c r="BC704" s="1615">
        <f>BC966</f>
        <v/>
      </c>
      <c r="BD704" s="1614">
        <f>BD966</f>
        <v/>
      </c>
      <c r="BE704" s="1615">
        <f>BE966</f>
        <v/>
      </c>
      <c r="BF704" s="1615">
        <f>BF966</f>
        <v/>
      </c>
      <c r="BG704" s="1615">
        <f>BG966</f>
        <v/>
      </c>
      <c r="BH704" s="1615">
        <f>BH966</f>
        <v/>
      </c>
      <c r="BI704" s="1614">
        <f>BI966</f>
        <v/>
      </c>
      <c r="BJ704" s="1615">
        <f>BJ966</f>
        <v/>
      </c>
      <c r="BK704" s="1615">
        <f>BK966</f>
        <v/>
      </c>
      <c r="BL704" s="1615">
        <f>BL966</f>
        <v/>
      </c>
      <c r="BM704" s="1615">
        <f>BM966</f>
        <v/>
      </c>
      <c r="BN704" s="1614">
        <f>BN966</f>
        <v/>
      </c>
      <c r="BO704" s="1615">
        <f>BO966</f>
        <v/>
      </c>
      <c r="BP704" s="1615">
        <f>BP966</f>
        <v/>
      </c>
      <c r="BQ704" s="1616">
        <f>BQ966</f>
        <v/>
      </c>
      <c r="BR704" s="1615">
        <f>BR966</f>
        <v/>
      </c>
      <c r="BS704" s="1614">
        <f>BS966</f>
        <v/>
      </c>
      <c r="BT704" s="1615">
        <f>BT966</f>
        <v/>
      </c>
      <c r="BU704" s="1615">
        <f>BU966</f>
        <v/>
      </c>
      <c r="BV704" s="1615">
        <f>BV966</f>
        <v/>
      </c>
      <c r="BW704" s="1615">
        <f>BW966</f>
        <v/>
      </c>
      <c r="BX704" s="1614">
        <f>BX966</f>
        <v/>
      </c>
      <c r="BY704" s="1614">
        <f>BY966</f>
        <v/>
      </c>
      <c r="BZ704" s="1614">
        <f>BZ966</f>
        <v/>
      </c>
      <c r="CA704" s="1614">
        <f>CA966</f>
        <v/>
      </c>
      <c r="CB704" s="1361" t="n"/>
    </row>
    <row r="705" hidden="1" outlineLevel="1" collapsed="1" ht="14.4" customFormat="1" customHeight="1" s="1597">
      <c r="A705" s="1474" t="inlineStr">
        <is>
          <t>Net Debt</t>
        </is>
      </c>
      <c r="B705" s="1512" t="n"/>
      <c r="C705" s="1379">
        <f>SUM(C702:C704)</f>
        <v/>
      </c>
      <c r="D705" s="1379">
        <f>SUM(D702:D704)</f>
        <v/>
      </c>
      <c r="E705" s="1379">
        <f>SUM(E702:E704)</f>
        <v/>
      </c>
      <c r="F705" s="1379">
        <f>SUM(F702:F704)</f>
        <v/>
      </c>
      <c r="G705" s="1361">
        <f>SUM(G702:G704)</f>
        <v/>
      </c>
      <c r="H705" s="1361">
        <f>SUM(H702:H704)</f>
        <v/>
      </c>
      <c r="I705" s="1361">
        <f>SUM(I702:I704)</f>
        <v/>
      </c>
      <c r="J705" s="1361">
        <f>SUM(J702:J704)</f>
        <v/>
      </c>
      <c r="K705" s="1379">
        <f>SUM(K702:K704)</f>
        <v/>
      </c>
      <c r="L705" s="1361">
        <f>SUM(L702:L704)</f>
        <v/>
      </c>
      <c r="M705" s="1361">
        <f>SUM(M702:M704)</f>
        <v/>
      </c>
      <c r="N705" s="1361">
        <f>SUM(N702:N704)</f>
        <v/>
      </c>
      <c r="O705" s="1361">
        <f>SUM(O702:O704)</f>
        <v/>
      </c>
      <c r="P705" s="1379">
        <f>SUM(P702:P704)</f>
        <v/>
      </c>
      <c r="Q705" s="1361">
        <f>SUM(Q702:Q704)</f>
        <v/>
      </c>
      <c r="R705" s="1361">
        <f>SUM(R702:R704)</f>
        <v/>
      </c>
      <c r="S705" s="1361">
        <f>SUM(S702:S704)</f>
        <v/>
      </c>
      <c r="T705" s="1361">
        <f>SUM(T702:T704)</f>
        <v/>
      </c>
      <c r="U705" s="1379">
        <f>SUM(U702:U704)</f>
        <v/>
      </c>
      <c r="V705" s="1361">
        <f>SUM(V702:V704)</f>
        <v/>
      </c>
      <c r="W705" s="1361">
        <f>SUM(W702:W704)</f>
        <v/>
      </c>
      <c r="X705" s="1361">
        <f>SUM(X702:X704)</f>
        <v/>
      </c>
      <c r="Y705" s="1361">
        <f>SUM(Y702:Y704)</f>
        <v/>
      </c>
      <c r="Z705" s="1379">
        <f>SUM(Z702:Z704)</f>
        <v/>
      </c>
      <c r="AA705" s="1361">
        <f>SUM(AA702:AA704)</f>
        <v/>
      </c>
      <c r="AB705" s="1361">
        <f>SUM(AB702:AB704)</f>
        <v/>
      </c>
      <c r="AC705" s="1361">
        <f>SUM(AC702:AC704)</f>
        <v/>
      </c>
      <c r="AD705" s="1361">
        <f>SUM(AD702:AD704)</f>
        <v/>
      </c>
      <c r="AE705" s="1379">
        <f>SUM(AE702:AE704)</f>
        <v/>
      </c>
      <c r="AF705" s="1361">
        <f>SUM(AF702:AF704)</f>
        <v/>
      </c>
      <c r="AG705" s="1361">
        <f>SUM(AG702:AG704)</f>
        <v/>
      </c>
      <c r="AH705" s="1361">
        <f>SUM(AH702:AH704)</f>
        <v/>
      </c>
      <c r="AI705" s="1361">
        <f>SUM(AI702:AI704)</f>
        <v/>
      </c>
      <c r="AJ705" s="1379">
        <f>SUM(AJ702:AJ704)</f>
        <v/>
      </c>
      <c r="AK705" s="1361">
        <f>SUM(AK702:AK704)</f>
        <v/>
      </c>
      <c r="AL705" s="1361">
        <f>SUM(AL702:AL704)</f>
        <v/>
      </c>
      <c r="AM705" s="1361">
        <f>SUM(AM702:AM704)</f>
        <v/>
      </c>
      <c r="AN705" s="1361">
        <f>SUM(AN702:AN704)</f>
        <v/>
      </c>
      <c r="AO705" s="1379">
        <f>SUM(AO702:AO704)</f>
        <v/>
      </c>
      <c r="AP705" s="1361">
        <f>SUM(AP702:AP704)</f>
        <v/>
      </c>
      <c r="AQ705" s="1361">
        <f>SUM(AQ702:AQ704)</f>
        <v/>
      </c>
      <c r="AR705" s="1361">
        <f>SUM(AR702:AR704)</f>
        <v/>
      </c>
      <c r="AS705" s="1361">
        <f>SUM(AS702:AS704)</f>
        <v/>
      </c>
      <c r="AT705" s="1379">
        <f>SUM(AT702:AT704)</f>
        <v/>
      </c>
      <c r="AU705" s="1361">
        <f>SUM(AU702:AU704)</f>
        <v/>
      </c>
      <c r="AV705" s="1361">
        <f>SUM(AV702:AV704)</f>
        <v/>
      </c>
      <c r="AW705" s="1361">
        <f>SUM(AW702:AW704)</f>
        <v/>
      </c>
      <c r="AX705" s="1361">
        <f>SUM(AX702:AX704)</f>
        <v/>
      </c>
      <c r="AY705" s="1379">
        <f>SUM(AY702:AY704)</f>
        <v/>
      </c>
      <c r="AZ705" s="1361">
        <f>SUM(AZ702:AZ704)</f>
        <v/>
      </c>
      <c r="BA705" s="1361">
        <f>SUM(BA702:BA704)</f>
        <v/>
      </c>
      <c r="BB705" s="1361">
        <f>SUM(BB702:BB704)</f>
        <v/>
      </c>
      <c r="BC705" s="1361">
        <f>SUM(BC702:BC704)</f>
        <v/>
      </c>
      <c r="BD705" s="1379">
        <f>SUM(BD702:BD704)</f>
        <v/>
      </c>
      <c r="BE705" s="1361">
        <f>SUM(BE702:BE704)</f>
        <v/>
      </c>
      <c r="BF705" s="1361">
        <f>SUM(BF702:BF704)</f>
        <v/>
      </c>
      <c r="BG705" s="1361">
        <f>SUM(BG702:BG704)</f>
        <v/>
      </c>
      <c r="BH705" s="1361">
        <f>SUM(BH702:BH704)</f>
        <v/>
      </c>
      <c r="BI705" s="1379">
        <f>SUM(BI702:BI704)</f>
        <v/>
      </c>
      <c r="BJ705" s="1361">
        <f>SUM(BJ702:BJ704)</f>
        <v/>
      </c>
      <c r="BK705" s="1361">
        <f>SUM(BK702:BK704)</f>
        <v/>
      </c>
      <c r="BL705" s="1361">
        <f>SUM(BL702:BL704)</f>
        <v/>
      </c>
      <c r="BM705" s="1361">
        <f>SUM(BM702:BM704)</f>
        <v/>
      </c>
      <c r="BN705" s="1379">
        <f>SUM(BN702:BN704)</f>
        <v/>
      </c>
      <c r="BO705" s="1361">
        <f>SUM(BO702:BO704)</f>
        <v/>
      </c>
      <c r="BP705" s="1361">
        <f>SUM(BP702:BP704)</f>
        <v/>
      </c>
      <c r="BQ705" s="1363">
        <f>SUM(BQ702:BQ704)</f>
        <v/>
      </c>
      <c r="BR705" s="1361">
        <f>SUM(BR702:BR704)</f>
        <v/>
      </c>
      <c r="BS705" s="1379">
        <f>SUM(BS702:BS704)</f>
        <v/>
      </c>
      <c r="BT705" s="1361">
        <f>SUM(BT702:BT704)</f>
        <v/>
      </c>
      <c r="BU705" s="1361">
        <f>SUM(BU702:BU704)</f>
        <v/>
      </c>
      <c r="BV705" s="1361">
        <f>SUM(BV702:BV704)</f>
        <v/>
      </c>
      <c r="BW705" s="1361">
        <f>SUM(BW702:BW704)</f>
        <v/>
      </c>
      <c r="BX705" s="1379">
        <f>SUM(BX702:BX704)</f>
        <v/>
      </c>
      <c r="BY705" s="1379">
        <f>SUM(BY702:BY704)</f>
        <v/>
      </c>
      <c r="BZ705" s="1379">
        <f>SUM(BZ702:BZ704)</f>
        <v/>
      </c>
      <c r="CA705" s="1379">
        <f>SUM(CA702:CA704)</f>
        <v/>
      </c>
      <c r="CB705" s="1361" t="n"/>
    </row>
    <row r="706" hidden="1" outlineLevel="1" ht="14.4" customFormat="1" customHeight="1" s="1597">
      <c r="A706" s="1474" t="inlineStr">
        <is>
          <t>Convertible Debt Conversion Impact</t>
        </is>
      </c>
      <c r="B706" s="1512" t="n"/>
      <c r="C706" s="1379">
        <f>-IF(C605&gt;0,C602)-IF(C622&gt;0,C619)-IF(C639&gt;0,C636)-IF(C656&gt;0,C653)-IF(C673&gt;0,C670)</f>
        <v/>
      </c>
      <c r="D706" s="1379">
        <f>-IF(D605&gt;0,D602)-IF(D622&gt;0,D619)-IF(D639&gt;0,D636)-IF(D656&gt;0,D653)-IF(D673&gt;0,D670)</f>
        <v/>
      </c>
      <c r="E706" s="1379">
        <f>-IF(E605&gt;0,E602)-IF(E622&gt;0,E619)-IF(E639&gt;0,E636)-IF(E656&gt;0,E653)-IF(E673&gt;0,E670)</f>
        <v/>
      </c>
      <c r="F706" s="1379">
        <f>-IF(F605&gt;0,F602)-IF(F622&gt;0,F619)-IF(F639&gt;0,F636)-IF(F656&gt;0,F653)-IF(F673&gt;0,F670)</f>
        <v/>
      </c>
      <c r="G706" s="1361">
        <f>-IF(G605&gt;0,G602)-IF(G622&gt;0,G619)-IF(G639&gt;0,G636)-IF(G656&gt;0,G653)-IF(G673&gt;0,G670)</f>
        <v/>
      </c>
      <c r="H706" s="1361">
        <f>-IF(H605&gt;0,H602)-IF(H622&gt;0,H619)-IF(H639&gt;0,H636)-IF(H656&gt;0,H653)-IF(H673&gt;0,H670)</f>
        <v/>
      </c>
      <c r="I706" s="1361">
        <f>-IF(I605&gt;0,I602)-IF(I622&gt;0,I619)-IF(I639&gt;0,I636)-IF(I656&gt;0,I653)-IF(I673&gt;0,I670)</f>
        <v/>
      </c>
      <c r="J706" s="1361">
        <f>-IF(J605&gt;0,J602)-IF(J622&gt;0,J619)-IF(J639&gt;0,J636)-IF(J656&gt;0,J653)-IF(J673&gt;0,J670)</f>
        <v/>
      </c>
      <c r="K706" s="1379">
        <f>-IF(K605&gt;0,K602)-IF(K622&gt;0,K619)-IF(K639&gt;0,K636)-IF(K656&gt;0,K653)-IF(K673&gt;0,K670)</f>
        <v/>
      </c>
      <c r="L706" s="1361">
        <f>-IF(L605&gt;0,L602)-IF(L622&gt;0,L619)-IF(L639&gt;0,L636)-IF(L656&gt;0,L653)-IF(L673&gt;0,L670)</f>
        <v/>
      </c>
      <c r="M706" s="1361">
        <f>-IF(M605&gt;0,M602)-IF(M622&gt;0,M619)-IF(M639&gt;0,M636)-IF(M656&gt;0,M653)-IF(M673&gt;0,M670)</f>
        <v/>
      </c>
      <c r="N706" s="1361">
        <f>-IF(N605&gt;0,N602)-IF(N622&gt;0,N619)-IF(N639&gt;0,N636)-IF(N656&gt;0,N653)-IF(N673&gt;0,N670)</f>
        <v/>
      </c>
      <c r="O706" s="1361">
        <f>-IF(O605&gt;0,O602)-IF(O622&gt;0,O619)-IF(O639&gt;0,O636)-IF(O656&gt;0,O653)-IF(O673&gt;0,O670)</f>
        <v/>
      </c>
      <c r="P706" s="1379">
        <f>-IF(P605&gt;0,P602)-IF(P622&gt;0,P619)-IF(P639&gt;0,P636)-IF(P656&gt;0,P653)-IF(P673&gt;0,P670)</f>
        <v/>
      </c>
      <c r="Q706" s="1361">
        <f>-IF(Q605&gt;0,Q602)-IF(Q622&gt;0,Q619)-IF(Q639&gt;0,Q636)-IF(Q656&gt;0,Q653)-IF(Q673&gt;0,Q670)</f>
        <v/>
      </c>
      <c r="R706" s="1361">
        <f>-IF(R605&gt;0,R602)-IF(R622&gt;0,R619)-IF(R639&gt;0,R636)-IF(R656&gt;0,R653)-IF(R673&gt;0,R670)</f>
        <v/>
      </c>
      <c r="S706" s="1361">
        <f>-IF(S605&gt;0,S602)-IF(S622&gt;0,S619)-IF(S639&gt;0,S636)-IF(S656&gt;0,S653)-IF(S673&gt;0,S670)</f>
        <v/>
      </c>
      <c r="T706" s="1361">
        <f>-IF(T605&gt;0,T602)-IF(T622&gt;0,T619)-IF(T639&gt;0,T636)-IF(T656&gt;0,T653)-IF(T673&gt;0,T670)</f>
        <v/>
      </c>
      <c r="U706" s="1379">
        <f>-IF(U605&gt;0,U602)-IF(U622&gt;0,U619)-IF(U639&gt;0,U636)-IF(U656&gt;0,U653)-IF(U673&gt;0,U670)</f>
        <v/>
      </c>
      <c r="V706" s="1361">
        <f>-IF(V605&gt;0,V602)-IF(V622&gt;0,V619)-IF(V639&gt;0,V636)-IF(V656&gt;0,V653)-IF(V673&gt;0,V670)</f>
        <v/>
      </c>
      <c r="W706" s="1361">
        <f>-IF(W605&gt;0,W602)-IF(W622&gt;0,W619)-IF(W639&gt;0,W636)-IF(W656&gt;0,W653)-IF(W673&gt;0,W670)</f>
        <v/>
      </c>
      <c r="X706" s="1361">
        <f>-IF(X605&gt;0,X602)-IF(X622&gt;0,X619)-IF(X639&gt;0,X636)-IF(X656&gt;0,X653)-IF(X673&gt;0,X670)</f>
        <v/>
      </c>
      <c r="Y706" s="1361">
        <f>-IF(Y605&gt;0,Y602)-IF(Y622&gt;0,Y619)-IF(Y639&gt;0,Y636)-IF(Y656&gt;0,Y653)-IF(Y673&gt;0,Y670)</f>
        <v/>
      </c>
      <c r="Z706" s="1379">
        <f>-IF(Z605&gt;0,Z602)-IF(Z622&gt;0,Z619)-IF(Z639&gt;0,Z636)-IF(Z656&gt;0,Z653)-IF(Z673&gt;0,Z670)</f>
        <v/>
      </c>
      <c r="AA706" s="1361">
        <f>-IF(AA605&gt;0,AA602)-IF(AA622&gt;0,AA619)-IF(AA639&gt;0,AA636)-IF(AA656&gt;0,AA653)-IF(AA673&gt;0,AA670)</f>
        <v/>
      </c>
      <c r="AB706" s="1361">
        <f>-IF(AB605&gt;0,AB602)-IF(AB622&gt;0,AB619)-IF(AB639&gt;0,AB636)-IF(AB656&gt;0,AB653)-IF(AB673&gt;0,AB670)</f>
        <v/>
      </c>
      <c r="AC706" s="1361">
        <f>-IF(AC605&gt;0,AC602)-IF(AC622&gt;0,AC619)-IF(AC639&gt;0,AC636)-IF(AC656&gt;0,AC653)-IF(AC673&gt;0,AC670)</f>
        <v/>
      </c>
      <c r="AD706" s="1361">
        <f>-IF(AD605&gt;0,AD602)-IF(AD622&gt;0,AD619)-IF(AD639&gt;0,AD636)-IF(AD656&gt;0,AD653)-IF(AD673&gt;0,AD670)</f>
        <v/>
      </c>
      <c r="AE706" s="1379">
        <f>-IF(AE605&gt;0,AE602)-IF(AE622&gt;0,AE619)-IF(AE639&gt;0,AE636)-IF(AE656&gt;0,AE653)-IF(AE673&gt;0,AE670)</f>
        <v/>
      </c>
      <c r="AF706" s="1361">
        <f>-IF(AF605&gt;0,AF602)-IF(AF622&gt;0,AF619)-IF(AF639&gt;0,AF636)-IF(AF656&gt;0,AF653)-IF(AF673&gt;0,AF670)</f>
        <v/>
      </c>
      <c r="AG706" s="1361">
        <f>-IF(AG605&gt;0,AG602)-IF(AG622&gt;0,AG619)-IF(AG639&gt;0,AG636)-IF(AG656&gt;0,AG653)-IF(AG673&gt;0,AG670)</f>
        <v/>
      </c>
      <c r="AH706" s="1361">
        <f>-IF(AH605&gt;0,AH602)-IF(AH622&gt;0,AH619)-IF(AH639&gt;0,AH636)-IF(AH656&gt;0,AH653)-IF(AH673&gt;0,AH670)</f>
        <v/>
      </c>
      <c r="AI706" s="1361">
        <f>-IF(AI605&gt;0,AI602)-IF(AI622&gt;0,AI619)-IF(AI639&gt;0,AI636)-IF(AI656&gt;0,AI653)-IF(AI673&gt;0,AI670)</f>
        <v/>
      </c>
      <c r="AJ706" s="1379">
        <f>-IF(AJ605&gt;0,AJ602)-IF(AJ622&gt;0,AJ619)-IF(AJ639&gt;0,AJ636)-IF(AJ656&gt;0,AJ653)-IF(AJ673&gt;0,AJ670)</f>
        <v/>
      </c>
      <c r="AK706" s="1361">
        <f>-IF(AK605&gt;0,AK602)-IF(AK622&gt;0,AK619)-IF(AK639&gt;0,AK636)-IF(AK656&gt;0,AK653)-IF(AK673&gt;0,AK670)</f>
        <v/>
      </c>
      <c r="AL706" s="1361">
        <f>-IF(AL605&gt;0,AL602)-IF(AL622&gt;0,AL619)-IF(AL639&gt;0,AL636)-IF(AL656&gt;0,AL653)-IF(AL673&gt;0,AL670)</f>
        <v/>
      </c>
      <c r="AM706" s="1361">
        <f>-IF(AM605&gt;0,AM602)-IF(AM622&gt;0,AM619)-IF(AM639&gt;0,AM636)-IF(AM656&gt;0,AM653)-IF(AM673&gt;0,AM670)</f>
        <v/>
      </c>
      <c r="AN706" s="1361">
        <f>-IF(AN605&gt;0,AN602)-IF(AN622&gt;0,AN619)-IF(AN639&gt;0,AN636)-IF(AN656&gt;0,AN653)-IF(AN673&gt;0,AN670)</f>
        <v/>
      </c>
      <c r="AO706" s="1379">
        <f>-IF(AO605&gt;0,AO602)-IF(AO622&gt;0,AO619)-IF(AO639&gt;0,AO636)-IF(AO656&gt;0,AO653)-IF(AO673&gt;0,AO670)</f>
        <v/>
      </c>
      <c r="AP706" s="1361">
        <f>-IF(AP605&gt;0,AP602)-IF(AP622&gt;0,AP619)-IF(AP639&gt;0,AP636)-IF(AP656&gt;0,AP653)-IF(AP673&gt;0,AP670)</f>
        <v/>
      </c>
      <c r="AQ706" s="1361">
        <f>-IF(AQ605&gt;0,AQ602)-IF(AQ622&gt;0,AQ619)-IF(AQ639&gt;0,AQ636)-IF(AQ656&gt;0,AQ653)-IF(AQ673&gt;0,AQ670)</f>
        <v/>
      </c>
      <c r="AR706" s="1361">
        <f>-IF(AR605&gt;0,AR602)-IF(AR622&gt;0,AR619)-IF(AR639&gt;0,AR636)-IF(AR656&gt;0,AR653)-IF(AR673&gt;0,AR670)</f>
        <v/>
      </c>
      <c r="AS706" s="1361">
        <f>-IF(AS605&gt;0,AS602)-IF(AS622&gt;0,AS619)-IF(AS639&gt;0,AS636)-IF(AS656&gt;0,AS653)-IF(AS673&gt;0,AS670)</f>
        <v/>
      </c>
      <c r="AT706" s="1379">
        <f>-IF(AT605&gt;0,AT602)-IF(AT622&gt;0,AT619)-IF(AT639&gt;0,AT636)-IF(AT656&gt;0,AT653)-IF(AT673&gt;0,AT670)</f>
        <v/>
      </c>
      <c r="AU706" s="1361">
        <f>-IF(AU605&gt;0,AU602)-IF(AU622&gt;0,AU619)-IF(AU639&gt;0,AU636)-IF(AU656&gt;0,AU653)-IF(AU673&gt;0,AU670)</f>
        <v/>
      </c>
      <c r="AV706" s="1361">
        <f>-IF(AV605&gt;0,AV602)-IF(AV622&gt;0,AV619)-IF(AV639&gt;0,AV636)-IF(AV656&gt;0,AV653)-IF(AV673&gt;0,AV670)</f>
        <v/>
      </c>
      <c r="AW706" s="1361">
        <f>-IF(AW605&gt;0,AW602)-IF(AW622&gt;0,AW619)-IF(AW639&gt;0,AW636)-IF(AW656&gt;0,AW653)-IF(AW673&gt;0,AW670)</f>
        <v/>
      </c>
      <c r="AX706" s="1361">
        <f>-IF(AX605&gt;0,AX602)-IF(AX622&gt;0,AX619)-IF(AX639&gt;0,AX636)-IF(AX656&gt;0,AX653)-IF(AX673&gt;0,AX670)</f>
        <v/>
      </c>
      <c r="AY706" s="1379">
        <f>-IF(AY605&gt;0,AY602)-IF(AY622&gt;0,AY619)-IF(AY639&gt;0,AY636)-IF(AY656&gt;0,AY653)-IF(AY673&gt;0,AY670)</f>
        <v/>
      </c>
      <c r="AZ706" s="1361">
        <f>-IF(AZ605&gt;0,AZ602)-IF(AZ622&gt;0,AZ619)-IF(AZ639&gt;0,AZ636)-IF(AZ656&gt;0,AZ653)-IF(AZ673&gt;0,AZ670)</f>
        <v/>
      </c>
      <c r="BA706" s="1361">
        <f>-IF(BA605&gt;0,BA602)-IF(BA622&gt;0,BA619)-IF(BA639&gt;0,BA636)-IF(BA656&gt;0,BA653)-IF(BA673&gt;0,BA670)</f>
        <v/>
      </c>
      <c r="BB706" s="1361">
        <f>-IF(BB605&gt;0,BB602)-IF(BB622&gt;0,BB619)-IF(BB639&gt;0,BB636)-IF(BB656&gt;0,BB653)-IF(BB673&gt;0,BB670)</f>
        <v/>
      </c>
      <c r="BC706" s="1361">
        <f>-IF(BC605&gt;0,BC602)-IF(BC622&gt;0,BC619)-IF(BC639&gt;0,BC636)-IF(BC656&gt;0,BC653)-IF(BC673&gt;0,BC670)</f>
        <v/>
      </c>
      <c r="BD706" s="1379">
        <f>-IF(BD605&gt;0,BD602)-IF(BD622&gt;0,BD619)-IF(BD639&gt;0,BD636)-IF(BD656&gt;0,BD653)-IF(BD673&gt;0,BD670)</f>
        <v/>
      </c>
      <c r="BE706" s="1361">
        <f>-IF(BE605&gt;0,BE602)-IF(BE622&gt;0,BE619)-IF(BE639&gt;0,BE636)-IF(BE656&gt;0,BE653)-IF(BE673&gt;0,BE670)</f>
        <v/>
      </c>
      <c r="BF706" s="1361">
        <f>-IF(BF605&gt;0,BF602)-IF(BF622&gt;0,BF619)-IF(BF639&gt;0,BF636)-IF(BF656&gt;0,BF653)-IF(BF673&gt;0,BF670)</f>
        <v/>
      </c>
      <c r="BG706" s="1361">
        <f>-IF(BG605&gt;0,BG602)-IF(BG622&gt;0,BG619)-IF(BG639&gt;0,BG636)-IF(BG656&gt;0,BG653)-IF(BG673&gt;0,BG670)</f>
        <v/>
      </c>
      <c r="BH706" s="1361">
        <f>-IF(BH605&gt;0,BH602)-IF(BH622&gt;0,BH619)-IF(BH639&gt;0,BH636)-IF(BH656&gt;0,BH653)-IF(BH673&gt;0,BH670)</f>
        <v/>
      </c>
      <c r="BI706" s="1379">
        <f>-IF(BI605&gt;0,BI602)-IF(BI622&gt;0,BI619)-IF(BI639&gt;0,BI636)-IF(BI656&gt;0,BI653)-IF(BI673&gt;0,BI670)</f>
        <v/>
      </c>
      <c r="BJ706" s="1361">
        <f>-IF(BJ605&gt;0,BJ602)-IF(BJ622&gt;0,BJ619)-IF(BJ639&gt;0,BJ636)-IF(BJ656&gt;0,BJ653)-IF(BJ673&gt;0,BJ670)</f>
        <v/>
      </c>
      <c r="BK706" s="1361">
        <f>-IF(BK605&gt;0,BK602)-IF(BK622&gt;0,BK619)-IF(BK639&gt;0,BK636)-IF(BK656&gt;0,BK653)-IF(BK673&gt;0,BK670)</f>
        <v/>
      </c>
      <c r="BL706" s="1361">
        <f>-IF(BL605&gt;0,BL602)-IF(BL622&gt;0,BL619)-IF(BL639&gt;0,BL636)-IF(BL656&gt;0,BL653)-IF(BL673&gt;0,BL670)</f>
        <v/>
      </c>
      <c r="BM706" s="1361">
        <f>-IF(BM605&gt;0,BM602)-IF(BM622&gt;0,BM619)-IF(BM639&gt;0,BM636)-IF(BM656&gt;0,BM653)-IF(BM673&gt;0,BM670)</f>
        <v/>
      </c>
      <c r="BN706" s="1379">
        <f>-IF(BN605&gt;0,BN602)-IF(BN622&gt;0,BN619)-IF(BN639&gt;0,BN636)-IF(BN656&gt;0,BN653)-IF(BN673&gt;0,BN670)</f>
        <v/>
      </c>
      <c r="BO706" s="1361">
        <f>-IF(BO605&gt;0,BO602)-IF(BO622&gt;0,BO619)-IF(BO639&gt;0,BO636)-IF(BO656&gt;0,BO653)-IF(BO673&gt;0,BO670)</f>
        <v/>
      </c>
      <c r="BP706" s="1361">
        <f>-IF(BP605&gt;0,BP602)-IF(BP622&gt;0,BP619)-IF(BP639&gt;0,BP636)-IF(BP656&gt;0,BP653)-IF(BP673&gt;0,BP670)</f>
        <v/>
      </c>
      <c r="BQ706" s="1363">
        <f>-IF(BQ605&gt;0,BQ602)-IF(BQ622&gt;0,BQ619)-IF(BQ639&gt;0,BQ636)-IF(BQ656&gt;0,BQ653)-IF(BQ673&gt;0,BQ670)</f>
        <v/>
      </c>
      <c r="BR706" s="1361">
        <f>-IF(BR605&gt;0,BR602)-IF(BR622&gt;0,BR619)-IF(BR639&gt;0,BR636)-IF(BR656&gt;0,BR653)-IF(BR673&gt;0,BR670)</f>
        <v/>
      </c>
      <c r="BS706" s="1379">
        <f>-IF(BS605&gt;0,BS602)-IF(BS622&gt;0,BS619)-IF(BS639&gt;0,BS636)-IF(BS656&gt;0,BS653)-IF(BS673&gt;0,BS670)</f>
        <v/>
      </c>
      <c r="BT706" s="1361">
        <f>-IF(BT605&gt;0,BT602)-IF(BT622&gt;0,BT619)-IF(BT639&gt;0,BT636)-IF(BT656&gt;0,BT653)-IF(BT673&gt;0,BT670)</f>
        <v/>
      </c>
      <c r="BU706" s="1361">
        <f>-IF(BU605&gt;0,BU602)-IF(BU622&gt;0,BU619)-IF(BU639&gt;0,BU636)-IF(BU656&gt;0,BU653)-IF(BU673&gt;0,BU670)</f>
        <v/>
      </c>
      <c r="BV706" s="1361">
        <f>-IF(BV605&gt;0,BV602)-IF(BV622&gt;0,BV619)-IF(BV639&gt;0,BV636)-IF(BV656&gt;0,BV653)-IF(BV673&gt;0,BV670)</f>
        <v/>
      </c>
      <c r="BW706" s="1361">
        <f>-IF(BW605&gt;0,BW602)-IF(BW622&gt;0,BW619)-IF(BW639&gt;0,BW636)-IF(BW656&gt;0,BW653)-IF(BW673&gt;0,BW670)</f>
        <v/>
      </c>
      <c r="BX706" s="1379">
        <f>-IF(BX605&gt;0,BX602)-IF(BX622&gt;0,BX619)-IF(BX639&gt;0,BX636)-IF(BX656&gt;0,BX653)-IF(BX673&gt;0,BX670)</f>
        <v/>
      </c>
      <c r="BY706" s="1379">
        <f>-IF(BY605&gt;0,BY602)-IF(BY622&gt;0,BY619)-IF(BY639&gt;0,BY636)-IF(BY656&gt;0,BY653)-IF(BY673&gt;0,BY670)</f>
        <v/>
      </c>
      <c r="BZ706" s="1379">
        <f>-IF(BZ605&gt;0,BZ602)-IF(BZ622&gt;0,BZ619)-IF(BZ639&gt;0,BZ636)-IF(BZ656&gt;0,BZ653)-IF(BZ673&gt;0,BZ670)</f>
        <v/>
      </c>
      <c r="CA706" s="1379">
        <f>-IF(CA605&gt;0,CA602)-IF(CA622&gt;0,CA619)-IF(CA639&gt;0,CA636)-IF(CA656&gt;0,CA653)-IF(CA673&gt;0,CA670)</f>
        <v/>
      </c>
      <c r="CB706" s="1361" t="n"/>
    </row>
    <row r="707" hidden="1" outlineLevel="1" ht="14.4" customFormat="1" customHeight="1" s="1597">
      <c r="A707" s="1755" t="inlineStr">
        <is>
          <t>Adjusted Debt</t>
        </is>
      </c>
      <c r="B707" s="1756" t="n"/>
      <c r="C707" s="1757">
        <f>C705+C706</f>
        <v/>
      </c>
      <c r="D707" s="1757">
        <f>D705+D706</f>
        <v/>
      </c>
      <c r="E707" s="1757">
        <f>E705+E706</f>
        <v/>
      </c>
      <c r="F707" s="1757">
        <f>F705+F706</f>
        <v/>
      </c>
      <c r="G707" s="1755">
        <f>G705+G706</f>
        <v/>
      </c>
      <c r="H707" s="1755">
        <f>H705+H706</f>
        <v/>
      </c>
      <c r="I707" s="1755">
        <f>I705+I706</f>
        <v/>
      </c>
      <c r="J707" s="1755">
        <f>J705+J706</f>
        <v/>
      </c>
      <c r="K707" s="1757">
        <f>K705+K706</f>
        <v/>
      </c>
      <c r="L707" s="1755">
        <f>L705+L706</f>
        <v/>
      </c>
      <c r="M707" s="1755">
        <f>M705+M706</f>
        <v/>
      </c>
      <c r="N707" s="1755">
        <f>N705+N706</f>
        <v/>
      </c>
      <c r="O707" s="1755">
        <f>O705+O706</f>
        <v/>
      </c>
      <c r="P707" s="1757">
        <f>P705+P706</f>
        <v/>
      </c>
      <c r="Q707" s="1755">
        <f>Q705+Q706</f>
        <v/>
      </c>
      <c r="R707" s="1755">
        <f>R705+R706</f>
        <v/>
      </c>
      <c r="S707" s="1755">
        <f>S705+S706</f>
        <v/>
      </c>
      <c r="T707" s="1755">
        <f>T705+T706</f>
        <v/>
      </c>
      <c r="U707" s="1757">
        <f>U705+U706</f>
        <v/>
      </c>
      <c r="V707" s="1755">
        <f>V705+V706</f>
        <v/>
      </c>
      <c r="W707" s="1755">
        <f>W705+W706</f>
        <v/>
      </c>
      <c r="X707" s="1755">
        <f>X705+X706</f>
        <v/>
      </c>
      <c r="Y707" s="1755">
        <f>Y705+Y706</f>
        <v/>
      </c>
      <c r="Z707" s="1757">
        <f>Z705+Z706</f>
        <v/>
      </c>
      <c r="AA707" s="1755">
        <f>AA705+AA706</f>
        <v/>
      </c>
      <c r="AB707" s="1755">
        <f>AB705+AB706</f>
        <v/>
      </c>
      <c r="AC707" s="1755">
        <f>AC705+AC706</f>
        <v/>
      </c>
      <c r="AD707" s="1755">
        <f>AD705+AD706</f>
        <v/>
      </c>
      <c r="AE707" s="1757">
        <f>AE705+AE706</f>
        <v/>
      </c>
      <c r="AF707" s="1755">
        <f>AF705+AF706</f>
        <v/>
      </c>
      <c r="AG707" s="1755">
        <f>AG705+AG706</f>
        <v/>
      </c>
      <c r="AH707" s="1755">
        <f>AH705+AH706</f>
        <v/>
      </c>
      <c r="AI707" s="1755">
        <f>AI705+AI706</f>
        <v/>
      </c>
      <c r="AJ707" s="1757">
        <f>AJ705+AJ706</f>
        <v/>
      </c>
      <c r="AK707" s="1755">
        <f>AK705+AK706</f>
        <v/>
      </c>
      <c r="AL707" s="1755">
        <f>AL705+AL706</f>
        <v/>
      </c>
      <c r="AM707" s="1755">
        <f>AM705+AM706</f>
        <v/>
      </c>
      <c r="AN707" s="1755">
        <f>AN705+AN706</f>
        <v/>
      </c>
      <c r="AO707" s="1757">
        <f>AO705+AO706</f>
        <v/>
      </c>
      <c r="AP707" s="1755">
        <f>AP705+AP706</f>
        <v/>
      </c>
      <c r="AQ707" s="1755">
        <f>AQ705+AQ706</f>
        <v/>
      </c>
      <c r="AR707" s="1755">
        <f>AR705+AR706</f>
        <v/>
      </c>
      <c r="AS707" s="1755">
        <f>AS705+AS706</f>
        <v/>
      </c>
      <c r="AT707" s="1757">
        <f>AT705+AT706</f>
        <v/>
      </c>
      <c r="AU707" s="1755">
        <f>AU705+AU706</f>
        <v/>
      </c>
      <c r="AV707" s="1755">
        <f>AV705+AV706</f>
        <v/>
      </c>
      <c r="AW707" s="1755">
        <f>AW705+AW706</f>
        <v/>
      </c>
      <c r="AX707" s="1755">
        <f>AX705+AX706</f>
        <v/>
      </c>
      <c r="AY707" s="1757">
        <f>AY705+AY706</f>
        <v/>
      </c>
      <c r="AZ707" s="1755">
        <f>AZ705+AZ706</f>
        <v/>
      </c>
      <c r="BA707" s="1755">
        <f>BA705+BA706</f>
        <v/>
      </c>
      <c r="BB707" s="1755">
        <f>BB705+BB706</f>
        <v/>
      </c>
      <c r="BC707" s="1755">
        <f>BC705+BC706</f>
        <v/>
      </c>
      <c r="BD707" s="1757">
        <f>BD705+BD706</f>
        <v/>
      </c>
      <c r="BE707" s="1755">
        <f>BE705+BE706</f>
        <v/>
      </c>
      <c r="BF707" s="1755">
        <f>BF705+BF706</f>
        <v/>
      </c>
      <c r="BG707" s="1755">
        <f>BG705+BG706</f>
        <v/>
      </c>
      <c r="BH707" s="1755">
        <f>BH705+BH706</f>
        <v/>
      </c>
      <c r="BI707" s="1757">
        <f>BI705+BI706</f>
        <v/>
      </c>
      <c r="BJ707" s="1755">
        <f>BJ705+BJ706</f>
        <v/>
      </c>
      <c r="BK707" s="1755">
        <f>BK705+BK706</f>
        <v/>
      </c>
      <c r="BL707" s="1755">
        <f>BL705+BL706</f>
        <v/>
      </c>
      <c r="BM707" s="1755">
        <f>BM705+BM706</f>
        <v/>
      </c>
      <c r="BN707" s="1757">
        <f>BN705+BN706</f>
        <v/>
      </c>
      <c r="BO707" s="1755">
        <f>BO705+BO706</f>
        <v/>
      </c>
      <c r="BP707" s="1755">
        <f>BP705+BP706</f>
        <v/>
      </c>
      <c r="BQ707" s="1758">
        <f>BQ705+BQ706</f>
        <v/>
      </c>
      <c r="BR707" s="1755">
        <f>BR705+BR706</f>
        <v/>
      </c>
      <c r="BS707" s="1757">
        <f>BS705+BS706</f>
        <v/>
      </c>
      <c r="BT707" s="1755">
        <f>BT705+BT706</f>
        <v/>
      </c>
      <c r="BU707" s="1755">
        <f>BU705+BU706</f>
        <v/>
      </c>
      <c r="BV707" s="1755">
        <f>BV705+BV706</f>
        <v/>
      </c>
      <c r="BW707" s="1755">
        <f>BW705+BW706</f>
        <v/>
      </c>
      <c r="BX707" s="1757">
        <f>BX705+BX706</f>
        <v/>
      </c>
      <c r="BY707" s="1757">
        <f>BY705+BY706</f>
        <v/>
      </c>
      <c r="BZ707" s="1757">
        <f>BZ705+BZ706</f>
        <v/>
      </c>
      <c r="CA707" s="1757">
        <f>CA705+CA706</f>
        <v/>
      </c>
      <c r="CB707" s="1361" t="n"/>
    </row>
    <row r="708" hidden="1" outlineLevel="1" ht="14.4" customFormat="1" customHeight="1" s="1597">
      <c r="A708" s="1474" t="inlineStr">
        <is>
          <t>Noncontrolling Interest</t>
        </is>
      </c>
      <c r="B708" s="1512" t="n"/>
      <c r="C708" s="1379">
        <f>C1000</f>
        <v/>
      </c>
      <c r="D708" s="1379">
        <f>D1000</f>
        <v/>
      </c>
      <c r="E708" s="1379">
        <f>E1000</f>
        <v/>
      </c>
      <c r="F708" s="1379">
        <f>F1000</f>
        <v/>
      </c>
      <c r="G708" s="1361">
        <f>G1000</f>
        <v/>
      </c>
      <c r="H708" s="1361">
        <f>H1000</f>
        <v/>
      </c>
      <c r="I708" s="1361">
        <f>I1000</f>
        <v/>
      </c>
      <c r="J708" s="1361">
        <f>J1000</f>
        <v/>
      </c>
      <c r="K708" s="1379">
        <f>K1000</f>
        <v/>
      </c>
      <c r="L708" s="1361">
        <f>L1000</f>
        <v/>
      </c>
      <c r="M708" s="1361">
        <f>M1000</f>
        <v/>
      </c>
      <c r="N708" s="1361">
        <f>N1000</f>
        <v/>
      </c>
      <c r="O708" s="1361">
        <f>O1000</f>
        <v/>
      </c>
      <c r="P708" s="1379">
        <f>P1000</f>
        <v/>
      </c>
      <c r="Q708" s="1361">
        <f>Q1000</f>
        <v/>
      </c>
      <c r="R708" s="1361">
        <f>R1000</f>
        <v/>
      </c>
      <c r="S708" s="1361">
        <f>S1000</f>
        <v/>
      </c>
      <c r="T708" s="1361">
        <f>T1000</f>
        <v/>
      </c>
      <c r="U708" s="1379">
        <f>U1000</f>
        <v/>
      </c>
      <c r="V708" s="1361">
        <f>V1000</f>
        <v/>
      </c>
      <c r="W708" s="1361">
        <f>W1000</f>
        <v/>
      </c>
      <c r="X708" s="1361">
        <f>X1000</f>
        <v/>
      </c>
      <c r="Y708" s="1361">
        <f>Y1000</f>
        <v/>
      </c>
      <c r="Z708" s="1379">
        <f>Z1000</f>
        <v/>
      </c>
      <c r="AA708" s="1361">
        <f>AA1000</f>
        <v/>
      </c>
      <c r="AB708" s="1361">
        <f>AB1000</f>
        <v/>
      </c>
      <c r="AC708" s="1361">
        <f>AC1000</f>
        <v/>
      </c>
      <c r="AD708" s="1361">
        <f>AD1000</f>
        <v/>
      </c>
      <c r="AE708" s="1379">
        <f>AE1000</f>
        <v/>
      </c>
      <c r="AF708" s="1361">
        <f>AF1000</f>
        <v/>
      </c>
      <c r="AG708" s="1361">
        <f>AG1000</f>
        <v/>
      </c>
      <c r="AH708" s="1361">
        <f>AH1000</f>
        <v/>
      </c>
      <c r="AI708" s="1361">
        <f>AI1000</f>
        <v/>
      </c>
      <c r="AJ708" s="1379">
        <f>AJ1000</f>
        <v/>
      </c>
      <c r="AK708" s="1361">
        <f>AK1000</f>
        <v/>
      </c>
      <c r="AL708" s="1361">
        <f>AL1000</f>
        <v/>
      </c>
      <c r="AM708" s="1361">
        <f>AM1000</f>
        <v/>
      </c>
      <c r="AN708" s="1361">
        <f>AN1000</f>
        <v/>
      </c>
      <c r="AO708" s="1379">
        <f>AO1000</f>
        <v/>
      </c>
      <c r="AP708" s="1361">
        <f>AP1000</f>
        <v/>
      </c>
      <c r="AQ708" s="1361">
        <f>AQ1000</f>
        <v/>
      </c>
      <c r="AR708" s="1361">
        <f>AR1000</f>
        <v/>
      </c>
      <c r="AS708" s="1361">
        <f>AS1000</f>
        <v/>
      </c>
      <c r="AT708" s="1379">
        <f>AT1000</f>
        <v/>
      </c>
      <c r="AU708" s="1361">
        <f>AU1000</f>
        <v/>
      </c>
      <c r="AV708" s="1361">
        <f>AV1000</f>
        <v/>
      </c>
      <c r="AW708" s="1361">
        <f>AW1000</f>
        <v/>
      </c>
      <c r="AX708" s="1361">
        <f>AX1000</f>
        <v/>
      </c>
      <c r="AY708" s="1379">
        <f>AY1000</f>
        <v/>
      </c>
      <c r="AZ708" s="1361">
        <f>AZ1000</f>
        <v/>
      </c>
      <c r="BA708" s="1361">
        <f>BA1000</f>
        <v/>
      </c>
      <c r="BB708" s="1361">
        <f>BB1000</f>
        <v/>
      </c>
      <c r="BC708" s="1361">
        <f>BC1000</f>
        <v/>
      </c>
      <c r="BD708" s="1379">
        <f>BD1000</f>
        <v/>
      </c>
      <c r="BE708" s="1361">
        <f>BE1000</f>
        <v/>
      </c>
      <c r="BF708" s="1361">
        <f>BF1000</f>
        <v/>
      </c>
      <c r="BG708" s="1361">
        <f>BG1000</f>
        <v/>
      </c>
      <c r="BH708" s="1361">
        <f>BH1000</f>
        <v/>
      </c>
      <c r="BI708" s="1379">
        <f>BI1000</f>
        <v/>
      </c>
      <c r="BJ708" s="1361">
        <f>BJ1000</f>
        <v/>
      </c>
      <c r="BK708" s="1361">
        <f>BK1000</f>
        <v/>
      </c>
      <c r="BL708" s="1361">
        <f>BL1000</f>
        <v/>
      </c>
      <c r="BM708" s="1361">
        <f>BM1000</f>
        <v/>
      </c>
      <c r="BN708" s="1379">
        <f>BN1000</f>
        <v/>
      </c>
      <c r="BO708" s="1361">
        <f>BO1000</f>
        <v/>
      </c>
      <c r="BP708" s="1361">
        <f>BP1000</f>
        <v/>
      </c>
      <c r="BQ708" s="1363">
        <f>BQ1000</f>
        <v/>
      </c>
      <c r="BR708" s="1361">
        <f>BR1000</f>
        <v/>
      </c>
      <c r="BS708" s="1379">
        <f>BS1000</f>
        <v/>
      </c>
      <c r="BT708" s="1361">
        <f>BT1000</f>
        <v/>
      </c>
      <c r="BU708" s="1361">
        <f>BU1000</f>
        <v/>
      </c>
      <c r="BV708" s="1361">
        <f>BV1000</f>
        <v/>
      </c>
      <c r="BW708" s="1361">
        <f>BW1000</f>
        <v/>
      </c>
      <c r="BX708" s="1379">
        <f>BX1000</f>
        <v/>
      </c>
      <c r="BY708" s="1379">
        <f>BY1000</f>
        <v/>
      </c>
      <c r="BZ708" s="1379">
        <f>BZ1000</f>
        <v/>
      </c>
      <c r="CA708" s="1379">
        <f>CA1000</f>
        <v/>
      </c>
      <c r="CB708" s="1361" t="n"/>
    </row>
    <row r="709" hidden="1" outlineLevel="1" ht="14.4" customFormat="1" customHeight="1" s="1597">
      <c r="A709" s="1474" t="inlineStr">
        <is>
          <t>Preferred Shares</t>
        </is>
      </c>
      <c r="B709" s="1512" t="n"/>
      <c r="C709" s="1379">
        <f>C1001</f>
        <v/>
      </c>
      <c r="D709" s="1379">
        <f>D1001</f>
        <v/>
      </c>
      <c r="E709" s="1379">
        <f>E1001</f>
        <v/>
      </c>
      <c r="F709" s="1379">
        <f>F1001</f>
        <v/>
      </c>
      <c r="G709" s="1361">
        <f>G1001</f>
        <v/>
      </c>
      <c r="H709" s="1361">
        <f>H1001</f>
        <v/>
      </c>
      <c r="I709" s="1361">
        <f>I1001</f>
        <v/>
      </c>
      <c r="J709" s="1361">
        <f>J1001</f>
        <v/>
      </c>
      <c r="K709" s="1379">
        <f>K1001</f>
        <v/>
      </c>
      <c r="L709" s="1361">
        <f>L1001</f>
        <v/>
      </c>
      <c r="M709" s="1361">
        <f>M1001</f>
        <v/>
      </c>
      <c r="N709" s="1361">
        <f>N1001</f>
        <v/>
      </c>
      <c r="O709" s="1361">
        <f>O1001</f>
        <v/>
      </c>
      <c r="P709" s="1379">
        <f>P1001</f>
        <v/>
      </c>
      <c r="Q709" s="1361">
        <f>Q1001</f>
        <v/>
      </c>
      <c r="R709" s="1361">
        <f>R1001</f>
        <v/>
      </c>
      <c r="S709" s="1361">
        <f>S1001</f>
        <v/>
      </c>
      <c r="T709" s="1361">
        <f>T1001</f>
        <v/>
      </c>
      <c r="U709" s="1379">
        <f>U1001</f>
        <v/>
      </c>
      <c r="V709" s="1361">
        <f>V1001</f>
        <v/>
      </c>
      <c r="W709" s="1361">
        <f>W1001</f>
        <v/>
      </c>
      <c r="X709" s="1361">
        <f>X1001</f>
        <v/>
      </c>
      <c r="Y709" s="1361">
        <f>Y1001</f>
        <v/>
      </c>
      <c r="Z709" s="1379">
        <f>Z1001</f>
        <v/>
      </c>
      <c r="AA709" s="1361">
        <f>AA1001</f>
        <v/>
      </c>
      <c r="AB709" s="1361">
        <f>AB1001</f>
        <v/>
      </c>
      <c r="AC709" s="1361">
        <f>AC1001</f>
        <v/>
      </c>
      <c r="AD709" s="1361">
        <f>AD1001</f>
        <v/>
      </c>
      <c r="AE709" s="1379">
        <f>AE1001</f>
        <v/>
      </c>
      <c r="AF709" s="1361">
        <f>AF1001</f>
        <v/>
      </c>
      <c r="AG709" s="1361">
        <f>AG1001</f>
        <v/>
      </c>
      <c r="AH709" s="1361">
        <f>AH1001</f>
        <v/>
      </c>
      <c r="AI709" s="1361">
        <f>AI1001</f>
        <v/>
      </c>
      <c r="AJ709" s="1379">
        <f>AJ1001</f>
        <v/>
      </c>
      <c r="AK709" s="1361">
        <f>AK1001</f>
        <v/>
      </c>
      <c r="AL709" s="1361">
        <f>AL1001</f>
        <v/>
      </c>
      <c r="AM709" s="1361">
        <f>AM1001</f>
        <v/>
      </c>
      <c r="AN709" s="1361">
        <f>AN1001</f>
        <v/>
      </c>
      <c r="AO709" s="1379">
        <f>AO1001</f>
        <v/>
      </c>
      <c r="AP709" s="1361">
        <f>AP1001</f>
        <v/>
      </c>
      <c r="AQ709" s="1361">
        <f>AQ1001</f>
        <v/>
      </c>
      <c r="AR709" s="1361">
        <f>AR1001</f>
        <v/>
      </c>
      <c r="AS709" s="1361">
        <f>AS1001</f>
        <v/>
      </c>
      <c r="AT709" s="1379">
        <f>AT1001</f>
        <v/>
      </c>
      <c r="AU709" s="1361">
        <f>AU1001</f>
        <v/>
      </c>
      <c r="AV709" s="1361">
        <f>AV1001</f>
        <v/>
      </c>
      <c r="AW709" s="1361">
        <f>AW1001</f>
        <v/>
      </c>
      <c r="AX709" s="1361">
        <f>AX1001</f>
        <v/>
      </c>
      <c r="AY709" s="1379">
        <f>AY1001</f>
        <v/>
      </c>
      <c r="AZ709" s="1361">
        <f>AZ1001</f>
        <v/>
      </c>
      <c r="BA709" s="1361">
        <f>BA1001</f>
        <v/>
      </c>
      <c r="BB709" s="1361">
        <f>BB1001</f>
        <v/>
      </c>
      <c r="BC709" s="1361">
        <f>BC1001</f>
        <v/>
      </c>
      <c r="BD709" s="1379">
        <f>BD1001</f>
        <v/>
      </c>
      <c r="BE709" s="1361">
        <f>BE1001</f>
        <v/>
      </c>
      <c r="BF709" s="1361">
        <f>BF1001</f>
        <v/>
      </c>
      <c r="BG709" s="1361">
        <f>BG1001</f>
        <v/>
      </c>
      <c r="BH709" s="1361">
        <f>BH1001</f>
        <v/>
      </c>
      <c r="BI709" s="1379">
        <f>BI1001</f>
        <v/>
      </c>
      <c r="BJ709" s="1361">
        <f>BJ1001</f>
        <v/>
      </c>
      <c r="BK709" s="1361">
        <f>BK1001</f>
        <v/>
      </c>
      <c r="BL709" s="1361">
        <f>BL1001</f>
        <v/>
      </c>
      <c r="BM709" s="1361">
        <f>BM1001</f>
        <v/>
      </c>
      <c r="BN709" s="1379">
        <f>BN1001</f>
        <v/>
      </c>
      <c r="BO709" s="1361">
        <f>BO1001</f>
        <v/>
      </c>
      <c r="BP709" s="1361">
        <f>BP1001</f>
        <v/>
      </c>
      <c r="BQ709" s="1363">
        <f>BQ1001</f>
        <v/>
      </c>
      <c r="BR709" s="1361">
        <f>BR1001</f>
        <v/>
      </c>
      <c r="BS709" s="1379">
        <f>BS1001</f>
        <v/>
      </c>
      <c r="BT709" s="1361">
        <f>BT1001</f>
        <v/>
      </c>
      <c r="BU709" s="1361">
        <f>BU1001</f>
        <v/>
      </c>
      <c r="BV709" s="1361">
        <f>BV1001</f>
        <v/>
      </c>
      <c r="BW709" s="1361">
        <f>BW1001</f>
        <v/>
      </c>
      <c r="BX709" s="1379">
        <f>BX1001</f>
        <v/>
      </c>
      <c r="BY709" s="1379">
        <f>BY1001</f>
        <v/>
      </c>
      <c r="BZ709" s="1379">
        <f>BZ1001</f>
        <v/>
      </c>
      <c r="CA709" s="1379">
        <f>CA1001</f>
        <v/>
      </c>
      <c r="CB709" s="1361" t="n"/>
    </row>
    <row r="710" hidden="1" outlineLevel="1" ht="14.4" customFormat="1" customHeight="1" s="1597">
      <c r="A710" s="1474" t="inlineStr">
        <is>
          <t>Other EV Components</t>
        </is>
      </c>
      <c r="B710" s="1512" t="n"/>
      <c r="C710" s="1379">
        <f>C1002</f>
        <v/>
      </c>
      <c r="D710" s="1379">
        <f>D1002</f>
        <v/>
      </c>
      <c r="E710" s="1379">
        <f>E1002</f>
        <v/>
      </c>
      <c r="F710" s="1379">
        <f>F1002</f>
        <v/>
      </c>
      <c r="G710" s="1361">
        <f>G1002</f>
        <v/>
      </c>
      <c r="H710" s="1361">
        <f>H1002</f>
        <v/>
      </c>
      <c r="I710" s="1361">
        <f>I1002</f>
        <v/>
      </c>
      <c r="J710" s="1361">
        <f>J1002</f>
        <v/>
      </c>
      <c r="K710" s="1379">
        <f>K1002</f>
        <v/>
      </c>
      <c r="L710" s="1361">
        <f>L1002</f>
        <v/>
      </c>
      <c r="M710" s="1361">
        <f>M1002</f>
        <v/>
      </c>
      <c r="N710" s="1361">
        <f>N1002</f>
        <v/>
      </c>
      <c r="O710" s="1361">
        <f>O1002</f>
        <v/>
      </c>
      <c r="P710" s="1379">
        <f>P1002</f>
        <v/>
      </c>
      <c r="Q710" s="1361">
        <f>Q1002</f>
        <v/>
      </c>
      <c r="R710" s="1361">
        <f>R1002</f>
        <v/>
      </c>
      <c r="S710" s="1361">
        <f>S1002</f>
        <v/>
      </c>
      <c r="T710" s="1361">
        <f>T1002</f>
        <v/>
      </c>
      <c r="U710" s="1379">
        <f>U1002</f>
        <v/>
      </c>
      <c r="V710" s="1361">
        <f>V1002</f>
        <v/>
      </c>
      <c r="W710" s="1361">
        <f>W1002</f>
        <v/>
      </c>
      <c r="X710" s="1361">
        <f>X1002</f>
        <v/>
      </c>
      <c r="Y710" s="1361">
        <f>Y1002</f>
        <v/>
      </c>
      <c r="Z710" s="1379">
        <f>Z1002</f>
        <v/>
      </c>
      <c r="AA710" s="1361">
        <f>AA1002</f>
        <v/>
      </c>
      <c r="AB710" s="1361">
        <f>AB1002</f>
        <v/>
      </c>
      <c r="AC710" s="1361">
        <f>AC1002</f>
        <v/>
      </c>
      <c r="AD710" s="1361">
        <f>AD1002</f>
        <v/>
      </c>
      <c r="AE710" s="1379">
        <f>AE1002</f>
        <v/>
      </c>
      <c r="AF710" s="1361">
        <f>AF1002</f>
        <v/>
      </c>
      <c r="AG710" s="1361">
        <f>AG1002</f>
        <v/>
      </c>
      <c r="AH710" s="1361">
        <f>AH1002</f>
        <v/>
      </c>
      <c r="AI710" s="1361">
        <f>AI1002</f>
        <v/>
      </c>
      <c r="AJ710" s="1379">
        <f>AJ1002</f>
        <v/>
      </c>
      <c r="AK710" s="1361">
        <f>AK1002</f>
        <v/>
      </c>
      <c r="AL710" s="1361">
        <f>AL1002</f>
        <v/>
      </c>
      <c r="AM710" s="1361">
        <f>AM1002</f>
        <v/>
      </c>
      <c r="AN710" s="1361">
        <f>AN1002</f>
        <v/>
      </c>
      <c r="AO710" s="1379">
        <f>AO1002</f>
        <v/>
      </c>
      <c r="AP710" s="1361">
        <f>AP1002</f>
        <v/>
      </c>
      <c r="AQ710" s="1361">
        <f>AQ1002</f>
        <v/>
      </c>
      <c r="AR710" s="1361">
        <f>AR1002</f>
        <v/>
      </c>
      <c r="AS710" s="1361">
        <f>AS1002</f>
        <v/>
      </c>
      <c r="AT710" s="1379">
        <f>AT1002</f>
        <v/>
      </c>
      <c r="AU710" s="1361">
        <f>AU1002</f>
        <v/>
      </c>
      <c r="AV710" s="1361">
        <f>AV1002</f>
        <v/>
      </c>
      <c r="AW710" s="1361">
        <f>AW1002</f>
        <v/>
      </c>
      <c r="AX710" s="1361">
        <f>AX1002</f>
        <v/>
      </c>
      <c r="AY710" s="1379">
        <f>AY1002</f>
        <v/>
      </c>
      <c r="AZ710" s="1361">
        <f>AZ1002</f>
        <v/>
      </c>
      <c r="BA710" s="1361">
        <f>BA1002</f>
        <v/>
      </c>
      <c r="BB710" s="1361">
        <f>BB1002</f>
        <v/>
      </c>
      <c r="BC710" s="1361">
        <f>BC1002</f>
        <v/>
      </c>
      <c r="BD710" s="1379">
        <f>BD1002</f>
        <v/>
      </c>
      <c r="BE710" s="1361">
        <f>BE1002</f>
        <v/>
      </c>
      <c r="BF710" s="1361">
        <f>BF1002</f>
        <v/>
      </c>
      <c r="BG710" s="1361">
        <f>BG1002</f>
        <v/>
      </c>
      <c r="BH710" s="1361">
        <f>BH1002</f>
        <v/>
      </c>
      <c r="BI710" s="1379">
        <f>BI1002</f>
        <v/>
      </c>
      <c r="BJ710" s="1361">
        <f>BJ1002</f>
        <v/>
      </c>
      <c r="BK710" s="1361">
        <f>BK1002</f>
        <v/>
      </c>
      <c r="BL710" s="1361">
        <f>BL1002</f>
        <v/>
      </c>
      <c r="BM710" s="1361">
        <f>BM1002</f>
        <v/>
      </c>
      <c r="BN710" s="1379">
        <f>BN1002</f>
        <v/>
      </c>
      <c r="BO710" s="1361">
        <f>BO1002</f>
        <v/>
      </c>
      <c r="BP710" s="1361">
        <f>BP1002</f>
        <v/>
      </c>
      <c r="BQ710" s="1363">
        <f>BQ1002</f>
        <v/>
      </c>
      <c r="BR710" s="1361">
        <f>BR1002</f>
        <v/>
      </c>
      <c r="BS710" s="1379">
        <f>BS1002</f>
        <v/>
      </c>
      <c r="BT710" s="1361">
        <f>BT1002</f>
        <v/>
      </c>
      <c r="BU710" s="1361">
        <f>BU1002</f>
        <v/>
      </c>
      <c r="BV710" s="1361">
        <f>BV1002</f>
        <v/>
      </c>
      <c r="BW710" s="1361">
        <f>BW1002</f>
        <v/>
      </c>
      <c r="BX710" s="1379">
        <f>BX1002</f>
        <v/>
      </c>
      <c r="BY710" s="1379">
        <f>BY1002</f>
        <v/>
      </c>
      <c r="BZ710" s="1379">
        <f>BZ1002</f>
        <v/>
      </c>
      <c r="CA710" s="1379">
        <f>CA1002</f>
        <v/>
      </c>
      <c r="CB710" s="1361" t="n"/>
    </row>
    <row r="711" hidden="1" outlineLevel="1" ht="14.4" customFormat="1" customHeight="1" s="1597">
      <c r="A711" s="1755" t="inlineStr">
        <is>
          <t>Fully Diluted EV</t>
        </is>
      </c>
      <c r="B711" s="1756" t="n"/>
      <c r="C711" s="1757">
        <f>C698+C707+C708+C709+C710</f>
        <v/>
      </c>
      <c r="D711" s="1757">
        <f>D698+D707+D708+D709+D710</f>
        <v/>
      </c>
      <c r="E711" s="1757">
        <f>E698+E707+E708+E709+E710</f>
        <v/>
      </c>
      <c r="F711" s="1757">
        <f>F698+F707+F708+F709+F710</f>
        <v/>
      </c>
      <c r="G711" s="1755">
        <f>G698+G707+G708+G709+G710</f>
        <v/>
      </c>
      <c r="H711" s="1755">
        <f>H698+H707+H708+H709+H710</f>
        <v/>
      </c>
      <c r="I711" s="1755">
        <f>I698+I707+I708+I709+I710</f>
        <v/>
      </c>
      <c r="J711" s="1755">
        <f>J698+J707+J708+J709+J710</f>
        <v/>
      </c>
      <c r="K711" s="1757">
        <f>K698+K707+K708+K709+K710</f>
        <v/>
      </c>
      <c r="L711" s="1755">
        <f>L698+L707+L708+L709+L710</f>
        <v/>
      </c>
      <c r="M711" s="1755">
        <f>M698+M707+M708+M709+M710</f>
        <v/>
      </c>
      <c r="N711" s="1755">
        <f>N698+N707+N708+N709+N710</f>
        <v/>
      </c>
      <c r="O711" s="1755">
        <f>O698+O707+O708+O709+O710</f>
        <v/>
      </c>
      <c r="P711" s="1757">
        <f>P698+P707+P708+P709+P710</f>
        <v/>
      </c>
      <c r="Q711" s="1755">
        <f>Q698+Q707+Q708+Q709+Q710</f>
        <v/>
      </c>
      <c r="R711" s="1755">
        <f>R698+R707+R708+R709+R710</f>
        <v/>
      </c>
      <c r="S711" s="1755">
        <f>S698+S707+S708+S709+S710</f>
        <v/>
      </c>
      <c r="T711" s="1755">
        <f>T698+T707+T708+T709+T710</f>
        <v/>
      </c>
      <c r="U711" s="1757">
        <f>U698+U707+U708+U709+U710</f>
        <v/>
      </c>
      <c r="V711" s="1755">
        <f>V698+V707+V708+V709+V710</f>
        <v/>
      </c>
      <c r="W711" s="1755">
        <f>W698+W707+W708+W709+W710</f>
        <v/>
      </c>
      <c r="X711" s="1755">
        <f>X698+X707+X708+X709+X710</f>
        <v/>
      </c>
      <c r="Y711" s="1755">
        <f>Y698+Y707+Y708+Y709+Y710</f>
        <v/>
      </c>
      <c r="Z711" s="1757">
        <f>Z698+Z707+Z708+Z709+Z710</f>
        <v/>
      </c>
      <c r="AA711" s="1755">
        <f>AA698+AA707+AA708+AA709+AA710</f>
        <v/>
      </c>
      <c r="AB711" s="1755">
        <f>AB698+AB707+AB708+AB709+AB710</f>
        <v/>
      </c>
      <c r="AC711" s="1755">
        <f>AC698+AC707+AC708+AC709+AC710</f>
        <v/>
      </c>
      <c r="AD711" s="1755">
        <f>AD698+AD707+AD708+AD709+AD710</f>
        <v/>
      </c>
      <c r="AE711" s="1757">
        <f>AE698+AE707+AE708+AE709+AE710</f>
        <v/>
      </c>
      <c r="AF711" s="1755">
        <f>AF698+AF707+AF708+AF709+AF710</f>
        <v/>
      </c>
      <c r="AG711" s="1755">
        <f>AG698+AG707+AG708+AG709+AG710</f>
        <v/>
      </c>
      <c r="AH711" s="1755">
        <f>AH698+AH707+AH708+AH709+AH710</f>
        <v/>
      </c>
      <c r="AI711" s="1755">
        <f>AI698+AI707+AI708+AI709+AI710</f>
        <v/>
      </c>
      <c r="AJ711" s="1757">
        <f>AJ698+AJ707+AJ708+AJ709+AJ710</f>
        <v/>
      </c>
      <c r="AK711" s="1755">
        <f>AK698+AK707+AK708+AK709+AK710</f>
        <v/>
      </c>
      <c r="AL711" s="1755">
        <f>AL698+AL707+AL708+AL709+AL710</f>
        <v/>
      </c>
      <c r="AM711" s="1755">
        <f>AM698+AM707+AM708+AM709+AM710</f>
        <v/>
      </c>
      <c r="AN711" s="1755">
        <f>AN698+AN707+AN708+AN709+AN710</f>
        <v/>
      </c>
      <c r="AO711" s="1757">
        <f>AO698+AO707+AO708+AO709+AO710</f>
        <v/>
      </c>
      <c r="AP711" s="1755">
        <f>AP698+AP707+AP708+AP709+AP710</f>
        <v/>
      </c>
      <c r="AQ711" s="1755">
        <f>AQ698+AQ707+AQ708+AQ709+AQ710</f>
        <v/>
      </c>
      <c r="AR711" s="1755">
        <f>AR698+AR707+AR708+AR709+AR710</f>
        <v/>
      </c>
      <c r="AS711" s="1755">
        <f>AS698+AS707+AS708+AS709+AS710</f>
        <v/>
      </c>
      <c r="AT711" s="1757">
        <f>AT698+AT707+AT708+AT709+AT710</f>
        <v/>
      </c>
      <c r="AU711" s="1755">
        <f>AU698+AU707+AU708+AU709+AU710</f>
        <v/>
      </c>
      <c r="AV711" s="1755">
        <f>AV698+AV707+AV708+AV709+AV710</f>
        <v/>
      </c>
      <c r="AW711" s="1755">
        <f>AW698+AW707+AW708+AW709+AW710</f>
        <v/>
      </c>
      <c r="AX711" s="1755">
        <f>AX698+AX707+AX708+AX709+AX710</f>
        <v/>
      </c>
      <c r="AY711" s="1757">
        <f>AY698+AY707+AY708+AY709+AY710</f>
        <v/>
      </c>
      <c r="AZ711" s="1755">
        <f>AZ698+AZ707+AZ708+AZ709+AZ710</f>
        <v/>
      </c>
      <c r="BA711" s="1755">
        <f>BA698+BA707+BA708+BA709+BA710</f>
        <v/>
      </c>
      <c r="BB711" s="1755">
        <f>BB698+BB707+BB708+BB709+BB710</f>
        <v/>
      </c>
      <c r="BC711" s="1755">
        <f>BC698+BC707+BC708+BC709+BC710</f>
        <v/>
      </c>
      <c r="BD711" s="1757">
        <f>BD698+BD707+BD708+BD709+BD710</f>
        <v/>
      </c>
      <c r="BE711" s="1755">
        <f>BE698+BE707+BE708+BE709+BE710</f>
        <v/>
      </c>
      <c r="BF711" s="1755">
        <f>BF698+BF707+BF708+BF709+BF710</f>
        <v/>
      </c>
      <c r="BG711" s="1755">
        <f>BG698+BG707+BG708+BG709+BG710</f>
        <v/>
      </c>
      <c r="BH711" s="1755">
        <f>BH698+BH707+BH708+BH709+BH710</f>
        <v/>
      </c>
      <c r="BI711" s="1757">
        <f>BI698+BI707+BI708+BI709+BI710</f>
        <v/>
      </c>
      <c r="BJ711" s="1755">
        <f>BJ698+BJ707+BJ708+BJ709+BJ710</f>
        <v/>
      </c>
      <c r="BK711" s="1755">
        <f>BK698+BK707+BK708+BK709+BK710</f>
        <v/>
      </c>
      <c r="BL711" s="1755">
        <f>BL698+BL707+BL708+BL709+BL710</f>
        <v/>
      </c>
      <c r="BM711" s="1755">
        <f>BM698+BM707+BM708+BM709+BM710</f>
        <v/>
      </c>
      <c r="BN711" s="1757">
        <f>BN698+BN707+BN708+BN709+BN710</f>
        <v/>
      </c>
      <c r="BO711" s="1755">
        <f>BO698+BO707+BO708+BO709+BO710</f>
        <v/>
      </c>
      <c r="BP711" s="1755">
        <f>BP698+BP707+BP708+BP709+BP710</f>
        <v/>
      </c>
      <c r="BQ711" s="1758">
        <f>BQ698+BQ707+BQ708+BQ709+BQ710</f>
        <v/>
      </c>
      <c r="BR711" s="1755">
        <f>BR698+BR707+BR708+BR709+BR710</f>
        <v/>
      </c>
      <c r="BS711" s="1757">
        <f>BS698+BS707+BS708+BS709+BS710</f>
        <v/>
      </c>
      <c r="BT711" s="1755">
        <f>BT698+BT707+BT708+BT709+BT710</f>
        <v/>
      </c>
      <c r="BU711" s="1755">
        <f>BU698+BU707+BU708+BU709+BU710</f>
        <v/>
      </c>
      <c r="BV711" s="1755">
        <f>BV698+BV707+BV708+BV709+BV710</f>
        <v/>
      </c>
      <c r="BW711" s="1755">
        <f>BW698+BW707+BW708+BW709+BW710</f>
        <v/>
      </c>
      <c r="BX711" s="1757">
        <f>BX698+BX707+BX708+BX709+BX710</f>
        <v/>
      </c>
      <c r="BY711" s="1757">
        <f>BY698+BY707+BY708+BY709+BY710</f>
        <v/>
      </c>
      <c r="BZ711" s="1757">
        <f>BZ698+BZ707+BZ708+BZ709+BZ710</f>
        <v/>
      </c>
      <c r="CA711" s="1757">
        <f>CA698+CA707+CA708+CA709+CA710</f>
        <v/>
      </c>
      <c r="CB711" s="1361" t="n"/>
    </row>
    <row r="712" hidden="1" outlineLevel="1" ht="14.4" customFormat="1" customHeight="1" s="1597">
      <c r="A712" s="1361" t="n"/>
      <c r="B712" s="1512" t="n"/>
      <c r="C712" s="1379" t="n"/>
      <c r="D712" s="1379" t="n"/>
      <c r="E712" s="1379" t="n"/>
      <c r="F712" s="1379" t="n"/>
      <c r="G712" s="1361" t="n"/>
      <c r="H712" s="1361" t="n"/>
      <c r="I712" s="1361" t="n"/>
      <c r="J712" s="1361" t="n"/>
      <c r="K712" s="1379" t="n"/>
      <c r="L712" s="1361" t="n"/>
      <c r="M712" s="1361" t="n"/>
      <c r="N712" s="1361" t="n"/>
      <c r="O712" s="1361" t="n"/>
      <c r="P712" s="1379" t="n"/>
      <c r="Q712" s="1361" t="n"/>
      <c r="R712" s="1361" t="n"/>
      <c r="S712" s="1361" t="n"/>
      <c r="T712" s="1361" t="n"/>
      <c r="U712" s="1379" t="n"/>
      <c r="V712" s="1361" t="n"/>
      <c r="W712" s="1361" t="n"/>
      <c r="X712" s="1361" t="n"/>
      <c r="Y712" s="1361" t="n"/>
      <c r="Z712" s="1379" t="n"/>
      <c r="AA712" s="1361" t="n"/>
      <c r="AB712" s="1361" t="n"/>
      <c r="AC712" s="1361" t="n"/>
      <c r="AD712" s="1361" t="n"/>
      <c r="AE712" s="1379" t="n"/>
      <c r="AF712" s="1361" t="n"/>
      <c r="AG712" s="1361" t="n"/>
      <c r="AH712" s="1361" t="n"/>
      <c r="AI712" s="1361" t="n"/>
      <c r="AJ712" s="1379" t="n"/>
      <c r="AK712" s="1361" t="n"/>
      <c r="AL712" s="1361" t="n"/>
      <c r="AM712" s="1361" t="n"/>
      <c r="AN712" s="1361" t="n"/>
      <c r="AO712" s="1379" t="n"/>
      <c r="AP712" s="1361" t="n"/>
      <c r="AQ712" s="1361" t="n"/>
      <c r="AR712" s="1361" t="n"/>
      <c r="AS712" s="1361" t="n"/>
      <c r="AT712" s="1379" t="n"/>
      <c r="AU712" s="1361" t="n"/>
      <c r="AV712" s="1361" t="n"/>
      <c r="AW712" s="1361" t="n"/>
      <c r="AX712" s="1361" t="n"/>
      <c r="AY712" s="1379" t="n"/>
      <c r="AZ712" s="1361" t="n"/>
      <c r="BA712" s="1361" t="n"/>
      <c r="BB712" s="1361" t="n"/>
      <c r="BC712" s="1361" t="n"/>
      <c r="BD712" s="1379" t="n"/>
      <c r="BE712" s="1361" t="n"/>
      <c r="BF712" s="1361" t="n"/>
      <c r="BG712" s="1361" t="n"/>
      <c r="BH712" s="1361" t="n"/>
      <c r="BI712" s="1379" t="n"/>
      <c r="BJ712" s="1361" t="n"/>
      <c r="BK712" s="1361" t="n"/>
      <c r="BL712" s="1361" t="n"/>
      <c r="BM712" s="1361" t="n"/>
      <c r="BN712" s="1379" t="n"/>
      <c r="BO712" s="1361" t="n"/>
      <c r="BP712" s="1361" t="n"/>
      <c r="BQ712" s="1363" t="n"/>
      <c r="BR712" s="1361" t="n"/>
      <c r="BS712" s="1379" t="n"/>
      <c r="BT712" s="1361" t="n"/>
      <c r="BU712" s="1361" t="n"/>
      <c r="BV712" s="1361" t="n"/>
      <c r="BW712" s="1361" t="n"/>
      <c r="BX712" s="1379" t="n"/>
      <c r="BY712" s="1379" t="n"/>
      <c r="BZ712" s="1379" t="n"/>
      <c r="CA712" s="1379" t="n"/>
      <c r="CB712" s="1361" t="n"/>
    </row>
    <row r="713" hidden="1" outlineLevel="1" ht="14.4" customFormat="1" customHeight="1" s="1597">
      <c r="A713" s="1361" t="inlineStr">
        <is>
          <t>EV/NTM Sales - Fully Diluted, x</t>
        </is>
      </c>
      <c r="B713" s="1512" t="n"/>
      <c r="C713" s="1763">
        <f>IFERROR(C711/D454,"n/a")</f>
        <v/>
      </c>
      <c r="D713" s="1763">
        <f>IFERROR(D711/E454,"n/a")</f>
        <v/>
      </c>
      <c r="E713" s="1763">
        <f>IFERROR(E711/F454,"n/a")</f>
        <v/>
      </c>
      <c r="F713" s="1763">
        <f>IFERROR(F711/K454,"n/a")</f>
        <v/>
      </c>
      <c r="G713" s="1764">
        <f>IFERROR(G711/(H454+I454+J454+L454),"n/a")</f>
        <v/>
      </c>
      <c r="H713" s="1764">
        <f>IFERROR(H711/(I454+J454+L454+M454),"n/a")</f>
        <v/>
      </c>
      <c r="I713" s="1764">
        <f>IFERROR(I711/(J454+L454+M454+N454),"n/a")</f>
        <v/>
      </c>
      <c r="J713" s="1764">
        <f>IFERROR(J711/(L454+M454+N454+O454),"n/a")</f>
        <v/>
      </c>
      <c r="K713" s="1763">
        <f>IFERROR(K711/P454,"n/a")</f>
        <v/>
      </c>
      <c r="L713" s="1764">
        <f>IFERROR(L711/(M454+N454+O454+Q454),"n/a")</f>
        <v/>
      </c>
      <c r="M713" s="1764">
        <f>IFERROR(M711/(N454+O454+Q454+R454),"n/a")</f>
        <v/>
      </c>
      <c r="N713" s="1764">
        <f>IFERROR(N711/(O454+Q454+R454+S454),"n/a")</f>
        <v/>
      </c>
      <c r="O713" s="1764">
        <f>IFERROR(O711/(Q454+R454+S454+T454),"n/a")</f>
        <v/>
      </c>
      <c r="P713" s="1763">
        <f>IFERROR(P711/U454,"n/a")</f>
        <v/>
      </c>
      <c r="Q713" s="1764">
        <f>IFERROR(Q711/(R454+S454+T454+V454),"n/a")</f>
        <v/>
      </c>
      <c r="R713" s="1764">
        <f>IFERROR(R711/(S454+T454+V454+W454),"n/a")</f>
        <v/>
      </c>
      <c r="S713" s="1764">
        <f>IFERROR(S711/(T454+V454+W454+X454),"n/a")</f>
        <v/>
      </c>
      <c r="T713" s="1764">
        <f>IFERROR(T711/(V454+W454+X454+Y454),"n/a")</f>
        <v/>
      </c>
      <c r="U713" s="1763">
        <f>IFERROR(U711/Z454,"n/a")</f>
        <v/>
      </c>
      <c r="V713" s="1764">
        <f>IFERROR(V711/(W454+X454+Y454+AA454),"n/a")</f>
        <v/>
      </c>
      <c r="W713" s="1764">
        <f>IFERROR(W711/(X454+Y454+AA454+AB454),"n/a")</f>
        <v/>
      </c>
      <c r="X713" s="1764">
        <f>IFERROR(X711/(Y454+AA454+AB454+AC454),"n/a")</f>
        <v/>
      </c>
      <c r="Y713" s="1764">
        <f>IFERROR(Y711/(AA454+AB454+AC454+AD454),"n/a")</f>
        <v/>
      </c>
      <c r="Z713" s="1763">
        <f>IFERROR(Z711/AE454,"n/a")</f>
        <v/>
      </c>
      <c r="AA713" s="1764">
        <f>IFERROR(AA711/(AB454+AC454+AD454+AF454),"n/a")</f>
        <v/>
      </c>
      <c r="AB713" s="1764">
        <f>IFERROR(AB711/(AC454+AD454+AF454+AG454),"n/a")</f>
        <v/>
      </c>
      <c r="AC713" s="1764">
        <f>IFERROR(AC711/(AD454+AF454+AG454+AH454),"n/a")</f>
        <v/>
      </c>
      <c r="AD713" s="1764">
        <f>IFERROR(AD711/(AF454+AG454+AH454+AI454),"n/a")</f>
        <v/>
      </c>
      <c r="AE713" s="1763">
        <f>IFERROR(AE711/AJ454,"n/a")</f>
        <v/>
      </c>
      <c r="AF713" s="1764">
        <f>IFERROR(AF711/(AG454+AH454+AI454+AK454),"n/a")</f>
        <v/>
      </c>
      <c r="AG713" s="1764">
        <f>IFERROR(AG711/(AH454+AI454+AK454+AL454),"n/a")</f>
        <v/>
      </c>
      <c r="AH713" s="1764">
        <f>IFERROR(AH711/(AI454+AK454+AL454+AM454),"n/a")</f>
        <v/>
      </c>
      <c r="AI713" s="1764">
        <f>IFERROR(AI711/(AK454+AL454+AM454+AN454),"n/a")</f>
        <v/>
      </c>
      <c r="AJ713" s="1763">
        <f>IFERROR(AJ711/AO454,"n/a")</f>
        <v/>
      </c>
      <c r="AK713" s="1764">
        <f>IFERROR(AK711/(AL454+AM454+AN454+AP454),"n/a")</f>
        <v/>
      </c>
      <c r="AL713" s="1764">
        <f>IFERROR(AL711/(AM454+AN454+AP454+AQ454),"n/a")</f>
        <v/>
      </c>
      <c r="AM713" s="1764">
        <f>IFERROR(AM711/(AN454+AP454+AQ454+AR454),"n/a")</f>
        <v/>
      </c>
      <c r="AN713" s="1764">
        <f>IFERROR(AN711/(AP454+AQ454+AR454+AS454),"n/a")</f>
        <v/>
      </c>
      <c r="AO713" s="1763">
        <f>IFERROR(AO711/AT454,"n/a")</f>
        <v/>
      </c>
      <c r="AP713" s="1764">
        <f>IFERROR(AP711/(AQ454+AR454+AS454+AU454),"n/a")</f>
        <v/>
      </c>
      <c r="AQ713" s="1764">
        <f>IFERROR(AQ711/(AR454+AS454+AU454+AV454),"n/a")</f>
        <v/>
      </c>
      <c r="AR713" s="1764">
        <f>IFERROR(AR711/(AS454+AU454+AV454+AW454),"n/a")</f>
        <v/>
      </c>
      <c r="AS713" s="1764">
        <f>IFERROR(AS711/(AU454+AV454+AW454+AX454),"n/a")</f>
        <v/>
      </c>
      <c r="AT713" s="1763">
        <f>IFERROR(AT711/AY454,"n/a")</f>
        <v/>
      </c>
      <c r="AU713" s="1764">
        <f>IFERROR(AU711/(AV454+AW454+AX454+AZ454),"n/a")</f>
        <v/>
      </c>
      <c r="AV713" s="1764">
        <f>IFERROR(AV711/(AW454+AX454+AZ454+BA454),"n/a")</f>
        <v/>
      </c>
      <c r="AW713" s="1764">
        <f>IFERROR(AW711/(AX454+AZ454+BA454+BB454),"n/a")</f>
        <v/>
      </c>
      <c r="AX713" s="1764">
        <f>IFERROR(AX711/(AZ454+BA454+BB454+BC454),"n/a")</f>
        <v/>
      </c>
      <c r="AY713" s="1763">
        <f>IFERROR(AY711/BD454,"n/a")</f>
        <v/>
      </c>
      <c r="AZ713" s="1764">
        <f>IFERROR(AZ711/(BA454+BB454+BC454+BE454),"n/a")</f>
        <v/>
      </c>
      <c r="BA713" s="1764">
        <f>IFERROR(BA711/(BB454+BC454+BE454+BF454),"n/a")</f>
        <v/>
      </c>
      <c r="BB713" s="1764">
        <f>IFERROR(BB711/(BC454+BE454+BF454+BG454),"n/a")</f>
        <v/>
      </c>
      <c r="BC713" s="1764">
        <f>IFERROR(BC711/(BE454+BF454+BG454+BH454),"n/a")</f>
        <v/>
      </c>
      <c r="BD713" s="1763">
        <f>IFERROR(BD711/BI454,"n/a")</f>
        <v/>
      </c>
      <c r="BE713" s="1764">
        <f>IFERROR(BE711/(BF454+BG454+BH454+BJ454),"n/a")</f>
        <v/>
      </c>
      <c r="BF713" s="1764">
        <f>IFERROR(BF711/(BG454+BH454+BJ454+BK454),"n/a")</f>
        <v/>
      </c>
      <c r="BG713" s="1764">
        <f>IFERROR(BG711/(BH454+BJ454+BK454+BL454),"n/a")</f>
        <v/>
      </c>
      <c r="BH713" s="1764">
        <f>IFERROR(BH711/(BJ454+BK454+BL454+BM454),"n/a")</f>
        <v/>
      </c>
      <c r="BI713" s="1763">
        <f>IFERROR(BI711/BN454,"n/a")</f>
        <v/>
      </c>
      <c r="BJ713" s="1764">
        <f>IFERROR(BJ711/(BK454+BL454+BM454+BO454),"n/a")</f>
        <v/>
      </c>
      <c r="BK713" s="1764">
        <f>IFERROR(BK711/(BL454+BM454+BO454+BP454),"n/a")</f>
        <v/>
      </c>
      <c r="BL713" s="1764">
        <f>IFERROR(BL711/(BM454+BO454+BP454+BQ454),"n/a")</f>
        <v/>
      </c>
      <c r="BM713" s="1764">
        <f>IFERROR(BM711/(BO454+BP454+BQ454+BR454),"n/a")</f>
        <v/>
      </c>
      <c r="BN713" s="1763">
        <f>IFERROR(BN711/BS454,"n/a")</f>
        <v/>
      </c>
      <c r="BO713" s="1764">
        <f>IFERROR(BO711/(BP454+BQ454+BR454+BT454),"n/a")</f>
        <v/>
      </c>
      <c r="BP713" s="1764">
        <f>IFERROR(BP711/(BQ454+BR454+BT454+BU454),"n/a")</f>
        <v/>
      </c>
      <c r="BQ713" s="1765">
        <f>IFERROR(BQ711/(BR454+BT454+BU454+BV454),"n/a")</f>
        <v/>
      </c>
      <c r="BR713" s="1764">
        <f>IFERROR(BR711/(BT454+BU454+BV454+BW454),"n/a")</f>
        <v/>
      </c>
      <c r="BS713" s="1763">
        <f>IFERROR(BS711/BX454,"n/a")</f>
        <v/>
      </c>
      <c r="BT713" s="1764" t="n"/>
      <c r="BU713" s="1764" t="n"/>
      <c r="BV713" s="1764" t="n"/>
      <c r="BW713" s="1764" t="n"/>
      <c r="BX713" s="1763">
        <f>IFERROR(BX711/BY454,"n/a")</f>
        <v/>
      </c>
      <c r="BY713" s="1763">
        <f>IFERROR(BY711/BZ454,"n/a")</f>
        <v/>
      </c>
      <c r="BZ713" s="1763">
        <f>IFERROR(BZ711/CA454,"n/a")</f>
        <v/>
      </c>
      <c r="CA713" s="1763">
        <f>IFERROR(CA711/CB454,"n/a")</f>
        <v/>
      </c>
      <c r="CB713" s="1361" t="n"/>
    </row>
    <row r="714" hidden="1" outlineLevel="1" ht="14.4" customFormat="1" customHeight="1" s="1597">
      <c r="A714" s="1361" t="inlineStr">
        <is>
          <t>EV/NTM EBITDA - Fully Diluted, x</t>
        </is>
      </c>
      <c r="B714" s="1512" t="n"/>
      <c r="C714" s="1763">
        <f>IFERROR(C711/D483,"n/a")</f>
        <v/>
      </c>
      <c r="D714" s="1763">
        <f>IFERROR(D711/E483,"n/a")</f>
        <v/>
      </c>
      <c r="E714" s="1763">
        <f>IFERROR(E711/F483,"n/a")</f>
        <v/>
      </c>
      <c r="F714" s="1763">
        <f>IFERROR(F711/K483,"n/a")</f>
        <v/>
      </c>
      <c r="G714" s="1764">
        <f>IFERROR(G711/(H483+I483+J483+L483),"n/a")</f>
        <v/>
      </c>
      <c r="H714" s="1764">
        <f>IFERROR(H711/(I483+J483+L483+M483),"n/a")</f>
        <v/>
      </c>
      <c r="I714" s="1764">
        <f>IFERROR(I711/(J483+L483+M483+N483),"n/a")</f>
        <v/>
      </c>
      <c r="J714" s="1764">
        <f>IFERROR(J711/(L483+M483+N483+O483),"n/a")</f>
        <v/>
      </c>
      <c r="K714" s="1763">
        <f>IFERROR(K711/P483,"n/a")</f>
        <v/>
      </c>
      <c r="L714" s="1764">
        <f>IFERROR(L711/(M483+N483+O483+Q483),"n/a")</f>
        <v/>
      </c>
      <c r="M714" s="1764">
        <f>IFERROR(M711/(N483+O483+Q483+R483),"n/a")</f>
        <v/>
      </c>
      <c r="N714" s="1764">
        <f>IFERROR(N711/(O483+Q483+R483+S483),"n/a")</f>
        <v/>
      </c>
      <c r="O714" s="1764">
        <f>IFERROR(O711/(Q483+R483+S483+T483),"n/a")</f>
        <v/>
      </c>
      <c r="P714" s="1763">
        <f>IFERROR(P711/U483,"n/a")</f>
        <v/>
      </c>
      <c r="Q714" s="1764">
        <f>IFERROR(Q711/(R483+S483+T483+V483),"n/a")</f>
        <v/>
      </c>
      <c r="R714" s="1764">
        <f>IFERROR(R711/(S483+T483+V483+W483),"n/a")</f>
        <v/>
      </c>
      <c r="S714" s="1764">
        <f>IFERROR(S711/(T483+V483+W483+X483),"n/a")</f>
        <v/>
      </c>
      <c r="T714" s="1764">
        <f>IFERROR(T711/(V483+W483+X483+Y483),"n/a")</f>
        <v/>
      </c>
      <c r="U714" s="1763">
        <f>IFERROR(U711/Z483,"n/a")</f>
        <v/>
      </c>
      <c r="V714" s="1764">
        <f>IFERROR(V711/(W483+X483+Y483+AA483),"n/a")</f>
        <v/>
      </c>
      <c r="W714" s="1764">
        <f>IFERROR(W711/(X483+Y483+AA483+AB483),"n/a")</f>
        <v/>
      </c>
      <c r="X714" s="1764">
        <f>IFERROR(X711/(Y483+AA483+AB483+AC483),"n/a")</f>
        <v/>
      </c>
      <c r="Y714" s="1764">
        <f>IFERROR(Y711/(AA483+AB483+AC483+AD483),"n/a")</f>
        <v/>
      </c>
      <c r="Z714" s="1763">
        <f>IFERROR(Z711/AE483,"n/a")</f>
        <v/>
      </c>
      <c r="AA714" s="1764">
        <f>IFERROR(AA711/(AB483+AC483+AD483+AF483),"n/a")</f>
        <v/>
      </c>
      <c r="AB714" s="1764">
        <f>IFERROR(AB711/(AC483+AD483+AF483+AG483),"n/a")</f>
        <v/>
      </c>
      <c r="AC714" s="1764">
        <f>IFERROR(AC711/(AD483+AF483+AG483+AH483),"n/a")</f>
        <v/>
      </c>
      <c r="AD714" s="1764">
        <f>IFERROR(AD711/(AF483+AG483+AH483+AI483),"n/a")</f>
        <v/>
      </c>
      <c r="AE714" s="1763">
        <f>IFERROR(AE711/AJ483,"n/a")</f>
        <v/>
      </c>
      <c r="AF714" s="1764">
        <f>IFERROR(AF711/(AG483+AH483+AI483+AK483),"n/a")</f>
        <v/>
      </c>
      <c r="AG714" s="1764">
        <f>IFERROR(AG711/(AH483+AI483+AK483+AL483),"n/a")</f>
        <v/>
      </c>
      <c r="AH714" s="1764">
        <f>IFERROR(AH711/(AI483+AK483+AL483+AM483),"n/a")</f>
        <v/>
      </c>
      <c r="AI714" s="1764">
        <f>IFERROR(AI711/(AK483+AL483+AM483+AN483),"n/a")</f>
        <v/>
      </c>
      <c r="AJ714" s="1763">
        <f>IFERROR(AJ711/AO483,"n/a")</f>
        <v/>
      </c>
      <c r="AK714" s="1764">
        <f>IFERROR(AK711/(AL483+AM483+AN483+AP483),"n/a")</f>
        <v/>
      </c>
      <c r="AL714" s="1764">
        <f>IFERROR(AL711/(AM483+AN483+AP483+AQ483),"n/a")</f>
        <v/>
      </c>
      <c r="AM714" s="1764">
        <f>IFERROR(AM711/(AN483+AP483+AQ483+AR483),"n/a")</f>
        <v/>
      </c>
      <c r="AN714" s="1764">
        <f>IFERROR(AN711/(AP483+AQ483+AR483+AS483),"n/a")</f>
        <v/>
      </c>
      <c r="AO714" s="1763">
        <f>IFERROR(AO711/AT483,"n/a")</f>
        <v/>
      </c>
      <c r="AP714" s="1764">
        <f>IFERROR(AP711/(AQ483+AR483+AS483+AU483),"n/a")</f>
        <v/>
      </c>
      <c r="AQ714" s="1764">
        <f>IFERROR(AQ711/(AR483+AS483+AU483+AV483),"n/a")</f>
        <v/>
      </c>
      <c r="AR714" s="1764">
        <f>IFERROR(AR711/(AS483+AU483+AV483+AW483),"n/a")</f>
        <v/>
      </c>
      <c r="AS714" s="1764">
        <f>IFERROR(AS711/(AU483+AV483+AW483+AX483),"n/a")</f>
        <v/>
      </c>
      <c r="AT714" s="1763">
        <f>IFERROR(AT711/AY483,"n/a")</f>
        <v/>
      </c>
      <c r="AU714" s="1764">
        <f>IFERROR(AU711/(AV483+AW483+AX483+AZ483),"n/a")</f>
        <v/>
      </c>
      <c r="AV714" s="1764">
        <f>IFERROR(AV711/(AW483+AX483+AZ483+BA483),"n/a")</f>
        <v/>
      </c>
      <c r="AW714" s="1764">
        <f>IFERROR(AW711/(AX483+AZ483+BA483+BB483),"n/a")</f>
        <v/>
      </c>
      <c r="AX714" s="1764">
        <f>IFERROR(AX711/(AZ483+BA483+BB483+BC483),"n/a")</f>
        <v/>
      </c>
      <c r="AY714" s="1763">
        <f>IFERROR(AY711/BD483,"n/a")</f>
        <v/>
      </c>
      <c r="AZ714" s="1764">
        <f>IFERROR(AZ711/(BA483+BB483+BC483+BE483),"n/a")</f>
        <v/>
      </c>
      <c r="BA714" s="1764">
        <f>IFERROR(BA711/(BB483+BC483+BE483+BF483),"n/a")</f>
        <v/>
      </c>
      <c r="BB714" s="1764">
        <f>IFERROR(BB711/(BC483+BE483+BF483+BG483),"n/a")</f>
        <v/>
      </c>
      <c r="BC714" s="1764">
        <f>IFERROR(BC711/(BE483+BF483+BG483+BH483),"n/a")</f>
        <v/>
      </c>
      <c r="BD714" s="1763">
        <f>IFERROR(BD711/BI483,"n/a")</f>
        <v/>
      </c>
      <c r="BE714" s="1764">
        <f>IFERROR(BE711/(BF483+BG483+BH483+BJ483),"n/a")</f>
        <v/>
      </c>
      <c r="BF714" s="1764">
        <f>IFERROR(BF711/(BG483+BH483+BJ483+BK483),"n/a")</f>
        <v/>
      </c>
      <c r="BG714" s="1764">
        <f>IFERROR(BG711/(BH483+BJ483+BK483+BL483),"n/a")</f>
        <v/>
      </c>
      <c r="BH714" s="1764">
        <f>IFERROR(BH711/(BJ483+BK483+BL483+BM483),"n/a")</f>
        <v/>
      </c>
      <c r="BI714" s="1763">
        <f>IFERROR(BI711/BN483,"n/a")</f>
        <v/>
      </c>
      <c r="BJ714" s="1764">
        <f>IFERROR(BJ711/(BK483+BL483+BM483+BO483),"n/a")</f>
        <v/>
      </c>
      <c r="BK714" s="1764">
        <f>IFERROR(BK711/(BL483+BM483+BO483+BP483),"n/a")</f>
        <v/>
      </c>
      <c r="BL714" s="1764">
        <f>IFERROR(BL711/(BM483+BO483+BP483+BQ483),"n/a")</f>
        <v/>
      </c>
      <c r="BM714" s="1764">
        <f>IFERROR(BM711/(BO483+BP483+BQ483+BR483),"n/a")</f>
        <v/>
      </c>
      <c r="BN714" s="1763">
        <f>IFERROR(BN711/BS483,"n/a")</f>
        <v/>
      </c>
      <c r="BO714" s="1764">
        <f>IFERROR(BO711/(BP483+BQ483+BR483+BT483),"n/a")</f>
        <v/>
      </c>
      <c r="BP714" s="1764">
        <f>IFERROR(BP711/(BQ483+BR483+BT483+BU483),"n/a")</f>
        <v/>
      </c>
      <c r="BQ714" s="1765">
        <f>IFERROR(BQ711/(BR483+BT483+BU483+BV483),"n/a")</f>
        <v/>
      </c>
      <c r="BR714" s="1764">
        <f>IFERROR(BR711/(BT483+BU483+BV483+BW483),"n/a")</f>
        <v/>
      </c>
      <c r="BS714" s="1763">
        <f>IFERROR(BS711/BX483,"n/a")</f>
        <v/>
      </c>
      <c r="BT714" s="1764" t="n"/>
      <c r="BU714" s="1764" t="n"/>
      <c r="BV714" s="1764" t="n"/>
      <c r="BW714" s="1764" t="n"/>
      <c r="BX714" s="1763">
        <f>IFERROR(BX711/BY483,"n/a")</f>
        <v/>
      </c>
      <c r="BY714" s="1763">
        <f>IFERROR(BY711/BZ483,"n/a")</f>
        <v/>
      </c>
      <c r="BZ714" s="1763">
        <f>IFERROR(BZ711/CA483,"n/a")</f>
        <v/>
      </c>
      <c r="CA714" s="1763">
        <f>IFERROR(CA711/CB483,"n/a")</f>
        <v/>
      </c>
      <c r="CB714" s="1361" t="n"/>
    </row>
    <row r="715" collapsed="1" ht="15" customFormat="1" customHeight="1" s="1359">
      <c r="A715" s="1361" t="n"/>
      <c r="B715" s="1512" t="n"/>
      <c r="C715" s="1379" t="n"/>
      <c r="D715" s="1379" t="n"/>
      <c r="E715" s="1379" t="n"/>
      <c r="F715" s="1379" t="n"/>
      <c r="G715" s="1361" t="n"/>
      <c r="H715" s="1361" t="n"/>
      <c r="I715" s="1361" t="n"/>
      <c r="J715" s="1361" t="n"/>
      <c r="K715" s="1379" t="n"/>
      <c r="L715" s="1361" t="n"/>
      <c r="M715" s="1361" t="n"/>
      <c r="N715" s="1361" t="n"/>
      <c r="O715" s="1361" t="n"/>
      <c r="P715" s="1379" t="n"/>
      <c r="Q715" s="1361" t="n"/>
      <c r="R715" s="1361" t="n"/>
      <c r="S715" s="1361" t="n"/>
      <c r="T715" s="1361" t="n"/>
      <c r="U715" s="1379" t="n"/>
      <c r="V715" s="1361" t="n"/>
      <c r="W715" s="1361" t="n"/>
      <c r="X715" s="1361" t="n"/>
      <c r="Y715" s="1361" t="n"/>
      <c r="Z715" s="1379" t="n"/>
      <c r="AA715" s="1361" t="n"/>
      <c r="AB715" s="1361" t="n"/>
      <c r="AC715" s="1361" t="n"/>
      <c r="AD715" s="1361" t="n"/>
      <c r="AE715" s="1379" t="n"/>
      <c r="AF715" s="1361" t="n"/>
      <c r="AG715" s="1361" t="n"/>
      <c r="AH715" s="1361" t="n"/>
      <c r="AI715" s="1361" t="n"/>
      <c r="AJ715" s="1379" t="n"/>
      <c r="AK715" s="1361" t="n"/>
      <c r="AL715" s="1361" t="n"/>
      <c r="AM715" s="1361" t="n"/>
      <c r="AN715" s="1361" t="n"/>
      <c r="AO715" s="1379" t="n"/>
      <c r="AP715" s="1361" t="n"/>
      <c r="AQ715" s="1361" t="n"/>
      <c r="AR715" s="1361" t="n"/>
      <c r="AS715" s="1361" t="n"/>
      <c r="AT715" s="1379" t="n"/>
      <c r="AU715" s="1361" t="n"/>
      <c r="AV715" s="1361" t="n"/>
      <c r="AW715" s="1361" t="n"/>
      <c r="AX715" s="1361" t="n"/>
      <c r="AY715" s="1379" t="n"/>
      <c r="AZ715" s="1361" t="n"/>
      <c r="BA715" s="1361" t="n"/>
      <c r="BB715" s="1361" t="n"/>
      <c r="BC715" s="1361" t="n"/>
      <c r="BD715" s="1379" t="n"/>
      <c r="BE715" s="1361" t="n"/>
      <c r="BF715" s="1361" t="n"/>
      <c r="BG715" s="1361" t="n"/>
      <c r="BH715" s="1361" t="n"/>
      <c r="BI715" s="1379" t="n"/>
      <c r="BJ715" s="1361" t="n"/>
      <c r="BK715" s="1361" t="n"/>
      <c r="BL715" s="1361" t="n"/>
      <c r="BM715" s="1361" t="n"/>
      <c r="BN715" s="1379" t="n"/>
      <c r="BO715" s="1361" t="n"/>
      <c r="BP715" s="1361" t="n"/>
      <c r="BQ715" s="1363" t="n"/>
      <c r="BR715" s="1361" t="n"/>
      <c r="BS715" s="1379" t="n"/>
      <c r="BT715" s="1361" t="n"/>
      <c r="BU715" s="1361" t="n"/>
      <c r="BV715" s="1361" t="n"/>
      <c r="BW715" s="1361" t="n"/>
      <c r="BX715" s="1379" t="n"/>
      <c r="BY715" s="1379" t="n"/>
      <c r="BZ715" s="1379" t="n"/>
      <c r="CA715" s="1379" t="n"/>
      <c r="CB715" s="1364" t="n"/>
    </row>
    <row r="716" ht="15" customFormat="1" customHeight="1" s="1359">
      <c r="A716" s="1373" t="inlineStr">
        <is>
          <t>Guidance Analysis Section</t>
        </is>
      </c>
      <c r="B716" s="1682" t="n"/>
      <c r="C716" s="1373" t="n"/>
      <c r="D716" s="1373" t="n"/>
      <c r="E716" s="1373" t="n"/>
      <c r="F716" s="1373" t="n"/>
      <c r="G716" s="1373" t="n"/>
      <c r="H716" s="1373" t="n"/>
      <c r="I716" s="1373" t="n"/>
      <c r="J716" s="1373" t="n"/>
      <c r="K716" s="1373" t="n"/>
      <c r="L716" s="1373" t="n"/>
      <c r="M716" s="1373" t="n"/>
      <c r="N716" s="1373" t="n"/>
      <c r="O716" s="1373" t="n"/>
      <c r="P716" s="1373" t="n"/>
      <c r="Q716" s="1373" t="n"/>
      <c r="R716" s="1373" t="n"/>
      <c r="S716" s="1373" t="n"/>
      <c r="T716" s="1373" t="n"/>
      <c r="U716" s="1373" t="n"/>
      <c r="V716" s="1373" t="n"/>
      <c r="W716" s="1373" t="n"/>
      <c r="X716" s="1373" t="n"/>
      <c r="Y716" s="1373" t="n"/>
      <c r="Z716" s="1373" t="n"/>
      <c r="AA716" s="1373" t="n"/>
      <c r="AB716" s="1373" t="n"/>
      <c r="AC716" s="1373" t="n"/>
      <c r="AD716" s="1373" t="n"/>
      <c r="AE716" s="1373" t="n"/>
      <c r="AF716" s="1373" t="n"/>
      <c r="AG716" s="1373" t="n"/>
      <c r="AH716" s="1373" t="n"/>
      <c r="AI716" s="1373" t="n"/>
      <c r="AJ716" s="1373" t="n"/>
      <c r="AK716" s="1373" t="n"/>
      <c r="AL716" s="1373" t="n"/>
      <c r="AM716" s="1373" t="n"/>
      <c r="AN716" s="1373" t="n"/>
      <c r="AO716" s="1373" t="n"/>
      <c r="AP716" s="1373" t="n"/>
      <c r="AQ716" s="1373" t="n"/>
      <c r="AR716" s="1373" t="n"/>
      <c r="AS716" s="1373" t="n"/>
      <c r="AT716" s="1373" t="n"/>
      <c r="AU716" s="1373" t="n"/>
      <c r="AV716" s="1373" t="n"/>
      <c r="AW716" s="1373" t="n"/>
      <c r="AX716" s="1373" t="n"/>
      <c r="AY716" s="1373" t="n"/>
      <c r="AZ716" s="1373" t="n"/>
      <c r="BA716" s="1373" t="n"/>
      <c r="BB716" s="1373" t="n"/>
      <c r="BC716" s="1373" t="n"/>
      <c r="BD716" s="1373" t="n"/>
      <c r="BE716" s="1373" t="n"/>
      <c r="BF716" s="1373" t="n"/>
      <c r="BG716" s="1373" t="n"/>
      <c r="BH716" s="1373" t="n"/>
      <c r="BI716" s="1373" t="n"/>
      <c r="BJ716" s="1373" t="n"/>
      <c r="BK716" s="1373" t="n"/>
      <c r="BL716" s="1373" t="n"/>
      <c r="BM716" s="1373" t="n"/>
      <c r="BN716" s="1373" t="n"/>
      <c r="BO716" s="1373" t="n"/>
      <c r="BP716" s="1373" t="n"/>
      <c r="BQ716" s="1374" t="n"/>
      <c r="BR716" s="1373" t="n"/>
      <c r="BS716" s="1373" t="n"/>
      <c r="BT716" s="1373" t="n"/>
      <c r="BU716" s="1373" t="n"/>
      <c r="BV716" s="1373" t="n"/>
      <c r="BW716" s="1373" t="n"/>
      <c r="BX716" s="1373" t="n"/>
      <c r="BY716" s="1373" t="n"/>
      <c r="BZ716" s="1373" t="n"/>
      <c r="CA716" s="1373" t="n"/>
      <c r="CB716" s="1364" t="n"/>
    </row>
    <row r="717" hidden="1" outlineLevel="1" ht="15" customFormat="1" customHeight="1" s="1359">
      <c r="A717" s="1766" t="inlineStr">
        <is>
          <t>Revenue - Guidance Analysis</t>
        </is>
      </c>
      <c r="B717" s="1682" t="n"/>
      <c r="C717" s="1373" t="n"/>
      <c r="D717" s="1373" t="n"/>
      <c r="E717" s="1373" t="n"/>
      <c r="F717" s="1373" t="n"/>
      <c r="G717" s="1373" t="n"/>
      <c r="H717" s="1373" t="n"/>
      <c r="I717" s="1373" t="n"/>
      <c r="J717" s="1373" t="n"/>
      <c r="K717" s="1373" t="n"/>
      <c r="L717" s="1373" t="n"/>
      <c r="M717" s="1373" t="n"/>
      <c r="N717" s="1373" t="n"/>
      <c r="O717" s="1373" t="n"/>
      <c r="P717" s="1373" t="n"/>
      <c r="Q717" s="1373" t="n"/>
      <c r="R717" s="1373" t="n"/>
      <c r="S717" s="1373" t="n"/>
      <c r="T717" s="1373" t="n"/>
      <c r="U717" s="1373" t="n"/>
      <c r="V717" s="1373" t="n"/>
      <c r="W717" s="1373" t="n"/>
      <c r="X717" s="1373" t="n"/>
      <c r="Y717" s="1373" t="n"/>
      <c r="Z717" s="1373" t="n"/>
      <c r="AA717" s="1373" t="n"/>
      <c r="AB717" s="1373" t="n"/>
      <c r="AC717" s="1373" t="n"/>
      <c r="AD717" s="1373" t="n"/>
      <c r="AE717" s="1373" t="n"/>
      <c r="AF717" s="1373" t="n"/>
      <c r="AG717" s="1373" t="n"/>
      <c r="AH717" s="1373" t="n"/>
      <c r="AI717" s="1373" t="n"/>
      <c r="AJ717" s="1373" t="n"/>
      <c r="AK717" s="1373" t="n"/>
      <c r="AL717" s="1373" t="n"/>
      <c r="AM717" s="1373" t="n"/>
      <c r="AN717" s="1373" t="n"/>
      <c r="AO717" s="1373" t="n"/>
      <c r="AP717" s="1373" t="n"/>
      <c r="AQ717" s="1373" t="n"/>
      <c r="AR717" s="1373" t="n"/>
      <c r="AS717" s="1373" t="n"/>
      <c r="AT717" s="1373" t="n"/>
      <c r="AU717" s="1373" t="n"/>
      <c r="AV717" s="1373" t="n"/>
      <c r="AW717" s="1373" t="n"/>
      <c r="AX717" s="1373" t="n"/>
      <c r="AY717" s="1373" t="n"/>
      <c r="AZ717" s="1373" t="n"/>
      <c r="BA717" s="1373" t="n"/>
      <c r="BB717" s="1373" t="n"/>
      <c r="BC717" s="1373" t="n"/>
      <c r="BD717" s="1373" t="n"/>
      <c r="BE717" s="1373" t="n"/>
      <c r="BF717" s="1373" t="n"/>
      <c r="BG717" s="1373" t="n"/>
      <c r="BH717" s="1373" t="n"/>
      <c r="BI717" s="1373" t="n"/>
      <c r="BJ717" s="1373" t="n"/>
      <c r="BK717" s="1373" t="n"/>
      <c r="BL717" s="1373" t="n"/>
      <c r="BM717" s="1373" t="n"/>
      <c r="BN717" s="1373" t="n"/>
      <c r="BO717" s="1373" t="n"/>
      <c r="BP717" s="1373" t="n"/>
      <c r="BQ717" s="1374" t="n"/>
      <c r="BR717" s="1373" t="n"/>
      <c r="BS717" s="1373" t="n"/>
      <c r="BT717" s="1373" t="n"/>
      <c r="BU717" s="1373" t="n"/>
      <c r="BV717" s="1373" t="n"/>
      <c r="BW717" s="1373" t="n"/>
      <c r="BX717" s="1373" t="n"/>
      <c r="BY717" s="1373" t="n"/>
      <c r="BZ717" s="1373" t="n"/>
      <c r="CA717" s="1373" t="n"/>
      <c r="CB717" s="1375" t="n"/>
    </row>
    <row r="718" hidden="1" outlineLevel="2" ht="15" customFormat="1" customHeight="1" s="1359">
      <c r="A718" s="1474" t="inlineStr">
        <is>
          <t>Revenue guidance - initial midpoint, mm</t>
        </is>
      </c>
      <c r="B718" s="1512" t="n"/>
      <c r="C718" s="1379" t="n"/>
      <c r="D718" s="1379" t="n"/>
      <c r="E718" s="1379" t="n"/>
      <c r="F718" s="1379" t="n"/>
      <c r="G718" s="1361" t="n"/>
      <c r="H718" s="1361">
        <f>IF(ISBLANK(G738),"",G738)</f>
        <v/>
      </c>
      <c r="I718" s="1361">
        <f>IF(ISBLANK(H738),"",H738)</f>
        <v/>
      </c>
      <c r="J718" s="1361">
        <f>IF(ISBLANK(I738),"",I738)</f>
        <v/>
      </c>
      <c r="K718" s="1379" t="n"/>
      <c r="L718" s="1361">
        <f>IF(ISBLANK(J738),"",J738)</f>
        <v/>
      </c>
      <c r="M718" s="1361">
        <f>IF(ISBLANK(L738),"",L738)</f>
        <v/>
      </c>
      <c r="N718" s="1361">
        <f>IF(ISBLANK(M738),"",M738)</f>
        <v/>
      </c>
      <c r="O718" s="1361">
        <f>IF(ISBLANK(N738),"",N738)</f>
        <v/>
      </c>
      <c r="P718" s="1379">
        <f>IF(ISBLANK(J755),"",J755)</f>
        <v/>
      </c>
      <c r="Q718" s="1361">
        <f>IF(ISBLANK(O738),"",O738)</f>
        <v/>
      </c>
      <c r="R718" s="1361">
        <f>IF(ISBLANK(Q738),"",Q738)</f>
        <v/>
      </c>
      <c r="S718" s="1361">
        <f>IF(ISBLANK(R738),"",R738)</f>
        <v/>
      </c>
      <c r="T718" s="1361">
        <f>IF(ISBLANK(S738),"",S738)</f>
        <v/>
      </c>
      <c r="U718" s="1379">
        <f>IF(ISBLANK(O755),"",O755)</f>
        <v/>
      </c>
      <c r="V718" s="1361">
        <f>IF(ISBLANK(T738),"",T738)</f>
        <v/>
      </c>
      <c r="W718" s="1361">
        <f>IF(ISBLANK(V738),"",V738)</f>
        <v/>
      </c>
      <c r="X718" s="1361">
        <f>IF(ISBLANK(W738),"",W738)</f>
        <v/>
      </c>
      <c r="Y718" s="1361">
        <f>IF(ISBLANK(X738),"",X738)</f>
        <v/>
      </c>
      <c r="Z718" s="1379">
        <f>IF(ISBLANK(T755),"",T755)</f>
        <v/>
      </c>
      <c r="AA718" s="1361">
        <f>IF(ISBLANK(Y738),"",Y738)</f>
        <v/>
      </c>
      <c r="AB718" s="1361">
        <f>IF(ISBLANK(AA738),"",AA738)</f>
        <v/>
      </c>
      <c r="AC718" s="1361">
        <f>IF(ISBLANK(AB738),"",AB738)</f>
        <v/>
      </c>
      <c r="AD718" s="1361">
        <f>IF(ISBLANK(AC738),"",AC738)</f>
        <v/>
      </c>
      <c r="AE718" s="1379">
        <f>IF(ISBLANK(Y755),"",Y755)</f>
        <v/>
      </c>
      <c r="AF718" s="1361">
        <f>IF(ISBLANK(AD738),"",AD738)</f>
        <v/>
      </c>
      <c r="AG718" s="1361">
        <f>IF(ISBLANK(AF738),"",AF738)</f>
        <v/>
      </c>
      <c r="AH718" s="1361">
        <f>IF(ISBLANK(AG738),"",AG738)</f>
        <v/>
      </c>
      <c r="AI718" s="1361">
        <f>IF(ISBLANK(AH738),"",AH738)</f>
        <v/>
      </c>
      <c r="AJ718" s="1379">
        <f>IF(ISBLANK(AD755),"",AD755)</f>
        <v/>
      </c>
      <c r="AK718" s="1361">
        <f>IF(ISBLANK(AI738),"",AI738)</f>
        <v/>
      </c>
      <c r="AL718" s="1361">
        <f>IF(ISBLANK(AK738),"",AK738)</f>
        <v/>
      </c>
      <c r="AM718" s="1361">
        <f>IF(ISBLANK(AL738),"",AL738)</f>
        <v/>
      </c>
      <c r="AN718" s="1361">
        <f>IF(ISBLANK(AM738),"",AM738)</f>
        <v/>
      </c>
      <c r="AO718" s="1379">
        <f>IF(ISBLANK(AI755),"",AI755)</f>
        <v/>
      </c>
      <c r="AP718" s="1361">
        <f>IF(ISBLANK(AN738),"",AN738)</f>
        <v/>
      </c>
      <c r="AQ718" s="1361">
        <f>IF(ISBLANK(AP738),"",AP738)</f>
        <v/>
      </c>
      <c r="AR718" s="1361">
        <f>IF(ISBLANK(AQ738),"",AQ738)</f>
        <v/>
      </c>
      <c r="AS718" s="1361">
        <f>IF(ISBLANK(AR738),"",AR738)</f>
        <v/>
      </c>
      <c r="AT718" s="1379">
        <f>IF(ISBLANK(AN755),"",AN755)</f>
        <v/>
      </c>
      <c r="AU718" s="1361">
        <f>IF(ISBLANK(AS738),"",AS738)</f>
        <v/>
      </c>
      <c r="AV718" s="1361">
        <f>IF(ISBLANK(AU738),"",AU738)</f>
        <v/>
      </c>
      <c r="AW718" s="1361">
        <f>IF(ISBLANK(AV738),"",AV738)</f>
        <v/>
      </c>
      <c r="AX718" s="1361">
        <f>IF(ISBLANK(AW738),"",AW738)</f>
        <v/>
      </c>
      <c r="AY718" s="1379">
        <f>IF(ISBLANK(AS755),"",AS755)</f>
        <v/>
      </c>
      <c r="AZ718" s="1361">
        <f>IF(ISBLANK(AX738),"",AX738)</f>
        <v/>
      </c>
      <c r="BA718" s="1361">
        <f>IF(ISBLANK(AZ738),"",AZ738)</f>
        <v/>
      </c>
      <c r="BB718" s="1361">
        <f>IF(ISBLANK(BA738),"",BA738)</f>
        <v/>
      </c>
      <c r="BC718" s="1361">
        <f>IF(ISBLANK(BB738),"",BB738)</f>
        <v/>
      </c>
      <c r="BD718" s="1379">
        <f>IF(ISBLANK(AX755),"",AX755)</f>
        <v/>
      </c>
      <c r="BE718" s="1361">
        <f>IF(ISBLANK(BC738),"",BC738)</f>
        <v/>
      </c>
      <c r="BF718" s="1361">
        <f>IF(ISBLANK(BE738),"",BE738)</f>
        <v/>
      </c>
      <c r="BG718" s="1361">
        <f>IF(ISBLANK(BF738),"",BF738)</f>
        <v/>
      </c>
      <c r="BH718" s="1361">
        <f>IF(ISBLANK(BG738),"",BG738)</f>
        <v/>
      </c>
      <c r="BI718" s="1379">
        <f>IF(ISBLANK(BC755),"",BC755)</f>
        <v/>
      </c>
      <c r="BJ718" s="1361">
        <f>IF(ISBLANK(BH738),"",BH738)</f>
        <v/>
      </c>
      <c r="BK718" s="1361">
        <f>IF(ISBLANK(BJ738),"",BJ738)</f>
        <v/>
      </c>
      <c r="BL718" s="1361">
        <f>IF(ISBLANK(BK738),"",BK738)</f>
        <v/>
      </c>
      <c r="BM718" s="1361">
        <f>IF(ISBLANK(BL738),"",BL738)</f>
        <v/>
      </c>
      <c r="BN718" s="1379">
        <f>IF(ISBLANK(BH755),"",BH755)</f>
        <v/>
      </c>
      <c r="BO718" s="1361">
        <f>IF(ISBLANK(BM738),"",BM738)</f>
        <v/>
      </c>
      <c r="BP718" s="1361">
        <f>IF(ISBLANK(BO738),"",BO738)</f>
        <v/>
      </c>
      <c r="BQ718" s="1363">
        <f>IF(ISBLANK(BP738),"",BP738)</f>
        <v/>
      </c>
      <c r="BR718" s="1361">
        <f>IF(ISBLANK(BQ738),"",BQ738)</f>
        <v/>
      </c>
      <c r="BS718" s="1379">
        <f>IF(ISBLANK(BM755),"",BM755)</f>
        <v/>
      </c>
      <c r="BT718" s="1361">
        <f>IF(ISBLANK(BR738),"",BR738)</f>
        <v/>
      </c>
      <c r="BU718" s="1361">
        <f>IF(ISBLANK(BT738),"",BT738)</f>
        <v/>
      </c>
      <c r="BV718" s="1361">
        <f>IF(ISBLANK(BU738),"",BU738)</f>
        <v/>
      </c>
      <c r="BW718" s="1361">
        <f>IF(ISBLANK(BV738),"",BV738)</f>
        <v/>
      </c>
      <c r="BX718" s="1379">
        <f>IF(ISBLANK(BR755),"",BR755)</f>
        <v/>
      </c>
      <c r="BY718" s="1379" t="n"/>
      <c r="BZ718" s="1379" t="n"/>
      <c r="CA718" s="1379" t="n"/>
      <c r="CB718" s="1361" t="n"/>
    </row>
    <row r="719" hidden="1" outlineLevel="2" ht="15" customFormat="1" customHeight="1" s="1359">
      <c r="A719" s="1474" t="inlineStr">
        <is>
          <t>Revenue guidance - update 1 midpoint, mm</t>
        </is>
      </c>
      <c r="B719" s="1512" t="n"/>
      <c r="C719" s="1379" t="n"/>
      <c r="D719" s="1379" t="n"/>
      <c r="E719" s="1379" t="n"/>
      <c r="F719" s="1379" t="n"/>
      <c r="G719" s="1361" t="n"/>
      <c r="H719" s="1361" t="n"/>
      <c r="I719" s="1361" t="n"/>
      <c r="J719" s="1361" t="n"/>
      <c r="K719" s="1379">
        <f>IF(ISBLANK(G755),"",G755)</f>
        <v/>
      </c>
      <c r="L719" s="1361" t="n"/>
      <c r="M719" s="1361" t="n"/>
      <c r="N719" s="1361" t="n"/>
      <c r="O719" s="1361" t="n"/>
      <c r="P719" s="1379">
        <f>IF(ISBLANK(L755),"",L755)</f>
        <v/>
      </c>
      <c r="Q719" s="1361" t="n"/>
      <c r="R719" s="1361" t="n"/>
      <c r="S719" s="1361" t="n"/>
      <c r="T719" s="1361" t="n"/>
      <c r="U719" s="1379">
        <f>IF(ISBLANK(Q755),"",Q755)</f>
        <v/>
      </c>
      <c r="V719" s="1361" t="n"/>
      <c r="W719" s="1361" t="n"/>
      <c r="X719" s="1361" t="n"/>
      <c r="Y719" s="1361" t="n"/>
      <c r="Z719" s="1379">
        <f>IF(ISBLANK(V755),"",V755)</f>
        <v/>
      </c>
      <c r="AA719" s="1361" t="n"/>
      <c r="AB719" s="1361" t="n"/>
      <c r="AC719" s="1361" t="n"/>
      <c r="AD719" s="1361" t="n"/>
      <c r="AE719" s="1379">
        <f>IF(ISBLANK(AA755),"",AA755)</f>
        <v/>
      </c>
      <c r="AF719" s="1361" t="n"/>
      <c r="AG719" s="1361" t="n"/>
      <c r="AH719" s="1361" t="n"/>
      <c r="AI719" s="1361" t="n"/>
      <c r="AJ719" s="1379">
        <f>IF(ISBLANK(AF755),"",AF755)</f>
        <v/>
      </c>
      <c r="AK719" s="1361" t="n"/>
      <c r="AL719" s="1361" t="n"/>
      <c r="AM719" s="1361" t="n"/>
      <c r="AN719" s="1361" t="n"/>
      <c r="AO719" s="1379">
        <f>IF(ISBLANK(AK755),"",AK755)</f>
        <v/>
      </c>
      <c r="AP719" s="1361" t="n"/>
      <c r="AQ719" s="1361" t="n"/>
      <c r="AR719" s="1361" t="n"/>
      <c r="AS719" s="1361" t="n"/>
      <c r="AT719" s="1379">
        <f>IF(ISBLANK(AP755),"",AP755)</f>
        <v/>
      </c>
      <c r="AU719" s="1361" t="n"/>
      <c r="AV719" s="1361" t="n"/>
      <c r="AW719" s="1361" t="n"/>
      <c r="AX719" s="1361" t="n"/>
      <c r="AY719" s="1379">
        <f>IF(ISBLANK(AU755),"",AU755)</f>
        <v/>
      </c>
      <c r="AZ719" s="1361" t="n"/>
      <c r="BA719" s="1361" t="n"/>
      <c r="BB719" s="1361" t="n"/>
      <c r="BC719" s="1361" t="n"/>
      <c r="BD719" s="1379">
        <f>IF(ISBLANK(AZ755),"",AZ755)</f>
        <v/>
      </c>
      <c r="BE719" s="1361" t="n"/>
      <c r="BF719" s="1361" t="n"/>
      <c r="BG719" s="1361" t="n"/>
      <c r="BH719" s="1361" t="n"/>
      <c r="BI719" s="1379">
        <f>IF(ISBLANK(BE755),"",BE755)</f>
        <v/>
      </c>
      <c r="BJ719" s="1361" t="n"/>
      <c r="BK719" s="1361" t="n"/>
      <c r="BL719" s="1361" t="n"/>
      <c r="BM719" s="1361" t="n"/>
      <c r="BN719" s="1379">
        <f>IF(ISBLANK(BJ755),"",BJ755)</f>
        <v/>
      </c>
      <c r="BO719" s="1361" t="n"/>
      <c r="BP719" s="1361" t="n"/>
      <c r="BQ719" s="1363" t="n"/>
      <c r="BR719" s="1361" t="n"/>
      <c r="BS719" s="1379">
        <f>IF(ISBLANK(BO755),"",BO755)</f>
        <v/>
      </c>
      <c r="BT719" s="1361" t="n"/>
      <c r="BU719" s="1361" t="n"/>
      <c r="BV719" s="1361" t="n"/>
      <c r="BW719" s="1361" t="n"/>
      <c r="BX719" s="1379">
        <f>IF(ISBLANK(BT755),"",BT755)</f>
        <v/>
      </c>
      <c r="BY719" s="1379" t="n"/>
      <c r="BZ719" s="1379" t="n"/>
      <c r="CA719" s="1379" t="n"/>
      <c r="CB719" s="1361" t="n"/>
    </row>
    <row r="720" hidden="1" outlineLevel="2" ht="15" customFormat="1" customHeight="1" s="1359">
      <c r="A720" s="1474" t="inlineStr">
        <is>
          <t>Revenue guidance - update 2 midpoint, mm</t>
        </is>
      </c>
      <c r="B720" s="1512" t="n"/>
      <c r="C720" s="1379" t="n"/>
      <c r="D720" s="1379" t="n"/>
      <c r="E720" s="1379" t="n"/>
      <c r="F720" s="1379" t="n"/>
      <c r="G720" s="1361" t="n"/>
      <c r="H720" s="1361" t="n"/>
      <c r="I720" s="1361" t="n"/>
      <c r="J720" s="1361" t="n"/>
      <c r="K720" s="1379">
        <f>IF(ISBLANK(H755),"",H755)</f>
        <v/>
      </c>
      <c r="L720" s="1361" t="n"/>
      <c r="M720" s="1361" t="n"/>
      <c r="N720" s="1361" t="n"/>
      <c r="O720" s="1361" t="n"/>
      <c r="P720" s="1379">
        <f>IF(ISBLANK(M755),"",M755)</f>
        <v/>
      </c>
      <c r="Q720" s="1361" t="n"/>
      <c r="R720" s="1361" t="n"/>
      <c r="S720" s="1361" t="n"/>
      <c r="T720" s="1361" t="n"/>
      <c r="U720" s="1379">
        <f>IF(ISBLANK(R755),"",R755)</f>
        <v/>
      </c>
      <c r="V720" s="1361" t="n"/>
      <c r="W720" s="1361" t="n"/>
      <c r="X720" s="1361" t="n"/>
      <c r="Y720" s="1361" t="n"/>
      <c r="Z720" s="1379">
        <f>IF(ISBLANK(W755),"",W755)</f>
        <v/>
      </c>
      <c r="AA720" s="1361" t="n"/>
      <c r="AB720" s="1361" t="n"/>
      <c r="AC720" s="1361" t="n"/>
      <c r="AD720" s="1361" t="n"/>
      <c r="AE720" s="1379">
        <f>IF(ISBLANK(AB755),"",AB755)</f>
        <v/>
      </c>
      <c r="AF720" s="1361" t="n"/>
      <c r="AG720" s="1361" t="n"/>
      <c r="AH720" s="1361" t="n"/>
      <c r="AI720" s="1361" t="n"/>
      <c r="AJ720" s="1379">
        <f>IF(ISBLANK(AG755),"",AG755)</f>
        <v/>
      </c>
      <c r="AK720" s="1361" t="n"/>
      <c r="AL720" s="1361" t="n"/>
      <c r="AM720" s="1361" t="n"/>
      <c r="AN720" s="1361" t="n"/>
      <c r="AO720" s="1379">
        <f>IF(ISBLANK(AL755),"",AL755)</f>
        <v/>
      </c>
      <c r="AP720" s="1361" t="n"/>
      <c r="AQ720" s="1361" t="n"/>
      <c r="AR720" s="1361" t="n"/>
      <c r="AS720" s="1361" t="n"/>
      <c r="AT720" s="1379">
        <f>IF(ISBLANK(AQ755),"",AQ755)</f>
        <v/>
      </c>
      <c r="AU720" s="1361" t="n"/>
      <c r="AV720" s="1361" t="n"/>
      <c r="AW720" s="1361" t="n"/>
      <c r="AX720" s="1361" t="n"/>
      <c r="AY720" s="1379">
        <f>IF(ISBLANK(AV755),"",AV755)</f>
        <v/>
      </c>
      <c r="AZ720" s="1361" t="n"/>
      <c r="BA720" s="1361" t="n"/>
      <c r="BB720" s="1361" t="n"/>
      <c r="BC720" s="1361" t="n"/>
      <c r="BD720" s="1379">
        <f>IF(ISBLANK(BA755),"",BA755)</f>
        <v/>
      </c>
      <c r="BE720" s="1361" t="n"/>
      <c r="BF720" s="1361" t="n"/>
      <c r="BG720" s="1361" t="n"/>
      <c r="BH720" s="1361" t="n"/>
      <c r="BI720" s="1379">
        <f>IF(ISBLANK(BF755),"",BF755)</f>
        <v/>
      </c>
      <c r="BJ720" s="1361" t="n"/>
      <c r="BK720" s="1361" t="n"/>
      <c r="BL720" s="1361" t="n"/>
      <c r="BM720" s="1361" t="n"/>
      <c r="BN720" s="1379">
        <f>IF(ISBLANK(BK755),"",BK755)</f>
        <v/>
      </c>
      <c r="BO720" s="1361" t="n"/>
      <c r="BP720" s="1361" t="n"/>
      <c r="BQ720" s="1363" t="n"/>
      <c r="BR720" s="1361" t="n"/>
      <c r="BS720" s="1379">
        <f>IF(ISBLANK(BP755),"",BP755)</f>
        <v/>
      </c>
      <c r="BT720" s="1361" t="n"/>
      <c r="BU720" s="1361" t="n"/>
      <c r="BV720" s="1361" t="n"/>
      <c r="BW720" s="1361" t="n"/>
      <c r="BX720" s="1379">
        <f>IF(ISBLANK(BU755),"",BU755)</f>
        <v/>
      </c>
      <c r="BY720" s="1379" t="n"/>
      <c r="BZ720" s="1379" t="n"/>
      <c r="CA720" s="1379" t="n"/>
      <c r="CB720" s="1361" t="n"/>
    </row>
    <row r="721" hidden="1" outlineLevel="2" ht="15" customFormat="1" customHeight="1" s="1359">
      <c r="A721" s="1478" t="inlineStr">
        <is>
          <t>Revenue guidance - update 3 midpoint, mm</t>
        </is>
      </c>
      <c r="B721" s="1514" t="n"/>
      <c r="C721" s="1455" t="n"/>
      <c r="D721" s="1455" t="n"/>
      <c r="E721" s="1455" t="n"/>
      <c r="F721" s="1455" t="n"/>
      <c r="G721" s="1456" t="n"/>
      <c r="H721" s="1456" t="n"/>
      <c r="I721" s="1456" t="n"/>
      <c r="J721" s="1456" t="n"/>
      <c r="K721" s="1455">
        <f>IF(ISBLANK(I755),"",I755)</f>
        <v/>
      </c>
      <c r="L721" s="1456" t="n"/>
      <c r="M721" s="1456" t="n"/>
      <c r="N721" s="1456" t="n"/>
      <c r="O721" s="1456" t="n"/>
      <c r="P721" s="1455">
        <f>IF(ISBLANK(N755),"",N755)</f>
        <v/>
      </c>
      <c r="Q721" s="1456" t="n"/>
      <c r="R721" s="1456" t="n"/>
      <c r="S721" s="1456" t="n"/>
      <c r="T721" s="1456" t="n"/>
      <c r="U721" s="1455">
        <f>IF(ISBLANK(S755),"",S755)</f>
        <v/>
      </c>
      <c r="V721" s="1456" t="n"/>
      <c r="W721" s="1456" t="n"/>
      <c r="X721" s="1456" t="n"/>
      <c r="Y721" s="1456" t="n"/>
      <c r="Z721" s="1455">
        <f>IF(ISBLANK(X755),"",X755)</f>
        <v/>
      </c>
      <c r="AA721" s="1456" t="n"/>
      <c r="AB721" s="1456" t="n"/>
      <c r="AC721" s="1456" t="n"/>
      <c r="AD721" s="1456" t="n"/>
      <c r="AE721" s="1455">
        <f>IF(ISBLANK(AC755),"",AC755)</f>
        <v/>
      </c>
      <c r="AF721" s="1456" t="n"/>
      <c r="AG721" s="1456" t="n"/>
      <c r="AH721" s="1456" t="n"/>
      <c r="AI721" s="1456" t="n"/>
      <c r="AJ721" s="1455">
        <f>IF(ISBLANK(AH755),"",AH755)</f>
        <v/>
      </c>
      <c r="AK721" s="1456" t="n"/>
      <c r="AL721" s="1456" t="n"/>
      <c r="AM721" s="1456" t="n"/>
      <c r="AN721" s="1456" t="n"/>
      <c r="AO721" s="1455">
        <f>IF(ISBLANK(AM755),"",AM755)</f>
        <v/>
      </c>
      <c r="AP721" s="1456" t="n"/>
      <c r="AQ721" s="1456" t="n"/>
      <c r="AR721" s="1456" t="n"/>
      <c r="AS721" s="1456" t="n"/>
      <c r="AT721" s="1455">
        <f>IF(ISBLANK(AR755),"",AR755)</f>
        <v/>
      </c>
      <c r="AU721" s="1456" t="n"/>
      <c r="AV721" s="1456" t="n"/>
      <c r="AW721" s="1456" t="n"/>
      <c r="AX721" s="1456" t="n"/>
      <c r="AY721" s="1455">
        <f>IF(ISBLANK(AW755),"",AW755)</f>
        <v/>
      </c>
      <c r="AZ721" s="1456" t="n"/>
      <c r="BA721" s="1456" t="n"/>
      <c r="BB721" s="1456" t="n"/>
      <c r="BC721" s="1456" t="n"/>
      <c r="BD721" s="1455">
        <f>IF(ISBLANK(BB755),"",BB755)</f>
        <v/>
      </c>
      <c r="BE721" s="1456" t="n"/>
      <c r="BF721" s="1456" t="n"/>
      <c r="BG721" s="1456" t="n"/>
      <c r="BH721" s="1456" t="n"/>
      <c r="BI721" s="1455">
        <f>IF(ISBLANK(BG755),"",BG755)</f>
        <v/>
      </c>
      <c r="BJ721" s="1456" t="n"/>
      <c r="BK721" s="1456" t="n"/>
      <c r="BL721" s="1456" t="n"/>
      <c r="BM721" s="1456" t="n"/>
      <c r="BN721" s="1455">
        <f>IF(ISBLANK(BL755),"",BL755)</f>
        <v/>
      </c>
      <c r="BO721" s="1456" t="n"/>
      <c r="BP721" s="1456" t="n"/>
      <c r="BQ721" s="1457" t="n"/>
      <c r="BR721" s="1456" t="n"/>
      <c r="BS721" s="1455">
        <f>IF(ISBLANK(BQ755),"",BQ755)</f>
        <v/>
      </c>
      <c r="BT721" s="1456" t="n"/>
      <c r="BU721" s="1456" t="n"/>
      <c r="BV721" s="1456" t="n"/>
      <c r="BW721" s="1456" t="n"/>
      <c r="BX721" s="1455">
        <f>IF(ISBLANK(BV755),"",BV755)</f>
        <v/>
      </c>
      <c r="BY721" s="1455" t="n"/>
      <c r="BZ721" s="1455" t="n"/>
      <c r="CA721" s="1455" t="n"/>
      <c r="CB721" s="1361" t="n"/>
    </row>
    <row r="722" hidden="1" outlineLevel="1" collapsed="1" ht="15" customFormat="1" customHeight="1" s="1359">
      <c r="A722" s="1503" t="inlineStr">
        <is>
          <t>Revenue guidance - most recent midpoint, mm</t>
        </is>
      </c>
      <c r="B722" s="1512" t="n"/>
      <c r="C722" s="1379" t="n"/>
      <c r="D722" s="1379" t="n"/>
      <c r="E722" s="1379" t="n"/>
      <c r="F722" s="1379" t="n"/>
      <c r="G722" s="1361">
        <f>IF(G721="",IF(G720="",IF(G719="",IF(G718="","",G718),G719),G720),G721)</f>
        <v/>
      </c>
      <c r="H722" s="1361">
        <f>IF(H721="",IF(H720="",IF(H719="",IF(H718="","",H718),H719),H720),H721)</f>
        <v/>
      </c>
      <c r="I722" s="1361">
        <f>IF(I721="",IF(I720="",IF(I719="",IF(I718="","",I718),I719),I720),I721)</f>
        <v/>
      </c>
      <c r="J722" s="1361">
        <f>IF(J721="",IF(J720="",IF(J719="",IF(J718="","",J718),J719),J720),J721)</f>
        <v/>
      </c>
      <c r="K722" s="1379">
        <f>IF(K721="",IF(K720="",IF(K719="",IF(K718="","",K718),K719),K720),K721)</f>
        <v/>
      </c>
      <c r="L722" s="1361">
        <f>IF(L721="",IF(L720="",IF(L719="",IF(L718="","",L718),L719),L720),L721)</f>
        <v/>
      </c>
      <c r="M722" s="1361">
        <f>IF(M721="",IF(M720="",IF(M719="",IF(M718="","",M718),M719),M720),M721)</f>
        <v/>
      </c>
      <c r="N722" s="1361">
        <f>IF(N721="",IF(N720="",IF(N719="",IF(N718="","",N718),N719),N720),N721)</f>
        <v/>
      </c>
      <c r="O722" s="1361">
        <f>IF(O721="",IF(O720="",IF(O719="",IF(O718="","",O718),O719),O720),O721)</f>
        <v/>
      </c>
      <c r="P722" s="1379">
        <f>IF(P721="",IF(P720="",IF(P719="",IF(P718="","",P718),P719),P720),P721)</f>
        <v/>
      </c>
      <c r="Q722" s="1361">
        <f>IF(Q721="",IF(Q720="",IF(Q719="",IF(Q718="","",Q718),Q719),Q720),Q721)</f>
        <v/>
      </c>
      <c r="R722" s="1361">
        <f>IF(R721="",IF(R720="",IF(R719="",IF(R718="","",R718),R719),R720),R721)</f>
        <v/>
      </c>
      <c r="S722" s="1361">
        <f>IF(S721="",IF(S720="",IF(S719="",IF(S718="","",S718),S719),S720),S721)</f>
        <v/>
      </c>
      <c r="T722" s="1361">
        <f>IF(T721="",IF(T720="",IF(T719="",IF(T718="","",T718),T719),T720),T721)</f>
        <v/>
      </c>
      <c r="U722" s="1379">
        <f>IF(U721="",IF(U720="",IF(U719="",IF(U718="","",U718),U719),U720),U721)</f>
        <v/>
      </c>
      <c r="V722" s="1361">
        <f>IF(V721="",IF(V720="",IF(V719="",IF(V718="","",V718),V719),V720),V721)</f>
        <v/>
      </c>
      <c r="W722" s="1361">
        <f>IF(W721="",IF(W720="",IF(W719="",IF(W718="","",W718),W719),W720),W721)</f>
        <v/>
      </c>
      <c r="X722" s="1361">
        <f>IF(X721="",IF(X720="",IF(X719="",IF(X718="","",X718),X719),X720),X721)</f>
        <v/>
      </c>
      <c r="Y722" s="1361">
        <f>IF(Y721="",IF(Y720="",IF(Y719="",IF(Y718="","",Y718),Y719),Y720),Y721)</f>
        <v/>
      </c>
      <c r="Z722" s="1379">
        <f>IF(Z721="",IF(Z720="",IF(Z719="",IF(Z718="","",Z718),Z719),Z720),Z721)</f>
        <v/>
      </c>
      <c r="AA722" s="1361">
        <f>IF(AA721="",IF(AA720="",IF(AA719="",IF(AA718="","",AA718),AA719),AA720),AA721)</f>
        <v/>
      </c>
      <c r="AB722" s="1361">
        <f>IF(AB721="",IF(AB720="",IF(AB719="",IF(AB718="","",AB718),AB719),AB720),AB721)</f>
        <v/>
      </c>
      <c r="AC722" s="1361">
        <f>IF(AC721="",IF(AC720="",IF(AC719="",IF(AC718="","",AC718),AC719),AC720),AC721)</f>
        <v/>
      </c>
      <c r="AD722" s="1361">
        <f>IF(AD721="",IF(AD720="",IF(AD719="",IF(AD718="","",AD718),AD719),AD720),AD721)</f>
        <v/>
      </c>
      <c r="AE722" s="1379">
        <f>IF(AE721="",IF(AE720="",IF(AE719="",IF(AE718="","",AE718),AE719),AE720),AE721)</f>
        <v/>
      </c>
      <c r="AF722" s="1361">
        <f>IF(AF721="",IF(AF720="",IF(AF719="",IF(AF718="","",AF718),AF719),AF720),AF721)</f>
        <v/>
      </c>
      <c r="AG722" s="1361">
        <f>IF(AG721="",IF(AG720="",IF(AG719="",IF(AG718="","",AG718),AG719),AG720),AG721)</f>
        <v/>
      </c>
      <c r="AH722" s="1361">
        <f>IF(AH721="",IF(AH720="",IF(AH719="",IF(AH718="","",AH718),AH719),AH720),AH721)</f>
        <v/>
      </c>
      <c r="AI722" s="1361">
        <f>IF(AI721="",IF(AI720="",IF(AI719="",IF(AI718="","",AI718),AI719),AI720),AI721)</f>
        <v/>
      </c>
      <c r="AJ722" s="1379">
        <f>IF(AJ721="",IF(AJ720="",IF(AJ719="",IF(AJ718="","",AJ718),AJ719),AJ720),AJ721)</f>
        <v/>
      </c>
      <c r="AK722" s="1361">
        <f>IF(AK721="",IF(AK720="",IF(AK719="",IF(AK718="","",AK718),AK719),AK720),AK721)</f>
        <v/>
      </c>
      <c r="AL722" s="1361">
        <f>IF(AL721="",IF(AL720="",IF(AL719="",IF(AL718="","",AL718),AL719),AL720),AL721)</f>
        <v/>
      </c>
      <c r="AM722" s="1361">
        <f>IF(AM721="",IF(AM720="",IF(AM719="",IF(AM718="","",AM718),AM719),AM720),AM721)</f>
        <v/>
      </c>
      <c r="AN722" s="1361">
        <f>IF(AN721="",IF(AN720="",IF(AN719="",IF(AN718="","",AN718),AN719),AN720),AN721)</f>
        <v/>
      </c>
      <c r="AO722" s="1379">
        <f>IF(AO721="",IF(AO720="",IF(AO719="",IF(AO718="","",AO718),AO719),AO720),AO721)</f>
        <v/>
      </c>
      <c r="AP722" s="1361">
        <f>IF(AP721="",IF(AP720="",IF(AP719="",IF(AP718="","",AP718),AP719),AP720),AP721)</f>
        <v/>
      </c>
      <c r="AQ722" s="1361">
        <f>IF(AQ721="",IF(AQ720="",IF(AQ719="",IF(AQ718="","",AQ718),AQ719),AQ720),AQ721)</f>
        <v/>
      </c>
      <c r="AR722" s="1361">
        <f>IF(AR721="",IF(AR720="",IF(AR719="",IF(AR718="","",AR718),AR719),AR720),AR721)</f>
        <v/>
      </c>
      <c r="AS722" s="1361">
        <f>IF(AS721="",IF(AS720="",IF(AS719="",IF(AS718="","",AS718),AS719),AS720),AS721)</f>
        <v/>
      </c>
      <c r="AT722" s="1379">
        <f>IF(AT721="",IF(AT720="",IF(AT719="",IF(AT718="","",AT718),AT719),AT720),AT721)</f>
        <v/>
      </c>
      <c r="AU722" s="1361">
        <f>IF(AU721="",IF(AU720="",IF(AU719="",IF(AU718="","",AU718),AU719),AU720),AU721)</f>
        <v/>
      </c>
      <c r="AV722" s="1361">
        <f>IF(AV721="",IF(AV720="",IF(AV719="",IF(AV718="","",AV718),AV719),AV720),AV721)</f>
        <v/>
      </c>
      <c r="AW722" s="1361">
        <f>IF(AW721="",IF(AW720="",IF(AW719="",IF(AW718="","",AW718),AW719),AW720),AW721)</f>
        <v/>
      </c>
      <c r="AX722" s="1361">
        <f>IF(AX721="",IF(AX720="",IF(AX719="",IF(AX718="","",AX718),AX719),AX720),AX721)</f>
        <v/>
      </c>
      <c r="AY722" s="1379">
        <f>IF(AY721="",IF(AY720="",IF(AY719="",IF(AY718="","",AY718),AY719),AY720),AY721)</f>
        <v/>
      </c>
      <c r="AZ722" s="1361">
        <f>IF(AZ721="",IF(AZ720="",IF(AZ719="",IF(AZ718="","",AZ718),AZ719),AZ720),AZ721)</f>
        <v/>
      </c>
      <c r="BA722" s="1361">
        <f>IF(BA721="",IF(BA720="",IF(BA719="",IF(BA718="","",BA718),BA719),BA720),BA721)</f>
        <v/>
      </c>
      <c r="BB722" s="1361">
        <f>IF(BB721="",IF(BB720="",IF(BB719="",IF(BB718="","",BB718),BB719),BB720),BB721)</f>
        <v/>
      </c>
      <c r="BC722" s="1361">
        <f>IF(BC721="",IF(BC720="",IF(BC719="",IF(BC718="","",BC718),BC719),BC720),BC721)</f>
        <v/>
      </c>
      <c r="BD722" s="1379">
        <f>IF(BD721="",IF(BD720="",IF(BD719="",IF(BD718="","",BD718),BD719),BD720),BD721)</f>
        <v/>
      </c>
      <c r="BE722" s="1361">
        <f>IF(BE721="",IF(BE720="",IF(BE719="",IF(BE718="","",BE718),BE719),BE720),BE721)</f>
        <v/>
      </c>
      <c r="BF722" s="1361">
        <f>IF(BF721="",IF(BF720="",IF(BF719="",IF(BF718="","",BF718),BF719),BF720),BF721)</f>
        <v/>
      </c>
      <c r="BG722" s="1361">
        <f>IF(BG721="",IF(BG720="",IF(BG719="",IF(BG718="","",BG718),BG719),BG720),BG721)</f>
        <v/>
      </c>
      <c r="BH722" s="1361">
        <f>IF(BH721="",IF(BH720="",IF(BH719="",IF(BH718="","",BH718),BH719),BH720),BH721)</f>
        <v/>
      </c>
      <c r="BI722" s="1379">
        <f>IF(BI721="",IF(BI720="",IF(BI719="",IF(BI718="","",BI718),BI719),BI720),BI721)</f>
        <v/>
      </c>
      <c r="BJ722" s="1361">
        <f>IF(BJ721="",IF(BJ720="",IF(BJ719="",IF(BJ718="","",BJ718),BJ719),BJ720),BJ721)</f>
        <v/>
      </c>
      <c r="BK722" s="1361">
        <f>IF(BK721="",IF(BK720="",IF(BK719="",IF(BK718="","",BK718),BK719),BK720),BK721)</f>
        <v/>
      </c>
      <c r="BL722" s="1361">
        <f>IF(BL721="",IF(BL720="",IF(BL719="",IF(BL718="","",BL718),BL719),BL720),BL721)</f>
        <v/>
      </c>
      <c r="BM722" s="1361">
        <f>IF(BM721="",IF(BM720="",IF(BM719="",IF(BM718="","",BM718),BM719),BM720),BM721)</f>
        <v/>
      </c>
      <c r="BN722" s="1379">
        <f>IF(BN721="",IF(BN720="",IF(BN719="",IF(BN718="","",BN718),BN719),BN720),BN721)</f>
        <v/>
      </c>
      <c r="BO722" s="1361">
        <f>IF(BO721="",IF(BO720="",IF(BO719="",IF(BO718="","",BO718),BO719),BO720),BO721)</f>
        <v/>
      </c>
      <c r="BP722" s="1361">
        <f>IF(BP721="",IF(BP720="",IF(BP719="",IF(BP718="","",BP718),BP719),BP720),BP721)</f>
        <v/>
      </c>
      <c r="BQ722" s="1363">
        <f>IF(BQ721="",IF(BQ720="",IF(BQ719="",IF(BQ718="","",BQ718),BQ719),BQ720),BQ721)</f>
        <v/>
      </c>
      <c r="BR722" s="1361">
        <f>IF(BR721="",IF(BR720="",IF(BR719="",IF(BR718="","",BR718),BR719),BR720),BR721)</f>
        <v/>
      </c>
      <c r="BS722" s="1379">
        <f>IF(BS721="",IF(BS720="",IF(BS719="",IF(BS718="","",BS718),BS719),BS720),BS721)</f>
        <v/>
      </c>
      <c r="BT722" s="1361">
        <f>IF(BT721="",IF(BT720="",IF(BT719="",IF(BT718="","",BT718),BT719),BT720),BT721)</f>
        <v/>
      </c>
      <c r="BU722" s="1361">
        <f>IF(BU721="",IF(BU720="",IF(BU719="",IF(BU718="","",BU718),BU719),BU720),BU721)</f>
        <v/>
      </c>
      <c r="BV722" s="1361">
        <f>IF(BV721="",IF(BV720="",IF(BV719="",IF(BV718="","",BV718),BV719),BV720),BV721)</f>
        <v/>
      </c>
      <c r="BW722" s="1361">
        <f>IF(BW721="",IF(BW720="",IF(BW719="",IF(BW718="","",BW718),BW719),BW720),BW721)</f>
        <v/>
      </c>
      <c r="BX722" s="1379">
        <f>IF(BX721="",IF(BX720="",IF(BX719="",IF(BX718="","",BX718),BX719),BX720),BX721)</f>
        <v/>
      </c>
      <c r="BY722" s="1379" t="n"/>
      <c r="BZ722" s="1379" t="n"/>
      <c r="CA722" s="1379" t="n"/>
      <c r="CB722" s="1361" t="n"/>
    </row>
    <row r="723" hidden="1" outlineLevel="1" ht="15" customFormat="1" customHeight="1" s="1359">
      <c r="A723" s="1767" t="inlineStr">
        <is>
          <t>Revenue - reported/model estimate, mm</t>
        </is>
      </c>
      <c r="B723" s="1613" t="n"/>
      <c r="C723" s="1614">
        <f>C454</f>
        <v/>
      </c>
      <c r="D723" s="1614">
        <f>D454</f>
        <v/>
      </c>
      <c r="E723" s="1614">
        <f>E454</f>
        <v/>
      </c>
      <c r="F723" s="1614">
        <f>F454</f>
        <v/>
      </c>
      <c r="G723" s="1615">
        <f>G454</f>
        <v/>
      </c>
      <c r="H723" s="1615">
        <f>H454</f>
        <v/>
      </c>
      <c r="I723" s="1615">
        <f>I454</f>
        <v/>
      </c>
      <c r="J723" s="1615">
        <f>J454</f>
        <v/>
      </c>
      <c r="K723" s="1614">
        <f>K454</f>
        <v/>
      </c>
      <c r="L723" s="1615">
        <f>L454</f>
        <v/>
      </c>
      <c r="M723" s="1615">
        <f>M454</f>
        <v/>
      </c>
      <c r="N723" s="1615">
        <f>N454</f>
        <v/>
      </c>
      <c r="O723" s="1615">
        <f>O454</f>
        <v/>
      </c>
      <c r="P723" s="1614">
        <f>P454</f>
        <v/>
      </c>
      <c r="Q723" s="1615">
        <f>Q454</f>
        <v/>
      </c>
      <c r="R723" s="1615">
        <f>R454</f>
        <v/>
      </c>
      <c r="S723" s="1615">
        <f>S454</f>
        <v/>
      </c>
      <c r="T723" s="1615">
        <f>T454</f>
        <v/>
      </c>
      <c r="U723" s="1614">
        <f>U454</f>
        <v/>
      </c>
      <c r="V723" s="1615">
        <f>V454</f>
        <v/>
      </c>
      <c r="W723" s="1615">
        <f>W454</f>
        <v/>
      </c>
      <c r="X723" s="1615">
        <f>X454</f>
        <v/>
      </c>
      <c r="Y723" s="1615">
        <f>Y454</f>
        <v/>
      </c>
      <c r="Z723" s="1614">
        <f>Z454</f>
        <v/>
      </c>
      <c r="AA723" s="1615">
        <f>AA454</f>
        <v/>
      </c>
      <c r="AB723" s="1615">
        <f>AB454</f>
        <v/>
      </c>
      <c r="AC723" s="1615">
        <f>AC454</f>
        <v/>
      </c>
      <c r="AD723" s="1615">
        <f>AD454</f>
        <v/>
      </c>
      <c r="AE723" s="1614">
        <f>AE454</f>
        <v/>
      </c>
      <c r="AF723" s="1615">
        <f>AF454</f>
        <v/>
      </c>
      <c r="AG723" s="1615">
        <f>AG454</f>
        <v/>
      </c>
      <c r="AH723" s="1615">
        <f>AH454</f>
        <v/>
      </c>
      <c r="AI723" s="1615">
        <f>AI454</f>
        <v/>
      </c>
      <c r="AJ723" s="1614">
        <f>AJ454</f>
        <v/>
      </c>
      <c r="AK723" s="1615">
        <f>AK454</f>
        <v/>
      </c>
      <c r="AL723" s="1615">
        <f>AL454</f>
        <v/>
      </c>
      <c r="AM723" s="1615">
        <f>AM454</f>
        <v/>
      </c>
      <c r="AN723" s="1615">
        <f>AN454</f>
        <v/>
      </c>
      <c r="AO723" s="1614">
        <f>AO454</f>
        <v/>
      </c>
      <c r="AP723" s="1615">
        <f>AP454</f>
        <v/>
      </c>
      <c r="AQ723" s="1615">
        <f>AQ454</f>
        <v/>
      </c>
      <c r="AR723" s="1615">
        <f>AR454</f>
        <v/>
      </c>
      <c r="AS723" s="1615">
        <f>AS454</f>
        <v/>
      </c>
      <c r="AT723" s="1614">
        <f>AT454</f>
        <v/>
      </c>
      <c r="AU723" s="1615">
        <f>AU454</f>
        <v/>
      </c>
      <c r="AV723" s="1615">
        <f>AV454</f>
        <v/>
      </c>
      <c r="AW723" s="1615">
        <f>AW454</f>
        <v/>
      </c>
      <c r="AX723" s="1615">
        <f>AX454</f>
        <v/>
      </c>
      <c r="AY723" s="1614">
        <f>AY454</f>
        <v/>
      </c>
      <c r="AZ723" s="1615">
        <f>AZ454</f>
        <v/>
      </c>
      <c r="BA723" s="1615">
        <f>BA454</f>
        <v/>
      </c>
      <c r="BB723" s="1615">
        <f>BB454</f>
        <v/>
      </c>
      <c r="BC723" s="1615">
        <f>BC454</f>
        <v/>
      </c>
      <c r="BD723" s="1614">
        <f>BD454</f>
        <v/>
      </c>
      <c r="BE723" s="1615">
        <f>BE454</f>
        <v/>
      </c>
      <c r="BF723" s="1615">
        <f>BF454</f>
        <v/>
      </c>
      <c r="BG723" s="1615">
        <f>BG454</f>
        <v/>
      </c>
      <c r="BH723" s="1615">
        <f>BH454</f>
        <v/>
      </c>
      <c r="BI723" s="1614">
        <f>BI454</f>
        <v/>
      </c>
      <c r="BJ723" s="1615">
        <f>BJ454</f>
        <v/>
      </c>
      <c r="BK723" s="1615">
        <f>BK454</f>
        <v/>
      </c>
      <c r="BL723" s="1615">
        <f>BL454</f>
        <v/>
      </c>
      <c r="BM723" s="1615">
        <f>BM454</f>
        <v/>
      </c>
      <c r="BN723" s="1614">
        <f>BN454</f>
        <v/>
      </c>
      <c r="BO723" s="1615">
        <f>BO454</f>
        <v/>
      </c>
      <c r="BP723" s="1615">
        <f>BP454</f>
        <v/>
      </c>
      <c r="BQ723" s="1616">
        <f>BQ454</f>
        <v/>
      </c>
      <c r="BR723" s="1615">
        <f>BR454</f>
        <v/>
      </c>
      <c r="BS723" s="1614">
        <f>BS454</f>
        <v/>
      </c>
      <c r="BT723" s="1615">
        <f>BT454</f>
        <v/>
      </c>
      <c r="BU723" s="1615">
        <f>BU454</f>
        <v/>
      </c>
      <c r="BV723" s="1615">
        <f>BV454</f>
        <v/>
      </c>
      <c r="BW723" s="1615">
        <f>BW454</f>
        <v/>
      </c>
      <c r="BX723" s="1614">
        <f>BX454</f>
        <v/>
      </c>
      <c r="BY723" s="1614">
        <f>BY454</f>
        <v/>
      </c>
      <c r="BZ723" s="1614">
        <f>BZ454</f>
        <v/>
      </c>
      <c r="CA723" s="1614">
        <f>CA454</f>
        <v/>
      </c>
      <c r="CB723" s="1361" t="n"/>
    </row>
    <row r="724" hidden="1" outlineLevel="1" ht="15" customFormat="1" customHeight="1" s="1359">
      <c r="A724" s="1503" t="inlineStr">
        <is>
          <t>Revenue beat/(miss) vs. most recent guidance - midpoint, mm</t>
        </is>
      </c>
      <c r="B724" s="1512" t="n"/>
      <c r="C724" s="1379" t="n"/>
      <c r="D724" s="1379" t="n"/>
      <c r="E724" s="1379" t="n"/>
      <c r="F724" s="1379" t="n"/>
      <c r="G724" s="1361">
        <f>IFERROR(G723-G722,"")</f>
        <v/>
      </c>
      <c r="H724" s="1361">
        <f>IFERROR(H723-H722,"")</f>
        <v/>
      </c>
      <c r="I724" s="1361">
        <f>IFERROR(I723-I722,"")</f>
        <v/>
      </c>
      <c r="J724" s="1361">
        <f>IFERROR(J723-J722,"")</f>
        <v/>
      </c>
      <c r="K724" s="1379">
        <f>IFERROR(K723-K722,"")</f>
        <v/>
      </c>
      <c r="L724" s="1361">
        <f>IFERROR(L723-L722,"")</f>
        <v/>
      </c>
      <c r="M724" s="1361">
        <f>IFERROR(M723-M722,"")</f>
        <v/>
      </c>
      <c r="N724" s="1361">
        <f>IFERROR(N723-N722,"")</f>
        <v/>
      </c>
      <c r="O724" s="1361">
        <f>IFERROR(O723-O722,"")</f>
        <v/>
      </c>
      <c r="P724" s="1379">
        <f>IFERROR(P723-P722,"")</f>
        <v/>
      </c>
      <c r="Q724" s="1361">
        <f>IFERROR(Q723-Q722,"")</f>
        <v/>
      </c>
      <c r="R724" s="1361">
        <f>IFERROR(R723-R722,"")</f>
        <v/>
      </c>
      <c r="S724" s="1361">
        <f>IFERROR(S723-S722,"")</f>
        <v/>
      </c>
      <c r="T724" s="1361">
        <f>IFERROR(T723-T722,"")</f>
        <v/>
      </c>
      <c r="U724" s="1379">
        <f>IFERROR(U723-U722,"")</f>
        <v/>
      </c>
      <c r="V724" s="1361">
        <f>IFERROR(V723-V722,"")</f>
        <v/>
      </c>
      <c r="W724" s="1361">
        <f>IFERROR(W723-W722,"")</f>
        <v/>
      </c>
      <c r="X724" s="1361">
        <f>IFERROR(X723-X722,"")</f>
        <v/>
      </c>
      <c r="Y724" s="1361">
        <f>IFERROR(Y723-Y722,"")</f>
        <v/>
      </c>
      <c r="Z724" s="1379">
        <f>IFERROR(Z723-Z722,"")</f>
        <v/>
      </c>
      <c r="AA724" s="1361">
        <f>IFERROR(AA723-AA722,"")</f>
        <v/>
      </c>
      <c r="AB724" s="1361">
        <f>IFERROR(AB723-AB722,"")</f>
        <v/>
      </c>
      <c r="AC724" s="1361">
        <f>IFERROR(AC723-AC722,"")</f>
        <v/>
      </c>
      <c r="AD724" s="1361">
        <f>IFERROR(AD723-AD722,"")</f>
        <v/>
      </c>
      <c r="AE724" s="1379">
        <f>IFERROR(AE723-AE722,"")</f>
        <v/>
      </c>
      <c r="AF724" s="1361">
        <f>IFERROR(AF723-AF722,"")</f>
        <v/>
      </c>
      <c r="AG724" s="1361">
        <f>IFERROR(AG723-AG722,"")</f>
        <v/>
      </c>
      <c r="AH724" s="1361">
        <f>IFERROR(AH723-AH722,"")</f>
        <v/>
      </c>
      <c r="AI724" s="1361">
        <f>IFERROR(AI723-AI722,"")</f>
        <v/>
      </c>
      <c r="AJ724" s="1379">
        <f>IFERROR(AJ723-AJ722,"")</f>
        <v/>
      </c>
      <c r="AK724" s="1361">
        <f>IFERROR(AK723-AK722,"")</f>
        <v/>
      </c>
      <c r="AL724" s="1361">
        <f>IFERROR(AL723-AL722,"")</f>
        <v/>
      </c>
      <c r="AM724" s="1361">
        <f>IFERROR(AM723-AM722,"")</f>
        <v/>
      </c>
      <c r="AN724" s="1361">
        <f>IFERROR(AN723-AN722,"")</f>
        <v/>
      </c>
      <c r="AO724" s="1379">
        <f>IFERROR(AO723-AO722,"")</f>
        <v/>
      </c>
      <c r="AP724" s="1361">
        <f>IFERROR(AP723-AP722,"")</f>
        <v/>
      </c>
      <c r="AQ724" s="1361">
        <f>IFERROR(AQ723-AQ722,"")</f>
        <v/>
      </c>
      <c r="AR724" s="1361">
        <f>IFERROR(AR723-AR722,"")</f>
        <v/>
      </c>
      <c r="AS724" s="1361">
        <f>IFERROR(AS723-AS722,"")</f>
        <v/>
      </c>
      <c r="AT724" s="1379">
        <f>IFERROR(AT723-AT722,"")</f>
        <v/>
      </c>
      <c r="AU724" s="1361">
        <f>IFERROR(AU723-AU722,"")</f>
        <v/>
      </c>
      <c r="AV724" s="1361">
        <f>IFERROR(AV723-AV722,"")</f>
        <v/>
      </c>
      <c r="AW724" s="1361">
        <f>IFERROR(AW723-AW722,"")</f>
        <v/>
      </c>
      <c r="AX724" s="1361">
        <f>IFERROR(AX723-AX722,"")</f>
        <v/>
      </c>
      <c r="AY724" s="1379">
        <f>IFERROR(AY723-AY722,"")</f>
        <v/>
      </c>
      <c r="AZ724" s="1361">
        <f>IFERROR(AZ723-AZ722,"")</f>
        <v/>
      </c>
      <c r="BA724" s="1361">
        <f>IFERROR(BA723-BA722,"")</f>
        <v/>
      </c>
      <c r="BB724" s="1361">
        <f>IFERROR(BB723-BB722,"")</f>
        <v/>
      </c>
      <c r="BC724" s="1361">
        <f>IFERROR(BC723-BC722,"")</f>
        <v/>
      </c>
      <c r="BD724" s="1379">
        <f>IFERROR(BD723-BD722,"")</f>
        <v/>
      </c>
      <c r="BE724" s="1361">
        <f>IFERROR(BE723-BE722,"")</f>
        <v/>
      </c>
      <c r="BF724" s="1361">
        <f>IFERROR(BF723-BF722,"")</f>
        <v/>
      </c>
      <c r="BG724" s="1361">
        <f>IFERROR(BG723-BG722,"")</f>
        <v/>
      </c>
      <c r="BH724" s="1361">
        <f>IFERROR(BH723-BH722,"")</f>
        <v/>
      </c>
      <c r="BI724" s="1379">
        <f>IFERROR(BI723-BI722,"")</f>
        <v/>
      </c>
      <c r="BJ724" s="1361">
        <f>IFERROR(BJ723-BJ722,"")</f>
        <v/>
      </c>
      <c r="BK724" s="1361">
        <f>IFERROR(BK723-BK722,"")</f>
        <v/>
      </c>
      <c r="BL724" s="1361">
        <f>IFERROR(BL723-BL722,"")</f>
        <v/>
      </c>
      <c r="BM724" s="1361">
        <f>IFERROR(BM723-BM722,"")</f>
        <v/>
      </c>
      <c r="BN724" s="1379">
        <f>IFERROR(BN723-BN722,"")</f>
        <v/>
      </c>
      <c r="BO724" s="1361">
        <f>IFERROR(BO723-BO722,"")</f>
        <v/>
      </c>
      <c r="BP724" s="1361">
        <f>IFERROR(BP723-BP722,"")</f>
        <v/>
      </c>
      <c r="BQ724" s="1363">
        <f>IFERROR(BQ723-BQ722,"")</f>
        <v/>
      </c>
      <c r="BR724" s="1361">
        <f>IFERROR(BR723-BR722,"")</f>
        <v/>
      </c>
      <c r="BS724" s="1379">
        <f>IFERROR(BS723-BS722,"")</f>
        <v/>
      </c>
      <c r="BT724" s="1361">
        <f>IFERROR(BT723-BT722,"")</f>
        <v/>
      </c>
      <c r="BU724" s="1361">
        <f>IFERROR(BU723-BU722,"")</f>
        <v/>
      </c>
      <c r="BV724" s="1361">
        <f>IFERROR(BV723-BV722,"")</f>
        <v/>
      </c>
      <c r="BW724" s="1361">
        <f>IFERROR(BW723-BW722,"")</f>
        <v/>
      </c>
      <c r="BX724" s="1379">
        <f>IFERROR(BX723-BX722,"")</f>
        <v/>
      </c>
      <c r="BY724" s="1379" t="n"/>
      <c r="BZ724" s="1379" t="n"/>
      <c r="CA724" s="1379" t="n"/>
      <c r="CB724" s="1361" t="n"/>
    </row>
    <row r="725" hidden="1" outlineLevel="1" ht="15" customFormat="1" customHeight="1" s="1359">
      <c r="A725" s="1768" t="inlineStr">
        <is>
          <t>Relative revenue beat/(miss) vs. most recent guidance - midpoint, %</t>
        </is>
      </c>
      <c r="B725" s="1769" t="n"/>
      <c r="C725" s="1770" t="n"/>
      <c r="D725" s="1770" t="n"/>
      <c r="E725" s="1770" t="n"/>
      <c r="F725" s="1770" t="n"/>
      <c r="G725" s="1771">
        <f>IFERROR(G724/ABS(G722),"")</f>
        <v/>
      </c>
      <c r="H725" s="1771">
        <f>IFERROR(H724/ABS(H722),"")</f>
        <v/>
      </c>
      <c r="I725" s="1771">
        <f>IFERROR(I724/ABS(I722),"")</f>
        <v/>
      </c>
      <c r="J725" s="1771">
        <f>IFERROR(J724/ABS(J722),"")</f>
        <v/>
      </c>
      <c r="K725" s="1770">
        <f>IFERROR(K724/ABS(K722),"")</f>
        <v/>
      </c>
      <c r="L725" s="1771">
        <f>IFERROR(L724/ABS(L722),"")</f>
        <v/>
      </c>
      <c r="M725" s="1771">
        <f>IFERROR(M724/ABS(M722),"")</f>
        <v/>
      </c>
      <c r="N725" s="1771">
        <f>IFERROR(N724/ABS(N722),"")</f>
        <v/>
      </c>
      <c r="O725" s="1771">
        <f>IFERROR(O724/ABS(O722),"")</f>
        <v/>
      </c>
      <c r="P725" s="1770">
        <f>IFERROR(P724/ABS(P722),"")</f>
        <v/>
      </c>
      <c r="Q725" s="1771">
        <f>IFERROR(Q724/ABS(Q722),"")</f>
        <v/>
      </c>
      <c r="R725" s="1771">
        <f>IFERROR(R724/ABS(R722),"")</f>
        <v/>
      </c>
      <c r="S725" s="1771">
        <f>IFERROR(S724/ABS(S722),"")</f>
        <v/>
      </c>
      <c r="T725" s="1771">
        <f>IFERROR(T724/ABS(T722),"")</f>
        <v/>
      </c>
      <c r="U725" s="1770">
        <f>IFERROR(U724/ABS(U722),"")</f>
        <v/>
      </c>
      <c r="V725" s="1771">
        <f>IFERROR(V724/ABS(V722),"")</f>
        <v/>
      </c>
      <c r="W725" s="1771">
        <f>IFERROR(W724/ABS(W722),"")</f>
        <v/>
      </c>
      <c r="X725" s="1771">
        <f>IFERROR(X724/ABS(X722),"")</f>
        <v/>
      </c>
      <c r="Y725" s="1771">
        <f>IFERROR(Y724/ABS(Y722),"")</f>
        <v/>
      </c>
      <c r="Z725" s="1770">
        <f>IFERROR(Z724/ABS(Z722),"")</f>
        <v/>
      </c>
      <c r="AA725" s="1771">
        <f>IFERROR(AA724/ABS(AA722),"")</f>
        <v/>
      </c>
      <c r="AB725" s="1771">
        <f>IFERROR(AB724/ABS(AB722),"")</f>
        <v/>
      </c>
      <c r="AC725" s="1771">
        <f>IFERROR(AC724/ABS(AC722),"")</f>
        <v/>
      </c>
      <c r="AD725" s="1771">
        <f>IFERROR(AD724/ABS(AD722),"")</f>
        <v/>
      </c>
      <c r="AE725" s="1770">
        <f>IFERROR(AE724/ABS(AE722),"")</f>
        <v/>
      </c>
      <c r="AF725" s="1771">
        <f>IFERROR(AF724/ABS(AF722),"")</f>
        <v/>
      </c>
      <c r="AG725" s="1771">
        <f>IFERROR(AG724/ABS(AG722),"")</f>
        <v/>
      </c>
      <c r="AH725" s="1771">
        <f>IFERROR(AH724/ABS(AH722),"")</f>
        <v/>
      </c>
      <c r="AI725" s="1771">
        <f>IFERROR(AI724/ABS(AI722),"")</f>
        <v/>
      </c>
      <c r="AJ725" s="1770">
        <f>IFERROR(AJ724/ABS(AJ722),"")</f>
        <v/>
      </c>
      <c r="AK725" s="1771">
        <f>IFERROR(AK724/ABS(AK722),"")</f>
        <v/>
      </c>
      <c r="AL725" s="1771">
        <f>IFERROR(AL724/ABS(AL722),"")</f>
        <v/>
      </c>
      <c r="AM725" s="1771">
        <f>IFERROR(AM724/ABS(AM722),"")</f>
        <v/>
      </c>
      <c r="AN725" s="1771">
        <f>IFERROR(AN724/ABS(AN722),"")</f>
        <v/>
      </c>
      <c r="AO725" s="1770">
        <f>IFERROR(AO724/ABS(AO722),"")</f>
        <v/>
      </c>
      <c r="AP725" s="1771">
        <f>IFERROR(AP724/ABS(AP722),"")</f>
        <v/>
      </c>
      <c r="AQ725" s="1771">
        <f>IFERROR(AQ724/ABS(AQ722),"")</f>
        <v/>
      </c>
      <c r="AR725" s="1771">
        <f>IFERROR(AR724/ABS(AR722),"")</f>
        <v/>
      </c>
      <c r="AS725" s="1771">
        <f>IFERROR(AS724/ABS(AS722),"")</f>
        <v/>
      </c>
      <c r="AT725" s="1770">
        <f>IFERROR(AT724/ABS(AT722),"")</f>
        <v/>
      </c>
      <c r="AU725" s="1771">
        <f>IFERROR(AU724/ABS(AU722),"")</f>
        <v/>
      </c>
      <c r="AV725" s="1771">
        <f>IFERROR(AV724/ABS(AV722),"")</f>
        <v/>
      </c>
      <c r="AW725" s="1771">
        <f>IFERROR(AW724/ABS(AW722),"")</f>
        <v/>
      </c>
      <c r="AX725" s="1771">
        <f>IFERROR(AX724/ABS(AX722),"")</f>
        <v/>
      </c>
      <c r="AY725" s="1770">
        <f>IFERROR(AY724/ABS(AY722),"")</f>
        <v/>
      </c>
      <c r="AZ725" s="1771">
        <f>IFERROR(AZ724/ABS(AZ722),"")</f>
        <v/>
      </c>
      <c r="BA725" s="1771">
        <f>IFERROR(BA724/ABS(BA722),"")</f>
        <v/>
      </c>
      <c r="BB725" s="1771">
        <f>IFERROR(BB724/ABS(BB722),"")</f>
        <v/>
      </c>
      <c r="BC725" s="1771">
        <f>IFERROR(BC724/ABS(BC722),"")</f>
        <v/>
      </c>
      <c r="BD725" s="1770">
        <f>IFERROR(BD724/ABS(BD722),"")</f>
        <v/>
      </c>
      <c r="BE725" s="1771">
        <f>IFERROR(BE724/ABS(BE722),"")</f>
        <v/>
      </c>
      <c r="BF725" s="1771">
        <f>IFERROR(BF724/ABS(BF722),"")</f>
        <v/>
      </c>
      <c r="BG725" s="1771">
        <f>IFERROR(BG724/ABS(BG722),"")</f>
        <v/>
      </c>
      <c r="BH725" s="1771">
        <f>IFERROR(BH724/ABS(BH722),"")</f>
        <v/>
      </c>
      <c r="BI725" s="1770">
        <f>IFERROR(BI724/ABS(BI722),"")</f>
        <v/>
      </c>
      <c r="BJ725" s="1771">
        <f>IFERROR(BJ724/ABS(BJ722),"")</f>
        <v/>
      </c>
      <c r="BK725" s="1771">
        <f>IFERROR(BK724/ABS(BK722),"")</f>
        <v/>
      </c>
      <c r="BL725" s="1771">
        <f>IFERROR(BL724/ABS(BL722),"")</f>
        <v/>
      </c>
      <c r="BM725" s="1771">
        <f>IFERROR(BM724/ABS(BM722),"")</f>
        <v/>
      </c>
      <c r="BN725" s="1770">
        <f>IFERROR(BN724/ABS(BN722),"")</f>
        <v/>
      </c>
      <c r="BO725" s="1771">
        <f>IFERROR(BO724/ABS(BO722),"")</f>
        <v/>
      </c>
      <c r="BP725" s="1771">
        <f>IFERROR(BP724/ABS(BP722),"")</f>
        <v/>
      </c>
      <c r="BQ725" s="1772">
        <f>IFERROR(BQ724/ABS(BQ722),"")</f>
        <v/>
      </c>
      <c r="BR725" s="1771">
        <f>IFERROR(BR724/ABS(BR722),"")</f>
        <v/>
      </c>
      <c r="BS725" s="1770">
        <f>IFERROR(BS724/ABS(BS722),"")</f>
        <v/>
      </c>
      <c r="BT725" s="1771">
        <f>IFERROR(BT724/ABS(BT722),"")</f>
        <v/>
      </c>
      <c r="BU725" s="1771">
        <f>IFERROR(BU724/ABS(BU722),"")</f>
        <v/>
      </c>
      <c r="BV725" s="1771">
        <f>IFERROR(BV724/ABS(BV722),"")</f>
        <v/>
      </c>
      <c r="BW725" s="1771">
        <f>IFERROR(BW724/ABS(BW722),"")</f>
        <v/>
      </c>
      <c r="BX725" s="1770">
        <f>IFERROR(BX724/ABS(BX722),"")</f>
        <v/>
      </c>
      <c r="BY725" s="1770" t="n"/>
      <c r="BZ725" s="1770" t="n"/>
      <c r="CA725" s="1770" t="n"/>
      <c r="CB725" s="1771" t="n"/>
    </row>
    <row r="726" hidden="1" outlineLevel="1" ht="15" customFormat="1" customHeight="1" s="1359">
      <c r="A726" s="545" t="n"/>
      <c r="B726" s="1512" t="n"/>
      <c r="C726" s="1379" t="n"/>
      <c r="D726" s="1379" t="n"/>
      <c r="E726" s="1379" t="n"/>
      <c r="F726" s="1379" t="n"/>
      <c r="G726" s="1361" t="n"/>
      <c r="H726" s="1361" t="n"/>
      <c r="I726" s="1361" t="n"/>
      <c r="J726" s="1361" t="n"/>
      <c r="K726" s="1379" t="n"/>
      <c r="L726" s="1361" t="n"/>
      <c r="M726" s="1361" t="n"/>
      <c r="N726" s="1361" t="n"/>
      <c r="O726" s="1361" t="n"/>
      <c r="P726" s="1379" t="n"/>
      <c r="Q726" s="1361" t="n"/>
      <c r="R726" s="1361" t="n"/>
      <c r="S726" s="1361" t="n"/>
      <c r="T726" s="1361" t="n"/>
      <c r="U726" s="1379" t="n"/>
      <c r="V726" s="1361" t="n"/>
      <c r="W726" s="1361" t="n"/>
      <c r="X726" s="1361" t="n"/>
      <c r="Y726" s="1361" t="n"/>
      <c r="Z726" s="1379" t="n"/>
      <c r="AA726" s="1361" t="n"/>
      <c r="AB726" s="1361" t="n"/>
      <c r="AC726" s="1361" t="n"/>
      <c r="AD726" s="1361" t="n"/>
      <c r="AE726" s="1379" t="n"/>
      <c r="AF726" s="1361" t="n"/>
      <c r="AG726" s="1361" t="n"/>
      <c r="AH726" s="1361" t="n"/>
      <c r="AI726" s="1361" t="n"/>
      <c r="AJ726" s="1379" t="n"/>
      <c r="AK726" s="1361" t="n"/>
      <c r="AL726" s="1361" t="n"/>
      <c r="AM726" s="1361" t="n"/>
      <c r="AN726" s="1361" t="n"/>
      <c r="AO726" s="1379" t="n"/>
      <c r="AP726" s="1361" t="n"/>
      <c r="AQ726" s="1361" t="n"/>
      <c r="AR726" s="1361" t="n"/>
      <c r="AS726" s="1361" t="n"/>
      <c r="AT726" s="1379" t="n"/>
      <c r="AU726" s="1361" t="n"/>
      <c r="AV726" s="1361" t="n"/>
      <c r="AW726" s="1361" t="n"/>
      <c r="AX726" s="1361" t="n"/>
      <c r="AY726" s="1379" t="n"/>
      <c r="AZ726" s="1361" t="n"/>
      <c r="BA726" s="1361" t="n"/>
      <c r="BB726" s="1361" t="n"/>
      <c r="BC726" s="1361" t="n"/>
      <c r="BD726" s="1379" t="n"/>
      <c r="BE726" s="1361" t="n"/>
      <c r="BF726" s="1361" t="n"/>
      <c r="BG726" s="1361" t="n"/>
      <c r="BH726" s="1361" t="n"/>
      <c r="BI726" s="1379" t="n"/>
      <c r="BJ726" s="1361" t="n"/>
      <c r="BK726" s="1361" t="n"/>
      <c r="BL726" s="1361" t="n"/>
      <c r="BM726" s="1361" t="n"/>
      <c r="BN726" s="1379" t="n"/>
      <c r="BO726" s="1361" t="n"/>
      <c r="BP726" s="1361" t="n"/>
      <c r="BQ726" s="1363" t="n"/>
      <c r="BR726" s="1361" t="n"/>
      <c r="BS726" s="1379" t="n"/>
      <c r="BT726" s="1361" t="n"/>
      <c r="BU726" s="1361" t="n"/>
      <c r="BV726" s="1361" t="n"/>
      <c r="BW726" s="1361" t="n"/>
      <c r="BX726" s="1379" t="n"/>
      <c r="BY726" s="1379" t="n"/>
      <c r="BZ726" s="1379" t="n"/>
      <c r="CA726" s="1379" t="n"/>
      <c r="CB726" s="1361" t="n"/>
    </row>
    <row r="727" hidden="1" outlineLevel="1" ht="15" customFormat="1" customHeight="1" s="1359">
      <c r="A727" s="1501" t="inlineStr">
        <is>
          <t>Q/Q guided revenue growth, %</t>
        </is>
      </c>
      <c r="B727" s="1590" t="n"/>
      <c r="C727" s="1382" t="n"/>
      <c r="D727" s="1382" t="n"/>
      <c r="E727" s="1382" t="n"/>
      <c r="F727" s="1382" t="n"/>
      <c r="G727" s="1384" t="n"/>
      <c r="H727" s="1384">
        <f>IF(H722="","",H722/G723-1)</f>
        <v/>
      </c>
      <c r="I727" s="1384">
        <f>IF(I722="","",I722/H723-1)</f>
        <v/>
      </c>
      <c r="J727" s="1384">
        <f>IF(J722="","",J722/I723-1)</f>
        <v/>
      </c>
      <c r="K727" s="1382" t="n"/>
      <c r="L727" s="1384">
        <f>IF(L722="","",L722/J723-1)</f>
        <v/>
      </c>
      <c r="M727" s="1384">
        <f>IF(M722="","",M722/L723-1)</f>
        <v/>
      </c>
      <c r="N727" s="1384">
        <f>IF(N722="","",N722/M723-1)</f>
        <v/>
      </c>
      <c r="O727" s="1384">
        <f>IF(O722="","",O722/N723-1)</f>
        <v/>
      </c>
      <c r="P727" s="1382" t="n"/>
      <c r="Q727" s="1384">
        <f>IF(Q722="","",Q722/O723-1)</f>
        <v/>
      </c>
      <c r="R727" s="1384">
        <f>IF(R722="","",R722/Q723-1)</f>
        <v/>
      </c>
      <c r="S727" s="1384">
        <f>IF(S722="","",S722/R723-1)</f>
        <v/>
      </c>
      <c r="T727" s="1384">
        <f>IF(T722="","",T722/S723-1)</f>
        <v/>
      </c>
      <c r="U727" s="1382" t="n"/>
      <c r="V727" s="1384">
        <f>IF(V722="","",V722/T723-1)</f>
        <v/>
      </c>
      <c r="W727" s="1384">
        <f>IF(W722="","",W722/V723-1)</f>
        <v/>
      </c>
      <c r="X727" s="1384">
        <f>IF(X722="","",X722/W723-1)</f>
        <v/>
      </c>
      <c r="Y727" s="1384">
        <f>IF(Y722="","",Y722/X723-1)</f>
        <v/>
      </c>
      <c r="Z727" s="1382" t="n"/>
      <c r="AA727" s="1384">
        <f>IF(AA722="","",AA722/Y723-1)</f>
        <v/>
      </c>
      <c r="AB727" s="1384">
        <f>IF(AB722="","",AB722/AA723-1)</f>
        <v/>
      </c>
      <c r="AC727" s="1384">
        <f>IF(AC722="","",AC722/AB723-1)</f>
        <v/>
      </c>
      <c r="AD727" s="1384">
        <f>IF(AD722="","",AD722/AC723-1)</f>
        <v/>
      </c>
      <c r="AE727" s="1382" t="n"/>
      <c r="AF727" s="1384">
        <f>IF(AF722="","",AF722/AD723-1)</f>
        <v/>
      </c>
      <c r="AG727" s="1384">
        <f>IF(AG722="","",AG722/AF723-1)</f>
        <v/>
      </c>
      <c r="AH727" s="1384">
        <f>IF(AH722="","",AH722/AG723-1)</f>
        <v/>
      </c>
      <c r="AI727" s="1384">
        <f>IF(AI722="","",AI722/AH723-1)</f>
        <v/>
      </c>
      <c r="AJ727" s="1382" t="n"/>
      <c r="AK727" s="1384">
        <f>IF(AK722="","",AK722/AI723-1)</f>
        <v/>
      </c>
      <c r="AL727" s="1384">
        <f>IF(AL722="","",AL722/AK723-1)</f>
        <v/>
      </c>
      <c r="AM727" s="1384">
        <f>IF(AM722="","",AM722/AL723-1)</f>
        <v/>
      </c>
      <c r="AN727" s="1384">
        <f>IF(AN722="","",AN722/AM723-1)</f>
        <v/>
      </c>
      <c r="AO727" s="1382" t="n"/>
      <c r="AP727" s="1384">
        <f>IF(AP722="","",AP722/AN723-1)</f>
        <v/>
      </c>
      <c r="AQ727" s="1384">
        <f>IF(AQ722="","",AQ722/AP723-1)</f>
        <v/>
      </c>
      <c r="AR727" s="1384">
        <f>IF(AR722="","",AR722/AQ723-1)</f>
        <v/>
      </c>
      <c r="AS727" s="1384">
        <f>IF(AS722="","",AS722/AR723-1)</f>
        <v/>
      </c>
      <c r="AT727" s="1382" t="n"/>
      <c r="AU727" s="1384">
        <f>IF(AU722="","",AU722/AS723-1)</f>
        <v/>
      </c>
      <c r="AV727" s="1384">
        <f>IF(AV722="","",AV722/AU723-1)</f>
        <v/>
      </c>
      <c r="AW727" s="1384">
        <f>IF(AW722="","",AW722/AV723-1)</f>
        <v/>
      </c>
      <c r="AX727" s="1384">
        <f>IF(AX722="","",AX722/AW723-1)</f>
        <v/>
      </c>
      <c r="AY727" s="1382" t="n"/>
      <c r="AZ727" s="1384">
        <f>IF(AZ722="","",AZ722/AX723-1)</f>
        <v/>
      </c>
      <c r="BA727" s="1384">
        <f>IF(BA722="","",BA722/AZ723-1)</f>
        <v/>
      </c>
      <c r="BB727" s="1384">
        <f>IF(BB722="","",BB722/BA723-1)</f>
        <v/>
      </c>
      <c r="BC727" s="1384">
        <f>IF(BC722="","",BC722/BB723-1)</f>
        <v/>
      </c>
      <c r="BD727" s="1382" t="n"/>
      <c r="BE727" s="1384">
        <f>IF(BE722="","",BE722/BC723-1)</f>
        <v/>
      </c>
      <c r="BF727" s="1384">
        <f>IF(BF722="","",BF722/BE723-1)</f>
        <v/>
      </c>
      <c r="BG727" s="1384">
        <f>IF(BG722="","",BG722/BF723-1)</f>
        <v/>
      </c>
      <c r="BH727" s="1384">
        <f>IF(BH722="","",BH722/BG723-1)</f>
        <v/>
      </c>
      <c r="BI727" s="1382" t="n"/>
      <c r="BJ727" s="1384">
        <f>IF(BJ722="","",BJ722/BH723-1)</f>
        <v/>
      </c>
      <c r="BK727" s="1384">
        <f>IF(BK722="","",BK722/BJ723-1)</f>
        <v/>
      </c>
      <c r="BL727" s="1384">
        <f>IF(BL722="","",BL722/BK723-1)</f>
        <v/>
      </c>
      <c r="BM727" s="1384">
        <f>IF(BM722="","",BM722/BL723-1)</f>
        <v/>
      </c>
      <c r="BN727" s="1382" t="n"/>
      <c r="BO727" s="1384">
        <f>IF(BO722="","",BO722/BM723-1)</f>
        <v/>
      </c>
      <c r="BP727" s="1384">
        <f>IF(BP722="","",BP722/BO723-1)</f>
        <v/>
      </c>
      <c r="BQ727" s="1386">
        <f>IF(BQ722="","",BQ722/BP723-1)</f>
        <v/>
      </c>
      <c r="BR727" s="1384">
        <f>IF(BR722="","",BR722/BQ723-1)</f>
        <v/>
      </c>
      <c r="BS727" s="1382" t="n"/>
      <c r="BT727" s="1384">
        <f>IF(BT722="","",BT722/BR723-1)</f>
        <v/>
      </c>
      <c r="BU727" s="1384">
        <f>IF(BU722="","",BU722/BT723-1)</f>
        <v/>
      </c>
      <c r="BV727" s="1384">
        <f>IF(BV722="","",BV722/BU723-1)</f>
        <v/>
      </c>
      <c r="BW727" s="1384">
        <f>IF(BW722="","",BW722/BV723-1)</f>
        <v/>
      </c>
      <c r="BX727" s="1382" t="n"/>
      <c r="BY727" s="1382" t="n"/>
      <c r="BZ727" s="1382" t="n"/>
      <c r="CA727" s="1382" t="n"/>
      <c r="CB727" s="1384" t="n"/>
    </row>
    <row r="728" hidden="1" outlineLevel="1" ht="15" customFormat="1" customHeight="1" s="1359">
      <c r="A728" s="1773" t="inlineStr">
        <is>
          <t>Q/Q beat/(miss) revenue growth, %</t>
        </is>
      </c>
      <c r="B728" s="1774" t="n"/>
      <c r="C728" s="1775" t="n"/>
      <c r="D728" s="1775" t="n"/>
      <c r="E728" s="1775" t="n"/>
      <c r="F728" s="1775" t="n"/>
      <c r="G728" s="1776" t="n"/>
      <c r="H728" s="1776">
        <f>IF(H724="","",H724/G723)</f>
        <v/>
      </c>
      <c r="I728" s="1776">
        <f>IF(I724="","",I724/H723)</f>
        <v/>
      </c>
      <c r="J728" s="1776">
        <f>IF(J724="","",J724/I723)</f>
        <v/>
      </c>
      <c r="K728" s="1775" t="n"/>
      <c r="L728" s="1776">
        <f>IF(L724="","",L724/J723)</f>
        <v/>
      </c>
      <c r="M728" s="1776">
        <f>IF(M724="","",M724/L723)</f>
        <v/>
      </c>
      <c r="N728" s="1776">
        <f>IF(N724="","",N724/M723)</f>
        <v/>
      </c>
      <c r="O728" s="1776">
        <f>IF(O724="","",O724/N723)</f>
        <v/>
      </c>
      <c r="P728" s="1775" t="n"/>
      <c r="Q728" s="1776">
        <f>IF(Q724="","",Q724/O723)</f>
        <v/>
      </c>
      <c r="R728" s="1776">
        <f>IF(R724="","",R724/Q723)</f>
        <v/>
      </c>
      <c r="S728" s="1776">
        <f>IF(S724="","",S724/R723)</f>
        <v/>
      </c>
      <c r="T728" s="1776">
        <f>IF(T724="","",T724/S723)</f>
        <v/>
      </c>
      <c r="U728" s="1775" t="n"/>
      <c r="V728" s="1776">
        <f>IF(V724="","",V724/T723)</f>
        <v/>
      </c>
      <c r="W728" s="1776">
        <f>IF(W724="","",W724/V723)</f>
        <v/>
      </c>
      <c r="X728" s="1776">
        <f>IF(X724="","",X724/W723)</f>
        <v/>
      </c>
      <c r="Y728" s="1776">
        <f>IF(Y724="","",Y724/X723)</f>
        <v/>
      </c>
      <c r="Z728" s="1775" t="n"/>
      <c r="AA728" s="1776">
        <f>IF(AA724="","",AA724/Y723)</f>
        <v/>
      </c>
      <c r="AB728" s="1776">
        <f>IF(AB724="","",AB724/AA723)</f>
        <v/>
      </c>
      <c r="AC728" s="1776">
        <f>IF(AC724="","",AC724/AB723)</f>
        <v/>
      </c>
      <c r="AD728" s="1776">
        <f>IF(AD724="","",AD724/AC723)</f>
        <v/>
      </c>
      <c r="AE728" s="1775" t="n"/>
      <c r="AF728" s="1776">
        <f>IF(AF724="","",AF724/AD723)</f>
        <v/>
      </c>
      <c r="AG728" s="1776">
        <f>IF(AG724="","",AG724/AF723)</f>
        <v/>
      </c>
      <c r="AH728" s="1776">
        <f>IF(AH724="","",AH724/AG723)</f>
        <v/>
      </c>
      <c r="AI728" s="1776">
        <f>IF(AI724="","",AI724/AH723)</f>
        <v/>
      </c>
      <c r="AJ728" s="1775" t="n"/>
      <c r="AK728" s="1776">
        <f>IF(AK724="","",AK724/AI723)</f>
        <v/>
      </c>
      <c r="AL728" s="1776">
        <f>IF(AL724="","",AL724/AK723)</f>
        <v/>
      </c>
      <c r="AM728" s="1776">
        <f>IF(AM724="","",AM724/AL723)</f>
        <v/>
      </c>
      <c r="AN728" s="1776">
        <f>IF(AN724="","",AN724/AM723)</f>
        <v/>
      </c>
      <c r="AO728" s="1775" t="n"/>
      <c r="AP728" s="1776">
        <f>IF(AP724="","",AP724/AN723)</f>
        <v/>
      </c>
      <c r="AQ728" s="1776">
        <f>IF(AQ724="","",AQ724/AP723)</f>
        <v/>
      </c>
      <c r="AR728" s="1776">
        <f>IF(AR724="","",AR724/AQ723)</f>
        <v/>
      </c>
      <c r="AS728" s="1776">
        <f>IF(AS724="","",AS724/AR723)</f>
        <v/>
      </c>
      <c r="AT728" s="1775" t="n"/>
      <c r="AU728" s="1776">
        <f>IF(AU724="","",AU724/AS723)</f>
        <v/>
      </c>
      <c r="AV728" s="1776">
        <f>IF(AV724="","",AV724/AU723)</f>
        <v/>
      </c>
      <c r="AW728" s="1776">
        <f>IF(AW724="","",AW724/AV723)</f>
        <v/>
      </c>
      <c r="AX728" s="1776">
        <f>IF(AX724="","",AX724/AW723)</f>
        <v/>
      </c>
      <c r="AY728" s="1775" t="n"/>
      <c r="AZ728" s="1776">
        <f>IF(AZ724="","",AZ724/AX723)</f>
        <v/>
      </c>
      <c r="BA728" s="1776">
        <f>IF(BA724="","",BA724/AZ723)</f>
        <v/>
      </c>
      <c r="BB728" s="1776">
        <f>IF(BB724="","",BB724/BA723)</f>
        <v/>
      </c>
      <c r="BC728" s="1776">
        <f>IF(BC724="","",BC724/BB723)</f>
        <v/>
      </c>
      <c r="BD728" s="1775" t="n"/>
      <c r="BE728" s="1776">
        <f>IF(BE724="","",BE724/BC723)</f>
        <v/>
      </c>
      <c r="BF728" s="1776">
        <f>IF(BF724="","",BF724/BE723)</f>
        <v/>
      </c>
      <c r="BG728" s="1776">
        <f>IF(BG724="","",BG724/BF723)</f>
        <v/>
      </c>
      <c r="BH728" s="1776">
        <f>IF(BH724="","",BH724/BG723)</f>
        <v/>
      </c>
      <c r="BI728" s="1775" t="n"/>
      <c r="BJ728" s="1776">
        <f>IF(BJ724="","",BJ724/BH723)</f>
        <v/>
      </c>
      <c r="BK728" s="1776">
        <f>IF(BK724="","",BK724/BJ723)</f>
        <v/>
      </c>
      <c r="BL728" s="1776">
        <f>IF(BL724="","",BL724/BK723)</f>
        <v/>
      </c>
      <c r="BM728" s="1776">
        <f>IF(BM724="","",BM724/BL723)</f>
        <v/>
      </c>
      <c r="BN728" s="1775" t="n"/>
      <c r="BO728" s="1776">
        <f>IF(BO724="","",BO724/BM723)</f>
        <v/>
      </c>
      <c r="BP728" s="1776">
        <f>IF(BP724="","",BP724/BO723)</f>
        <v/>
      </c>
      <c r="BQ728" s="1777">
        <f>IF(BQ724="","",BQ724/BP723)</f>
        <v/>
      </c>
      <c r="BR728" s="1776">
        <f>IF(BR724="","",BR724/BQ723)</f>
        <v/>
      </c>
      <c r="BS728" s="1775" t="n"/>
      <c r="BT728" s="1776">
        <f>IF(BT724="","",BT724/BR723)</f>
        <v/>
      </c>
      <c r="BU728" s="1776">
        <f>IF(BU724="","",BU724/BT723)</f>
        <v/>
      </c>
      <c r="BV728" s="1776">
        <f>IF(BV724="","",BV724/BU723)</f>
        <v/>
      </c>
      <c r="BW728" s="1776">
        <f>IF(BW724="","",BW724/BV723)</f>
        <v/>
      </c>
      <c r="BX728" s="1775" t="n"/>
      <c r="BY728" s="1775" t="n"/>
      <c r="BZ728" s="1775" t="n"/>
      <c r="CA728" s="1775" t="n"/>
      <c r="CB728" s="1384" t="n"/>
    </row>
    <row r="729" hidden="1" outlineLevel="1" ht="15" customFormat="1" customHeight="1" s="1359">
      <c r="A729" s="1778" t="inlineStr">
        <is>
          <t>Q/Q revenue growth, %</t>
        </is>
      </c>
      <c r="B729" s="1769" t="n"/>
      <c r="C729" s="1770" t="n"/>
      <c r="D729" s="1770" t="n"/>
      <c r="E729" s="1770" t="n"/>
      <c r="F729" s="1770" t="n"/>
      <c r="G729" s="1771" t="n"/>
      <c r="H729" s="1771">
        <f>H723/G723-1</f>
        <v/>
      </c>
      <c r="I729" s="1771">
        <f>I723/H723-1</f>
        <v/>
      </c>
      <c r="J729" s="1771">
        <f>J723/I723-1</f>
        <v/>
      </c>
      <c r="K729" s="1770" t="n"/>
      <c r="L729" s="1771">
        <f>L723/J723-1</f>
        <v/>
      </c>
      <c r="M729" s="1771">
        <f>M723/L723-1</f>
        <v/>
      </c>
      <c r="N729" s="1771">
        <f>N723/M723-1</f>
        <v/>
      </c>
      <c r="O729" s="1771">
        <f>O723/N723-1</f>
        <v/>
      </c>
      <c r="P729" s="1770" t="n"/>
      <c r="Q729" s="1771">
        <f>Q723/O723-1</f>
        <v/>
      </c>
      <c r="R729" s="1771">
        <f>R723/Q723-1</f>
        <v/>
      </c>
      <c r="S729" s="1771">
        <f>S723/R723-1</f>
        <v/>
      </c>
      <c r="T729" s="1771">
        <f>T723/S723-1</f>
        <v/>
      </c>
      <c r="U729" s="1770" t="n"/>
      <c r="V729" s="1771">
        <f>V723/T723-1</f>
        <v/>
      </c>
      <c r="W729" s="1771">
        <f>W723/V723-1</f>
        <v/>
      </c>
      <c r="X729" s="1771">
        <f>X723/W723-1</f>
        <v/>
      </c>
      <c r="Y729" s="1771">
        <f>Y723/X723-1</f>
        <v/>
      </c>
      <c r="Z729" s="1770" t="n"/>
      <c r="AA729" s="1771">
        <f>AA723/Y723-1</f>
        <v/>
      </c>
      <c r="AB729" s="1771">
        <f>AB723/AA723-1</f>
        <v/>
      </c>
      <c r="AC729" s="1771">
        <f>AC723/AB723-1</f>
        <v/>
      </c>
      <c r="AD729" s="1771">
        <f>AD723/AC723-1</f>
        <v/>
      </c>
      <c r="AE729" s="1770" t="n"/>
      <c r="AF729" s="1771">
        <f>AF723/AD723-1</f>
        <v/>
      </c>
      <c r="AG729" s="1771">
        <f>AG723/AF723-1</f>
        <v/>
      </c>
      <c r="AH729" s="1771">
        <f>AH723/AG723-1</f>
        <v/>
      </c>
      <c r="AI729" s="1771">
        <f>AI723/AH723-1</f>
        <v/>
      </c>
      <c r="AJ729" s="1770" t="n"/>
      <c r="AK729" s="1771">
        <f>AK723/AI723-1</f>
        <v/>
      </c>
      <c r="AL729" s="1771">
        <f>AL723/AK723-1</f>
        <v/>
      </c>
      <c r="AM729" s="1771">
        <f>AM723/AL723-1</f>
        <v/>
      </c>
      <c r="AN729" s="1771">
        <f>AN723/AM723-1</f>
        <v/>
      </c>
      <c r="AO729" s="1770" t="n"/>
      <c r="AP729" s="1771">
        <f>AP723/AN723-1</f>
        <v/>
      </c>
      <c r="AQ729" s="1771">
        <f>AQ723/AP723-1</f>
        <v/>
      </c>
      <c r="AR729" s="1771">
        <f>AR723/AQ723-1</f>
        <v/>
      </c>
      <c r="AS729" s="1771">
        <f>AS723/AR723-1</f>
        <v/>
      </c>
      <c r="AT729" s="1770" t="n"/>
      <c r="AU729" s="1771">
        <f>AU723/AS723-1</f>
        <v/>
      </c>
      <c r="AV729" s="1771">
        <f>AV723/AU723-1</f>
        <v/>
      </c>
      <c r="AW729" s="1771">
        <f>AW723/AV723-1</f>
        <v/>
      </c>
      <c r="AX729" s="1771">
        <f>AX723/AW723-1</f>
        <v/>
      </c>
      <c r="AY729" s="1770" t="n"/>
      <c r="AZ729" s="1771">
        <f>AZ723/AX723-1</f>
        <v/>
      </c>
      <c r="BA729" s="1771">
        <f>BA723/AZ723-1</f>
        <v/>
      </c>
      <c r="BB729" s="1771">
        <f>BB723/BA723-1</f>
        <v/>
      </c>
      <c r="BC729" s="1771">
        <f>BC723/BB723-1</f>
        <v/>
      </c>
      <c r="BD729" s="1770" t="n"/>
      <c r="BE729" s="1771">
        <f>BE723/BC723-1</f>
        <v/>
      </c>
      <c r="BF729" s="1771">
        <f>BF723/BE723-1</f>
        <v/>
      </c>
      <c r="BG729" s="1771">
        <f>BG723/BF723-1</f>
        <v/>
      </c>
      <c r="BH729" s="1771">
        <f>BH723/BG723-1</f>
        <v/>
      </c>
      <c r="BI729" s="1770" t="n"/>
      <c r="BJ729" s="1771">
        <f>BJ723/BH723-1</f>
        <v/>
      </c>
      <c r="BK729" s="1771">
        <f>BK723/BJ723-1</f>
        <v/>
      </c>
      <c r="BL729" s="1771">
        <f>BL723/BK723-1</f>
        <v/>
      </c>
      <c r="BM729" s="1771">
        <f>BM723/BL723-1</f>
        <v/>
      </c>
      <c r="BN729" s="1770" t="n"/>
      <c r="BO729" s="1771">
        <f>BO723/BM723-1</f>
        <v/>
      </c>
      <c r="BP729" s="1771">
        <f>BP723/BO723-1</f>
        <v/>
      </c>
      <c r="BQ729" s="1772">
        <f>BQ723/BP723-1</f>
        <v/>
      </c>
      <c r="BR729" s="1771">
        <f>BR723/BQ723-1</f>
        <v/>
      </c>
      <c r="BS729" s="1770" t="n"/>
      <c r="BT729" s="1771">
        <f>BT723/BR723-1</f>
        <v/>
      </c>
      <c r="BU729" s="1771">
        <f>BU723/BT723-1</f>
        <v/>
      </c>
      <c r="BV729" s="1771">
        <f>BV723/BU723-1</f>
        <v/>
      </c>
      <c r="BW729" s="1771">
        <f>BW723/BV723-1</f>
        <v/>
      </c>
      <c r="BX729" s="1770" t="n"/>
      <c r="BY729" s="1770" t="n"/>
      <c r="BZ729" s="1770" t="n"/>
      <c r="CA729" s="1770" t="n"/>
      <c r="CB729" s="1771" t="n"/>
    </row>
    <row r="730" hidden="1" outlineLevel="1" ht="15" customFormat="1" customHeight="1" s="1359">
      <c r="A730" s="1501" t="inlineStr">
        <is>
          <t>Y/Y guided revenue growth, %</t>
        </is>
      </c>
      <c r="B730" s="1590" t="n"/>
      <c r="C730" s="1382" t="n"/>
      <c r="D730" s="1382">
        <f>IF(D722="","",D722/C723-1)</f>
        <v/>
      </c>
      <c r="E730" s="1382">
        <f>IF(E722="","",E722/D723-1)</f>
        <v/>
      </c>
      <c r="F730" s="1382">
        <f>IF(F722="","",F722/E723-1)</f>
        <v/>
      </c>
      <c r="G730" s="1384" t="n"/>
      <c r="H730" s="1384" t="n"/>
      <c r="I730" s="1384" t="n"/>
      <c r="J730" s="1384" t="n"/>
      <c r="K730" s="1382">
        <f>IF(K722="","",K722/F723-1)</f>
        <v/>
      </c>
      <c r="L730" s="1384">
        <f>IF(L722="","",L722/G723-1)</f>
        <v/>
      </c>
      <c r="M730" s="1384">
        <f>IF(M722="","",M722/H723-1)</f>
        <v/>
      </c>
      <c r="N730" s="1384">
        <f>IF(N722="","",N722/I723-1)</f>
        <v/>
      </c>
      <c r="O730" s="1384">
        <f>IF(O722="","",O722/J723-1)</f>
        <v/>
      </c>
      <c r="P730" s="1382">
        <f>IF(P722="","",P722/K723-1)</f>
        <v/>
      </c>
      <c r="Q730" s="1384">
        <f>IF(Q722="","",Q722/L723-1)</f>
        <v/>
      </c>
      <c r="R730" s="1384">
        <f>IF(R722="","",R722/M723-1)</f>
        <v/>
      </c>
      <c r="S730" s="1384">
        <f>IF(S722="","",S722/N723-1)</f>
        <v/>
      </c>
      <c r="T730" s="1384">
        <f>IF(T722="","",T722/O723-1)</f>
        <v/>
      </c>
      <c r="U730" s="1382">
        <f>IF(U722="","",U722/P723-1)</f>
        <v/>
      </c>
      <c r="V730" s="1384">
        <f>IF(V722="","",V722/Q723-1)</f>
        <v/>
      </c>
      <c r="W730" s="1384">
        <f>IF(W722="","",W722/R723-1)</f>
        <v/>
      </c>
      <c r="X730" s="1384">
        <f>IF(X722="","",X722/S723-1)</f>
        <v/>
      </c>
      <c r="Y730" s="1384">
        <f>IF(Y722="","",Y722/T723-1)</f>
        <v/>
      </c>
      <c r="Z730" s="1382">
        <f>IF(Z722="","",Z722/U723-1)</f>
        <v/>
      </c>
      <c r="AA730" s="1384">
        <f>IF(AA722="","",AA722/V723-1)</f>
        <v/>
      </c>
      <c r="AB730" s="1384">
        <f>IF(AB722="","",AB722/W723-1)</f>
        <v/>
      </c>
      <c r="AC730" s="1384">
        <f>IF(AC722="","",AC722/X723-1)</f>
        <v/>
      </c>
      <c r="AD730" s="1384">
        <f>IF(AD722="","",AD722/Y723-1)</f>
        <v/>
      </c>
      <c r="AE730" s="1382">
        <f>IF(AE722="","",AE722/Z723-1)</f>
        <v/>
      </c>
      <c r="AF730" s="1384">
        <f>IF(AF722="","",AF722/AA723-1)</f>
        <v/>
      </c>
      <c r="AG730" s="1384">
        <f>IF(AG722="","",AG722/AB723-1)</f>
        <v/>
      </c>
      <c r="AH730" s="1384">
        <f>IF(AH722="","",AH722/AC723-1)</f>
        <v/>
      </c>
      <c r="AI730" s="1384">
        <f>IF(AI722="","",AI722/AD723-1)</f>
        <v/>
      </c>
      <c r="AJ730" s="1382">
        <f>IF(AJ722="","",AJ722/AE723-1)</f>
        <v/>
      </c>
      <c r="AK730" s="1384">
        <f>IF(AK722="","",AK722/AF723-1)</f>
        <v/>
      </c>
      <c r="AL730" s="1384">
        <f>IF(AL722="","",AL722/AG723-1)</f>
        <v/>
      </c>
      <c r="AM730" s="1384">
        <f>IF(AM722="","",AM722/AH723-1)</f>
        <v/>
      </c>
      <c r="AN730" s="1384">
        <f>IF(AN722="","",AN722/AI723-1)</f>
        <v/>
      </c>
      <c r="AO730" s="1382">
        <f>IF(AO722="","",AO722/AJ723-1)</f>
        <v/>
      </c>
      <c r="AP730" s="1384">
        <f>IF(AP722="","",AP722/AK723-1)</f>
        <v/>
      </c>
      <c r="AQ730" s="1384">
        <f>IF(AQ722="","",AQ722/AL723-1)</f>
        <v/>
      </c>
      <c r="AR730" s="1384">
        <f>IF(AR722="","",AR722/AM723-1)</f>
        <v/>
      </c>
      <c r="AS730" s="1384">
        <f>IF(AS722="","",AS722/AN723-1)</f>
        <v/>
      </c>
      <c r="AT730" s="1382">
        <f>IF(AT722="","",AT722/AO723-1)</f>
        <v/>
      </c>
      <c r="AU730" s="1384">
        <f>IF(AU722="","",AU722/AP723-1)</f>
        <v/>
      </c>
      <c r="AV730" s="1384">
        <f>IF(AV722="","",AV722/AQ723-1)</f>
        <v/>
      </c>
      <c r="AW730" s="1384">
        <f>IF(AW722="","",AW722/AR723-1)</f>
        <v/>
      </c>
      <c r="AX730" s="1384">
        <f>IF(AX722="","",AX722/AS723-1)</f>
        <v/>
      </c>
      <c r="AY730" s="1382">
        <f>IF(AY722="","",AY722/AT723-1)</f>
        <v/>
      </c>
      <c r="AZ730" s="1384">
        <f>IF(AZ722="","",AZ722/AU723-1)</f>
        <v/>
      </c>
      <c r="BA730" s="1384">
        <f>IF(BA722="","",BA722/AV723-1)</f>
        <v/>
      </c>
      <c r="BB730" s="1384">
        <f>IF(BB722="","",BB722/AW723-1)</f>
        <v/>
      </c>
      <c r="BC730" s="1384">
        <f>IF(BC722="","",BC722/AX723-1)</f>
        <v/>
      </c>
      <c r="BD730" s="1382">
        <f>IF(BD722="","",BD722/AY723-1)</f>
        <v/>
      </c>
      <c r="BE730" s="1384">
        <f>IF(BE722="","",BE722/AZ723-1)</f>
        <v/>
      </c>
      <c r="BF730" s="1384">
        <f>IF(BF722="","",BF722/BA723-1)</f>
        <v/>
      </c>
      <c r="BG730" s="1384">
        <f>IF(BG722="","",BG722/BB723-1)</f>
        <v/>
      </c>
      <c r="BH730" s="1384">
        <f>IF(BH722="","",BH722/BC723-1)</f>
        <v/>
      </c>
      <c r="BI730" s="1382">
        <f>IF(BI722="","",BI722/BD723-1)</f>
        <v/>
      </c>
      <c r="BJ730" s="1384">
        <f>IF(BJ722="","",BJ722/BE723-1)</f>
        <v/>
      </c>
      <c r="BK730" s="1384">
        <f>IF(BK722="","",BK722/BF723-1)</f>
        <v/>
      </c>
      <c r="BL730" s="1384">
        <f>IF(BL722="","",BL722/BG723-1)</f>
        <v/>
      </c>
      <c r="BM730" s="1384">
        <f>IF(BM722="","",BM722/BH723-1)</f>
        <v/>
      </c>
      <c r="BN730" s="1382">
        <f>IF(BN722="","",BN722/BI723-1)</f>
        <v/>
      </c>
      <c r="BO730" s="1384">
        <f>IF(BO722="","",BO722/BJ723-1)</f>
        <v/>
      </c>
      <c r="BP730" s="1384">
        <f>IF(BP722="","",BP722/BK723-1)</f>
        <v/>
      </c>
      <c r="BQ730" s="1386">
        <f>IF(BQ722="","",BQ722/BL723-1)</f>
        <v/>
      </c>
      <c r="BR730" s="1384">
        <f>IF(BR722="","",BR722/BM723-1)</f>
        <v/>
      </c>
      <c r="BS730" s="1382">
        <f>IF(BS722="","",BS722/BN723-1)</f>
        <v/>
      </c>
      <c r="BT730" s="1384">
        <f>IF(BT722="","",BT722/BO723-1)</f>
        <v/>
      </c>
      <c r="BU730" s="1384">
        <f>IF(BU722="","",BU722/BP723-1)</f>
        <v/>
      </c>
      <c r="BV730" s="1384">
        <f>IF(BV722="","",BV722/BQ723-1)</f>
        <v/>
      </c>
      <c r="BW730" s="1384">
        <f>IF(BW722="","",BW722/BR723-1)</f>
        <v/>
      </c>
      <c r="BX730" s="1382">
        <f>IF(BX722="","",BX722/BS723-1)</f>
        <v/>
      </c>
      <c r="BY730" s="1382" t="n"/>
      <c r="BZ730" s="1382" t="n"/>
      <c r="CA730" s="1382" t="n"/>
      <c r="CB730" s="1384" t="n"/>
    </row>
    <row r="731" hidden="1" outlineLevel="1" ht="15" customFormat="1" customHeight="1" s="1359">
      <c r="A731" s="1773" t="inlineStr">
        <is>
          <t>Y/Y beat/(miss) revenue growth, %</t>
        </is>
      </c>
      <c r="B731" s="1774" t="n"/>
      <c r="C731" s="1775" t="n"/>
      <c r="D731" s="1775">
        <f>IF(D724="","",D724/C723)</f>
        <v/>
      </c>
      <c r="E731" s="1775">
        <f>IF(E724="","",E724/D723)</f>
        <v/>
      </c>
      <c r="F731" s="1775">
        <f>IF(F724="","",F724/E723)</f>
        <v/>
      </c>
      <c r="G731" s="1776" t="n"/>
      <c r="H731" s="1776" t="n"/>
      <c r="I731" s="1776" t="n"/>
      <c r="J731" s="1776" t="n"/>
      <c r="K731" s="1775">
        <f>IF(K724="","",K724/F723)</f>
        <v/>
      </c>
      <c r="L731" s="1776">
        <f>IF(L724="","",L724/G723)</f>
        <v/>
      </c>
      <c r="M731" s="1776">
        <f>IF(M724="","",M724/H723)</f>
        <v/>
      </c>
      <c r="N731" s="1776">
        <f>IF(N724="","",N724/I723)</f>
        <v/>
      </c>
      <c r="O731" s="1776">
        <f>IF(O724="","",O724/J723)</f>
        <v/>
      </c>
      <c r="P731" s="1775">
        <f>IF(P724="","",P724/K723)</f>
        <v/>
      </c>
      <c r="Q731" s="1776">
        <f>IF(Q724="","",Q724/L723)</f>
        <v/>
      </c>
      <c r="R731" s="1776">
        <f>IF(R724="","",R724/M723)</f>
        <v/>
      </c>
      <c r="S731" s="1776">
        <f>IF(S724="","",S724/N723)</f>
        <v/>
      </c>
      <c r="T731" s="1776">
        <f>IF(T724="","",T724/O723)</f>
        <v/>
      </c>
      <c r="U731" s="1775">
        <f>IF(U724="","",U724/P723)</f>
        <v/>
      </c>
      <c r="V731" s="1776">
        <f>IF(V724="","",V724/Q723)</f>
        <v/>
      </c>
      <c r="W731" s="1776">
        <f>IF(W724="","",W724/R723)</f>
        <v/>
      </c>
      <c r="X731" s="1776">
        <f>IF(X724="","",X724/S723)</f>
        <v/>
      </c>
      <c r="Y731" s="1776">
        <f>IF(Y724="","",Y724/T723)</f>
        <v/>
      </c>
      <c r="Z731" s="1775">
        <f>IF(Z724="","",Z724/U723)</f>
        <v/>
      </c>
      <c r="AA731" s="1776">
        <f>IF(AA724="","",AA724/V723)</f>
        <v/>
      </c>
      <c r="AB731" s="1776">
        <f>IF(AB724="","",AB724/W723)</f>
        <v/>
      </c>
      <c r="AC731" s="1776">
        <f>IF(AC724="","",AC724/X723)</f>
        <v/>
      </c>
      <c r="AD731" s="1776">
        <f>IF(AD724="","",AD724/Y723)</f>
        <v/>
      </c>
      <c r="AE731" s="1775">
        <f>IF(AE724="","",AE724/Z723)</f>
        <v/>
      </c>
      <c r="AF731" s="1776">
        <f>IF(AF724="","",AF724/AA723)</f>
        <v/>
      </c>
      <c r="AG731" s="1776">
        <f>IF(AG724="","",AG724/AB723)</f>
        <v/>
      </c>
      <c r="AH731" s="1776">
        <f>IF(AH724="","",AH724/AC723)</f>
        <v/>
      </c>
      <c r="AI731" s="1776">
        <f>IF(AI724="","",AI724/AD723)</f>
        <v/>
      </c>
      <c r="AJ731" s="1775">
        <f>IF(AJ724="","",AJ724/AE723)</f>
        <v/>
      </c>
      <c r="AK731" s="1776">
        <f>IF(AK724="","",AK724/AF723)</f>
        <v/>
      </c>
      <c r="AL731" s="1776">
        <f>IF(AL724="","",AL724/AG723)</f>
        <v/>
      </c>
      <c r="AM731" s="1776">
        <f>IF(AM724="","",AM724/AH723)</f>
        <v/>
      </c>
      <c r="AN731" s="1776">
        <f>IF(AN724="","",AN724/AI723)</f>
        <v/>
      </c>
      <c r="AO731" s="1775">
        <f>IF(AO724="","",AO724/AJ723)</f>
        <v/>
      </c>
      <c r="AP731" s="1776">
        <f>IF(AP724="","",AP724/AK723)</f>
        <v/>
      </c>
      <c r="AQ731" s="1776">
        <f>IF(AQ724="","",AQ724/AL723)</f>
        <v/>
      </c>
      <c r="AR731" s="1776">
        <f>IF(AR724="","",AR724/AM723)</f>
        <v/>
      </c>
      <c r="AS731" s="1776">
        <f>IF(AS724="","",AS724/AN723)</f>
        <v/>
      </c>
      <c r="AT731" s="1775">
        <f>IF(AT724="","",AT724/AO723)</f>
        <v/>
      </c>
      <c r="AU731" s="1776">
        <f>IF(AU724="","",AU724/AP723)</f>
        <v/>
      </c>
      <c r="AV731" s="1776">
        <f>IF(AV724="","",AV724/AQ723)</f>
        <v/>
      </c>
      <c r="AW731" s="1776">
        <f>IF(AW724="","",AW724/AR723)</f>
        <v/>
      </c>
      <c r="AX731" s="1776">
        <f>IF(AX724="","",AX724/AS723)</f>
        <v/>
      </c>
      <c r="AY731" s="1775">
        <f>IF(AY724="","",AY724/AT723)</f>
        <v/>
      </c>
      <c r="AZ731" s="1776">
        <f>IF(AZ724="","",AZ724/AU723)</f>
        <v/>
      </c>
      <c r="BA731" s="1776">
        <f>IF(BA724="","",BA724/AV723)</f>
        <v/>
      </c>
      <c r="BB731" s="1776">
        <f>IF(BB724="","",BB724/AW723)</f>
        <v/>
      </c>
      <c r="BC731" s="1776">
        <f>IF(BC724="","",BC724/AX723)</f>
        <v/>
      </c>
      <c r="BD731" s="1775">
        <f>IF(BD724="","",BD724/AY723)</f>
        <v/>
      </c>
      <c r="BE731" s="1776">
        <f>IF(BE724="","",BE724/AZ723)</f>
        <v/>
      </c>
      <c r="BF731" s="1776">
        <f>IF(BF724="","",BF724/BA723)</f>
        <v/>
      </c>
      <c r="BG731" s="1776">
        <f>IF(BG724="","",BG724/BB723)</f>
        <v/>
      </c>
      <c r="BH731" s="1776">
        <f>IF(BH724="","",BH724/BC723)</f>
        <v/>
      </c>
      <c r="BI731" s="1775">
        <f>IF(BI724="","",BI724/BD723)</f>
        <v/>
      </c>
      <c r="BJ731" s="1776">
        <f>IF(BJ724="","",BJ724/BE723)</f>
        <v/>
      </c>
      <c r="BK731" s="1776">
        <f>IF(BK724="","",BK724/BF723)</f>
        <v/>
      </c>
      <c r="BL731" s="1776">
        <f>IF(BL724="","",BL724/BG723)</f>
        <v/>
      </c>
      <c r="BM731" s="1776">
        <f>IF(BM724="","",BM724/BH723)</f>
        <v/>
      </c>
      <c r="BN731" s="1775">
        <f>IF(BN724="","",BN724/BI723)</f>
        <v/>
      </c>
      <c r="BO731" s="1776">
        <f>IF(BO724="","",BO724/BJ723)</f>
        <v/>
      </c>
      <c r="BP731" s="1776">
        <f>IF(BP724="","",BP724/BK723)</f>
        <v/>
      </c>
      <c r="BQ731" s="1777">
        <f>IF(BQ724="","",BQ724/BL723)</f>
        <v/>
      </c>
      <c r="BR731" s="1776">
        <f>IF(BR724="","",BR724/BM723)</f>
        <v/>
      </c>
      <c r="BS731" s="1775">
        <f>IF(BS724="","",BS724/BN723)</f>
        <v/>
      </c>
      <c r="BT731" s="1776">
        <f>IF(BT724="","",BT724/BO723)</f>
        <v/>
      </c>
      <c r="BU731" s="1776">
        <f>IF(BU724="","",BU724/BP723)</f>
        <v/>
      </c>
      <c r="BV731" s="1776">
        <f>IF(BV724="","",BV724/BQ723)</f>
        <v/>
      </c>
      <c r="BW731" s="1776">
        <f>IF(BW724="","",BW724/BR723)</f>
        <v/>
      </c>
      <c r="BX731" s="1775">
        <f>IF(BX724="","",BX724/BS723)</f>
        <v/>
      </c>
      <c r="BY731" s="1775" t="n"/>
      <c r="BZ731" s="1775" t="n"/>
      <c r="CA731" s="1775" t="n"/>
      <c r="CB731" s="1384" t="n"/>
    </row>
    <row r="732" hidden="1" outlineLevel="1" ht="15" customFormat="1" customHeight="1" s="1359">
      <c r="A732" s="1778" t="inlineStr">
        <is>
          <t>Y/Y revenue growth, %</t>
        </is>
      </c>
      <c r="B732" s="1769" t="n"/>
      <c r="C732" s="1770" t="n"/>
      <c r="D732" s="1770">
        <f>D723/C723-1</f>
        <v/>
      </c>
      <c r="E732" s="1770">
        <f>E723/D723-1</f>
        <v/>
      </c>
      <c r="F732" s="1770">
        <f>F723/E723-1</f>
        <v/>
      </c>
      <c r="G732" s="1771" t="n"/>
      <c r="H732" s="1771" t="n"/>
      <c r="I732" s="1771" t="n"/>
      <c r="J732" s="1771" t="n"/>
      <c r="K732" s="1770">
        <f>K723/F723-1</f>
        <v/>
      </c>
      <c r="L732" s="1771">
        <f>L723/G723-1</f>
        <v/>
      </c>
      <c r="M732" s="1771">
        <f>M723/H723-1</f>
        <v/>
      </c>
      <c r="N732" s="1771">
        <f>N723/I723-1</f>
        <v/>
      </c>
      <c r="O732" s="1771">
        <f>O723/J723-1</f>
        <v/>
      </c>
      <c r="P732" s="1770">
        <f>P723/K723-1</f>
        <v/>
      </c>
      <c r="Q732" s="1771">
        <f>Q723/L723-1</f>
        <v/>
      </c>
      <c r="R732" s="1771">
        <f>R723/M723-1</f>
        <v/>
      </c>
      <c r="S732" s="1771">
        <f>S723/N723-1</f>
        <v/>
      </c>
      <c r="T732" s="1771">
        <f>T723/O723-1</f>
        <v/>
      </c>
      <c r="U732" s="1770">
        <f>U723/P723-1</f>
        <v/>
      </c>
      <c r="V732" s="1771">
        <f>V723/Q723-1</f>
        <v/>
      </c>
      <c r="W732" s="1771">
        <f>W723/R723-1</f>
        <v/>
      </c>
      <c r="X732" s="1771">
        <f>X723/S723-1</f>
        <v/>
      </c>
      <c r="Y732" s="1771">
        <f>Y723/T723-1</f>
        <v/>
      </c>
      <c r="Z732" s="1770">
        <f>Z723/U723-1</f>
        <v/>
      </c>
      <c r="AA732" s="1771">
        <f>AA723/V723-1</f>
        <v/>
      </c>
      <c r="AB732" s="1771">
        <f>AB723/W723-1</f>
        <v/>
      </c>
      <c r="AC732" s="1771">
        <f>AC723/X723-1</f>
        <v/>
      </c>
      <c r="AD732" s="1771">
        <f>AD723/Y723-1</f>
        <v/>
      </c>
      <c r="AE732" s="1770">
        <f>AE723/Z723-1</f>
        <v/>
      </c>
      <c r="AF732" s="1771">
        <f>AF723/AA723-1</f>
        <v/>
      </c>
      <c r="AG732" s="1771">
        <f>AG723/AB723-1</f>
        <v/>
      </c>
      <c r="AH732" s="1771">
        <f>AH723/AC723-1</f>
        <v/>
      </c>
      <c r="AI732" s="1771">
        <f>AI723/AD723-1</f>
        <v/>
      </c>
      <c r="AJ732" s="1770">
        <f>AJ723/AE723-1</f>
        <v/>
      </c>
      <c r="AK732" s="1771">
        <f>AK723/AF723-1</f>
        <v/>
      </c>
      <c r="AL732" s="1771">
        <f>AL723/AG723-1</f>
        <v/>
      </c>
      <c r="AM732" s="1771">
        <f>AM723/AH723-1</f>
        <v/>
      </c>
      <c r="AN732" s="1771">
        <f>AN723/AI723-1</f>
        <v/>
      </c>
      <c r="AO732" s="1770">
        <f>AO723/AJ723-1</f>
        <v/>
      </c>
      <c r="AP732" s="1771">
        <f>AP723/AK723-1</f>
        <v/>
      </c>
      <c r="AQ732" s="1771">
        <f>AQ723/AL723-1</f>
        <v/>
      </c>
      <c r="AR732" s="1771">
        <f>AR723/AM723-1</f>
        <v/>
      </c>
      <c r="AS732" s="1771">
        <f>AS723/AN723-1</f>
        <v/>
      </c>
      <c r="AT732" s="1770">
        <f>AT723/AO723-1</f>
        <v/>
      </c>
      <c r="AU732" s="1771">
        <f>AU723/AP723-1</f>
        <v/>
      </c>
      <c r="AV732" s="1771">
        <f>AV723/AQ723-1</f>
        <v/>
      </c>
      <c r="AW732" s="1771">
        <f>AW723/AR723-1</f>
        <v/>
      </c>
      <c r="AX732" s="1771">
        <f>AX723/AS723-1</f>
        <v/>
      </c>
      <c r="AY732" s="1770">
        <f>AY723/AT723-1</f>
        <v/>
      </c>
      <c r="AZ732" s="1771">
        <f>AZ723/AU723-1</f>
        <v/>
      </c>
      <c r="BA732" s="1771">
        <f>BA723/AV723-1</f>
        <v/>
      </c>
      <c r="BB732" s="1771">
        <f>BB723/AW723-1</f>
        <v/>
      </c>
      <c r="BC732" s="1771">
        <f>BC723/AX723-1</f>
        <v/>
      </c>
      <c r="BD732" s="1770">
        <f>BD723/AY723-1</f>
        <v/>
      </c>
      <c r="BE732" s="1771">
        <f>BE723/AZ723-1</f>
        <v/>
      </c>
      <c r="BF732" s="1771">
        <f>BF723/BA723-1</f>
        <v/>
      </c>
      <c r="BG732" s="1771">
        <f>BG723/BB723-1</f>
        <v/>
      </c>
      <c r="BH732" s="1771">
        <f>BH723/BC723-1</f>
        <v/>
      </c>
      <c r="BI732" s="1770">
        <f>BI723/BD723-1</f>
        <v/>
      </c>
      <c r="BJ732" s="1771">
        <f>BJ723/BE723-1</f>
        <v/>
      </c>
      <c r="BK732" s="1771">
        <f>BK723/BF723-1</f>
        <v/>
      </c>
      <c r="BL732" s="1771">
        <f>BL723/BG723-1</f>
        <v/>
      </c>
      <c r="BM732" s="1771">
        <f>BM723/BH723-1</f>
        <v/>
      </c>
      <c r="BN732" s="1770">
        <f>BN723/BI723-1</f>
        <v/>
      </c>
      <c r="BO732" s="1771">
        <f>BO723/BJ723-1</f>
        <v/>
      </c>
      <c r="BP732" s="1771">
        <f>BP723/BK723-1</f>
        <v/>
      </c>
      <c r="BQ732" s="1772">
        <f>BQ723/BL723-1</f>
        <v/>
      </c>
      <c r="BR732" s="1771">
        <f>BR723/BM723-1</f>
        <v/>
      </c>
      <c r="BS732" s="1770">
        <f>BS723/BN723-1</f>
        <v/>
      </c>
      <c r="BT732" s="1771">
        <f>BT723/BO723-1</f>
        <v/>
      </c>
      <c r="BU732" s="1771">
        <f>BU723/BP723-1</f>
        <v/>
      </c>
      <c r="BV732" s="1771">
        <f>BV723/BQ723-1</f>
        <v/>
      </c>
      <c r="BW732" s="1771">
        <f>BW723/BR723-1</f>
        <v/>
      </c>
      <c r="BX732" s="1770">
        <f>BX723/BS723-1</f>
        <v/>
      </c>
      <c r="BY732" s="1770">
        <f>BY723/BX723-1</f>
        <v/>
      </c>
      <c r="BZ732" s="1770">
        <f>BZ723/BY723-1</f>
        <v/>
      </c>
      <c r="CA732" s="1770">
        <f>CA723/BZ723-1</f>
        <v/>
      </c>
      <c r="CB732" s="1771" t="n"/>
    </row>
    <row r="733" hidden="1" outlineLevel="2" ht="15" customFormat="1" customHeight="1" s="1359">
      <c r="A733" s="545" t="n"/>
      <c r="B733" s="1512" t="n"/>
      <c r="C733" s="1379" t="n"/>
      <c r="D733" s="1379" t="n"/>
      <c r="E733" s="1379" t="n"/>
      <c r="F733" s="1379" t="n"/>
      <c r="G733" s="1361" t="n"/>
      <c r="H733" s="1361" t="n"/>
      <c r="I733" s="1361" t="n"/>
      <c r="J733" s="1361" t="n"/>
      <c r="K733" s="1379" t="n"/>
      <c r="L733" s="1361" t="n"/>
      <c r="M733" s="1361" t="n"/>
      <c r="N733" s="1361" t="n"/>
      <c r="O733" s="1361" t="n"/>
      <c r="P733" s="1379" t="n"/>
      <c r="Q733" s="1361" t="n"/>
      <c r="R733" s="1361" t="n"/>
      <c r="S733" s="1361" t="n"/>
      <c r="T733" s="1361" t="n"/>
      <c r="U733" s="1379" t="n"/>
      <c r="V733" s="1361" t="n"/>
      <c r="W733" s="1361" t="n"/>
      <c r="X733" s="1361" t="n"/>
      <c r="Y733" s="1361" t="n"/>
      <c r="Z733" s="1379" t="n"/>
      <c r="AA733" s="1361" t="n"/>
      <c r="AB733" s="1361" t="n"/>
      <c r="AC733" s="1361" t="n"/>
      <c r="AD733" s="1361" t="n"/>
      <c r="AE733" s="1379" t="n"/>
      <c r="AF733" s="1361" t="n"/>
      <c r="AG733" s="1361" t="n"/>
      <c r="AH733" s="1361" t="n"/>
      <c r="AI733" s="1361" t="n"/>
      <c r="AJ733" s="1379" t="n"/>
      <c r="AK733" s="1361" t="n"/>
      <c r="AL733" s="1361" t="n"/>
      <c r="AM733" s="1361" t="n"/>
      <c r="AN733" s="1361" t="n"/>
      <c r="AO733" s="1379" t="n"/>
      <c r="AP733" s="1361" t="n"/>
      <c r="AQ733" s="1361" t="n"/>
      <c r="AR733" s="1361" t="n"/>
      <c r="AS733" s="1361" t="n"/>
      <c r="AT733" s="1379" t="n"/>
      <c r="AU733" s="1361" t="n"/>
      <c r="AV733" s="1361" t="n"/>
      <c r="AW733" s="1361" t="n"/>
      <c r="AX733" s="1361" t="n"/>
      <c r="AY733" s="1379" t="n"/>
      <c r="AZ733" s="1361" t="n"/>
      <c r="BA733" s="1361" t="n"/>
      <c r="BB733" s="1361" t="n"/>
      <c r="BC733" s="1361" t="n"/>
      <c r="BD733" s="1379" t="n"/>
      <c r="BE733" s="1361" t="n"/>
      <c r="BF733" s="1361" t="n"/>
      <c r="BG733" s="1361" t="n"/>
      <c r="BH733" s="1361" t="n"/>
      <c r="BI733" s="1379" t="n"/>
      <c r="BJ733" s="1361" t="n"/>
      <c r="BK733" s="1361" t="n"/>
      <c r="BL733" s="1361" t="n"/>
      <c r="BM733" s="1361" t="n"/>
      <c r="BN733" s="1379" t="n"/>
      <c r="BO733" s="1361" t="n"/>
      <c r="BP733" s="1361" t="n"/>
      <c r="BQ733" s="1363" t="n"/>
      <c r="BR733" s="1361" t="n"/>
      <c r="BS733" s="1379" t="n"/>
      <c r="BT733" s="1361" t="n"/>
      <c r="BU733" s="1361" t="n"/>
      <c r="BV733" s="1361" t="n"/>
      <c r="BW733" s="1361" t="n"/>
      <c r="BX733" s="1379" t="n"/>
      <c r="BY733" s="1379" t="n"/>
      <c r="BZ733" s="1379" t="n"/>
      <c r="CA733" s="1379" t="n"/>
      <c r="CB733" s="1361" t="n"/>
    </row>
    <row r="734" hidden="1" outlineLevel="2" ht="15" customFormat="1" customHeight="1" s="1359">
      <c r="A734" s="1503" t="inlineStr">
        <is>
          <t>Forward guidance - report date, date</t>
        </is>
      </c>
      <c r="B734" s="1512" t="n"/>
      <c r="C734" s="1779" t="n"/>
      <c r="D734" s="1779" t="n"/>
      <c r="E734" s="1779" t="n"/>
      <c r="F734" s="1779" t="n"/>
      <c r="G734" s="1780" t="n"/>
      <c r="H734" s="1780" t="n"/>
      <c r="I734" s="1780" t="n"/>
      <c r="J734" s="1780" t="n"/>
      <c r="K734" s="1779" t="n"/>
      <c r="L734" s="1780" t="n"/>
      <c r="M734" s="1780" t="n"/>
      <c r="N734" s="1780" t="n"/>
      <c r="O734" s="1780" t="n"/>
      <c r="P734" s="1779" t="n"/>
      <c r="Q734" s="1780" t="n"/>
      <c r="R734" s="1780" t="n"/>
      <c r="S734" s="1780" t="n"/>
      <c r="T734" s="1780" t="n"/>
      <c r="U734" s="1779" t="n"/>
      <c r="V734" s="1780" t="n"/>
      <c r="W734" s="1780" t="n"/>
      <c r="X734" s="1780" t="n"/>
      <c r="Y734" s="1780" t="n"/>
      <c r="Z734" s="1779" t="n"/>
      <c r="AA734" s="1780" t="n"/>
      <c r="AB734" s="1780" t="n"/>
      <c r="AC734" s="1780">
        <f>AC1332</f>
        <v/>
      </c>
      <c r="AD734" s="1780">
        <f>AD1332</f>
        <v/>
      </c>
      <c r="AE734" s="1779">
        <f>AE1332</f>
        <v/>
      </c>
      <c r="AF734" s="1780">
        <f>AF1332</f>
        <v/>
      </c>
      <c r="AG734" s="1780">
        <f>AG1332</f>
        <v/>
      </c>
      <c r="AH734" s="1780">
        <f>AH1332</f>
        <v/>
      </c>
      <c r="AI734" s="1780">
        <f>AI1332</f>
        <v/>
      </c>
      <c r="AJ734" s="1779">
        <f>AJ1332</f>
        <v/>
      </c>
      <c r="AK734" s="1780">
        <f>AK1332</f>
        <v/>
      </c>
      <c r="AL734" s="1780">
        <f>AL1332</f>
        <v/>
      </c>
      <c r="AM734" s="1780">
        <f>AM1332</f>
        <v/>
      </c>
      <c r="AN734" s="1780">
        <f>AN1332</f>
        <v/>
      </c>
      <c r="AO734" s="1779">
        <f>AO1332</f>
        <v/>
      </c>
      <c r="AP734" s="1780">
        <f>AP1332</f>
        <v/>
      </c>
      <c r="AQ734" s="1780">
        <f>AQ1332</f>
        <v/>
      </c>
      <c r="AR734" s="1780">
        <f>AR1332</f>
        <v/>
      </c>
      <c r="AS734" s="1780">
        <f>AS1332</f>
        <v/>
      </c>
      <c r="AT734" s="1779">
        <f>AT1332</f>
        <v/>
      </c>
      <c r="AU734" s="1780">
        <f>AU1332</f>
        <v/>
      </c>
      <c r="AV734" s="1780">
        <f>AV1332</f>
        <v/>
      </c>
      <c r="AW734" s="1780">
        <f>AW1332</f>
        <v/>
      </c>
      <c r="AX734" s="1780">
        <f>AX1332</f>
        <v/>
      </c>
      <c r="AY734" s="1779">
        <f>AY1332</f>
        <v/>
      </c>
      <c r="AZ734" s="1780">
        <f>AZ1332</f>
        <v/>
      </c>
      <c r="BA734" s="1780">
        <f>BA1332</f>
        <v/>
      </c>
      <c r="BB734" s="1780">
        <f>BB1332</f>
        <v/>
      </c>
      <c r="BC734" s="1780">
        <f>BC1332</f>
        <v/>
      </c>
      <c r="BD734" s="1779">
        <f>BD1332</f>
        <v/>
      </c>
      <c r="BE734" s="1780">
        <f>BE1332</f>
        <v/>
      </c>
      <c r="BF734" s="1780">
        <f>BF1332</f>
        <v/>
      </c>
      <c r="BG734" s="1780">
        <f>BG1332</f>
        <v/>
      </c>
      <c r="BH734" s="1780">
        <f>BH1332</f>
        <v/>
      </c>
      <c r="BI734" s="1779">
        <f>BI1332</f>
        <v/>
      </c>
      <c r="BJ734" s="1780">
        <f>BJ1332</f>
        <v/>
      </c>
      <c r="BK734" s="1780">
        <f>BK1332</f>
        <v/>
      </c>
      <c r="BL734" s="1780">
        <f>BL1332</f>
        <v/>
      </c>
      <c r="BM734" s="1780">
        <f>BM1332</f>
        <v/>
      </c>
      <c r="BN734" s="1779">
        <f>BN1332</f>
        <v/>
      </c>
      <c r="BO734" s="1780">
        <f>BO1332</f>
        <v/>
      </c>
      <c r="BP734" s="1780">
        <f>BP1332</f>
        <v/>
      </c>
      <c r="BQ734" s="1781">
        <f>BQ1332</f>
        <v/>
      </c>
      <c r="BR734" s="1780" t="n"/>
      <c r="BS734" s="1779" t="n"/>
      <c r="BT734" s="1780" t="n"/>
      <c r="BU734" s="1780" t="n"/>
      <c r="BV734" s="1780" t="n"/>
      <c r="BW734" s="1780" t="n"/>
      <c r="BX734" s="1779" t="n"/>
      <c r="BY734" s="1779" t="n"/>
      <c r="BZ734" s="1779" t="n"/>
      <c r="CA734" s="1779" t="n"/>
      <c r="CB734" s="1782" t="n"/>
    </row>
    <row r="735" hidden="1" outlineLevel="2" ht="15" customFormat="1" customHeight="1" s="1359">
      <c r="A735" s="1783" t="inlineStr">
        <is>
          <t>Forward quarterly guidance - applicable period, period</t>
        </is>
      </c>
      <c r="B735" s="1784" t="n"/>
      <c r="C735" s="1785" t="n"/>
      <c r="D735" s="1785" t="n"/>
      <c r="E735" s="1785" t="n"/>
      <c r="F735" s="1785" t="n"/>
      <c r="G735" s="1786" t="n"/>
      <c r="H735" s="1786" t="n"/>
      <c r="I735" s="1786" t="n"/>
      <c r="J735" s="1786" t="n"/>
      <c r="K735" s="1785" t="n"/>
      <c r="L735" s="1786" t="n"/>
      <c r="M735" s="1786" t="n"/>
      <c r="N735" s="1786" t="n"/>
      <c r="O735" s="1786" t="n"/>
      <c r="P735" s="1785" t="n"/>
      <c r="Q735" s="1786" t="n"/>
      <c r="R735" s="1786" t="n"/>
      <c r="S735" s="1786" t="n"/>
      <c r="T735" s="1786" t="n"/>
      <c r="U735" s="1785" t="n"/>
      <c r="V735" s="1786" t="n"/>
      <c r="W735" s="1786" t="n"/>
      <c r="X735" s="1786" t="n"/>
      <c r="Y735" s="1786" t="n"/>
      <c r="Z735" s="1785" t="n"/>
      <c r="AA735" s="1786" t="n"/>
      <c r="AB735" s="1786" t="n"/>
      <c r="AC735" s="1786">
        <f>AD5</f>
        <v/>
      </c>
      <c r="AD735" s="1786">
        <f>AF5</f>
        <v/>
      </c>
      <c r="AE735" s="1785">
        <f>AF5</f>
        <v/>
      </c>
      <c r="AF735" s="1786">
        <f>AG5</f>
        <v/>
      </c>
      <c r="AG735" s="1786">
        <f>AH5</f>
        <v/>
      </c>
      <c r="AH735" s="1786">
        <f>AI5</f>
        <v/>
      </c>
      <c r="AI735" s="1786">
        <f>AK5</f>
        <v/>
      </c>
      <c r="AJ735" s="1785">
        <f>AK5</f>
        <v/>
      </c>
      <c r="AK735" s="1786">
        <f>AL5</f>
        <v/>
      </c>
      <c r="AL735" s="1786">
        <f>AM5</f>
        <v/>
      </c>
      <c r="AM735" s="1786">
        <f>AN5</f>
        <v/>
      </c>
      <c r="AN735" s="1786">
        <f>AP5</f>
        <v/>
      </c>
      <c r="AO735" s="1785">
        <f>AP5</f>
        <v/>
      </c>
      <c r="AP735" s="1786">
        <f>AQ5</f>
        <v/>
      </c>
      <c r="AQ735" s="1786">
        <f>AR5</f>
        <v/>
      </c>
      <c r="AR735" s="1786">
        <f>AS5</f>
        <v/>
      </c>
      <c r="AS735" s="1786">
        <f>AU5</f>
        <v/>
      </c>
      <c r="AT735" s="1785">
        <f>AU5</f>
        <v/>
      </c>
      <c r="AU735" s="1786">
        <f>AV5</f>
        <v/>
      </c>
      <c r="AV735" s="1786">
        <f>AW5</f>
        <v/>
      </c>
      <c r="AW735" s="1786">
        <f>AX5</f>
        <v/>
      </c>
      <c r="AX735" s="1786">
        <f>AZ5</f>
        <v/>
      </c>
      <c r="AY735" s="1785">
        <f>AZ5</f>
        <v/>
      </c>
      <c r="AZ735" s="1786">
        <f>BA5</f>
        <v/>
      </c>
      <c r="BA735" s="1786">
        <f>BB5</f>
        <v/>
      </c>
      <c r="BB735" s="1786">
        <f>BC5</f>
        <v/>
      </c>
      <c r="BC735" s="1786">
        <f>BE5</f>
        <v/>
      </c>
      <c r="BD735" s="1785">
        <f>BE5</f>
        <v/>
      </c>
      <c r="BE735" s="1786">
        <f>BF5</f>
        <v/>
      </c>
      <c r="BF735" s="1786">
        <f>BG5</f>
        <v/>
      </c>
      <c r="BG735" s="1786">
        <f>BH5</f>
        <v/>
      </c>
      <c r="BH735" s="1786">
        <f>BJ5</f>
        <v/>
      </c>
      <c r="BI735" s="1785">
        <f>BJ5</f>
        <v/>
      </c>
      <c r="BJ735" s="1786">
        <f>BK5</f>
        <v/>
      </c>
      <c r="BK735" s="1786">
        <f>BL5</f>
        <v/>
      </c>
      <c r="BL735" s="1786">
        <f>BM5</f>
        <v/>
      </c>
      <c r="BM735" s="1786">
        <f>BO5</f>
        <v/>
      </c>
      <c r="BN735" s="1785">
        <f>BO5</f>
        <v/>
      </c>
      <c r="BO735" s="1786">
        <f>BP5</f>
        <v/>
      </c>
      <c r="BP735" s="1786">
        <f>BQ5</f>
        <v/>
      </c>
      <c r="BQ735" s="1787">
        <f>BR5</f>
        <v/>
      </c>
      <c r="BR735" s="1786" t="n"/>
      <c r="BS735" s="1785" t="n"/>
      <c r="BT735" s="1786" t="n"/>
      <c r="BU735" s="1786" t="n"/>
      <c r="BV735" s="1786" t="n"/>
      <c r="BW735" s="1786" t="n"/>
      <c r="BX735" s="1785" t="n"/>
      <c r="BY735" s="1785" t="n"/>
      <c r="BZ735" s="1785" t="n"/>
      <c r="CA735" s="1785" t="n"/>
      <c r="CB735" s="1788" t="n"/>
    </row>
    <row r="736" hidden="1" outlineLevel="3" ht="15" customFormat="1" customHeight="1" s="1359">
      <c r="A736" s="1474" t="inlineStr">
        <is>
          <t>Forward quarterly revenue guidance - low, mm</t>
        </is>
      </c>
      <c r="B736" s="1512" t="n"/>
      <c r="C736" s="1379" t="n"/>
      <c r="D736" s="1379" t="n"/>
      <c r="E736" s="1379" t="n"/>
      <c r="F736" s="1379" t="n"/>
      <c r="G736" s="1361" t="n"/>
      <c r="H736" s="1361" t="n"/>
      <c r="I736" s="1361" t="n"/>
      <c r="J736" s="1361" t="n"/>
      <c r="K736" s="1379" t="n"/>
      <c r="L736" s="1361" t="n"/>
      <c r="M736" s="1361" t="n"/>
      <c r="N736" s="1361" t="n"/>
      <c r="O736" s="1361" t="n"/>
      <c r="P736" s="1379" t="n"/>
      <c r="Q736" s="1361" t="n"/>
      <c r="R736" s="1361" t="n"/>
      <c r="S736" s="1361" t="n"/>
      <c r="T736" s="1361" t="n"/>
      <c r="U736" s="1379" t="n"/>
      <c r="V736" s="1361" t="n"/>
      <c r="W736" s="1361" t="n"/>
      <c r="X736" s="1361" t="n"/>
      <c r="Y736" s="1361" t="n"/>
      <c r="Z736" s="1379" t="n"/>
      <c r="AA736" s="1361" t="n"/>
      <c r="AB736" s="1361" t="n"/>
      <c r="AC736" s="1361">
        <f>AC1334</f>
        <v/>
      </c>
      <c r="AD736" s="1361">
        <f>AD1334</f>
        <v/>
      </c>
      <c r="AE736" s="1379">
        <f>AE1334</f>
        <v/>
      </c>
      <c r="AF736" s="1361">
        <f>AF1334</f>
        <v/>
      </c>
      <c r="AG736" s="1361">
        <f>AG1334</f>
        <v/>
      </c>
      <c r="AH736" s="1361">
        <f>AH1334</f>
        <v/>
      </c>
      <c r="AI736" s="1361">
        <f>AI1334</f>
        <v/>
      </c>
      <c r="AJ736" s="1379">
        <f>AJ1334</f>
        <v/>
      </c>
      <c r="AK736" s="1361">
        <f>AK1334</f>
        <v/>
      </c>
      <c r="AL736" s="1361">
        <f>AL1334</f>
        <v/>
      </c>
      <c r="AM736" s="1361">
        <f>AM1334</f>
        <v/>
      </c>
      <c r="AN736" s="1361">
        <f>AN1334</f>
        <v/>
      </c>
      <c r="AO736" s="1379">
        <f>AO1334</f>
        <v/>
      </c>
      <c r="AP736" s="1361">
        <f>AP1334</f>
        <v/>
      </c>
      <c r="AQ736" s="1361">
        <f>AQ1334</f>
        <v/>
      </c>
      <c r="AR736" s="1361">
        <f>AR1334</f>
        <v/>
      </c>
      <c r="AS736" s="1361">
        <f>AS1334</f>
        <v/>
      </c>
      <c r="AT736" s="1379">
        <f>AT1334</f>
        <v/>
      </c>
      <c r="AU736" s="1361">
        <f>AU1334</f>
        <v/>
      </c>
      <c r="AV736" s="1361">
        <f>AV1334</f>
        <v/>
      </c>
      <c r="AW736" s="1361">
        <f>AW1334</f>
        <v/>
      </c>
      <c r="AX736" s="1361">
        <f>AX1334</f>
        <v/>
      </c>
      <c r="AY736" s="1379">
        <f>AY1334</f>
        <v/>
      </c>
      <c r="AZ736" s="1361">
        <f>AZ1334</f>
        <v/>
      </c>
      <c r="BA736" s="1361">
        <f>BA1334</f>
        <v/>
      </c>
      <c r="BB736" s="1361">
        <f>BB1334</f>
        <v/>
      </c>
      <c r="BC736" s="1361">
        <f>BC1334</f>
        <v/>
      </c>
      <c r="BD736" s="1379">
        <f>BD1334</f>
        <v/>
      </c>
      <c r="BE736" s="1361">
        <f>BE1334</f>
        <v/>
      </c>
      <c r="BF736" s="1361">
        <f>BF1334</f>
        <v/>
      </c>
      <c r="BG736" s="1361">
        <f>BG1334</f>
        <v/>
      </c>
      <c r="BH736" s="1361">
        <f>BH1334</f>
        <v/>
      </c>
      <c r="BI736" s="1379">
        <f>BI1334</f>
        <v/>
      </c>
      <c r="BJ736" s="1361">
        <f>BJ1334</f>
        <v/>
      </c>
      <c r="BK736" s="1361">
        <f>BK1334</f>
        <v/>
      </c>
      <c r="BL736" s="1361">
        <f>BL1334</f>
        <v/>
      </c>
      <c r="BM736" s="1361">
        <f>BM1334</f>
        <v/>
      </c>
      <c r="BN736" s="1379">
        <f>BN1334</f>
        <v/>
      </c>
      <c r="BO736" s="1361">
        <f>BO1334</f>
        <v/>
      </c>
      <c r="BP736" s="1361">
        <f>BP1334</f>
        <v/>
      </c>
      <c r="BQ736" s="1363">
        <f>BQ1334</f>
        <v/>
      </c>
      <c r="BR736" s="1361" t="n"/>
      <c r="BS736" s="1379" t="n"/>
      <c r="BT736" s="1361" t="n"/>
      <c r="BU736" s="1361" t="n"/>
      <c r="BV736" s="1361" t="n"/>
      <c r="BW736" s="1361" t="n"/>
      <c r="BX736" s="1379" t="n"/>
      <c r="BY736" s="1379" t="n"/>
      <c r="BZ736" s="1379" t="n"/>
      <c r="CA736" s="1379" t="n"/>
      <c r="CB736" s="1361" t="n"/>
    </row>
    <row r="737" hidden="1" outlineLevel="3" ht="15" customFormat="1" customHeight="1" s="1359">
      <c r="A737" s="1789" t="inlineStr">
        <is>
          <t>Forward quarterly revenue guidance - high, mm</t>
        </is>
      </c>
      <c r="B737" s="1613" t="n"/>
      <c r="C737" s="1614" t="n"/>
      <c r="D737" s="1614" t="n"/>
      <c r="E737" s="1614" t="n"/>
      <c r="F737" s="1614" t="n"/>
      <c r="G737" s="1615" t="n"/>
      <c r="H737" s="1615" t="n"/>
      <c r="I737" s="1615" t="n"/>
      <c r="J737" s="1615" t="n"/>
      <c r="K737" s="1614" t="n"/>
      <c r="L737" s="1615" t="n"/>
      <c r="M737" s="1615" t="n"/>
      <c r="N737" s="1615" t="n"/>
      <c r="O737" s="1615" t="n"/>
      <c r="P737" s="1614" t="n"/>
      <c r="Q737" s="1615" t="n"/>
      <c r="R737" s="1615" t="n"/>
      <c r="S737" s="1615" t="n"/>
      <c r="T737" s="1615" t="n"/>
      <c r="U737" s="1614" t="n"/>
      <c r="V737" s="1615" t="n"/>
      <c r="W737" s="1615" t="n"/>
      <c r="X737" s="1615" t="n"/>
      <c r="Y737" s="1615" t="n"/>
      <c r="Z737" s="1614" t="n"/>
      <c r="AA737" s="1615" t="n"/>
      <c r="AB737" s="1615" t="n"/>
      <c r="AC737" s="1615">
        <f>AC1335</f>
        <v/>
      </c>
      <c r="AD737" s="1615">
        <f>AD1335</f>
        <v/>
      </c>
      <c r="AE737" s="1614">
        <f>AE1335</f>
        <v/>
      </c>
      <c r="AF737" s="1615">
        <f>AF1335</f>
        <v/>
      </c>
      <c r="AG737" s="1615">
        <f>AG1335</f>
        <v/>
      </c>
      <c r="AH737" s="1615">
        <f>AH1335</f>
        <v/>
      </c>
      <c r="AI737" s="1615">
        <f>AI1335</f>
        <v/>
      </c>
      <c r="AJ737" s="1614">
        <f>AJ1335</f>
        <v/>
      </c>
      <c r="AK737" s="1615">
        <f>AK1335</f>
        <v/>
      </c>
      <c r="AL737" s="1615">
        <f>AL1335</f>
        <v/>
      </c>
      <c r="AM737" s="1615">
        <f>AM1335</f>
        <v/>
      </c>
      <c r="AN737" s="1615">
        <f>AN1335</f>
        <v/>
      </c>
      <c r="AO737" s="1614">
        <f>AO1335</f>
        <v/>
      </c>
      <c r="AP737" s="1615">
        <f>AP1335</f>
        <v/>
      </c>
      <c r="AQ737" s="1615">
        <f>AQ1335</f>
        <v/>
      </c>
      <c r="AR737" s="1615">
        <f>AR1335</f>
        <v/>
      </c>
      <c r="AS737" s="1615">
        <f>AS1335</f>
        <v/>
      </c>
      <c r="AT737" s="1614">
        <f>AT1335</f>
        <v/>
      </c>
      <c r="AU737" s="1615">
        <f>AU1335</f>
        <v/>
      </c>
      <c r="AV737" s="1615">
        <f>AV1335</f>
        <v/>
      </c>
      <c r="AW737" s="1615">
        <f>AW1335</f>
        <v/>
      </c>
      <c r="AX737" s="1615">
        <f>AX1335</f>
        <v/>
      </c>
      <c r="AY737" s="1614">
        <f>AY1335</f>
        <v/>
      </c>
      <c r="AZ737" s="1615">
        <f>AZ1335</f>
        <v/>
      </c>
      <c r="BA737" s="1615">
        <f>BA1335</f>
        <v/>
      </c>
      <c r="BB737" s="1615">
        <f>BB1335</f>
        <v/>
      </c>
      <c r="BC737" s="1615">
        <f>BC1335</f>
        <v/>
      </c>
      <c r="BD737" s="1614">
        <f>BD1335</f>
        <v/>
      </c>
      <c r="BE737" s="1615">
        <f>BE1335</f>
        <v/>
      </c>
      <c r="BF737" s="1615">
        <f>BF1335</f>
        <v/>
      </c>
      <c r="BG737" s="1615">
        <f>BG1335</f>
        <v/>
      </c>
      <c r="BH737" s="1615">
        <f>BH1335</f>
        <v/>
      </c>
      <c r="BI737" s="1614">
        <f>BI1335</f>
        <v/>
      </c>
      <c r="BJ737" s="1615">
        <f>BJ1335</f>
        <v/>
      </c>
      <c r="BK737" s="1615">
        <f>BK1335</f>
        <v/>
      </c>
      <c r="BL737" s="1615">
        <f>BL1335</f>
        <v/>
      </c>
      <c r="BM737" s="1615">
        <f>BM1335</f>
        <v/>
      </c>
      <c r="BN737" s="1614">
        <f>BN1335</f>
        <v/>
      </c>
      <c r="BO737" s="1615">
        <f>BO1335</f>
        <v/>
      </c>
      <c r="BP737" s="1615">
        <f>BP1335</f>
        <v/>
      </c>
      <c r="BQ737" s="1616">
        <f>BQ1335</f>
        <v/>
      </c>
      <c r="BR737" s="1615" t="n"/>
      <c r="BS737" s="1614" t="n"/>
      <c r="BT737" s="1615" t="n"/>
      <c r="BU737" s="1615" t="n"/>
      <c r="BV737" s="1615" t="n"/>
      <c r="BW737" s="1615" t="n"/>
      <c r="BX737" s="1614" t="n"/>
      <c r="BY737" s="1614" t="n"/>
      <c r="BZ737" s="1614" t="n"/>
      <c r="CA737" s="1614" t="n"/>
      <c r="CB737" s="1361" t="n"/>
    </row>
    <row r="738" hidden="1" outlineLevel="2" collapsed="1" ht="15" customFormat="1" customHeight="1" s="1359">
      <c r="A738" s="1447" t="inlineStr">
        <is>
          <t>Forward quarterly revenue guidance - midpoint, mm</t>
        </is>
      </c>
      <c r="B738" s="1517" t="n"/>
      <c r="C738" s="1449" t="n"/>
      <c r="D738" s="1449" t="n"/>
      <c r="E738" s="1449" t="n"/>
      <c r="F738" s="1449" t="n"/>
      <c r="G738" s="1450" t="n"/>
      <c r="H738" s="1450" t="n"/>
      <c r="I738" s="1450" t="n"/>
      <c r="J738" s="1450" t="n"/>
      <c r="K738" s="1449" t="n"/>
      <c r="L738" s="1450" t="n"/>
      <c r="M738" s="1450" t="n"/>
      <c r="N738" s="1450" t="n"/>
      <c r="O738" s="1450" t="n"/>
      <c r="P738" s="1449" t="n"/>
      <c r="Q738" s="1450" t="n"/>
      <c r="R738" s="1450" t="n"/>
      <c r="S738" s="1450" t="n"/>
      <c r="T738" s="1450" t="n"/>
      <c r="U738" s="1449" t="n"/>
      <c r="V738" s="1450" t="n"/>
      <c r="W738" s="1450" t="n"/>
      <c r="X738" s="1450" t="n"/>
      <c r="Y738" s="1450" t="n"/>
      <c r="Z738" s="1449" t="n"/>
      <c r="AA738" s="1450" t="n"/>
      <c r="AB738" s="1450" t="n"/>
      <c r="AC738" s="1450">
        <f>IFERROR(AVERAGE(AC736,AC737),"")</f>
        <v/>
      </c>
      <c r="AD738" s="1450">
        <f>IFERROR(AVERAGE(AD736,AD737),"")</f>
        <v/>
      </c>
      <c r="AE738" s="1449">
        <f>IFERROR(AVERAGE(AE736,AE737),"")</f>
        <v/>
      </c>
      <c r="AF738" s="1450">
        <f>IFERROR(AVERAGE(AF736,AF737),"")</f>
        <v/>
      </c>
      <c r="AG738" s="1450">
        <f>IFERROR(AVERAGE(AG736,AG737),"")</f>
        <v/>
      </c>
      <c r="AH738" s="1450">
        <f>IFERROR(AVERAGE(AH736,AH737),"")</f>
        <v/>
      </c>
      <c r="AI738" s="1450">
        <f>IFERROR(AVERAGE(AI736,AI737),"")</f>
        <v/>
      </c>
      <c r="AJ738" s="1449">
        <f>IFERROR(AVERAGE(AJ736,AJ737),"")</f>
        <v/>
      </c>
      <c r="AK738" s="1450">
        <f>IFERROR(AVERAGE(AK736,AK737),"")</f>
        <v/>
      </c>
      <c r="AL738" s="1450">
        <f>IFERROR(AVERAGE(AL736,AL737),"")</f>
        <v/>
      </c>
      <c r="AM738" s="1450">
        <f>IFERROR(AVERAGE(AM736,AM737),"")</f>
        <v/>
      </c>
      <c r="AN738" s="1450">
        <f>IFERROR(AVERAGE(AN736,AN737),"")</f>
        <v/>
      </c>
      <c r="AO738" s="1449">
        <f>IFERROR(AVERAGE(AO736,AO737),"")</f>
        <v/>
      </c>
      <c r="AP738" s="1450">
        <f>IFERROR(AVERAGE(AP736,AP737),"")</f>
        <v/>
      </c>
      <c r="AQ738" s="1450">
        <f>IFERROR(AVERAGE(AQ736,AQ737),"")</f>
        <v/>
      </c>
      <c r="AR738" s="1450">
        <f>IFERROR(AVERAGE(AR736,AR737),"")</f>
        <v/>
      </c>
      <c r="AS738" s="1450">
        <f>IFERROR(AVERAGE(AS736,AS737),"")</f>
        <v/>
      </c>
      <c r="AT738" s="1449">
        <f>IFERROR(AVERAGE(AT736,AT737),"")</f>
        <v/>
      </c>
      <c r="AU738" s="1450">
        <f>IFERROR(AVERAGE(AU736,AU737),"")</f>
        <v/>
      </c>
      <c r="AV738" s="1450">
        <f>IFERROR(AVERAGE(AV736,AV737),"")</f>
        <v/>
      </c>
      <c r="AW738" s="1450">
        <f>IFERROR(AVERAGE(AW736,AW737),"")</f>
        <v/>
      </c>
      <c r="AX738" s="1450">
        <f>IFERROR(AVERAGE(AX736,AX737),"")</f>
        <v/>
      </c>
      <c r="AY738" s="1449">
        <f>IFERROR(AVERAGE(AY736,AY737),"")</f>
        <v/>
      </c>
      <c r="AZ738" s="1450">
        <f>IFERROR(AVERAGE(AZ736,AZ737),"")</f>
        <v/>
      </c>
      <c r="BA738" s="1450">
        <f>IFERROR(AVERAGE(BA736,BA737),"")</f>
        <v/>
      </c>
      <c r="BB738" s="1450">
        <f>IFERROR(AVERAGE(BB736,BB737),"")</f>
        <v/>
      </c>
      <c r="BC738" s="1450">
        <f>IFERROR(AVERAGE(BC736,BC737),"")</f>
        <v/>
      </c>
      <c r="BD738" s="1449">
        <f>IFERROR(AVERAGE(BD736,BD737),"")</f>
        <v/>
      </c>
      <c r="BE738" s="1450">
        <f>IFERROR(AVERAGE(BE736,BE737),"")</f>
        <v/>
      </c>
      <c r="BF738" s="1450">
        <f>IFERROR(AVERAGE(BF736,BF737),"")</f>
        <v/>
      </c>
      <c r="BG738" s="1450">
        <f>IFERROR(AVERAGE(BG736,BG737),"")</f>
        <v/>
      </c>
      <c r="BH738" s="1450">
        <f>IFERROR(AVERAGE(BH736,BH737),"")</f>
        <v/>
      </c>
      <c r="BI738" s="1449">
        <f>IFERROR(AVERAGE(BI736,BI737),"")</f>
        <v/>
      </c>
      <c r="BJ738" s="1450">
        <f>IFERROR(AVERAGE(BJ736,BJ737),"")</f>
        <v/>
      </c>
      <c r="BK738" s="1450">
        <f>IFERROR(AVERAGE(BK736,BK737),"")</f>
        <v/>
      </c>
      <c r="BL738" s="1450">
        <f>IFERROR(AVERAGE(BL736,BL737),"")</f>
        <v/>
      </c>
      <c r="BM738" s="1450">
        <f>IFERROR(AVERAGE(BM736,BM737),"")</f>
        <v/>
      </c>
      <c r="BN738" s="1449">
        <f>IFERROR(AVERAGE(BN736,BN737),"")</f>
        <v/>
      </c>
      <c r="BO738" s="1450">
        <f>IFERROR(AVERAGE(BO736,BO737),"")</f>
        <v/>
      </c>
      <c r="BP738" s="1450">
        <f>IFERROR(AVERAGE(BP736,BP737),"")</f>
        <v/>
      </c>
      <c r="BQ738" s="1451">
        <f>IFERROR(AVERAGE(BQ736,BQ737),"")</f>
        <v/>
      </c>
      <c r="BR738" s="1450" t="n"/>
      <c r="BS738" s="1449" t="n"/>
      <c r="BT738" s="1450" t="n"/>
      <c r="BU738" s="1450" t="n"/>
      <c r="BV738" s="1450" t="n"/>
      <c r="BW738" s="1450" t="n"/>
      <c r="BX738" s="1449" t="n"/>
      <c r="BY738" s="1449" t="n"/>
      <c r="BZ738" s="1449" t="n"/>
      <c r="CA738" s="1449" t="n"/>
      <c r="CB738" s="1450" t="n"/>
    </row>
    <row r="739" hidden="1" outlineLevel="2" ht="15" customFormat="1" customHeight="1" s="1359">
      <c r="A739" s="1474" t="inlineStr">
        <is>
          <t>Forward quarterly revenue guidance variance, mm</t>
        </is>
      </c>
      <c r="B739" s="1512" t="n"/>
      <c r="C739" s="1379" t="n"/>
      <c r="D739" s="1379" t="n"/>
      <c r="E739" s="1379" t="n"/>
      <c r="F739" s="1379" t="n"/>
      <c r="G739" s="1361" t="n"/>
      <c r="H739" s="1361" t="n"/>
      <c r="I739" s="1361" t="n"/>
      <c r="J739" s="1361" t="n"/>
      <c r="K739" s="1379" t="n"/>
      <c r="L739" s="1361" t="n"/>
      <c r="M739" s="1361" t="n"/>
      <c r="N739" s="1361" t="n"/>
      <c r="O739" s="1361" t="n"/>
      <c r="P739" s="1379" t="n"/>
      <c r="Q739" s="1361" t="n"/>
      <c r="R739" s="1361" t="n"/>
      <c r="S739" s="1361" t="n"/>
      <c r="T739" s="1361" t="n"/>
      <c r="U739" s="1379" t="n"/>
      <c r="V739" s="1361" t="n"/>
      <c r="W739" s="1361" t="n"/>
      <c r="X739" s="1361" t="n"/>
      <c r="Y739" s="1361" t="n"/>
      <c r="Z739" s="1379" t="n"/>
      <c r="AA739" s="1361" t="n"/>
      <c r="AB739" s="1361" t="n"/>
      <c r="AC739" s="1361">
        <f>IFERROR(ABS(AC737-AC736),"")</f>
        <v/>
      </c>
      <c r="AD739" s="1361">
        <f>IFERROR(ABS(AD737-AD736),"")</f>
        <v/>
      </c>
      <c r="AE739" s="1379">
        <f>IFERROR(ABS(AE737-AE736),"")</f>
        <v/>
      </c>
      <c r="AF739" s="1361">
        <f>IFERROR(ABS(AF737-AF736),"")</f>
        <v/>
      </c>
      <c r="AG739" s="1361">
        <f>IFERROR(ABS(AG737-AG736),"")</f>
        <v/>
      </c>
      <c r="AH739" s="1361">
        <f>IFERROR(ABS(AH737-AH736),"")</f>
        <v/>
      </c>
      <c r="AI739" s="1361">
        <f>IFERROR(ABS(AI737-AI736),"")</f>
        <v/>
      </c>
      <c r="AJ739" s="1379">
        <f>IFERROR(ABS(AJ737-AJ736),"")</f>
        <v/>
      </c>
      <c r="AK739" s="1361">
        <f>IFERROR(ABS(AK737-AK736),"")</f>
        <v/>
      </c>
      <c r="AL739" s="1361">
        <f>IFERROR(ABS(AL737-AL736),"")</f>
        <v/>
      </c>
      <c r="AM739" s="1361">
        <f>IFERROR(ABS(AM737-AM736),"")</f>
        <v/>
      </c>
      <c r="AN739" s="1361">
        <f>IFERROR(ABS(AN737-AN736),"")</f>
        <v/>
      </c>
      <c r="AO739" s="1379">
        <f>IFERROR(ABS(AO737-AO736),"")</f>
        <v/>
      </c>
      <c r="AP739" s="1361">
        <f>IFERROR(ABS(AP737-AP736),"")</f>
        <v/>
      </c>
      <c r="AQ739" s="1361">
        <f>IFERROR(ABS(AQ737-AQ736),"")</f>
        <v/>
      </c>
      <c r="AR739" s="1361">
        <f>IFERROR(ABS(AR737-AR736),"")</f>
        <v/>
      </c>
      <c r="AS739" s="1361">
        <f>IFERROR(ABS(AS737-AS736),"")</f>
        <v/>
      </c>
      <c r="AT739" s="1379">
        <f>IFERROR(ABS(AT737-AT736),"")</f>
        <v/>
      </c>
      <c r="AU739" s="1361">
        <f>IFERROR(ABS(AU737-AU736),"")</f>
        <v/>
      </c>
      <c r="AV739" s="1361">
        <f>IFERROR(ABS(AV737-AV736),"")</f>
        <v/>
      </c>
      <c r="AW739" s="1361">
        <f>IFERROR(ABS(AW737-AW736),"")</f>
        <v/>
      </c>
      <c r="AX739" s="1361">
        <f>IFERROR(ABS(AX737-AX736),"")</f>
        <v/>
      </c>
      <c r="AY739" s="1379">
        <f>IFERROR(ABS(AY737-AY736),"")</f>
        <v/>
      </c>
      <c r="AZ739" s="1361">
        <f>IFERROR(ABS(AZ737-AZ736),"")</f>
        <v/>
      </c>
      <c r="BA739" s="1361">
        <f>IFERROR(ABS(BA737-BA736),"")</f>
        <v/>
      </c>
      <c r="BB739" s="1361">
        <f>IFERROR(ABS(BB737-BB736),"")</f>
        <v/>
      </c>
      <c r="BC739" s="1361">
        <f>IFERROR(ABS(BC737-BC736),"")</f>
        <v/>
      </c>
      <c r="BD739" s="1379">
        <f>IFERROR(ABS(BD737-BD736),"")</f>
        <v/>
      </c>
      <c r="BE739" s="1361">
        <f>IFERROR(ABS(BE737-BE736),"")</f>
        <v/>
      </c>
      <c r="BF739" s="1361">
        <f>IFERROR(ABS(BF737-BF736),"")</f>
        <v/>
      </c>
      <c r="BG739" s="1361">
        <f>IFERROR(ABS(BG737-BG736),"")</f>
        <v/>
      </c>
      <c r="BH739" s="1361">
        <f>IFERROR(ABS(BH737-BH736),"")</f>
        <v/>
      </c>
      <c r="BI739" s="1379">
        <f>IFERROR(ABS(BI737-BI736),"")</f>
        <v/>
      </c>
      <c r="BJ739" s="1361">
        <f>IFERROR(ABS(BJ737-BJ736),"")</f>
        <v/>
      </c>
      <c r="BK739" s="1361">
        <f>IFERROR(ABS(BK737-BK736),"")</f>
        <v/>
      </c>
      <c r="BL739" s="1361">
        <f>IFERROR(ABS(BL737-BL736),"")</f>
        <v/>
      </c>
      <c r="BM739" s="1361">
        <f>IFERROR(ABS(BM737-BM736),"")</f>
        <v/>
      </c>
      <c r="BN739" s="1379">
        <f>IFERROR(ABS(BN737-BN736),"")</f>
        <v/>
      </c>
      <c r="BO739" s="1361">
        <f>IFERROR(ABS(BO737-BO736),"")</f>
        <v/>
      </c>
      <c r="BP739" s="1361">
        <f>IFERROR(ABS(BP737-BP736),"")</f>
        <v/>
      </c>
      <c r="BQ739" s="1363">
        <f>IFERROR(ABS(BQ737-BQ736),"")</f>
        <v/>
      </c>
      <c r="BR739" s="1361" t="n"/>
      <c r="BS739" s="1379" t="n"/>
      <c r="BT739" s="1361" t="n"/>
      <c r="BU739" s="1361" t="n"/>
      <c r="BV739" s="1361" t="n"/>
      <c r="BW739" s="1361" t="n"/>
      <c r="BX739" s="1379" t="n"/>
      <c r="BY739" s="1379" t="n"/>
      <c r="BZ739" s="1379" t="n"/>
      <c r="CA739" s="1379" t="n"/>
      <c r="CB739" s="1361" t="n"/>
    </row>
    <row r="740" hidden="1" outlineLevel="2" ht="15" customFormat="1" customHeight="1" s="1359">
      <c r="A740" s="1486" t="inlineStr">
        <is>
          <t>Forward quarterly revenue guidance variance (+/-), %</t>
        </is>
      </c>
      <c r="B740" s="1512" t="n"/>
      <c r="C740" s="1463" t="n"/>
      <c r="D740" s="1463" t="n"/>
      <c r="E740" s="1463" t="n"/>
      <c r="F740" s="1463" t="n"/>
      <c r="G740" s="1466" t="n"/>
      <c r="H740" s="1466" t="n"/>
      <c r="I740" s="1466" t="n"/>
      <c r="J740" s="1466" t="n"/>
      <c r="K740" s="1463" t="n"/>
      <c r="L740" s="1466" t="n"/>
      <c r="M740" s="1466" t="n"/>
      <c r="N740" s="1466" t="n"/>
      <c r="O740" s="1466" t="n"/>
      <c r="P740" s="1463" t="n"/>
      <c r="Q740" s="1466" t="n"/>
      <c r="R740" s="1466" t="n"/>
      <c r="S740" s="1466" t="n"/>
      <c r="T740" s="1466" t="n"/>
      <c r="U740" s="1463" t="n"/>
      <c r="V740" s="1466" t="n"/>
      <c r="W740" s="1466" t="n"/>
      <c r="X740" s="1466" t="n"/>
      <c r="Y740" s="1466" t="n"/>
      <c r="Z740" s="1463" t="n"/>
      <c r="AA740" s="1466" t="n"/>
      <c r="AB740" s="1466" t="n"/>
      <c r="AC740" s="1466">
        <f>IFERROR(ABS((AC737-AC738)/AC738),"")</f>
        <v/>
      </c>
      <c r="AD740" s="1466">
        <f>IFERROR(ABS((AD737-AD738)/AD738),"")</f>
        <v/>
      </c>
      <c r="AE740" s="1463">
        <f>IFERROR(ABS((AE737-AE738)/AE738),"")</f>
        <v/>
      </c>
      <c r="AF740" s="1466">
        <f>IFERROR(ABS((AF737-AF738)/AF738),"")</f>
        <v/>
      </c>
      <c r="AG740" s="1466">
        <f>IFERROR(ABS((AG737-AG738)/AG738),"")</f>
        <v/>
      </c>
      <c r="AH740" s="1466">
        <f>IFERROR(ABS((AH737-AH738)/AH738),"")</f>
        <v/>
      </c>
      <c r="AI740" s="1466">
        <f>IFERROR(ABS((AI737-AI738)/AI738),"")</f>
        <v/>
      </c>
      <c r="AJ740" s="1463">
        <f>IFERROR(ABS((AJ737-AJ738)/AJ738),"")</f>
        <v/>
      </c>
      <c r="AK740" s="1466">
        <f>IFERROR(ABS((AK737-AK738)/AK738),"")</f>
        <v/>
      </c>
      <c r="AL740" s="1466">
        <f>IFERROR(ABS((AL737-AL738)/AL738),"")</f>
        <v/>
      </c>
      <c r="AM740" s="1466">
        <f>IFERROR(ABS((AM737-AM738)/AM738),"")</f>
        <v/>
      </c>
      <c r="AN740" s="1466">
        <f>IFERROR(ABS((AN737-AN738)/AN738),"")</f>
        <v/>
      </c>
      <c r="AO740" s="1463">
        <f>IFERROR(ABS((AO737-AO738)/AO738),"")</f>
        <v/>
      </c>
      <c r="AP740" s="1466">
        <f>IFERROR(ABS((AP737-AP738)/AP738),"")</f>
        <v/>
      </c>
      <c r="AQ740" s="1466">
        <f>IFERROR(ABS((AQ737-AQ738)/AQ738),"")</f>
        <v/>
      </c>
      <c r="AR740" s="1466">
        <f>IFERROR(ABS((AR737-AR738)/AR738),"")</f>
        <v/>
      </c>
      <c r="AS740" s="1466">
        <f>IFERROR(ABS((AS737-AS738)/AS738),"")</f>
        <v/>
      </c>
      <c r="AT740" s="1463">
        <f>IFERROR(ABS((AT737-AT738)/AT738),"")</f>
        <v/>
      </c>
      <c r="AU740" s="1466">
        <f>IFERROR(ABS((AU737-AU738)/AU738),"")</f>
        <v/>
      </c>
      <c r="AV740" s="1466">
        <f>IFERROR(ABS((AV737-AV738)/AV738),"")</f>
        <v/>
      </c>
      <c r="AW740" s="1466">
        <f>IFERROR(ABS((AW737-AW738)/AW738),"")</f>
        <v/>
      </c>
      <c r="AX740" s="1466">
        <f>IFERROR(ABS((AX737-AX738)/AX738),"")</f>
        <v/>
      </c>
      <c r="AY740" s="1463">
        <f>IFERROR(ABS((AY737-AY738)/AY738),"")</f>
        <v/>
      </c>
      <c r="AZ740" s="1466">
        <f>IFERROR(ABS((AZ737-AZ738)/AZ738),"")</f>
        <v/>
      </c>
      <c r="BA740" s="1466">
        <f>IFERROR(ABS((BA737-BA738)/BA738),"")</f>
        <v/>
      </c>
      <c r="BB740" s="1466">
        <f>IFERROR(ABS((BB737-BB738)/BB738),"")</f>
        <v/>
      </c>
      <c r="BC740" s="1466">
        <f>IFERROR(ABS((BC737-BC738)/BC738),"")</f>
        <v/>
      </c>
      <c r="BD740" s="1463">
        <f>IFERROR(ABS((BD737-BD738)/BD738),"")</f>
        <v/>
      </c>
      <c r="BE740" s="1466">
        <f>IFERROR(ABS((BE737-BE738)/BE738),"")</f>
        <v/>
      </c>
      <c r="BF740" s="1466">
        <f>IFERROR(ABS((BF737-BF738)/BF738),"")</f>
        <v/>
      </c>
      <c r="BG740" s="1466">
        <f>IFERROR(ABS((BG737-BG738)/BG738),"")</f>
        <v/>
      </c>
      <c r="BH740" s="1466">
        <f>IFERROR(ABS((BH737-BH738)/BH738),"")</f>
        <v/>
      </c>
      <c r="BI740" s="1463">
        <f>IFERROR(ABS((BI737-BI738)/BI738),"")</f>
        <v/>
      </c>
      <c r="BJ740" s="1466">
        <f>IFERROR(ABS((BJ737-BJ738)/BJ738),"")</f>
        <v/>
      </c>
      <c r="BK740" s="1466">
        <f>IFERROR(ABS((BK737-BK738)/BK738),"")</f>
        <v/>
      </c>
      <c r="BL740" s="1466">
        <f>IFERROR(ABS((BL737-BL738)/BL738),"")</f>
        <v/>
      </c>
      <c r="BM740" s="1466">
        <f>IFERROR(ABS((BM737-BM738)/BM738),"")</f>
        <v/>
      </c>
      <c r="BN740" s="1463">
        <f>IFERROR(ABS((BN737-BN738)/BN738),"")</f>
        <v/>
      </c>
      <c r="BO740" s="1466">
        <f>IFERROR(ABS((BO737-BO738)/BO738),"")</f>
        <v/>
      </c>
      <c r="BP740" s="1466">
        <f>IFERROR(ABS((BP737-BP738)/BP738),"")</f>
        <v/>
      </c>
      <c r="BQ740" s="1491">
        <f>IFERROR(ABS((BQ737-BQ738)/BQ738),"")</f>
        <v/>
      </c>
      <c r="BR740" s="1466" t="n"/>
      <c r="BS740" s="1463" t="n"/>
      <c r="BT740" s="1466" t="n"/>
      <c r="BU740" s="1466" t="n"/>
      <c r="BV740" s="1466" t="n"/>
      <c r="BW740" s="1466" t="n"/>
      <c r="BX740" s="1463" t="n"/>
      <c r="BY740" s="1463" t="n"/>
      <c r="BZ740" s="1463" t="n"/>
      <c r="CA740" s="1463" t="n"/>
      <c r="CB740" s="1466" t="n"/>
    </row>
    <row r="741" hidden="1" outlineLevel="3" ht="15" customFormat="1" customHeight="1" s="1359">
      <c r="A741" s="1476" t="inlineStr">
        <is>
          <t>Forward quarterly guided Q/Q revenue growth - low, %</t>
        </is>
      </c>
      <c r="B741" s="1590" t="n"/>
      <c r="C741" s="1382" t="n"/>
      <c r="D741" s="1382" t="n"/>
      <c r="E741" s="1382" t="n"/>
      <c r="F741" s="1382" t="n"/>
      <c r="G741" s="1384" t="n"/>
      <c r="H741" s="1384" t="n"/>
      <c r="I741" s="1384" t="n"/>
      <c r="J741" s="1384" t="n"/>
      <c r="K741" s="1382" t="n"/>
      <c r="L741" s="1384" t="n"/>
      <c r="M741" s="1384" t="n"/>
      <c r="N741" s="1384" t="n"/>
      <c r="O741" s="1384" t="n"/>
      <c r="P741" s="1382" t="n"/>
      <c r="Q741" s="1384" t="n"/>
      <c r="R741" s="1384" t="n"/>
      <c r="S741" s="1384" t="n"/>
      <c r="T741" s="1384" t="n"/>
      <c r="U741" s="1382" t="n"/>
      <c r="V741" s="1384" t="n"/>
      <c r="W741" s="1384" t="n"/>
      <c r="X741" s="1384" t="n"/>
      <c r="Y741" s="1384" t="n"/>
      <c r="Z741" s="1382" t="n"/>
      <c r="AA741" s="1384" t="n"/>
      <c r="AB741" s="1384" t="n"/>
      <c r="AC741" s="1384">
        <f>AC736/AC723-1</f>
        <v/>
      </c>
      <c r="AD741" s="1384">
        <f>AD736/AD723-1</f>
        <v/>
      </c>
      <c r="AE741" s="1382">
        <f>AE736/AD723-1</f>
        <v/>
      </c>
      <c r="AF741" s="1384">
        <f>AF736/AF723-1</f>
        <v/>
      </c>
      <c r="AG741" s="1384">
        <f>AG736/AG723-1</f>
        <v/>
      </c>
      <c r="AH741" s="1384">
        <f>AH736/AH723-1</f>
        <v/>
      </c>
      <c r="AI741" s="1384">
        <f>AI736/AI723-1</f>
        <v/>
      </c>
      <c r="AJ741" s="1382">
        <f>AJ736/AI723-1</f>
        <v/>
      </c>
      <c r="AK741" s="1384">
        <f>AK736/AK723-1</f>
        <v/>
      </c>
      <c r="AL741" s="1384">
        <f>AL736/AL723-1</f>
        <v/>
      </c>
      <c r="AM741" s="1384">
        <f>AM736/AM723-1</f>
        <v/>
      </c>
      <c r="AN741" s="1384">
        <f>AN736/AN723-1</f>
        <v/>
      </c>
      <c r="AO741" s="1382">
        <f>AO736/AN723-1</f>
        <v/>
      </c>
      <c r="AP741" s="1384">
        <f>AP736/AP723-1</f>
        <v/>
      </c>
      <c r="AQ741" s="1384">
        <f>AQ736/AQ723-1</f>
        <v/>
      </c>
      <c r="AR741" s="1384">
        <f>AR736/AR723-1</f>
        <v/>
      </c>
      <c r="AS741" s="1384">
        <f>AS736/AS723-1</f>
        <v/>
      </c>
      <c r="AT741" s="1382">
        <f>AT736/AS723-1</f>
        <v/>
      </c>
      <c r="AU741" s="1384">
        <f>AU736/AU723-1</f>
        <v/>
      </c>
      <c r="AV741" s="1384">
        <f>AV736/AV723-1</f>
        <v/>
      </c>
      <c r="AW741" s="1384">
        <f>AW736/AW723-1</f>
        <v/>
      </c>
      <c r="AX741" s="1384">
        <f>AX736/AX723-1</f>
        <v/>
      </c>
      <c r="AY741" s="1382">
        <f>AY736/AX723-1</f>
        <v/>
      </c>
      <c r="AZ741" s="1384">
        <f>AZ736/AZ723-1</f>
        <v/>
      </c>
      <c r="BA741" s="1384">
        <f>BA736/BA723-1</f>
        <v/>
      </c>
      <c r="BB741" s="1384">
        <f>BB736/BB723-1</f>
        <v/>
      </c>
      <c r="BC741" s="1384">
        <f>BC736/BC723-1</f>
        <v/>
      </c>
      <c r="BD741" s="1382">
        <f>BD736/BC723-1</f>
        <v/>
      </c>
      <c r="BE741" s="1384">
        <f>BE736/BE723-1</f>
        <v/>
      </c>
      <c r="BF741" s="1384">
        <f>BF736/BF723-1</f>
        <v/>
      </c>
      <c r="BG741" s="1384">
        <f>BG736/BG723-1</f>
        <v/>
      </c>
      <c r="BH741" s="1384">
        <f>BH736/BH723-1</f>
        <v/>
      </c>
      <c r="BI741" s="1382">
        <f>BI736/BH723-1</f>
        <v/>
      </c>
      <c r="BJ741" s="1384">
        <f>BJ736/BJ723-1</f>
        <v/>
      </c>
      <c r="BK741" s="1384">
        <f>BK736/BK723-1</f>
        <v/>
      </c>
      <c r="BL741" s="1384">
        <f>BL736/BL723-1</f>
        <v/>
      </c>
      <c r="BM741" s="1384">
        <f>BM736/BM723-1</f>
        <v/>
      </c>
      <c r="BN741" s="1382">
        <f>BN736/BM723-1</f>
        <v/>
      </c>
      <c r="BO741" s="1384">
        <f>BO736/BO723-1</f>
        <v/>
      </c>
      <c r="BP741" s="1384">
        <f>BP736/BP723-1</f>
        <v/>
      </c>
      <c r="BQ741" s="1386">
        <f>BQ736/BQ723-1</f>
        <v/>
      </c>
      <c r="BR741" s="1384" t="n"/>
      <c r="BS741" s="1382" t="n"/>
      <c r="BT741" s="1384" t="n"/>
      <c r="BU741" s="1384" t="n"/>
      <c r="BV741" s="1384" t="n"/>
      <c r="BW741" s="1384" t="n"/>
      <c r="BX741" s="1382" t="n"/>
      <c r="BY741" s="1382" t="n"/>
      <c r="BZ741" s="1382" t="n"/>
      <c r="CA741" s="1382" t="n"/>
      <c r="CB741" s="1384" t="n"/>
    </row>
    <row r="742" hidden="1" outlineLevel="3" ht="15" customFormat="1" customHeight="1" s="1359">
      <c r="A742" s="1790" t="inlineStr">
        <is>
          <t>Forward quarterly guided Q/Q revenue growth - high, %</t>
        </is>
      </c>
      <c r="B742" s="1774" t="n"/>
      <c r="C742" s="1775" t="n"/>
      <c r="D742" s="1775" t="n"/>
      <c r="E742" s="1775" t="n"/>
      <c r="F742" s="1775" t="n"/>
      <c r="G742" s="1776" t="n"/>
      <c r="H742" s="1776" t="n"/>
      <c r="I742" s="1776" t="n"/>
      <c r="J742" s="1776" t="n"/>
      <c r="K742" s="1775" t="n"/>
      <c r="L742" s="1776" t="n"/>
      <c r="M742" s="1776" t="n"/>
      <c r="N742" s="1776" t="n"/>
      <c r="O742" s="1776" t="n"/>
      <c r="P742" s="1775" t="n"/>
      <c r="Q742" s="1776" t="n"/>
      <c r="R742" s="1776" t="n"/>
      <c r="S742" s="1776" t="n"/>
      <c r="T742" s="1776" t="n"/>
      <c r="U742" s="1775" t="n"/>
      <c r="V742" s="1776" t="n"/>
      <c r="W742" s="1776" t="n"/>
      <c r="X742" s="1776" t="n"/>
      <c r="Y742" s="1776" t="n"/>
      <c r="Z742" s="1775" t="n"/>
      <c r="AA742" s="1776" t="n"/>
      <c r="AB742" s="1776" t="n"/>
      <c r="AC742" s="1776">
        <f>AC737/AC723-1</f>
        <v/>
      </c>
      <c r="AD742" s="1776">
        <f>AD737/AD723-1</f>
        <v/>
      </c>
      <c r="AE742" s="1775">
        <f>AE737/AD723-1</f>
        <v/>
      </c>
      <c r="AF742" s="1776">
        <f>AF737/AF723-1</f>
        <v/>
      </c>
      <c r="AG742" s="1776">
        <f>AG737/AG723-1</f>
        <v/>
      </c>
      <c r="AH742" s="1776">
        <f>AH737/AH723-1</f>
        <v/>
      </c>
      <c r="AI742" s="1776">
        <f>AI737/AI723-1</f>
        <v/>
      </c>
      <c r="AJ742" s="1775">
        <f>AJ737/AI723-1</f>
        <v/>
      </c>
      <c r="AK742" s="1776">
        <f>AK737/AK723-1</f>
        <v/>
      </c>
      <c r="AL742" s="1776">
        <f>AL737/AL723-1</f>
        <v/>
      </c>
      <c r="AM742" s="1776">
        <f>AM737/AM723-1</f>
        <v/>
      </c>
      <c r="AN742" s="1776">
        <f>AN737/AN723-1</f>
        <v/>
      </c>
      <c r="AO742" s="1775">
        <f>AO737/AN723-1</f>
        <v/>
      </c>
      <c r="AP742" s="1776">
        <f>AP737/AP723-1</f>
        <v/>
      </c>
      <c r="AQ742" s="1776">
        <f>AQ737/AQ723-1</f>
        <v/>
      </c>
      <c r="AR742" s="1776">
        <f>AR737/AR723-1</f>
        <v/>
      </c>
      <c r="AS742" s="1776">
        <f>AS737/AS723-1</f>
        <v/>
      </c>
      <c r="AT742" s="1775">
        <f>AT737/AS723-1</f>
        <v/>
      </c>
      <c r="AU742" s="1776">
        <f>AU737/AU723-1</f>
        <v/>
      </c>
      <c r="AV742" s="1776">
        <f>AV737/AV723-1</f>
        <v/>
      </c>
      <c r="AW742" s="1776">
        <f>AW737/AW723-1</f>
        <v/>
      </c>
      <c r="AX742" s="1776">
        <f>AX737/AX723-1</f>
        <v/>
      </c>
      <c r="AY742" s="1775">
        <f>AY737/AX723-1</f>
        <v/>
      </c>
      <c r="AZ742" s="1776">
        <f>AZ737/AZ723-1</f>
        <v/>
      </c>
      <c r="BA742" s="1776">
        <f>BA737/BA723-1</f>
        <v/>
      </c>
      <c r="BB742" s="1776">
        <f>BB737/BB723-1</f>
        <v/>
      </c>
      <c r="BC742" s="1776">
        <f>BC737/BC723-1</f>
        <v/>
      </c>
      <c r="BD742" s="1775">
        <f>BD737/BC723-1</f>
        <v/>
      </c>
      <c r="BE742" s="1776">
        <f>BE737/BE723-1</f>
        <v/>
      </c>
      <c r="BF742" s="1776">
        <f>BF737/BF723-1</f>
        <v/>
      </c>
      <c r="BG742" s="1776">
        <f>BG737/BG723-1</f>
        <v/>
      </c>
      <c r="BH742" s="1776">
        <f>BH737/BH723-1</f>
        <v/>
      </c>
      <c r="BI742" s="1775">
        <f>BI737/BH723-1</f>
        <v/>
      </c>
      <c r="BJ742" s="1776">
        <f>BJ737/BJ723-1</f>
        <v/>
      </c>
      <c r="BK742" s="1776">
        <f>BK737/BK723-1</f>
        <v/>
      </c>
      <c r="BL742" s="1776">
        <f>BL737/BL723-1</f>
        <v/>
      </c>
      <c r="BM742" s="1776">
        <f>BM737/BM723-1</f>
        <v/>
      </c>
      <c r="BN742" s="1775">
        <f>BN737/BM723-1</f>
        <v/>
      </c>
      <c r="BO742" s="1776">
        <f>BO737/BO723-1</f>
        <v/>
      </c>
      <c r="BP742" s="1776">
        <f>BP737/BP723-1</f>
        <v/>
      </c>
      <c r="BQ742" s="1777">
        <f>BQ737/BQ723-1</f>
        <v/>
      </c>
      <c r="BR742" s="1776" t="n"/>
      <c r="BS742" s="1775" t="n"/>
      <c r="BT742" s="1776" t="n"/>
      <c r="BU742" s="1776" t="n"/>
      <c r="BV742" s="1776" t="n"/>
      <c r="BW742" s="1776" t="n"/>
      <c r="BX742" s="1775" t="n"/>
      <c r="BY742" s="1775" t="n"/>
      <c r="BZ742" s="1775" t="n"/>
      <c r="CA742" s="1775" t="n"/>
      <c r="CB742" s="1384" t="n"/>
    </row>
    <row r="743" hidden="1" outlineLevel="2" collapsed="1" ht="15" customFormat="1" customHeight="1" s="1359">
      <c r="A743" s="1501" t="inlineStr">
        <is>
          <t>Forward quarterly guided Q/Q revenue growth - midpoint, %</t>
        </is>
      </c>
      <c r="B743" s="1590" t="n"/>
      <c r="C743" s="1382" t="n"/>
      <c r="D743" s="1382" t="n"/>
      <c r="E743" s="1382" t="n"/>
      <c r="F743" s="1382" t="n"/>
      <c r="G743" s="1384" t="n"/>
      <c r="H743" s="1384" t="n"/>
      <c r="I743" s="1384" t="n"/>
      <c r="J743" s="1384" t="n"/>
      <c r="K743" s="1382" t="n"/>
      <c r="L743" s="1384" t="n"/>
      <c r="M743" s="1384" t="n"/>
      <c r="N743" s="1384" t="n"/>
      <c r="O743" s="1384" t="n"/>
      <c r="P743" s="1382" t="n"/>
      <c r="Q743" s="1384" t="n"/>
      <c r="R743" s="1384" t="n"/>
      <c r="S743" s="1384" t="n"/>
      <c r="T743" s="1384" t="n"/>
      <c r="U743" s="1382" t="n"/>
      <c r="V743" s="1384" t="n"/>
      <c r="W743" s="1384" t="n"/>
      <c r="X743" s="1384" t="n"/>
      <c r="Y743" s="1384" t="n"/>
      <c r="Z743" s="1382" t="n"/>
      <c r="AA743" s="1384" t="n"/>
      <c r="AB743" s="1384" t="n"/>
      <c r="AC743" s="1384">
        <f>AC738/AC723-1</f>
        <v/>
      </c>
      <c r="AD743" s="1384">
        <f>AD738/AD723-1</f>
        <v/>
      </c>
      <c r="AE743" s="1382">
        <f>AE738/AD723-1</f>
        <v/>
      </c>
      <c r="AF743" s="1384">
        <f>AF738/AF723-1</f>
        <v/>
      </c>
      <c r="AG743" s="1384">
        <f>AG738/AG723-1</f>
        <v/>
      </c>
      <c r="AH743" s="1384">
        <f>AH738/AH723-1</f>
        <v/>
      </c>
      <c r="AI743" s="1384">
        <f>AI738/AI723-1</f>
        <v/>
      </c>
      <c r="AJ743" s="1382">
        <f>AJ738/AI723-1</f>
        <v/>
      </c>
      <c r="AK743" s="1384">
        <f>AK738/AK723-1</f>
        <v/>
      </c>
      <c r="AL743" s="1384">
        <f>AL738/AL723-1</f>
        <v/>
      </c>
      <c r="AM743" s="1384">
        <f>AM738/AM723-1</f>
        <v/>
      </c>
      <c r="AN743" s="1384">
        <f>AN738/AN723-1</f>
        <v/>
      </c>
      <c r="AO743" s="1382">
        <f>AO738/AN723-1</f>
        <v/>
      </c>
      <c r="AP743" s="1384">
        <f>AP738/AP723-1</f>
        <v/>
      </c>
      <c r="AQ743" s="1384">
        <f>AQ738/AQ723-1</f>
        <v/>
      </c>
      <c r="AR743" s="1384">
        <f>AR738/AR723-1</f>
        <v/>
      </c>
      <c r="AS743" s="1384">
        <f>AS738/AS723-1</f>
        <v/>
      </c>
      <c r="AT743" s="1382">
        <f>AT738/AS723-1</f>
        <v/>
      </c>
      <c r="AU743" s="1384">
        <f>AU738/AU723-1</f>
        <v/>
      </c>
      <c r="AV743" s="1384">
        <f>AV738/AV723-1</f>
        <v/>
      </c>
      <c r="AW743" s="1384">
        <f>AW738/AW723-1</f>
        <v/>
      </c>
      <c r="AX743" s="1384">
        <f>AX738/AX723-1</f>
        <v/>
      </c>
      <c r="AY743" s="1382">
        <f>AY738/AX723-1</f>
        <v/>
      </c>
      <c r="AZ743" s="1384">
        <f>AZ738/AZ723-1</f>
        <v/>
      </c>
      <c r="BA743" s="1384">
        <f>BA738/BA723-1</f>
        <v/>
      </c>
      <c r="BB743" s="1384">
        <f>BB738/BB723-1</f>
        <v/>
      </c>
      <c r="BC743" s="1384">
        <f>BC738/BC723-1</f>
        <v/>
      </c>
      <c r="BD743" s="1382">
        <f>BD738/BC723-1</f>
        <v/>
      </c>
      <c r="BE743" s="1384">
        <f>BE738/BE723-1</f>
        <v/>
      </c>
      <c r="BF743" s="1384">
        <f>BF738/BF723-1</f>
        <v/>
      </c>
      <c r="BG743" s="1384">
        <f>BG738/BG723-1</f>
        <v/>
      </c>
      <c r="BH743" s="1384">
        <f>BH738/BH723-1</f>
        <v/>
      </c>
      <c r="BI743" s="1382">
        <f>BI738/BH723-1</f>
        <v/>
      </c>
      <c r="BJ743" s="1384">
        <f>BJ738/BJ723-1</f>
        <v/>
      </c>
      <c r="BK743" s="1384">
        <f>BK738/BK723-1</f>
        <v/>
      </c>
      <c r="BL743" s="1384">
        <f>BL738/BL723-1</f>
        <v/>
      </c>
      <c r="BM743" s="1384">
        <f>BM738/BM723-1</f>
        <v/>
      </c>
      <c r="BN743" s="1382">
        <f>BN738/BM723-1</f>
        <v/>
      </c>
      <c r="BO743" s="1384">
        <f>BO738/BO723-1</f>
        <v/>
      </c>
      <c r="BP743" s="1384">
        <f>BP738/BP723-1</f>
        <v/>
      </c>
      <c r="BQ743" s="1386">
        <f>BQ738/BQ723-1</f>
        <v/>
      </c>
      <c r="BR743" s="1384" t="n"/>
      <c r="BS743" s="1382" t="n"/>
      <c r="BT743" s="1384" t="n"/>
      <c r="BU743" s="1384" t="n"/>
      <c r="BV743" s="1384" t="n"/>
      <c r="BW743" s="1384" t="n"/>
      <c r="BX743" s="1382" t="n"/>
      <c r="BY743" s="1382" t="n"/>
      <c r="BZ743" s="1382" t="n"/>
      <c r="CA743" s="1382" t="n"/>
      <c r="CB743" s="1384" t="n"/>
    </row>
    <row r="744" hidden="1" outlineLevel="3" ht="15" customFormat="1" customHeight="1" s="1359">
      <c r="A744" s="1476" t="inlineStr">
        <is>
          <t>Forward quarterly guided Y/Y revenue growth - low, %</t>
        </is>
      </c>
      <c r="B744" s="1590" t="n"/>
      <c r="C744" s="1382" t="n"/>
      <c r="D744" s="1382" t="n"/>
      <c r="E744" s="1382" t="n"/>
      <c r="F744" s="1382" t="n"/>
      <c r="G744" s="1384" t="n"/>
      <c r="H744" s="1384" t="n"/>
      <c r="I744" s="1384" t="n"/>
      <c r="J744" s="1384" t="n"/>
      <c r="K744" s="1382" t="n"/>
      <c r="L744" s="1384" t="n"/>
      <c r="M744" s="1384" t="n"/>
      <c r="N744" s="1384" t="n"/>
      <c r="O744" s="1384" t="n"/>
      <c r="P744" s="1382" t="n"/>
      <c r="Q744" s="1384" t="n"/>
      <c r="R744" s="1384" t="n"/>
      <c r="S744" s="1384" t="n"/>
      <c r="T744" s="1384" t="n"/>
      <c r="U744" s="1382" t="n"/>
      <c r="V744" s="1384" t="n"/>
      <c r="W744" s="1384" t="n"/>
      <c r="X744" s="1384" t="n"/>
      <c r="Y744" s="1384" t="n"/>
      <c r="Z744" s="1382" t="n"/>
      <c r="AA744" s="1384" t="n"/>
      <c r="AB744" s="1384" t="n"/>
      <c r="AC744" s="1384">
        <f>AC736/Y723-1</f>
        <v/>
      </c>
      <c r="AD744" s="1384">
        <f>AD736/AA723-1</f>
        <v/>
      </c>
      <c r="AE744" s="1382">
        <f>AD744</f>
        <v/>
      </c>
      <c r="AF744" s="1384">
        <f>AF736/AB723-1</f>
        <v/>
      </c>
      <c r="AG744" s="1384">
        <f>AG736/AC723-1</f>
        <v/>
      </c>
      <c r="AH744" s="1384">
        <f>AH736/AD723-1</f>
        <v/>
      </c>
      <c r="AI744" s="1384">
        <f>AI736/AF723-1</f>
        <v/>
      </c>
      <c r="AJ744" s="1382">
        <f>AI744</f>
        <v/>
      </c>
      <c r="AK744" s="1384">
        <f>AK736/AG723-1</f>
        <v/>
      </c>
      <c r="AL744" s="1384">
        <f>AL736/AH723-1</f>
        <v/>
      </c>
      <c r="AM744" s="1384">
        <f>AM736/AI723-1</f>
        <v/>
      </c>
      <c r="AN744" s="1384">
        <f>AN736/AK723-1</f>
        <v/>
      </c>
      <c r="AO744" s="1382">
        <f>AN744</f>
        <v/>
      </c>
      <c r="AP744" s="1384">
        <f>AP736/AL723-1</f>
        <v/>
      </c>
      <c r="AQ744" s="1384">
        <f>AQ736/AM723-1</f>
        <v/>
      </c>
      <c r="AR744" s="1384">
        <f>AR736/AN723-1</f>
        <v/>
      </c>
      <c r="AS744" s="1384">
        <f>AS736/AP723-1</f>
        <v/>
      </c>
      <c r="AT744" s="1382">
        <f>AS744</f>
        <v/>
      </c>
      <c r="AU744" s="1384">
        <f>AU736/AQ723-1</f>
        <v/>
      </c>
      <c r="AV744" s="1384">
        <f>AV736/AR723-1</f>
        <v/>
      </c>
      <c r="AW744" s="1384">
        <f>AW736/AS723-1</f>
        <v/>
      </c>
      <c r="AX744" s="1384">
        <f>AX736/AU723-1</f>
        <v/>
      </c>
      <c r="AY744" s="1382">
        <f>AX744</f>
        <v/>
      </c>
      <c r="AZ744" s="1384">
        <f>AZ736/AV723-1</f>
        <v/>
      </c>
      <c r="BA744" s="1384">
        <f>BA736/AW723-1</f>
        <v/>
      </c>
      <c r="BB744" s="1384">
        <f>BB736/AX723-1</f>
        <v/>
      </c>
      <c r="BC744" s="1384">
        <f>BC736/AZ723-1</f>
        <v/>
      </c>
      <c r="BD744" s="1382">
        <f>BC744</f>
        <v/>
      </c>
      <c r="BE744" s="1384">
        <f>BE736/BA723-1</f>
        <v/>
      </c>
      <c r="BF744" s="1384">
        <f>BF736/BB723-1</f>
        <v/>
      </c>
      <c r="BG744" s="1384">
        <f>BG736/BC723-1</f>
        <v/>
      </c>
      <c r="BH744" s="1384">
        <f>BH736/BE723-1</f>
        <v/>
      </c>
      <c r="BI744" s="1382">
        <f>BH744</f>
        <v/>
      </c>
      <c r="BJ744" s="1384">
        <f>BJ736/BF723-1</f>
        <v/>
      </c>
      <c r="BK744" s="1384">
        <f>BK736/BG723-1</f>
        <v/>
      </c>
      <c r="BL744" s="1384">
        <f>BL736/BH723-1</f>
        <v/>
      </c>
      <c r="BM744" s="1384">
        <f>BM736/BJ723-1</f>
        <v/>
      </c>
      <c r="BN744" s="1382">
        <f>BM744</f>
        <v/>
      </c>
      <c r="BO744" s="1384">
        <f>BO736/BK723-1</f>
        <v/>
      </c>
      <c r="BP744" s="1384">
        <f>BP736/BL723-1</f>
        <v/>
      </c>
      <c r="BQ744" s="1386">
        <f>BQ736/BM723-1</f>
        <v/>
      </c>
      <c r="BR744" s="1384" t="n"/>
      <c r="BS744" s="1382" t="n"/>
      <c r="BT744" s="1384" t="n"/>
      <c r="BU744" s="1384" t="n"/>
      <c r="BV744" s="1384" t="n"/>
      <c r="BW744" s="1384" t="n"/>
      <c r="BX744" s="1382" t="n"/>
      <c r="BY744" s="1382" t="n"/>
      <c r="BZ744" s="1382" t="n"/>
      <c r="CA744" s="1382" t="n"/>
      <c r="CB744" s="1384" t="n"/>
    </row>
    <row r="745" hidden="1" outlineLevel="3" ht="15" customFormat="1" customHeight="1" s="1359">
      <c r="A745" s="1790" t="inlineStr">
        <is>
          <t>Forward quarterly guided Y/Y revenue growth - high, %</t>
        </is>
      </c>
      <c r="B745" s="1774" t="n"/>
      <c r="C745" s="1775" t="n"/>
      <c r="D745" s="1775" t="n"/>
      <c r="E745" s="1775" t="n"/>
      <c r="F745" s="1775" t="n"/>
      <c r="G745" s="1776" t="n"/>
      <c r="H745" s="1776" t="n"/>
      <c r="I745" s="1776" t="n"/>
      <c r="J745" s="1776" t="n"/>
      <c r="K745" s="1775" t="n"/>
      <c r="L745" s="1776" t="n"/>
      <c r="M745" s="1776" t="n"/>
      <c r="N745" s="1776" t="n"/>
      <c r="O745" s="1776" t="n"/>
      <c r="P745" s="1775" t="n"/>
      <c r="Q745" s="1776" t="n"/>
      <c r="R745" s="1776" t="n"/>
      <c r="S745" s="1776" t="n"/>
      <c r="T745" s="1776" t="n"/>
      <c r="U745" s="1775" t="n"/>
      <c r="V745" s="1776" t="n"/>
      <c r="W745" s="1776" t="n"/>
      <c r="X745" s="1776" t="n"/>
      <c r="Y745" s="1776" t="n"/>
      <c r="Z745" s="1775" t="n"/>
      <c r="AA745" s="1776" t="n"/>
      <c r="AB745" s="1776" t="n"/>
      <c r="AC745" s="1776">
        <f>AC737/Y723-1</f>
        <v/>
      </c>
      <c r="AD745" s="1776">
        <f>AD737/AA723-1</f>
        <v/>
      </c>
      <c r="AE745" s="1775">
        <f>AD745</f>
        <v/>
      </c>
      <c r="AF745" s="1776">
        <f>AF737/AB723-1</f>
        <v/>
      </c>
      <c r="AG745" s="1776">
        <f>AG737/AC723-1</f>
        <v/>
      </c>
      <c r="AH745" s="1776">
        <f>AH737/AD723-1</f>
        <v/>
      </c>
      <c r="AI745" s="1776">
        <f>AI737/AF723-1</f>
        <v/>
      </c>
      <c r="AJ745" s="1775">
        <f>AI745</f>
        <v/>
      </c>
      <c r="AK745" s="1776">
        <f>AK737/AG723-1</f>
        <v/>
      </c>
      <c r="AL745" s="1776">
        <f>AL737/AH723-1</f>
        <v/>
      </c>
      <c r="AM745" s="1776">
        <f>AM737/AI723-1</f>
        <v/>
      </c>
      <c r="AN745" s="1776">
        <f>AN737/AK723-1</f>
        <v/>
      </c>
      <c r="AO745" s="1775">
        <f>AN745</f>
        <v/>
      </c>
      <c r="AP745" s="1776">
        <f>AP737/AL723-1</f>
        <v/>
      </c>
      <c r="AQ745" s="1776">
        <f>AQ737/AM723-1</f>
        <v/>
      </c>
      <c r="AR745" s="1776">
        <f>AR737/AN723-1</f>
        <v/>
      </c>
      <c r="AS745" s="1776">
        <f>AS737/AP723-1</f>
        <v/>
      </c>
      <c r="AT745" s="1775">
        <f>AS745</f>
        <v/>
      </c>
      <c r="AU745" s="1776">
        <f>AU737/AQ723-1</f>
        <v/>
      </c>
      <c r="AV745" s="1776">
        <f>AV737/AR723-1</f>
        <v/>
      </c>
      <c r="AW745" s="1776">
        <f>AW737/AS723-1</f>
        <v/>
      </c>
      <c r="AX745" s="1776">
        <f>AX737/AU723-1</f>
        <v/>
      </c>
      <c r="AY745" s="1775">
        <f>AX745</f>
        <v/>
      </c>
      <c r="AZ745" s="1776">
        <f>AZ737/AV723-1</f>
        <v/>
      </c>
      <c r="BA745" s="1776">
        <f>BA737/AW723-1</f>
        <v/>
      </c>
      <c r="BB745" s="1776">
        <f>BB737/AX723-1</f>
        <v/>
      </c>
      <c r="BC745" s="1776">
        <f>BC737/AZ723-1</f>
        <v/>
      </c>
      <c r="BD745" s="1775">
        <f>BC745</f>
        <v/>
      </c>
      <c r="BE745" s="1776">
        <f>BE737/BA723-1</f>
        <v/>
      </c>
      <c r="BF745" s="1776">
        <f>BF737/BB723-1</f>
        <v/>
      </c>
      <c r="BG745" s="1776">
        <f>BG737/BC723-1</f>
        <v/>
      </c>
      <c r="BH745" s="1776">
        <f>BH737/BE723-1</f>
        <v/>
      </c>
      <c r="BI745" s="1775">
        <f>BH745</f>
        <v/>
      </c>
      <c r="BJ745" s="1776">
        <f>BJ737/BF723-1</f>
        <v/>
      </c>
      <c r="BK745" s="1776">
        <f>BK737/BG723-1</f>
        <v/>
      </c>
      <c r="BL745" s="1776">
        <f>BL737/BH723-1</f>
        <v/>
      </c>
      <c r="BM745" s="1776">
        <f>BM737/BJ723-1</f>
        <v/>
      </c>
      <c r="BN745" s="1775">
        <f>BM745</f>
        <v/>
      </c>
      <c r="BO745" s="1776">
        <f>BO737/BK723-1</f>
        <v/>
      </c>
      <c r="BP745" s="1776">
        <f>BP737/BL723-1</f>
        <v/>
      </c>
      <c r="BQ745" s="1777">
        <f>BQ737/BM723-1</f>
        <v/>
      </c>
      <c r="BR745" s="1776" t="n"/>
      <c r="BS745" s="1775" t="n"/>
      <c r="BT745" s="1776" t="n"/>
      <c r="BU745" s="1776" t="n"/>
      <c r="BV745" s="1776" t="n"/>
      <c r="BW745" s="1776" t="n"/>
      <c r="BX745" s="1775" t="n"/>
      <c r="BY745" s="1775" t="n"/>
      <c r="BZ745" s="1775" t="n"/>
      <c r="CA745" s="1775" t="n"/>
      <c r="CB745" s="1384" t="n"/>
    </row>
    <row r="746" hidden="1" outlineLevel="2" collapsed="1" ht="15" customFormat="1" customHeight="1" s="1359">
      <c r="A746" s="1501" t="inlineStr">
        <is>
          <t>Forward quarterly guided Y/Y revenue growth - midpoint, %</t>
        </is>
      </c>
      <c r="B746" s="1590" t="n"/>
      <c r="C746" s="1382" t="n"/>
      <c r="D746" s="1382" t="n"/>
      <c r="E746" s="1382" t="n"/>
      <c r="F746" s="1382" t="n"/>
      <c r="G746" s="1384" t="n"/>
      <c r="H746" s="1384" t="n"/>
      <c r="I746" s="1384" t="n"/>
      <c r="J746" s="1384" t="n"/>
      <c r="K746" s="1382" t="n"/>
      <c r="L746" s="1384" t="n"/>
      <c r="M746" s="1384" t="n"/>
      <c r="N746" s="1384" t="n"/>
      <c r="O746" s="1384" t="n"/>
      <c r="P746" s="1382" t="n"/>
      <c r="Q746" s="1384" t="n"/>
      <c r="R746" s="1384" t="n"/>
      <c r="S746" s="1384" t="n"/>
      <c r="T746" s="1384" t="n"/>
      <c r="U746" s="1382" t="n"/>
      <c r="V746" s="1384" t="n"/>
      <c r="W746" s="1384" t="n"/>
      <c r="X746" s="1384" t="n"/>
      <c r="Y746" s="1384" t="n"/>
      <c r="Z746" s="1382" t="n"/>
      <c r="AA746" s="1384" t="n"/>
      <c r="AB746" s="1384" t="n"/>
      <c r="AC746" s="1384">
        <f>AC738/Y723-1</f>
        <v/>
      </c>
      <c r="AD746" s="1384">
        <f>AD738/AA723-1</f>
        <v/>
      </c>
      <c r="AE746" s="1382">
        <f>AE738/AA723-1</f>
        <v/>
      </c>
      <c r="AF746" s="1384">
        <f>AF738/AB723-1</f>
        <v/>
      </c>
      <c r="AG746" s="1384">
        <f>AG738/AC723-1</f>
        <v/>
      </c>
      <c r="AH746" s="1384">
        <f>AH738/AD723-1</f>
        <v/>
      </c>
      <c r="AI746" s="1384">
        <f>AI738/AF723-1</f>
        <v/>
      </c>
      <c r="AJ746" s="1382">
        <f>AJ738/AF723-1</f>
        <v/>
      </c>
      <c r="AK746" s="1384">
        <f>AK738/AG723-1</f>
        <v/>
      </c>
      <c r="AL746" s="1384">
        <f>AL738/AH723-1</f>
        <v/>
      </c>
      <c r="AM746" s="1384">
        <f>AM738/AI723-1</f>
        <v/>
      </c>
      <c r="AN746" s="1384">
        <f>AN738/AK723-1</f>
        <v/>
      </c>
      <c r="AO746" s="1382">
        <f>AO738/AK723-1</f>
        <v/>
      </c>
      <c r="AP746" s="1384">
        <f>AP738/AL723-1</f>
        <v/>
      </c>
      <c r="AQ746" s="1384">
        <f>AQ738/AM723-1</f>
        <v/>
      </c>
      <c r="AR746" s="1384">
        <f>AR738/AN723-1</f>
        <v/>
      </c>
      <c r="AS746" s="1384">
        <f>AS738/AP723-1</f>
        <v/>
      </c>
      <c r="AT746" s="1382">
        <f>AT738/AP723-1</f>
        <v/>
      </c>
      <c r="AU746" s="1384">
        <f>AU738/AQ723-1</f>
        <v/>
      </c>
      <c r="AV746" s="1384">
        <f>AV738/AR723-1</f>
        <v/>
      </c>
      <c r="AW746" s="1384">
        <f>AW738/AS723-1</f>
        <v/>
      </c>
      <c r="AX746" s="1384">
        <f>AX738/AU723-1</f>
        <v/>
      </c>
      <c r="AY746" s="1382">
        <f>AY738/AU723-1</f>
        <v/>
      </c>
      <c r="AZ746" s="1384">
        <f>AZ738/AV723-1</f>
        <v/>
      </c>
      <c r="BA746" s="1384">
        <f>BA738/AW723-1</f>
        <v/>
      </c>
      <c r="BB746" s="1384">
        <f>BB738/AX723-1</f>
        <v/>
      </c>
      <c r="BC746" s="1384">
        <f>BC738/AZ723-1</f>
        <v/>
      </c>
      <c r="BD746" s="1382">
        <f>BD738/AZ723-1</f>
        <v/>
      </c>
      <c r="BE746" s="1384">
        <f>BE738/BA723-1</f>
        <v/>
      </c>
      <c r="BF746" s="1384">
        <f>BF738/BB723-1</f>
        <v/>
      </c>
      <c r="BG746" s="1384">
        <f>BG738/BC723-1</f>
        <v/>
      </c>
      <c r="BH746" s="1384">
        <f>BH738/BE723-1</f>
        <v/>
      </c>
      <c r="BI746" s="1382">
        <f>BI738/BE723-1</f>
        <v/>
      </c>
      <c r="BJ746" s="1384">
        <f>BJ738/BF723-1</f>
        <v/>
      </c>
      <c r="BK746" s="1384">
        <f>BK738/BG723-1</f>
        <v/>
      </c>
      <c r="BL746" s="1384">
        <f>BL738/BH723-1</f>
        <v/>
      </c>
      <c r="BM746" s="1384">
        <f>BM738/BJ723-1</f>
        <v/>
      </c>
      <c r="BN746" s="1382">
        <f>BN738/BJ723-1</f>
        <v/>
      </c>
      <c r="BO746" s="1384">
        <f>BO738/BK723-1</f>
        <v/>
      </c>
      <c r="BP746" s="1384">
        <f>BP738/BL723-1</f>
        <v/>
      </c>
      <c r="BQ746" s="1386">
        <f>BQ738/BM723-1</f>
        <v/>
      </c>
      <c r="BR746" s="1384" t="n"/>
      <c r="BS746" s="1382" t="n"/>
      <c r="BT746" s="1384" t="n"/>
      <c r="BU746" s="1384" t="n"/>
      <c r="BV746" s="1384" t="n"/>
      <c r="BW746" s="1384" t="n"/>
      <c r="BX746" s="1382" t="n"/>
      <c r="BY746" s="1382" t="n"/>
      <c r="BZ746" s="1382" t="n"/>
      <c r="CA746" s="1382" t="n"/>
      <c r="CB746" s="1384" t="n"/>
    </row>
    <row r="747" hidden="1" outlineLevel="2" ht="15" customFormat="1" customHeight="1" s="1359">
      <c r="A747" s="545" t="n"/>
      <c r="B747" s="1512" t="n"/>
      <c r="C747" s="1379" t="n"/>
      <c r="D747" s="1379" t="n"/>
      <c r="E747" s="1379" t="n"/>
      <c r="F747" s="1379" t="n"/>
      <c r="G747" s="1361" t="n"/>
      <c r="H747" s="1361" t="n"/>
      <c r="I747" s="1361" t="n"/>
      <c r="J747" s="1361" t="n"/>
      <c r="K747" s="1379" t="n"/>
      <c r="L747" s="1361" t="n"/>
      <c r="M747" s="1361" t="n"/>
      <c r="N747" s="1361" t="n"/>
      <c r="O747" s="1361" t="n"/>
      <c r="P747" s="1379" t="n"/>
      <c r="Q747" s="1361" t="n"/>
      <c r="R747" s="1361" t="n"/>
      <c r="S747" s="1361" t="n"/>
      <c r="T747" s="1361" t="n"/>
      <c r="U747" s="1379" t="n"/>
      <c r="V747" s="1361" t="n"/>
      <c r="W747" s="1361" t="n"/>
      <c r="X747" s="1361" t="n"/>
      <c r="Y747" s="1361" t="n"/>
      <c r="Z747" s="1379" t="n"/>
      <c r="AA747" s="1361" t="n"/>
      <c r="AB747" s="1361" t="n"/>
      <c r="AC747" s="1361" t="n"/>
      <c r="AD747" s="1361" t="n"/>
      <c r="AE747" s="1379" t="n"/>
      <c r="AF747" s="1361" t="n"/>
      <c r="AG747" s="1361" t="n"/>
      <c r="AH747" s="1361" t="n"/>
      <c r="AI747" s="1361" t="n"/>
      <c r="AJ747" s="1379" t="n"/>
      <c r="AK747" s="1361" t="n"/>
      <c r="AL747" s="1361" t="n"/>
      <c r="AM747" s="1361" t="n"/>
      <c r="AN747" s="1361" t="n"/>
      <c r="AO747" s="1379" t="n"/>
      <c r="AP747" s="1361" t="n"/>
      <c r="AQ747" s="1361" t="n"/>
      <c r="AR747" s="1361" t="n"/>
      <c r="AS747" s="1361" t="n"/>
      <c r="AT747" s="1379" t="n"/>
      <c r="AU747" s="1361" t="n"/>
      <c r="AV747" s="1361" t="n"/>
      <c r="AW747" s="1361" t="n"/>
      <c r="AX747" s="1361" t="n"/>
      <c r="AY747" s="1379" t="n"/>
      <c r="AZ747" s="1361" t="n"/>
      <c r="BA747" s="1361" t="n"/>
      <c r="BB747" s="1361" t="n"/>
      <c r="BC747" s="1361" t="n"/>
      <c r="BD747" s="1379" t="n"/>
      <c r="BE747" s="1361" t="n"/>
      <c r="BF747" s="1361" t="n"/>
      <c r="BG747" s="1361" t="n"/>
      <c r="BH747" s="1361" t="n"/>
      <c r="BI747" s="1379" t="n"/>
      <c r="BJ747" s="1361" t="n"/>
      <c r="BK747" s="1361" t="n"/>
      <c r="BL747" s="1361" t="n"/>
      <c r="BM747" s="1361" t="n"/>
      <c r="BN747" s="1379" t="n"/>
      <c r="BO747" s="1361" t="n"/>
      <c r="BP747" s="1361" t="n"/>
      <c r="BQ747" s="1363" t="n"/>
      <c r="BR747" s="1361" t="n"/>
      <c r="BS747" s="1379" t="n"/>
      <c r="BT747" s="1361" t="n"/>
      <c r="BU747" s="1361" t="n"/>
      <c r="BV747" s="1361" t="n"/>
      <c r="BW747" s="1361" t="n"/>
      <c r="BX747" s="1379" t="n"/>
      <c r="BY747" s="1379" t="n"/>
      <c r="BZ747" s="1379" t="n"/>
      <c r="CA747" s="1379" t="n"/>
      <c r="CB747" s="1361" t="n"/>
    </row>
    <row r="748" hidden="1" outlineLevel="2" ht="15" customFormat="1" customHeight="1" s="1359">
      <c r="A748" s="1501" t="inlineStr">
        <is>
          <t>Y/Y Implied annual guidance revenue growth, %</t>
        </is>
      </c>
      <c r="B748" s="1590" t="n"/>
      <c r="C748" s="1382" t="n"/>
      <c r="D748" s="1382" t="n"/>
      <c r="E748" s="1382" t="n"/>
      <c r="F748" s="1382" t="n"/>
      <c r="G748" s="1384" t="n"/>
      <c r="H748" s="1384" t="n"/>
      <c r="I748" s="1384" t="n"/>
      <c r="J748" s="1384" t="n"/>
      <c r="K748" s="1382" t="n"/>
      <c r="L748" s="1384" t="n"/>
      <c r="M748" s="1384" t="n"/>
      <c r="N748" s="1384" t="n"/>
      <c r="O748" s="1384" t="n"/>
      <c r="P748" s="1382" t="n"/>
      <c r="Q748" s="1384" t="n"/>
      <c r="R748" s="1384" t="n"/>
      <c r="S748" s="1384" t="n"/>
      <c r="T748" s="1384" t="n"/>
      <c r="U748" s="1382" t="n"/>
      <c r="V748" s="1384" t="n"/>
      <c r="W748" s="1384" t="n"/>
      <c r="X748" s="1384" t="n"/>
      <c r="Y748" s="1384" t="n"/>
      <c r="Z748" s="1382" t="n"/>
      <c r="AA748" s="1384" t="n"/>
      <c r="AB748" s="1384" t="n"/>
      <c r="AC748" s="1384" t="n"/>
      <c r="AD748" s="1384">
        <f>IFERROR(IF(AE721="","",AE721/Z723-1),"")</f>
        <v/>
      </c>
      <c r="AE748" s="1382">
        <f>IFERROR(IF(AE721="","",AE721/Z723-1),"")</f>
        <v/>
      </c>
      <c r="AF748" s="1384">
        <f>IFERROR(IF(AJ718="","",AJ718/AE723-1),"")</f>
        <v/>
      </c>
      <c r="AG748" s="1384">
        <f>IFERROR(IF(AJ719="","",AJ719/AE723-1),"")</f>
        <v/>
      </c>
      <c r="AH748" s="1384">
        <f>IFERROR(IF(AJ720="","",AJ720/AE723-1),"")</f>
        <v/>
      </c>
      <c r="AI748" s="1384">
        <f>IFERROR(IF(AJ721="","",AJ721/AE723-1),"")</f>
        <v/>
      </c>
      <c r="AJ748" s="1382">
        <f>IFERROR(IF(AJ721="","",AJ721/AE723-1),"")</f>
        <v/>
      </c>
      <c r="AK748" s="1384">
        <f>IFERROR(IF(AO718="","",AO718/AJ723-1),"")</f>
        <v/>
      </c>
      <c r="AL748" s="1384">
        <f>IFERROR(IF(AO719="","",AO719/AJ723-1),"")</f>
        <v/>
      </c>
      <c r="AM748" s="1384">
        <f>IFERROR(IF(AO720="","",AO720/AJ723-1),"")</f>
        <v/>
      </c>
      <c r="AN748" s="1384">
        <f>IFERROR(IF(AO721="","",AO721/AJ723-1),"")</f>
        <v/>
      </c>
      <c r="AO748" s="1382">
        <f>IFERROR(IF(AO721="","",AO721/AJ723-1),"")</f>
        <v/>
      </c>
      <c r="AP748" s="1384">
        <f>IFERROR(IF(AT718="","",AT718/AO723-1),"")</f>
        <v/>
      </c>
      <c r="AQ748" s="1384">
        <f>IFERROR(IF(AT719="","",AT719/AO723-1),"")</f>
        <v/>
      </c>
      <c r="AR748" s="1384">
        <f>IFERROR(IF(AT720="","",AT720/AO723-1),"")</f>
        <v/>
      </c>
      <c r="AS748" s="1384">
        <f>IFERROR(IF(AT721="","",AT721/AO723-1),"")</f>
        <v/>
      </c>
      <c r="AT748" s="1382">
        <f>IFERROR(IF(AT721="","",AT721/AO723-1),"")</f>
        <v/>
      </c>
      <c r="AU748" s="1384">
        <f>IFERROR(IF(AY718="","",AY718/AT723-1),"")</f>
        <v/>
      </c>
      <c r="AV748" s="1384">
        <f>IFERROR(IF(AY719="","",AY719/AT723-1),"")</f>
        <v/>
      </c>
      <c r="AW748" s="1384">
        <f>IFERROR(IF(AY720="","",AY720/AT723-1),"")</f>
        <v/>
      </c>
      <c r="AX748" s="1384">
        <f>IFERROR(IF(AY721="","",AY721/AT723-1),"")</f>
        <v/>
      </c>
      <c r="AY748" s="1382">
        <f>IFERROR(IF(AY721="","",AY721/AT723-1),"")</f>
        <v/>
      </c>
      <c r="AZ748" s="1384">
        <f>IFERROR(IF(BD718="","",BD718/AY723-1),"")</f>
        <v/>
      </c>
      <c r="BA748" s="1384">
        <f>IFERROR(IF(BD719="","",BD719/AY723-1),"")</f>
        <v/>
      </c>
      <c r="BB748" s="1384">
        <f>IFERROR(IF(BD720="","",BD720/AY723-1),"")</f>
        <v/>
      </c>
      <c r="BC748" s="1384">
        <f>IFERROR(IF(BD721="","",BD721/AY723-1),"")</f>
        <v/>
      </c>
      <c r="BD748" s="1382">
        <f>IFERROR(IF(BD721="","",BD721/AY723-1),"")</f>
        <v/>
      </c>
      <c r="BE748" s="1384">
        <f>IFERROR(IF(BI718="","",BI718/BD723-1),"")</f>
        <v/>
      </c>
      <c r="BF748" s="1384">
        <f>IFERROR(IF(BI719="","",BI719/BD723-1),"")</f>
        <v/>
      </c>
      <c r="BG748" s="1384">
        <f>IFERROR(IF(BI720="","",BI720/BD723-1),"")</f>
        <v/>
      </c>
      <c r="BH748" s="1384">
        <f>IFERROR(IF(BI721="","",BI721/BD723-1),"")</f>
        <v/>
      </c>
      <c r="BI748" s="1382">
        <f>IFERROR(IF(BI721="","",BI721/BD723-1),"")</f>
        <v/>
      </c>
      <c r="BJ748" s="1384">
        <f>IFERROR(IF(BN718="","",BN718/BI723-1),"")</f>
        <v/>
      </c>
      <c r="BK748" s="1384">
        <f>IFERROR(IF(BN719="","",BN719/BI723-1),"")</f>
        <v/>
      </c>
      <c r="BL748" s="1384">
        <f>IFERROR(IF(BN720="","",BN720/BI723-1),"")</f>
        <v/>
      </c>
      <c r="BM748" s="1384">
        <f>IFERROR(IF(BN721="","",BN721/BI723-1),"")</f>
        <v/>
      </c>
      <c r="BN748" s="1382">
        <f>IFERROR(IF(BN721="","",BN721/BI723-1),"")</f>
        <v/>
      </c>
      <c r="BO748" s="1384">
        <f>IFERROR(IF(BS718="","",BS718/BN723-1),"")</f>
        <v/>
      </c>
      <c r="BP748" s="1384">
        <f>IFERROR(IF(BS719="","",BS719/BN723-1),"")</f>
        <v/>
      </c>
      <c r="BQ748" s="1386">
        <f>IFERROR(IF(BS720="","",BS720/BN723-1),"")</f>
        <v/>
      </c>
      <c r="BR748" s="1384">
        <f>IFERROR(IF(BS721="","",BS721/BN723-1),"")</f>
        <v/>
      </c>
      <c r="BS748" s="1382">
        <f>IFERROR(IF(BS721="","",BS721/BN723-1),"")</f>
        <v/>
      </c>
      <c r="BT748" s="1384">
        <f>IFERROR(IF(BX718="","",BX718/BS723-1),"")</f>
        <v/>
      </c>
      <c r="BU748" s="1384">
        <f>IFERROR(IF(BX719="","",BX719/BS723-1),"")</f>
        <v/>
      </c>
      <c r="BV748" s="1384">
        <f>IFERROR(IF(BX720="","",BX720/BS723-1),"")</f>
        <v/>
      </c>
      <c r="BW748" s="1384">
        <f>IFERROR(IF(BX721="","",BX721/BS723-1),"")</f>
        <v/>
      </c>
      <c r="BX748" s="1382">
        <f>IFERROR(IF(BX721="","",BX721/BS723-1),"")</f>
        <v/>
      </c>
      <c r="BY748" s="1382" t="n"/>
      <c r="BZ748" s="1382" t="n"/>
      <c r="CA748" s="1382" t="n"/>
      <c r="CB748" s="1384" t="n"/>
    </row>
    <row r="749" hidden="1" outlineLevel="2" ht="15" customFormat="1" customHeight="1" s="1359">
      <c r="A749" s="1773" t="inlineStr">
        <is>
          <t>Y/Y annual guidance beat/(miss) revenue growth, %</t>
        </is>
      </c>
      <c r="B749" s="1774" t="n"/>
      <c r="C749" s="1775" t="n"/>
      <c r="D749" s="1775" t="n"/>
      <c r="E749" s="1775" t="n"/>
      <c r="F749" s="1775" t="n"/>
      <c r="G749" s="1776" t="n"/>
      <c r="H749" s="1776" t="n"/>
      <c r="I749" s="1776" t="n"/>
      <c r="J749" s="1776" t="n"/>
      <c r="K749" s="1775" t="n"/>
      <c r="L749" s="1776" t="n"/>
      <c r="M749" s="1776" t="n"/>
      <c r="N749" s="1776" t="n"/>
      <c r="O749" s="1776" t="n"/>
      <c r="P749" s="1775" t="n"/>
      <c r="Q749" s="1776" t="n"/>
      <c r="R749" s="1776" t="n"/>
      <c r="S749" s="1776" t="n"/>
      <c r="T749" s="1776" t="n"/>
      <c r="U749" s="1775" t="n"/>
      <c r="V749" s="1776" t="n"/>
      <c r="W749" s="1776" t="n"/>
      <c r="X749" s="1776" t="n"/>
      <c r="Y749" s="1776" t="n"/>
      <c r="Z749" s="1775" t="n"/>
      <c r="AA749" s="1776" t="n"/>
      <c r="AB749" s="1776" t="n"/>
      <c r="AC749" s="1776" t="n"/>
      <c r="AD749" s="1776">
        <f>IFERROR(IF(AE721="","",(AE723-AE721)/Z723),"")</f>
        <v/>
      </c>
      <c r="AE749" s="1775">
        <f>IFERROR(IF(AE721="","",(AE723-AE721)/Z723),"")</f>
        <v/>
      </c>
      <c r="AF749" s="1776">
        <f>IFERROR(IF(AJ718="","",(AJ723-AJ718)/AE723),"")</f>
        <v/>
      </c>
      <c r="AG749" s="1776">
        <f>IFERROR(IF(AJ719="","",(AJ723-AJ719)/AE723),"")</f>
        <v/>
      </c>
      <c r="AH749" s="1776">
        <f>IFERROR(IF(AJ720="","",(AJ723-AJ720)/AE723),"")</f>
        <v/>
      </c>
      <c r="AI749" s="1776">
        <f>IFERROR(IF(AJ721="","",(AJ723-AJ721)/AE723),"")</f>
        <v/>
      </c>
      <c r="AJ749" s="1775">
        <f>IFERROR(IF(AJ721="","",(AJ723-AJ721)/AE723),"")</f>
        <v/>
      </c>
      <c r="AK749" s="1776">
        <f>IFERROR(IF(AO718="","",(AO723-AO718)/AJ723),"")</f>
        <v/>
      </c>
      <c r="AL749" s="1776">
        <f>IFERROR(IF(AO719="","",(AO723-AO719)/AJ723),"")</f>
        <v/>
      </c>
      <c r="AM749" s="1776">
        <f>IFERROR(IF(AO720="","",(AO723-AO720)/AJ723),"")</f>
        <v/>
      </c>
      <c r="AN749" s="1776">
        <f>IFERROR(IF(AO721="","",(AO723-AO721)/AJ723),"")</f>
        <v/>
      </c>
      <c r="AO749" s="1775">
        <f>IFERROR(IF(AO721="","",(AO723-AO721)/AJ723),"")</f>
        <v/>
      </c>
      <c r="AP749" s="1776">
        <f>IFERROR(IF(AT718="","",(AT723-AT718)/AO723),"")</f>
        <v/>
      </c>
      <c r="AQ749" s="1776">
        <f>IFERROR(IF(AT719="","",(AT723-AT719)/AO723),"")</f>
        <v/>
      </c>
      <c r="AR749" s="1776">
        <f>IFERROR(IF(AT720="","",(AT723-AT720)/AO723),"")</f>
        <v/>
      </c>
      <c r="AS749" s="1776">
        <f>IFERROR(IF(AT721="","",(AT723-AT721)/AO723),"")</f>
        <v/>
      </c>
      <c r="AT749" s="1775">
        <f>IFERROR(IF(AT721="","",(AT723-AT721)/AO723),"")</f>
        <v/>
      </c>
      <c r="AU749" s="1776">
        <f>IFERROR(IF(AY718="","",(AY723-AY718)/AT723),"")</f>
        <v/>
      </c>
      <c r="AV749" s="1776">
        <f>IFERROR(IF(AY719="","",(AY723-AY719)/AT723),"")</f>
        <v/>
      </c>
      <c r="AW749" s="1776">
        <f>IFERROR(IF(AY720="","",(AY723-AY720)/AT723),"")</f>
        <v/>
      </c>
      <c r="AX749" s="1776">
        <f>IFERROR(IF(AY721="","",(AY723-AY721)/AT723),"")</f>
        <v/>
      </c>
      <c r="AY749" s="1775">
        <f>IFERROR(IF(AY721="","",(AY723-AY721)/AT723),"")</f>
        <v/>
      </c>
      <c r="AZ749" s="1776">
        <f>IFERROR(IF(BD718="","",(BD723-BD718)/AY723),"")</f>
        <v/>
      </c>
      <c r="BA749" s="1776">
        <f>IFERROR(IF(BD719="","",(BD723-BD719)/AY723),"")</f>
        <v/>
      </c>
      <c r="BB749" s="1776">
        <f>IFERROR(IF(BD720="","",(BD723-BD720)/AY723),"")</f>
        <v/>
      </c>
      <c r="BC749" s="1776">
        <f>IFERROR(IF(BD721="","",(BD723-BD721)/AY723),"")</f>
        <v/>
      </c>
      <c r="BD749" s="1775">
        <f>IFERROR(IF(BD721="","",(BD723-BD721)/AY723),"")</f>
        <v/>
      </c>
      <c r="BE749" s="1776">
        <f>IFERROR(IF(BI718="","",(BI723-BI718)/BD723),"")</f>
        <v/>
      </c>
      <c r="BF749" s="1776">
        <f>IFERROR(IF(BI719="","",(BI723-BI719)/BD723),"")</f>
        <v/>
      </c>
      <c r="BG749" s="1776">
        <f>IFERROR(IF(BI720="","",(BI723-BI720)/BD723),"")</f>
        <v/>
      </c>
      <c r="BH749" s="1776">
        <f>IFERROR(IF(BI721="","",(BI723-BI721)/BD723),"")</f>
        <v/>
      </c>
      <c r="BI749" s="1775">
        <f>IFERROR(IF(BI721="","",(BI723-BI721)/BD723),"")</f>
        <v/>
      </c>
      <c r="BJ749" s="1776">
        <f>IFERROR(IF(BN718="","",(BN723-BN718)/BI723),"")</f>
        <v/>
      </c>
      <c r="BK749" s="1776">
        <f>IFERROR(IF(BN719="","",(BN723-BN719)/BI723),"")</f>
        <v/>
      </c>
      <c r="BL749" s="1776">
        <f>IFERROR(IF(BN720="","",(BN723-BN720)/BI723),"")</f>
        <v/>
      </c>
      <c r="BM749" s="1776">
        <f>IFERROR(IF(BN721="","",(BN723-BN721)/BI723),"")</f>
        <v/>
      </c>
      <c r="BN749" s="1775">
        <f>IFERROR(IF(BN721="","",(BN723-BN721)/BI723),"")</f>
        <v/>
      </c>
      <c r="BO749" s="1776">
        <f>IFERROR(IF(BS718="","",(BS723-BS718)/BN723),"")</f>
        <v/>
      </c>
      <c r="BP749" s="1776">
        <f>IFERROR(IF(BS719="","",(BS723-BS719)/BN723),"")</f>
        <v/>
      </c>
      <c r="BQ749" s="1777">
        <f>IFERROR(IF(BS720="","",(BS723-BS720)/BN723),"")</f>
        <v/>
      </c>
      <c r="BR749" s="1776">
        <f>IFERROR(IF(BS721="","",(BS723-BS721)/BN723),"")</f>
        <v/>
      </c>
      <c r="BS749" s="1775">
        <f>IFERROR(IF(BS721="","",(BS723-BS721)/BN723),"")</f>
        <v/>
      </c>
      <c r="BT749" s="1776">
        <f>IFERROR(IF(BX718="","",(BX723-BX718)/BS723),"")</f>
        <v/>
      </c>
      <c r="BU749" s="1776">
        <f>IFERROR(IF(BX719="","",(BX723-BX719)/BS723),"")</f>
        <v/>
      </c>
      <c r="BV749" s="1776">
        <f>IFERROR(IF(BX720="","",(BX723-BX720)/BS723),"")</f>
        <v/>
      </c>
      <c r="BW749" s="1776">
        <f>IFERROR(IF(BX721="","",(BX723-BX721)/BS723),"")</f>
        <v/>
      </c>
      <c r="BX749" s="1775">
        <f>IFERROR(IF(BX721="","",(BX723-BX721)/BS723),"")</f>
        <v/>
      </c>
      <c r="BY749" s="1775" t="n"/>
      <c r="BZ749" s="1775" t="n"/>
      <c r="CA749" s="1775" t="n"/>
      <c r="CB749" s="1384" t="n"/>
    </row>
    <row r="750" hidden="1" outlineLevel="2" ht="15" customFormat="1" customHeight="1" s="1359">
      <c r="A750" s="1778" t="inlineStr">
        <is>
          <t>Y/Y annual revenue growth, %</t>
        </is>
      </c>
      <c r="B750" s="1769" t="n"/>
      <c r="C750" s="1770" t="n"/>
      <c r="D750" s="1770">
        <f>D723/C723-1</f>
        <v/>
      </c>
      <c r="E750" s="1770">
        <f>E723/D723-1</f>
        <v/>
      </c>
      <c r="F750" s="1770">
        <f>F723/E723-1</f>
        <v/>
      </c>
      <c r="G750" s="1771">
        <f>K723/F723-1</f>
        <v/>
      </c>
      <c r="H750" s="1771">
        <f>K723/F723-1</f>
        <v/>
      </c>
      <c r="I750" s="1771">
        <f>K723/F723-1</f>
        <v/>
      </c>
      <c r="J750" s="1771">
        <f>K723/F723-1</f>
        <v/>
      </c>
      <c r="K750" s="1770">
        <f>K723/F723-1</f>
        <v/>
      </c>
      <c r="L750" s="1771">
        <f>P723/K723-1</f>
        <v/>
      </c>
      <c r="M750" s="1771">
        <f>P723/K723-1</f>
        <v/>
      </c>
      <c r="N750" s="1771">
        <f>P723/K723-1</f>
        <v/>
      </c>
      <c r="O750" s="1771">
        <f>P723/K723-1</f>
        <v/>
      </c>
      <c r="P750" s="1770">
        <f>P723/K723-1</f>
        <v/>
      </c>
      <c r="Q750" s="1771">
        <f>U723/P723-1</f>
        <v/>
      </c>
      <c r="R750" s="1771">
        <f>U723/P723-1</f>
        <v/>
      </c>
      <c r="S750" s="1771">
        <f>U723/P723-1</f>
        <v/>
      </c>
      <c r="T750" s="1771">
        <f>U723/P723-1</f>
        <v/>
      </c>
      <c r="U750" s="1770">
        <f>U723/P723-1</f>
        <v/>
      </c>
      <c r="V750" s="1771">
        <f>Z723/U723-1</f>
        <v/>
      </c>
      <c r="W750" s="1771">
        <f>Z723/U723-1</f>
        <v/>
      </c>
      <c r="X750" s="1771">
        <f>Z723/U723-1</f>
        <v/>
      </c>
      <c r="Y750" s="1771">
        <f>Z723/U723-1</f>
        <v/>
      </c>
      <c r="Z750" s="1770">
        <f>Z723/U723-1</f>
        <v/>
      </c>
      <c r="AA750" s="1771">
        <f>AE723/Z723-1</f>
        <v/>
      </c>
      <c r="AB750" s="1771">
        <f>AE723/Z723-1</f>
        <v/>
      </c>
      <c r="AC750" s="1771">
        <f>AE723/Z723-1</f>
        <v/>
      </c>
      <c r="AD750" s="1771">
        <f>AE723/Z723-1</f>
        <v/>
      </c>
      <c r="AE750" s="1770">
        <f>AE723/Z723-1</f>
        <v/>
      </c>
      <c r="AF750" s="1771">
        <f>AJ723/AE723-1</f>
        <v/>
      </c>
      <c r="AG750" s="1771">
        <f>AJ723/AE723-1</f>
        <v/>
      </c>
      <c r="AH750" s="1771">
        <f>AJ723/AE723-1</f>
        <v/>
      </c>
      <c r="AI750" s="1771">
        <f>AJ723/AE723-1</f>
        <v/>
      </c>
      <c r="AJ750" s="1770">
        <f>AJ723/AE723-1</f>
        <v/>
      </c>
      <c r="AK750" s="1771">
        <f>AO723/AJ723-1</f>
        <v/>
      </c>
      <c r="AL750" s="1771">
        <f>AO723/AJ723-1</f>
        <v/>
      </c>
      <c r="AM750" s="1771">
        <f>AO723/AJ723-1</f>
        <v/>
      </c>
      <c r="AN750" s="1771">
        <f>AO723/AJ723-1</f>
        <v/>
      </c>
      <c r="AO750" s="1770">
        <f>AO723/AJ723-1</f>
        <v/>
      </c>
      <c r="AP750" s="1771">
        <f>AT723/AO723-1</f>
        <v/>
      </c>
      <c r="AQ750" s="1771">
        <f>AT723/AO723-1</f>
        <v/>
      </c>
      <c r="AR750" s="1771">
        <f>AT723/AO723-1</f>
        <v/>
      </c>
      <c r="AS750" s="1771">
        <f>AT723/AO723-1</f>
        <v/>
      </c>
      <c r="AT750" s="1770">
        <f>AT723/AO723-1</f>
        <v/>
      </c>
      <c r="AU750" s="1771">
        <f>AY723/AT723-1</f>
        <v/>
      </c>
      <c r="AV750" s="1771">
        <f>AY723/AT723-1</f>
        <v/>
      </c>
      <c r="AW750" s="1771">
        <f>AY723/AT723-1</f>
        <v/>
      </c>
      <c r="AX750" s="1771">
        <f>AY723/AT723-1</f>
        <v/>
      </c>
      <c r="AY750" s="1770">
        <f>AY723/AT723-1</f>
        <v/>
      </c>
      <c r="AZ750" s="1771">
        <f>BD723/AY723-1</f>
        <v/>
      </c>
      <c r="BA750" s="1771">
        <f>BD723/AY723-1</f>
        <v/>
      </c>
      <c r="BB750" s="1771">
        <f>BD723/AY723-1</f>
        <v/>
      </c>
      <c r="BC750" s="1771">
        <f>BD723/AY723-1</f>
        <v/>
      </c>
      <c r="BD750" s="1770">
        <f>BD723/AY723-1</f>
        <v/>
      </c>
      <c r="BE750" s="1771">
        <f>BI723/BD723-1</f>
        <v/>
      </c>
      <c r="BF750" s="1771">
        <f>BI723/BD723-1</f>
        <v/>
      </c>
      <c r="BG750" s="1771">
        <f>BI723/BD723-1</f>
        <v/>
      </c>
      <c r="BH750" s="1771">
        <f>BI723/BD723-1</f>
        <v/>
      </c>
      <c r="BI750" s="1770">
        <f>BI723/BD723-1</f>
        <v/>
      </c>
      <c r="BJ750" s="1771">
        <f>BN723/BI723-1</f>
        <v/>
      </c>
      <c r="BK750" s="1771">
        <f>BN723/BI723-1</f>
        <v/>
      </c>
      <c r="BL750" s="1771">
        <f>BN723/BI723-1</f>
        <v/>
      </c>
      <c r="BM750" s="1771">
        <f>BN723/BI723-1</f>
        <v/>
      </c>
      <c r="BN750" s="1770">
        <f>BN723/BI723-1</f>
        <v/>
      </c>
      <c r="BO750" s="1771">
        <f>BS723/BN723-1</f>
        <v/>
      </c>
      <c r="BP750" s="1771">
        <f>BS723/BN723-1</f>
        <v/>
      </c>
      <c r="BQ750" s="1772">
        <f>BS723/BN723-1</f>
        <v/>
      </c>
      <c r="BR750" s="1771">
        <f>BS723/BN723-1</f>
        <v/>
      </c>
      <c r="BS750" s="1770">
        <f>BS723/BN723-1</f>
        <v/>
      </c>
      <c r="BT750" s="1771">
        <f>BX723/BS723-1</f>
        <v/>
      </c>
      <c r="BU750" s="1771">
        <f>BX723/BS723-1</f>
        <v/>
      </c>
      <c r="BV750" s="1771">
        <f>BX723/BS723-1</f>
        <v/>
      </c>
      <c r="BW750" s="1771">
        <f>BX723/BS723-1</f>
        <v/>
      </c>
      <c r="BX750" s="1770">
        <f>BX723/BS723-1</f>
        <v/>
      </c>
      <c r="BY750" s="1770">
        <f>BY723/BX723-1</f>
        <v/>
      </c>
      <c r="BZ750" s="1770">
        <f>BZ723/BY723-1</f>
        <v/>
      </c>
      <c r="CA750" s="1770">
        <f>CA723/BZ723-1</f>
        <v/>
      </c>
      <c r="CB750" s="1771" t="n"/>
    </row>
    <row r="751" hidden="1" outlineLevel="2" ht="15" customFormat="1" customHeight="1" s="1359">
      <c r="A751" s="545" t="n"/>
      <c r="B751" s="1512" t="n"/>
      <c r="C751" s="1379" t="n"/>
      <c r="D751" s="1379" t="n"/>
      <c r="E751" s="1379" t="n"/>
      <c r="F751" s="1379" t="n"/>
      <c r="G751" s="1361" t="n"/>
      <c r="H751" s="1361" t="n"/>
      <c r="I751" s="1361" t="n"/>
      <c r="J751" s="1361" t="n"/>
      <c r="K751" s="1379" t="n"/>
      <c r="L751" s="1361" t="n"/>
      <c r="M751" s="1361" t="n"/>
      <c r="N751" s="1361" t="n"/>
      <c r="O751" s="1361" t="n"/>
      <c r="P751" s="1379" t="n"/>
      <c r="Q751" s="1361" t="n"/>
      <c r="R751" s="1361" t="n"/>
      <c r="S751" s="1361" t="n"/>
      <c r="T751" s="1361" t="n"/>
      <c r="U751" s="1379" t="n"/>
      <c r="V751" s="1361" t="n"/>
      <c r="W751" s="1361" t="n"/>
      <c r="X751" s="1361" t="n"/>
      <c r="Y751" s="1361" t="n"/>
      <c r="Z751" s="1379" t="n"/>
      <c r="AA751" s="1361" t="n"/>
      <c r="AB751" s="1361" t="n"/>
      <c r="AC751" s="1361" t="n"/>
      <c r="AD751" s="1361" t="n"/>
      <c r="AE751" s="1379" t="n"/>
      <c r="AF751" s="1361" t="n"/>
      <c r="AG751" s="1361" t="n"/>
      <c r="AH751" s="1361" t="n"/>
      <c r="AI751" s="1361" t="n"/>
      <c r="AJ751" s="1379" t="n"/>
      <c r="AK751" s="1361" t="n"/>
      <c r="AL751" s="1361" t="n"/>
      <c r="AM751" s="1361" t="n"/>
      <c r="AN751" s="1361" t="n"/>
      <c r="AO751" s="1379" t="n"/>
      <c r="AP751" s="1361" t="n"/>
      <c r="AQ751" s="1361" t="n"/>
      <c r="AR751" s="1361" t="n"/>
      <c r="AS751" s="1361" t="n"/>
      <c r="AT751" s="1379" t="n"/>
      <c r="AU751" s="1361" t="n"/>
      <c r="AV751" s="1361" t="n"/>
      <c r="AW751" s="1361" t="n"/>
      <c r="AX751" s="1361" t="n"/>
      <c r="AY751" s="1379" t="n"/>
      <c r="AZ751" s="1361" t="n"/>
      <c r="BA751" s="1361" t="n"/>
      <c r="BB751" s="1361" t="n"/>
      <c r="BC751" s="1361" t="n"/>
      <c r="BD751" s="1379" t="n"/>
      <c r="BE751" s="1361" t="n"/>
      <c r="BF751" s="1361" t="n"/>
      <c r="BG751" s="1361" t="n"/>
      <c r="BH751" s="1361" t="n"/>
      <c r="BI751" s="1379" t="n"/>
      <c r="BJ751" s="1361" t="n"/>
      <c r="BK751" s="1361" t="n"/>
      <c r="BL751" s="1361" t="n"/>
      <c r="BM751" s="1361" t="n"/>
      <c r="BN751" s="1379" t="n"/>
      <c r="BO751" s="1361" t="n"/>
      <c r="BP751" s="1361" t="n"/>
      <c r="BQ751" s="1363" t="n"/>
      <c r="BR751" s="1361" t="n"/>
      <c r="BS751" s="1379" t="n"/>
      <c r="BT751" s="1361" t="n"/>
      <c r="BU751" s="1361" t="n"/>
      <c r="BV751" s="1361" t="n"/>
      <c r="BW751" s="1361" t="n"/>
      <c r="BX751" s="1379" t="n"/>
      <c r="BY751" s="1379" t="n"/>
      <c r="BZ751" s="1379" t="n"/>
      <c r="CA751" s="1379" t="n"/>
      <c r="CB751" s="1361" t="n"/>
    </row>
    <row r="752" hidden="1" outlineLevel="2" ht="15" customFormat="1" customHeight="1" s="1359">
      <c r="A752" s="1783" t="inlineStr">
        <is>
          <t>Forward annual guidance - applicable period, period</t>
        </is>
      </c>
      <c r="B752" s="1784" t="n"/>
      <c r="C752" s="1785" t="n"/>
      <c r="D752" s="1785" t="n"/>
      <c r="E752" s="1785" t="n"/>
      <c r="F752" s="1785" t="n"/>
      <c r="G752" s="1786" t="n"/>
      <c r="H752" s="1786" t="n"/>
      <c r="I752" s="1786" t="n"/>
      <c r="J752" s="1786" t="n"/>
      <c r="K752" s="1785" t="n"/>
      <c r="L752" s="1786" t="n"/>
      <c r="M752" s="1786" t="n"/>
      <c r="N752" s="1786" t="n"/>
      <c r="O752" s="1786" t="n"/>
      <c r="P752" s="1785" t="n"/>
      <c r="Q752" s="1786" t="n"/>
      <c r="R752" s="1786" t="n"/>
      <c r="S752" s="1786" t="n"/>
      <c r="T752" s="1786" t="n"/>
      <c r="U752" s="1785" t="n"/>
      <c r="V752" s="1786" t="n"/>
      <c r="W752" s="1786" t="n"/>
      <c r="X752" s="1786" t="n"/>
      <c r="Y752" s="1786" t="n"/>
      <c r="Z752" s="1785" t="n"/>
      <c r="AA752" s="1786" t="n"/>
      <c r="AB752" s="1786" t="n"/>
      <c r="AC752" s="1786">
        <f>AE5</f>
        <v/>
      </c>
      <c r="AD752" s="1786">
        <f>AJ5</f>
        <v/>
      </c>
      <c r="AE752" s="1785">
        <f>AJ5</f>
        <v/>
      </c>
      <c r="AF752" s="1786">
        <f>AJ5</f>
        <v/>
      </c>
      <c r="AG752" s="1786">
        <f>AJ5</f>
        <v/>
      </c>
      <c r="AH752" s="1786">
        <f>AJ5</f>
        <v/>
      </c>
      <c r="AI752" s="1786">
        <f>AO5</f>
        <v/>
      </c>
      <c r="AJ752" s="1785">
        <f>AO5</f>
        <v/>
      </c>
      <c r="AK752" s="1786">
        <f>AO5</f>
        <v/>
      </c>
      <c r="AL752" s="1786">
        <f>AO5</f>
        <v/>
      </c>
      <c r="AM752" s="1786">
        <f>AO5</f>
        <v/>
      </c>
      <c r="AN752" s="1786">
        <f>AT5</f>
        <v/>
      </c>
      <c r="AO752" s="1785">
        <f>AT5</f>
        <v/>
      </c>
      <c r="AP752" s="1786">
        <f>AT5</f>
        <v/>
      </c>
      <c r="AQ752" s="1786">
        <f>AT5</f>
        <v/>
      </c>
      <c r="AR752" s="1786">
        <f>AT5</f>
        <v/>
      </c>
      <c r="AS752" s="1786">
        <f>AY5</f>
        <v/>
      </c>
      <c r="AT752" s="1785">
        <f>AY5</f>
        <v/>
      </c>
      <c r="AU752" s="1786">
        <f>AY5</f>
        <v/>
      </c>
      <c r="AV752" s="1786">
        <f>AY5</f>
        <v/>
      </c>
      <c r="AW752" s="1786">
        <f>AY5</f>
        <v/>
      </c>
      <c r="AX752" s="1786">
        <f>BD5</f>
        <v/>
      </c>
      <c r="AY752" s="1785">
        <f>BD5</f>
        <v/>
      </c>
      <c r="AZ752" s="1786">
        <f>BD5</f>
        <v/>
      </c>
      <c r="BA752" s="1786">
        <f>BD5</f>
        <v/>
      </c>
      <c r="BB752" s="1786">
        <f>BD5</f>
        <v/>
      </c>
      <c r="BC752" s="1786">
        <f>BI5</f>
        <v/>
      </c>
      <c r="BD752" s="1785">
        <f>BI5</f>
        <v/>
      </c>
      <c r="BE752" s="1786">
        <f>BI5</f>
        <v/>
      </c>
      <c r="BF752" s="1786">
        <f>BI5</f>
        <v/>
      </c>
      <c r="BG752" s="1786">
        <f>BI5</f>
        <v/>
      </c>
      <c r="BH752" s="1786">
        <f>BN5</f>
        <v/>
      </c>
      <c r="BI752" s="1785">
        <f>BN5</f>
        <v/>
      </c>
      <c r="BJ752" s="1786">
        <f>BN5</f>
        <v/>
      </c>
      <c r="BK752" s="1786">
        <f>BN5</f>
        <v/>
      </c>
      <c r="BL752" s="1786">
        <f>BN5</f>
        <v/>
      </c>
      <c r="BM752" s="1786">
        <f>BS5</f>
        <v/>
      </c>
      <c r="BN752" s="1785">
        <f>BS5</f>
        <v/>
      </c>
      <c r="BO752" s="1786">
        <f>BS5</f>
        <v/>
      </c>
      <c r="BP752" s="1786">
        <f>BS5</f>
        <v/>
      </c>
      <c r="BQ752" s="1787">
        <f>BS5</f>
        <v/>
      </c>
      <c r="BR752" s="1786" t="n"/>
      <c r="BS752" s="1785" t="n"/>
      <c r="BT752" s="1786" t="n"/>
      <c r="BU752" s="1786" t="n"/>
      <c r="BV752" s="1786" t="n"/>
      <c r="BW752" s="1786" t="n"/>
      <c r="BX752" s="1785" t="n"/>
      <c r="BY752" s="1785" t="n"/>
      <c r="BZ752" s="1785" t="n"/>
      <c r="CA752" s="1785" t="n"/>
      <c r="CB752" s="1788" t="n"/>
    </row>
    <row r="753" hidden="1" outlineLevel="3" ht="15" customFormat="1" customHeight="1" s="1359">
      <c r="A753" s="1474" t="inlineStr">
        <is>
          <t>Forward annual revenue guidance - low, mm</t>
        </is>
      </c>
      <c r="B753" s="1512" t="n"/>
      <c r="C753" s="1379" t="n"/>
      <c r="D753" s="1379" t="n"/>
      <c r="E753" s="1379" t="n"/>
      <c r="F753" s="1379" t="n"/>
      <c r="G753" s="1361" t="n"/>
      <c r="H753" s="1361" t="n"/>
      <c r="I753" s="1361" t="n"/>
      <c r="J753" s="1361" t="n"/>
      <c r="K753" s="1379" t="n"/>
      <c r="L753" s="1361" t="n"/>
      <c r="M753" s="1361" t="n"/>
      <c r="N753" s="1361" t="n"/>
      <c r="O753" s="1361" t="n"/>
      <c r="P753" s="1379" t="n"/>
      <c r="Q753" s="1361" t="n"/>
      <c r="R753" s="1361" t="n"/>
      <c r="S753" s="1361" t="n"/>
      <c r="T753" s="1361" t="n"/>
      <c r="U753" s="1379" t="n"/>
      <c r="V753" s="1361" t="n"/>
      <c r="W753" s="1361" t="n"/>
      <c r="X753" s="1361" t="n"/>
      <c r="Y753" s="1361" t="n"/>
      <c r="Z753" s="1379" t="n"/>
      <c r="AA753" s="1361" t="n"/>
      <c r="AB753" s="1361" t="n"/>
      <c r="AC753" s="1361">
        <f>AC1355</f>
        <v/>
      </c>
      <c r="AD753" s="1361">
        <f>AD1355</f>
        <v/>
      </c>
      <c r="AE753" s="1379">
        <f>AE1355</f>
        <v/>
      </c>
      <c r="AF753" s="1361">
        <f>AF1355</f>
        <v/>
      </c>
      <c r="AG753" s="1361">
        <f>AG1355</f>
        <v/>
      </c>
      <c r="AH753" s="1361">
        <f>AH1355</f>
        <v/>
      </c>
      <c r="AI753" s="1361">
        <f>AI1355</f>
        <v/>
      </c>
      <c r="AJ753" s="1379">
        <f>AJ1355</f>
        <v/>
      </c>
      <c r="AK753" s="1361">
        <f>AK1355</f>
        <v/>
      </c>
      <c r="AL753" s="1361">
        <f>AL1355</f>
        <v/>
      </c>
      <c r="AM753" s="1361">
        <f>AM1355</f>
        <v/>
      </c>
      <c r="AN753" s="1361">
        <f>AN1355</f>
        <v/>
      </c>
      <c r="AO753" s="1379">
        <f>AO1355</f>
        <v/>
      </c>
      <c r="AP753" s="1361">
        <f>AP1355</f>
        <v/>
      </c>
      <c r="AQ753" s="1361">
        <f>AQ1355</f>
        <v/>
      </c>
      <c r="AR753" s="1361">
        <f>AR1355</f>
        <v/>
      </c>
      <c r="AS753" s="1361">
        <f>AS1355</f>
        <v/>
      </c>
      <c r="AT753" s="1379">
        <f>AT1355</f>
        <v/>
      </c>
      <c r="AU753" s="1361">
        <f>AU1355</f>
        <v/>
      </c>
      <c r="AV753" s="1361">
        <f>AV1355</f>
        <v/>
      </c>
      <c r="AW753" s="1361">
        <f>AW1355</f>
        <v/>
      </c>
      <c r="AX753" s="1361">
        <f>AX1355</f>
        <v/>
      </c>
      <c r="AY753" s="1379">
        <f>AY1355</f>
        <v/>
      </c>
      <c r="AZ753" s="1361">
        <f>AZ1355</f>
        <v/>
      </c>
      <c r="BA753" s="1361">
        <f>BA1355</f>
        <v/>
      </c>
      <c r="BB753" s="1361">
        <f>BB1355</f>
        <v/>
      </c>
      <c r="BC753" s="1361">
        <f>BC1355</f>
        <v/>
      </c>
      <c r="BD753" s="1379">
        <f>BD1355</f>
        <v/>
      </c>
      <c r="BE753" s="1361">
        <f>BE1355</f>
        <v/>
      </c>
      <c r="BF753" s="1361">
        <f>BF1355</f>
        <v/>
      </c>
      <c r="BG753" s="1361">
        <f>BG1355</f>
        <v/>
      </c>
      <c r="BH753" s="1361">
        <f>BH1355</f>
        <v/>
      </c>
      <c r="BI753" s="1379">
        <f>BI1355</f>
        <v/>
      </c>
      <c r="BJ753" s="1361">
        <f>BJ1355</f>
        <v/>
      </c>
      <c r="BK753" s="1361">
        <f>BK1355</f>
        <v/>
      </c>
      <c r="BL753" s="1361">
        <f>BL1355</f>
        <v/>
      </c>
      <c r="BM753" s="1361">
        <f>BM1355</f>
        <v/>
      </c>
      <c r="BN753" s="1379">
        <f>BN1355</f>
        <v/>
      </c>
      <c r="BO753" s="1361">
        <f>BO1355</f>
        <v/>
      </c>
      <c r="BP753" s="1361">
        <f>BP1355</f>
        <v/>
      </c>
      <c r="BQ753" s="1363">
        <f>BQ1355</f>
        <v/>
      </c>
      <c r="BR753" s="1361" t="n"/>
      <c r="BS753" s="1379" t="n"/>
      <c r="BT753" s="1361" t="n"/>
      <c r="BU753" s="1361" t="n"/>
      <c r="BV753" s="1361" t="n"/>
      <c r="BW753" s="1361" t="n"/>
      <c r="BX753" s="1379" t="n"/>
      <c r="BY753" s="1379" t="n"/>
      <c r="BZ753" s="1379" t="n"/>
      <c r="CA753" s="1379" t="n"/>
      <c r="CB753" s="1361" t="n"/>
    </row>
    <row r="754" hidden="1" outlineLevel="3" ht="15" customFormat="1" customHeight="1" s="1359">
      <c r="A754" s="1789" t="inlineStr">
        <is>
          <t>Forward annual revenue guidance - high, mm</t>
        </is>
      </c>
      <c r="B754" s="1613" t="n"/>
      <c r="C754" s="1614" t="n"/>
      <c r="D754" s="1614" t="n"/>
      <c r="E754" s="1614" t="n"/>
      <c r="F754" s="1614" t="n"/>
      <c r="G754" s="1615" t="n"/>
      <c r="H754" s="1615" t="n"/>
      <c r="I754" s="1615" t="n"/>
      <c r="J754" s="1615" t="n"/>
      <c r="K754" s="1614" t="n"/>
      <c r="L754" s="1615" t="n"/>
      <c r="M754" s="1615" t="n"/>
      <c r="N754" s="1615" t="n"/>
      <c r="O754" s="1615" t="n"/>
      <c r="P754" s="1614" t="n"/>
      <c r="Q754" s="1615" t="n"/>
      <c r="R754" s="1615" t="n"/>
      <c r="S754" s="1615" t="n"/>
      <c r="T754" s="1615" t="n"/>
      <c r="U754" s="1614" t="n"/>
      <c r="V754" s="1615" t="n"/>
      <c r="W754" s="1615" t="n"/>
      <c r="X754" s="1615" t="n"/>
      <c r="Y754" s="1615" t="n"/>
      <c r="Z754" s="1614" t="n"/>
      <c r="AA754" s="1615" t="n"/>
      <c r="AB754" s="1615" t="n"/>
      <c r="AC754" s="1615">
        <f>AC1356</f>
        <v/>
      </c>
      <c r="AD754" s="1615">
        <f>AD1356</f>
        <v/>
      </c>
      <c r="AE754" s="1614">
        <f>AE1356</f>
        <v/>
      </c>
      <c r="AF754" s="1615">
        <f>AF1356</f>
        <v/>
      </c>
      <c r="AG754" s="1615">
        <f>AG1356</f>
        <v/>
      </c>
      <c r="AH754" s="1615">
        <f>AH1356</f>
        <v/>
      </c>
      <c r="AI754" s="1615">
        <f>AI1356</f>
        <v/>
      </c>
      <c r="AJ754" s="1614">
        <f>AJ1356</f>
        <v/>
      </c>
      <c r="AK754" s="1615">
        <f>AK1356</f>
        <v/>
      </c>
      <c r="AL754" s="1615">
        <f>AL1356</f>
        <v/>
      </c>
      <c r="AM754" s="1615">
        <f>AM1356</f>
        <v/>
      </c>
      <c r="AN754" s="1615">
        <f>AN1356</f>
        <v/>
      </c>
      <c r="AO754" s="1614">
        <f>AO1356</f>
        <v/>
      </c>
      <c r="AP754" s="1615">
        <f>AP1356</f>
        <v/>
      </c>
      <c r="AQ754" s="1615">
        <f>AQ1356</f>
        <v/>
      </c>
      <c r="AR754" s="1615">
        <f>AR1356</f>
        <v/>
      </c>
      <c r="AS754" s="1615">
        <f>AS1356</f>
        <v/>
      </c>
      <c r="AT754" s="1614">
        <f>AT1356</f>
        <v/>
      </c>
      <c r="AU754" s="1615">
        <f>AU1356</f>
        <v/>
      </c>
      <c r="AV754" s="1615">
        <f>AV1356</f>
        <v/>
      </c>
      <c r="AW754" s="1615">
        <f>AW1356</f>
        <v/>
      </c>
      <c r="AX754" s="1615">
        <f>AX1356</f>
        <v/>
      </c>
      <c r="AY754" s="1614">
        <f>AY1356</f>
        <v/>
      </c>
      <c r="AZ754" s="1615">
        <f>AZ1356</f>
        <v/>
      </c>
      <c r="BA754" s="1615">
        <f>BA1356</f>
        <v/>
      </c>
      <c r="BB754" s="1615">
        <f>BB1356</f>
        <v/>
      </c>
      <c r="BC754" s="1615">
        <f>BC1356</f>
        <v/>
      </c>
      <c r="BD754" s="1614">
        <f>BD1356</f>
        <v/>
      </c>
      <c r="BE754" s="1615">
        <f>BE1356</f>
        <v/>
      </c>
      <c r="BF754" s="1615">
        <f>BF1356</f>
        <v/>
      </c>
      <c r="BG754" s="1615">
        <f>BG1356</f>
        <v/>
      </c>
      <c r="BH754" s="1615">
        <f>BH1356</f>
        <v/>
      </c>
      <c r="BI754" s="1614">
        <f>BI1356</f>
        <v/>
      </c>
      <c r="BJ754" s="1615">
        <f>BJ1356</f>
        <v/>
      </c>
      <c r="BK754" s="1615">
        <f>BK1356</f>
        <v/>
      </c>
      <c r="BL754" s="1615">
        <f>BL1356</f>
        <v/>
      </c>
      <c r="BM754" s="1615">
        <f>BM1356</f>
        <v/>
      </c>
      <c r="BN754" s="1614">
        <f>BN1356</f>
        <v/>
      </c>
      <c r="BO754" s="1615">
        <f>BO1356</f>
        <v/>
      </c>
      <c r="BP754" s="1615">
        <f>BP1356</f>
        <v/>
      </c>
      <c r="BQ754" s="1616">
        <f>BQ1356</f>
        <v/>
      </c>
      <c r="BR754" s="1615" t="n"/>
      <c r="BS754" s="1614" t="n"/>
      <c r="BT754" s="1615" t="n"/>
      <c r="BU754" s="1615" t="n"/>
      <c r="BV754" s="1615" t="n"/>
      <c r="BW754" s="1615" t="n"/>
      <c r="BX754" s="1614" t="n"/>
      <c r="BY754" s="1614" t="n"/>
      <c r="BZ754" s="1614" t="n"/>
      <c r="CA754" s="1614" t="n"/>
      <c r="CB754" s="1361" t="n"/>
    </row>
    <row r="755" hidden="1" outlineLevel="2" collapsed="1" ht="15" customFormat="1" customHeight="1" s="1359">
      <c r="A755" s="1447" t="inlineStr">
        <is>
          <t>Forward annual revenue guidance - midpoint, mm</t>
        </is>
      </c>
      <c r="B755" s="1517" t="n"/>
      <c r="C755" s="1449" t="n"/>
      <c r="D755" s="1449" t="n"/>
      <c r="E755" s="1449" t="n"/>
      <c r="F755" s="1449" t="n"/>
      <c r="G755" s="1450" t="n"/>
      <c r="H755" s="1450" t="n"/>
      <c r="I755" s="1450" t="n"/>
      <c r="J755" s="1450" t="n"/>
      <c r="K755" s="1449" t="n"/>
      <c r="L755" s="1450" t="n"/>
      <c r="M755" s="1450" t="n"/>
      <c r="N755" s="1450" t="n"/>
      <c r="O755" s="1450" t="n"/>
      <c r="P755" s="1449" t="n"/>
      <c r="Q755" s="1450" t="n"/>
      <c r="R755" s="1450" t="n"/>
      <c r="S755" s="1450" t="n"/>
      <c r="T755" s="1450" t="n"/>
      <c r="U755" s="1449" t="n"/>
      <c r="V755" s="1450" t="n"/>
      <c r="W755" s="1450" t="n"/>
      <c r="X755" s="1450" t="n"/>
      <c r="Y755" s="1450" t="n"/>
      <c r="Z755" s="1449" t="n"/>
      <c r="AA755" s="1450" t="n"/>
      <c r="AB755" s="1450" t="n"/>
      <c r="AC755" s="1450">
        <f>IFERROR(AVERAGE(AC753,AC754),"")</f>
        <v/>
      </c>
      <c r="AD755" s="1450">
        <f>IFERROR(AVERAGE(AD753,AD754),"")</f>
        <v/>
      </c>
      <c r="AE755" s="1449">
        <f>IFERROR(AVERAGE(AE753,AE754),"")</f>
        <v/>
      </c>
      <c r="AF755" s="1450">
        <f>IFERROR(AVERAGE(AF753,AF754),"")</f>
        <v/>
      </c>
      <c r="AG755" s="1450">
        <f>IFERROR(AVERAGE(AG753,AG754),"")</f>
        <v/>
      </c>
      <c r="AH755" s="1450">
        <f>IFERROR(AVERAGE(AH753,AH754),"")</f>
        <v/>
      </c>
      <c r="AI755" s="1450">
        <f>IFERROR(AVERAGE(AI753,AI754),"")</f>
        <v/>
      </c>
      <c r="AJ755" s="1449">
        <f>IFERROR(AVERAGE(AJ753,AJ754),"")</f>
        <v/>
      </c>
      <c r="AK755" s="1450">
        <f>IFERROR(AVERAGE(AK753,AK754),"")</f>
        <v/>
      </c>
      <c r="AL755" s="1450">
        <f>IFERROR(AVERAGE(AL753,AL754),"")</f>
        <v/>
      </c>
      <c r="AM755" s="1450">
        <f>IFERROR(AVERAGE(AM753,AM754),"")</f>
        <v/>
      </c>
      <c r="AN755" s="1450">
        <f>IFERROR(AVERAGE(AN753,AN754),"")</f>
        <v/>
      </c>
      <c r="AO755" s="1449">
        <f>IFERROR(AVERAGE(AO753,AO754),"")</f>
        <v/>
      </c>
      <c r="AP755" s="1450">
        <f>IFERROR(AVERAGE(AP753,AP754),"")</f>
        <v/>
      </c>
      <c r="AQ755" s="1450">
        <f>IFERROR(AVERAGE(AQ753,AQ754),"")</f>
        <v/>
      </c>
      <c r="AR755" s="1450">
        <f>IFERROR(AVERAGE(AR753,AR754),"")</f>
        <v/>
      </c>
      <c r="AS755" s="1450">
        <f>IFERROR(AVERAGE(AS753,AS754),"")</f>
        <v/>
      </c>
      <c r="AT755" s="1449">
        <f>IFERROR(AVERAGE(AT753,AT754),"")</f>
        <v/>
      </c>
      <c r="AU755" s="1450">
        <f>IFERROR(AVERAGE(AU753,AU754),"")</f>
        <v/>
      </c>
      <c r="AV755" s="1450">
        <f>IFERROR(AVERAGE(AV753,AV754),"")</f>
        <v/>
      </c>
      <c r="AW755" s="1450">
        <f>IFERROR(AVERAGE(AW753,AW754),"")</f>
        <v/>
      </c>
      <c r="AX755" s="1450">
        <f>IFERROR(AVERAGE(AX753,AX754),"")</f>
        <v/>
      </c>
      <c r="AY755" s="1449">
        <f>IFERROR(AVERAGE(AY753,AY754),"")</f>
        <v/>
      </c>
      <c r="AZ755" s="1450">
        <f>IFERROR(AVERAGE(AZ753,AZ754),"")</f>
        <v/>
      </c>
      <c r="BA755" s="1450">
        <f>IFERROR(AVERAGE(BA753,BA754),"")</f>
        <v/>
      </c>
      <c r="BB755" s="1450">
        <f>IFERROR(AVERAGE(BB753,BB754),"")</f>
        <v/>
      </c>
      <c r="BC755" s="1450">
        <f>IFERROR(AVERAGE(BC753,BC754),"")</f>
        <v/>
      </c>
      <c r="BD755" s="1449">
        <f>IFERROR(AVERAGE(BD753,BD754),"")</f>
        <v/>
      </c>
      <c r="BE755" s="1450">
        <f>IFERROR(AVERAGE(BE753,BE754),"")</f>
        <v/>
      </c>
      <c r="BF755" s="1450">
        <f>IFERROR(AVERAGE(BF753,BF754),"")</f>
        <v/>
      </c>
      <c r="BG755" s="1450">
        <f>IFERROR(AVERAGE(BG753,BG754),"")</f>
        <v/>
      </c>
      <c r="BH755" s="1450">
        <f>IFERROR(AVERAGE(BH753,BH754),"")</f>
        <v/>
      </c>
      <c r="BI755" s="1449">
        <f>IFERROR(AVERAGE(BI753,BI754),"")</f>
        <v/>
      </c>
      <c r="BJ755" s="1450">
        <f>IFERROR(AVERAGE(BJ753,BJ754),"")</f>
        <v/>
      </c>
      <c r="BK755" s="1450">
        <f>IFERROR(AVERAGE(BK753,BK754),"")</f>
        <v/>
      </c>
      <c r="BL755" s="1450">
        <f>IFERROR(AVERAGE(BL753,BL754),"")</f>
        <v/>
      </c>
      <c r="BM755" s="1450">
        <f>IFERROR(AVERAGE(BM753,BM754),"")</f>
        <v/>
      </c>
      <c r="BN755" s="1449">
        <f>IFERROR(AVERAGE(BN753,BN754),"")</f>
        <v/>
      </c>
      <c r="BO755" s="1450">
        <f>IFERROR(AVERAGE(BO753,BO754),"")</f>
        <v/>
      </c>
      <c r="BP755" s="1450">
        <f>IFERROR(AVERAGE(BP753,BP754),"")</f>
        <v/>
      </c>
      <c r="BQ755" s="1451">
        <f>IFERROR(AVERAGE(BQ753,BQ754),"")</f>
        <v/>
      </c>
      <c r="BR755" s="1450" t="n"/>
      <c r="BS755" s="1449" t="n"/>
      <c r="BT755" s="1450" t="n"/>
      <c r="BU755" s="1450" t="n"/>
      <c r="BV755" s="1450" t="n"/>
      <c r="BW755" s="1450" t="n"/>
      <c r="BX755" s="1449" t="n"/>
      <c r="BY755" s="1449" t="n"/>
      <c r="BZ755" s="1449" t="n"/>
      <c r="CA755" s="1449" t="n"/>
      <c r="CB755" s="1450" t="n"/>
    </row>
    <row r="756" hidden="1" outlineLevel="2" ht="15" customFormat="1" customHeight="1" s="1359">
      <c r="A756" s="1474" t="inlineStr">
        <is>
          <t>Forward annual revenue guidance variance, mm</t>
        </is>
      </c>
      <c r="B756" s="1512" t="n"/>
      <c r="C756" s="1379" t="n"/>
      <c r="D756" s="1379" t="n"/>
      <c r="E756" s="1379" t="n"/>
      <c r="F756" s="1379" t="n"/>
      <c r="G756" s="1361" t="n"/>
      <c r="H756" s="1361" t="n"/>
      <c r="I756" s="1361" t="n"/>
      <c r="J756" s="1361" t="n"/>
      <c r="K756" s="1379" t="n"/>
      <c r="L756" s="1361" t="n"/>
      <c r="M756" s="1361" t="n"/>
      <c r="N756" s="1361" t="n"/>
      <c r="O756" s="1361" t="n"/>
      <c r="P756" s="1379" t="n"/>
      <c r="Q756" s="1361" t="n"/>
      <c r="R756" s="1361" t="n"/>
      <c r="S756" s="1361" t="n"/>
      <c r="T756" s="1361" t="n"/>
      <c r="U756" s="1379" t="n"/>
      <c r="V756" s="1361" t="n"/>
      <c r="W756" s="1361" t="n"/>
      <c r="X756" s="1361" t="n"/>
      <c r="Y756" s="1361" t="n"/>
      <c r="Z756" s="1379" t="n"/>
      <c r="AA756" s="1361" t="n"/>
      <c r="AB756" s="1361" t="n"/>
      <c r="AC756" s="1361">
        <f>IFERROR(ABS(AC754-AC753),"")</f>
        <v/>
      </c>
      <c r="AD756" s="1361">
        <f>IFERROR(ABS(AD754-AD753),"")</f>
        <v/>
      </c>
      <c r="AE756" s="1379">
        <f>IFERROR(ABS(AE754-AE753),"")</f>
        <v/>
      </c>
      <c r="AF756" s="1361">
        <f>IFERROR(ABS(AF754-AF753),"")</f>
        <v/>
      </c>
      <c r="AG756" s="1361">
        <f>IFERROR(ABS(AG754-AG753),"")</f>
        <v/>
      </c>
      <c r="AH756" s="1361">
        <f>IFERROR(ABS(AH754-AH753),"")</f>
        <v/>
      </c>
      <c r="AI756" s="1361">
        <f>IFERROR(ABS(AI754-AI753),"")</f>
        <v/>
      </c>
      <c r="AJ756" s="1379">
        <f>IFERROR(ABS(AJ754-AJ753),"")</f>
        <v/>
      </c>
      <c r="AK756" s="1361">
        <f>IFERROR(ABS(AK754-AK753),"")</f>
        <v/>
      </c>
      <c r="AL756" s="1361">
        <f>IFERROR(ABS(AL754-AL753),"")</f>
        <v/>
      </c>
      <c r="AM756" s="1361">
        <f>IFERROR(ABS(AM754-AM753),"")</f>
        <v/>
      </c>
      <c r="AN756" s="1361">
        <f>IFERROR(ABS(AN754-AN753),"")</f>
        <v/>
      </c>
      <c r="AO756" s="1379">
        <f>IFERROR(ABS(AO754-AO753),"")</f>
        <v/>
      </c>
      <c r="AP756" s="1361">
        <f>IFERROR(ABS(AP754-AP753),"")</f>
        <v/>
      </c>
      <c r="AQ756" s="1361">
        <f>IFERROR(ABS(AQ754-AQ753),"")</f>
        <v/>
      </c>
      <c r="AR756" s="1361">
        <f>IFERROR(ABS(AR754-AR753),"")</f>
        <v/>
      </c>
      <c r="AS756" s="1361">
        <f>IFERROR(ABS(AS754-AS753),"")</f>
        <v/>
      </c>
      <c r="AT756" s="1379">
        <f>IFERROR(ABS(AT754-AT753),"")</f>
        <v/>
      </c>
      <c r="AU756" s="1361">
        <f>IFERROR(ABS(AU754-AU753),"")</f>
        <v/>
      </c>
      <c r="AV756" s="1361">
        <f>IFERROR(ABS(AV754-AV753),"")</f>
        <v/>
      </c>
      <c r="AW756" s="1361">
        <f>IFERROR(ABS(AW754-AW753),"")</f>
        <v/>
      </c>
      <c r="AX756" s="1361">
        <f>IFERROR(ABS(AX754-AX753),"")</f>
        <v/>
      </c>
      <c r="AY756" s="1379">
        <f>IFERROR(ABS(AY754-AY753),"")</f>
        <v/>
      </c>
      <c r="AZ756" s="1361">
        <f>IFERROR(ABS(AZ754-AZ753),"")</f>
        <v/>
      </c>
      <c r="BA756" s="1361">
        <f>IFERROR(ABS(BA754-BA753),"")</f>
        <v/>
      </c>
      <c r="BB756" s="1361">
        <f>IFERROR(ABS(BB754-BB753),"")</f>
        <v/>
      </c>
      <c r="BC756" s="1361">
        <f>IFERROR(ABS(BC754-BC753),"")</f>
        <v/>
      </c>
      <c r="BD756" s="1379">
        <f>IFERROR(ABS(BD754-BD753),"")</f>
        <v/>
      </c>
      <c r="BE756" s="1361">
        <f>IFERROR(ABS(BE754-BE753),"")</f>
        <v/>
      </c>
      <c r="BF756" s="1361">
        <f>IFERROR(ABS(BF754-BF753),"")</f>
        <v/>
      </c>
      <c r="BG756" s="1361">
        <f>IFERROR(ABS(BG754-BG753),"")</f>
        <v/>
      </c>
      <c r="BH756" s="1361">
        <f>IFERROR(ABS(BH754-BH753),"")</f>
        <v/>
      </c>
      <c r="BI756" s="1379">
        <f>IFERROR(ABS(BI754-BI753),"")</f>
        <v/>
      </c>
      <c r="BJ756" s="1361">
        <f>IFERROR(ABS(BJ754-BJ753),"")</f>
        <v/>
      </c>
      <c r="BK756" s="1361">
        <f>IFERROR(ABS(BK754-BK753),"")</f>
        <v/>
      </c>
      <c r="BL756" s="1361">
        <f>IFERROR(ABS(BL754-BL753),"")</f>
        <v/>
      </c>
      <c r="BM756" s="1361">
        <f>IFERROR(ABS(BM754-BM753),"")</f>
        <v/>
      </c>
      <c r="BN756" s="1379">
        <f>IFERROR(ABS(BN754-BN753),"")</f>
        <v/>
      </c>
      <c r="BO756" s="1361">
        <f>IFERROR(ABS(BO754-BO753),"")</f>
        <v/>
      </c>
      <c r="BP756" s="1361">
        <f>IFERROR(ABS(BP754-BP753),"")</f>
        <v/>
      </c>
      <c r="BQ756" s="1363">
        <f>IFERROR(ABS(BQ754-BQ753),"")</f>
        <v/>
      </c>
      <c r="BR756" s="1361" t="n"/>
      <c r="BS756" s="1379" t="n"/>
      <c r="BT756" s="1361" t="n"/>
      <c r="BU756" s="1361" t="n"/>
      <c r="BV756" s="1361" t="n"/>
      <c r="BW756" s="1361" t="n"/>
      <c r="BX756" s="1379" t="n"/>
      <c r="BY756" s="1379" t="n"/>
      <c r="BZ756" s="1379" t="n"/>
      <c r="CA756" s="1379" t="n"/>
      <c r="CB756" s="1361" t="n"/>
    </row>
    <row r="757" hidden="1" outlineLevel="2" ht="15" customFormat="1" customHeight="1" s="1359">
      <c r="A757" s="1486" t="inlineStr">
        <is>
          <t>Forward annual revenue guidance variance (+/-), %</t>
        </is>
      </c>
      <c r="B757" s="1512" t="n"/>
      <c r="C757" s="1463" t="n"/>
      <c r="D757" s="1463" t="n"/>
      <c r="E757" s="1463" t="n"/>
      <c r="F757" s="1463" t="n"/>
      <c r="G757" s="1466" t="n"/>
      <c r="H757" s="1466" t="n"/>
      <c r="I757" s="1466" t="n"/>
      <c r="J757" s="1466" t="n"/>
      <c r="K757" s="1463" t="n"/>
      <c r="L757" s="1466" t="n"/>
      <c r="M757" s="1466" t="n"/>
      <c r="N757" s="1466" t="n"/>
      <c r="O757" s="1466" t="n"/>
      <c r="P757" s="1463" t="n"/>
      <c r="Q757" s="1466" t="n"/>
      <c r="R757" s="1466" t="n"/>
      <c r="S757" s="1466" t="n"/>
      <c r="T757" s="1466" t="n"/>
      <c r="U757" s="1463" t="n"/>
      <c r="V757" s="1466" t="n"/>
      <c r="W757" s="1466" t="n"/>
      <c r="X757" s="1466" t="n"/>
      <c r="Y757" s="1466" t="n"/>
      <c r="Z757" s="1463" t="n"/>
      <c r="AA757" s="1466" t="n"/>
      <c r="AB757" s="1466" t="n"/>
      <c r="AC757" s="1466">
        <f>IFERROR(ABS((AC754-AC755)/AC755),"")</f>
        <v/>
      </c>
      <c r="AD757" s="1466">
        <f>IFERROR(ABS((AD754-AD755)/AD755),"")</f>
        <v/>
      </c>
      <c r="AE757" s="1463">
        <f>IFERROR(ABS((AE754-AE755)/AE755),"")</f>
        <v/>
      </c>
      <c r="AF757" s="1466">
        <f>IFERROR(ABS((AF754-AF755)/AF755),"")</f>
        <v/>
      </c>
      <c r="AG757" s="1466">
        <f>IFERROR(ABS((AG754-AG755)/AG755),"")</f>
        <v/>
      </c>
      <c r="AH757" s="1466">
        <f>IFERROR(ABS((AH754-AH755)/AH755),"")</f>
        <v/>
      </c>
      <c r="AI757" s="1466">
        <f>IFERROR(ABS((AI754-AI755)/AI755),"")</f>
        <v/>
      </c>
      <c r="AJ757" s="1463">
        <f>IFERROR(ABS((AJ754-AJ755)/AJ755),"")</f>
        <v/>
      </c>
      <c r="AK757" s="1466">
        <f>IFERROR(ABS((AK754-AK755)/AK755),"")</f>
        <v/>
      </c>
      <c r="AL757" s="1466">
        <f>IFERROR(ABS((AL754-AL755)/AL755),"")</f>
        <v/>
      </c>
      <c r="AM757" s="1466">
        <f>IFERROR(ABS((AM754-AM755)/AM755),"")</f>
        <v/>
      </c>
      <c r="AN757" s="1466">
        <f>IFERROR(ABS((AN754-AN755)/AN755),"")</f>
        <v/>
      </c>
      <c r="AO757" s="1463">
        <f>IFERROR(ABS((AO754-AO755)/AO755),"")</f>
        <v/>
      </c>
      <c r="AP757" s="1466">
        <f>IFERROR(ABS((AP754-AP755)/AP755),"")</f>
        <v/>
      </c>
      <c r="AQ757" s="1466">
        <f>IFERROR(ABS((AQ754-AQ755)/AQ755),"")</f>
        <v/>
      </c>
      <c r="AR757" s="1466">
        <f>IFERROR(ABS((AR754-AR755)/AR755),"")</f>
        <v/>
      </c>
      <c r="AS757" s="1466">
        <f>IFERROR(ABS((AS754-AS755)/AS755),"")</f>
        <v/>
      </c>
      <c r="AT757" s="1463">
        <f>IFERROR(ABS((AT754-AT755)/AT755),"")</f>
        <v/>
      </c>
      <c r="AU757" s="1466">
        <f>IFERROR(ABS((AU754-AU755)/AU755),"")</f>
        <v/>
      </c>
      <c r="AV757" s="1466">
        <f>IFERROR(ABS((AV754-AV755)/AV755),"")</f>
        <v/>
      </c>
      <c r="AW757" s="1466">
        <f>IFERROR(ABS((AW754-AW755)/AW755),"")</f>
        <v/>
      </c>
      <c r="AX757" s="1466">
        <f>IFERROR(ABS((AX754-AX755)/AX755),"")</f>
        <v/>
      </c>
      <c r="AY757" s="1463">
        <f>IFERROR(ABS((AY754-AY755)/AY755),"")</f>
        <v/>
      </c>
      <c r="AZ757" s="1466">
        <f>IFERROR(ABS((AZ754-AZ755)/AZ755),"")</f>
        <v/>
      </c>
      <c r="BA757" s="1466">
        <f>IFERROR(ABS((BA754-BA755)/BA755),"")</f>
        <v/>
      </c>
      <c r="BB757" s="1466">
        <f>IFERROR(ABS((BB754-BB755)/BB755),"")</f>
        <v/>
      </c>
      <c r="BC757" s="1466">
        <f>IFERROR(ABS((BC754-BC755)/BC755),"")</f>
        <v/>
      </c>
      <c r="BD757" s="1463">
        <f>IFERROR(ABS((BD754-BD755)/BD755),"")</f>
        <v/>
      </c>
      <c r="BE757" s="1466">
        <f>IFERROR(ABS((BE754-BE755)/BE755),"")</f>
        <v/>
      </c>
      <c r="BF757" s="1466">
        <f>IFERROR(ABS((BF754-BF755)/BF755),"")</f>
        <v/>
      </c>
      <c r="BG757" s="1466">
        <f>IFERROR(ABS((BG754-BG755)/BG755),"")</f>
        <v/>
      </c>
      <c r="BH757" s="1466">
        <f>IFERROR(ABS((BH754-BH755)/BH755),"")</f>
        <v/>
      </c>
      <c r="BI757" s="1463">
        <f>IFERROR(ABS((BI754-BI755)/BI755),"")</f>
        <v/>
      </c>
      <c r="BJ757" s="1466">
        <f>IFERROR(ABS((BJ754-BJ755)/BJ755),"")</f>
        <v/>
      </c>
      <c r="BK757" s="1466">
        <f>IFERROR(ABS((BK754-BK755)/BK755),"")</f>
        <v/>
      </c>
      <c r="BL757" s="1466">
        <f>IFERROR(ABS((BL754-BL755)/BL755),"")</f>
        <v/>
      </c>
      <c r="BM757" s="1466">
        <f>IFERROR(ABS((BM754-BM755)/BM755),"")</f>
        <v/>
      </c>
      <c r="BN757" s="1463">
        <f>IFERROR(ABS((BN754-BN755)/BN755),"")</f>
        <v/>
      </c>
      <c r="BO757" s="1466">
        <f>IFERROR(ABS((BO754-BO755)/BO755),"")</f>
        <v/>
      </c>
      <c r="BP757" s="1466">
        <f>IFERROR(ABS((BP754-BP755)/BP755),"")</f>
        <v/>
      </c>
      <c r="BQ757" s="1491">
        <f>IFERROR(ABS((BQ754-BQ755)/BQ755),"")</f>
        <v/>
      </c>
      <c r="BR757" s="1466" t="n"/>
      <c r="BS757" s="1463" t="n"/>
      <c r="BT757" s="1466" t="n"/>
      <c r="BU757" s="1466" t="n"/>
      <c r="BV757" s="1466" t="n"/>
      <c r="BW757" s="1466" t="n"/>
      <c r="BX757" s="1463" t="n"/>
      <c r="BY757" s="1463" t="n"/>
      <c r="BZ757" s="1463" t="n"/>
      <c r="CA757" s="1463" t="n"/>
      <c r="CB757" s="1466" t="n"/>
    </row>
    <row r="758" hidden="1" outlineLevel="3" ht="15" customFormat="1" customHeight="1" s="1359">
      <c r="A758" s="1476" t="inlineStr">
        <is>
          <t>Forward annual guided Y/Y revenue growth - low, %</t>
        </is>
      </c>
      <c r="B758" s="1590" t="n"/>
      <c r="C758" s="1382" t="n"/>
      <c r="D758" s="1382" t="n"/>
      <c r="E758" s="1382" t="n"/>
      <c r="F758" s="1382" t="n"/>
      <c r="G758" s="1384" t="n"/>
      <c r="H758" s="1384" t="n"/>
      <c r="I758" s="1384" t="n"/>
      <c r="J758" s="1384" t="n"/>
      <c r="K758" s="1382" t="n"/>
      <c r="L758" s="1384" t="n"/>
      <c r="M758" s="1384" t="n"/>
      <c r="N758" s="1384" t="n"/>
      <c r="O758" s="1384" t="n"/>
      <c r="P758" s="1382" t="n"/>
      <c r="Q758" s="1384" t="n"/>
      <c r="R758" s="1384" t="n"/>
      <c r="S758" s="1384" t="n"/>
      <c r="T758" s="1384" t="n"/>
      <c r="U758" s="1382" t="n"/>
      <c r="V758" s="1384" t="n"/>
      <c r="W758" s="1384" t="n"/>
      <c r="X758" s="1384" t="n"/>
      <c r="Y758" s="1384" t="n"/>
      <c r="Z758" s="1382" t="n"/>
      <c r="AA758" s="1384" t="n"/>
      <c r="AB758" s="1384" t="n"/>
      <c r="AC758" s="1384">
        <f>IFERROR(AC753/Z723-1,"")</f>
        <v/>
      </c>
      <c r="AD758" s="1384">
        <f>IFERROR(AD753/AE723-1,"")</f>
        <v/>
      </c>
      <c r="AE758" s="1382">
        <f>IFERROR(AE753/AE723-1,"")</f>
        <v/>
      </c>
      <c r="AF758" s="1384">
        <f>IFERROR(AF753/AE723-1,"")</f>
        <v/>
      </c>
      <c r="AG758" s="1384">
        <f>IFERROR(AG753/AE723-1,"")</f>
        <v/>
      </c>
      <c r="AH758" s="1384">
        <f>IFERROR(AH753/AE723-1,"")</f>
        <v/>
      </c>
      <c r="AI758" s="1384">
        <f>IFERROR(AI753/AJ723-1,"")</f>
        <v/>
      </c>
      <c r="AJ758" s="1382">
        <f>IFERROR(AJ753/AJ723-1,"")</f>
        <v/>
      </c>
      <c r="AK758" s="1384">
        <f>IFERROR(AK753/AJ723-1,"")</f>
        <v/>
      </c>
      <c r="AL758" s="1384">
        <f>IFERROR(AL753/AJ723-1,"")</f>
        <v/>
      </c>
      <c r="AM758" s="1384">
        <f>IFERROR(AM753/AJ723-1,"")</f>
        <v/>
      </c>
      <c r="AN758" s="1384">
        <f>IFERROR(AN753/AO723-1,"")</f>
        <v/>
      </c>
      <c r="AO758" s="1382">
        <f>IFERROR(AO753/AO723-1,"")</f>
        <v/>
      </c>
      <c r="AP758" s="1384">
        <f>IFERROR(AP753/AO723-1,"")</f>
        <v/>
      </c>
      <c r="AQ758" s="1384">
        <f>IFERROR(AQ753/AO723-1,"")</f>
        <v/>
      </c>
      <c r="AR758" s="1384">
        <f>IFERROR(AR753/AO723-1,"")</f>
        <v/>
      </c>
      <c r="AS758" s="1384">
        <f>IFERROR(AS753/AT723-1,"")</f>
        <v/>
      </c>
      <c r="AT758" s="1382">
        <f>IFERROR(AT753/AT723-1,"")</f>
        <v/>
      </c>
      <c r="AU758" s="1384">
        <f>IFERROR(AU753/AT723-1,"")</f>
        <v/>
      </c>
      <c r="AV758" s="1384">
        <f>IFERROR(AV753/AT723-1,"")</f>
        <v/>
      </c>
      <c r="AW758" s="1384">
        <f>IFERROR(AW753/AT723-1,"")</f>
        <v/>
      </c>
      <c r="AX758" s="1384">
        <f>IFERROR(AX753/AY723-1,"")</f>
        <v/>
      </c>
      <c r="AY758" s="1382">
        <f>IFERROR(AY753/AY723-1,"")</f>
        <v/>
      </c>
      <c r="AZ758" s="1384">
        <f>IFERROR(AZ753/AY723-1,"")</f>
        <v/>
      </c>
      <c r="BA758" s="1384">
        <f>IFERROR(BA753/AY723-1,"")</f>
        <v/>
      </c>
      <c r="BB758" s="1384">
        <f>IFERROR(BB753/AY723-1,"")</f>
        <v/>
      </c>
      <c r="BC758" s="1384">
        <f>IFERROR(BC753/BD723-1,"")</f>
        <v/>
      </c>
      <c r="BD758" s="1382">
        <f>IFERROR(BD753/BD723-1,"")</f>
        <v/>
      </c>
      <c r="BE758" s="1384">
        <f>IFERROR(BE753/BD723-1,"")</f>
        <v/>
      </c>
      <c r="BF758" s="1384">
        <f>IFERROR(BF753/BD723-1,"")</f>
        <v/>
      </c>
      <c r="BG758" s="1384">
        <f>IFERROR(BG753/BD723-1,"")</f>
        <v/>
      </c>
      <c r="BH758" s="1384">
        <f>IFERROR(BH753/BI723-1,"")</f>
        <v/>
      </c>
      <c r="BI758" s="1382">
        <f>IFERROR(BI753/BI723-1,"")</f>
        <v/>
      </c>
      <c r="BJ758" s="1384">
        <f>IFERROR(BJ753/BI723-1,"")</f>
        <v/>
      </c>
      <c r="BK758" s="1384">
        <f>IFERROR(BK753/BI723-1,"")</f>
        <v/>
      </c>
      <c r="BL758" s="1384">
        <f>IFERROR(BL753/BI723-1,"")</f>
        <v/>
      </c>
      <c r="BM758" s="1384">
        <f>IFERROR(BM753/BN723-1,"")</f>
        <v/>
      </c>
      <c r="BN758" s="1382">
        <f>IFERROR(BN753/BN723-1,"")</f>
        <v/>
      </c>
      <c r="BO758" s="1384">
        <f>IFERROR(BO753/BN723-1,"")</f>
        <v/>
      </c>
      <c r="BP758" s="1384">
        <f>IFERROR(BP753/BN723-1,"")</f>
        <v/>
      </c>
      <c r="BQ758" s="1386">
        <f>IFERROR(BQ753/BN723-1,"")</f>
        <v/>
      </c>
      <c r="BR758" s="1384" t="n"/>
      <c r="BS758" s="1382" t="n"/>
      <c r="BT758" s="1384" t="n"/>
      <c r="BU758" s="1384" t="n"/>
      <c r="BV758" s="1384" t="n"/>
      <c r="BW758" s="1384" t="n"/>
      <c r="BX758" s="1382" t="n"/>
      <c r="BY758" s="1382" t="n"/>
      <c r="BZ758" s="1382" t="n"/>
      <c r="CA758" s="1382" t="n"/>
      <c r="CB758" s="1384" t="n"/>
    </row>
    <row r="759" hidden="1" outlineLevel="3" ht="15" customFormat="1" customHeight="1" s="1359">
      <c r="A759" s="1790" t="inlineStr">
        <is>
          <t>Forward annual guided Y/Y revenue growth - high, %</t>
        </is>
      </c>
      <c r="B759" s="1774" t="n"/>
      <c r="C759" s="1775" t="n"/>
      <c r="D759" s="1775" t="n"/>
      <c r="E759" s="1775" t="n"/>
      <c r="F759" s="1775" t="n"/>
      <c r="G759" s="1776" t="n"/>
      <c r="H759" s="1776" t="n"/>
      <c r="I759" s="1776" t="n"/>
      <c r="J759" s="1776" t="n"/>
      <c r="K759" s="1775" t="n"/>
      <c r="L759" s="1776" t="n"/>
      <c r="M759" s="1776" t="n"/>
      <c r="N759" s="1776" t="n"/>
      <c r="O759" s="1776" t="n"/>
      <c r="P759" s="1775" t="n"/>
      <c r="Q759" s="1776" t="n"/>
      <c r="R759" s="1776" t="n"/>
      <c r="S759" s="1776" t="n"/>
      <c r="T759" s="1776" t="n"/>
      <c r="U759" s="1775" t="n"/>
      <c r="V759" s="1776" t="n"/>
      <c r="W759" s="1776" t="n"/>
      <c r="X759" s="1776" t="n"/>
      <c r="Y759" s="1776" t="n"/>
      <c r="Z759" s="1775" t="n"/>
      <c r="AA759" s="1776" t="n"/>
      <c r="AB759" s="1776" t="n"/>
      <c r="AC759" s="1776">
        <f>IFERROR(AC754/Z723-1,"")</f>
        <v/>
      </c>
      <c r="AD759" s="1776">
        <f>IFERROR(AD754/AE723-1,"")</f>
        <v/>
      </c>
      <c r="AE759" s="1775">
        <f>IFERROR(AE754/AE723-1,"")</f>
        <v/>
      </c>
      <c r="AF759" s="1776">
        <f>IFERROR(AF754/AE723-1,"")</f>
        <v/>
      </c>
      <c r="AG759" s="1776">
        <f>IFERROR(AG754/AE723-1,"")</f>
        <v/>
      </c>
      <c r="AH759" s="1776">
        <f>IFERROR(AH754/AE723-1,"")</f>
        <v/>
      </c>
      <c r="AI759" s="1776">
        <f>IFERROR(AI754/AJ723-1,"")</f>
        <v/>
      </c>
      <c r="AJ759" s="1775">
        <f>IFERROR(AJ754/AJ723-1,"")</f>
        <v/>
      </c>
      <c r="AK759" s="1776">
        <f>IFERROR(AK754/AJ723-1,"")</f>
        <v/>
      </c>
      <c r="AL759" s="1776">
        <f>IFERROR(AL754/AJ723-1,"")</f>
        <v/>
      </c>
      <c r="AM759" s="1776">
        <f>IFERROR(AM754/AJ723-1,"")</f>
        <v/>
      </c>
      <c r="AN759" s="1776">
        <f>IFERROR(AN754/AO723-1,"")</f>
        <v/>
      </c>
      <c r="AO759" s="1775">
        <f>IFERROR(AO754/AO723-1,"")</f>
        <v/>
      </c>
      <c r="AP759" s="1776">
        <f>IFERROR(AP754/AO723-1,"")</f>
        <v/>
      </c>
      <c r="AQ759" s="1776">
        <f>IFERROR(AQ754/AO723-1,"")</f>
        <v/>
      </c>
      <c r="AR759" s="1776">
        <f>IFERROR(AR754/AO723-1,"")</f>
        <v/>
      </c>
      <c r="AS759" s="1776">
        <f>IFERROR(AS754/AT723-1,"")</f>
        <v/>
      </c>
      <c r="AT759" s="1775">
        <f>IFERROR(AT754/AT723-1,"")</f>
        <v/>
      </c>
      <c r="AU759" s="1776">
        <f>IFERROR(AU754/AT723-1,"")</f>
        <v/>
      </c>
      <c r="AV759" s="1776">
        <f>IFERROR(AV754/AT723-1,"")</f>
        <v/>
      </c>
      <c r="AW759" s="1776">
        <f>IFERROR(AW754/AT723-1,"")</f>
        <v/>
      </c>
      <c r="AX759" s="1776">
        <f>IFERROR(AX754/AY723-1,"")</f>
        <v/>
      </c>
      <c r="AY759" s="1775">
        <f>IFERROR(AY754/AY723-1,"")</f>
        <v/>
      </c>
      <c r="AZ759" s="1776">
        <f>IFERROR(AZ754/AY723-1,"")</f>
        <v/>
      </c>
      <c r="BA759" s="1776">
        <f>IFERROR(BA754/AY723-1,"")</f>
        <v/>
      </c>
      <c r="BB759" s="1776">
        <f>IFERROR(BB754/AY723-1,"")</f>
        <v/>
      </c>
      <c r="BC759" s="1776">
        <f>IFERROR(BC754/BD723-1,"")</f>
        <v/>
      </c>
      <c r="BD759" s="1775">
        <f>IFERROR(BD754/BD723-1,"")</f>
        <v/>
      </c>
      <c r="BE759" s="1776">
        <f>IFERROR(BE754/BD723-1,"")</f>
        <v/>
      </c>
      <c r="BF759" s="1776">
        <f>IFERROR(BF754/BD723-1,"")</f>
        <v/>
      </c>
      <c r="BG759" s="1776">
        <f>IFERROR(BG754/BD723-1,"")</f>
        <v/>
      </c>
      <c r="BH759" s="1776">
        <f>IFERROR(BH754/BI723-1,"")</f>
        <v/>
      </c>
      <c r="BI759" s="1775">
        <f>IFERROR(BI754/BI723-1,"")</f>
        <v/>
      </c>
      <c r="BJ759" s="1776">
        <f>IFERROR(BJ754/BI723-1,"")</f>
        <v/>
      </c>
      <c r="BK759" s="1776">
        <f>IFERROR(BK754/BI723-1,"")</f>
        <v/>
      </c>
      <c r="BL759" s="1776">
        <f>IFERROR(BL754/BI723-1,"")</f>
        <v/>
      </c>
      <c r="BM759" s="1776">
        <f>IFERROR(BM754/BN723-1,"")</f>
        <v/>
      </c>
      <c r="BN759" s="1775">
        <f>IFERROR(BN754/BN723-1,"")</f>
        <v/>
      </c>
      <c r="BO759" s="1776">
        <f>IFERROR(BO754/BN723-1,"")</f>
        <v/>
      </c>
      <c r="BP759" s="1776">
        <f>IFERROR(BP754/BN723-1,"")</f>
        <v/>
      </c>
      <c r="BQ759" s="1777">
        <f>IFERROR(BQ754/BN723-1,"")</f>
        <v/>
      </c>
      <c r="BR759" s="1776" t="n"/>
      <c r="BS759" s="1775" t="n"/>
      <c r="BT759" s="1776" t="n"/>
      <c r="BU759" s="1776" t="n"/>
      <c r="BV759" s="1776" t="n"/>
      <c r="BW759" s="1776" t="n"/>
      <c r="BX759" s="1775" t="n"/>
      <c r="BY759" s="1775" t="n"/>
      <c r="BZ759" s="1775" t="n"/>
      <c r="CA759" s="1775" t="n"/>
      <c r="CB759" s="1384" t="n"/>
    </row>
    <row r="760" hidden="1" outlineLevel="2" collapsed="1" ht="15" customFormat="1" customHeight="1" s="1359">
      <c r="A760" s="1501" t="inlineStr">
        <is>
          <t>Forward annual guided Y/Y revenue growth - midpoint, %</t>
        </is>
      </c>
      <c r="B760" s="1590" t="n"/>
      <c r="C760" s="1382" t="n"/>
      <c r="D760" s="1382" t="n"/>
      <c r="E760" s="1382" t="n"/>
      <c r="F760" s="1382" t="n"/>
      <c r="G760" s="1384" t="n"/>
      <c r="H760" s="1384" t="n"/>
      <c r="I760" s="1384" t="n"/>
      <c r="J760" s="1384" t="n"/>
      <c r="K760" s="1382" t="n"/>
      <c r="L760" s="1384" t="n"/>
      <c r="M760" s="1384" t="n"/>
      <c r="N760" s="1384" t="n"/>
      <c r="O760" s="1384" t="n"/>
      <c r="P760" s="1382" t="n"/>
      <c r="Q760" s="1384" t="n"/>
      <c r="R760" s="1384" t="n"/>
      <c r="S760" s="1384" t="n"/>
      <c r="T760" s="1384" t="n"/>
      <c r="U760" s="1382" t="n"/>
      <c r="V760" s="1384" t="n"/>
      <c r="W760" s="1384" t="n"/>
      <c r="X760" s="1384" t="n"/>
      <c r="Y760" s="1384" t="n"/>
      <c r="Z760" s="1382" t="n"/>
      <c r="AA760" s="1384" t="n"/>
      <c r="AB760" s="1384" t="n"/>
      <c r="AC760" s="1384">
        <f>IFERROR(AC755/Z723-1,"")</f>
        <v/>
      </c>
      <c r="AD760" s="1384">
        <f>IFERROR(AD755/AE723-1,"")</f>
        <v/>
      </c>
      <c r="AE760" s="1382">
        <f>IFERROR(AE755/AE723-1,"")</f>
        <v/>
      </c>
      <c r="AF760" s="1384">
        <f>IFERROR(AF755/AE723-1,"")</f>
        <v/>
      </c>
      <c r="AG760" s="1384">
        <f>IFERROR(AG755/AE723-1,"")</f>
        <v/>
      </c>
      <c r="AH760" s="1384">
        <f>IFERROR(AH755/AE723-1,"")</f>
        <v/>
      </c>
      <c r="AI760" s="1384">
        <f>IFERROR(AI755/AJ723-1,"")</f>
        <v/>
      </c>
      <c r="AJ760" s="1382">
        <f>IFERROR(AJ755/AJ723-1,"")</f>
        <v/>
      </c>
      <c r="AK760" s="1384">
        <f>IFERROR(AK755/AJ723-1,"")</f>
        <v/>
      </c>
      <c r="AL760" s="1384">
        <f>IFERROR(AL755/AJ723-1,"")</f>
        <v/>
      </c>
      <c r="AM760" s="1384">
        <f>IFERROR(AM755/AJ723-1,"")</f>
        <v/>
      </c>
      <c r="AN760" s="1384">
        <f>IFERROR(AN755/AO723-1,"")</f>
        <v/>
      </c>
      <c r="AO760" s="1382">
        <f>IFERROR(AO755/AO723-1,"")</f>
        <v/>
      </c>
      <c r="AP760" s="1384">
        <f>IFERROR(AP755/AO723-1,"")</f>
        <v/>
      </c>
      <c r="AQ760" s="1384">
        <f>IFERROR(AQ755/AO723-1,"")</f>
        <v/>
      </c>
      <c r="AR760" s="1384">
        <f>IFERROR(AR755/AO723-1,"")</f>
        <v/>
      </c>
      <c r="AS760" s="1384">
        <f>IFERROR(AS755/AT723-1,"")</f>
        <v/>
      </c>
      <c r="AT760" s="1382">
        <f>IFERROR(AT755/AT723-1,"")</f>
        <v/>
      </c>
      <c r="AU760" s="1384">
        <f>IFERROR(AU755/AT723-1,"")</f>
        <v/>
      </c>
      <c r="AV760" s="1384">
        <f>IFERROR(AV755/AT723-1,"")</f>
        <v/>
      </c>
      <c r="AW760" s="1384">
        <f>IFERROR(AW755/AT723-1,"")</f>
        <v/>
      </c>
      <c r="AX760" s="1384">
        <f>IFERROR(AX755/AY723-1,"")</f>
        <v/>
      </c>
      <c r="AY760" s="1382">
        <f>IFERROR(AY755/AY723-1,"")</f>
        <v/>
      </c>
      <c r="AZ760" s="1384">
        <f>IFERROR(AZ755/AY723-1,"")</f>
        <v/>
      </c>
      <c r="BA760" s="1384">
        <f>IFERROR(BA755/AY723-1,"")</f>
        <v/>
      </c>
      <c r="BB760" s="1384">
        <f>IFERROR(BB755/AY723-1,"")</f>
        <v/>
      </c>
      <c r="BC760" s="1384">
        <f>IFERROR(BC755/BD723-1,"")</f>
        <v/>
      </c>
      <c r="BD760" s="1382">
        <f>IFERROR(BD755/BD723-1,"")</f>
        <v/>
      </c>
      <c r="BE760" s="1384">
        <f>IFERROR(BE755/BD723-1,"")</f>
        <v/>
      </c>
      <c r="BF760" s="1384">
        <f>IFERROR(BF755/BD723-1,"")</f>
        <v/>
      </c>
      <c r="BG760" s="1384">
        <f>IFERROR(BG755/BD723-1,"")</f>
        <v/>
      </c>
      <c r="BH760" s="1384">
        <f>IFERROR(BH755/BI723-1,"")</f>
        <v/>
      </c>
      <c r="BI760" s="1382">
        <f>IFERROR(BI755/BI723-1,"")</f>
        <v/>
      </c>
      <c r="BJ760" s="1384">
        <f>IFERROR(BJ755/BI723-1,"")</f>
        <v/>
      </c>
      <c r="BK760" s="1384">
        <f>IFERROR(BK755/BI723-1,"")</f>
        <v/>
      </c>
      <c r="BL760" s="1384">
        <f>IFERROR(BL755/BI723-1,"")</f>
        <v/>
      </c>
      <c r="BM760" s="1384">
        <f>IFERROR(BM755/BN723-1,"")</f>
        <v/>
      </c>
      <c r="BN760" s="1382">
        <f>IFERROR(BN755/BN723-1,"")</f>
        <v/>
      </c>
      <c r="BO760" s="1384">
        <f>IFERROR(BO755/BN723-1,"")</f>
        <v/>
      </c>
      <c r="BP760" s="1384">
        <f>IFERROR(BP755/BN723-1,"")</f>
        <v/>
      </c>
      <c r="BQ760" s="1386">
        <f>IFERROR(BQ755/BN723-1,"")</f>
        <v/>
      </c>
      <c r="BR760" s="1384" t="n"/>
      <c r="BS760" s="1382" t="n"/>
      <c r="BT760" s="1384" t="n"/>
      <c r="BU760" s="1384" t="n"/>
      <c r="BV760" s="1384" t="n"/>
      <c r="BW760" s="1384" t="n"/>
      <c r="BX760" s="1382" t="n"/>
      <c r="BY760" s="1382" t="n"/>
      <c r="BZ760" s="1382" t="n"/>
      <c r="CA760" s="1382" t="n"/>
      <c r="CB760" s="1384" t="n"/>
    </row>
    <row r="761" hidden="1" outlineLevel="2" ht="15" customFormat="1" customHeight="1" s="1359">
      <c r="A761" s="545" t="n"/>
      <c r="B761" s="1512" t="n"/>
      <c r="C761" s="1379" t="n"/>
      <c r="D761" s="1379" t="n"/>
      <c r="E761" s="1379" t="n"/>
      <c r="F761" s="1379" t="n"/>
      <c r="G761" s="1361" t="n"/>
      <c r="H761" s="1361" t="n"/>
      <c r="I761" s="1361" t="n"/>
      <c r="J761" s="1361" t="n"/>
      <c r="K761" s="1379" t="n"/>
      <c r="L761" s="1361" t="n"/>
      <c r="M761" s="1361" t="n"/>
      <c r="N761" s="1361" t="n"/>
      <c r="O761" s="1361" t="n"/>
      <c r="P761" s="1379" t="n"/>
      <c r="Q761" s="1361" t="n"/>
      <c r="R761" s="1361" t="n"/>
      <c r="S761" s="1361" t="n"/>
      <c r="T761" s="1361" t="n"/>
      <c r="U761" s="1379" t="n"/>
      <c r="V761" s="1361" t="n"/>
      <c r="W761" s="1361" t="n"/>
      <c r="X761" s="1361" t="n"/>
      <c r="Y761" s="1361" t="n"/>
      <c r="Z761" s="1379" t="n"/>
      <c r="AA761" s="1361" t="n"/>
      <c r="AB761" s="1361" t="n"/>
      <c r="AC761" s="1361" t="n"/>
      <c r="AD761" s="1361" t="n"/>
      <c r="AE761" s="1379" t="n"/>
      <c r="AF761" s="1361" t="n"/>
      <c r="AG761" s="1361" t="n"/>
      <c r="AH761" s="1361" t="n"/>
      <c r="AI761" s="1361" t="n"/>
      <c r="AJ761" s="1379" t="n"/>
      <c r="AK761" s="1361" t="n"/>
      <c r="AL761" s="1361" t="n"/>
      <c r="AM761" s="1361" t="n"/>
      <c r="AN761" s="1361" t="n"/>
      <c r="AO761" s="1379" t="n"/>
      <c r="AP761" s="1361" t="n"/>
      <c r="AQ761" s="1361" t="n"/>
      <c r="AR761" s="1361" t="n"/>
      <c r="AS761" s="1361" t="n"/>
      <c r="AT761" s="1379" t="n"/>
      <c r="AU761" s="1361" t="n"/>
      <c r="AV761" s="1361" t="n"/>
      <c r="AW761" s="1361" t="n"/>
      <c r="AX761" s="1361" t="n"/>
      <c r="AY761" s="1379" t="n"/>
      <c r="AZ761" s="1361" t="n"/>
      <c r="BA761" s="1361" t="n"/>
      <c r="BB761" s="1361" t="n"/>
      <c r="BC761" s="1361" t="n"/>
      <c r="BD761" s="1379" t="n"/>
      <c r="BE761" s="1361" t="n"/>
      <c r="BF761" s="1361" t="n"/>
      <c r="BG761" s="1361" t="n"/>
      <c r="BH761" s="1361" t="n"/>
      <c r="BI761" s="1379" t="n"/>
      <c r="BJ761" s="1361" t="n"/>
      <c r="BK761" s="1361" t="n"/>
      <c r="BL761" s="1361" t="n"/>
      <c r="BM761" s="1361" t="n"/>
      <c r="BN761" s="1379" t="n"/>
      <c r="BO761" s="1361" t="n"/>
      <c r="BP761" s="1361" t="n"/>
      <c r="BQ761" s="1363" t="n"/>
      <c r="BR761" s="1361" t="n"/>
      <c r="BS761" s="1379" t="n"/>
      <c r="BT761" s="1361" t="n"/>
      <c r="BU761" s="1361" t="n"/>
      <c r="BV761" s="1361" t="n"/>
      <c r="BW761" s="1361" t="n"/>
      <c r="BX761" s="1379" t="n"/>
      <c r="BY761" s="1379" t="n"/>
      <c r="BZ761" s="1379" t="n"/>
      <c r="CA761" s="1379" t="n"/>
      <c r="CB761" s="1361" t="n"/>
    </row>
    <row r="762" hidden="1" outlineLevel="2" ht="15" customFormat="1" customHeight="1" s="1359">
      <c r="A762" s="1474" t="inlineStr">
        <is>
          <t>Quarterly revenue guidance beat/(miss), mm</t>
        </is>
      </c>
      <c r="B762" s="1512" t="n"/>
      <c r="C762" s="1379" t="n"/>
      <c r="D762" s="1379" t="n"/>
      <c r="E762" s="1379" t="n"/>
      <c r="F762" s="1379" t="n"/>
      <c r="G762" s="1361" t="n"/>
      <c r="H762" s="1361" t="n"/>
      <c r="I762" s="1361" t="n"/>
      <c r="J762" s="1361" t="n"/>
      <c r="K762" s="1379" t="n"/>
      <c r="L762" s="1361" t="n"/>
      <c r="M762" s="1361" t="n"/>
      <c r="N762" s="1361" t="n"/>
      <c r="O762" s="1361" t="n"/>
      <c r="P762" s="1379" t="n"/>
      <c r="Q762" s="1361" t="n"/>
      <c r="R762" s="1361" t="n"/>
      <c r="S762" s="1361" t="n"/>
      <c r="T762" s="1361" t="n"/>
      <c r="U762" s="1379" t="n"/>
      <c r="V762" s="1361" t="n"/>
      <c r="W762" s="1361" t="n"/>
      <c r="X762" s="1361" t="n"/>
      <c r="Y762" s="1361" t="n"/>
      <c r="Z762" s="1379" t="n"/>
      <c r="AA762" s="1361" t="n"/>
      <c r="AB762" s="1361" t="n"/>
      <c r="AC762" s="1361">
        <f>AC724</f>
        <v/>
      </c>
      <c r="AD762" s="1361" t="n"/>
      <c r="AE762" s="1379" t="n"/>
      <c r="AF762" s="1361">
        <f>AF724</f>
        <v/>
      </c>
      <c r="AG762" s="1361">
        <f>AG724</f>
        <v/>
      </c>
      <c r="AH762" s="1361">
        <f>AH724</f>
        <v/>
      </c>
      <c r="AI762" s="1361" t="n"/>
      <c r="AJ762" s="1379" t="n"/>
      <c r="AK762" s="1361">
        <f>AK724</f>
        <v/>
      </c>
      <c r="AL762" s="1361">
        <f>AL724</f>
        <v/>
      </c>
      <c r="AM762" s="1361">
        <f>AM724</f>
        <v/>
      </c>
      <c r="AN762" s="1361" t="n"/>
      <c r="AO762" s="1379" t="n"/>
      <c r="AP762" s="1361">
        <f>AP724</f>
        <v/>
      </c>
      <c r="AQ762" s="1361">
        <f>AQ724</f>
        <v/>
      </c>
      <c r="AR762" s="1361">
        <f>AR724</f>
        <v/>
      </c>
      <c r="AS762" s="1361" t="n"/>
      <c r="AT762" s="1379" t="n"/>
      <c r="AU762" s="1361">
        <f>AU724</f>
        <v/>
      </c>
      <c r="AV762" s="1361">
        <f>AV724</f>
        <v/>
      </c>
      <c r="AW762" s="1361">
        <f>AW724</f>
        <v/>
      </c>
      <c r="AX762" s="1361" t="n"/>
      <c r="AY762" s="1379" t="n"/>
      <c r="AZ762" s="1361">
        <f>AZ724</f>
        <v/>
      </c>
      <c r="BA762" s="1361">
        <f>BA724</f>
        <v/>
      </c>
      <c r="BB762" s="1361">
        <f>BB724</f>
        <v/>
      </c>
      <c r="BC762" s="1361" t="n"/>
      <c r="BD762" s="1379" t="n"/>
      <c r="BE762" s="1361">
        <f>BE724</f>
        <v/>
      </c>
      <c r="BF762" s="1361">
        <f>BF724</f>
        <v/>
      </c>
      <c r="BG762" s="1361">
        <f>BG724</f>
        <v/>
      </c>
      <c r="BH762" s="1361" t="n"/>
      <c r="BI762" s="1379" t="n"/>
      <c r="BJ762" s="1361">
        <f>BJ724</f>
        <v/>
      </c>
      <c r="BK762" s="1361">
        <f>BK724</f>
        <v/>
      </c>
      <c r="BL762" s="1361">
        <f>BL724</f>
        <v/>
      </c>
      <c r="BM762" s="1361" t="n"/>
      <c r="BN762" s="1379" t="n"/>
      <c r="BO762" s="1361">
        <f>BO724</f>
        <v/>
      </c>
      <c r="BP762" s="1361">
        <f>BP724</f>
        <v/>
      </c>
      <c r="BQ762" s="1363">
        <f>BQ724</f>
        <v/>
      </c>
      <c r="BR762" s="1361" t="n"/>
      <c r="BS762" s="1379" t="n"/>
      <c r="BT762" s="1361" t="n"/>
      <c r="BU762" s="1361" t="n"/>
      <c r="BV762" s="1361" t="n"/>
      <c r="BW762" s="1361" t="n"/>
      <c r="BX762" s="1379" t="n"/>
      <c r="BY762" s="1379" t="n"/>
      <c r="BZ762" s="1379" t="n"/>
      <c r="CA762" s="1379" t="n"/>
      <c r="CB762" s="1361" t="n"/>
    </row>
    <row r="763" hidden="1" outlineLevel="2" ht="15" customFormat="1" customHeight="1" s="1359">
      <c r="A763" s="1789" t="inlineStr">
        <is>
          <t>Increase/(decrease) in revenue outlook for ROY, mm</t>
        </is>
      </c>
      <c r="B763" s="1613" t="n"/>
      <c r="C763" s="1614" t="n"/>
      <c r="D763" s="1614" t="n"/>
      <c r="E763" s="1614" t="n"/>
      <c r="F763" s="1614" t="n"/>
      <c r="G763" s="1615" t="n"/>
      <c r="H763" s="1615" t="n"/>
      <c r="I763" s="1615" t="n"/>
      <c r="J763" s="1615" t="n"/>
      <c r="K763" s="1614" t="n"/>
      <c r="L763" s="1615" t="n"/>
      <c r="M763" s="1615" t="n"/>
      <c r="N763" s="1615" t="n"/>
      <c r="O763" s="1615" t="n"/>
      <c r="P763" s="1614" t="n"/>
      <c r="Q763" s="1615" t="n"/>
      <c r="R763" s="1615" t="n"/>
      <c r="S763" s="1615" t="n"/>
      <c r="T763" s="1615" t="n"/>
      <c r="U763" s="1614" t="n"/>
      <c r="V763" s="1615" t="n"/>
      <c r="W763" s="1615" t="n"/>
      <c r="X763" s="1615" t="n"/>
      <c r="Y763" s="1615" t="n"/>
      <c r="Z763" s="1614" t="n"/>
      <c r="AA763" s="1615" t="n"/>
      <c r="AB763" s="1615" t="n"/>
      <c r="AC763" s="1615">
        <f>IFERROR(AC764-AC762,"")</f>
        <v/>
      </c>
      <c r="AD763" s="1615" t="n"/>
      <c r="AE763" s="1614" t="n"/>
      <c r="AF763" s="1615">
        <f>IFERROR(AF764-AF762,"")</f>
        <v/>
      </c>
      <c r="AG763" s="1615">
        <f>IFERROR(AG764-AG762,"")</f>
        <v/>
      </c>
      <c r="AH763" s="1615">
        <f>IFERROR(AH764-AH762,"")</f>
        <v/>
      </c>
      <c r="AI763" s="1615" t="n"/>
      <c r="AJ763" s="1614" t="n"/>
      <c r="AK763" s="1615">
        <f>IFERROR(AK764-AK762,"")</f>
        <v/>
      </c>
      <c r="AL763" s="1615">
        <f>IFERROR(AL764-AL762,"")</f>
        <v/>
      </c>
      <c r="AM763" s="1615">
        <f>IFERROR(AM764-AM762,"")</f>
        <v/>
      </c>
      <c r="AN763" s="1615" t="n"/>
      <c r="AO763" s="1614" t="n"/>
      <c r="AP763" s="1615">
        <f>IFERROR(AP764-AP762,"")</f>
        <v/>
      </c>
      <c r="AQ763" s="1615">
        <f>IFERROR(AQ764-AQ762,"")</f>
        <v/>
      </c>
      <c r="AR763" s="1615">
        <f>IFERROR(AR764-AR762,"")</f>
        <v/>
      </c>
      <c r="AS763" s="1615" t="n"/>
      <c r="AT763" s="1614" t="n"/>
      <c r="AU763" s="1615">
        <f>IFERROR(AU764-AU762,"")</f>
        <v/>
      </c>
      <c r="AV763" s="1615">
        <f>IFERROR(AV764-AV762,"")</f>
        <v/>
      </c>
      <c r="AW763" s="1615">
        <f>IFERROR(AW764-AW762,"")</f>
        <v/>
      </c>
      <c r="AX763" s="1615" t="n"/>
      <c r="AY763" s="1614" t="n"/>
      <c r="AZ763" s="1615">
        <f>IFERROR(AZ764-AZ762,"")</f>
        <v/>
      </c>
      <c r="BA763" s="1615">
        <f>IFERROR(BA764-BA762,"")</f>
        <v/>
      </c>
      <c r="BB763" s="1615">
        <f>IFERROR(BB764-BB762,"")</f>
        <v/>
      </c>
      <c r="BC763" s="1615" t="n"/>
      <c r="BD763" s="1614" t="n"/>
      <c r="BE763" s="1615">
        <f>IFERROR(BE764-BE762,"")</f>
        <v/>
      </c>
      <c r="BF763" s="1615">
        <f>IFERROR(BF764-BF762,"")</f>
        <v/>
      </c>
      <c r="BG763" s="1615">
        <f>IFERROR(BG764-BG762,"")</f>
        <v/>
      </c>
      <c r="BH763" s="1615" t="n"/>
      <c r="BI763" s="1614" t="n"/>
      <c r="BJ763" s="1615">
        <f>IFERROR(BJ764-BJ762,"")</f>
        <v/>
      </c>
      <c r="BK763" s="1615">
        <f>IFERROR(BK764-BK762,"")</f>
        <v/>
      </c>
      <c r="BL763" s="1615">
        <f>IFERROR(BL764-BL762,"")</f>
        <v/>
      </c>
      <c r="BM763" s="1615" t="n"/>
      <c r="BN763" s="1614" t="n"/>
      <c r="BO763" s="1615">
        <f>IFERROR(BO764-BO762,"")</f>
        <v/>
      </c>
      <c r="BP763" s="1615">
        <f>IFERROR(BP764-BP762,"")</f>
        <v/>
      </c>
      <c r="BQ763" s="1616">
        <f>IFERROR(BQ764-BQ762,"")</f>
        <v/>
      </c>
      <c r="BR763" s="1615" t="n"/>
      <c r="BS763" s="1614" t="n"/>
      <c r="BT763" s="1615" t="n"/>
      <c r="BU763" s="1615" t="n"/>
      <c r="BV763" s="1615" t="n"/>
      <c r="BW763" s="1615" t="n"/>
      <c r="BX763" s="1614" t="n"/>
      <c r="BY763" s="1614" t="n"/>
      <c r="BZ763" s="1614" t="n"/>
      <c r="CA763" s="1614" t="n"/>
      <c r="CB763" s="1361" t="n"/>
    </row>
    <row r="764" hidden="1" outlineLevel="2" ht="15" customFormat="1" customHeight="1" s="1359">
      <c r="A764" s="1447" t="inlineStr">
        <is>
          <t>Total FY revenue guidance raise/(lower), mm</t>
        </is>
      </c>
      <c r="B764" s="1517" t="n"/>
      <c r="C764" s="1449" t="n"/>
      <c r="D764" s="1449" t="n"/>
      <c r="E764" s="1449" t="n"/>
      <c r="F764" s="1449" t="n"/>
      <c r="G764" s="1450" t="n"/>
      <c r="H764" s="1450" t="n"/>
      <c r="I764" s="1450" t="n"/>
      <c r="J764" s="1450" t="n"/>
      <c r="K764" s="1449" t="n"/>
      <c r="L764" s="1450" t="n"/>
      <c r="M764" s="1450" t="n"/>
      <c r="N764" s="1450" t="n"/>
      <c r="O764" s="1450" t="n"/>
      <c r="P764" s="1449" t="n"/>
      <c r="Q764" s="1450" t="n"/>
      <c r="R764" s="1450" t="n"/>
      <c r="S764" s="1450" t="n"/>
      <c r="T764" s="1450" t="n"/>
      <c r="U764" s="1449" t="n"/>
      <c r="V764" s="1450" t="n"/>
      <c r="W764" s="1450" t="n"/>
      <c r="X764" s="1450" t="n"/>
      <c r="Y764" s="1450" t="n"/>
      <c r="Z764" s="1449" t="n"/>
      <c r="AA764" s="1450" t="n"/>
      <c r="AB764" s="1450" t="n"/>
      <c r="AC764" s="1450" t="n"/>
      <c r="AD764" s="1450" t="n"/>
      <c r="AE764" s="1449" t="n"/>
      <c r="AF764" s="1450">
        <f>IFERROR(AF755-AD755,"")</f>
        <v/>
      </c>
      <c r="AG764" s="1450">
        <f>IFERROR(AG755-AF755,"")</f>
        <v/>
      </c>
      <c r="AH764" s="1450">
        <f>IFERROR(AH755-AG755,"")</f>
        <v/>
      </c>
      <c r="AI764" s="1450" t="n"/>
      <c r="AJ764" s="1449" t="n"/>
      <c r="AK764" s="1450">
        <f>IFERROR(AK755-AI755,"")</f>
        <v/>
      </c>
      <c r="AL764" s="1450">
        <f>IFERROR(AL755-AK755,"")</f>
        <v/>
      </c>
      <c r="AM764" s="1450">
        <f>IFERROR(AM755-AL755,"")</f>
        <v/>
      </c>
      <c r="AN764" s="1450" t="n"/>
      <c r="AO764" s="1449" t="n"/>
      <c r="AP764" s="1450">
        <f>IFERROR(AP755-AN755,"")</f>
        <v/>
      </c>
      <c r="AQ764" s="1450">
        <f>IFERROR(AQ755-AP755,"")</f>
        <v/>
      </c>
      <c r="AR764" s="1450">
        <f>IFERROR(AR755-AQ755,"")</f>
        <v/>
      </c>
      <c r="AS764" s="1450" t="n"/>
      <c r="AT764" s="1449" t="n"/>
      <c r="AU764" s="1450">
        <f>IFERROR(AU755-AS755,"")</f>
        <v/>
      </c>
      <c r="AV764" s="1450">
        <f>IFERROR(AV755-AU755,"")</f>
        <v/>
      </c>
      <c r="AW764" s="1450">
        <f>IFERROR(AW755-AV755,"")</f>
        <v/>
      </c>
      <c r="AX764" s="1450" t="n"/>
      <c r="AY764" s="1449" t="n"/>
      <c r="AZ764" s="1450">
        <f>IFERROR(AZ755-AX755,"")</f>
        <v/>
      </c>
      <c r="BA764" s="1450">
        <f>IFERROR(BA755-AZ755,"")</f>
        <v/>
      </c>
      <c r="BB764" s="1450">
        <f>IFERROR(BB755-BA755,"")</f>
        <v/>
      </c>
      <c r="BC764" s="1450" t="n"/>
      <c r="BD764" s="1449" t="n"/>
      <c r="BE764" s="1450">
        <f>IFERROR(BE755-BC755,"")</f>
        <v/>
      </c>
      <c r="BF764" s="1450">
        <f>IFERROR(BF755-BE755,"")</f>
        <v/>
      </c>
      <c r="BG764" s="1450">
        <f>IFERROR(BG755-BF755,"")</f>
        <v/>
      </c>
      <c r="BH764" s="1450" t="n"/>
      <c r="BI764" s="1449" t="n"/>
      <c r="BJ764" s="1450">
        <f>IFERROR(BJ755-BH755,"")</f>
        <v/>
      </c>
      <c r="BK764" s="1450">
        <f>IFERROR(BK755-BJ755,"")</f>
        <v/>
      </c>
      <c r="BL764" s="1450">
        <f>IFERROR(BL755-BK755,"")</f>
        <v/>
      </c>
      <c r="BM764" s="1450" t="n"/>
      <c r="BN764" s="1449" t="n"/>
      <c r="BO764" s="1450">
        <f>IFERROR(BO755-BM755,"")</f>
        <v/>
      </c>
      <c r="BP764" s="1450">
        <f>IFERROR(BP755-BO755,"")</f>
        <v/>
      </c>
      <c r="BQ764" s="1451">
        <f>IFERROR(BQ755-BP755,"")</f>
        <v/>
      </c>
      <c r="BR764" s="1450" t="n"/>
      <c r="BS764" s="1449" t="n"/>
      <c r="BT764" s="1450" t="n"/>
      <c r="BU764" s="1450" t="n"/>
      <c r="BV764" s="1450" t="n"/>
      <c r="BW764" s="1450" t="n"/>
      <c r="BX764" s="1449" t="n"/>
      <c r="BY764" s="1449" t="n"/>
      <c r="BZ764" s="1449" t="n"/>
      <c r="CA764" s="1449" t="n"/>
      <c r="CB764" s="1450" t="n"/>
    </row>
    <row r="765" hidden="1" outlineLevel="2" ht="15" customFormat="1" customHeight="1" s="1359">
      <c r="A765" s="1501" t="inlineStr">
        <is>
          <t>Sequential increase/(decrease) in forward FY revenue guidance, %</t>
        </is>
      </c>
      <c r="B765" s="1590" t="n"/>
      <c r="C765" s="1382" t="n"/>
      <c r="D765" s="1382" t="n"/>
      <c r="E765" s="1382" t="n"/>
      <c r="F765" s="1382" t="n"/>
      <c r="G765" s="1384" t="n"/>
      <c r="H765" s="1384" t="n"/>
      <c r="I765" s="1384" t="n"/>
      <c r="J765" s="1384" t="n"/>
      <c r="K765" s="1382" t="n"/>
      <c r="L765" s="1384" t="n"/>
      <c r="M765" s="1384" t="n"/>
      <c r="N765" s="1384" t="n"/>
      <c r="O765" s="1384" t="n"/>
      <c r="P765" s="1382" t="n"/>
      <c r="Q765" s="1384" t="n"/>
      <c r="R765" s="1384" t="n"/>
      <c r="S765" s="1384" t="n"/>
      <c r="T765" s="1384" t="n"/>
      <c r="U765" s="1382" t="n"/>
      <c r="V765" s="1384" t="n"/>
      <c r="W765" s="1384" t="n"/>
      <c r="X765" s="1384" t="n"/>
      <c r="Y765" s="1384" t="n"/>
      <c r="Z765" s="1382" t="n"/>
      <c r="AA765" s="1384" t="n"/>
      <c r="AB765" s="1384" t="n"/>
      <c r="AC765" s="1384">
        <f>IFERROR(AC755/AB755-1,"")</f>
        <v/>
      </c>
      <c r="AD765" s="1384" t="n"/>
      <c r="AE765" s="1382" t="n"/>
      <c r="AF765" s="1384">
        <f>IFERROR(AF755/AD755-1,"")</f>
        <v/>
      </c>
      <c r="AG765" s="1384">
        <f>IFERROR(AG755/AF755-1,"")</f>
        <v/>
      </c>
      <c r="AH765" s="1384">
        <f>IFERROR(AH755/AG755-1,"")</f>
        <v/>
      </c>
      <c r="AI765" s="1384" t="n"/>
      <c r="AJ765" s="1382" t="n"/>
      <c r="AK765" s="1384">
        <f>IFERROR(AK755/AI755-1,"")</f>
        <v/>
      </c>
      <c r="AL765" s="1384">
        <f>IFERROR(AL755/AK755-1,"")</f>
        <v/>
      </c>
      <c r="AM765" s="1384">
        <f>IFERROR(AM755/AL755-1,"")</f>
        <v/>
      </c>
      <c r="AN765" s="1384" t="n"/>
      <c r="AO765" s="1382" t="n"/>
      <c r="AP765" s="1384">
        <f>IFERROR(AP755/AN755-1,"")</f>
        <v/>
      </c>
      <c r="AQ765" s="1384">
        <f>IFERROR(AQ755/AP755-1,"")</f>
        <v/>
      </c>
      <c r="AR765" s="1384">
        <f>IFERROR(AR755/AQ755-1,"")</f>
        <v/>
      </c>
      <c r="AS765" s="1384" t="n"/>
      <c r="AT765" s="1382" t="n"/>
      <c r="AU765" s="1384">
        <f>IFERROR(AU755/AS755-1,"")</f>
        <v/>
      </c>
      <c r="AV765" s="1384">
        <f>IFERROR(AV755/AU755-1,"")</f>
        <v/>
      </c>
      <c r="AW765" s="1384">
        <f>IFERROR(AW755/AV755-1,"")</f>
        <v/>
      </c>
      <c r="AX765" s="1384" t="n"/>
      <c r="AY765" s="1382" t="n"/>
      <c r="AZ765" s="1384">
        <f>IFERROR(AZ755/AX755-1,"")</f>
        <v/>
      </c>
      <c r="BA765" s="1384">
        <f>IFERROR(BA755/AZ755-1,"")</f>
        <v/>
      </c>
      <c r="BB765" s="1384">
        <f>IFERROR(BB755/BA755-1,"")</f>
        <v/>
      </c>
      <c r="BC765" s="1384" t="n"/>
      <c r="BD765" s="1382" t="n"/>
      <c r="BE765" s="1384">
        <f>IFERROR(BE755/BC755-1,"")</f>
        <v/>
      </c>
      <c r="BF765" s="1384">
        <f>IFERROR(BF755/BE755-1,"")</f>
        <v/>
      </c>
      <c r="BG765" s="1384">
        <f>IFERROR(BG755/BF755-1,"")</f>
        <v/>
      </c>
      <c r="BH765" s="1384" t="n"/>
      <c r="BI765" s="1382" t="n"/>
      <c r="BJ765" s="1384">
        <f>IFERROR(BJ755/BH755-1,"")</f>
        <v/>
      </c>
      <c r="BK765" s="1384">
        <f>IFERROR(BK755/BJ755-1,"")</f>
        <v/>
      </c>
      <c r="BL765" s="1384">
        <f>IFERROR(BL755/BK755-1,"")</f>
        <v/>
      </c>
      <c r="BM765" s="1384" t="n"/>
      <c r="BN765" s="1382" t="n"/>
      <c r="BO765" s="1384">
        <f>IFERROR(BO755/BM755-1,"")</f>
        <v/>
      </c>
      <c r="BP765" s="1384">
        <f>IFERROR(BP755/BO755-1,"")</f>
        <v/>
      </c>
      <c r="BQ765" s="1386">
        <f>IFERROR(BQ755/BP755-1,"")</f>
        <v/>
      </c>
      <c r="BR765" s="1384" t="n"/>
      <c r="BS765" s="1382" t="n"/>
      <c r="BT765" s="1384" t="n"/>
      <c r="BU765" s="1384" t="n"/>
      <c r="BV765" s="1384" t="n"/>
      <c r="BW765" s="1384" t="n"/>
      <c r="BX765" s="1382" t="n"/>
      <c r="BY765" s="1382" t="n"/>
      <c r="BZ765" s="1382" t="n"/>
      <c r="CA765" s="1382" t="n"/>
      <c r="CB765" s="1384" t="n"/>
    </row>
    <row r="766" hidden="1" outlineLevel="2" ht="15" customFormat="1" customHeight="1" s="1359">
      <c r="A766" s="545" t="n"/>
      <c r="B766" s="1512" t="n"/>
      <c r="C766" s="1379" t="n"/>
      <c r="D766" s="1379" t="n"/>
      <c r="E766" s="1379" t="n"/>
      <c r="F766" s="1379" t="n"/>
      <c r="G766" s="1361" t="n"/>
      <c r="H766" s="1361" t="n"/>
      <c r="I766" s="1361" t="n"/>
      <c r="J766" s="1361" t="n"/>
      <c r="K766" s="1379" t="n"/>
      <c r="L766" s="1361" t="n"/>
      <c r="M766" s="1361" t="n"/>
      <c r="N766" s="1361" t="n"/>
      <c r="O766" s="1361" t="n"/>
      <c r="P766" s="1379" t="n"/>
      <c r="Q766" s="1361" t="n"/>
      <c r="R766" s="1361" t="n"/>
      <c r="S766" s="1361" t="n"/>
      <c r="T766" s="1361" t="n"/>
      <c r="U766" s="1379" t="n"/>
      <c r="V766" s="1361" t="n"/>
      <c r="W766" s="1361" t="n"/>
      <c r="X766" s="1361" t="n"/>
      <c r="Y766" s="1361" t="n"/>
      <c r="Z766" s="1379" t="n"/>
      <c r="AA766" s="1361" t="n"/>
      <c r="AB766" s="1361" t="n"/>
      <c r="AC766" s="1361" t="n"/>
      <c r="AD766" s="1361" t="n"/>
      <c r="AE766" s="1379" t="n"/>
      <c r="AF766" s="1361" t="n"/>
      <c r="AG766" s="1361" t="n"/>
      <c r="AH766" s="1361" t="n"/>
      <c r="AI766" s="1361" t="n"/>
      <c r="AJ766" s="1379" t="n"/>
      <c r="AK766" s="1361" t="n"/>
      <c r="AL766" s="1361" t="n"/>
      <c r="AM766" s="1361" t="n"/>
      <c r="AN766" s="1361" t="n"/>
      <c r="AO766" s="1379" t="n"/>
      <c r="AP766" s="1361" t="n"/>
      <c r="AQ766" s="1361" t="n"/>
      <c r="AR766" s="1361" t="n"/>
      <c r="AS766" s="1361" t="n"/>
      <c r="AT766" s="1379" t="n"/>
      <c r="AU766" s="1361" t="n"/>
      <c r="AV766" s="1361" t="n"/>
      <c r="AW766" s="1361" t="n"/>
      <c r="AX766" s="1361" t="n"/>
      <c r="AY766" s="1379" t="n"/>
      <c r="AZ766" s="1361" t="n"/>
      <c r="BA766" s="1361" t="n"/>
      <c r="BB766" s="1361" t="n"/>
      <c r="BC766" s="1361" t="n"/>
      <c r="BD766" s="1379" t="n"/>
      <c r="BE766" s="1361" t="n"/>
      <c r="BF766" s="1361" t="n"/>
      <c r="BG766" s="1361" t="n"/>
      <c r="BH766" s="1361" t="n"/>
      <c r="BI766" s="1379" t="n"/>
      <c r="BJ766" s="1361" t="n"/>
      <c r="BK766" s="1361" t="n"/>
      <c r="BL766" s="1361" t="n"/>
      <c r="BM766" s="1361" t="n"/>
      <c r="BN766" s="1379" t="n"/>
      <c r="BO766" s="1361" t="n"/>
      <c r="BP766" s="1361" t="n"/>
      <c r="BQ766" s="1363" t="n"/>
      <c r="BR766" s="1361" t="n"/>
      <c r="BS766" s="1379" t="n"/>
      <c r="BT766" s="1361" t="n"/>
      <c r="BU766" s="1361" t="n"/>
      <c r="BV766" s="1361" t="n"/>
      <c r="BW766" s="1361" t="n"/>
      <c r="BX766" s="1379" t="n"/>
      <c r="BY766" s="1379" t="n"/>
      <c r="BZ766" s="1379" t="n"/>
      <c r="CA766" s="1379" t="n"/>
      <c r="CB766" s="1361" t="n"/>
    </row>
    <row r="767" hidden="1" outlineLevel="2" ht="15" customFormat="1" customHeight="1" s="1359">
      <c r="A767" s="1550" t="inlineStr">
        <is>
          <t>Implied rest of year revenue at BoP, mm</t>
        </is>
      </c>
      <c r="B767" s="1512" t="n"/>
      <c r="C767" s="1469" t="n"/>
      <c r="D767" s="1469" t="n"/>
      <c r="E767" s="1469" t="n"/>
      <c r="F767" s="1469" t="n"/>
      <c r="G767" s="1471" t="n"/>
      <c r="H767" s="1471" t="n"/>
      <c r="I767" s="1471" t="n"/>
      <c r="J767" s="1471" t="n"/>
      <c r="K767" s="1469" t="n"/>
      <c r="L767" s="1471" t="n"/>
      <c r="M767" s="1471" t="n"/>
      <c r="N767" s="1471" t="n"/>
      <c r="O767" s="1471" t="n"/>
      <c r="P767" s="1469" t="n"/>
      <c r="Q767" s="1471" t="n"/>
      <c r="R767" s="1471" t="n"/>
      <c r="S767" s="1471" t="n"/>
      <c r="T767" s="1471" t="n"/>
      <c r="U767" s="1469" t="n"/>
      <c r="V767" s="1471" t="n"/>
      <c r="W767" s="1471" t="n"/>
      <c r="X767" s="1471" t="n"/>
      <c r="Y767" s="1471" t="n"/>
      <c r="Z767" s="1469" t="n"/>
      <c r="AA767" s="1471" t="n"/>
      <c r="AB767" s="1471" t="n"/>
      <c r="AC767" s="1471" t="n"/>
      <c r="AD767" s="1471" t="n"/>
      <c r="AE767" s="1469" t="n"/>
      <c r="AF767" s="1471">
        <f>IFERROR(AD755-AD738,"")</f>
        <v/>
      </c>
      <c r="AG767" s="1471">
        <f>IFERROR(AF768-AF738,"")</f>
        <v/>
      </c>
      <c r="AH767" s="1471">
        <f>IFERROR(AG768-AG738,"")</f>
        <v/>
      </c>
      <c r="AI767" s="1471" t="n"/>
      <c r="AJ767" s="1469" t="n"/>
      <c r="AK767" s="1471">
        <f>IFERROR(AI755-AI738,"")</f>
        <v/>
      </c>
      <c r="AL767" s="1471">
        <f>IFERROR(AK768-AK738,"")</f>
        <v/>
      </c>
      <c r="AM767" s="1471">
        <f>IFERROR(AL768-AL738,"")</f>
        <v/>
      </c>
      <c r="AN767" s="1471" t="n"/>
      <c r="AO767" s="1469" t="n"/>
      <c r="AP767" s="1471">
        <f>IFERROR(AN755-AN738,"")</f>
        <v/>
      </c>
      <c r="AQ767" s="1471">
        <f>IFERROR(AP768-AP738,"")</f>
        <v/>
      </c>
      <c r="AR767" s="1471">
        <f>IFERROR(AQ768-AQ738,"")</f>
        <v/>
      </c>
      <c r="AS767" s="1471" t="n"/>
      <c r="AT767" s="1469" t="n"/>
      <c r="AU767" s="1471">
        <f>IFERROR(AS755-AS738,"")</f>
        <v/>
      </c>
      <c r="AV767" s="1471">
        <f>IFERROR(AU768-AU738,"")</f>
        <v/>
      </c>
      <c r="AW767" s="1471">
        <f>IFERROR(AV768-AV738,"")</f>
        <v/>
      </c>
      <c r="AX767" s="1471" t="n"/>
      <c r="AY767" s="1469" t="n"/>
      <c r="AZ767" s="1471">
        <f>IFERROR(AX755-AX738,"")</f>
        <v/>
      </c>
      <c r="BA767" s="1471">
        <f>IFERROR(AZ768-AZ738,"")</f>
        <v/>
      </c>
      <c r="BB767" s="1471">
        <f>IFERROR(BA768-BA738,"")</f>
        <v/>
      </c>
      <c r="BC767" s="1471" t="n"/>
      <c r="BD767" s="1469" t="n"/>
      <c r="BE767" s="1471">
        <f>IFERROR(BC755-BC738,"")</f>
        <v/>
      </c>
      <c r="BF767" s="1471">
        <f>IFERROR(BE768-BE738,"")</f>
        <v/>
      </c>
      <c r="BG767" s="1471">
        <f>IFERROR(BF768-BF738,"")</f>
        <v/>
      </c>
      <c r="BH767" s="1471" t="n"/>
      <c r="BI767" s="1469" t="n"/>
      <c r="BJ767" s="1471">
        <f>IFERROR(BH755-BH738,"")</f>
        <v/>
      </c>
      <c r="BK767" s="1471">
        <f>IFERROR(BJ768-BJ738,"")</f>
        <v/>
      </c>
      <c r="BL767" s="1471">
        <f>IFERROR(BK768-BK738,"")</f>
        <v/>
      </c>
      <c r="BM767" s="1471" t="n"/>
      <c r="BN767" s="1469" t="n"/>
      <c r="BO767" s="1471">
        <f>IFERROR(BM755-BM738,"")</f>
        <v/>
      </c>
      <c r="BP767" s="1471">
        <f>IFERROR(BO768-BO738,"")</f>
        <v/>
      </c>
      <c r="BQ767" s="1487">
        <f>IFERROR(BP768-BP738,"")</f>
        <v/>
      </c>
      <c r="BR767" s="1471" t="n"/>
      <c r="BS767" s="1469" t="n"/>
      <c r="BT767" s="1471" t="n"/>
      <c r="BU767" s="1471" t="n"/>
      <c r="BV767" s="1471" t="n"/>
      <c r="BW767" s="1471" t="n"/>
      <c r="BX767" s="1469" t="n"/>
      <c r="BY767" s="1469" t="n"/>
      <c r="BZ767" s="1469" t="n"/>
      <c r="CA767" s="1469" t="n"/>
      <c r="CB767" s="1471" t="n"/>
    </row>
    <row r="768" hidden="1" outlineLevel="2" ht="15" customFormat="1" customHeight="1" s="1359">
      <c r="A768" s="1550" t="inlineStr">
        <is>
          <t>Implied rest of year revenue at EoP, mm</t>
        </is>
      </c>
      <c r="B768" s="1512" t="n"/>
      <c r="C768" s="1469" t="n"/>
      <c r="D768" s="1469" t="n"/>
      <c r="E768" s="1469" t="n"/>
      <c r="F768" s="1469" t="n"/>
      <c r="G768" s="1471" t="n"/>
      <c r="H768" s="1471" t="n"/>
      <c r="I768" s="1471" t="n"/>
      <c r="J768" s="1471" t="n"/>
      <c r="K768" s="1469" t="n"/>
      <c r="L768" s="1471" t="n"/>
      <c r="M768" s="1471" t="n"/>
      <c r="N768" s="1471" t="n"/>
      <c r="O768" s="1471" t="n"/>
      <c r="P768" s="1469" t="n"/>
      <c r="Q768" s="1471" t="n"/>
      <c r="R768" s="1471" t="n"/>
      <c r="S768" s="1471" t="n"/>
      <c r="T768" s="1471" t="n"/>
      <c r="U768" s="1469" t="n"/>
      <c r="V768" s="1471" t="n"/>
      <c r="W768" s="1471" t="n"/>
      <c r="X768" s="1471" t="n"/>
      <c r="Y768" s="1471" t="n"/>
      <c r="Z768" s="1469" t="n"/>
      <c r="AA768" s="1471" t="n"/>
      <c r="AB768" s="1471" t="n"/>
      <c r="AC768" s="1471">
        <f>IFERROR(AC755-SUM(AC723,AB723,AA723),"")</f>
        <v/>
      </c>
      <c r="AD768" s="1471" t="n"/>
      <c r="AE768" s="1469" t="n"/>
      <c r="AF768" s="1471">
        <f>IFERROR(AF755-SUM(AF723),"")</f>
        <v/>
      </c>
      <c r="AG768" s="1471">
        <f>IFERROR(AG755-SUM(AG723,AF723),"")</f>
        <v/>
      </c>
      <c r="AH768" s="1471">
        <f>IFERROR(AH755-SUM(AH723,AG723,AF723),"")</f>
        <v/>
      </c>
      <c r="AI768" s="1471" t="n"/>
      <c r="AJ768" s="1469" t="n"/>
      <c r="AK768" s="1471">
        <f>IFERROR(AK755-SUM(AK723),"")</f>
        <v/>
      </c>
      <c r="AL768" s="1471">
        <f>IFERROR(AL755-SUM(AL723,AK723),"")</f>
        <v/>
      </c>
      <c r="AM768" s="1471">
        <f>IFERROR(AM755-SUM(AM723,AL723,AK723),"")</f>
        <v/>
      </c>
      <c r="AN768" s="1471" t="n"/>
      <c r="AO768" s="1469" t="n"/>
      <c r="AP768" s="1471">
        <f>IFERROR(AP755-SUM(AP723),"")</f>
        <v/>
      </c>
      <c r="AQ768" s="1471">
        <f>IFERROR(AQ755-SUM(AQ723,AP723),"")</f>
        <v/>
      </c>
      <c r="AR768" s="1471">
        <f>IFERROR(AR755-SUM(AR723,AQ723,AP723),"")</f>
        <v/>
      </c>
      <c r="AS768" s="1471" t="n"/>
      <c r="AT768" s="1469" t="n"/>
      <c r="AU768" s="1471">
        <f>IFERROR(AU755-SUM(AU723),"")</f>
        <v/>
      </c>
      <c r="AV768" s="1471">
        <f>IFERROR(AV755-SUM(AV723,AU723),"")</f>
        <v/>
      </c>
      <c r="AW768" s="1471">
        <f>IFERROR(AW755-SUM(AW723,AV723,AU723),"")</f>
        <v/>
      </c>
      <c r="AX768" s="1471" t="n"/>
      <c r="AY768" s="1469" t="n"/>
      <c r="AZ768" s="1471">
        <f>IFERROR(AZ755-SUM(AZ723),"")</f>
        <v/>
      </c>
      <c r="BA768" s="1471">
        <f>IFERROR(BA755-SUM(BA723,AZ723),"")</f>
        <v/>
      </c>
      <c r="BB768" s="1471">
        <f>IFERROR(BB755-SUM(BB723,BA723,AZ723),"")</f>
        <v/>
      </c>
      <c r="BC768" s="1471" t="n"/>
      <c r="BD768" s="1469" t="n"/>
      <c r="BE768" s="1471">
        <f>IFERROR(BE755-SUM(BE723),"")</f>
        <v/>
      </c>
      <c r="BF768" s="1471">
        <f>IFERROR(BF755-SUM(BF723,BE723),"")</f>
        <v/>
      </c>
      <c r="BG768" s="1471">
        <f>IFERROR(BG755-SUM(BG723,BF723,BE723),"")</f>
        <v/>
      </c>
      <c r="BH768" s="1471" t="n"/>
      <c r="BI768" s="1469" t="n"/>
      <c r="BJ768" s="1471">
        <f>IFERROR(BJ755-SUM(BJ723),"")</f>
        <v/>
      </c>
      <c r="BK768" s="1471">
        <f>IFERROR(BK755-SUM(BK723,BJ723),"")</f>
        <v/>
      </c>
      <c r="BL768" s="1471">
        <f>IFERROR(BL755-SUM(BL723,BK723,BJ723),"")</f>
        <v/>
      </c>
      <c r="BM768" s="1471" t="n"/>
      <c r="BN768" s="1469" t="n"/>
      <c r="BO768" s="1471">
        <f>IFERROR(BO755-SUM(BO723),"")</f>
        <v/>
      </c>
      <c r="BP768" s="1471">
        <f>IFERROR(BP755-SUM(BP723,BO723),"")</f>
        <v/>
      </c>
      <c r="BQ768" s="1487">
        <f>IFERROR(BQ755-SUM(BQ723,BP723,BO723),"")</f>
        <v/>
      </c>
      <c r="BR768" s="1471" t="n"/>
      <c r="BS768" s="1469" t="n"/>
      <c r="BT768" s="1471" t="n"/>
      <c r="BU768" s="1471" t="n"/>
      <c r="BV768" s="1471" t="n"/>
      <c r="BW768" s="1471" t="n"/>
      <c r="BX768" s="1469" t="n"/>
      <c r="BY768" s="1469" t="n"/>
      <c r="BZ768" s="1469" t="n"/>
      <c r="CA768" s="1469" t="n"/>
      <c r="CB768" s="1471" t="n"/>
    </row>
    <row r="769" hidden="1" outlineLevel="2" ht="15" customFormat="1" customHeight="1" s="1359">
      <c r="A769" s="1501" t="inlineStr">
        <is>
          <t>Change in implied ROY revenue, %</t>
        </is>
      </c>
      <c r="B769" s="1590" t="n"/>
      <c r="C769" s="1382" t="n"/>
      <c r="D769" s="1382" t="n"/>
      <c r="E769" s="1382" t="n"/>
      <c r="F769" s="1382" t="n"/>
      <c r="G769" s="1384" t="n"/>
      <c r="H769" s="1384" t="n"/>
      <c r="I769" s="1384" t="n"/>
      <c r="J769" s="1384" t="n"/>
      <c r="K769" s="1382" t="n"/>
      <c r="L769" s="1384" t="n"/>
      <c r="M769" s="1384" t="n"/>
      <c r="N769" s="1384" t="n"/>
      <c r="O769" s="1384" t="n"/>
      <c r="P769" s="1382" t="n"/>
      <c r="Q769" s="1384" t="n"/>
      <c r="R769" s="1384" t="n"/>
      <c r="S769" s="1384" t="n"/>
      <c r="T769" s="1384" t="n"/>
      <c r="U769" s="1382" t="n"/>
      <c r="V769" s="1384" t="n"/>
      <c r="W769" s="1384" t="n"/>
      <c r="X769" s="1384" t="n"/>
      <c r="Y769" s="1384" t="n"/>
      <c r="Z769" s="1382" t="n"/>
      <c r="AA769" s="1384" t="n"/>
      <c r="AB769" s="1384" t="n"/>
      <c r="AC769" s="1384">
        <f>IFERROR(AC768/AC767-1,"")</f>
        <v/>
      </c>
      <c r="AD769" s="1384" t="n"/>
      <c r="AE769" s="1382" t="n"/>
      <c r="AF769" s="1384">
        <f>IFERROR(AF768/AF767-1,"")</f>
        <v/>
      </c>
      <c r="AG769" s="1384">
        <f>IFERROR(AG768/AG767-1,"")</f>
        <v/>
      </c>
      <c r="AH769" s="1384">
        <f>IFERROR(AH768/AH767-1,"")</f>
        <v/>
      </c>
      <c r="AI769" s="1384" t="n"/>
      <c r="AJ769" s="1382" t="n"/>
      <c r="AK769" s="1384">
        <f>IFERROR(AK768/AK767-1,"")</f>
        <v/>
      </c>
      <c r="AL769" s="1384">
        <f>IFERROR(AL768/AL767-1,"")</f>
        <v/>
      </c>
      <c r="AM769" s="1384">
        <f>IFERROR(AM768/AM767-1,"")</f>
        <v/>
      </c>
      <c r="AN769" s="1384" t="n"/>
      <c r="AO769" s="1382" t="n"/>
      <c r="AP769" s="1384">
        <f>IFERROR(AP768/AP767-1,"")</f>
        <v/>
      </c>
      <c r="AQ769" s="1384">
        <f>IFERROR(AQ768/AQ767-1,"")</f>
        <v/>
      </c>
      <c r="AR769" s="1384">
        <f>IFERROR(AR768/AR767-1,"")</f>
        <v/>
      </c>
      <c r="AS769" s="1384" t="n"/>
      <c r="AT769" s="1382" t="n"/>
      <c r="AU769" s="1384">
        <f>IFERROR(AU768/AU767-1,"")</f>
        <v/>
      </c>
      <c r="AV769" s="1384">
        <f>IFERROR(AV768/AV767-1,"")</f>
        <v/>
      </c>
      <c r="AW769" s="1384">
        <f>IFERROR(AW768/AW767-1,"")</f>
        <v/>
      </c>
      <c r="AX769" s="1384" t="n"/>
      <c r="AY769" s="1382" t="n"/>
      <c r="AZ769" s="1384">
        <f>IFERROR(AZ768/AZ767-1,"")</f>
        <v/>
      </c>
      <c r="BA769" s="1384">
        <f>IFERROR(BA768/BA767-1,"")</f>
        <v/>
      </c>
      <c r="BB769" s="1384">
        <f>IFERROR(BB768/BB767-1,"")</f>
        <v/>
      </c>
      <c r="BC769" s="1384" t="n"/>
      <c r="BD769" s="1382" t="n"/>
      <c r="BE769" s="1384">
        <f>IFERROR(BE768/BE767-1,"")</f>
        <v/>
      </c>
      <c r="BF769" s="1384">
        <f>IFERROR(BF768/BF767-1,"")</f>
        <v/>
      </c>
      <c r="BG769" s="1384">
        <f>IFERROR(BG768/BG767-1,"")</f>
        <v/>
      </c>
      <c r="BH769" s="1384" t="n"/>
      <c r="BI769" s="1382" t="n"/>
      <c r="BJ769" s="1384">
        <f>IFERROR(BJ768/BJ767-1,"")</f>
        <v/>
      </c>
      <c r="BK769" s="1384">
        <f>IFERROR(BK768/BK767-1,"")</f>
        <v/>
      </c>
      <c r="BL769" s="1384">
        <f>IFERROR(BL768/BL767-1,"")</f>
        <v/>
      </c>
      <c r="BM769" s="1384" t="n"/>
      <c r="BN769" s="1382" t="n"/>
      <c r="BO769" s="1384">
        <f>IFERROR(BO768/BO767-1,"")</f>
        <v/>
      </c>
      <c r="BP769" s="1384">
        <f>IFERROR(BP768/BP767-1,"")</f>
        <v/>
      </c>
      <c r="BQ769" s="1386">
        <f>IFERROR(BQ768/BQ767-1,"")</f>
        <v/>
      </c>
      <c r="BR769" s="1384" t="n"/>
      <c r="BS769" s="1382" t="n"/>
      <c r="BT769" s="1384" t="n"/>
      <c r="BU769" s="1384" t="n"/>
      <c r="BV769" s="1384" t="n"/>
      <c r="BW769" s="1384" t="n"/>
      <c r="BX769" s="1382" t="n"/>
      <c r="BY769" s="1382" t="n"/>
      <c r="BZ769" s="1382" t="n"/>
      <c r="CA769" s="1382" t="n"/>
      <c r="CB769" s="1384" t="n"/>
    </row>
    <row r="770" hidden="1" outlineLevel="1" collapsed="1" ht="15" customFormat="1" customHeight="1" s="1359">
      <c r="A770" s="545" t="n"/>
      <c r="B770" s="1512" t="n"/>
      <c r="C770" s="1379" t="n"/>
      <c r="D770" s="1379" t="n"/>
      <c r="E770" s="1379" t="n"/>
      <c r="F770" s="1379" t="n"/>
      <c r="G770" s="1361" t="n"/>
      <c r="H770" s="1361" t="n"/>
      <c r="I770" s="1361" t="n"/>
      <c r="J770" s="1361" t="n"/>
      <c r="K770" s="1379" t="n"/>
      <c r="L770" s="1361" t="n"/>
      <c r="M770" s="1361" t="n"/>
      <c r="N770" s="1361" t="n"/>
      <c r="O770" s="1361" t="n"/>
      <c r="P770" s="1379" t="n"/>
      <c r="Q770" s="1361" t="n"/>
      <c r="R770" s="1361" t="n"/>
      <c r="S770" s="1361" t="n"/>
      <c r="T770" s="1361" t="n"/>
      <c r="U770" s="1379" t="n"/>
      <c r="V770" s="1361" t="n"/>
      <c r="W770" s="1361" t="n"/>
      <c r="X770" s="1361" t="n"/>
      <c r="Y770" s="1361" t="n"/>
      <c r="Z770" s="1379" t="n"/>
      <c r="AA770" s="1361" t="n"/>
      <c r="AB770" s="1361" t="n"/>
      <c r="AC770" s="1361" t="n"/>
      <c r="AD770" s="1361" t="n"/>
      <c r="AE770" s="1379" t="n"/>
      <c r="AF770" s="1361" t="n"/>
      <c r="AG770" s="1361" t="n"/>
      <c r="AH770" s="1361" t="n"/>
      <c r="AI770" s="1361" t="n"/>
      <c r="AJ770" s="1379" t="n"/>
      <c r="AK770" s="1361" t="n"/>
      <c r="AL770" s="1361" t="n"/>
      <c r="AM770" s="1361" t="n"/>
      <c r="AN770" s="1361" t="n"/>
      <c r="AO770" s="1379" t="n"/>
      <c r="AP770" s="1361" t="n"/>
      <c r="AQ770" s="1361" t="n"/>
      <c r="AR770" s="1361" t="n"/>
      <c r="AS770" s="1361" t="n"/>
      <c r="AT770" s="1379" t="n"/>
      <c r="AU770" s="1361" t="n"/>
      <c r="AV770" s="1361" t="n"/>
      <c r="AW770" s="1361" t="n"/>
      <c r="AX770" s="1361" t="n"/>
      <c r="AY770" s="1379" t="n"/>
      <c r="AZ770" s="1361" t="n"/>
      <c r="BA770" s="1361" t="n"/>
      <c r="BB770" s="1361" t="n"/>
      <c r="BC770" s="1361" t="n"/>
      <c r="BD770" s="1379" t="n"/>
      <c r="BE770" s="1361" t="n"/>
      <c r="BF770" s="1361" t="n"/>
      <c r="BG770" s="1361" t="n"/>
      <c r="BH770" s="1361" t="n"/>
      <c r="BI770" s="1379" t="n"/>
      <c r="BJ770" s="1361" t="n"/>
      <c r="BK770" s="1361" t="n"/>
      <c r="BL770" s="1361" t="n"/>
      <c r="BM770" s="1361" t="n"/>
      <c r="BN770" s="1379" t="n"/>
      <c r="BO770" s="1361" t="n"/>
      <c r="BP770" s="1361" t="n"/>
      <c r="BQ770" s="1363" t="n"/>
      <c r="BR770" s="1361" t="n"/>
      <c r="BS770" s="1379" t="n"/>
      <c r="BT770" s="1361" t="n"/>
      <c r="BU770" s="1361" t="n"/>
      <c r="BV770" s="1361" t="n"/>
      <c r="BW770" s="1361" t="n"/>
      <c r="BX770" s="1379" t="n"/>
      <c r="BY770" s="1379" t="n"/>
      <c r="BZ770" s="1379" t="n"/>
      <c r="CA770" s="1379" t="n"/>
      <c r="CB770" s="1361" t="n"/>
    </row>
    <row r="771" hidden="1" outlineLevel="1" ht="15" customFormat="1" customHeight="1" s="1359">
      <c r="A771" s="1766" t="inlineStr">
        <is>
          <t>Non-GAAP EBIT - Guidance Analysis</t>
        </is>
      </c>
      <c r="B771" s="1682" t="n"/>
      <c r="C771" s="1373" t="n"/>
      <c r="D771" s="1373" t="n"/>
      <c r="E771" s="1373" t="n"/>
      <c r="F771" s="1373" t="n"/>
      <c r="G771" s="1373" t="n"/>
      <c r="H771" s="1373" t="n"/>
      <c r="I771" s="1373" t="n"/>
      <c r="J771" s="1373" t="n"/>
      <c r="K771" s="1373" t="n"/>
      <c r="L771" s="1373" t="n"/>
      <c r="M771" s="1373" t="n"/>
      <c r="N771" s="1373" t="n"/>
      <c r="O771" s="1373" t="n"/>
      <c r="P771" s="1373" t="n"/>
      <c r="Q771" s="1373" t="n"/>
      <c r="R771" s="1373" t="n"/>
      <c r="S771" s="1373" t="n"/>
      <c r="T771" s="1373" t="n"/>
      <c r="U771" s="1373" t="n"/>
      <c r="V771" s="1373" t="n"/>
      <c r="W771" s="1373" t="n"/>
      <c r="X771" s="1373" t="n"/>
      <c r="Y771" s="1373" t="n"/>
      <c r="Z771" s="1373" t="n"/>
      <c r="AA771" s="1373" t="n"/>
      <c r="AB771" s="1373" t="n"/>
      <c r="AC771" s="1373" t="n"/>
      <c r="AD771" s="1373" t="n"/>
      <c r="AE771" s="1373" t="n"/>
      <c r="AF771" s="1373" t="n"/>
      <c r="AG771" s="1373" t="n"/>
      <c r="AH771" s="1373" t="n"/>
      <c r="AI771" s="1373" t="n"/>
      <c r="AJ771" s="1373" t="n"/>
      <c r="AK771" s="1373" t="n"/>
      <c r="AL771" s="1373" t="n"/>
      <c r="AM771" s="1373" t="n"/>
      <c r="AN771" s="1373" t="n"/>
      <c r="AO771" s="1373" t="n"/>
      <c r="AP771" s="1373" t="n"/>
      <c r="AQ771" s="1373" t="n"/>
      <c r="AR771" s="1373" t="n"/>
      <c r="AS771" s="1373" t="n"/>
      <c r="AT771" s="1373" t="n"/>
      <c r="AU771" s="1373" t="n"/>
      <c r="AV771" s="1373" t="n"/>
      <c r="AW771" s="1373" t="n"/>
      <c r="AX771" s="1373" t="n"/>
      <c r="AY771" s="1373" t="n"/>
      <c r="AZ771" s="1373" t="n"/>
      <c r="BA771" s="1373" t="n"/>
      <c r="BB771" s="1373" t="n"/>
      <c r="BC771" s="1373" t="n"/>
      <c r="BD771" s="1373" t="n"/>
      <c r="BE771" s="1373" t="n"/>
      <c r="BF771" s="1373" t="n"/>
      <c r="BG771" s="1373" t="n"/>
      <c r="BH771" s="1373" t="n"/>
      <c r="BI771" s="1373" t="n"/>
      <c r="BJ771" s="1373" t="n"/>
      <c r="BK771" s="1373" t="n"/>
      <c r="BL771" s="1373" t="n"/>
      <c r="BM771" s="1373" t="n"/>
      <c r="BN771" s="1373" t="n"/>
      <c r="BO771" s="1373" t="n"/>
      <c r="BP771" s="1373" t="n"/>
      <c r="BQ771" s="1374" t="n"/>
      <c r="BR771" s="1373" t="n"/>
      <c r="BS771" s="1373" t="n"/>
      <c r="BT771" s="1373" t="n"/>
      <c r="BU771" s="1373" t="n"/>
      <c r="BV771" s="1373" t="n"/>
      <c r="BW771" s="1373" t="n"/>
      <c r="BX771" s="1373" t="n"/>
      <c r="BY771" s="1373" t="n"/>
      <c r="BZ771" s="1373" t="n"/>
      <c r="CA771" s="1373" t="n"/>
      <c r="CB771" s="1375" t="n"/>
    </row>
    <row r="772" hidden="1" outlineLevel="2" ht="15" customFormat="1" customHeight="1" s="1359">
      <c r="A772" s="1474" t="inlineStr">
        <is>
          <t>Non-GAAP EBIT guidance - initial midpoint, mm</t>
        </is>
      </c>
      <c r="B772" s="1512" t="n"/>
      <c r="C772" s="1379" t="n"/>
      <c r="D772" s="1379" t="n"/>
      <c r="E772" s="1379" t="n"/>
      <c r="F772" s="1379" t="n"/>
      <c r="G772" s="1361" t="n"/>
      <c r="H772" s="1361">
        <f>IF(ISBLANK(G800),"",G800)</f>
        <v/>
      </c>
      <c r="I772" s="1361">
        <f>IF(ISBLANK(H800),"",H800)</f>
        <v/>
      </c>
      <c r="J772" s="1361">
        <f>IF(ISBLANK(I800),"",I800)</f>
        <v/>
      </c>
      <c r="K772" s="1379" t="n"/>
      <c r="L772" s="1361">
        <f>IF(ISBLANK(J800),"",J800)</f>
        <v/>
      </c>
      <c r="M772" s="1361">
        <f>IF(ISBLANK(L800),"",L800)</f>
        <v/>
      </c>
      <c r="N772" s="1361">
        <f>IF(ISBLANK(M800),"",M800)</f>
        <v/>
      </c>
      <c r="O772" s="1361">
        <f>IF(ISBLANK(N800),"",N800)</f>
        <v/>
      </c>
      <c r="P772" s="1379">
        <f>IF(ISBLANK(J828),"",J828)</f>
        <v/>
      </c>
      <c r="Q772" s="1361">
        <f>IF(ISBLANK(O800),"",O800)</f>
        <v/>
      </c>
      <c r="R772" s="1361">
        <f>IF(ISBLANK(Q800),"",Q800)</f>
        <v/>
      </c>
      <c r="S772" s="1361">
        <f>IF(ISBLANK(R800),"",R800)</f>
        <v/>
      </c>
      <c r="T772" s="1361">
        <f>IF(ISBLANK(S800),"",S800)</f>
        <v/>
      </c>
      <c r="U772" s="1379">
        <f>IF(ISBLANK(O828),"",O828)</f>
        <v/>
      </c>
      <c r="V772" s="1361">
        <f>IF(ISBLANK(T800),"",T800)</f>
        <v/>
      </c>
      <c r="W772" s="1361">
        <f>IF(ISBLANK(V800),"",V800)</f>
        <v/>
      </c>
      <c r="X772" s="1361">
        <f>IF(ISBLANK(W800),"",W800)</f>
        <v/>
      </c>
      <c r="Y772" s="1361">
        <f>IF(ISBLANK(X800),"",X800)</f>
        <v/>
      </c>
      <c r="Z772" s="1379">
        <f>IF(ISBLANK(T828),"",T828)</f>
        <v/>
      </c>
      <c r="AA772" s="1361">
        <f>IF(ISBLANK(Y800),"",Y800)</f>
        <v/>
      </c>
      <c r="AB772" s="1361">
        <f>IF(ISBLANK(AA800),"",AA800)</f>
        <v/>
      </c>
      <c r="AC772" s="1361">
        <f>IF(ISBLANK(AB800),"",AB800)</f>
        <v/>
      </c>
      <c r="AD772" s="1361">
        <f>IF(ISBLANK(AC800),"",AC800)</f>
        <v/>
      </c>
      <c r="AE772" s="1379">
        <f>IF(ISBLANK(Y828),"",Y828)</f>
        <v/>
      </c>
      <c r="AF772" s="1361">
        <f>IF(ISBLANK(AD800),"",AD800)</f>
        <v/>
      </c>
      <c r="AG772" s="1361">
        <f>IF(ISBLANK(AF800),"",AF800)</f>
        <v/>
      </c>
      <c r="AH772" s="1361">
        <f>IF(ISBLANK(AG800),"",AG800)</f>
        <v/>
      </c>
      <c r="AI772" s="1361">
        <f>IF(ISBLANK(AH800),"",AH800)</f>
        <v/>
      </c>
      <c r="AJ772" s="1379">
        <f>IF(ISBLANK(AD828),"",AD828)</f>
        <v/>
      </c>
      <c r="AK772" s="1361">
        <f>IF(ISBLANK(AI800),"",AI800)</f>
        <v/>
      </c>
      <c r="AL772" s="1361">
        <f>IF(ISBLANK(AK800),"",AK800)</f>
        <v/>
      </c>
      <c r="AM772" s="1361">
        <f>IF(ISBLANK(AL800),"",AL800)</f>
        <v/>
      </c>
      <c r="AN772" s="1361">
        <f>IF(ISBLANK(AM800),"",AM800)</f>
        <v/>
      </c>
      <c r="AO772" s="1379">
        <f>IF(ISBLANK(AI828),"",AI828)</f>
        <v/>
      </c>
      <c r="AP772" s="1361">
        <f>IF(ISBLANK(AN800),"",AN800)</f>
        <v/>
      </c>
      <c r="AQ772" s="1361">
        <f>IF(ISBLANK(AP800),"",AP800)</f>
        <v/>
      </c>
      <c r="AR772" s="1361">
        <f>IF(ISBLANK(AQ800),"",AQ800)</f>
        <v/>
      </c>
      <c r="AS772" s="1361">
        <f>IF(ISBLANK(AR800),"",AR800)</f>
        <v/>
      </c>
      <c r="AT772" s="1379">
        <f>IF(ISBLANK(AN828),"",AN828)</f>
        <v/>
      </c>
      <c r="AU772" s="1361">
        <f>IF(ISBLANK(AS800),"",AS800)</f>
        <v/>
      </c>
      <c r="AV772" s="1361">
        <f>IF(ISBLANK(AU800),"",AU800)</f>
        <v/>
      </c>
      <c r="AW772" s="1361">
        <f>IF(ISBLANK(AV800),"",AV800)</f>
        <v/>
      </c>
      <c r="AX772" s="1361">
        <f>IF(ISBLANK(AW800),"",AW800)</f>
        <v/>
      </c>
      <c r="AY772" s="1379">
        <f>IF(ISBLANK(AS828),"",AS828)</f>
        <v/>
      </c>
      <c r="AZ772" s="1361">
        <f>IF(ISBLANK(AX800),"",AX800)</f>
        <v/>
      </c>
      <c r="BA772" s="1361">
        <f>IF(ISBLANK(AZ800),"",AZ800)</f>
        <v/>
      </c>
      <c r="BB772" s="1361">
        <f>IF(ISBLANK(BA800),"",BA800)</f>
        <v/>
      </c>
      <c r="BC772" s="1361">
        <f>IF(ISBLANK(BB800),"",BB800)</f>
        <v/>
      </c>
      <c r="BD772" s="1379">
        <f>IF(ISBLANK(AX828),"",AX828)</f>
        <v/>
      </c>
      <c r="BE772" s="1361">
        <f>IF(ISBLANK(BC800),"",BC800)</f>
        <v/>
      </c>
      <c r="BF772" s="1361">
        <f>IF(ISBLANK(BE800),"",BE800)</f>
        <v/>
      </c>
      <c r="BG772" s="1361">
        <f>IF(ISBLANK(BF800),"",BF800)</f>
        <v/>
      </c>
      <c r="BH772" s="1361">
        <f>IF(ISBLANK(BG800),"",BG800)</f>
        <v/>
      </c>
      <c r="BI772" s="1379">
        <f>IF(ISBLANK(BC828),"",BC828)</f>
        <v/>
      </c>
      <c r="BJ772" s="1361">
        <f>IF(ISBLANK(BH800),"",BH800)</f>
        <v/>
      </c>
      <c r="BK772" s="1361">
        <f>IF(ISBLANK(BJ800),"",BJ800)</f>
        <v/>
      </c>
      <c r="BL772" s="1361">
        <f>IF(ISBLANK(BK800),"",BK800)</f>
        <v/>
      </c>
      <c r="BM772" s="1361">
        <f>IF(ISBLANK(BL800),"",BL800)</f>
        <v/>
      </c>
      <c r="BN772" s="1379">
        <f>IF(ISBLANK(BH828),"",BH828)</f>
        <v/>
      </c>
      <c r="BO772" s="1361">
        <f>IF(ISBLANK(BM800),"",BM800)</f>
        <v/>
      </c>
      <c r="BP772" s="1361">
        <f>IF(ISBLANK(BO800),"",BO800)</f>
        <v/>
      </c>
      <c r="BQ772" s="1363">
        <f>IF(ISBLANK(BP800),"",BP800)</f>
        <v/>
      </c>
      <c r="BR772" s="1361">
        <f>IF(ISBLANK(BQ800),"",BQ800)</f>
        <v/>
      </c>
      <c r="BS772" s="1379">
        <f>IF(ISBLANK(BM828),"",BM828)</f>
        <v/>
      </c>
      <c r="BT772" s="1361">
        <f>IF(ISBLANK(BR800),"",BR800)</f>
        <v/>
      </c>
      <c r="BU772" s="1361">
        <f>IF(ISBLANK(BT800),"",BT800)</f>
        <v/>
      </c>
      <c r="BV772" s="1361">
        <f>IF(ISBLANK(BU800),"",BU800)</f>
        <v/>
      </c>
      <c r="BW772" s="1361">
        <f>IF(ISBLANK(BV800),"",BV800)</f>
        <v/>
      </c>
      <c r="BX772" s="1379">
        <f>IF(ISBLANK(BR828),"",BR828)</f>
        <v/>
      </c>
      <c r="BY772" s="1379" t="n"/>
      <c r="BZ772" s="1379" t="n"/>
      <c r="CA772" s="1379" t="n"/>
      <c r="CB772" s="1361" t="n"/>
    </row>
    <row r="773" hidden="1" outlineLevel="2" ht="15" customFormat="1" customHeight="1" s="1359">
      <c r="A773" s="1474" t="inlineStr">
        <is>
          <t>Non-GAAP EBIT guidance - update 1 midpoint, mm</t>
        </is>
      </c>
      <c r="B773" s="1512" t="n"/>
      <c r="C773" s="1379" t="n"/>
      <c r="D773" s="1379" t="n"/>
      <c r="E773" s="1379" t="n"/>
      <c r="F773" s="1379" t="n"/>
      <c r="G773" s="1361" t="n"/>
      <c r="H773" s="1361" t="n"/>
      <c r="I773" s="1361" t="n"/>
      <c r="J773" s="1361" t="n"/>
      <c r="K773" s="1379">
        <f>IF(ISBLANK(G828),"",G828)</f>
        <v/>
      </c>
      <c r="L773" s="1361" t="n"/>
      <c r="M773" s="1361" t="n"/>
      <c r="N773" s="1361" t="n"/>
      <c r="O773" s="1361" t="n"/>
      <c r="P773" s="1379">
        <f>IF(ISBLANK(L828),"",L828)</f>
        <v/>
      </c>
      <c r="Q773" s="1361" t="n"/>
      <c r="R773" s="1361" t="n"/>
      <c r="S773" s="1361" t="n"/>
      <c r="T773" s="1361" t="n"/>
      <c r="U773" s="1379">
        <f>IF(ISBLANK(Q828),"",Q828)</f>
        <v/>
      </c>
      <c r="V773" s="1361" t="n"/>
      <c r="W773" s="1361" t="n"/>
      <c r="X773" s="1361" t="n"/>
      <c r="Y773" s="1361" t="n"/>
      <c r="Z773" s="1379">
        <f>IF(ISBLANK(V828),"",V828)</f>
        <v/>
      </c>
      <c r="AA773" s="1361" t="n"/>
      <c r="AB773" s="1361" t="n"/>
      <c r="AC773" s="1361" t="n"/>
      <c r="AD773" s="1361" t="n"/>
      <c r="AE773" s="1379">
        <f>IF(ISBLANK(AA828),"",AA828)</f>
        <v/>
      </c>
      <c r="AF773" s="1361" t="n"/>
      <c r="AG773" s="1361" t="n"/>
      <c r="AH773" s="1361" t="n"/>
      <c r="AI773" s="1361" t="n"/>
      <c r="AJ773" s="1379">
        <f>IF(ISBLANK(AF828),"",AF828)</f>
        <v/>
      </c>
      <c r="AK773" s="1361" t="n"/>
      <c r="AL773" s="1361" t="n"/>
      <c r="AM773" s="1361" t="n"/>
      <c r="AN773" s="1361" t="n"/>
      <c r="AO773" s="1379">
        <f>IF(ISBLANK(AK828),"",AK828)</f>
        <v/>
      </c>
      <c r="AP773" s="1361" t="n"/>
      <c r="AQ773" s="1361" t="n"/>
      <c r="AR773" s="1361" t="n"/>
      <c r="AS773" s="1361" t="n"/>
      <c r="AT773" s="1379">
        <f>IF(ISBLANK(AP828),"",AP828)</f>
        <v/>
      </c>
      <c r="AU773" s="1361" t="n"/>
      <c r="AV773" s="1361" t="n"/>
      <c r="AW773" s="1361" t="n"/>
      <c r="AX773" s="1361" t="n"/>
      <c r="AY773" s="1379">
        <f>IF(ISBLANK(AU828),"",AU828)</f>
        <v/>
      </c>
      <c r="AZ773" s="1361" t="n"/>
      <c r="BA773" s="1361" t="n"/>
      <c r="BB773" s="1361" t="n"/>
      <c r="BC773" s="1361" t="n"/>
      <c r="BD773" s="1379">
        <f>IF(ISBLANK(AZ828),"",AZ828)</f>
        <v/>
      </c>
      <c r="BE773" s="1361" t="n"/>
      <c r="BF773" s="1361" t="n"/>
      <c r="BG773" s="1361" t="n"/>
      <c r="BH773" s="1361" t="n"/>
      <c r="BI773" s="1379">
        <f>IF(ISBLANK(BE828),"",BE828)</f>
        <v/>
      </c>
      <c r="BJ773" s="1361" t="n"/>
      <c r="BK773" s="1361" t="n"/>
      <c r="BL773" s="1361" t="n"/>
      <c r="BM773" s="1361" t="n"/>
      <c r="BN773" s="1379">
        <f>IF(ISBLANK(BJ828),"",BJ828)</f>
        <v/>
      </c>
      <c r="BO773" s="1361" t="n"/>
      <c r="BP773" s="1361" t="n"/>
      <c r="BQ773" s="1363" t="n"/>
      <c r="BR773" s="1361" t="n"/>
      <c r="BS773" s="1379">
        <f>IF(ISBLANK(BO828),"",BO828)</f>
        <v/>
      </c>
      <c r="BT773" s="1361" t="n"/>
      <c r="BU773" s="1361" t="n"/>
      <c r="BV773" s="1361" t="n"/>
      <c r="BW773" s="1361" t="n"/>
      <c r="BX773" s="1379">
        <f>IF(ISBLANK(BT828),"",BT828)</f>
        <v/>
      </c>
      <c r="BY773" s="1379" t="n"/>
      <c r="BZ773" s="1379" t="n"/>
      <c r="CA773" s="1379" t="n"/>
      <c r="CB773" s="1361" t="n"/>
    </row>
    <row r="774" hidden="1" outlineLevel="2" ht="15" customFormat="1" customHeight="1" s="1359">
      <c r="A774" s="1474" t="inlineStr">
        <is>
          <t>Non-GAAP EBIT guidance - update 2 midpoint, mm</t>
        </is>
      </c>
      <c r="B774" s="1512" t="n"/>
      <c r="C774" s="1379" t="n"/>
      <c r="D774" s="1379" t="n"/>
      <c r="E774" s="1379" t="n"/>
      <c r="F774" s="1379" t="n"/>
      <c r="G774" s="1361" t="n"/>
      <c r="H774" s="1361" t="n"/>
      <c r="I774" s="1361" t="n"/>
      <c r="J774" s="1361" t="n"/>
      <c r="K774" s="1379">
        <f>IF(ISBLANK(H828),"",H828)</f>
        <v/>
      </c>
      <c r="L774" s="1361" t="n"/>
      <c r="M774" s="1361" t="n"/>
      <c r="N774" s="1361" t="n"/>
      <c r="O774" s="1361" t="n"/>
      <c r="P774" s="1379">
        <f>IF(ISBLANK(M828),"",M828)</f>
        <v/>
      </c>
      <c r="Q774" s="1361" t="n"/>
      <c r="R774" s="1361" t="n"/>
      <c r="S774" s="1361" t="n"/>
      <c r="T774" s="1361" t="n"/>
      <c r="U774" s="1379">
        <f>IF(ISBLANK(R828),"",R828)</f>
        <v/>
      </c>
      <c r="V774" s="1361" t="n"/>
      <c r="W774" s="1361" t="n"/>
      <c r="X774" s="1361" t="n"/>
      <c r="Y774" s="1361" t="n"/>
      <c r="Z774" s="1379">
        <f>IF(ISBLANK(W828),"",W828)</f>
        <v/>
      </c>
      <c r="AA774" s="1361" t="n"/>
      <c r="AB774" s="1361" t="n"/>
      <c r="AC774" s="1361" t="n"/>
      <c r="AD774" s="1361" t="n"/>
      <c r="AE774" s="1379">
        <f>IF(ISBLANK(AB828),"",AB828)</f>
        <v/>
      </c>
      <c r="AF774" s="1361" t="n"/>
      <c r="AG774" s="1361" t="n"/>
      <c r="AH774" s="1361" t="n"/>
      <c r="AI774" s="1361" t="n"/>
      <c r="AJ774" s="1379">
        <f>IF(ISBLANK(AG828),"",AG828)</f>
        <v/>
      </c>
      <c r="AK774" s="1361" t="n"/>
      <c r="AL774" s="1361" t="n"/>
      <c r="AM774" s="1361" t="n"/>
      <c r="AN774" s="1361" t="n"/>
      <c r="AO774" s="1379">
        <f>IF(ISBLANK(AL828),"",AL828)</f>
        <v/>
      </c>
      <c r="AP774" s="1361" t="n"/>
      <c r="AQ774" s="1361" t="n"/>
      <c r="AR774" s="1361" t="n"/>
      <c r="AS774" s="1361" t="n"/>
      <c r="AT774" s="1379">
        <f>IF(ISBLANK(AQ828),"",AQ828)</f>
        <v/>
      </c>
      <c r="AU774" s="1361" t="n"/>
      <c r="AV774" s="1361" t="n"/>
      <c r="AW774" s="1361" t="n"/>
      <c r="AX774" s="1361" t="n"/>
      <c r="AY774" s="1379">
        <f>IF(ISBLANK(AV828),"",AV828)</f>
        <v/>
      </c>
      <c r="AZ774" s="1361" t="n"/>
      <c r="BA774" s="1361" t="n"/>
      <c r="BB774" s="1361" t="n"/>
      <c r="BC774" s="1361" t="n"/>
      <c r="BD774" s="1379">
        <f>IF(ISBLANK(BA828),"",BA828)</f>
        <v/>
      </c>
      <c r="BE774" s="1361" t="n"/>
      <c r="BF774" s="1361" t="n"/>
      <c r="BG774" s="1361" t="n"/>
      <c r="BH774" s="1361" t="n"/>
      <c r="BI774" s="1379">
        <f>IF(ISBLANK(BF828),"",BF828)</f>
        <v/>
      </c>
      <c r="BJ774" s="1361" t="n"/>
      <c r="BK774" s="1361" t="n"/>
      <c r="BL774" s="1361" t="n"/>
      <c r="BM774" s="1361" t="n"/>
      <c r="BN774" s="1379">
        <f>IF(ISBLANK(BK828),"",BK828)</f>
        <v/>
      </c>
      <c r="BO774" s="1361" t="n"/>
      <c r="BP774" s="1361" t="n"/>
      <c r="BQ774" s="1363" t="n"/>
      <c r="BR774" s="1361" t="n"/>
      <c r="BS774" s="1379">
        <f>IF(ISBLANK(BP828),"",BP828)</f>
        <v/>
      </c>
      <c r="BT774" s="1361" t="n"/>
      <c r="BU774" s="1361" t="n"/>
      <c r="BV774" s="1361" t="n"/>
      <c r="BW774" s="1361" t="n"/>
      <c r="BX774" s="1379">
        <f>IF(ISBLANK(BU828),"",BU828)</f>
        <v/>
      </c>
      <c r="BY774" s="1379" t="n"/>
      <c r="BZ774" s="1379" t="n"/>
      <c r="CA774" s="1379" t="n"/>
      <c r="CB774" s="1361" t="n"/>
    </row>
    <row r="775" hidden="1" outlineLevel="2" ht="15" customFormat="1" customHeight="1" s="1359">
      <c r="A775" s="1478" t="inlineStr">
        <is>
          <t>Non-GAAP EBIT guidance - update 3 midpoint, mm</t>
        </is>
      </c>
      <c r="B775" s="1514" t="n"/>
      <c r="C775" s="1455" t="n"/>
      <c r="D775" s="1455" t="n"/>
      <c r="E775" s="1455" t="n"/>
      <c r="F775" s="1455" t="n"/>
      <c r="G775" s="1456" t="n"/>
      <c r="H775" s="1456" t="n"/>
      <c r="I775" s="1456" t="n"/>
      <c r="J775" s="1456" t="n"/>
      <c r="K775" s="1455">
        <f>IF(ISBLANK(I828),"",I828)</f>
        <v/>
      </c>
      <c r="L775" s="1456" t="n"/>
      <c r="M775" s="1456" t="n"/>
      <c r="N775" s="1456" t="n"/>
      <c r="O775" s="1456" t="n"/>
      <c r="P775" s="1455">
        <f>IF(ISBLANK(N828),"",N828)</f>
        <v/>
      </c>
      <c r="Q775" s="1456" t="n"/>
      <c r="R775" s="1456" t="n"/>
      <c r="S775" s="1456" t="n"/>
      <c r="T775" s="1456" t="n"/>
      <c r="U775" s="1455">
        <f>IF(ISBLANK(S828),"",S828)</f>
        <v/>
      </c>
      <c r="V775" s="1456" t="n"/>
      <c r="W775" s="1456" t="n"/>
      <c r="X775" s="1456" t="n"/>
      <c r="Y775" s="1456" t="n"/>
      <c r="Z775" s="1455">
        <f>IF(ISBLANK(X828),"",X828)</f>
        <v/>
      </c>
      <c r="AA775" s="1456" t="n"/>
      <c r="AB775" s="1456" t="n"/>
      <c r="AC775" s="1456" t="n"/>
      <c r="AD775" s="1456" t="n"/>
      <c r="AE775" s="1455">
        <f>IF(ISBLANK(AC828),"",AC828)</f>
        <v/>
      </c>
      <c r="AF775" s="1456" t="n"/>
      <c r="AG775" s="1456" t="n"/>
      <c r="AH775" s="1456" t="n"/>
      <c r="AI775" s="1456" t="n"/>
      <c r="AJ775" s="1455">
        <f>IF(ISBLANK(AH828),"",AH828)</f>
        <v/>
      </c>
      <c r="AK775" s="1456" t="n"/>
      <c r="AL775" s="1456" t="n"/>
      <c r="AM775" s="1456" t="n"/>
      <c r="AN775" s="1456" t="n"/>
      <c r="AO775" s="1455">
        <f>IF(ISBLANK(AM828),"",AM828)</f>
        <v/>
      </c>
      <c r="AP775" s="1456" t="n"/>
      <c r="AQ775" s="1456" t="n"/>
      <c r="AR775" s="1456" t="n"/>
      <c r="AS775" s="1456" t="n"/>
      <c r="AT775" s="1455">
        <f>IF(ISBLANK(AR828),"",AR828)</f>
        <v/>
      </c>
      <c r="AU775" s="1456" t="n"/>
      <c r="AV775" s="1456" t="n"/>
      <c r="AW775" s="1456" t="n"/>
      <c r="AX775" s="1456" t="n"/>
      <c r="AY775" s="1455">
        <f>IF(ISBLANK(AW828),"",AW828)</f>
        <v/>
      </c>
      <c r="AZ775" s="1456" t="n"/>
      <c r="BA775" s="1456" t="n"/>
      <c r="BB775" s="1456" t="n"/>
      <c r="BC775" s="1456" t="n"/>
      <c r="BD775" s="1455">
        <f>IF(ISBLANK(BB828),"",BB828)</f>
        <v/>
      </c>
      <c r="BE775" s="1456" t="n"/>
      <c r="BF775" s="1456" t="n"/>
      <c r="BG775" s="1456" t="n"/>
      <c r="BH775" s="1456" t="n"/>
      <c r="BI775" s="1455">
        <f>IF(ISBLANK(BG828),"",BG828)</f>
        <v/>
      </c>
      <c r="BJ775" s="1456" t="n"/>
      <c r="BK775" s="1456" t="n"/>
      <c r="BL775" s="1456" t="n"/>
      <c r="BM775" s="1456" t="n"/>
      <c r="BN775" s="1455">
        <f>IF(ISBLANK(BL828),"",BL828)</f>
        <v/>
      </c>
      <c r="BO775" s="1456" t="n"/>
      <c r="BP775" s="1456" t="n"/>
      <c r="BQ775" s="1457" t="n"/>
      <c r="BR775" s="1456" t="n"/>
      <c r="BS775" s="1455">
        <f>IF(ISBLANK(BQ828),"",BQ828)</f>
        <v/>
      </c>
      <c r="BT775" s="1456" t="n"/>
      <c r="BU775" s="1456" t="n"/>
      <c r="BV775" s="1456" t="n"/>
      <c r="BW775" s="1456" t="n"/>
      <c r="BX775" s="1455">
        <f>IF(ISBLANK(BV828),"",BV828)</f>
        <v/>
      </c>
      <c r="BY775" s="1455" t="n"/>
      <c r="BZ775" s="1455" t="n"/>
      <c r="CA775" s="1455" t="n"/>
      <c r="CB775" s="1361" t="n"/>
    </row>
    <row r="776" hidden="1" outlineLevel="1" collapsed="1" ht="15" customFormat="1" customHeight="1" s="1359">
      <c r="A776" s="1503" t="inlineStr">
        <is>
          <t>Non-GAAP EBIT guidance - most recent midpoint, mm</t>
        </is>
      </c>
      <c r="B776" s="1512" t="n"/>
      <c r="C776" s="1379" t="n"/>
      <c r="D776" s="1379" t="n"/>
      <c r="E776" s="1379" t="n"/>
      <c r="F776" s="1379" t="n"/>
      <c r="G776" s="1361">
        <f>IF(G775="",IF(G774="",IF(G773="",IF(G772="","",G772),G773),G774),G775)</f>
        <v/>
      </c>
      <c r="H776" s="1361">
        <f>IF(H775="",IF(H774="",IF(H773="",IF(H772="","",H772),H773),H774),H775)</f>
        <v/>
      </c>
      <c r="I776" s="1361">
        <f>IF(I775="",IF(I774="",IF(I773="",IF(I772="","",I772),I773),I774),I775)</f>
        <v/>
      </c>
      <c r="J776" s="1361">
        <f>IF(J775="",IF(J774="",IF(J773="",IF(J772="","",J772),J773),J774),J775)</f>
        <v/>
      </c>
      <c r="K776" s="1379">
        <f>IF(K775="",IF(K774="",IF(K773="",IF(K772="","",K772),K773),K774),K775)</f>
        <v/>
      </c>
      <c r="L776" s="1361">
        <f>IF(L775="",IF(L774="",IF(L773="",IF(L772="","",L772),L773),L774),L775)</f>
        <v/>
      </c>
      <c r="M776" s="1361">
        <f>IF(M775="",IF(M774="",IF(M773="",IF(M772="","",M772),M773),M774),M775)</f>
        <v/>
      </c>
      <c r="N776" s="1361">
        <f>IF(N775="",IF(N774="",IF(N773="",IF(N772="","",N772),N773),N774),N775)</f>
        <v/>
      </c>
      <c r="O776" s="1361">
        <f>IF(O775="",IF(O774="",IF(O773="",IF(O772="","",O772),O773),O774),O775)</f>
        <v/>
      </c>
      <c r="P776" s="1379">
        <f>IF(P775="",IF(P774="",IF(P773="",IF(P772="","",P772),P773),P774),P775)</f>
        <v/>
      </c>
      <c r="Q776" s="1361">
        <f>IF(Q775="",IF(Q774="",IF(Q773="",IF(Q772="","",Q772),Q773),Q774),Q775)</f>
        <v/>
      </c>
      <c r="R776" s="1361">
        <f>IF(R775="",IF(R774="",IF(R773="",IF(R772="","",R772),R773),R774),R775)</f>
        <v/>
      </c>
      <c r="S776" s="1361">
        <f>IF(S775="",IF(S774="",IF(S773="",IF(S772="","",S772),S773),S774),S775)</f>
        <v/>
      </c>
      <c r="T776" s="1361">
        <f>IF(T775="",IF(T774="",IF(T773="",IF(T772="","",T772),T773),T774),T775)</f>
        <v/>
      </c>
      <c r="U776" s="1379">
        <f>IF(U775="",IF(U774="",IF(U773="",IF(U772="","",U772),U773),U774),U775)</f>
        <v/>
      </c>
      <c r="V776" s="1361">
        <f>IF(V775="",IF(V774="",IF(V773="",IF(V772="","",V772),V773),V774),V775)</f>
        <v/>
      </c>
      <c r="W776" s="1361">
        <f>IF(W775="",IF(W774="",IF(W773="",IF(W772="","",W772),W773),W774),W775)</f>
        <v/>
      </c>
      <c r="X776" s="1361">
        <f>IF(X775="",IF(X774="",IF(X773="",IF(X772="","",X772),X773),X774),X775)</f>
        <v/>
      </c>
      <c r="Y776" s="1361">
        <f>IF(Y775="",IF(Y774="",IF(Y773="",IF(Y772="","",Y772),Y773),Y774),Y775)</f>
        <v/>
      </c>
      <c r="Z776" s="1379">
        <f>IF(Z775="",IF(Z774="",IF(Z773="",IF(Z772="","",Z772),Z773),Z774),Z775)</f>
        <v/>
      </c>
      <c r="AA776" s="1361">
        <f>IF(AA775="",IF(AA774="",IF(AA773="",IF(AA772="","",AA772),AA773),AA774),AA775)</f>
        <v/>
      </c>
      <c r="AB776" s="1361">
        <f>IF(AB775="",IF(AB774="",IF(AB773="",IF(AB772="","",AB772),AB773),AB774),AB775)</f>
        <v/>
      </c>
      <c r="AC776" s="1361">
        <f>IF(AC775="",IF(AC774="",IF(AC773="",IF(AC772="","",AC772),AC773),AC774),AC775)</f>
        <v/>
      </c>
      <c r="AD776" s="1361">
        <f>IF(AD775="",IF(AD774="",IF(AD773="",IF(AD772="","",AD772),AD773),AD774),AD775)</f>
        <v/>
      </c>
      <c r="AE776" s="1379">
        <f>IF(AE775="",IF(AE774="",IF(AE773="",IF(AE772="","",AE772),AE773),AE774),AE775)</f>
        <v/>
      </c>
      <c r="AF776" s="1361">
        <f>IF(AF775="",IF(AF774="",IF(AF773="",IF(AF772="","",AF772),AF773),AF774),AF775)</f>
        <v/>
      </c>
      <c r="AG776" s="1361">
        <f>IF(AG775="",IF(AG774="",IF(AG773="",IF(AG772="","",AG772),AG773),AG774),AG775)</f>
        <v/>
      </c>
      <c r="AH776" s="1361">
        <f>IF(AH775="",IF(AH774="",IF(AH773="",IF(AH772="","",AH772),AH773),AH774),AH775)</f>
        <v/>
      </c>
      <c r="AI776" s="1361">
        <f>IF(AI775="",IF(AI774="",IF(AI773="",IF(AI772="","",AI772),AI773),AI774),AI775)</f>
        <v/>
      </c>
      <c r="AJ776" s="1379">
        <f>IF(AJ775="",IF(AJ774="",IF(AJ773="",IF(AJ772="","",AJ772),AJ773),AJ774),AJ775)</f>
        <v/>
      </c>
      <c r="AK776" s="1361">
        <f>IF(AK775="",IF(AK774="",IF(AK773="",IF(AK772="","",AK772),AK773),AK774),AK775)</f>
        <v/>
      </c>
      <c r="AL776" s="1361">
        <f>IF(AL775="",IF(AL774="",IF(AL773="",IF(AL772="","",AL772),AL773),AL774),AL775)</f>
        <v/>
      </c>
      <c r="AM776" s="1361">
        <f>IF(AM775="",IF(AM774="",IF(AM773="",IF(AM772="","",AM772),AM773),AM774),AM775)</f>
        <v/>
      </c>
      <c r="AN776" s="1361">
        <f>IF(AN775="",IF(AN774="",IF(AN773="",IF(AN772="","",AN772),AN773),AN774),AN775)</f>
        <v/>
      </c>
      <c r="AO776" s="1379">
        <f>IF(AO775="",IF(AO774="",IF(AO773="",IF(AO772="","",AO772),AO773),AO774),AO775)</f>
        <v/>
      </c>
      <c r="AP776" s="1361">
        <f>IF(AP775="",IF(AP774="",IF(AP773="",IF(AP772="","",AP772),AP773),AP774),AP775)</f>
        <v/>
      </c>
      <c r="AQ776" s="1361">
        <f>IF(AQ775="",IF(AQ774="",IF(AQ773="",IF(AQ772="","",AQ772),AQ773),AQ774),AQ775)</f>
        <v/>
      </c>
      <c r="AR776" s="1361">
        <f>IF(AR775="",IF(AR774="",IF(AR773="",IF(AR772="","",AR772),AR773),AR774),AR775)</f>
        <v/>
      </c>
      <c r="AS776" s="1361">
        <f>IF(AS775="",IF(AS774="",IF(AS773="",IF(AS772="","",AS772),AS773),AS774),AS775)</f>
        <v/>
      </c>
      <c r="AT776" s="1379">
        <f>IF(AT775="",IF(AT774="",IF(AT773="",IF(AT772="","",AT772),AT773),AT774),AT775)</f>
        <v/>
      </c>
      <c r="AU776" s="1361">
        <f>IF(AU775="",IF(AU774="",IF(AU773="",IF(AU772="","",AU772),AU773),AU774),AU775)</f>
        <v/>
      </c>
      <c r="AV776" s="1361">
        <f>IF(AV775="",IF(AV774="",IF(AV773="",IF(AV772="","",AV772),AV773),AV774),AV775)</f>
        <v/>
      </c>
      <c r="AW776" s="1361">
        <f>IF(AW775="",IF(AW774="",IF(AW773="",IF(AW772="","",AW772),AW773),AW774),AW775)</f>
        <v/>
      </c>
      <c r="AX776" s="1361">
        <f>IF(AX775="",IF(AX774="",IF(AX773="",IF(AX772="","",AX772),AX773),AX774),AX775)</f>
        <v/>
      </c>
      <c r="AY776" s="1379">
        <f>IF(AY775="",IF(AY774="",IF(AY773="",IF(AY772="","",AY772),AY773),AY774),AY775)</f>
        <v/>
      </c>
      <c r="AZ776" s="1361">
        <f>IF(AZ775="",IF(AZ774="",IF(AZ773="",IF(AZ772="","",AZ772),AZ773),AZ774),AZ775)</f>
        <v/>
      </c>
      <c r="BA776" s="1361">
        <f>IF(BA775="",IF(BA774="",IF(BA773="",IF(BA772="","",BA772),BA773),BA774),BA775)</f>
        <v/>
      </c>
      <c r="BB776" s="1361">
        <f>IF(BB775="",IF(BB774="",IF(BB773="",IF(BB772="","",BB772),BB773),BB774),BB775)</f>
        <v/>
      </c>
      <c r="BC776" s="1361">
        <f>IF(BC775="",IF(BC774="",IF(BC773="",IF(BC772="","",BC772),BC773),BC774),BC775)</f>
        <v/>
      </c>
      <c r="BD776" s="1379">
        <f>IF(BD775="",IF(BD774="",IF(BD773="",IF(BD772="","",BD772),BD773),BD774),BD775)</f>
        <v/>
      </c>
      <c r="BE776" s="1361">
        <f>IF(BE775="",IF(BE774="",IF(BE773="",IF(BE772="","",BE772),BE773),BE774),BE775)</f>
        <v/>
      </c>
      <c r="BF776" s="1361">
        <f>IF(BF775="",IF(BF774="",IF(BF773="",IF(BF772="","",BF772),BF773),BF774),BF775)</f>
        <v/>
      </c>
      <c r="BG776" s="1361">
        <f>IF(BG775="",IF(BG774="",IF(BG773="",IF(BG772="","",BG772),BG773),BG774),BG775)</f>
        <v/>
      </c>
      <c r="BH776" s="1361">
        <f>IF(BH775="",IF(BH774="",IF(BH773="",IF(BH772="","",BH772),BH773),BH774),BH775)</f>
        <v/>
      </c>
      <c r="BI776" s="1379">
        <f>IF(BI775="",IF(BI774="",IF(BI773="",IF(BI772="","",BI772),BI773),BI774),BI775)</f>
        <v/>
      </c>
      <c r="BJ776" s="1361">
        <f>IF(BJ775="",IF(BJ774="",IF(BJ773="",IF(BJ772="","",BJ772),BJ773),BJ774),BJ775)</f>
        <v/>
      </c>
      <c r="BK776" s="1361">
        <f>IF(BK775="",IF(BK774="",IF(BK773="",IF(BK772="","",BK772),BK773),BK774),BK775)</f>
        <v/>
      </c>
      <c r="BL776" s="1361">
        <f>IF(BL775="",IF(BL774="",IF(BL773="",IF(BL772="","",BL772),BL773),BL774),BL775)</f>
        <v/>
      </c>
      <c r="BM776" s="1361">
        <f>IF(BM775="",IF(BM774="",IF(BM773="",IF(BM772="","",BM772),BM773),BM774),BM775)</f>
        <v/>
      </c>
      <c r="BN776" s="1379">
        <f>IF(BN775="",IF(BN774="",IF(BN773="",IF(BN772="","",BN772),BN773),BN774),BN775)</f>
        <v/>
      </c>
      <c r="BO776" s="1361">
        <f>IF(BO775="",IF(BO774="",IF(BO773="",IF(BO772="","",BO772),BO773),BO774),BO775)</f>
        <v/>
      </c>
      <c r="BP776" s="1361">
        <f>IF(BP775="",IF(BP774="",IF(BP773="",IF(BP772="","",BP772),BP773),BP774),BP775)</f>
        <v/>
      </c>
      <c r="BQ776" s="1363">
        <f>IF(BQ775="",IF(BQ774="",IF(BQ773="",IF(BQ772="","",BQ772),BQ773),BQ774),BQ775)</f>
        <v/>
      </c>
      <c r="BR776" s="1361">
        <f>IF(BR775="",IF(BR774="",IF(BR773="",IF(BR772="","",BR772),BR773),BR774),BR775)</f>
        <v/>
      </c>
      <c r="BS776" s="1379">
        <f>IF(BS775="",IF(BS774="",IF(BS773="",IF(BS772="","",BS772),BS773),BS774),BS775)</f>
        <v/>
      </c>
      <c r="BT776" s="1361">
        <f>IF(BT775="",IF(BT774="",IF(BT773="",IF(BT772="","",BT772),BT773),BT774),BT775)</f>
        <v/>
      </c>
      <c r="BU776" s="1361">
        <f>IF(BU775="",IF(BU774="",IF(BU773="",IF(BU772="","",BU772),BU773),BU774),BU775)</f>
        <v/>
      </c>
      <c r="BV776" s="1361">
        <f>IF(BV775="",IF(BV774="",IF(BV773="",IF(BV772="","",BV772),BV773),BV774),BV775)</f>
        <v/>
      </c>
      <c r="BW776" s="1361">
        <f>IF(BW775="",IF(BW774="",IF(BW773="",IF(BW772="","",BW772),BW773),BW774),BW775)</f>
        <v/>
      </c>
      <c r="BX776" s="1379">
        <f>IF(BX775="",IF(BX774="",IF(BX773="",IF(BX772="","",BX772),BX773),BX774),BX775)</f>
        <v/>
      </c>
      <c r="BY776" s="1379" t="n"/>
      <c r="BZ776" s="1379" t="n"/>
      <c r="CA776" s="1379" t="n"/>
      <c r="CB776" s="1361" t="n"/>
    </row>
    <row r="777" hidden="1" outlineLevel="1" ht="15" customFormat="1" customHeight="1" s="1359">
      <c r="A777" s="1767" t="inlineStr">
        <is>
          <t>Non-GAAP EBIT - reported/model estimate, mm</t>
        </is>
      </c>
      <c r="B777" s="1613" t="n"/>
      <c r="C777" s="1614">
        <f>C478</f>
        <v/>
      </c>
      <c r="D777" s="1614">
        <f>D478</f>
        <v/>
      </c>
      <c r="E777" s="1614">
        <f>E478</f>
        <v/>
      </c>
      <c r="F777" s="1614">
        <f>F478</f>
        <v/>
      </c>
      <c r="G777" s="1615">
        <f>G478</f>
        <v/>
      </c>
      <c r="H777" s="1615">
        <f>H478</f>
        <v/>
      </c>
      <c r="I777" s="1615">
        <f>I478</f>
        <v/>
      </c>
      <c r="J777" s="1615">
        <f>J478</f>
        <v/>
      </c>
      <c r="K777" s="1614">
        <f>K478</f>
        <v/>
      </c>
      <c r="L777" s="1615">
        <f>L478</f>
        <v/>
      </c>
      <c r="M777" s="1615">
        <f>M478</f>
        <v/>
      </c>
      <c r="N777" s="1615">
        <f>N478</f>
        <v/>
      </c>
      <c r="O777" s="1615">
        <f>O478</f>
        <v/>
      </c>
      <c r="P777" s="1614">
        <f>P478</f>
        <v/>
      </c>
      <c r="Q777" s="1615">
        <f>Q478</f>
        <v/>
      </c>
      <c r="R777" s="1615">
        <f>R478</f>
        <v/>
      </c>
      <c r="S777" s="1615">
        <f>S478</f>
        <v/>
      </c>
      <c r="T777" s="1615">
        <f>T478</f>
        <v/>
      </c>
      <c r="U777" s="1614">
        <f>U478</f>
        <v/>
      </c>
      <c r="V777" s="1615">
        <f>V478</f>
        <v/>
      </c>
      <c r="W777" s="1615">
        <f>W478</f>
        <v/>
      </c>
      <c r="X777" s="1615">
        <f>X478</f>
        <v/>
      </c>
      <c r="Y777" s="1615">
        <f>Y478</f>
        <v/>
      </c>
      <c r="Z777" s="1614">
        <f>Z478</f>
        <v/>
      </c>
      <c r="AA777" s="1615">
        <f>AA478</f>
        <v/>
      </c>
      <c r="AB777" s="1615">
        <f>AB478</f>
        <v/>
      </c>
      <c r="AC777" s="1615">
        <f>AC478</f>
        <v/>
      </c>
      <c r="AD777" s="1615">
        <f>AD478</f>
        <v/>
      </c>
      <c r="AE777" s="1614">
        <f>AE478</f>
        <v/>
      </c>
      <c r="AF777" s="1615">
        <f>AF478</f>
        <v/>
      </c>
      <c r="AG777" s="1615">
        <f>AG478</f>
        <v/>
      </c>
      <c r="AH777" s="1615">
        <f>AH478</f>
        <v/>
      </c>
      <c r="AI777" s="1615">
        <f>AI478</f>
        <v/>
      </c>
      <c r="AJ777" s="1614">
        <f>AJ478</f>
        <v/>
      </c>
      <c r="AK777" s="1615">
        <f>AK478</f>
        <v/>
      </c>
      <c r="AL777" s="1615">
        <f>AL478</f>
        <v/>
      </c>
      <c r="AM777" s="1615">
        <f>AM478</f>
        <v/>
      </c>
      <c r="AN777" s="1615">
        <f>AN478</f>
        <v/>
      </c>
      <c r="AO777" s="1614">
        <f>AO478</f>
        <v/>
      </c>
      <c r="AP777" s="1615">
        <f>AP478</f>
        <v/>
      </c>
      <c r="AQ777" s="1615">
        <f>AQ478</f>
        <v/>
      </c>
      <c r="AR777" s="1615">
        <f>AR478</f>
        <v/>
      </c>
      <c r="AS777" s="1615">
        <f>AS478</f>
        <v/>
      </c>
      <c r="AT777" s="1614">
        <f>AT478</f>
        <v/>
      </c>
      <c r="AU777" s="1615">
        <f>AU478</f>
        <v/>
      </c>
      <c r="AV777" s="1615">
        <f>AV478</f>
        <v/>
      </c>
      <c r="AW777" s="1615">
        <f>AW478</f>
        <v/>
      </c>
      <c r="AX777" s="1615">
        <f>AX478</f>
        <v/>
      </c>
      <c r="AY777" s="1614">
        <f>AY478</f>
        <v/>
      </c>
      <c r="AZ777" s="1615">
        <f>AZ478</f>
        <v/>
      </c>
      <c r="BA777" s="1615">
        <f>BA478</f>
        <v/>
      </c>
      <c r="BB777" s="1615">
        <f>BB478</f>
        <v/>
      </c>
      <c r="BC777" s="1615">
        <f>BC478</f>
        <v/>
      </c>
      <c r="BD777" s="1614">
        <f>BD478</f>
        <v/>
      </c>
      <c r="BE777" s="1615">
        <f>BE478</f>
        <v/>
      </c>
      <c r="BF777" s="1615">
        <f>BF478</f>
        <v/>
      </c>
      <c r="BG777" s="1615">
        <f>BG478</f>
        <v/>
      </c>
      <c r="BH777" s="1615">
        <f>BH478</f>
        <v/>
      </c>
      <c r="BI777" s="1614">
        <f>BI478</f>
        <v/>
      </c>
      <c r="BJ777" s="1615">
        <f>BJ478</f>
        <v/>
      </c>
      <c r="BK777" s="1615">
        <f>BK478</f>
        <v/>
      </c>
      <c r="BL777" s="1615">
        <f>BL478</f>
        <v/>
      </c>
      <c r="BM777" s="1615">
        <f>BM478</f>
        <v/>
      </c>
      <c r="BN777" s="1614">
        <f>BN478</f>
        <v/>
      </c>
      <c r="BO777" s="1615">
        <f>BO478</f>
        <v/>
      </c>
      <c r="BP777" s="1615">
        <f>BP478</f>
        <v/>
      </c>
      <c r="BQ777" s="1616">
        <f>BQ478</f>
        <v/>
      </c>
      <c r="BR777" s="1615">
        <f>BR478</f>
        <v/>
      </c>
      <c r="BS777" s="1614">
        <f>BS478</f>
        <v/>
      </c>
      <c r="BT777" s="1615">
        <f>BT478</f>
        <v/>
      </c>
      <c r="BU777" s="1615">
        <f>BU478</f>
        <v/>
      </c>
      <c r="BV777" s="1615">
        <f>BV478</f>
        <v/>
      </c>
      <c r="BW777" s="1615">
        <f>BW478</f>
        <v/>
      </c>
      <c r="BX777" s="1614">
        <f>BX478</f>
        <v/>
      </c>
      <c r="BY777" s="1614">
        <f>BY478</f>
        <v/>
      </c>
      <c r="BZ777" s="1614">
        <f>BZ478</f>
        <v/>
      </c>
      <c r="CA777" s="1614">
        <f>CA478</f>
        <v/>
      </c>
      <c r="CB777" s="1361" t="n"/>
    </row>
    <row r="778" hidden="1" outlineLevel="1" ht="15" customFormat="1" customHeight="1" s="1359">
      <c r="A778" s="1503" t="inlineStr">
        <is>
          <t>Non-GAAP EBIT beat/(miss) vs. most recent guidance - midpoint, mm</t>
        </is>
      </c>
      <c r="B778" s="1512" t="n"/>
      <c r="C778" s="1379" t="n"/>
      <c r="D778" s="1379" t="n"/>
      <c r="E778" s="1379" t="n"/>
      <c r="F778" s="1379" t="n"/>
      <c r="G778" s="1361">
        <f>IFERROR(G777-G776,"")</f>
        <v/>
      </c>
      <c r="H778" s="1361">
        <f>IFERROR(H777-H776,"")</f>
        <v/>
      </c>
      <c r="I778" s="1361">
        <f>IFERROR(I777-I776,"")</f>
        <v/>
      </c>
      <c r="J778" s="1361">
        <f>IFERROR(J777-J776,"")</f>
        <v/>
      </c>
      <c r="K778" s="1379">
        <f>IFERROR(K777-K776,"")</f>
        <v/>
      </c>
      <c r="L778" s="1361">
        <f>IFERROR(L777-L776,"")</f>
        <v/>
      </c>
      <c r="M778" s="1361">
        <f>IFERROR(M777-M776,"")</f>
        <v/>
      </c>
      <c r="N778" s="1361">
        <f>IFERROR(N777-N776,"")</f>
        <v/>
      </c>
      <c r="O778" s="1361">
        <f>IFERROR(O777-O776,"")</f>
        <v/>
      </c>
      <c r="P778" s="1379">
        <f>IFERROR(P777-P776,"")</f>
        <v/>
      </c>
      <c r="Q778" s="1361">
        <f>IFERROR(Q777-Q776,"")</f>
        <v/>
      </c>
      <c r="R778" s="1361">
        <f>IFERROR(R777-R776,"")</f>
        <v/>
      </c>
      <c r="S778" s="1361">
        <f>IFERROR(S777-S776,"")</f>
        <v/>
      </c>
      <c r="T778" s="1361">
        <f>IFERROR(T777-T776,"")</f>
        <v/>
      </c>
      <c r="U778" s="1379">
        <f>IFERROR(U777-U776,"")</f>
        <v/>
      </c>
      <c r="V778" s="1361">
        <f>IFERROR(V777-V776,"")</f>
        <v/>
      </c>
      <c r="W778" s="1361">
        <f>IFERROR(W777-W776,"")</f>
        <v/>
      </c>
      <c r="X778" s="1361">
        <f>IFERROR(X777-X776,"")</f>
        <v/>
      </c>
      <c r="Y778" s="1361">
        <f>IFERROR(Y777-Y776,"")</f>
        <v/>
      </c>
      <c r="Z778" s="1379">
        <f>IFERROR(Z777-Z776,"")</f>
        <v/>
      </c>
      <c r="AA778" s="1361">
        <f>IFERROR(AA777-AA776,"")</f>
        <v/>
      </c>
      <c r="AB778" s="1361">
        <f>IFERROR(AB777-AB776,"")</f>
        <v/>
      </c>
      <c r="AC778" s="1361">
        <f>IFERROR(AC777-AC776,"")</f>
        <v/>
      </c>
      <c r="AD778" s="1361">
        <f>IFERROR(AD777-AD776,"")</f>
        <v/>
      </c>
      <c r="AE778" s="1379">
        <f>IFERROR(AE777-AE776,"")</f>
        <v/>
      </c>
      <c r="AF778" s="1361">
        <f>IFERROR(AF777-AF776,"")</f>
        <v/>
      </c>
      <c r="AG778" s="1361">
        <f>IFERROR(AG777-AG776,"")</f>
        <v/>
      </c>
      <c r="AH778" s="1361">
        <f>IFERROR(AH777-AH776,"")</f>
        <v/>
      </c>
      <c r="AI778" s="1361">
        <f>IFERROR(AI777-AI776,"")</f>
        <v/>
      </c>
      <c r="AJ778" s="1379">
        <f>IFERROR(AJ777-AJ776,"")</f>
        <v/>
      </c>
      <c r="AK778" s="1361">
        <f>IFERROR(AK777-AK776,"")</f>
        <v/>
      </c>
      <c r="AL778" s="1361">
        <f>IFERROR(AL777-AL776,"")</f>
        <v/>
      </c>
      <c r="AM778" s="1361">
        <f>IFERROR(AM777-AM776,"")</f>
        <v/>
      </c>
      <c r="AN778" s="1361">
        <f>IFERROR(AN777-AN776,"")</f>
        <v/>
      </c>
      <c r="AO778" s="1379">
        <f>IFERROR(AO777-AO776,"")</f>
        <v/>
      </c>
      <c r="AP778" s="1361">
        <f>IFERROR(AP777-AP776,"")</f>
        <v/>
      </c>
      <c r="AQ778" s="1361">
        <f>IFERROR(AQ777-AQ776,"")</f>
        <v/>
      </c>
      <c r="AR778" s="1361">
        <f>IFERROR(AR777-AR776,"")</f>
        <v/>
      </c>
      <c r="AS778" s="1361">
        <f>IFERROR(AS777-AS776,"")</f>
        <v/>
      </c>
      <c r="AT778" s="1379">
        <f>IFERROR(AT777-AT776,"")</f>
        <v/>
      </c>
      <c r="AU778" s="1361">
        <f>IFERROR(AU777-AU776,"")</f>
        <v/>
      </c>
      <c r="AV778" s="1361">
        <f>IFERROR(AV777-AV776,"")</f>
        <v/>
      </c>
      <c r="AW778" s="1361">
        <f>IFERROR(AW777-AW776,"")</f>
        <v/>
      </c>
      <c r="AX778" s="1361">
        <f>IFERROR(AX777-AX776,"")</f>
        <v/>
      </c>
      <c r="AY778" s="1379">
        <f>IFERROR(AY777-AY776,"")</f>
        <v/>
      </c>
      <c r="AZ778" s="1361">
        <f>IFERROR(AZ777-AZ776,"")</f>
        <v/>
      </c>
      <c r="BA778" s="1361">
        <f>IFERROR(BA777-BA776,"")</f>
        <v/>
      </c>
      <c r="BB778" s="1361">
        <f>IFERROR(BB777-BB776,"")</f>
        <v/>
      </c>
      <c r="BC778" s="1361">
        <f>IFERROR(BC777-BC776,"")</f>
        <v/>
      </c>
      <c r="BD778" s="1379">
        <f>IFERROR(BD777-BD776,"")</f>
        <v/>
      </c>
      <c r="BE778" s="1361">
        <f>IFERROR(BE777-BE776,"")</f>
        <v/>
      </c>
      <c r="BF778" s="1361">
        <f>IFERROR(BF777-BF776,"")</f>
        <v/>
      </c>
      <c r="BG778" s="1361">
        <f>IFERROR(BG777-BG776,"")</f>
        <v/>
      </c>
      <c r="BH778" s="1361">
        <f>IFERROR(BH777-BH776,"")</f>
        <v/>
      </c>
      <c r="BI778" s="1379">
        <f>IFERROR(BI777-BI776,"")</f>
        <v/>
      </c>
      <c r="BJ778" s="1361">
        <f>IFERROR(BJ777-BJ776,"")</f>
        <v/>
      </c>
      <c r="BK778" s="1361">
        <f>IFERROR(BK777-BK776,"")</f>
        <v/>
      </c>
      <c r="BL778" s="1361">
        <f>IFERROR(BL777-BL776,"")</f>
        <v/>
      </c>
      <c r="BM778" s="1361">
        <f>IFERROR(BM777-BM776,"")</f>
        <v/>
      </c>
      <c r="BN778" s="1379">
        <f>IFERROR(BN777-BN776,"")</f>
        <v/>
      </c>
      <c r="BO778" s="1361">
        <f>IFERROR(BO777-BO776,"")</f>
        <v/>
      </c>
      <c r="BP778" s="1361">
        <f>IFERROR(BP777-BP776,"")</f>
        <v/>
      </c>
      <c r="BQ778" s="1363">
        <f>IFERROR(BQ777-BQ776,"")</f>
        <v/>
      </c>
      <c r="BR778" s="1361">
        <f>IFERROR(BR777-BR776,"")</f>
        <v/>
      </c>
      <c r="BS778" s="1379">
        <f>IFERROR(BS777-BS776,"")</f>
        <v/>
      </c>
      <c r="BT778" s="1361">
        <f>IFERROR(BT777-BT776,"")</f>
        <v/>
      </c>
      <c r="BU778" s="1361">
        <f>IFERROR(BU777-BU776,"")</f>
        <v/>
      </c>
      <c r="BV778" s="1361">
        <f>IFERROR(BV777-BV776,"")</f>
        <v/>
      </c>
      <c r="BW778" s="1361">
        <f>IFERROR(BW777-BW776,"")</f>
        <v/>
      </c>
      <c r="BX778" s="1379">
        <f>IFERROR(BX777-BX776,"")</f>
        <v/>
      </c>
      <c r="BY778" s="1379" t="n"/>
      <c r="BZ778" s="1379" t="n"/>
      <c r="CA778" s="1379" t="n"/>
      <c r="CB778" s="1361" t="n"/>
    </row>
    <row r="779" hidden="1" outlineLevel="1" ht="15" customFormat="1" customHeight="1" s="1359">
      <c r="A779" s="1768" t="inlineStr">
        <is>
          <t>Relative non-GAAP EBIT beat/(miss) vs. most recent guidance - midpoint, %</t>
        </is>
      </c>
      <c r="B779" s="1769" t="n"/>
      <c r="C779" s="1770" t="n"/>
      <c r="D779" s="1770" t="n"/>
      <c r="E779" s="1770" t="n"/>
      <c r="F779" s="1770" t="n"/>
      <c r="G779" s="1771">
        <f>IFERROR(G778/ABS(G776),"")</f>
        <v/>
      </c>
      <c r="H779" s="1771">
        <f>IFERROR(H778/ABS(H776),"")</f>
        <v/>
      </c>
      <c r="I779" s="1771">
        <f>IFERROR(I778/ABS(I776),"")</f>
        <v/>
      </c>
      <c r="J779" s="1771">
        <f>IFERROR(J778/ABS(J776),"")</f>
        <v/>
      </c>
      <c r="K779" s="1770">
        <f>IFERROR(K778/ABS(K776),"")</f>
        <v/>
      </c>
      <c r="L779" s="1771">
        <f>IFERROR(L778/ABS(L776),"")</f>
        <v/>
      </c>
      <c r="M779" s="1771">
        <f>IFERROR(M778/ABS(M776),"")</f>
        <v/>
      </c>
      <c r="N779" s="1771">
        <f>IFERROR(N778/ABS(N776),"")</f>
        <v/>
      </c>
      <c r="O779" s="1771">
        <f>IFERROR(O778/ABS(O776),"")</f>
        <v/>
      </c>
      <c r="P779" s="1770">
        <f>IFERROR(P778/ABS(P776),"")</f>
        <v/>
      </c>
      <c r="Q779" s="1771">
        <f>IFERROR(Q778/ABS(Q776),"")</f>
        <v/>
      </c>
      <c r="R779" s="1771">
        <f>IFERROR(R778/ABS(R776),"")</f>
        <v/>
      </c>
      <c r="S779" s="1771">
        <f>IFERROR(S778/ABS(S776),"")</f>
        <v/>
      </c>
      <c r="T779" s="1771">
        <f>IFERROR(T778/ABS(T776),"")</f>
        <v/>
      </c>
      <c r="U779" s="1770">
        <f>IFERROR(U778/ABS(U776),"")</f>
        <v/>
      </c>
      <c r="V779" s="1771">
        <f>IFERROR(V778/ABS(V776),"")</f>
        <v/>
      </c>
      <c r="W779" s="1771">
        <f>IFERROR(W778/ABS(W776),"")</f>
        <v/>
      </c>
      <c r="X779" s="1771">
        <f>IFERROR(X778/ABS(X776),"")</f>
        <v/>
      </c>
      <c r="Y779" s="1771">
        <f>IFERROR(Y778/ABS(Y776),"")</f>
        <v/>
      </c>
      <c r="Z779" s="1770">
        <f>IFERROR(Z778/ABS(Z776),"")</f>
        <v/>
      </c>
      <c r="AA779" s="1771">
        <f>IFERROR(AA778/ABS(AA776),"")</f>
        <v/>
      </c>
      <c r="AB779" s="1771">
        <f>IFERROR(AB778/ABS(AB776),"")</f>
        <v/>
      </c>
      <c r="AC779" s="1771">
        <f>IFERROR(AC778/ABS(AC776),"")</f>
        <v/>
      </c>
      <c r="AD779" s="1771">
        <f>IFERROR(AD778/ABS(AD776),"")</f>
        <v/>
      </c>
      <c r="AE779" s="1770">
        <f>IFERROR(AE778/ABS(AE776),"")</f>
        <v/>
      </c>
      <c r="AF779" s="1771">
        <f>IFERROR(AF778/ABS(AF776),"")</f>
        <v/>
      </c>
      <c r="AG779" s="1771">
        <f>IFERROR(AG778/ABS(AG776),"")</f>
        <v/>
      </c>
      <c r="AH779" s="1771">
        <f>IFERROR(AH778/ABS(AH776),"")</f>
        <v/>
      </c>
      <c r="AI779" s="1771">
        <f>IFERROR(AI778/ABS(AI776),"")</f>
        <v/>
      </c>
      <c r="AJ779" s="1770">
        <f>IFERROR(AJ778/ABS(AJ776),"")</f>
        <v/>
      </c>
      <c r="AK779" s="1771">
        <f>IFERROR(AK778/ABS(AK776),"")</f>
        <v/>
      </c>
      <c r="AL779" s="1771">
        <f>IFERROR(AL778/ABS(AL776),"")</f>
        <v/>
      </c>
      <c r="AM779" s="1771">
        <f>IFERROR(AM778/ABS(AM776),"")</f>
        <v/>
      </c>
      <c r="AN779" s="1771">
        <f>IFERROR(AN778/ABS(AN776),"")</f>
        <v/>
      </c>
      <c r="AO779" s="1770">
        <f>IFERROR(AO778/ABS(AO776),"")</f>
        <v/>
      </c>
      <c r="AP779" s="1771">
        <f>IFERROR(AP778/ABS(AP776),"")</f>
        <v/>
      </c>
      <c r="AQ779" s="1771">
        <f>IFERROR(AQ778/ABS(AQ776),"")</f>
        <v/>
      </c>
      <c r="AR779" s="1771">
        <f>IFERROR(AR778/ABS(AR776),"")</f>
        <v/>
      </c>
      <c r="AS779" s="1771">
        <f>IFERROR(AS778/ABS(AS776),"")</f>
        <v/>
      </c>
      <c r="AT779" s="1770">
        <f>IFERROR(AT778/ABS(AT776),"")</f>
        <v/>
      </c>
      <c r="AU779" s="1771">
        <f>IFERROR(AU778/ABS(AU776),"")</f>
        <v/>
      </c>
      <c r="AV779" s="1771">
        <f>IFERROR(AV778/ABS(AV776),"")</f>
        <v/>
      </c>
      <c r="AW779" s="1771">
        <f>IFERROR(AW778/ABS(AW776),"")</f>
        <v/>
      </c>
      <c r="AX779" s="1771">
        <f>IFERROR(AX778/ABS(AX776),"")</f>
        <v/>
      </c>
      <c r="AY779" s="1770">
        <f>IFERROR(AY778/ABS(AY776),"")</f>
        <v/>
      </c>
      <c r="AZ779" s="1771">
        <f>IFERROR(AZ778/ABS(AZ776),"")</f>
        <v/>
      </c>
      <c r="BA779" s="1771">
        <f>IFERROR(BA778/ABS(BA776),"")</f>
        <v/>
      </c>
      <c r="BB779" s="1771">
        <f>IFERROR(BB778/ABS(BB776),"")</f>
        <v/>
      </c>
      <c r="BC779" s="1771">
        <f>IFERROR(BC778/ABS(BC776),"")</f>
        <v/>
      </c>
      <c r="BD779" s="1770">
        <f>IFERROR(BD778/ABS(BD776),"")</f>
        <v/>
      </c>
      <c r="BE779" s="1771">
        <f>IFERROR(BE778/ABS(BE776),"")</f>
        <v/>
      </c>
      <c r="BF779" s="1771">
        <f>IFERROR(BF778/ABS(BF776),"")</f>
        <v/>
      </c>
      <c r="BG779" s="1771">
        <f>IFERROR(BG778/ABS(BG776),"")</f>
        <v/>
      </c>
      <c r="BH779" s="1771">
        <f>IFERROR(BH778/ABS(BH776),"")</f>
        <v/>
      </c>
      <c r="BI779" s="1770">
        <f>IFERROR(BI778/ABS(BI776),"")</f>
        <v/>
      </c>
      <c r="BJ779" s="1771">
        <f>IFERROR(BJ778/ABS(BJ776),"")</f>
        <v/>
      </c>
      <c r="BK779" s="1771">
        <f>IFERROR(BK778/ABS(BK776),"")</f>
        <v/>
      </c>
      <c r="BL779" s="1771">
        <f>IFERROR(BL778/ABS(BL776),"")</f>
        <v/>
      </c>
      <c r="BM779" s="1771">
        <f>IFERROR(BM778/ABS(BM776),"")</f>
        <v/>
      </c>
      <c r="BN779" s="1770">
        <f>IFERROR(BN778/ABS(BN776),"")</f>
        <v/>
      </c>
      <c r="BO779" s="1771">
        <f>IFERROR(BO778/ABS(BO776),"")</f>
        <v/>
      </c>
      <c r="BP779" s="1771">
        <f>IFERROR(BP778/ABS(BP776),"")</f>
        <v/>
      </c>
      <c r="BQ779" s="1772">
        <f>IFERROR(BQ778/ABS(BQ776),"")</f>
        <v/>
      </c>
      <c r="BR779" s="1771">
        <f>IFERROR(BR778/ABS(BR776),"")</f>
        <v/>
      </c>
      <c r="BS779" s="1770">
        <f>IFERROR(BS778/ABS(BS776),"")</f>
        <v/>
      </c>
      <c r="BT779" s="1771">
        <f>IFERROR(BT778/ABS(BT776),"")</f>
        <v/>
      </c>
      <c r="BU779" s="1771">
        <f>IFERROR(BU778/ABS(BU776),"")</f>
        <v/>
      </c>
      <c r="BV779" s="1771">
        <f>IFERROR(BV778/ABS(BV776),"")</f>
        <v/>
      </c>
      <c r="BW779" s="1771">
        <f>IFERROR(BW778/ABS(BW776),"")</f>
        <v/>
      </c>
      <c r="BX779" s="1770">
        <f>IFERROR(BX778/ABS(BX776),"")</f>
        <v/>
      </c>
      <c r="BY779" s="1770" t="n"/>
      <c r="BZ779" s="1770" t="n"/>
      <c r="CA779" s="1770" t="n"/>
      <c r="CB779" s="1771" t="n"/>
    </row>
    <row r="780" hidden="1" outlineLevel="1" ht="15" customFormat="1" customHeight="1" s="1359">
      <c r="A780" s="545" t="n"/>
      <c r="B780" s="1512" t="n"/>
      <c r="C780" s="1379" t="n"/>
      <c r="D780" s="1379" t="n"/>
      <c r="E780" s="1379" t="n"/>
      <c r="F780" s="1379" t="n"/>
      <c r="G780" s="1361" t="n"/>
      <c r="H780" s="1361" t="n"/>
      <c r="I780" s="1361" t="n"/>
      <c r="J780" s="1361" t="n"/>
      <c r="K780" s="1379" t="n"/>
      <c r="L780" s="1361" t="n"/>
      <c r="M780" s="1361" t="n"/>
      <c r="N780" s="1361" t="n"/>
      <c r="O780" s="1361" t="n"/>
      <c r="P780" s="1379" t="n"/>
      <c r="Q780" s="1361" t="n"/>
      <c r="R780" s="1361" t="n"/>
      <c r="S780" s="1361" t="n"/>
      <c r="T780" s="1361" t="n"/>
      <c r="U780" s="1379" t="n"/>
      <c r="V780" s="1361" t="n"/>
      <c r="W780" s="1361" t="n"/>
      <c r="X780" s="1361" t="n"/>
      <c r="Y780" s="1361" t="n"/>
      <c r="Z780" s="1379" t="n"/>
      <c r="AA780" s="1361" t="n"/>
      <c r="AB780" s="1361" t="n"/>
      <c r="AC780" s="1361" t="n"/>
      <c r="AD780" s="1361" t="n"/>
      <c r="AE780" s="1379" t="n"/>
      <c r="AF780" s="1361" t="n"/>
      <c r="AG780" s="1361" t="n"/>
      <c r="AH780" s="1361" t="n"/>
      <c r="AI780" s="1361" t="n"/>
      <c r="AJ780" s="1379" t="n"/>
      <c r="AK780" s="1361" t="n"/>
      <c r="AL780" s="1361" t="n"/>
      <c r="AM780" s="1361" t="n"/>
      <c r="AN780" s="1361" t="n"/>
      <c r="AO780" s="1379" t="n"/>
      <c r="AP780" s="1361" t="n"/>
      <c r="AQ780" s="1361" t="n"/>
      <c r="AR780" s="1361" t="n"/>
      <c r="AS780" s="1361" t="n"/>
      <c r="AT780" s="1379" t="n"/>
      <c r="AU780" s="1361" t="n"/>
      <c r="AV780" s="1361" t="n"/>
      <c r="AW780" s="1361" t="n"/>
      <c r="AX780" s="1361" t="n"/>
      <c r="AY780" s="1379" t="n"/>
      <c r="AZ780" s="1361" t="n"/>
      <c r="BA780" s="1361" t="n"/>
      <c r="BB780" s="1361" t="n"/>
      <c r="BC780" s="1361" t="n"/>
      <c r="BD780" s="1379" t="n"/>
      <c r="BE780" s="1361" t="n"/>
      <c r="BF780" s="1361" t="n"/>
      <c r="BG780" s="1361" t="n"/>
      <c r="BH780" s="1361" t="n"/>
      <c r="BI780" s="1379" t="n"/>
      <c r="BJ780" s="1361" t="n"/>
      <c r="BK780" s="1361" t="n"/>
      <c r="BL780" s="1361" t="n"/>
      <c r="BM780" s="1361" t="n"/>
      <c r="BN780" s="1379" t="n"/>
      <c r="BO780" s="1361" t="n"/>
      <c r="BP780" s="1361" t="n"/>
      <c r="BQ780" s="1363" t="n"/>
      <c r="BR780" s="1361" t="n"/>
      <c r="BS780" s="1379" t="n"/>
      <c r="BT780" s="1361" t="n"/>
      <c r="BU780" s="1361" t="n"/>
      <c r="BV780" s="1361" t="n"/>
      <c r="BW780" s="1361" t="n"/>
      <c r="BX780" s="1379" t="n"/>
      <c r="BY780" s="1379" t="n"/>
      <c r="BZ780" s="1379" t="n"/>
      <c r="CA780" s="1379" t="n"/>
      <c r="CB780" s="1361" t="n"/>
    </row>
    <row r="781" hidden="1" outlineLevel="1" ht="15" customFormat="1" customHeight="1" s="1359">
      <c r="A781" s="1501" t="inlineStr">
        <is>
          <t>Q/Q guided non-GAAP EBIT growth, %</t>
        </is>
      </c>
      <c r="B781" s="1590" t="n"/>
      <c r="C781" s="1382" t="n"/>
      <c r="D781" s="1382" t="n"/>
      <c r="E781" s="1382" t="n"/>
      <c r="F781" s="1382" t="n"/>
      <c r="G781" s="1384" t="n"/>
      <c r="H781" s="1384">
        <f>IF(H776="","",H776/G777-1)</f>
        <v/>
      </c>
      <c r="I781" s="1384">
        <f>IF(I776="","",I776/H777-1)</f>
        <v/>
      </c>
      <c r="J781" s="1384">
        <f>IF(J776="","",J776/I777-1)</f>
        <v/>
      </c>
      <c r="K781" s="1382" t="n"/>
      <c r="L781" s="1384">
        <f>IF(L776="","",L776/J777-1)</f>
        <v/>
      </c>
      <c r="M781" s="1384">
        <f>IF(M776="","",M776/L777-1)</f>
        <v/>
      </c>
      <c r="N781" s="1384">
        <f>IF(N776="","",N776/M777-1)</f>
        <v/>
      </c>
      <c r="O781" s="1384">
        <f>IF(O776="","",O776/N777-1)</f>
        <v/>
      </c>
      <c r="P781" s="1382" t="n"/>
      <c r="Q781" s="1384">
        <f>IF(Q776="","",Q776/O777-1)</f>
        <v/>
      </c>
      <c r="R781" s="1384">
        <f>IF(R776="","",R776/Q777-1)</f>
        <v/>
      </c>
      <c r="S781" s="1384">
        <f>IF(S776="","",S776/R777-1)</f>
        <v/>
      </c>
      <c r="T781" s="1384">
        <f>IF(T776="","",T776/S777-1)</f>
        <v/>
      </c>
      <c r="U781" s="1382" t="n"/>
      <c r="V781" s="1384">
        <f>IF(V776="","",V776/T777-1)</f>
        <v/>
      </c>
      <c r="W781" s="1384">
        <f>IF(W776="","",W776/V777-1)</f>
        <v/>
      </c>
      <c r="X781" s="1384">
        <f>IF(X776="","",X776/W777-1)</f>
        <v/>
      </c>
      <c r="Y781" s="1384">
        <f>IF(Y776="","",Y776/X777-1)</f>
        <v/>
      </c>
      <c r="Z781" s="1382" t="n"/>
      <c r="AA781" s="1384">
        <f>IF(AA776="","",AA776/Y777-1)</f>
        <v/>
      </c>
      <c r="AB781" s="1384">
        <f>IF(AB776="","",AB776/AA777-1)</f>
        <v/>
      </c>
      <c r="AC781" s="1384">
        <f>IF(AC776="","",AC776/AB777-1)</f>
        <v/>
      </c>
      <c r="AD781" s="1384">
        <f>IF(AD776="","",AD776/AC777-1)</f>
        <v/>
      </c>
      <c r="AE781" s="1382" t="n"/>
      <c r="AF781" s="1384">
        <f>IF(AF776="","",AF776/AD777-1)</f>
        <v/>
      </c>
      <c r="AG781" s="1384">
        <f>IF(AG776="","",AG776/AF777-1)</f>
        <v/>
      </c>
      <c r="AH781" s="1384">
        <f>IF(AH776="","",AH776/AG777-1)</f>
        <v/>
      </c>
      <c r="AI781" s="1384">
        <f>IF(AI776="","",AI776/AH777-1)</f>
        <v/>
      </c>
      <c r="AJ781" s="1382" t="n"/>
      <c r="AK781" s="1384">
        <f>IF(AK776="","",AK776/AI777-1)</f>
        <v/>
      </c>
      <c r="AL781" s="1384">
        <f>IF(AL776="","",AL776/AK777-1)</f>
        <v/>
      </c>
      <c r="AM781" s="1384">
        <f>IF(AM776="","",AM776/AL777-1)</f>
        <v/>
      </c>
      <c r="AN781" s="1384">
        <f>IF(AN776="","",AN776/AM777-1)</f>
        <v/>
      </c>
      <c r="AO781" s="1382" t="n"/>
      <c r="AP781" s="1384">
        <f>IF(AP776="","",AP776/AN777-1)</f>
        <v/>
      </c>
      <c r="AQ781" s="1384">
        <f>IF(AQ776="","",AQ776/AP777-1)</f>
        <v/>
      </c>
      <c r="AR781" s="1384">
        <f>IF(AR776="","",AR776/AQ777-1)</f>
        <v/>
      </c>
      <c r="AS781" s="1384">
        <f>IF(AS776="","",AS776/AR777-1)</f>
        <v/>
      </c>
      <c r="AT781" s="1382" t="n"/>
      <c r="AU781" s="1384">
        <f>IF(AU776="","",AU776/AS777-1)</f>
        <v/>
      </c>
      <c r="AV781" s="1384">
        <f>IF(AV776="","",AV776/AU777-1)</f>
        <v/>
      </c>
      <c r="AW781" s="1384">
        <f>IF(AW776="","",AW776/AV777-1)</f>
        <v/>
      </c>
      <c r="AX781" s="1384">
        <f>IF(AX776="","",AX776/AW777-1)</f>
        <v/>
      </c>
      <c r="AY781" s="1382" t="n"/>
      <c r="AZ781" s="1384">
        <f>IF(AZ776="","",AZ776/AX777-1)</f>
        <v/>
      </c>
      <c r="BA781" s="1384">
        <f>IF(BA776="","",BA776/AZ777-1)</f>
        <v/>
      </c>
      <c r="BB781" s="1384">
        <f>IF(BB776="","",BB776/BA777-1)</f>
        <v/>
      </c>
      <c r="BC781" s="1384">
        <f>IF(BC776="","",BC776/BB777-1)</f>
        <v/>
      </c>
      <c r="BD781" s="1382" t="n"/>
      <c r="BE781" s="1384">
        <f>IF(BE776="","",BE776/BC777-1)</f>
        <v/>
      </c>
      <c r="BF781" s="1384">
        <f>IF(BF776="","",BF776/BE777-1)</f>
        <v/>
      </c>
      <c r="BG781" s="1384">
        <f>IF(BG776="","",BG776/BF777-1)</f>
        <v/>
      </c>
      <c r="BH781" s="1384">
        <f>IF(BH776="","",BH776/BG777-1)</f>
        <v/>
      </c>
      <c r="BI781" s="1382" t="n"/>
      <c r="BJ781" s="1384">
        <f>IF(BJ776="","",BJ776/BH777-1)</f>
        <v/>
      </c>
      <c r="BK781" s="1384">
        <f>IF(BK776="","",BK776/BJ777-1)</f>
        <v/>
      </c>
      <c r="BL781" s="1384">
        <f>IF(BL776="","",BL776/BK777-1)</f>
        <v/>
      </c>
      <c r="BM781" s="1384">
        <f>IF(BM776="","",BM776/BL777-1)</f>
        <v/>
      </c>
      <c r="BN781" s="1382" t="n"/>
      <c r="BO781" s="1384">
        <f>IF(BO776="","",BO776/BM777-1)</f>
        <v/>
      </c>
      <c r="BP781" s="1384">
        <f>IF(BP776="","",BP776/BO777-1)</f>
        <v/>
      </c>
      <c r="BQ781" s="1386">
        <f>IF(BQ776="","",BQ776/BP777-1)</f>
        <v/>
      </c>
      <c r="BR781" s="1384">
        <f>IF(BR776="","",BR776/BQ777-1)</f>
        <v/>
      </c>
      <c r="BS781" s="1382" t="n"/>
      <c r="BT781" s="1384">
        <f>IF(BT776="","",BT776/BR777-1)</f>
        <v/>
      </c>
      <c r="BU781" s="1384">
        <f>IF(BU776="","",BU776/BT777-1)</f>
        <v/>
      </c>
      <c r="BV781" s="1384">
        <f>IF(BV776="","",BV776/BU777-1)</f>
        <v/>
      </c>
      <c r="BW781" s="1384">
        <f>IF(BW776="","",BW776/BV777-1)</f>
        <v/>
      </c>
      <c r="BX781" s="1382" t="n"/>
      <c r="BY781" s="1382" t="n"/>
      <c r="BZ781" s="1382" t="n"/>
      <c r="CA781" s="1382" t="n"/>
      <c r="CB781" s="1384" t="n"/>
    </row>
    <row r="782" hidden="1" outlineLevel="1" ht="15" customFormat="1" customHeight="1" s="1359">
      <c r="A782" s="1773" t="inlineStr">
        <is>
          <t>Q/Q beat/(miss) non-GAAP EBIT growth, %</t>
        </is>
      </c>
      <c r="B782" s="1774" t="n"/>
      <c r="C782" s="1775" t="n"/>
      <c r="D782" s="1775" t="n"/>
      <c r="E782" s="1775" t="n"/>
      <c r="F782" s="1775" t="n"/>
      <c r="G782" s="1776" t="n"/>
      <c r="H782" s="1776">
        <f>IF(H778="","",H778/G777)</f>
        <v/>
      </c>
      <c r="I782" s="1776">
        <f>IF(I778="","",I778/H777)</f>
        <v/>
      </c>
      <c r="J782" s="1776">
        <f>IF(J778="","",J778/I777)</f>
        <v/>
      </c>
      <c r="K782" s="1775" t="n"/>
      <c r="L782" s="1776">
        <f>IF(L778="","",L778/J777)</f>
        <v/>
      </c>
      <c r="M782" s="1776">
        <f>IF(M778="","",M778/L777)</f>
        <v/>
      </c>
      <c r="N782" s="1776">
        <f>IF(N778="","",N778/M777)</f>
        <v/>
      </c>
      <c r="O782" s="1776">
        <f>IF(O778="","",O778/N777)</f>
        <v/>
      </c>
      <c r="P782" s="1775" t="n"/>
      <c r="Q782" s="1776">
        <f>IF(Q778="","",Q778/O777)</f>
        <v/>
      </c>
      <c r="R782" s="1776">
        <f>IF(R778="","",R778/Q777)</f>
        <v/>
      </c>
      <c r="S782" s="1776">
        <f>IF(S778="","",S778/R777)</f>
        <v/>
      </c>
      <c r="T782" s="1776">
        <f>IF(T778="","",T778/S777)</f>
        <v/>
      </c>
      <c r="U782" s="1775" t="n"/>
      <c r="V782" s="1776">
        <f>IF(V778="","",V778/T777)</f>
        <v/>
      </c>
      <c r="W782" s="1776">
        <f>IF(W778="","",W778/V777)</f>
        <v/>
      </c>
      <c r="X782" s="1776">
        <f>IF(X778="","",X778/W777)</f>
        <v/>
      </c>
      <c r="Y782" s="1776">
        <f>IF(Y778="","",Y778/X777)</f>
        <v/>
      </c>
      <c r="Z782" s="1775" t="n"/>
      <c r="AA782" s="1776">
        <f>IF(AA778="","",AA778/Y777)</f>
        <v/>
      </c>
      <c r="AB782" s="1776">
        <f>IF(AB778="","",AB778/AA777)</f>
        <v/>
      </c>
      <c r="AC782" s="1776">
        <f>IF(AC778="","",AC778/AB777)</f>
        <v/>
      </c>
      <c r="AD782" s="1776">
        <f>IF(AD778="","",AD778/AC777)</f>
        <v/>
      </c>
      <c r="AE782" s="1775" t="n"/>
      <c r="AF782" s="1776">
        <f>IF(AF778="","",AF778/AD777)</f>
        <v/>
      </c>
      <c r="AG782" s="1776">
        <f>IF(AG778="","",AG778/AF777)</f>
        <v/>
      </c>
      <c r="AH782" s="1776">
        <f>IF(AH778="","",AH778/AG777)</f>
        <v/>
      </c>
      <c r="AI782" s="1776">
        <f>IF(AI778="","",AI778/AH777)</f>
        <v/>
      </c>
      <c r="AJ782" s="1775" t="n"/>
      <c r="AK782" s="1776">
        <f>IF(AK778="","",AK778/AI777)</f>
        <v/>
      </c>
      <c r="AL782" s="1776">
        <f>IF(AL778="","",AL778/AK777)</f>
        <v/>
      </c>
      <c r="AM782" s="1776">
        <f>IF(AM778="","",AM778/AL777)</f>
        <v/>
      </c>
      <c r="AN782" s="1776">
        <f>IF(AN778="","",AN778/AM777)</f>
        <v/>
      </c>
      <c r="AO782" s="1775" t="n"/>
      <c r="AP782" s="1776">
        <f>IF(AP778="","",AP778/AN777)</f>
        <v/>
      </c>
      <c r="AQ782" s="1776">
        <f>IF(AQ778="","",AQ778/AP777)</f>
        <v/>
      </c>
      <c r="AR782" s="1776">
        <f>IF(AR778="","",AR778/AQ777)</f>
        <v/>
      </c>
      <c r="AS782" s="1776">
        <f>IF(AS778="","",AS778/AR777)</f>
        <v/>
      </c>
      <c r="AT782" s="1775" t="n"/>
      <c r="AU782" s="1776">
        <f>IF(AU778="","",AU778/AS777)</f>
        <v/>
      </c>
      <c r="AV782" s="1776">
        <f>IF(AV778="","",AV778/AU777)</f>
        <v/>
      </c>
      <c r="AW782" s="1776">
        <f>IF(AW778="","",AW778/AV777)</f>
        <v/>
      </c>
      <c r="AX782" s="1776">
        <f>IF(AX778="","",AX778/AW777)</f>
        <v/>
      </c>
      <c r="AY782" s="1775" t="n"/>
      <c r="AZ782" s="1776">
        <f>IF(AZ778="","",AZ778/AX777)</f>
        <v/>
      </c>
      <c r="BA782" s="1776">
        <f>IF(BA778="","",BA778/AZ777)</f>
        <v/>
      </c>
      <c r="BB782" s="1776">
        <f>IF(BB778="","",BB778/BA777)</f>
        <v/>
      </c>
      <c r="BC782" s="1776">
        <f>IF(BC778="","",BC778/BB777)</f>
        <v/>
      </c>
      <c r="BD782" s="1775" t="n"/>
      <c r="BE782" s="1776">
        <f>IF(BE778="","",BE778/BC777)</f>
        <v/>
      </c>
      <c r="BF782" s="1776">
        <f>IF(BF778="","",BF778/BE777)</f>
        <v/>
      </c>
      <c r="BG782" s="1776">
        <f>IF(BG778="","",BG778/BF777)</f>
        <v/>
      </c>
      <c r="BH782" s="1776">
        <f>IF(BH778="","",BH778/BG777)</f>
        <v/>
      </c>
      <c r="BI782" s="1775" t="n"/>
      <c r="BJ782" s="1776">
        <f>IF(BJ778="","",BJ778/BH777)</f>
        <v/>
      </c>
      <c r="BK782" s="1776">
        <f>IF(BK778="","",BK778/BJ777)</f>
        <v/>
      </c>
      <c r="BL782" s="1776">
        <f>IF(BL778="","",BL778/BK777)</f>
        <v/>
      </c>
      <c r="BM782" s="1776">
        <f>IF(BM778="","",BM778/BL777)</f>
        <v/>
      </c>
      <c r="BN782" s="1775" t="n"/>
      <c r="BO782" s="1776">
        <f>IF(BO778="","",BO778/BM777)</f>
        <v/>
      </c>
      <c r="BP782" s="1776">
        <f>IF(BP778="","",BP778/BO777)</f>
        <v/>
      </c>
      <c r="BQ782" s="1777">
        <f>IF(BQ778="","",BQ778/BP777)</f>
        <v/>
      </c>
      <c r="BR782" s="1776">
        <f>IF(BR778="","",BR778/BQ777)</f>
        <v/>
      </c>
      <c r="BS782" s="1775" t="n"/>
      <c r="BT782" s="1776">
        <f>IF(BT778="","",BT778/BR777)</f>
        <v/>
      </c>
      <c r="BU782" s="1776">
        <f>IF(BU778="","",BU778/BT777)</f>
        <v/>
      </c>
      <c r="BV782" s="1776">
        <f>IF(BV778="","",BV778/BU777)</f>
        <v/>
      </c>
      <c r="BW782" s="1776">
        <f>IF(BW778="","",BW778/BV777)</f>
        <v/>
      </c>
      <c r="BX782" s="1775" t="n"/>
      <c r="BY782" s="1775" t="n"/>
      <c r="BZ782" s="1775" t="n"/>
      <c r="CA782" s="1775" t="n"/>
      <c r="CB782" s="1384" t="n"/>
    </row>
    <row r="783" hidden="1" outlineLevel="1" ht="15" customFormat="1" customHeight="1" s="1359">
      <c r="A783" s="1778" t="inlineStr">
        <is>
          <t>Q/Q non-GAAP EBIT growth, %</t>
        </is>
      </c>
      <c r="B783" s="1769" t="n"/>
      <c r="C783" s="1770" t="n"/>
      <c r="D783" s="1770" t="n"/>
      <c r="E783" s="1770" t="n"/>
      <c r="F783" s="1770" t="n"/>
      <c r="G783" s="1771" t="n"/>
      <c r="H783" s="1771">
        <f>H777/G777-1</f>
        <v/>
      </c>
      <c r="I783" s="1771">
        <f>I777/H777-1</f>
        <v/>
      </c>
      <c r="J783" s="1771">
        <f>J777/I777-1</f>
        <v/>
      </c>
      <c r="K783" s="1770" t="n"/>
      <c r="L783" s="1771">
        <f>L777/J777-1</f>
        <v/>
      </c>
      <c r="M783" s="1771">
        <f>M777/L777-1</f>
        <v/>
      </c>
      <c r="N783" s="1771">
        <f>N777/M777-1</f>
        <v/>
      </c>
      <c r="O783" s="1771">
        <f>O777/N777-1</f>
        <v/>
      </c>
      <c r="P783" s="1770" t="n"/>
      <c r="Q783" s="1771">
        <f>Q777/O777-1</f>
        <v/>
      </c>
      <c r="R783" s="1771">
        <f>R777/Q777-1</f>
        <v/>
      </c>
      <c r="S783" s="1771">
        <f>S777/R777-1</f>
        <v/>
      </c>
      <c r="T783" s="1771">
        <f>T777/S777-1</f>
        <v/>
      </c>
      <c r="U783" s="1770" t="n"/>
      <c r="V783" s="1771">
        <f>V777/T777-1</f>
        <v/>
      </c>
      <c r="W783" s="1771">
        <f>W777/V777-1</f>
        <v/>
      </c>
      <c r="X783" s="1771">
        <f>X777/W777-1</f>
        <v/>
      </c>
      <c r="Y783" s="1771">
        <f>Y777/X777-1</f>
        <v/>
      </c>
      <c r="Z783" s="1770" t="n"/>
      <c r="AA783" s="1771">
        <f>AA777/Y777-1</f>
        <v/>
      </c>
      <c r="AB783" s="1771">
        <f>AB777/AA777-1</f>
        <v/>
      </c>
      <c r="AC783" s="1771">
        <f>AC777/AB777-1</f>
        <v/>
      </c>
      <c r="AD783" s="1771">
        <f>AD777/AC777-1</f>
        <v/>
      </c>
      <c r="AE783" s="1770" t="n"/>
      <c r="AF783" s="1771">
        <f>AF777/AD777-1</f>
        <v/>
      </c>
      <c r="AG783" s="1771">
        <f>AG777/AF777-1</f>
        <v/>
      </c>
      <c r="AH783" s="1771">
        <f>AH777/AG777-1</f>
        <v/>
      </c>
      <c r="AI783" s="1771">
        <f>AI777/AH777-1</f>
        <v/>
      </c>
      <c r="AJ783" s="1770" t="n"/>
      <c r="AK783" s="1771">
        <f>AK777/AI777-1</f>
        <v/>
      </c>
      <c r="AL783" s="1771">
        <f>AL777/AK777-1</f>
        <v/>
      </c>
      <c r="AM783" s="1771">
        <f>AM777/AL777-1</f>
        <v/>
      </c>
      <c r="AN783" s="1771">
        <f>AN777/AM777-1</f>
        <v/>
      </c>
      <c r="AO783" s="1770" t="n"/>
      <c r="AP783" s="1771">
        <f>AP777/AN777-1</f>
        <v/>
      </c>
      <c r="AQ783" s="1771">
        <f>AQ777/AP777-1</f>
        <v/>
      </c>
      <c r="AR783" s="1771">
        <f>AR777/AQ777-1</f>
        <v/>
      </c>
      <c r="AS783" s="1771">
        <f>AS777/AR777-1</f>
        <v/>
      </c>
      <c r="AT783" s="1770" t="n"/>
      <c r="AU783" s="1771">
        <f>AU777/AS777-1</f>
        <v/>
      </c>
      <c r="AV783" s="1771">
        <f>AV777/AU777-1</f>
        <v/>
      </c>
      <c r="AW783" s="1771">
        <f>AW777/AV777-1</f>
        <v/>
      </c>
      <c r="AX783" s="1771">
        <f>AX777/AW777-1</f>
        <v/>
      </c>
      <c r="AY783" s="1770" t="n"/>
      <c r="AZ783" s="1771">
        <f>AZ777/AX777-1</f>
        <v/>
      </c>
      <c r="BA783" s="1771">
        <f>BA777/AZ777-1</f>
        <v/>
      </c>
      <c r="BB783" s="1771">
        <f>BB777/BA777-1</f>
        <v/>
      </c>
      <c r="BC783" s="1771">
        <f>BC777/BB777-1</f>
        <v/>
      </c>
      <c r="BD783" s="1770" t="n"/>
      <c r="BE783" s="1771">
        <f>BE777/BC777-1</f>
        <v/>
      </c>
      <c r="BF783" s="1771">
        <f>BF777/BE777-1</f>
        <v/>
      </c>
      <c r="BG783" s="1771">
        <f>BG777/BF777-1</f>
        <v/>
      </c>
      <c r="BH783" s="1771">
        <f>BH777/BG777-1</f>
        <v/>
      </c>
      <c r="BI783" s="1770" t="n"/>
      <c r="BJ783" s="1771">
        <f>BJ777/BH777-1</f>
        <v/>
      </c>
      <c r="BK783" s="1771">
        <f>BK777/BJ777-1</f>
        <v/>
      </c>
      <c r="BL783" s="1771">
        <f>BL777/BK777-1</f>
        <v/>
      </c>
      <c r="BM783" s="1771">
        <f>BM777/BL777-1</f>
        <v/>
      </c>
      <c r="BN783" s="1770" t="n"/>
      <c r="BO783" s="1771">
        <f>BO777/BM777-1</f>
        <v/>
      </c>
      <c r="BP783" s="1771">
        <f>BP777/BO777-1</f>
        <v/>
      </c>
      <c r="BQ783" s="1772">
        <f>BQ777/BP777-1</f>
        <v/>
      </c>
      <c r="BR783" s="1771">
        <f>BR777/BQ777-1</f>
        <v/>
      </c>
      <c r="BS783" s="1770" t="n"/>
      <c r="BT783" s="1771">
        <f>BT777/BR777-1</f>
        <v/>
      </c>
      <c r="BU783" s="1771">
        <f>BU777/BT777-1</f>
        <v/>
      </c>
      <c r="BV783" s="1771">
        <f>BV777/BU777-1</f>
        <v/>
      </c>
      <c r="BW783" s="1771">
        <f>BW777/BV777-1</f>
        <v/>
      </c>
      <c r="BX783" s="1770" t="n"/>
      <c r="BY783" s="1770" t="n"/>
      <c r="BZ783" s="1770" t="n"/>
      <c r="CA783" s="1770" t="n"/>
      <c r="CB783" s="1771" t="n"/>
    </row>
    <row r="784" hidden="1" outlineLevel="1" ht="15" customFormat="1" customHeight="1" s="1359">
      <c r="A784" s="1501" t="inlineStr">
        <is>
          <t>Y/Y guided non-GAAP EBIT growth, %</t>
        </is>
      </c>
      <c r="B784" s="1590" t="n"/>
      <c r="C784" s="1382" t="n"/>
      <c r="D784" s="1382">
        <f>IF(D776="","",D776/C777-1)</f>
        <v/>
      </c>
      <c r="E784" s="1382">
        <f>IF(E776="","",E776/D777-1)</f>
        <v/>
      </c>
      <c r="F784" s="1382">
        <f>IF(F776="","",F776/E777-1)</f>
        <v/>
      </c>
      <c r="G784" s="1384" t="n"/>
      <c r="H784" s="1384" t="n"/>
      <c r="I784" s="1384" t="n"/>
      <c r="J784" s="1384" t="n"/>
      <c r="K784" s="1382">
        <f>IF(K776="","",K776/F777-1)</f>
        <v/>
      </c>
      <c r="L784" s="1384">
        <f>IF(L776="","",L776/G777-1)</f>
        <v/>
      </c>
      <c r="M784" s="1384">
        <f>IF(M776="","",M776/H777-1)</f>
        <v/>
      </c>
      <c r="N784" s="1384">
        <f>IF(N776="","",N776/I777-1)</f>
        <v/>
      </c>
      <c r="O784" s="1384">
        <f>IF(O776="","",O776/J777-1)</f>
        <v/>
      </c>
      <c r="P784" s="1382">
        <f>IF(P776="","",P776/K777-1)</f>
        <v/>
      </c>
      <c r="Q784" s="1384">
        <f>IF(Q776="","",Q776/L777-1)</f>
        <v/>
      </c>
      <c r="R784" s="1384">
        <f>IF(R776="","",R776/M777-1)</f>
        <v/>
      </c>
      <c r="S784" s="1384">
        <f>IF(S776="","",S776/N777-1)</f>
        <v/>
      </c>
      <c r="T784" s="1384">
        <f>IF(T776="","",T776/O777-1)</f>
        <v/>
      </c>
      <c r="U784" s="1382">
        <f>IF(U776="","",U776/P777-1)</f>
        <v/>
      </c>
      <c r="V784" s="1384">
        <f>IF(V776="","",V776/Q777-1)</f>
        <v/>
      </c>
      <c r="W784" s="1384">
        <f>IF(W776="","",W776/R777-1)</f>
        <v/>
      </c>
      <c r="X784" s="1384">
        <f>IF(X776="","",X776/S777-1)</f>
        <v/>
      </c>
      <c r="Y784" s="1384">
        <f>IF(Y776="","",Y776/T777-1)</f>
        <v/>
      </c>
      <c r="Z784" s="1382">
        <f>IF(Z776="","",Z776/U777-1)</f>
        <v/>
      </c>
      <c r="AA784" s="1384">
        <f>IF(AA776="","",AA776/V777-1)</f>
        <v/>
      </c>
      <c r="AB784" s="1384">
        <f>IF(AB776="","",AB776/W777-1)</f>
        <v/>
      </c>
      <c r="AC784" s="1384">
        <f>IF(AC776="","",AC776/X777-1)</f>
        <v/>
      </c>
      <c r="AD784" s="1384">
        <f>IF(AD776="","",AD776/Y777-1)</f>
        <v/>
      </c>
      <c r="AE784" s="1382">
        <f>IF(AE776="","",AE776/Z777-1)</f>
        <v/>
      </c>
      <c r="AF784" s="1384">
        <f>IF(AF776="","",AF776/AA777-1)</f>
        <v/>
      </c>
      <c r="AG784" s="1384">
        <f>IF(AG776="","",AG776/AB777-1)</f>
        <v/>
      </c>
      <c r="AH784" s="1384">
        <f>IF(AH776="","",AH776/AC777-1)</f>
        <v/>
      </c>
      <c r="AI784" s="1384">
        <f>IF(AI776="","",AI776/AD777-1)</f>
        <v/>
      </c>
      <c r="AJ784" s="1382">
        <f>IF(AJ776="","",AJ776/AE777-1)</f>
        <v/>
      </c>
      <c r="AK784" s="1384">
        <f>IF(AK776="","",AK776/AF777-1)</f>
        <v/>
      </c>
      <c r="AL784" s="1384">
        <f>IF(AL776="","",AL776/AG777-1)</f>
        <v/>
      </c>
      <c r="AM784" s="1384">
        <f>IF(AM776="","",AM776/AH777-1)</f>
        <v/>
      </c>
      <c r="AN784" s="1384">
        <f>IF(AN776="","",AN776/AI777-1)</f>
        <v/>
      </c>
      <c r="AO784" s="1382">
        <f>IF(AO776="","",AO776/AJ777-1)</f>
        <v/>
      </c>
      <c r="AP784" s="1384">
        <f>IF(AP776="","",AP776/AK777-1)</f>
        <v/>
      </c>
      <c r="AQ784" s="1384">
        <f>IF(AQ776="","",AQ776/AL777-1)</f>
        <v/>
      </c>
      <c r="AR784" s="1384">
        <f>IF(AR776="","",AR776/AM777-1)</f>
        <v/>
      </c>
      <c r="AS784" s="1384">
        <f>IF(AS776="","",AS776/AN777-1)</f>
        <v/>
      </c>
      <c r="AT784" s="1382">
        <f>IF(AT776="","",AT776/AO777-1)</f>
        <v/>
      </c>
      <c r="AU784" s="1384">
        <f>IF(AU776="","",AU776/AP777-1)</f>
        <v/>
      </c>
      <c r="AV784" s="1384">
        <f>IF(AV776="","",AV776/AQ777-1)</f>
        <v/>
      </c>
      <c r="AW784" s="1384">
        <f>IF(AW776="","",AW776/AR777-1)</f>
        <v/>
      </c>
      <c r="AX784" s="1384">
        <f>IF(AX776="","",AX776/AS777-1)</f>
        <v/>
      </c>
      <c r="AY784" s="1382">
        <f>IF(AY776="","",AY776/AT777-1)</f>
        <v/>
      </c>
      <c r="AZ784" s="1384">
        <f>IF(AZ776="","",AZ776/AU777-1)</f>
        <v/>
      </c>
      <c r="BA784" s="1384">
        <f>IF(BA776="","",BA776/AV777-1)</f>
        <v/>
      </c>
      <c r="BB784" s="1384">
        <f>IF(BB776="","",BB776/AW777-1)</f>
        <v/>
      </c>
      <c r="BC784" s="1384">
        <f>IF(BC776="","",BC776/AX777-1)</f>
        <v/>
      </c>
      <c r="BD784" s="1382">
        <f>IF(BD776="","",BD776/AY777-1)</f>
        <v/>
      </c>
      <c r="BE784" s="1384">
        <f>IF(BE776="","",BE776/AZ777-1)</f>
        <v/>
      </c>
      <c r="BF784" s="1384">
        <f>IF(BF776="","",BF776/BA777-1)</f>
        <v/>
      </c>
      <c r="BG784" s="1384">
        <f>IF(BG776="","",BG776/BB777-1)</f>
        <v/>
      </c>
      <c r="BH784" s="1384">
        <f>IF(BH776="","",BH776/BC777-1)</f>
        <v/>
      </c>
      <c r="BI784" s="1382">
        <f>IF(BI776="","",BI776/BD777-1)</f>
        <v/>
      </c>
      <c r="BJ784" s="1384">
        <f>IF(BJ776="","",BJ776/BE777-1)</f>
        <v/>
      </c>
      <c r="BK784" s="1384">
        <f>IF(BK776="","",BK776/BF777-1)</f>
        <v/>
      </c>
      <c r="BL784" s="1384">
        <f>IF(BL776="","",BL776/BG777-1)</f>
        <v/>
      </c>
      <c r="BM784" s="1384">
        <f>IF(BM776="","",BM776/BH777-1)</f>
        <v/>
      </c>
      <c r="BN784" s="1382">
        <f>IF(BN776="","",BN776/BI777-1)</f>
        <v/>
      </c>
      <c r="BO784" s="1384">
        <f>IF(BO776="","",BO776/BJ777-1)</f>
        <v/>
      </c>
      <c r="BP784" s="1384">
        <f>IF(BP776="","",BP776/BK777-1)</f>
        <v/>
      </c>
      <c r="BQ784" s="1386">
        <f>IF(BQ776="","",BQ776/BL777-1)</f>
        <v/>
      </c>
      <c r="BR784" s="1384">
        <f>IF(BR776="","",BR776/BM777-1)</f>
        <v/>
      </c>
      <c r="BS784" s="1382">
        <f>IF(BS776="","",BS776/BN777-1)</f>
        <v/>
      </c>
      <c r="BT784" s="1384">
        <f>IF(BT776="","",BT776/BO777-1)</f>
        <v/>
      </c>
      <c r="BU784" s="1384">
        <f>IF(BU776="","",BU776/BP777-1)</f>
        <v/>
      </c>
      <c r="BV784" s="1384">
        <f>IF(BV776="","",BV776/BQ777-1)</f>
        <v/>
      </c>
      <c r="BW784" s="1384">
        <f>IF(BW776="","",BW776/BR777-1)</f>
        <v/>
      </c>
      <c r="BX784" s="1382">
        <f>IF(BX776="","",BX776/BS777-1)</f>
        <v/>
      </c>
      <c r="BY784" s="1382" t="n"/>
      <c r="BZ784" s="1382" t="n"/>
      <c r="CA784" s="1382" t="n"/>
      <c r="CB784" s="1384" t="n"/>
    </row>
    <row r="785" hidden="1" outlineLevel="1" ht="15" customFormat="1" customHeight="1" s="1359">
      <c r="A785" s="1773" t="inlineStr">
        <is>
          <t>Y/Y beat/(miss) non-GAAP EBIT growth, %</t>
        </is>
      </c>
      <c r="B785" s="1774" t="n"/>
      <c r="C785" s="1775" t="n"/>
      <c r="D785" s="1775">
        <f>IF(D778="","",D778/C777)</f>
        <v/>
      </c>
      <c r="E785" s="1775">
        <f>IF(E778="","",E778/D777)</f>
        <v/>
      </c>
      <c r="F785" s="1775">
        <f>IF(F778="","",F778/E777)</f>
        <v/>
      </c>
      <c r="G785" s="1776" t="n"/>
      <c r="H785" s="1776" t="n"/>
      <c r="I785" s="1776" t="n"/>
      <c r="J785" s="1776" t="n"/>
      <c r="K785" s="1775">
        <f>IF(K778="","",K778/F777)</f>
        <v/>
      </c>
      <c r="L785" s="1776">
        <f>IF(L778="","",L778/G777)</f>
        <v/>
      </c>
      <c r="M785" s="1776">
        <f>IF(M778="","",M778/H777)</f>
        <v/>
      </c>
      <c r="N785" s="1776">
        <f>IF(N778="","",N778/I777)</f>
        <v/>
      </c>
      <c r="O785" s="1776">
        <f>IF(O778="","",O778/J777)</f>
        <v/>
      </c>
      <c r="P785" s="1775">
        <f>IF(P778="","",P778/K777)</f>
        <v/>
      </c>
      <c r="Q785" s="1776">
        <f>IF(Q778="","",Q778/L777)</f>
        <v/>
      </c>
      <c r="R785" s="1776">
        <f>IF(R778="","",R778/M777)</f>
        <v/>
      </c>
      <c r="S785" s="1776">
        <f>IF(S778="","",S778/N777)</f>
        <v/>
      </c>
      <c r="T785" s="1776">
        <f>IF(T778="","",T778/O777)</f>
        <v/>
      </c>
      <c r="U785" s="1775">
        <f>IF(U778="","",U778/P777)</f>
        <v/>
      </c>
      <c r="V785" s="1776">
        <f>IF(V778="","",V778/Q777)</f>
        <v/>
      </c>
      <c r="W785" s="1776">
        <f>IF(W778="","",W778/R777)</f>
        <v/>
      </c>
      <c r="X785" s="1776">
        <f>IF(X778="","",X778/S777)</f>
        <v/>
      </c>
      <c r="Y785" s="1776">
        <f>IF(Y778="","",Y778/T777)</f>
        <v/>
      </c>
      <c r="Z785" s="1775">
        <f>IF(Z778="","",Z778/U777)</f>
        <v/>
      </c>
      <c r="AA785" s="1776">
        <f>IF(AA778="","",AA778/V777)</f>
        <v/>
      </c>
      <c r="AB785" s="1776">
        <f>IF(AB778="","",AB778/W777)</f>
        <v/>
      </c>
      <c r="AC785" s="1776">
        <f>IF(AC778="","",AC778/X777)</f>
        <v/>
      </c>
      <c r="AD785" s="1776">
        <f>IF(AD778="","",AD778/Y777)</f>
        <v/>
      </c>
      <c r="AE785" s="1775">
        <f>IF(AE778="","",AE778/Z777)</f>
        <v/>
      </c>
      <c r="AF785" s="1776">
        <f>IF(AF778="","",AF778/AA777)</f>
        <v/>
      </c>
      <c r="AG785" s="1776">
        <f>IF(AG778="","",AG778/AB777)</f>
        <v/>
      </c>
      <c r="AH785" s="1776">
        <f>IF(AH778="","",AH778/AC777)</f>
        <v/>
      </c>
      <c r="AI785" s="1776">
        <f>IF(AI778="","",AI778/AD777)</f>
        <v/>
      </c>
      <c r="AJ785" s="1775">
        <f>IF(AJ778="","",AJ778/AE777)</f>
        <v/>
      </c>
      <c r="AK785" s="1776">
        <f>IF(AK778="","",AK778/AF777)</f>
        <v/>
      </c>
      <c r="AL785" s="1776">
        <f>IF(AL778="","",AL778/AG777)</f>
        <v/>
      </c>
      <c r="AM785" s="1776">
        <f>IF(AM778="","",AM778/AH777)</f>
        <v/>
      </c>
      <c r="AN785" s="1776">
        <f>IF(AN778="","",AN778/AI777)</f>
        <v/>
      </c>
      <c r="AO785" s="1775">
        <f>IF(AO778="","",AO778/AJ777)</f>
        <v/>
      </c>
      <c r="AP785" s="1776">
        <f>IF(AP778="","",AP778/AK777)</f>
        <v/>
      </c>
      <c r="AQ785" s="1776">
        <f>IF(AQ778="","",AQ778/AL777)</f>
        <v/>
      </c>
      <c r="AR785" s="1776">
        <f>IF(AR778="","",AR778/AM777)</f>
        <v/>
      </c>
      <c r="AS785" s="1776">
        <f>IF(AS778="","",AS778/AN777)</f>
        <v/>
      </c>
      <c r="AT785" s="1775">
        <f>IF(AT778="","",AT778/AO777)</f>
        <v/>
      </c>
      <c r="AU785" s="1776">
        <f>IF(AU778="","",AU778/AP777)</f>
        <v/>
      </c>
      <c r="AV785" s="1776">
        <f>IF(AV778="","",AV778/AQ777)</f>
        <v/>
      </c>
      <c r="AW785" s="1776">
        <f>IF(AW778="","",AW778/AR777)</f>
        <v/>
      </c>
      <c r="AX785" s="1776">
        <f>IF(AX778="","",AX778/AS777)</f>
        <v/>
      </c>
      <c r="AY785" s="1775">
        <f>IF(AY778="","",AY778/AT777)</f>
        <v/>
      </c>
      <c r="AZ785" s="1776">
        <f>IF(AZ778="","",AZ778/AU777)</f>
        <v/>
      </c>
      <c r="BA785" s="1776">
        <f>IF(BA778="","",BA778/AV777)</f>
        <v/>
      </c>
      <c r="BB785" s="1776">
        <f>IF(BB778="","",BB778/AW777)</f>
        <v/>
      </c>
      <c r="BC785" s="1776">
        <f>IF(BC778="","",BC778/AX777)</f>
        <v/>
      </c>
      <c r="BD785" s="1775">
        <f>IF(BD778="","",BD778/AY777)</f>
        <v/>
      </c>
      <c r="BE785" s="1776">
        <f>IF(BE778="","",BE778/AZ777)</f>
        <v/>
      </c>
      <c r="BF785" s="1776">
        <f>IF(BF778="","",BF778/BA777)</f>
        <v/>
      </c>
      <c r="BG785" s="1776">
        <f>IF(BG778="","",BG778/BB777)</f>
        <v/>
      </c>
      <c r="BH785" s="1776">
        <f>IF(BH778="","",BH778/BC777)</f>
        <v/>
      </c>
      <c r="BI785" s="1775">
        <f>IF(BI778="","",BI778/BD777)</f>
        <v/>
      </c>
      <c r="BJ785" s="1776">
        <f>IF(BJ778="","",BJ778/BE777)</f>
        <v/>
      </c>
      <c r="BK785" s="1776">
        <f>IF(BK778="","",BK778/BF777)</f>
        <v/>
      </c>
      <c r="BL785" s="1776">
        <f>IF(BL778="","",BL778/BG777)</f>
        <v/>
      </c>
      <c r="BM785" s="1776">
        <f>IF(BM778="","",BM778/BH777)</f>
        <v/>
      </c>
      <c r="BN785" s="1775">
        <f>IF(BN778="","",BN778/BI777)</f>
        <v/>
      </c>
      <c r="BO785" s="1776">
        <f>IF(BO778="","",BO778/BJ777)</f>
        <v/>
      </c>
      <c r="BP785" s="1776">
        <f>IF(BP778="","",BP778/BK777)</f>
        <v/>
      </c>
      <c r="BQ785" s="1777">
        <f>IF(BQ778="","",BQ778/BL777)</f>
        <v/>
      </c>
      <c r="BR785" s="1776">
        <f>IF(BR778="","",BR778/BM777)</f>
        <v/>
      </c>
      <c r="BS785" s="1775">
        <f>IF(BS778="","",BS778/BN777)</f>
        <v/>
      </c>
      <c r="BT785" s="1776">
        <f>IF(BT778="","",BT778/BO777)</f>
        <v/>
      </c>
      <c r="BU785" s="1776">
        <f>IF(BU778="","",BU778/BP777)</f>
        <v/>
      </c>
      <c r="BV785" s="1776">
        <f>IF(BV778="","",BV778/BQ777)</f>
        <v/>
      </c>
      <c r="BW785" s="1776">
        <f>IF(BW778="","",BW778/BR777)</f>
        <v/>
      </c>
      <c r="BX785" s="1775">
        <f>IF(BX778="","",BX778/BS777)</f>
        <v/>
      </c>
      <c r="BY785" s="1775" t="n"/>
      <c r="BZ785" s="1775" t="n"/>
      <c r="CA785" s="1775" t="n"/>
      <c r="CB785" s="1384" t="n"/>
    </row>
    <row r="786" hidden="1" outlineLevel="1" ht="15" customFormat="1" customHeight="1" s="1359">
      <c r="A786" s="1778" t="inlineStr">
        <is>
          <t>Y/Y non-GAAP EBIT growth, %</t>
        </is>
      </c>
      <c r="B786" s="1769" t="n"/>
      <c r="C786" s="1770" t="n"/>
      <c r="D786" s="1770">
        <f>D777/C777-1</f>
        <v/>
      </c>
      <c r="E786" s="1770">
        <f>E777/D777-1</f>
        <v/>
      </c>
      <c r="F786" s="1770">
        <f>F777/E777-1</f>
        <v/>
      </c>
      <c r="G786" s="1771" t="n"/>
      <c r="H786" s="1771" t="n"/>
      <c r="I786" s="1771" t="n"/>
      <c r="J786" s="1771" t="n"/>
      <c r="K786" s="1770">
        <f>K777/F777-1</f>
        <v/>
      </c>
      <c r="L786" s="1771">
        <f>L777/G777-1</f>
        <v/>
      </c>
      <c r="M786" s="1771">
        <f>M777/H777-1</f>
        <v/>
      </c>
      <c r="N786" s="1771">
        <f>N777/I777-1</f>
        <v/>
      </c>
      <c r="O786" s="1771">
        <f>O777/J777-1</f>
        <v/>
      </c>
      <c r="P786" s="1770">
        <f>P777/K777-1</f>
        <v/>
      </c>
      <c r="Q786" s="1771">
        <f>Q777/L777-1</f>
        <v/>
      </c>
      <c r="R786" s="1771">
        <f>R777/M777-1</f>
        <v/>
      </c>
      <c r="S786" s="1771">
        <f>S777/N777-1</f>
        <v/>
      </c>
      <c r="T786" s="1771">
        <f>T777/O777-1</f>
        <v/>
      </c>
      <c r="U786" s="1770">
        <f>U777/P777-1</f>
        <v/>
      </c>
      <c r="V786" s="1771">
        <f>V777/Q777-1</f>
        <v/>
      </c>
      <c r="W786" s="1771">
        <f>W777/R777-1</f>
        <v/>
      </c>
      <c r="X786" s="1771">
        <f>X777/S777-1</f>
        <v/>
      </c>
      <c r="Y786" s="1771">
        <f>Y777/T777-1</f>
        <v/>
      </c>
      <c r="Z786" s="1770">
        <f>Z777/U777-1</f>
        <v/>
      </c>
      <c r="AA786" s="1771">
        <f>AA777/V777-1</f>
        <v/>
      </c>
      <c r="AB786" s="1771">
        <f>AB777/W777-1</f>
        <v/>
      </c>
      <c r="AC786" s="1771">
        <f>AC777/X777-1</f>
        <v/>
      </c>
      <c r="AD786" s="1771">
        <f>AD777/Y777-1</f>
        <v/>
      </c>
      <c r="AE786" s="1770">
        <f>AE777/Z777-1</f>
        <v/>
      </c>
      <c r="AF786" s="1771">
        <f>AF777/AA777-1</f>
        <v/>
      </c>
      <c r="AG786" s="1771">
        <f>AG777/AB777-1</f>
        <v/>
      </c>
      <c r="AH786" s="1771">
        <f>AH777/AC777-1</f>
        <v/>
      </c>
      <c r="AI786" s="1771">
        <f>AI777/AD777-1</f>
        <v/>
      </c>
      <c r="AJ786" s="1770">
        <f>AJ777/AE777-1</f>
        <v/>
      </c>
      <c r="AK786" s="1771">
        <f>AK777/AF777-1</f>
        <v/>
      </c>
      <c r="AL786" s="1771">
        <f>AL777/AG777-1</f>
        <v/>
      </c>
      <c r="AM786" s="1771">
        <f>AM777/AH777-1</f>
        <v/>
      </c>
      <c r="AN786" s="1771">
        <f>AN777/AI777-1</f>
        <v/>
      </c>
      <c r="AO786" s="1770">
        <f>AO777/AJ777-1</f>
        <v/>
      </c>
      <c r="AP786" s="1771">
        <f>AP777/AK777-1</f>
        <v/>
      </c>
      <c r="AQ786" s="1771">
        <f>AQ777/AL777-1</f>
        <v/>
      </c>
      <c r="AR786" s="1771">
        <f>AR777/AM777-1</f>
        <v/>
      </c>
      <c r="AS786" s="1771">
        <f>AS777/AN777-1</f>
        <v/>
      </c>
      <c r="AT786" s="1770">
        <f>AT777/AO777-1</f>
        <v/>
      </c>
      <c r="AU786" s="1771">
        <f>AU777/AP777-1</f>
        <v/>
      </c>
      <c r="AV786" s="1771">
        <f>AV777/AQ777-1</f>
        <v/>
      </c>
      <c r="AW786" s="1771">
        <f>AW777/AR777-1</f>
        <v/>
      </c>
      <c r="AX786" s="1771">
        <f>AX777/AS777-1</f>
        <v/>
      </c>
      <c r="AY786" s="1770">
        <f>AY777/AT777-1</f>
        <v/>
      </c>
      <c r="AZ786" s="1771">
        <f>AZ777/AU777-1</f>
        <v/>
      </c>
      <c r="BA786" s="1771">
        <f>BA777/AV777-1</f>
        <v/>
      </c>
      <c r="BB786" s="1771">
        <f>BB777/AW777-1</f>
        <v/>
      </c>
      <c r="BC786" s="1771">
        <f>BC777/AX777-1</f>
        <v/>
      </c>
      <c r="BD786" s="1770">
        <f>BD777/AY777-1</f>
        <v/>
      </c>
      <c r="BE786" s="1771">
        <f>BE777/AZ777-1</f>
        <v/>
      </c>
      <c r="BF786" s="1771">
        <f>BF777/BA777-1</f>
        <v/>
      </c>
      <c r="BG786" s="1771">
        <f>BG777/BB777-1</f>
        <v/>
      </c>
      <c r="BH786" s="1771">
        <f>BH777/BC777-1</f>
        <v/>
      </c>
      <c r="BI786" s="1770">
        <f>BI777/BD777-1</f>
        <v/>
      </c>
      <c r="BJ786" s="1771">
        <f>BJ777/BE777-1</f>
        <v/>
      </c>
      <c r="BK786" s="1771">
        <f>BK777/BF777-1</f>
        <v/>
      </c>
      <c r="BL786" s="1771">
        <f>BL777/BG777-1</f>
        <v/>
      </c>
      <c r="BM786" s="1771">
        <f>BM777/BH777-1</f>
        <v/>
      </c>
      <c r="BN786" s="1770">
        <f>BN777/BI777-1</f>
        <v/>
      </c>
      <c r="BO786" s="1771">
        <f>BO777/BJ777-1</f>
        <v/>
      </c>
      <c r="BP786" s="1771">
        <f>BP777/BK777-1</f>
        <v/>
      </c>
      <c r="BQ786" s="1772">
        <f>BQ777/BL777-1</f>
        <v/>
      </c>
      <c r="BR786" s="1771">
        <f>BR777/BM777-1</f>
        <v/>
      </c>
      <c r="BS786" s="1770">
        <f>BS777/BN777-1</f>
        <v/>
      </c>
      <c r="BT786" s="1771">
        <f>BT777/BO777-1</f>
        <v/>
      </c>
      <c r="BU786" s="1771">
        <f>BU777/BP777-1</f>
        <v/>
      </c>
      <c r="BV786" s="1771">
        <f>BV777/BQ777-1</f>
        <v/>
      </c>
      <c r="BW786" s="1771">
        <f>BW777/BR777-1</f>
        <v/>
      </c>
      <c r="BX786" s="1770">
        <f>BX777/BS777-1</f>
        <v/>
      </c>
      <c r="BY786" s="1770">
        <f>BY777/BX777-1</f>
        <v/>
      </c>
      <c r="BZ786" s="1770">
        <f>BZ777/BY777-1</f>
        <v/>
      </c>
      <c r="CA786" s="1770">
        <f>CA777/BZ777-1</f>
        <v/>
      </c>
      <c r="CB786" s="1771" t="n"/>
    </row>
    <row r="787" hidden="1" outlineLevel="1" ht="15" customFormat="1" customHeight="1" s="1359">
      <c r="A787" s="545" t="n"/>
      <c r="B787" s="1512" t="n"/>
      <c r="C787" s="1379" t="n"/>
      <c r="D787" s="1379" t="n"/>
      <c r="E787" s="1379" t="n"/>
      <c r="F787" s="1379" t="n"/>
      <c r="G787" s="1361" t="n"/>
      <c r="H787" s="1361" t="n"/>
      <c r="I787" s="1361" t="n"/>
      <c r="J787" s="1361" t="n"/>
      <c r="K787" s="1379" t="n"/>
      <c r="L787" s="1361" t="n"/>
      <c r="M787" s="1361" t="n"/>
      <c r="N787" s="1361" t="n"/>
      <c r="O787" s="1361" t="n"/>
      <c r="P787" s="1379" t="n"/>
      <c r="Q787" s="1361" t="n"/>
      <c r="R787" s="1361" t="n"/>
      <c r="S787" s="1361" t="n"/>
      <c r="T787" s="1361" t="n"/>
      <c r="U787" s="1379" t="n"/>
      <c r="V787" s="1361" t="n"/>
      <c r="W787" s="1361" t="n"/>
      <c r="X787" s="1361" t="n"/>
      <c r="Y787" s="1361" t="n"/>
      <c r="Z787" s="1379" t="n"/>
      <c r="AA787" s="1361" t="n"/>
      <c r="AB787" s="1361" t="n"/>
      <c r="AC787" s="1361" t="n"/>
      <c r="AD787" s="1361" t="n"/>
      <c r="AE787" s="1379" t="n"/>
      <c r="AF787" s="1361" t="n"/>
      <c r="AG787" s="1361" t="n"/>
      <c r="AH787" s="1361" t="n"/>
      <c r="AI787" s="1361" t="n"/>
      <c r="AJ787" s="1379" t="n"/>
      <c r="AK787" s="1361" t="n"/>
      <c r="AL787" s="1361" t="n"/>
      <c r="AM787" s="1361" t="n"/>
      <c r="AN787" s="1361" t="n"/>
      <c r="AO787" s="1379" t="n"/>
      <c r="AP787" s="1361" t="n"/>
      <c r="AQ787" s="1361" t="n"/>
      <c r="AR787" s="1361" t="n"/>
      <c r="AS787" s="1361" t="n"/>
      <c r="AT787" s="1379" t="n"/>
      <c r="AU787" s="1361" t="n"/>
      <c r="AV787" s="1361" t="n"/>
      <c r="AW787" s="1361" t="n"/>
      <c r="AX787" s="1361" t="n"/>
      <c r="AY787" s="1379" t="n"/>
      <c r="AZ787" s="1361" t="n"/>
      <c r="BA787" s="1361" t="n"/>
      <c r="BB787" s="1361" t="n"/>
      <c r="BC787" s="1361" t="n"/>
      <c r="BD787" s="1379" t="n"/>
      <c r="BE787" s="1361" t="n"/>
      <c r="BF787" s="1361" t="n"/>
      <c r="BG787" s="1361" t="n"/>
      <c r="BH787" s="1361" t="n"/>
      <c r="BI787" s="1379" t="n"/>
      <c r="BJ787" s="1361" t="n"/>
      <c r="BK787" s="1361" t="n"/>
      <c r="BL787" s="1361" t="n"/>
      <c r="BM787" s="1361" t="n"/>
      <c r="BN787" s="1379" t="n"/>
      <c r="BO787" s="1361" t="n"/>
      <c r="BP787" s="1361" t="n"/>
      <c r="BQ787" s="1363" t="n"/>
      <c r="BR787" s="1361" t="n"/>
      <c r="BS787" s="1379" t="n"/>
      <c r="BT787" s="1361" t="n"/>
      <c r="BU787" s="1361" t="n"/>
      <c r="BV787" s="1361" t="n"/>
      <c r="BW787" s="1361" t="n"/>
      <c r="BX787" s="1379" t="n"/>
      <c r="BY787" s="1379" t="n"/>
      <c r="BZ787" s="1379" t="n"/>
      <c r="CA787" s="1379" t="n"/>
      <c r="CB787" s="1361" t="n"/>
    </row>
    <row r="788" hidden="1" outlineLevel="2" ht="15" customFormat="1" customHeight="1" s="1359">
      <c r="A788" s="1486" t="inlineStr">
        <is>
          <t>Non-GAAP EBIT Margin guidance - initial midpoint, %</t>
        </is>
      </c>
      <c r="B788" s="1512" t="n"/>
      <c r="C788" s="1463" t="n"/>
      <c r="D788" s="1463" t="n"/>
      <c r="E788" s="1463" t="n"/>
      <c r="F788" s="1463" t="n"/>
      <c r="G788" s="1466" t="n"/>
      <c r="H788" s="1466">
        <f>IF(ISBLANK(G812),"",G812)</f>
        <v/>
      </c>
      <c r="I788" s="1466">
        <f>IF(ISBLANK(H812),"",H812)</f>
        <v/>
      </c>
      <c r="J788" s="1466">
        <f>IF(ISBLANK(I812),"",I812)</f>
        <v/>
      </c>
      <c r="K788" s="1463" t="n"/>
      <c r="L788" s="1466">
        <f>IF(ISBLANK(J812),"",J812)</f>
        <v/>
      </c>
      <c r="M788" s="1466">
        <f>IF(ISBLANK(L812),"",L812)</f>
        <v/>
      </c>
      <c r="N788" s="1466">
        <f>IF(ISBLANK(M812),"",M812)</f>
        <v/>
      </c>
      <c r="O788" s="1466">
        <f>IF(ISBLANK(N812),"",N812)</f>
        <v/>
      </c>
      <c r="P788" s="1463">
        <f>IF(ISBLANK(J837),"",J837)</f>
        <v/>
      </c>
      <c r="Q788" s="1466">
        <f>IF(ISBLANK(O812),"",O812)</f>
        <v/>
      </c>
      <c r="R788" s="1466">
        <f>IF(ISBLANK(Q812),"",Q812)</f>
        <v/>
      </c>
      <c r="S788" s="1466">
        <f>IF(ISBLANK(R812),"",R812)</f>
        <v/>
      </c>
      <c r="T788" s="1466">
        <f>IF(ISBLANK(S812),"",S812)</f>
        <v/>
      </c>
      <c r="U788" s="1463">
        <f>IF(ISBLANK(O837),"",O837)</f>
        <v/>
      </c>
      <c r="V788" s="1466">
        <f>IF(ISBLANK(T812),"",T812)</f>
        <v/>
      </c>
      <c r="W788" s="1466">
        <f>IF(ISBLANK(V812),"",V812)</f>
        <v/>
      </c>
      <c r="X788" s="1466">
        <f>IF(ISBLANK(W812),"",W812)</f>
        <v/>
      </c>
      <c r="Y788" s="1466">
        <f>IF(ISBLANK(X812),"",X812)</f>
        <v/>
      </c>
      <c r="Z788" s="1463">
        <f>IF(ISBLANK(T837),"",T837)</f>
        <v/>
      </c>
      <c r="AA788" s="1466">
        <f>IF(ISBLANK(Y812),"",Y812)</f>
        <v/>
      </c>
      <c r="AB788" s="1466">
        <f>IF(ISBLANK(AA812),"",AA812)</f>
        <v/>
      </c>
      <c r="AC788" s="1466">
        <f>IF(ISBLANK(AB812),"",AB812)</f>
        <v/>
      </c>
      <c r="AD788" s="1466">
        <f>IF(ISBLANK(AC812),"",AC812)</f>
        <v/>
      </c>
      <c r="AE788" s="1463">
        <f>IF(ISBLANK(Y837),"",Y837)</f>
        <v/>
      </c>
      <c r="AF788" s="1466">
        <f>IF(ISBLANK(AD812),"",AD812)</f>
        <v/>
      </c>
      <c r="AG788" s="1466">
        <f>IF(ISBLANK(AF812),"",AF812)</f>
        <v/>
      </c>
      <c r="AH788" s="1466">
        <f>IF(ISBLANK(AG812),"",AG812)</f>
        <v/>
      </c>
      <c r="AI788" s="1466">
        <f>IF(ISBLANK(AH812),"",AH812)</f>
        <v/>
      </c>
      <c r="AJ788" s="1463">
        <f>IF(ISBLANK(AD837),"",AD837)</f>
        <v/>
      </c>
      <c r="AK788" s="1466">
        <f>IF(ISBLANK(AI812),"",AI812)</f>
        <v/>
      </c>
      <c r="AL788" s="1466">
        <f>IF(ISBLANK(AK812),"",AK812)</f>
        <v/>
      </c>
      <c r="AM788" s="1466">
        <f>IF(ISBLANK(AL812),"",AL812)</f>
        <v/>
      </c>
      <c r="AN788" s="1466">
        <f>IF(ISBLANK(AM812),"",AM812)</f>
        <v/>
      </c>
      <c r="AO788" s="1463">
        <f>IF(ISBLANK(AI837),"",AI837)</f>
        <v/>
      </c>
      <c r="AP788" s="1466">
        <f>IF(ISBLANK(AN812),"",AN812)</f>
        <v/>
      </c>
      <c r="AQ788" s="1466">
        <f>IF(ISBLANK(AP812),"",AP812)</f>
        <v/>
      </c>
      <c r="AR788" s="1466">
        <f>IF(ISBLANK(AQ812),"",AQ812)</f>
        <v/>
      </c>
      <c r="AS788" s="1466">
        <f>IF(ISBLANK(AR812),"",AR812)</f>
        <v/>
      </c>
      <c r="AT788" s="1463">
        <f>IF(ISBLANK(AN837),"",AN837)</f>
        <v/>
      </c>
      <c r="AU788" s="1466">
        <f>IF(ISBLANK(AS812),"",AS812)</f>
        <v/>
      </c>
      <c r="AV788" s="1466">
        <f>IF(ISBLANK(AU812),"",AU812)</f>
        <v/>
      </c>
      <c r="AW788" s="1466">
        <f>IF(ISBLANK(AV812),"",AV812)</f>
        <v/>
      </c>
      <c r="AX788" s="1466">
        <f>IF(ISBLANK(AW812),"",AW812)</f>
        <v/>
      </c>
      <c r="AY788" s="1463">
        <f>IF(ISBLANK(AS837),"",AS837)</f>
        <v/>
      </c>
      <c r="AZ788" s="1466">
        <f>IF(ISBLANK(AX812),"",AX812)</f>
        <v/>
      </c>
      <c r="BA788" s="1466">
        <f>IF(ISBLANK(AZ812),"",AZ812)</f>
        <v/>
      </c>
      <c r="BB788" s="1466">
        <f>IF(ISBLANK(BA812),"",BA812)</f>
        <v/>
      </c>
      <c r="BC788" s="1466">
        <f>IF(ISBLANK(BB812),"",BB812)</f>
        <v/>
      </c>
      <c r="BD788" s="1463">
        <f>IF(ISBLANK(AX837),"",AX837)</f>
        <v/>
      </c>
      <c r="BE788" s="1466">
        <f>IF(ISBLANK(BC812),"",BC812)</f>
        <v/>
      </c>
      <c r="BF788" s="1466">
        <f>IF(ISBLANK(BE812),"",BE812)</f>
        <v/>
      </c>
      <c r="BG788" s="1466">
        <f>IF(ISBLANK(BF812),"",BF812)</f>
        <v/>
      </c>
      <c r="BH788" s="1466">
        <f>IF(ISBLANK(BG812),"",BG812)</f>
        <v/>
      </c>
      <c r="BI788" s="1463">
        <f>IF(ISBLANK(BC837),"",BC837)</f>
        <v/>
      </c>
      <c r="BJ788" s="1466">
        <f>IF(ISBLANK(BH812),"",BH812)</f>
        <v/>
      </c>
      <c r="BK788" s="1466">
        <f>IF(ISBLANK(BJ812),"",BJ812)</f>
        <v/>
      </c>
      <c r="BL788" s="1466">
        <f>IF(ISBLANK(BK812),"",BK812)</f>
        <v/>
      </c>
      <c r="BM788" s="1466">
        <f>IF(ISBLANK(BL812),"",BL812)</f>
        <v/>
      </c>
      <c r="BN788" s="1463">
        <f>IF(ISBLANK(BH837),"",BH837)</f>
        <v/>
      </c>
      <c r="BO788" s="1466">
        <f>IF(ISBLANK(BM812),"",BM812)</f>
        <v/>
      </c>
      <c r="BP788" s="1466">
        <f>IF(ISBLANK(BO812),"",BO812)</f>
        <v/>
      </c>
      <c r="BQ788" s="1491">
        <f>IF(ISBLANK(BP812),"",BP812)</f>
        <v/>
      </c>
      <c r="BR788" s="1466">
        <f>IF(ISBLANK(BQ812),"",BQ812)</f>
        <v/>
      </c>
      <c r="BS788" s="1463">
        <f>IF(ISBLANK(BM837),"",BM837)</f>
        <v/>
      </c>
      <c r="BT788" s="1466">
        <f>IF(ISBLANK(BR812),"",BR812)</f>
        <v/>
      </c>
      <c r="BU788" s="1466">
        <f>IF(ISBLANK(BT812),"",BT812)</f>
        <v/>
      </c>
      <c r="BV788" s="1466">
        <f>IF(ISBLANK(BU812),"",BU812)</f>
        <v/>
      </c>
      <c r="BW788" s="1466">
        <f>IF(ISBLANK(BV812),"",BV812)</f>
        <v/>
      </c>
      <c r="BX788" s="1463">
        <f>IF(ISBLANK(BR837),"",BR837)</f>
        <v/>
      </c>
      <c r="BY788" s="1463" t="n"/>
      <c r="BZ788" s="1463" t="n"/>
      <c r="CA788" s="1463" t="n"/>
      <c r="CB788" s="1466" t="n"/>
    </row>
    <row r="789" hidden="1" outlineLevel="2" ht="15" customFormat="1" customHeight="1" s="1359">
      <c r="A789" s="1486" t="inlineStr">
        <is>
          <t>Non-GAAP EBIT Margin guidance - update 1 midpoint, %</t>
        </is>
      </c>
      <c r="B789" s="1512" t="n"/>
      <c r="C789" s="1463" t="n"/>
      <c r="D789" s="1463" t="n"/>
      <c r="E789" s="1463" t="n"/>
      <c r="F789" s="1463" t="n"/>
      <c r="G789" s="1466" t="n"/>
      <c r="H789" s="1466" t="n"/>
      <c r="I789" s="1466" t="n"/>
      <c r="J789" s="1466" t="n"/>
      <c r="K789" s="1463">
        <f>IF(ISBLANK(G837),"",G837)</f>
        <v/>
      </c>
      <c r="L789" s="1466" t="n"/>
      <c r="M789" s="1466" t="n"/>
      <c r="N789" s="1466" t="n"/>
      <c r="O789" s="1466" t="n"/>
      <c r="P789" s="1463">
        <f>IF(ISBLANK(L837),"",L837)</f>
        <v/>
      </c>
      <c r="Q789" s="1466" t="n"/>
      <c r="R789" s="1466" t="n"/>
      <c r="S789" s="1466" t="n"/>
      <c r="T789" s="1466" t="n"/>
      <c r="U789" s="1463">
        <f>IF(ISBLANK(Q837),"",Q837)</f>
        <v/>
      </c>
      <c r="V789" s="1466" t="n"/>
      <c r="W789" s="1466" t="n"/>
      <c r="X789" s="1466" t="n"/>
      <c r="Y789" s="1466" t="n"/>
      <c r="Z789" s="1463">
        <f>IF(ISBLANK(V837),"",V837)</f>
        <v/>
      </c>
      <c r="AA789" s="1466" t="n"/>
      <c r="AB789" s="1466" t="n"/>
      <c r="AC789" s="1466" t="n"/>
      <c r="AD789" s="1466" t="n"/>
      <c r="AE789" s="1463">
        <f>IF(ISBLANK(AA837),"",AA837)</f>
        <v/>
      </c>
      <c r="AF789" s="1466" t="n"/>
      <c r="AG789" s="1466" t="n"/>
      <c r="AH789" s="1466" t="n"/>
      <c r="AI789" s="1466" t="n"/>
      <c r="AJ789" s="1463">
        <f>IF(ISBLANK(AF837),"",AF837)</f>
        <v/>
      </c>
      <c r="AK789" s="1466" t="n"/>
      <c r="AL789" s="1466" t="n"/>
      <c r="AM789" s="1466" t="n"/>
      <c r="AN789" s="1466" t="n"/>
      <c r="AO789" s="1463">
        <f>IF(ISBLANK(AK837),"",AK837)</f>
        <v/>
      </c>
      <c r="AP789" s="1466" t="n"/>
      <c r="AQ789" s="1466" t="n"/>
      <c r="AR789" s="1466" t="n"/>
      <c r="AS789" s="1466" t="n"/>
      <c r="AT789" s="1463">
        <f>IF(ISBLANK(AP837),"",AP837)</f>
        <v/>
      </c>
      <c r="AU789" s="1466" t="n"/>
      <c r="AV789" s="1466" t="n"/>
      <c r="AW789" s="1466" t="n"/>
      <c r="AX789" s="1466" t="n"/>
      <c r="AY789" s="1463">
        <f>IF(ISBLANK(AU837),"",AU837)</f>
        <v/>
      </c>
      <c r="AZ789" s="1466" t="n"/>
      <c r="BA789" s="1466" t="n"/>
      <c r="BB789" s="1466" t="n"/>
      <c r="BC789" s="1466" t="n"/>
      <c r="BD789" s="1463">
        <f>IF(ISBLANK(AZ837),"",AZ837)</f>
        <v/>
      </c>
      <c r="BE789" s="1466" t="n"/>
      <c r="BF789" s="1466" t="n"/>
      <c r="BG789" s="1466" t="n"/>
      <c r="BH789" s="1466" t="n"/>
      <c r="BI789" s="1463">
        <f>IF(ISBLANK(BE837),"",BE837)</f>
        <v/>
      </c>
      <c r="BJ789" s="1466" t="n"/>
      <c r="BK789" s="1466" t="n"/>
      <c r="BL789" s="1466" t="n"/>
      <c r="BM789" s="1466" t="n"/>
      <c r="BN789" s="1463">
        <f>IF(ISBLANK(BJ837),"",BJ837)</f>
        <v/>
      </c>
      <c r="BO789" s="1466" t="n"/>
      <c r="BP789" s="1466" t="n"/>
      <c r="BQ789" s="1491" t="n"/>
      <c r="BR789" s="1466" t="n"/>
      <c r="BS789" s="1463">
        <f>IF(ISBLANK(BO837),"",BO837)</f>
        <v/>
      </c>
      <c r="BT789" s="1466" t="n"/>
      <c r="BU789" s="1466" t="n"/>
      <c r="BV789" s="1466" t="n"/>
      <c r="BW789" s="1466" t="n"/>
      <c r="BX789" s="1463">
        <f>IF(ISBLANK(BT837),"",BT837)</f>
        <v/>
      </c>
      <c r="BY789" s="1463" t="n"/>
      <c r="BZ789" s="1463" t="n"/>
      <c r="CA789" s="1463" t="n"/>
      <c r="CB789" s="1466" t="n"/>
    </row>
    <row r="790" hidden="1" outlineLevel="2" ht="15" customFormat="1" customHeight="1" s="1359">
      <c r="A790" s="1486" t="inlineStr">
        <is>
          <t>Non-GAAP EBIT Margin guidance - update 2 midpoint, %</t>
        </is>
      </c>
      <c r="B790" s="1512" t="n"/>
      <c r="C790" s="1463" t="n"/>
      <c r="D790" s="1463" t="n"/>
      <c r="E790" s="1463" t="n"/>
      <c r="F790" s="1463" t="n"/>
      <c r="G790" s="1466" t="n"/>
      <c r="H790" s="1466" t="n"/>
      <c r="I790" s="1466" t="n"/>
      <c r="J790" s="1466" t="n"/>
      <c r="K790" s="1463">
        <f>IF(ISBLANK(H837),"",H837)</f>
        <v/>
      </c>
      <c r="L790" s="1466" t="n"/>
      <c r="M790" s="1466" t="n"/>
      <c r="N790" s="1466" t="n"/>
      <c r="O790" s="1466" t="n"/>
      <c r="P790" s="1463">
        <f>IF(ISBLANK(M837),"",M837)</f>
        <v/>
      </c>
      <c r="Q790" s="1466" t="n"/>
      <c r="R790" s="1466" t="n"/>
      <c r="S790" s="1466" t="n"/>
      <c r="T790" s="1466" t="n"/>
      <c r="U790" s="1463">
        <f>IF(ISBLANK(R837),"",R837)</f>
        <v/>
      </c>
      <c r="V790" s="1466" t="n"/>
      <c r="W790" s="1466" t="n"/>
      <c r="X790" s="1466" t="n"/>
      <c r="Y790" s="1466" t="n"/>
      <c r="Z790" s="1463">
        <f>IF(ISBLANK(W837),"",W837)</f>
        <v/>
      </c>
      <c r="AA790" s="1466" t="n"/>
      <c r="AB790" s="1466" t="n"/>
      <c r="AC790" s="1466" t="n"/>
      <c r="AD790" s="1466" t="n"/>
      <c r="AE790" s="1463">
        <f>IF(ISBLANK(AB837),"",AB837)</f>
        <v/>
      </c>
      <c r="AF790" s="1466" t="n"/>
      <c r="AG790" s="1466" t="n"/>
      <c r="AH790" s="1466" t="n"/>
      <c r="AI790" s="1466" t="n"/>
      <c r="AJ790" s="1463">
        <f>IF(ISBLANK(AG837),"",AG837)</f>
        <v/>
      </c>
      <c r="AK790" s="1466" t="n"/>
      <c r="AL790" s="1466" t="n"/>
      <c r="AM790" s="1466" t="n"/>
      <c r="AN790" s="1466" t="n"/>
      <c r="AO790" s="1463">
        <f>IF(ISBLANK(AL837),"",AL837)</f>
        <v/>
      </c>
      <c r="AP790" s="1466" t="n"/>
      <c r="AQ790" s="1466" t="n"/>
      <c r="AR790" s="1466" t="n"/>
      <c r="AS790" s="1466" t="n"/>
      <c r="AT790" s="1463">
        <f>IF(ISBLANK(AQ837),"",AQ837)</f>
        <v/>
      </c>
      <c r="AU790" s="1466" t="n"/>
      <c r="AV790" s="1466" t="n"/>
      <c r="AW790" s="1466" t="n"/>
      <c r="AX790" s="1466" t="n"/>
      <c r="AY790" s="1463">
        <f>IF(ISBLANK(AV837),"",AV837)</f>
        <v/>
      </c>
      <c r="AZ790" s="1466" t="n"/>
      <c r="BA790" s="1466" t="n"/>
      <c r="BB790" s="1466" t="n"/>
      <c r="BC790" s="1466" t="n"/>
      <c r="BD790" s="1463">
        <f>IF(ISBLANK(BA837),"",BA837)</f>
        <v/>
      </c>
      <c r="BE790" s="1466" t="n"/>
      <c r="BF790" s="1466" t="n"/>
      <c r="BG790" s="1466" t="n"/>
      <c r="BH790" s="1466" t="n"/>
      <c r="BI790" s="1463">
        <f>IF(ISBLANK(BF837),"",BF837)</f>
        <v/>
      </c>
      <c r="BJ790" s="1466" t="n"/>
      <c r="BK790" s="1466" t="n"/>
      <c r="BL790" s="1466" t="n"/>
      <c r="BM790" s="1466" t="n"/>
      <c r="BN790" s="1463">
        <f>IF(ISBLANK(BK837),"",BK837)</f>
        <v/>
      </c>
      <c r="BO790" s="1466" t="n"/>
      <c r="BP790" s="1466" t="n"/>
      <c r="BQ790" s="1491" t="n"/>
      <c r="BR790" s="1466" t="n"/>
      <c r="BS790" s="1463">
        <f>IF(ISBLANK(BP837),"",BP837)</f>
        <v/>
      </c>
      <c r="BT790" s="1466" t="n"/>
      <c r="BU790" s="1466" t="n"/>
      <c r="BV790" s="1466" t="n"/>
      <c r="BW790" s="1466" t="n"/>
      <c r="BX790" s="1463">
        <f>IF(ISBLANK(BU837),"",BU837)</f>
        <v/>
      </c>
      <c r="BY790" s="1463" t="n"/>
      <c r="BZ790" s="1463" t="n"/>
      <c r="CA790" s="1463" t="n"/>
      <c r="CB790" s="1466" t="n"/>
    </row>
    <row r="791" hidden="1" outlineLevel="2" ht="15" customFormat="1" customHeight="1" s="1359">
      <c r="A791" s="1791" t="inlineStr">
        <is>
          <t>Non-GAAP EBIT Margin guidance - update 3 midpoint, %</t>
        </is>
      </c>
      <c r="B791" s="1613" t="n"/>
      <c r="C791" s="1792" t="n"/>
      <c r="D791" s="1792" t="n"/>
      <c r="E791" s="1792" t="n"/>
      <c r="F791" s="1792" t="n"/>
      <c r="G791" s="1793" t="n"/>
      <c r="H791" s="1793" t="n"/>
      <c r="I791" s="1793" t="n"/>
      <c r="J791" s="1793" t="n"/>
      <c r="K791" s="1792">
        <f>IF(ISBLANK(I837),"",I837)</f>
        <v/>
      </c>
      <c r="L791" s="1793" t="n"/>
      <c r="M791" s="1793" t="n"/>
      <c r="N791" s="1793" t="n"/>
      <c r="O791" s="1793" t="n"/>
      <c r="P791" s="1792">
        <f>IF(ISBLANK(N837),"",N837)</f>
        <v/>
      </c>
      <c r="Q791" s="1793" t="n"/>
      <c r="R791" s="1793" t="n"/>
      <c r="S791" s="1793" t="n"/>
      <c r="T791" s="1793" t="n"/>
      <c r="U791" s="1792">
        <f>IF(ISBLANK(S837),"",S837)</f>
        <v/>
      </c>
      <c r="V791" s="1793" t="n"/>
      <c r="W791" s="1793" t="n"/>
      <c r="X791" s="1793" t="n"/>
      <c r="Y791" s="1793" t="n"/>
      <c r="Z791" s="1792">
        <f>IF(ISBLANK(X837),"",X837)</f>
        <v/>
      </c>
      <c r="AA791" s="1793" t="n"/>
      <c r="AB791" s="1793" t="n"/>
      <c r="AC791" s="1793" t="n"/>
      <c r="AD791" s="1793" t="n"/>
      <c r="AE791" s="1792">
        <f>IF(ISBLANK(AC837),"",AC837)</f>
        <v/>
      </c>
      <c r="AF791" s="1793" t="n"/>
      <c r="AG791" s="1793" t="n"/>
      <c r="AH791" s="1793" t="n"/>
      <c r="AI791" s="1793" t="n"/>
      <c r="AJ791" s="1792">
        <f>IF(ISBLANK(AH837),"",AH837)</f>
        <v/>
      </c>
      <c r="AK791" s="1793" t="n"/>
      <c r="AL791" s="1793" t="n"/>
      <c r="AM791" s="1793" t="n"/>
      <c r="AN791" s="1793" t="n"/>
      <c r="AO791" s="1792">
        <f>IF(ISBLANK(AM837),"",AM837)</f>
        <v/>
      </c>
      <c r="AP791" s="1793" t="n"/>
      <c r="AQ791" s="1793" t="n"/>
      <c r="AR791" s="1793" t="n"/>
      <c r="AS791" s="1793" t="n"/>
      <c r="AT791" s="1792">
        <f>IF(ISBLANK(AR837),"",AR837)</f>
        <v/>
      </c>
      <c r="AU791" s="1793" t="n"/>
      <c r="AV791" s="1793" t="n"/>
      <c r="AW791" s="1793" t="n"/>
      <c r="AX791" s="1793" t="n"/>
      <c r="AY791" s="1792">
        <f>IF(ISBLANK(AW837),"",AW837)</f>
        <v/>
      </c>
      <c r="AZ791" s="1793" t="n"/>
      <c r="BA791" s="1793" t="n"/>
      <c r="BB791" s="1793" t="n"/>
      <c r="BC791" s="1793" t="n"/>
      <c r="BD791" s="1792">
        <f>IF(ISBLANK(BB837),"",BB837)</f>
        <v/>
      </c>
      <c r="BE791" s="1793" t="n"/>
      <c r="BF791" s="1793" t="n"/>
      <c r="BG791" s="1793" t="n"/>
      <c r="BH791" s="1793" t="n"/>
      <c r="BI791" s="1792">
        <f>IF(ISBLANK(BG837),"",BG837)</f>
        <v/>
      </c>
      <c r="BJ791" s="1793" t="n"/>
      <c r="BK791" s="1793" t="n"/>
      <c r="BL791" s="1793" t="n"/>
      <c r="BM791" s="1793" t="n"/>
      <c r="BN791" s="1792">
        <f>IF(ISBLANK(BL837),"",BL837)</f>
        <v/>
      </c>
      <c r="BO791" s="1793" t="n"/>
      <c r="BP791" s="1793" t="n"/>
      <c r="BQ791" s="1794" t="n"/>
      <c r="BR791" s="1793" t="n"/>
      <c r="BS791" s="1792">
        <f>IF(ISBLANK(BQ837),"",BQ837)</f>
        <v/>
      </c>
      <c r="BT791" s="1793" t="n"/>
      <c r="BU791" s="1793" t="n"/>
      <c r="BV791" s="1793" t="n"/>
      <c r="BW791" s="1793" t="n"/>
      <c r="BX791" s="1792">
        <f>IF(ISBLANK(BV837),"",BV837)</f>
        <v/>
      </c>
      <c r="BY791" s="1792" t="n"/>
      <c r="BZ791" s="1792" t="n"/>
      <c r="CA791" s="1792" t="n"/>
      <c r="CB791" s="1466" t="n"/>
    </row>
    <row r="792" hidden="1" outlineLevel="1" collapsed="1" ht="15" customFormat="1" customHeight="1" s="1359">
      <c r="A792" s="1492" t="inlineStr">
        <is>
          <t>Non-GAAP EBIT Margin guidance - most recent midpoint, %</t>
        </is>
      </c>
      <c r="B792" s="1512" t="n"/>
      <c r="C792" s="1463" t="n"/>
      <c r="D792" s="1463" t="n"/>
      <c r="E792" s="1463" t="n"/>
      <c r="F792" s="1463" t="n"/>
      <c r="G792" s="1466">
        <f>IF(G791="",IF(G790="",IF(G789="",IF(G788="","",G788),G789),G790),G791)</f>
        <v/>
      </c>
      <c r="H792" s="1466">
        <f>IF(H791="",IF(H790="",IF(H789="",IF(H788="","",H788),H789),H790),H791)</f>
        <v/>
      </c>
      <c r="I792" s="1466">
        <f>IF(I791="",IF(I790="",IF(I789="",IF(I788="","",I788),I789),I790),I791)</f>
        <v/>
      </c>
      <c r="J792" s="1466">
        <f>IF(J791="",IF(J790="",IF(J789="",IF(J788="","",J788),J789),J790),J791)</f>
        <v/>
      </c>
      <c r="K792" s="1463">
        <f>IF(K791="",IF(K790="",IF(K789="",IF(K788="","",K788),K789),K790),K791)</f>
        <v/>
      </c>
      <c r="L792" s="1466">
        <f>IF(L791="",IF(L790="",IF(L789="",IF(L788="","",L788),L789),L790),L791)</f>
        <v/>
      </c>
      <c r="M792" s="1466">
        <f>IF(M791="",IF(M790="",IF(M789="",IF(M788="","",M788),M789),M790),M791)</f>
        <v/>
      </c>
      <c r="N792" s="1466">
        <f>IF(N791="",IF(N790="",IF(N789="",IF(N788="","",N788),N789),N790),N791)</f>
        <v/>
      </c>
      <c r="O792" s="1466">
        <f>IF(O791="",IF(O790="",IF(O789="",IF(O788="","",O788),O789),O790),O791)</f>
        <v/>
      </c>
      <c r="P792" s="1463">
        <f>IF(P791="",IF(P790="",IF(P789="",IF(P788="","",P788),P789),P790),P791)</f>
        <v/>
      </c>
      <c r="Q792" s="1466">
        <f>IF(Q791="",IF(Q790="",IF(Q789="",IF(Q788="","",Q788),Q789),Q790),Q791)</f>
        <v/>
      </c>
      <c r="R792" s="1466">
        <f>IF(R791="",IF(R790="",IF(R789="",IF(R788="","",R788),R789),R790),R791)</f>
        <v/>
      </c>
      <c r="S792" s="1466">
        <f>IF(S791="",IF(S790="",IF(S789="",IF(S788="","",S788),S789),S790),S791)</f>
        <v/>
      </c>
      <c r="T792" s="1466">
        <f>IF(T791="",IF(T790="",IF(T789="",IF(T788="","",T788),T789),T790),T791)</f>
        <v/>
      </c>
      <c r="U792" s="1463">
        <f>IF(U791="",IF(U790="",IF(U789="",IF(U788="","",U788),U789),U790),U791)</f>
        <v/>
      </c>
      <c r="V792" s="1466">
        <f>IF(V791="",IF(V790="",IF(V789="",IF(V788="","",V788),V789),V790),V791)</f>
        <v/>
      </c>
      <c r="W792" s="1466">
        <f>IF(W791="",IF(W790="",IF(W789="",IF(W788="","",W788),W789),W790),W791)</f>
        <v/>
      </c>
      <c r="X792" s="1466">
        <f>IF(X791="",IF(X790="",IF(X789="",IF(X788="","",X788),X789),X790),X791)</f>
        <v/>
      </c>
      <c r="Y792" s="1466">
        <f>IF(Y791="",IF(Y790="",IF(Y789="",IF(Y788="","",Y788),Y789),Y790),Y791)</f>
        <v/>
      </c>
      <c r="Z792" s="1463">
        <f>IF(Z791="",IF(Z790="",IF(Z789="",IF(Z788="","",Z788),Z789),Z790),Z791)</f>
        <v/>
      </c>
      <c r="AA792" s="1466">
        <f>IF(AA791="",IF(AA790="",IF(AA789="",IF(AA788="","",AA788),AA789),AA790),AA791)</f>
        <v/>
      </c>
      <c r="AB792" s="1466">
        <f>IF(AB791="",IF(AB790="",IF(AB789="",IF(AB788="","",AB788),AB789),AB790),AB791)</f>
        <v/>
      </c>
      <c r="AC792" s="1466">
        <f>IF(AC791="",IF(AC790="",IF(AC789="",IF(AC788="","",AC788),AC789),AC790),AC791)</f>
        <v/>
      </c>
      <c r="AD792" s="1466">
        <f>IF(AD791="",IF(AD790="",IF(AD789="",IF(AD788="","",AD788),AD789),AD790),AD791)</f>
        <v/>
      </c>
      <c r="AE792" s="1463">
        <f>IF(AE791="",IF(AE790="",IF(AE789="",IF(AE788="","",AE788),AE789),AE790),AE791)</f>
        <v/>
      </c>
      <c r="AF792" s="1466">
        <f>IF(AF791="",IF(AF790="",IF(AF789="",IF(AF788="","",AF788),AF789),AF790),AF791)</f>
        <v/>
      </c>
      <c r="AG792" s="1466">
        <f>IF(AG791="",IF(AG790="",IF(AG789="",IF(AG788="","",AG788),AG789),AG790),AG791)</f>
        <v/>
      </c>
      <c r="AH792" s="1466">
        <f>IF(AH791="",IF(AH790="",IF(AH789="",IF(AH788="","",AH788),AH789),AH790),AH791)</f>
        <v/>
      </c>
      <c r="AI792" s="1466">
        <f>IF(AI791="",IF(AI790="",IF(AI789="",IF(AI788="","",AI788),AI789),AI790),AI791)</f>
        <v/>
      </c>
      <c r="AJ792" s="1463">
        <f>IF(AJ791="",IF(AJ790="",IF(AJ789="",IF(AJ788="","",AJ788),AJ789),AJ790),AJ791)</f>
        <v/>
      </c>
      <c r="AK792" s="1466">
        <f>IF(AK791="",IF(AK790="",IF(AK789="",IF(AK788="","",AK788),AK789),AK790),AK791)</f>
        <v/>
      </c>
      <c r="AL792" s="1466">
        <f>IF(AL791="",IF(AL790="",IF(AL789="",IF(AL788="","",AL788),AL789),AL790),AL791)</f>
        <v/>
      </c>
      <c r="AM792" s="1466">
        <f>IF(AM791="",IF(AM790="",IF(AM789="",IF(AM788="","",AM788),AM789),AM790),AM791)</f>
        <v/>
      </c>
      <c r="AN792" s="1466">
        <f>IF(AN791="",IF(AN790="",IF(AN789="",IF(AN788="","",AN788),AN789),AN790),AN791)</f>
        <v/>
      </c>
      <c r="AO792" s="1463">
        <f>IF(AO791="",IF(AO790="",IF(AO789="",IF(AO788="","",AO788),AO789),AO790),AO791)</f>
        <v/>
      </c>
      <c r="AP792" s="1466">
        <f>IF(AP791="",IF(AP790="",IF(AP789="",IF(AP788="","",AP788),AP789),AP790),AP791)</f>
        <v/>
      </c>
      <c r="AQ792" s="1466">
        <f>IF(AQ791="",IF(AQ790="",IF(AQ789="",IF(AQ788="","",AQ788),AQ789),AQ790),AQ791)</f>
        <v/>
      </c>
      <c r="AR792" s="1466">
        <f>IF(AR791="",IF(AR790="",IF(AR789="",IF(AR788="","",AR788),AR789),AR790),AR791)</f>
        <v/>
      </c>
      <c r="AS792" s="1466">
        <f>IF(AS791="",IF(AS790="",IF(AS789="",IF(AS788="","",AS788),AS789),AS790),AS791)</f>
        <v/>
      </c>
      <c r="AT792" s="1463">
        <f>IF(AT791="",IF(AT790="",IF(AT789="",IF(AT788="","",AT788),AT789),AT790),AT791)</f>
        <v/>
      </c>
      <c r="AU792" s="1466">
        <f>IF(AU791="",IF(AU790="",IF(AU789="",IF(AU788="","",AU788),AU789),AU790),AU791)</f>
        <v/>
      </c>
      <c r="AV792" s="1466">
        <f>IF(AV791="",IF(AV790="",IF(AV789="",IF(AV788="","",AV788),AV789),AV790),AV791)</f>
        <v/>
      </c>
      <c r="AW792" s="1466">
        <f>IF(AW791="",IF(AW790="",IF(AW789="",IF(AW788="","",AW788),AW789),AW790),AW791)</f>
        <v/>
      </c>
      <c r="AX792" s="1466">
        <f>IF(AX791="",IF(AX790="",IF(AX789="",IF(AX788="","",AX788),AX789),AX790),AX791)</f>
        <v/>
      </c>
      <c r="AY792" s="1463">
        <f>IF(AY791="",IF(AY790="",IF(AY789="",IF(AY788="","",AY788),AY789),AY790),AY791)</f>
        <v/>
      </c>
      <c r="AZ792" s="1466">
        <f>IF(AZ791="",IF(AZ790="",IF(AZ789="",IF(AZ788="","",AZ788),AZ789),AZ790),AZ791)</f>
        <v/>
      </c>
      <c r="BA792" s="1466">
        <f>IF(BA791="",IF(BA790="",IF(BA789="",IF(BA788="","",BA788),BA789),BA790),BA791)</f>
        <v/>
      </c>
      <c r="BB792" s="1466">
        <f>IF(BB791="",IF(BB790="",IF(BB789="",IF(BB788="","",BB788),BB789),BB790),BB791)</f>
        <v/>
      </c>
      <c r="BC792" s="1466">
        <f>IF(BC791="",IF(BC790="",IF(BC789="",IF(BC788="","",BC788),BC789),BC790),BC791)</f>
        <v/>
      </c>
      <c r="BD792" s="1463">
        <f>IF(BD791="",IF(BD790="",IF(BD789="",IF(BD788="","",BD788),BD789),BD790),BD791)</f>
        <v/>
      </c>
      <c r="BE792" s="1466">
        <f>IF(BE791="",IF(BE790="",IF(BE789="",IF(BE788="","",BE788),BE789),BE790),BE791)</f>
        <v/>
      </c>
      <c r="BF792" s="1466">
        <f>IF(BF791="",IF(BF790="",IF(BF789="",IF(BF788="","",BF788),BF789),BF790),BF791)</f>
        <v/>
      </c>
      <c r="BG792" s="1466">
        <f>IF(BG791="",IF(BG790="",IF(BG789="",IF(BG788="","",BG788),BG789),BG790),BG791)</f>
        <v/>
      </c>
      <c r="BH792" s="1466">
        <f>IF(BH791="",IF(BH790="",IF(BH789="",IF(BH788="","",BH788),BH789),BH790),BH791)</f>
        <v/>
      </c>
      <c r="BI792" s="1463">
        <f>IF(BI791="",IF(BI790="",IF(BI789="",IF(BI788="","",BI788),BI789),BI790),BI791)</f>
        <v/>
      </c>
      <c r="BJ792" s="1466">
        <f>IF(BJ791="",IF(BJ790="",IF(BJ789="",IF(BJ788="","",BJ788),BJ789),BJ790),BJ791)</f>
        <v/>
      </c>
      <c r="BK792" s="1466">
        <f>IF(BK791="",IF(BK790="",IF(BK789="",IF(BK788="","",BK788),BK789),BK790),BK791)</f>
        <v/>
      </c>
      <c r="BL792" s="1466">
        <f>IF(BL791="",IF(BL790="",IF(BL789="",IF(BL788="","",BL788),BL789),BL790),BL791)</f>
        <v/>
      </c>
      <c r="BM792" s="1466">
        <f>IF(BM791="",IF(BM790="",IF(BM789="",IF(BM788="","",BM788),BM789),BM790),BM791)</f>
        <v/>
      </c>
      <c r="BN792" s="1463">
        <f>IF(BN791="",IF(BN790="",IF(BN789="",IF(BN788="","",BN788),BN789),BN790),BN791)</f>
        <v/>
      </c>
      <c r="BO792" s="1466">
        <f>IF(BO791="",IF(BO790="",IF(BO789="",IF(BO788="","",BO788),BO789),BO790),BO791)</f>
        <v/>
      </c>
      <c r="BP792" s="1466">
        <f>IF(BP791="",IF(BP790="",IF(BP789="",IF(BP788="","",BP788),BP789),BP790),BP791)</f>
        <v/>
      </c>
      <c r="BQ792" s="1491">
        <f>IF(BQ791="",IF(BQ790="",IF(BQ789="",IF(BQ788="","",BQ788),BQ789),BQ790),BQ791)</f>
        <v/>
      </c>
      <c r="BR792" s="1466">
        <f>IF(BR791="",IF(BR790="",IF(BR789="",IF(BR788="","",BR788),BR789),BR790),BR791)</f>
        <v/>
      </c>
      <c r="BS792" s="1463">
        <f>IF(BS791="",IF(BS790="",IF(BS789="",IF(BS788="","",BS788),BS789),BS790),BS791)</f>
        <v/>
      </c>
      <c r="BT792" s="1466">
        <f>IF(BT791="",IF(BT790="",IF(BT789="",IF(BT788="","",BT788),BT789),BT790),BT791)</f>
        <v/>
      </c>
      <c r="BU792" s="1466">
        <f>IF(BU791="",IF(BU790="",IF(BU789="",IF(BU788="","",BU788),BU789),BU790),BU791)</f>
        <v/>
      </c>
      <c r="BV792" s="1466">
        <f>IF(BV791="",IF(BV790="",IF(BV789="",IF(BV788="","",BV788),BV789),BV790),BV791)</f>
        <v/>
      </c>
      <c r="BW792" s="1466">
        <f>IF(BW791="",IF(BW790="",IF(BW789="",IF(BW788="","",BW788),BW789),BW790),BW791)</f>
        <v/>
      </c>
      <c r="BX792" s="1463">
        <f>IF(BX791="",IF(BX790="",IF(BX789="",IF(BX788="","",BX788),BX789),BX790),BX791)</f>
        <v/>
      </c>
      <c r="BY792" s="1463" t="n"/>
      <c r="BZ792" s="1463" t="n"/>
      <c r="CA792" s="1463" t="n"/>
      <c r="CB792" s="1466" t="n"/>
    </row>
    <row r="793" hidden="1" outlineLevel="1" ht="15" customFormat="1" customHeight="1" s="1359">
      <c r="A793" s="1795" t="inlineStr">
        <is>
          <t>Non-GAAP EBIT Margin - reported/model estimate, %</t>
        </is>
      </c>
      <c r="B793" s="1613" t="n"/>
      <c r="C793" s="1792" t="n"/>
      <c r="D793" s="1792">
        <f>D334</f>
        <v/>
      </c>
      <c r="E793" s="1792">
        <f>E334</f>
        <v/>
      </c>
      <c r="F793" s="1792">
        <f>F334</f>
        <v/>
      </c>
      <c r="G793" s="1793">
        <f>G334</f>
        <v/>
      </c>
      <c r="H793" s="1793">
        <f>H334</f>
        <v/>
      </c>
      <c r="I793" s="1793">
        <f>I334</f>
        <v/>
      </c>
      <c r="J793" s="1793">
        <f>J334</f>
        <v/>
      </c>
      <c r="K793" s="1792">
        <f>K334</f>
        <v/>
      </c>
      <c r="L793" s="1793">
        <f>L334</f>
        <v/>
      </c>
      <c r="M793" s="1793">
        <f>M334</f>
        <v/>
      </c>
      <c r="N793" s="1793">
        <f>N334</f>
        <v/>
      </c>
      <c r="O793" s="1793">
        <f>O334</f>
        <v/>
      </c>
      <c r="P793" s="1792">
        <f>P334</f>
        <v/>
      </c>
      <c r="Q793" s="1793">
        <f>Q334</f>
        <v/>
      </c>
      <c r="R793" s="1793">
        <f>R334</f>
        <v/>
      </c>
      <c r="S793" s="1793">
        <f>S334</f>
        <v/>
      </c>
      <c r="T793" s="1793">
        <f>T334</f>
        <v/>
      </c>
      <c r="U793" s="1792">
        <f>U334</f>
        <v/>
      </c>
      <c r="V793" s="1793">
        <f>V334</f>
        <v/>
      </c>
      <c r="W793" s="1793">
        <f>W334</f>
        <v/>
      </c>
      <c r="X793" s="1793">
        <f>X334</f>
        <v/>
      </c>
      <c r="Y793" s="1793">
        <f>Y334</f>
        <v/>
      </c>
      <c r="Z793" s="1792">
        <f>Z334</f>
        <v/>
      </c>
      <c r="AA793" s="1793">
        <f>AA334</f>
        <v/>
      </c>
      <c r="AB793" s="1793">
        <f>AB334</f>
        <v/>
      </c>
      <c r="AC793" s="1793">
        <f>AC334</f>
        <v/>
      </c>
      <c r="AD793" s="1793">
        <f>AD334</f>
        <v/>
      </c>
      <c r="AE793" s="1792">
        <f>AE334</f>
        <v/>
      </c>
      <c r="AF793" s="1793">
        <f>AF334</f>
        <v/>
      </c>
      <c r="AG793" s="1793">
        <f>AG334</f>
        <v/>
      </c>
      <c r="AH793" s="1793">
        <f>AH334</f>
        <v/>
      </c>
      <c r="AI793" s="1793">
        <f>AI334</f>
        <v/>
      </c>
      <c r="AJ793" s="1792">
        <f>AJ334</f>
        <v/>
      </c>
      <c r="AK793" s="1793">
        <f>AK334</f>
        <v/>
      </c>
      <c r="AL793" s="1793">
        <f>AL334</f>
        <v/>
      </c>
      <c r="AM793" s="1793">
        <f>AM334</f>
        <v/>
      </c>
      <c r="AN793" s="1793">
        <f>AN334</f>
        <v/>
      </c>
      <c r="AO793" s="1792">
        <f>AO334</f>
        <v/>
      </c>
      <c r="AP793" s="1793">
        <f>AP334</f>
        <v/>
      </c>
      <c r="AQ793" s="1793">
        <f>AQ334</f>
        <v/>
      </c>
      <c r="AR793" s="1793">
        <f>AR334</f>
        <v/>
      </c>
      <c r="AS793" s="1793">
        <f>AS334</f>
        <v/>
      </c>
      <c r="AT793" s="1792">
        <f>AT334</f>
        <v/>
      </c>
      <c r="AU793" s="1793">
        <f>AU334</f>
        <v/>
      </c>
      <c r="AV793" s="1793">
        <f>AV334</f>
        <v/>
      </c>
      <c r="AW793" s="1793">
        <f>AW334</f>
        <v/>
      </c>
      <c r="AX793" s="1793">
        <f>AX334</f>
        <v/>
      </c>
      <c r="AY793" s="1792">
        <f>AY334</f>
        <v/>
      </c>
      <c r="AZ793" s="1793">
        <f>AZ334</f>
        <v/>
      </c>
      <c r="BA793" s="1793">
        <f>BA334</f>
        <v/>
      </c>
      <c r="BB793" s="1793">
        <f>BB334</f>
        <v/>
      </c>
      <c r="BC793" s="1793">
        <f>BC334</f>
        <v/>
      </c>
      <c r="BD793" s="1792">
        <f>BD334</f>
        <v/>
      </c>
      <c r="BE793" s="1793">
        <f>BE334</f>
        <v/>
      </c>
      <c r="BF793" s="1793">
        <f>BF334</f>
        <v/>
      </c>
      <c r="BG793" s="1793">
        <f>BG334</f>
        <v/>
      </c>
      <c r="BH793" s="1793">
        <f>BH334</f>
        <v/>
      </c>
      <c r="BI793" s="1792">
        <f>BI334</f>
        <v/>
      </c>
      <c r="BJ793" s="1793">
        <f>BJ334</f>
        <v/>
      </c>
      <c r="BK793" s="1793">
        <f>BK334</f>
        <v/>
      </c>
      <c r="BL793" s="1793">
        <f>BL334</f>
        <v/>
      </c>
      <c r="BM793" s="1793">
        <f>BM334</f>
        <v/>
      </c>
      <c r="BN793" s="1792">
        <f>BN334</f>
        <v/>
      </c>
      <c r="BO793" s="1793">
        <f>BO334</f>
        <v/>
      </c>
      <c r="BP793" s="1793">
        <f>BP334</f>
        <v/>
      </c>
      <c r="BQ793" s="1794">
        <f>BQ334</f>
        <v/>
      </c>
      <c r="BR793" s="1793">
        <f>BR334</f>
        <v/>
      </c>
      <c r="BS793" s="1792">
        <f>BS334</f>
        <v/>
      </c>
      <c r="BT793" s="1793">
        <f>BT334</f>
        <v/>
      </c>
      <c r="BU793" s="1793">
        <f>BU334</f>
        <v/>
      </c>
      <c r="BV793" s="1793">
        <f>BV334</f>
        <v/>
      </c>
      <c r="BW793" s="1793">
        <f>BW334</f>
        <v/>
      </c>
      <c r="BX793" s="1792">
        <f>BX334</f>
        <v/>
      </c>
      <c r="BY793" s="1792">
        <f>BY334</f>
        <v/>
      </c>
      <c r="BZ793" s="1792">
        <f>BZ334</f>
        <v/>
      </c>
      <c r="CA793" s="1792">
        <f>CA334</f>
        <v/>
      </c>
      <c r="CB793" s="1466" t="n"/>
    </row>
    <row r="794" hidden="1" outlineLevel="1" ht="15" customFormat="1" customHeight="1" s="1359">
      <c r="A794" s="1796" t="inlineStr">
        <is>
          <t>Relative non-GAAP EBIT margin beat/(miss) vs. most recent guidance - midpoint, bps</t>
        </is>
      </c>
      <c r="B794" s="1769" t="n"/>
      <c r="C794" s="1797" t="n"/>
      <c r="D794" s="1797" t="n"/>
      <c r="E794" s="1797" t="n"/>
      <c r="F794" s="1797" t="n"/>
      <c r="G794" s="1798">
        <f>IFERROR((G793-G792)*10000,"")</f>
        <v/>
      </c>
      <c r="H794" s="1798">
        <f>IFERROR((H793-H792)*10000,"")</f>
        <v/>
      </c>
      <c r="I794" s="1798">
        <f>IFERROR((I793-I792)*10000,"")</f>
        <v/>
      </c>
      <c r="J794" s="1798">
        <f>IFERROR((J793-J792)*10000,"")</f>
        <v/>
      </c>
      <c r="K794" s="1797">
        <f>IFERROR((K793-K792)*10000,"")</f>
        <v/>
      </c>
      <c r="L794" s="1798">
        <f>IFERROR((L793-L792)*10000,"")</f>
        <v/>
      </c>
      <c r="M794" s="1798">
        <f>IFERROR((M793-M792)*10000,"")</f>
        <v/>
      </c>
      <c r="N794" s="1798">
        <f>IFERROR((N793-N792)*10000,"")</f>
        <v/>
      </c>
      <c r="O794" s="1798">
        <f>IFERROR((O793-O792)*10000,"")</f>
        <v/>
      </c>
      <c r="P794" s="1797">
        <f>IFERROR((P793-P792)*10000,"")</f>
        <v/>
      </c>
      <c r="Q794" s="1798">
        <f>IFERROR((Q793-Q792)*10000,"")</f>
        <v/>
      </c>
      <c r="R794" s="1798">
        <f>IFERROR((R793-R792)*10000,"")</f>
        <v/>
      </c>
      <c r="S794" s="1798">
        <f>IFERROR((S793-S792)*10000,"")</f>
        <v/>
      </c>
      <c r="T794" s="1798">
        <f>IFERROR((T793-T792)*10000,"")</f>
        <v/>
      </c>
      <c r="U794" s="1797">
        <f>IFERROR((U793-U792)*10000,"")</f>
        <v/>
      </c>
      <c r="V794" s="1798">
        <f>IFERROR((V793-V792)*10000,"")</f>
        <v/>
      </c>
      <c r="W794" s="1798">
        <f>IFERROR((W793-W792)*10000,"")</f>
        <v/>
      </c>
      <c r="X794" s="1798">
        <f>IFERROR((X793-X792)*10000,"")</f>
        <v/>
      </c>
      <c r="Y794" s="1798">
        <f>IFERROR((Y793-Y792)*10000,"")</f>
        <v/>
      </c>
      <c r="Z794" s="1797">
        <f>IFERROR((Z793-Z792)*10000,"")</f>
        <v/>
      </c>
      <c r="AA794" s="1798">
        <f>IFERROR((AA793-AA792)*10000,"")</f>
        <v/>
      </c>
      <c r="AB794" s="1798">
        <f>IFERROR((AB793-AB792)*10000,"")</f>
        <v/>
      </c>
      <c r="AC794" s="1798">
        <f>IFERROR((AC793-AC792)*10000,"")</f>
        <v/>
      </c>
      <c r="AD794" s="1798">
        <f>IFERROR((AD793-AD792)*10000,"")</f>
        <v/>
      </c>
      <c r="AE794" s="1797">
        <f>IFERROR((AE793-AE792)*10000,"")</f>
        <v/>
      </c>
      <c r="AF794" s="1798">
        <f>IFERROR((AF793-AF792)*10000,"")</f>
        <v/>
      </c>
      <c r="AG794" s="1798">
        <f>IFERROR((AG793-AG792)*10000,"")</f>
        <v/>
      </c>
      <c r="AH794" s="1798">
        <f>IFERROR((AH793-AH792)*10000,"")</f>
        <v/>
      </c>
      <c r="AI794" s="1798">
        <f>IFERROR((AI793-AI792)*10000,"")</f>
        <v/>
      </c>
      <c r="AJ794" s="1797">
        <f>IFERROR((AJ793-AJ792)*10000,"")</f>
        <v/>
      </c>
      <c r="AK794" s="1798">
        <f>IFERROR((AK793-AK792)*10000,"")</f>
        <v/>
      </c>
      <c r="AL794" s="1798">
        <f>IFERROR((AL793-AL792)*10000,"")</f>
        <v/>
      </c>
      <c r="AM794" s="1798">
        <f>IFERROR((AM793-AM792)*10000,"")</f>
        <v/>
      </c>
      <c r="AN794" s="1798">
        <f>IFERROR((AN793-AN792)*10000,"")</f>
        <v/>
      </c>
      <c r="AO794" s="1797">
        <f>IFERROR((AO793-AO792)*10000,"")</f>
        <v/>
      </c>
      <c r="AP794" s="1798">
        <f>IFERROR((AP793-AP792)*10000,"")</f>
        <v/>
      </c>
      <c r="AQ794" s="1798">
        <f>IFERROR((AQ793-AQ792)*10000,"")</f>
        <v/>
      </c>
      <c r="AR794" s="1798">
        <f>IFERROR((AR793-AR792)*10000,"")</f>
        <v/>
      </c>
      <c r="AS794" s="1798">
        <f>IFERROR((AS793-AS792)*10000,"")</f>
        <v/>
      </c>
      <c r="AT794" s="1797">
        <f>IFERROR((AT793-AT792)*10000,"")</f>
        <v/>
      </c>
      <c r="AU794" s="1798">
        <f>IFERROR((AU793-AU792)*10000,"")</f>
        <v/>
      </c>
      <c r="AV794" s="1798">
        <f>IFERROR((AV793-AV792)*10000,"")</f>
        <v/>
      </c>
      <c r="AW794" s="1798">
        <f>IFERROR((AW793-AW792)*10000,"")</f>
        <v/>
      </c>
      <c r="AX794" s="1798">
        <f>IFERROR((AX793-AX792)*10000,"")</f>
        <v/>
      </c>
      <c r="AY794" s="1797">
        <f>IFERROR((AY793-AY792)*10000,"")</f>
        <v/>
      </c>
      <c r="AZ794" s="1798">
        <f>IFERROR((AZ793-AZ792)*10000,"")</f>
        <v/>
      </c>
      <c r="BA794" s="1798">
        <f>IFERROR((BA793-BA792)*10000,"")</f>
        <v/>
      </c>
      <c r="BB794" s="1798">
        <f>IFERROR((BB793-BB792)*10000,"")</f>
        <v/>
      </c>
      <c r="BC794" s="1798">
        <f>IFERROR((BC793-BC792)*10000,"")</f>
        <v/>
      </c>
      <c r="BD794" s="1797">
        <f>IFERROR((BD793-BD792)*10000,"")</f>
        <v/>
      </c>
      <c r="BE794" s="1798">
        <f>IFERROR((BE793-BE792)*10000,"")</f>
        <v/>
      </c>
      <c r="BF794" s="1798">
        <f>IFERROR((BF793-BF792)*10000,"")</f>
        <v/>
      </c>
      <c r="BG794" s="1798">
        <f>IFERROR((BG793-BG792)*10000,"")</f>
        <v/>
      </c>
      <c r="BH794" s="1798">
        <f>IFERROR((BH793-BH792)*10000,"")</f>
        <v/>
      </c>
      <c r="BI794" s="1797">
        <f>IFERROR((BI793-BI792)*10000,"")</f>
        <v/>
      </c>
      <c r="BJ794" s="1798">
        <f>IFERROR((BJ793-BJ792)*10000,"")</f>
        <v/>
      </c>
      <c r="BK794" s="1798">
        <f>IFERROR((BK793-BK792)*10000,"")</f>
        <v/>
      </c>
      <c r="BL794" s="1798">
        <f>IFERROR((BL793-BL792)*10000,"")</f>
        <v/>
      </c>
      <c r="BM794" s="1798">
        <f>IFERROR((BM793-BM792)*10000,"")</f>
        <v/>
      </c>
      <c r="BN794" s="1797">
        <f>IFERROR((BN793-BN792)*10000,"")</f>
        <v/>
      </c>
      <c r="BO794" s="1798">
        <f>IFERROR((BO793-BO792)*10000,"")</f>
        <v/>
      </c>
      <c r="BP794" s="1798">
        <f>IFERROR((BP793-BP792)*10000,"")</f>
        <v/>
      </c>
      <c r="BQ794" s="1799">
        <f>IFERROR((BQ793-BQ792)*10000,"")</f>
        <v/>
      </c>
      <c r="BR794" s="1798">
        <f>IFERROR((BR793-BR792)*10000,"")</f>
        <v/>
      </c>
      <c r="BS794" s="1797">
        <f>IFERROR((BS793-BS792)*10000,"")</f>
        <v/>
      </c>
      <c r="BT794" s="1798">
        <f>IFERROR((BT793-BT792)*10000,"")</f>
        <v/>
      </c>
      <c r="BU794" s="1798">
        <f>IFERROR((BU793-BU792)*10000,"")</f>
        <v/>
      </c>
      <c r="BV794" s="1798">
        <f>IFERROR((BV793-BV792)*10000,"")</f>
        <v/>
      </c>
      <c r="BW794" s="1798">
        <f>IFERROR((BW793-BW792)*10000,"")</f>
        <v/>
      </c>
      <c r="BX794" s="1797">
        <f>IFERROR((BX793-BX792)*10000,"")</f>
        <v/>
      </c>
      <c r="BY794" s="1797" t="n"/>
      <c r="BZ794" s="1797" t="n"/>
      <c r="CA794" s="1797" t="n"/>
      <c r="CB794" s="1798" t="n"/>
    </row>
    <row r="795" hidden="1" outlineLevel="2" ht="15" customFormat="1" customHeight="1" s="1359">
      <c r="A795" s="545" t="n"/>
      <c r="B795" s="1512" t="n"/>
      <c r="C795" s="1379" t="n"/>
      <c r="D795" s="1379" t="n"/>
      <c r="E795" s="1379" t="n"/>
      <c r="F795" s="1379" t="n"/>
      <c r="G795" s="1361" t="n"/>
      <c r="H795" s="1361" t="n"/>
      <c r="I795" s="1361" t="n"/>
      <c r="J795" s="1361" t="n"/>
      <c r="K795" s="1379" t="n"/>
      <c r="L795" s="1361" t="n"/>
      <c r="M795" s="1361" t="n"/>
      <c r="N795" s="1361" t="n"/>
      <c r="O795" s="1361" t="n"/>
      <c r="P795" s="1379" t="n"/>
      <c r="Q795" s="1361" t="n"/>
      <c r="R795" s="1361" t="n"/>
      <c r="S795" s="1361" t="n"/>
      <c r="T795" s="1361" t="n"/>
      <c r="U795" s="1379" t="n"/>
      <c r="V795" s="1361" t="n"/>
      <c r="W795" s="1361" t="n"/>
      <c r="X795" s="1361" t="n"/>
      <c r="Y795" s="1361" t="n"/>
      <c r="Z795" s="1379" t="n"/>
      <c r="AA795" s="1361" t="n"/>
      <c r="AB795" s="1361" t="n"/>
      <c r="AC795" s="1361" t="n"/>
      <c r="AD795" s="1361" t="n"/>
      <c r="AE795" s="1379" t="n"/>
      <c r="AF795" s="1361" t="n"/>
      <c r="AG795" s="1361" t="n"/>
      <c r="AH795" s="1361" t="n"/>
      <c r="AI795" s="1361" t="n"/>
      <c r="AJ795" s="1379" t="n"/>
      <c r="AK795" s="1361" t="n"/>
      <c r="AL795" s="1361" t="n"/>
      <c r="AM795" s="1361" t="n"/>
      <c r="AN795" s="1361" t="n"/>
      <c r="AO795" s="1379" t="n"/>
      <c r="AP795" s="1361" t="n"/>
      <c r="AQ795" s="1361" t="n"/>
      <c r="AR795" s="1361" t="n"/>
      <c r="AS795" s="1361" t="n"/>
      <c r="AT795" s="1379" t="n"/>
      <c r="AU795" s="1361" t="n"/>
      <c r="AV795" s="1361" t="n"/>
      <c r="AW795" s="1361" t="n"/>
      <c r="AX795" s="1361" t="n"/>
      <c r="AY795" s="1379" t="n"/>
      <c r="AZ795" s="1361" t="n"/>
      <c r="BA795" s="1361" t="n"/>
      <c r="BB795" s="1361" t="n"/>
      <c r="BC795" s="1361" t="n"/>
      <c r="BD795" s="1379" t="n"/>
      <c r="BE795" s="1361" t="n"/>
      <c r="BF795" s="1361" t="n"/>
      <c r="BG795" s="1361" t="n"/>
      <c r="BH795" s="1361" t="n"/>
      <c r="BI795" s="1379" t="n"/>
      <c r="BJ795" s="1361" t="n"/>
      <c r="BK795" s="1361" t="n"/>
      <c r="BL795" s="1361" t="n"/>
      <c r="BM795" s="1361" t="n"/>
      <c r="BN795" s="1379" t="n"/>
      <c r="BO795" s="1361" t="n"/>
      <c r="BP795" s="1361" t="n"/>
      <c r="BQ795" s="1363" t="n"/>
      <c r="BR795" s="1361" t="n"/>
      <c r="BS795" s="1379" t="n"/>
      <c r="BT795" s="1361" t="n"/>
      <c r="BU795" s="1361" t="n"/>
      <c r="BV795" s="1361" t="n"/>
      <c r="BW795" s="1361" t="n"/>
      <c r="BX795" s="1379" t="n"/>
      <c r="BY795" s="1379" t="n"/>
      <c r="BZ795" s="1379" t="n"/>
      <c r="CA795" s="1379" t="n"/>
      <c r="CB795" s="1361" t="n"/>
    </row>
    <row r="796" hidden="1" outlineLevel="2" ht="15" customFormat="1" customHeight="1" s="1359">
      <c r="A796" s="1503" t="inlineStr">
        <is>
          <t>Forward guidance - report date, date</t>
        </is>
      </c>
      <c r="B796" s="1512" t="n"/>
      <c r="C796" s="1779" t="n"/>
      <c r="D796" s="1779" t="n"/>
      <c r="E796" s="1779" t="n"/>
      <c r="F796" s="1779" t="n"/>
      <c r="G796" s="1780" t="n"/>
      <c r="H796" s="1780" t="n"/>
      <c r="I796" s="1780" t="n"/>
      <c r="J796" s="1780" t="n"/>
      <c r="K796" s="1779" t="n"/>
      <c r="L796" s="1780" t="n"/>
      <c r="M796" s="1780" t="n"/>
      <c r="N796" s="1780" t="n"/>
      <c r="O796" s="1780" t="n"/>
      <c r="P796" s="1779" t="n"/>
      <c r="Q796" s="1780" t="n"/>
      <c r="R796" s="1780" t="n"/>
      <c r="S796" s="1780" t="n"/>
      <c r="T796" s="1780" t="n"/>
      <c r="U796" s="1779" t="n"/>
      <c r="V796" s="1780" t="n"/>
      <c r="W796" s="1780" t="n"/>
      <c r="X796" s="1780" t="n"/>
      <c r="Y796" s="1780" t="n"/>
      <c r="Z796" s="1779" t="n"/>
      <c r="AA796" s="1780" t="n"/>
      <c r="AB796" s="1780" t="n"/>
      <c r="AC796" s="1780">
        <f>AC1332</f>
        <v/>
      </c>
      <c r="AD796" s="1780">
        <f>AD1332</f>
        <v/>
      </c>
      <c r="AE796" s="1779">
        <f>AE1332</f>
        <v/>
      </c>
      <c r="AF796" s="1780">
        <f>AF1332</f>
        <v/>
      </c>
      <c r="AG796" s="1780">
        <f>AG1332</f>
        <v/>
      </c>
      <c r="AH796" s="1780">
        <f>AH1332</f>
        <v/>
      </c>
      <c r="AI796" s="1780">
        <f>AI1332</f>
        <v/>
      </c>
      <c r="AJ796" s="1779">
        <f>AJ1332</f>
        <v/>
      </c>
      <c r="AK796" s="1780">
        <f>AK1332</f>
        <v/>
      </c>
      <c r="AL796" s="1780">
        <f>AL1332</f>
        <v/>
      </c>
      <c r="AM796" s="1780">
        <f>AM1332</f>
        <v/>
      </c>
      <c r="AN796" s="1780">
        <f>AN1332</f>
        <v/>
      </c>
      <c r="AO796" s="1779">
        <f>AO1332</f>
        <v/>
      </c>
      <c r="AP796" s="1780">
        <f>AP1332</f>
        <v/>
      </c>
      <c r="AQ796" s="1780">
        <f>AQ1332</f>
        <v/>
      </c>
      <c r="AR796" s="1780">
        <f>AR1332</f>
        <v/>
      </c>
      <c r="AS796" s="1780">
        <f>AS1332</f>
        <v/>
      </c>
      <c r="AT796" s="1779">
        <f>AT1332</f>
        <v/>
      </c>
      <c r="AU796" s="1780">
        <f>AU1332</f>
        <v/>
      </c>
      <c r="AV796" s="1780">
        <f>AV1332</f>
        <v/>
      </c>
      <c r="AW796" s="1780">
        <f>AW1332</f>
        <v/>
      </c>
      <c r="AX796" s="1780">
        <f>AX1332</f>
        <v/>
      </c>
      <c r="AY796" s="1779">
        <f>AY1332</f>
        <v/>
      </c>
      <c r="AZ796" s="1780">
        <f>AZ1332</f>
        <v/>
      </c>
      <c r="BA796" s="1780">
        <f>BA1332</f>
        <v/>
      </c>
      <c r="BB796" s="1780">
        <f>BB1332</f>
        <v/>
      </c>
      <c r="BC796" s="1780">
        <f>BC1332</f>
        <v/>
      </c>
      <c r="BD796" s="1779">
        <f>BD1332</f>
        <v/>
      </c>
      <c r="BE796" s="1780">
        <f>BE1332</f>
        <v/>
      </c>
      <c r="BF796" s="1780">
        <f>BF1332</f>
        <v/>
      </c>
      <c r="BG796" s="1780">
        <f>BG1332</f>
        <v/>
      </c>
      <c r="BH796" s="1780">
        <f>BH1332</f>
        <v/>
      </c>
      <c r="BI796" s="1779">
        <f>BI1332</f>
        <v/>
      </c>
      <c r="BJ796" s="1780">
        <f>BJ1332</f>
        <v/>
      </c>
      <c r="BK796" s="1780">
        <f>BK1332</f>
        <v/>
      </c>
      <c r="BL796" s="1780">
        <f>BL1332</f>
        <v/>
      </c>
      <c r="BM796" s="1780">
        <f>BM1332</f>
        <v/>
      </c>
      <c r="BN796" s="1779">
        <f>BN1332</f>
        <v/>
      </c>
      <c r="BO796" s="1780">
        <f>BO1332</f>
        <v/>
      </c>
      <c r="BP796" s="1780">
        <f>BP1332</f>
        <v/>
      </c>
      <c r="BQ796" s="1781">
        <f>BQ1332</f>
        <v/>
      </c>
      <c r="BR796" s="1780" t="n"/>
      <c r="BS796" s="1779" t="n"/>
      <c r="BT796" s="1780" t="n"/>
      <c r="BU796" s="1780" t="n"/>
      <c r="BV796" s="1780" t="n"/>
      <c r="BW796" s="1780" t="n"/>
      <c r="BX796" s="1779" t="n"/>
      <c r="BY796" s="1779" t="n"/>
      <c r="BZ796" s="1779" t="n"/>
      <c r="CA796" s="1779" t="n"/>
      <c r="CB796" s="1782" t="n"/>
    </row>
    <row r="797" hidden="1" outlineLevel="2" ht="15" customFormat="1" customHeight="1" s="1359">
      <c r="A797" s="1783" t="inlineStr">
        <is>
          <t>Forward quarterly guidance - applicable period, period</t>
        </is>
      </c>
      <c r="B797" s="1784" t="n"/>
      <c r="C797" s="1785" t="n"/>
      <c r="D797" s="1785" t="n"/>
      <c r="E797" s="1785" t="n"/>
      <c r="F797" s="1785" t="n"/>
      <c r="G797" s="1786" t="n"/>
      <c r="H797" s="1786" t="n"/>
      <c r="I797" s="1786" t="n"/>
      <c r="J797" s="1786" t="n"/>
      <c r="K797" s="1785" t="n"/>
      <c r="L797" s="1786" t="n"/>
      <c r="M797" s="1786" t="n"/>
      <c r="N797" s="1786" t="n"/>
      <c r="O797" s="1786" t="n"/>
      <c r="P797" s="1785" t="n"/>
      <c r="Q797" s="1786" t="n"/>
      <c r="R797" s="1786" t="n"/>
      <c r="S797" s="1786" t="n"/>
      <c r="T797" s="1786" t="n"/>
      <c r="U797" s="1785" t="n"/>
      <c r="V797" s="1786" t="n"/>
      <c r="W797" s="1786" t="n"/>
      <c r="X797" s="1786" t="n"/>
      <c r="Y797" s="1786" t="n"/>
      <c r="Z797" s="1785" t="n"/>
      <c r="AA797" s="1786" t="n"/>
      <c r="AB797" s="1786" t="n"/>
      <c r="AC797" s="1786">
        <f>AD5</f>
        <v/>
      </c>
      <c r="AD797" s="1786">
        <f>AF5</f>
        <v/>
      </c>
      <c r="AE797" s="1785">
        <f>AF5</f>
        <v/>
      </c>
      <c r="AF797" s="1786">
        <f>AG5</f>
        <v/>
      </c>
      <c r="AG797" s="1786">
        <f>AH5</f>
        <v/>
      </c>
      <c r="AH797" s="1786">
        <f>AI5</f>
        <v/>
      </c>
      <c r="AI797" s="1786">
        <f>AK5</f>
        <v/>
      </c>
      <c r="AJ797" s="1785">
        <f>AK5</f>
        <v/>
      </c>
      <c r="AK797" s="1786">
        <f>AL5</f>
        <v/>
      </c>
      <c r="AL797" s="1786">
        <f>AM5</f>
        <v/>
      </c>
      <c r="AM797" s="1786">
        <f>AN5</f>
        <v/>
      </c>
      <c r="AN797" s="1786">
        <f>AP5</f>
        <v/>
      </c>
      <c r="AO797" s="1785">
        <f>AP5</f>
        <v/>
      </c>
      <c r="AP797" s="1786">
        <f>AQ5</f>
        <v/>
      </c>
      <c r="AQ797" s="1786">
        <f>AR5</f>
        <v/>
      </c>
      <c r="AR797" s="1786">
        <f>AS5</f>
        <v/>
      </c>
      <c r="AS797" s="1786">
        <f>AU5</f>
        <v/>
      </c>
      <c r="AT797" s="1785">
        <f>AU5</f>
        <v/>
      </c>
      <c r="AU797" s="1786">
        <f>AV5</f>
        <v/>
      </c>
      <c r="AV797" s="1786">
        <f>AW5</f>
        <v/>
      </c>
      <c r="AW797" s="1786">
        <f>AX5</f>
        <v/>
      </c>
      <c r="AX797" s="1786">
        <f>AZ5</f>
        <v/>
      </c>
      <c r="AY797" s="1785">
        <f>AZ5</f>
        <v/>
      </c>
      <c r="AZ797" s="1786">
        <f>BA5</f>
        <v/>
      </c>
      <c r="BA797" s="1786">
        <f>BB5</f>
        <v/>
      </c>
      <c r="BB797" s="1786">
        <f>BC5</f>
        <v/>
      </c>
      <c r="BC797" s="1786">
        <f>BE5</f>
        <v/>
      </c>
      <c r="BD797" s="1785">
        <f>BE5</f>
        <v/>
      </c>
      <c r="BE797" s="1786">
        <f>BF5</f>
        <v/>
      </c>
      <c r="BF797" s="1786">
        <f>BG5</f>
        <v/>
      </c>
      <c r="BG797" s="1786">
        <f>BH5</f>
        <v/>
      </c>
      <c r="BH797" s="1786">
        <f>BJ5</f>
        <v/>
      </c>
      <c r="BI797" s="1785">
        <f>BJ5</f>
        <v/>
      </c>
      <c r="BJ797" s="1786">
        <f>BK5</f>
        <v/>
      </c>
      <c r="BK797" s="1786">
        <f>BL5</f>
        <v/>
      </c>
      <c r="BL797" s="1786">
        <f>BM5</f>
        <v/>
      </c>
      <c r="BM797" s="1786">
        <f>BO5</f>
        <v/>
      </c>
      <c r="BN797" s="1785">
        <f>BO5</f>
        <v/>
      </c>
      <c r="BO797" s="1786">
        <f>BP5</f>
        <v/>
      </c>
      <c r="BP797" s="1786">
        <f>BQ5</f>
        <v/>
      </c>
      <c r="BQ797" s="1787">
        <f>BR5</f>
        <v/>
      </c>
      <c r="BR797" s="1786" t="n"/>
      <c r="BS797" s="1785" t="n"/>
      <c r="BT797" s="1786" t="n"/>
      <c r="BU797" s="1786" t="n"/>
      <c r="BV797" s="1786" t="n"/>
      <c r="BW797" s="1786" t="n"/>
      <c r="BX797" s="1785" t="n"/>
      <c r="BY797" s="1785" t="n"/>
      <c r="BZ797" s="1785" t="n"/>
      <c r="CA797" s="1785" t="n"/>
      <c r="CB797" s="1788" t="n"/>
    </row>
    <row r="798" hidden="1" outlineLevel="3" ht="15" customFormat="1" customHeight="1" s="1359">
      <c r="A798" s="1474" t="inlineStr">
        <is>
          <t>Forward quarterly non-GAAP EBIT guidance - low, mm</t>
        </is>
      </c>
      <c r="B798" s="1512" t="n"/>
      <c r="C798" s="1379" t="n"/>
      <c r="D798" s="1379" t="n"/>
      <c r="E798" s="1379" t="n"/>
      <c r="F798" s="1379" t="n"/>
      <c r="G798" s="1361" t="n"/>
      <c r="H798" s="1361" t="n"/>
      <c r="I798" s="1361" t="n"/>
      <c r="J798" s="1361" t="n"/>
      <c r="K798" s="1379" t="n"/>
      <c r="L798" s="1361" t="n"/>
      <c r="M798" s="1361" t="n"/>
      <c r="N798" s="1361" t="n"/>
      <c r="O798" s="1361" t="n"/>
      <c r="P798" s="1379" t="n"/>
      <c r="Q798" s="1361" t="n"/>
      <c r="R798" s="1361" t="n"/>
      <c r="S798" s="1361" t="n"/>
      <c r="T798" s="1361" t="n"/>
      <c r="U798" s="1379" t="n"/>
      <c r="V798" s="1361" t="n"/>
      <c r="W798" s="1361" t="n"/>
      <c r="X798" s="1361" t="n"/>
      <c r="Y798" s="1361" t="n"/>
      <c r="Z798" s="1379" t="n"/>
      <c r="AA798" s="1361" t="n"/>
      <c r="AB798" s="1361" t="n"/>
      <c r="AC798" s="1361">
        <f>IFERROR(AC736*AC810,"")</f>
        <v/>
      </c>
      <c r="AD798" s="1361">
        <f>IFERROR(AD736*AD810,"")</f>
        <v/>
      </c>
      <c r="AE798" s="1379">
        <f>IFERROR(AE736*AE810,"")</f>
        <v/>
      </c>
      <c r="AF798" s="1361">
        <f>IFERROR(AF736*AF810,"")</f>
        <v/>
      </c>
      <c r="AG798" s="1361">
        <f>IFERROR(AG736*AG810,"")</f>
        <v/>
      </c>
      <c r="AH798" s="1361">
        <f>IFERROR(AH736*AH810,"")</f>
        <v/>
      </c>
      <c r="AI798" s="1361">
        <f>IFERROR(AI736*AI810,"")</f>
        <v/>
      </c>
      <c r="AJ798" s="1379">
        <f>IFERROR(AJ736*AJ810,"")</f>
        <v/>
      </c>
      <c r="AK798" s="1361">
        <f>IFERROR(AK736*AK810,"")</f>
        <v/>
      </c>
      <c r="AL798" s="1361">
        <f>IFERROR(AL736*AL810,"")</f>
        <v/>
      </c>
      <c r="AM798" s="1361">
        <f>IFERROR(AM736*AM810,"")</f>
        <v/>
      </c>
      <c r="AN798" s="1361">
        <f>IFERROR(AN736*AN810,"")</f>
        <v/>
      </c>
      <c r="AO798" s="1379">
        <f>IFERROR(AO736*AO810,"")</f>
        <v/>
      </c>
      <c r="AP798" s="1361">
        <f>IFERROR(AP736*AP810,"")</f>
        <v/>
      </c>
      <c r="AQ798" s="1361">
        <f>IFERROR(AQ736*AQ810,"")</f>
        <v/>
      </c>
      <c r="AR798" s="1361">
        <f>IFERROR(AR736*AR810,"")</f>
        <v/>
      </c>
      <c r="AS798" s="1361">
        <f>IFERROR(AS736*AS810,"")</f>
        <v/>
      </c>
      <c r="AT798" s="1379">
        <f>IFERROR(AT736*AT810,"")</f>
        <v/>
      </c>
      <c r="AU798" s="1361">
        <f>IFERROR(AU736*AU810,"")</f>
        <v/>
      </c>
      <c r="AV798" s="1361">
        <f>IFERROR(AV736*AV810,"")</f>
        <v/>
      </c>
      <c r="AW798" s="1361">
        <f>IFERROR(AW736*AW810,"")</f>
        <v/>
      </c>
      <c r="AX798" s="1361">
        <f>IFERROR(AX736*AX810,"")</f>
        <v/>
      </c>
      <c r="AY798" s="1379">
        <f>IFERROR(AY736*AY810,"")</f>
        <v/>
      </c>
      <c r="AZ798" s="1361">
        <f>IFERROR(AZ736*AZ810,"")</f>
        <v/>
      </c>
      <c r="BA798" s="1361">
        <f>IFERROR(BA736*BA810,"")</f>
        <v/>
      </c>
      <c r="BB798" s="1361">
        <f>IFERROR(BB736*BB810,"")</f>
        <v/>
      </c>
      <c r="BC798" s="1361">
        <f>IFERROR(BC736*BC810,"")</f>
        <v/>
      </c>
      <c r="BD798" s="1379">
        <f>IFERROR(BD736*BD810,"")</f>
        <v/>
      </c>
      <c r="BE798" s="1361">
        <f>IFERROR(BE736*BE810,"")</f>
        <v/>
      </c>
      <c r="BF798" s="1361">
        <f>IFERROR(BF736*BF810,"")</f>
        <v/>
      </c>
      <c r="BG798" s="1361">
        <f>IFERROR(BG736*BG810,"")</f>
        <v/>
      </c>
      <c r="BH798" s="1361">
        <f>IFERROR(BH736*BH810,"")</f>
        <v/>
      </c>
      <c r="BI798" s="1379">
        <f>IFERROR(BI736*BI810,"")</f>
        <v/>
      </c>
      <c r="BJ798" s="1361">
        <f>IFERROR(BJ736*BJ810,"")</f>
        <v/>
      </c>
      <c r="BK798" s="1361">
        <f>IFERROR(BK736*BK810,"")</f>
        <v/>
      </c>
      <c r="BL798" s="1361">
        <f>IFERROR(BL736*BL810,"")</f>
        <v/>
      </c>
      <c r="BM798" s="1361">
        <f>IFERROR(BM736*BM810,"")</f>
        <v/>
      </c>
      <c r="BN798" s="1379">
        <f>IFERROR(BN736*BN810,"")</f>
        <v/>
      </c>
      <c r="BO798" s="1361">
        <f>IFERROR(BO736*BO810,"")</f>
        <v/>
      </c>
      <c r="BP798" s="1361">
        <f>IFERROR(BP736*BP810,"")</f>
        <v/>
      </c>
      <c r="BQ798" s="1363">
        <f>IFERROR(BQ736*BQ810,"")</f>
        <v/>
      </c>
      <c r="BR798" s="1361" t="n"/>
      <c r="BS798" s="1379" t="n"/>
      <c r="BT798" s="1361" t="n"/>
      <c r="BU798" s="1361" t="n"/>
      <c r="BV798" s="1361" t="n"/>
      <c r="BW798" s="1361" t="n"/>
      <c r="BX798" s="1379" t="n"/>
      <c r="BY798" s="1379" t="n"/>
      <c r="BZ798" s="1379" t="n"/>
      <c r="CA798" s="1379" t="n"/>
      <c r="CB798" s="1361" t="n"/>
    </row>
    <row r="799" hidden="1" outlineLevel="3" ht="15" customFormat="1" customHeight="1" s="1359">
      <c r="A799" s="1789" t="inlineStr">
        <is>
          <t>Forward quarterly non-GAAP EBIT guidance - high, mm</t>
        </is>
      </c>
      <c r="B799" s="1613" t="n"/>
      <c r="C799" s="1614" t="n"/>
      <c r="D799" s="1614" t="n"/>
      <c r="E799" s="1614" t="n"/>
      <c r="F799" s="1614" t="n"/>
      <c r="G799" s="1615" t="n"/>
      <c r="H799" s="1615" t="n"/>
      <c r="I799" s="1615" t="n"/>
      <c r="J799" s="1615" t="n"/>
      <c r="K799" s="1614" t="n"/>
      <c r="L799" s="1615" t="n"/>
      <c r="M799" s="1615" t="n"/>
      <c r="N799" s="1615" t="n"/>
      <c r="O799" s="1615" t="n"/>
      <c r="P799" s="1614" t="n"/>
      <c r="Q799" s="1615" t="n"/>
      <c r="R799" s="1615" t="n"/>
      <c r="S799" s="1615" t="n"/>
      <c r="T799" s="1615" t="n"/>
      <c r="U799" s="1614" t="n"/>
      <c r="V799" s="1615" t="n"/>
      <c r="W799" s="1615" t="n"/>
      <c r="X799" s="1615" t="n"/>
      <c r="Y799" s="1615" t="n"/>
      <c r="Z799" s="1614" t="n"/>
      <c r="AA799" s="1615" t="n"/>
      <c r="AB799" s="1615" t="n"/>
      <c r="AC799" s="1615">
        <f>IFERROR(AC737*AC811,"")</f>
        <v/>
      </c>
      <c r="AD799" s="1615">
        <f>IFERROR(AD737*AD811,"")</f>
        <v/>
      </c>
      <c r="AE799" s="1614">
        <f>IFERROR(AE737*AE811,"")</f>
        <v/>
      </c>
      <c r="AF799" s="1615">
        <f>IFERROR(AF737*AF811,"")</f>
        <v/>
      </c>
      <c r="AG799" s="1615">
        <f>IFERROR(AG737*AG811,"")</f>
        <v/>
      </c>
      <c r="AH799" s="1615">
        <f>IFERROR(AH737*AH811,"")</f>
        <v/>
      </c>
      <c r="AI799" s="1615">
        <f>IFERROR(AI737*AI811,"")</f>
        <v/>
      </c>
      <c r="AJ799" s="1614">
        <f>IFERROR(AJ737*AJ811,"")</f>
        <v/>
      </c>
      <c r="AK799" s="1615">
        <f>IFERROR(AK737*AK811,"")</f>
        <v/>
      </c>
      <c r="AL799" s="1615">
        <f>IFERROR(AL737*AL811,"")</f>
        <v/>
      </c>
      <c r="AM799" s="1615">
        <f>IFERROR(AM737*AM811,"")</f>
        <v/>
      </c>
      <c r="AN799" s="1615">
        <f>IFERROR(AN737*AN811,"")</f>
        <v/>
      </c>
      <c r="AO799" s="1614">
        <f>IFERROR(AO737*AO811,"")</f>
        <v/>
      </c>
      <c r="AP799" s="1615">
        <f>IFERROR(AP737*AP811,"")</f>
        <v/>
      </c>
      <c r="AQ799" s="1615">
        <f>IFERROR(AQ737*AQ811,"")</f>
        <v/>
      </c>
      <c r="AR799" s="1615">
        <f>IFERROR(AR737*AR811,"")</f>
        <v/>
      </c>
      <c r="AS799" s="1615">
        <f>IFERROR(AS737*AS811,"")</f>
        <v/>
      </c>
      <c r="AT799" s="1614">
        <f>IFERROR(AT737*AT811,"")</f>
        <v/>
      </c>
      <c r="AU799" s="1615">
        <f>IFERROR(AU737*AU811,"")</f>
        <v/>
      </c>
      <c r="AV799" s="1615">
        <f>IFERROR(AV737*AV811,"")</f>
        <v/>
      </c>
      <c r="AW799" s="1615">
        <f>IFERROR(AW737*AW811,"")</f>
        <v/>
      </c>
      <c r="AX799" s="1615">
        <f>IFERROR(AX737*AX811,"")</f>
        <v/>
      </c>
      <c r="AY799" s="1614">
        <f>IFERROR(AY737*AY811,"")</f>
        <v/>
      </c>
      <c r="AZ799" s="1615">
        <f>IFERROR(AZ737*AZ811,"")</f>
        <v/>
      </c>
      <c r="BA799" s="1615">
        <f>IFERROR(BA737*BA811,"")</f>
        <v/>
      </c>
      <c r="BB799" s="1615">
        <f>IFERROR(BB737*BB811,"")</f>
        <v/>
      </c>
      <c r="BC799" s="1615">
        <f>IFERROR(BC737*BC811,"")</f>
        <v/>
      </c>
      <c r="BD799" s="1614">
        <f>IFERROR(BD737*BD811,"")</f>
        <v/>
      </c>
      <c r="BE799" s="1615">
        <f>IFERROR(BE737*BE811,"")</f>
        <v/>
      </c>
      <c r="BF799" s="1615">
        <f>IFERROR(BF737*BF811,"")</f>
        <v/>
      </c>
      <c r="BG799" s="1615">
        <f>IFERROR(BG737*BG811,"")</f>
        <v/>
      </c>
      <c r="BH799" s="1615">
        <f>IFERROR(BH737*BH811,"")</f>
        <v/>
      </c>
      <c r="BI799" s="1614">
        <f>IFERROR(BI737*BI811,"")</f>
        <v/>
      </c>
      <c r="BJ799" s="1615">
        <f>IFERROR(BJ737*BJ811,"")</f>
        <v/>
      </c>
      <c r="BK799" s="1615">
        <f>IFERROR(BK737*BK811,"")</f>
        <v/>
      </c>
      <c r="BL799" s="1615">
        <f>IFERROR(BL737*BL811,"")</f>
        <v/>
      </c>
      <c r="BM799" s="1615">
        <f>IFERROR(BM737*BM811,"")</f>
        <v/>
      </c>
      <c r="BN799" s="1614">
        <f>IFERROR(BN737*BN811,"")</f>
        <v/>
      </c>
      <c r="BO799" s="1615">
        <f>IFERROR(BO737*BO811,"")</f>
        <v/>
      </c>
      <c r="BP799" s="1615">
        <f>IFERROR(BP737*BP811,"")</f>
        <v/>
      </c>
      <c r="BQ799" s="1616">
        <f>IFERROR(BQ737*BQ811,"")</f>
        <v/>
      </c>
      <c r="BR799" s="1615" t="n"/>
      <c r="BS799" s="1614" t="n"/>
      <c r="BT799" s="1615" t="n"/>
      <c r="BU799" s="1615" t="n"/>
      <c r="BV799" s="1615" t="n"/>
      <c r="BW799" s="1615" t="n"/>
      <c r="BX799" s="1614" t="n"/>
      <c r="BY799" s="1614" t="n"/>
      <c r="BZ799" s="1614" t="n"/>
      <c r="CA799" s="1614" t="n"/>
      <c r="CB799" s="1361" t="n"/>
    </row>
    <row r="800" hidden="1" outlineLevel="2" collapsed="1" ht="15" customFormat="1" customHeight="1" s="1359">
      <c r="A800" s="1447" t="inlineStr">
        <is>
          <t>Forward quarterly non-GAAP EBIT guidance - midpoint, mm</t>
        </is>
      </c>
      <c r="B800" s="1517" t="n"/>
      <c r="C800" s="1449" t="n"/>
      <c r="D800" s="1449" t="n"/>
      <c r="E800" s="1449" t="n"/>
      <c r="F800" s="1449" t="n"/>
      <c r="G800" s="1450" t="n"/>
      <c r="H800" s="1450" t="n"/>
      <c r="I800" s="1450" t="n"/>
      <c r="J800" s="1450" t="n"/>
      <c r="K800" s="1449" t="n"/>
      <c r="L800" s="1450" t="n"/>
      <c r="M800" s="1450" t="n"/>
      <c r="N800" s="1450" t="n"/>
      <c r="O800" s="1450" t="n"/>
      <c r="P800" s="1449" t="n"/>
      <c r="Q800" s="1450" t="n"/>
      <c r="R800" s="1450" t="n"/>
      <c r="S800" s="1450" t="n"/>
      <c r="T800" s="1450" t="n"/>
      <c r="U800" s="1449" t="n"/>
      <c r="V800" s="1450" t="n"/>
      <c r="W800" s="1450" t="n"/>
      <c r="X800" s="1450" t="n"/>
      <c r="Y800" s="1450" t="n"/>
      <c r="Z800" s="1449" t="n"/>
      <c r="AA800" s="1450" t="n"/>
      <c r="AB800" s="1450" t="n"/>
      <c r="AC800" s="1450">
        <f>IFERROR(AVERAGE(AC798,AC799),"")</f>
        <v/>
      </c>
      <c r="AD800" s="1450">
        <f>IFERROR(AVERAGE(AD798,AD799),"")</f>
        <v/>
      </c>
      <c r="AE800" s="1449">
        <f>IFERROR(AVERAGE(AE798,AE799),"")</f>
        <v/>
      </c>
      <c r="AF800" s="1450">
        <f>IFERROR(AVERAGE(AF798,AF799),"")</f>
        <v/>
      </c>
      <c r="AG800" s="1450">
        <f>IFERROR(AVERAGE(AG798,AG799),"")</f>
        <v/>
      </c>
      <c r="AH800" s="1450">
        <f>IFERROR(AVERAGE(AH798,AH799),"")</f>
        <v/>
      </c>
      <c r="AI800" s="1450">
        <f>IFERROR(AVERAGE(AI798,AI799),"")</f>
        <v/>
      </c>
      <c r="AJ800" s="1449">
        <f>IFERROR(AVERAGE(AJ798,AJ799),"")</f>
        <v/>
      </c>
      <c r="AK800" s="1450">
        <f>IFERROR(AVERAGE(AK798,AK799),"")</f>
        <v/>
      </c>
      <c r="AL800" s="1450">
        <f>IFERROR(AVERAGE(AL798,AL799),"")</f>
        <v/>
      </c>
      <c r="AM800" s="1450">
        <f>IFERROR(AVERAGE(AM798,AM799),"")</f>
        <v/>
      </c>
      <c r="AN800" s="1450">
        <f>IFERROR(AVERAGE(AN798,AN799),"")</f>
        <v/>
      </c>
      <c r="AO800" s="1449">
        <f>IFERROR(AVERAGE(AO798,AO799),"")</f>
        <v/>
      </c>
      <c r="AP800" s="1450">
        <f>IFERROR(AVERAGE(AP798,AP799),"")</f>
        <v/>
      </c>
      <c r="AQ800" s="1450">
        <f>IFERROR(AVERAGE(AQ798,AQ799),"")</f>
        <v/>
      </c>
      <c r="AR800" s="1450">
        <f>IFERROR(AVERAGE(AR798,AR799),"")</f>
        <v/>
      </c>
      <c r="AS800" s="1450">
        <f>IFERROR(AVERAGE(AS798,AS799),"")</f>
        <v/>
      </c>
      <c r="AT800" s="1449">
        <f>IFERROR(AVERAGE(AT798,AT799),"")</f>
        <v/>
      </c>
      <c r="AU800" s="1450">
        <f>IFERROR(AVERAGE(AU798,AU799),"")</f>
        <v/>
      </c>
      <c r="AV800" s="1450">
        <f>IFERROR(AVERAGE(AV798,AV799),"")</f>
        <v/>
      </c>
      <c r="AW800" s="1450">
        <f>IFERROR(AVERAGE(AW798,AW799),"")</f>
        <v/>
      </c>
      <c r="AX800" s="1450">
        <f>IFERROR(AVERAGE(AX798,AX799),"")</f>
        <v/>
      </c>
      <c r="AY800" s="1449">
        <f>IFERROR(AVERAGE(AY798,AY799),"")</f>
        <v/>
      </c>
      <c r="AZ800" s="1450">
        <f>IFERROR(AVERAGE(AZ798,AZ799),"")</f>
        <v/>
      </c>
      <c r="BA800" s="1450">
        <f>IFERROR(AVERAGE(BA798,BA799),"")</f>
        <v/>
      </c>
      <c r="BB800" s="1450">
        <f>IFERROR(AVERAGE(BB798,BB799),"")</f>
        <v/>
      </c>
      <c r="BC800" s="1450">
        <f>IFERROR(AVERAGE(BC798,BC799),"")</f>
        <v/>
      </c>
      <c r="BD800" s="1449">
        <f>IFERROR(AVERAGE(BD798,BD799),"")</f>
        <v/>
      </c>
      <c r="BE800" s="1450">
        <f>IFERROR(AVERAGE(BE798,BE799),"")</f>
        <v/>
      </c>
      <c r="BF800" s="1450">
        <f>IFERROR(AVERAGE(BF798,BF799),"")</f>
        <v/>
      </c>
      <c r="BG800" s="1450">
        <f>IFERROR(AVERAGE(BG798,BG799),"")</f>
        <v/>
      </c>
      <c r="BH800" s="1450">
        <f>IFERROR(AVERAGE(BH798,BH799),"")</f>
        <v/>
      </c>
      <c r="BI800" s="1449">
        <f>IFERROR(AVERAGE(BI798,BI799),"")</f>
        <v/>
      </c>
      <c r="BJ800" s="1450">
        <f>IFERROR(AVERAGE(BJ798,BJ799),"")</f>
        <v/>
      </c>
      <c r="BK800" s="1450">
        <f>IFERROR(AVERAGE(BK798,BK799),"")</f>
        <v/>
      </c>
      <c r="BL800" s="1450">
        <f>IFERROR(AVERAGE(BL798,BL799),"")</f>
        <v/>
      </c>
      <c r="BM800" s="1450">
        <f>IFERROR(AVERAGE(BM798,BM799),"")</f>
        <v/>
      </c>
      <c r="BN800" s="1449">
        <f>IFERROR(AVERAGE(BN798,BN799),"")</f>
        <v/>
      </c>
      <c r="BO800" s="1450">
        <f>IFERROR(AVERAGE(BO798,BO799),"")</f>
        <v/>
      </c>
      <c r="BP800" s="1450">
        <f>IFERROR(AVERAGE(BP798,BP799),"")</f>
        <v/>
      </c>
      <c r="BQ800" s="1451">
        <f>IFERROR(AVERAGE(BQ798,BQ799),"")</f>
        <v/>
      </c>
      <c r="BR800" s="1450" t="n"/>
      <c r="BS800" s="1449" t="n"/>
      <c r="BT800" s="1450" t="n"/>
      <c r="BU800" s="1450" t="n"/>
      <c r="BV800" s="1450" t="n"/>
      <c r="BW800" s="1450" t="n"/>
      <c r="BX800" s="1449" t="n"/>
      <c r="BY800" s="1449" t="n"/>
      <c r="BZ800" s="1449" t="n"/>
      <c r="CA800" s="1449" t="n"/>
      <c r="CB800" s="1450" t="n"/>
    </row>
    <row r="801" hidden="1" outlineLevel="2" ht="15" customFormat="1" customHeight="1" s="1359">
      <c r="A801" s="1474" t="inlineStr">
        <is>
          <t>Forward quarterly non-GAAP EBIT guidance variance, mm</t>
        </is>
      </c>
      <c r="B801" s="1512" t="n"/>
      <c r="C801" s="1379" t="n"/>
      <c r="D801" s="1379" t="n"/>
      <c r="E801" s="1379" t="n"/>
      <c r="F801" s="1379" t="n"/>
      <c r="G801" s="1361" t="n"/>
      <c r="H801" s="1361" t="n"/>
      <c r="I801" s="1361" t="n"/>
      <c r="J801" s="1361" t="n"/>
      <c r="K801" s="1379" t="n"/>
      <c r="L801" s="1361" t="n"/>
      <c r="M801" s="1361" t="n"/>
      <c r="N801" s="1361" t="n"/>
      <c r="O801" s="1361" t="n"/>
      <c r="P801" s="1379" t="n"/>
      <c r="Q801" s="1361" t="n"/>
      <c r="R801" s="1361" t="n"/>
      <c r="S801" s="1361" t="n"/>
      <c r="T801" s="1361" t="n"/>
      <c r="U801" s="1379" t="n"/>
      <c r="V801" s="1361" t="n"/>
      <c r="W801" s="1361" t="n"/>
      <c r="X801" s="1361" t="n"/>
      <c r="Y801" s="1361" t="n"/>
      <c r="Z801" s="1379" t="n"/>
      <c r="AA801" s="1361" t="n"/>
      <c r="AB801" s="1361" t="n"/>
      <c r="AC801" s="1361">
        <f>IFERROR(ABS(AC799-AC798),"")</f>
        <v/>
      </c>
      <c r="AD801" s="1361">
        <f>IFERROR(ABS(AD799-AD798),"")</f>
        <v/>
      </c>
      <c r="AE801" s="1379">
        <f>IFERROR(ABS(AE799-AE798),"")</f>
        <v/>
      </c>
      <c r="AF801" s="1361">
        <f>IFERROR(ABS(AF799-AF798),"")</f>
        <v/>
      </c>
      <c r="AG801" s="1361">
        <f>IFERROR(ABS(AG799-AG798),"")</f>
        <v/>
      </c>
      <c r="AH801" s="1361">
        <f>IFERROR(ABS(AH799-AH798),"")</f>
        <v/>
      </c>
      <c r="AI801" s="1361">
        <f>IFERROR(ABS(AI799-AI798),"")</f>
        <v/>
      </c>
      <c r="AJ801" s="1379">
        <f>IFERROR(ABS(AJ799-AJ798),"")</f>
        <v/>
      </c>
      <c r="AK801" s="1361">
        <f>IFERROR(ABS(AK799-AK798),"")</f>
        <v/>
      </c>
      <c r="AL801" s="1361">
        <f>IFERROR(ABS(AL799-AL798),"")</f>
        <v/>
      </c>
      <c r="AM801" s="1361">
        <f>IFERROR(ABS(AM799-AM798),"")</f>
        <v/>
      </c>
      <c r="AN801" s="1361">
        <f>IFERROR(ABS(AN799-AN798),"")</f>
        <v/>
      </c>
      <c r="AO801" s="1379">
        <f>IFERROR(ABS(AO799-AO798),"")</f>
        <v/>
      </c>
      <c r="AP801" s="1361">
        <f>IFERROR(ABS(AP799-AP798),"")</f>
        <v/>
      </c>
      <c r="AQ801" s="1361">
        <f>IFERROR(ABS(AQ799-AQ798),"")</f>
        <v/>
      </c>
      <c r="AR801" s="1361">
        <f>IFERROR(ABS(AR799-AR798),"")</f>
        <v/>
      </c>
      <c r="AS801" s="1361">
        <f>IFERROR(ABS(AS799-AS798),"")</f>
        <v/>
      </c>
      <c r="AT801" s="1379">
        <f>IFERROR(ABS(AT799-AT798),"")</f>
        <v/>
      </c>
      <c r="AU801" s="1361">
        <f>IFERROR(ABS(AU799-AU798),"")</f>
        <v/>
      </c>
      <c r="AV801" s="1361">
        <f>IFERROR(ABS(AV799-AV798),"")</f>
        <v/>
      </c>
      <c r="AW801" s="1361">
        <f>IFERROR(ABS(AW799-AW798),"")</f>
        <v/>
      </c>
      <c r="AX801" s="1361">
        <f>IFERROR(ABS(AX799-AX798),"")</f>
        <v/>
      </c>
      <c r="AY801" s="1379">
        <f>IFERROR(ABS(AY799-AY798),"")</f>
        <v/>
      </c>
      <c r="AZ801" s="1361">
        <f>IFERROR(ABS(AZ799-AZ798),"")</f>
        <v/>
      </c>
      <c r="BA801" s="1361">
        <f>IFERROR(ABS(BA799-BA798),"")</f>
        <v/>
      </c>
      <c r="BB801" s="1361">
        <f>IFERROR(ABS(BB799-BB798),"")</f>
        <v/>
      </c>
      <c r="BC801" s="1361">
        <f>IFERROR(ABS(BC799-BC798),"")</f>
        <v/>
      </c>
      <c r="BD801" s="1379">
        <f>IFERROR(ABS(BD799-BD798),"")</f>
        <v/>
      </c>
      <c r="BE801" s="1361">
        <f>IFERROR(ABS(BE799-BE798),"")</f>
        <v/>
      </c>
      <c r="BF801" s="1361">
        <f>IFERROR(ABS(BF799-BF798),"")</f>
        <v/>
      </c>
      <c r="BG801" s="1361">
        <f>IFERROR(ABS(BG799-BG798),"")</f>
        <v/>
      </c>
      <c r="BH801" s="1361">
        <f>IFERROR(ABS(BH799-BH798),"")</f>
        <v/>
      </c>
      <c r="BI801" s="1379">
        <f>IFERROR(ABS(BI799-BI798),"")</f>
        <v/>
      </c>
      <c r="BJ801" s="1361">
        <f>IFERROR(ABS(BJ799-BJ798),"")</f>
        <v/>
      </c>
      <c r="BK801" s="1361">
        <f>IFERROR(ABS(BK799-BK798),"")</f>
        <v/>
      </c>
      <c r="BL801" s="1361">
        <f>IFERROR(ABS(BL799-BL798),"")</f>
        <v/>
      </c>
      <c r="BM801" s="1361">
        <f>IFERROR(ABS(BM799-BM798),"")</f>
        <v/>
      </c>
      <c r="BN801" s="1379">
        <f>IFERROR(ABS(BN799-BN798),"")</f>
        <v/>
      </c>
      <c r="BO801" s="1361">
        <f>IFERROR(ABS(BO799-BO798),"")</f>
        <v/>
      </c>
      <c r="BP801" s="1361">
        <f>IFERROR(ABS(BP799-BP798),"")</f>
        <v/>
      </c>
      <c r="BQ801" s="1363">
        <f>IFERROR(ABS(BQ799-BQ798),"")</f>
        <v/>
      </c>
      <c r="BR801" s="1361" t="n"/>
      <c r="BS801" s="1379" t="n"/>
      <c r="BT801" s="1361" t="n"/>
      <c r="BU801" s="1361" t="n"/>
      <c r="BV801" s="1361" t="n"/>
      <c r="BW801" s="1361" t="n"/>
      <c r="BX801" s="1379" t="n"/>
      <c r="BY801" s="1379" t="n"/>
      <c r="BZ801" s="1379" t="n"/>
      <c r="CA801" s="1379" t="n"/>
      <c r="CB801" s="1361" t="n"/>
    </row>
    <row r="802" hidden="1" outlineLevel="2" ht="15" customFormat="1" customHeight="1" s="1359">
      <c r="A802" s="1486" t="inlineStr">
        <is>
          <t>Forward quarterly non-GAAP EBIT guidance variance (+/-), %</t>
        </is>
      </c>
      <c r="B802" s="1512" t="n"/>
      <c r="C802" s="1463">
        <f>IFERROR(ABS((C799-C800)/C800),"")</f>
        <v/>
      </c>
      <c r="D802" s="1463">
        <f>IFERROR(ABS((D799-D800)/D800),"")</f>
        <v/>
      </c>
      <c r="E802" s="1463">
        <f>IFERROR(ABS((E799-E800)/E800),"")</f>
        <v/>
      </c>
      <c r="F802" s="1463">
        <f>IFERROR(ABS((F799-F800)/F800),"")</f>
        <v/>
      </c>
      <c r="G802" s="1466">
        <f>IFERROR(ABS((G799-G800)/G800),"")</f>
        <v/>
      </c>
      <c r="H802" s="1466">
        <f>IFERROR(ABS((H799-H800)/H800),"")</f>
        <v/>
      </c>
      <c r="I802" s="1466">
        <f>IFERROR(ABS((I799-I800)/I800),"")</f>
        <v/>
      </c>
      <c r="J802" s="1466">
        <f>IFERROR(ABS((J799-J800)/J800),"")</f>
        <v/>
      </c>
      <c r="K802" s="1463">
        <f>IFERROR(ABS((K799-K800)/K800),"")</f>
        <v/>
      </c>
      <c r="L802" s="1466">
        <f>IFERROR(ABS((L799-L800)/L800),"")</f>
        <v/>
      </c>
      <c r="M802" s="1466">
        <f>IFERROR(ABS((M799-M800)/M800),"")</f>
        <v/>
      </c>
      <c r="N802" s="1466">
        <f>IFERROR(ABS((N799-N800)/N800),"")</f>
        <v/>
      </c>
      <c r="O802" s="1466">
        <f>IFERROR(ABS((O799-O800)/O800),"")</f>
        <v/>
      </c>
      <c r="P802" s="1463">
        <f>IFERROR(ABS((P799-P800)/P800),"")</f>
        <v/>
      </c>
      <c r="Q802" s="1466">
        <f>IFERROR(ABS((Q799-Q800)/Q800),"")</f>
        <v/>
      </c>
      <c r="R802" s="1466">
        <f>IFERROR(ABS((R799-R800)/R800),"")</f>
        <v/>
      </c>
      <c r="S802" s="1466">
        <f>IFERROR(ABS((S799-S800)/S800),"")</f>
        <v/>
      </c>
      <c r="T802" s="1466">
        <f>IFERROR(ABS((T799-T800)/T800),"")</f>
        <v/>
      </c>
      <c r="U802" s="1463">
        <f>IFERROR(ABS((U799-U800)/U800),"")</f>
        <v/>
      </c>
      <c r="V802" s="1466">
        <f>IFERROR(ABS((V799-V800)/V800),"")</f>
        <v/>
      </c>
      <c r="W802" s="1466">
        <f>IFERROR(ABS((W799-W800)/W800),"")</f>
        <v/>
      </c>
      <c r="X802" s="1466">
        <f>IFERROR(ABS((X799-X800)/X800),"")</f>
        <v/>
      </c>
      <c r="Y802" s="1466">
        <f>IFERROR(ABS((Y799-Y800)/Y800),"")</f>
        <v/>
      </c>
      <c r="Z802" s="1463">
        <f>IFERROR(ABS((Z799-Z800)/Z800),"")</f>
        <v/>
      </c>
      <c r="AA802" s="1466">
        <f>IFERROR(ABS((AA799-AA800)/AA800),"")</f>
        <v/>
      </c>
      <c r="AB802" s="1466">
        <f>IFERROR(ABS((AB799-AB800)/AB800),"")</f>
        <v/>
      </c>
      <c r="AC802" s="1466">
        <f>IFERROR(ABS((AC799-AC800)/AC800),"")</f>
        <v/>
      </c>
      <c r="AD802" s="1466">
        <f>IFERROR(ABS((AD799-AD800)/AD800),"")</f>
        <v/>
      </c>
      <c r="AE802" s="1463">
        <f>IFERROR(ABS((AE799-AE800)/AE800),"")</f>
        <v/>
      </c>
      <c r="AF802" s="1466">
        <f>IFERROR(ABS((AF799-AF800)/AF800),"")</f>
        <v/>
      </c>
      <c r="AG802" s="1466">
        <f>IFERROR(ABS((AG799-AG800)/AG800),"")</f>
        <v/>
      </c>
      <c r="AH802" s="1466">
        <f>IFERROR(ABS((AH799-AH800)/AH800),"")</f>
        <v/>
      </c>
      <c r="AI802" s="1466">
        <f>IFERROR(ABS((AI799-AI800)/AI800),"")</f>
        <v/>
      </c>
      <c r="AJ802" s="1463">
        <f>IFERROR(ABS((AJ799-AJ800)/AJ800),"")</f>
        <v/>
      </c>
      <c r="AK802" s="1466">
        <f>IFERROR(ABS((AK799-AK800)/AK800),"")</f>
        <v/>
      </c>
      <c r="AL802" s="1466">
        <f>IFERROR(ABS((AL799-AL800)/AL800),"")</f>
        <v/>
      </c>
      <c r="AM802" s="1466">
        <f>IFERROR(ABS((AM799-AM800)/AM800),"")</f>
        <v/>
      </c>
      <c r="AN802" s="1466">
        <f>IFERROR(ABS((AN799-AN800)/AN800),"")</f>
        <v/>
      </c>
      <c r="AO802" s="1463">
        <f>IFERROR(ABS((AO799-AO800)/AO800),"")</f>
        <v/>
      </c>
      <c r="AP802" s="1466">
        <f>IFERROR(ABS((AP799-AP800)/AP800),"")</f>
        <v/>
      </c>
      <c r="AQ802" s="1466">
        <f>IFERROR(ABS((AQ799-AQ800)/AQ800),"")</f>
        <v/>
      </c>
      <c r="AR802" s="1466">
        <f>IFERROR(ABS((AR799-AR800)/AR800),"")</f>
        <v/>
      </c>
      <c r="AS802" s="1466">
        <f>IFERROR(ABS((AS799-AS800)/AS800),"")</f>
        <v/>
      </c>
      <c r="AT802" s="1463">
        <f>IFERROR(ABS((AT799-AT800)/AT800),"")</f>
        <v/>
      </c>
      <c r="AU802" s="1466">
        <f>IFERROR(ABS((AU799-AU800)/AU800),"")</f>
        <v/>
      </c>
      <c r="AV802" s="1466">
        <f>IFERROR(ABS((AV799-AV800)/AV800),"")</f>
        <v/>
      </c>
      <c r="AW802" s="1466">
        <f>IFERROR(ABS((AW799-AW800)/AW800),"")</f>
        <v/>
      </c>
      <c r="AX802" s="1466">
        <f>IFERROR(ABS((AX799-AX800)/AX800),"")</f>
        <v/>
      </c>
      <c r="AY802" s="1463">
        <f>IFERROR(ABS((AY799-AY800)/AY800),"")</f>
        <v/>
      </c>
      <c r="AZ802" s="1466">
        <f>IFERROR(ABS((AZ799-AZ800)/AZ800),"")</f>
        <v/>
      </c>
      <c r="BA802" s="1466">
        <f>IFERROR(ABS((BA799-BA800)/BA800),"")</f>
        <v/>
      </c>
      <c r="BB802" s="1466">
        <f>IFERROR(ABS((BB799-BB800)/BB800),"")</f>
        <v/>
      </c>
      <c r="BC802" s="1466">
        <f>IFERROR(ABS((BC799-BC800)/BC800),"")</f>
        <v/>
      </c>
      <c r="BD802" s="1463">
        <f>IFERROR(ABS((BD799-BD800)/BD800),"")</f>
        <v/>
      </c>
      <c r="BE802" s="1466">
        <f>IFERROR(ABS((BE799-BE800)/BE800),"")</f>
        <v/>
      </c>
      <c r="BF802" s="1466">
        <f>IFERROR(ABS((BF799-BF800)/BF800),"")</f>
        <v/>
      </c>
      <c r="BG802" s="1466">
        <f>IFERROR(ABS((BG799-BG800)/BG800),"")</f>
        <v/>
      </c>
      <c r="BH802" s="1466">
        <f>IFERROR(ABS((BH799-BH800)/BH800),"")</f>
        <v/>
      </c>
      <c r="BI802" s="1463">
        <f>IFERROR(ABS((BI799-BI800)/BI800),"")</f>
        <v/>
      </c>
      <c r="BJ802" s="1466">
        <f>IFERROR(ABS((BJ799-BJ800)/BJ800),"")</f>
        <v/>
      </c>
      <c r="BK802" s="1466">
        <f>IFERROR(ABS((BK799-BK800)/BK800),"")</f>
        <v/>
      </c>
      <c r="BL802" s="1466">
        <f>IFERROR(ABS((BL799-BL800)/BL800),"")</f>
        <v/>
      </c>
      <c r="BM802" s="1466">
        <f>IFERROR(ABS((BM799-BM800)/BM800),"")</f>
        <v/>
      </c>
      <c r="BN802" s="1463">
        <f>IFERROR(ABS((BN799-BN800)/BN800),"")</f>
        <v/>
      </c>
      <c r="BO802" s="1466">
        <f>IFERROR(ABS((BO799-BO800)/BO800),"")</f>
        <v/>
      </c>
      <c r="BP802" s="1466">
        <f>IFERROR(ABS((BP799-BP800)/BP800),"")</f>
        <v/>
      </c>
      <c r="BQ802" s="1491">
        <f>IFERROR(ABS((BQ799-BQ800)/BQ800),"")</f>
        <v/>
      </c>
      <c r="BR802" s="1466" t="n"/>
      <c r="BS802" s="1463" t="n"/>
      <c r="BT802" s="1466" t="n"/>
      <c r="BU802" s="1466" t="n"/>
      <c r="BV802" s="1466" t="n"/>
      <c r="BW802" s="1466" t="n"/>
      <c r="BX802" s="1463" t="n"/>
      <c r="BY802" s="1463" t="n"/>
      <c r="BZ802" s="1463" t="n"/>
      <c r="CA802" s="1463" t="n"/>
      <c r="CB802" s="1466" t="n"/>
    </row>
    <row r="803" hidden="1" outlineLevel="3" ht="15" customFormat="1" customHeight="1" s="1359">
      <c r="A803" s="1476" t="inlineStr">
        <is>
          <t>Forward quarterly guided Q/Q non-GAAP EBIT growth - low, %</t>
        </is>
      </c>
      <c r="B803" s="1590" t="n"/>
      <c r="C803" s="1382" t="n"/>
      <c r="D803" s="1382" t="n"/>
      <c r="E803" s="1382" t="n"/>
      <c r="F803" s="1382" t="n"/>
      <c r="G803" s="1384" t="n"/>
      <c r="H803" s="1384" t="n"/>
      <c r="I803" s="1384" t="n"/>
      <c r="J803" s="1384" t="n"/>
      <c r="K803" s="1382" t="n"/>
      <c r="L803" s="1384" t="n"/>
      <c r="M803" s="1384" t="n"/>
      <c r="N803" s="1384" t="n"/>
      <c r="O803" s="1384" t="n"/>
      <c r="P803" s="1382" t="n"/>
      <c r="Q803" s="1384" t="n"/>
      <c r="R803" s="1384" t="n"/>
      <c r="S803" s="1384" t="n"/>
      <c r="T803" s="1384" t="n"/>
      <c r="U803" s="1382" t="n"/>
      <c r="V803" s="1384" t="n"/>
      <c r="W803" s="1384" t="n"/>
      <c r="X803" s="1384" t="n"/>
      <c r="Y803" s="1384" t="n"/>
      <c r="Z803" s="1382" t="n"/>
      <c r="AA803" s="1384" t="n"/>
      <c r="AB803" s="1384" t="n"/>
      <c r="AC803" s="1384" t="n"/>
      <c r="AD803" s="1384" t="n"/>
      <c r="AE803" s="1382" t="n"/>
      <c r="AF803" s="1384" t="n"/>
      <c r="AG803" s="1384" t="n"/>
      <c r="AH803" s="1384" t="n"/>
      <c r="AI803" s="1384" t="n"/>
      <c r="AJ803" s="1382" t="n"/>
      <c r="AK803" s="1384" t="n"/>
      <c r="AL803" s="1384">
        <f>AL798/AL777-1</f>
        <v/>
      </c>
      <c r="AM803" s="1384">
        <f>AM798/AM777-1</f>
        <v/>
      </c>
      <c r="AN803" s="1384">
        <f>AN798/AN777-1</f>
        <v/>
      </c>
      <c r="AO803" s="1382">
        <f>AO798/AN777-1</f>
        <v/>
      </c>
      <c r="AP803" s="1384">
        <f>AP798/AP777-1</f>
        <v/>
      </c>
      <c r="AQ803" s="1384">
        <f>AQ798/AQ777-1</f>
        <v/>
      </c>
      <c r="AR803" s="1384">
        <f>AR798/AR777-1</f>
        <v/>
      </c>
      <c r="AS803" s="1384">
        <f>AS798/AS777-1</f>
        <v/>
      </c>
      <c r="AT803" s="1382">
        <f>AT798/AS777-1</f>
        <v/>
      </c>
      <c r="AU803" s="1384">
        <f>AU798/AU777-1</f>
        <v/>
      </c>
      <c r="AV803" s="1384">
        <f>AV798/AV777-1</f>
        <v/>
      </c>
      <c r="AW803" s="1384">
        <f>AW798/AW777-1</f>
        <v/>
      </c>
      <c r="AX803" s="1384">
        <f>AX798/AX777-1</f>
        <v/>
      </c>
      <c r="AY803" s="1382">
        <f>AY798/AX777-1</f>
        <v/>
      </c>
      <c r="AZ803" s="1384">
        <f>AZ798/AZ777-1</f>
        <v/>
      </c>
      <c r="BA803" s="1384">
        <f>BA798/BA777-1</f>
        <v/>
      </c>
      <c r="BB803" s="1384">
        <f>BB798/BB777-1</f>
        <v/>
      </c>
      <c r="BC803" s="1384">
        <f>BC798/BC777-1</f>
        <v/>
      </c>
      <c r="BD803" s="1382">
        <f>BD798/BC777-1</f>
        <v/>
      </c>
      <c r="BE803" s="1384">
        <f>BE798/BE777-1</f>
        <v/>
      </c>
      <c r="BF803" s="1384">
        <f>BF798/BF777-1</f>
        <v/>
      </c>
      <c r="BG803" s="1384">
        <f>BG798/BG777-1</f>
        <v/>
      </c>
      <c r="BH803" s="1384">
        <f>BH798/BH777-1</f>
        <v/>
      </c>
      <c r="BI803" s="1382">
        <f>BI798/BH777-1</f>
        <v/>
      </c>
      <c r="BJ803" s="1384">
        <f>BJ798/BJ777-1</f>
        <v/>
      </c>
      <c r="BK803" s="1384">
        <f>BK798/BK777-1</f>
        <v/>
      </c>
      <c r="BL803" s="1384">
        <f>BL798/BL777-1</f>
        <v/>
      </c>
      <c r="BM803" s="1384">
        <f>BM798/BM777-1</f>
        <v/>
      </c>
      <c r="BN803" s="1382">
        <f>BN798/BM777-1</f>
        <v/>
      </c>
      <c r="BO803" s="1384">
        <f>BO798/BO777-1</f>
        <v/>
      </c>
      <c r="BP803" s="1384">
        <f>BP798/BP777-1</f>
        <v/>
      </c>
      <c r="BQ803" s="1386">
        <f>BQ798/BQ777-1</f>
        <v/>
      </c>
      <c r="BR803" s="1384" t="n"/>
      <c r="BS803" s="1382" t="n"/>
      <c r="BT803" s="1384" t="n"/>
      <c r="BU803" s="1384" t="n"/>
      <c r="BV803" s="1384" t="n"/>
      <c r="BW803" s="1384" t="n"/>
      <c r="BX803" s="1382" t="n"/>
      <c r="BY803" s="1382" t="n"/>
      <c r="BZ803" s="1382" t="n"/>
      <c r="CA803" s="1382" t="n"/>
      <c r="CB803" s="1384" t="n"/>
    </row>
    <row r="804" hidden="1" outlineLevel="3" ht="15" customFormat="1" customHeight="1" s="1359">
      <c r="A804" s="1790" t="inlineStr">
        <is>
          <t>Forward quarterly guided Q/Q non-GAAP EBIT growth - high, %</t>
        </is>
      </c>
      <c r="B804" s="1774" t="n"/>
      <c r="C804" s="1775" t="n"/>
      <c r="D804" s="1775" t="n"/>
      <c r="E804" s="1775" t="n"/>
      <c r="F804" s="1775" t="n"/>
      <c r="G804" s="1776" t="n"/>
      <c r="H804" s="1776" t="n"/>
      <c r="I804" s="1776" t="n"/>
      <c r="J804" s="1776" t="n"/>
      <c r="K804" s="1775" t="n"/>
      <c r="L804" s="1776" t="n"/>
      <c r="M804" s="1776" t="n"/>
      <c r="N804" s="1776" t="n"/>
      <c r="O804" s="1776" t="n"/>
      <c r="P804" s="1775" t="n"/>
      <c r="Q804" s="1776" t="n"/>
      <c r="R804" s="1776" t="n"/>
      <c r="S804" s="1776" t="n"/>
      <c r="T804" s="1776" t="n"/>
      <c r="U804" s="1775" t="n"/>
      <c r="V804" s="1776" t="n"/>
      <c r="W804" s="1776" t="n"/>
      <c r="X804" s="1776" t="n"/>
      <c r="Y804" s="1776" t="n"/>
      <c r="Z804" s="1775" t="n"/>
      <c r="AA804" s="1776" t="n"/>
      <c r="AB804" s="1776" t="n"/>
      <c r="AC804" s="1776" t="n"/>
      <c r="AD804" s="1776" t="n"/>
      <c r="AE804" s="1775" t="n"/>
      <c r="AF804" s="1776" t="n"/>
      <c r="AG804" s="1776" t="n"/>
      <c r="AH804" s="1776" t="n"/>
      <c r="AI804" s="1776" t="n"/>
      <c r="AJ804" s="1775" t="n"/>
      <c r="AK804" s="1776" t="n"/>
      <c r="AL804" s="1776">
        <f>AL799/AL777-1</f>
        <v/>
      </c>
      <c r="AM804" s="1776">
        <f>AM799/AM777-1</f>
        <v/>
      </c>
      <c r="AN804" s="1776">
        <f>AN799/AN777-1</f>
        <v/>
      </c>
      <c r="AO804" s="1775">
        <f>AO799/AN777-1</f>
        <v/>
      </c>
      <c r="AP804" s="1776">
        <f>AP799/AP777-1</f>
        <v/>
      </c>
      <c r="AQ804" s="1776">
        <f>AQ799/AQ777-1</f>
        <v/>
      </c>
      <c r="AR804" s="1776">
        <f>AR799/AR777-1</f>
        <v/>
      </c>
      <c r="AS804" s="1776">
        <f>AS799/AS777-1</f>
        <v/>
      </c>
      <c r="AT804" s="1775">
        <f>AT799/AS777-1</f>
        <v/>
      </c>
      <c r="AU804" s="1776">
        <f>AU799/AU777-1</f>
        <v/>
      </c>
      <c r="AV804" s="1776">
        <f>AV799/AV777-1</f>
        <v/>
      </c>
      <c r="AW804" s="1776">
        <f>AW799/AW777-1</f>
        <v/>
      </c>
      <c r="AX804" s="1776">
        <f>AX799/AX777-1</f>
        <v/>
      </c>
      <c r="AY804" s="1775">
        <f>AY799/AX777-1</f>
        <v/>
      </c>
      <c r="AZ804" s="1776">
        <f>AZ799/AZ777-1</f>
        <v/>
      </c>
      <c r="BA804" s="1776">
        <f>BA799/BA777-1</f>
        <v/>
      </c>
      <c r="BB804" s="1776">
        <f>BB799/BB777-1</f>
        <v/>
      </c>
      <c r="BC804" s="1776">
        <f>BC799/BC777-1</f>
        <v/>
      </c>
      <c r="BD804" s="1775">
        <f>BD799/BC777-1</f>
        <v/>
      </c>
      <c r="BE804" s="1776">
        <f>BE799/BE777-1</f>
        <v/>
      </c>
      <c r="BF804" s="1776">
        <f>BF799/BF777-1</f>
        <v/>
      </c>
      <c r="BG804" s="1776">
        <f>BG799/BG777-1</f>
        <v/>
      </c>
      <c r="BH804" s="1776">
        <f>BH799/BH777-1</f>
        <v/>
      </c>
      <c r="BI804" s="1775">
        <f>BI799/BH777-1</f>
        <v/>
      </c>
      <c r="BJ804" s="1776">
        <f>BJ799/BJ777-1</f>
        <v/>
      </c>
      <c r="BK804" s="1776">
        <f>BK799/BK777-1</f>
        <v/>
      </c>
      <c r="BL804" s="1776">
        <f>BL799/BL777-1</f>
        <v/>
      </c>
      <c r="BM804" s="1776">
        <f>BM799/BM777-1</f>
        <v/>
      </c>
      <c r="BN804" s="1775">
        <f>BN799/BM777-1</f>
        <v/>
      </c>
      <c r="BO804" s="1776">
        <f>BO799/BO777-1</f>
        <v/>
      </c>
      <c r="BP804" s="1776">
        <f>BP799/BP777-1</f>
        <v/>
      </c>
      <c r="BQ804" s="1777">
        <f>BQ799/BQ777-1</f>
        <v/>
      </c>
      <c r="BR804" s="1776" t="n"/>
      <c r="BS804" s="1775" t="n"/>
      <c r="BT804" s="1776" t="n"/>
      <c r="BU804" s="1776" t="n"/>
      <c r="BV804" s="1776" t="n"/>
      <c r="BW804" s="1776" t="n"/>
      <c r="BX804" s="1775" t="n"/>
      <c r="BY804" s="1775" t="n"/>
      <c r="BZ804" s="1775" t="n"/>
      <c r="CA804" s="1775" t="n"/>
      <c r="CB804" s="1384" t="n"/>
    </row>
    <row r="805" hidden="1" outlineLevel="2" collapsed="1" ht="15" customFormat="1" customHeight="1" s="1359">
      <c r="A805" s="1501" t="inlineStr">
        <is>
          <t>Forward quarterly guided Q/Q non-GAAP EBIT growth - midpoint, %</t>
        </is>
      </c>
      <c r="B805" s="1590" t="n"/>
      <c r="C805" s="1382" t="n"/>
      <c r="D805" s="1382" t="n"/>
      <c r="E805" s="1382" t="n"/>
      <c r="F805" s="1382" t="n"/>
      <c r="G805" s="1384" t="n"/>
      <c r="H805" s="1384" t="n"/>
      <c r="I805" s="1384" t="n"/>
      <c r="J805" s="1384" t="n"/>
      <c r="K805" s="1382" t="n"/>
      <c r="L805" s="1384" t="n"/>
      <c r="M805" s="1384" t="n"/>
      <c r="N805" s="1384" t="n"/>
      <c r="O805" s="1384" t="n"/>
      <c r="P805" s="1382" t="n"/>
      <c r="Q805" s="1384" t="n"/>
      <c r="R805" s="1384" t="n"/>
      <c r="S805" s="1384" t="n"/>
      <c r="T805" s="1384" t="n"/>
      <c r="U805" s="1382" t="n"/>
      <c r="V805" s="1384" t="n"/>
      <c r="W805" s="1384" t="n"/>
      <c r="X805" s="1384" t="n"/>
      <c r="Y805" s="1384" t="n"/>
      <c r="Z805" s="1382" t="n"/>
      <c r="AA805" s="1384" t="n"/>
      <c r="AB805" s="1384" t="n"/>
      <c r="AC805" s="1384" t="n"/>
      <c r="AD805" s="1384" t="n"/>
      <c r="AE805" s="1382" t="n"/>
      <c r="AF805" s="1384" t="n"/>
      <c r="AG805" s="1384" t="n"/>
      <c r="AH805" s="1384" t="n"/>
      <c r="AI805" s="1384" t="n"/>
      <c r="AJ805" s="1382" t="n"/>
      <c r="AK805" s="1384" t="n"/>
      <c r="AL805" s="1384">
        <f>AL800/AL777-1</f>
        <v/>
      </c>
      <c r="AM805" s="1384">
        <f>AM800/AM777-1</f>
        <v/>
      </c>
      <c r="AN805" s="1384">
        <f>AN800/AN777-1</f>
        <v/>
      </c>
      <c r="AO805" s="1382">
        <f>AO800/AN777-1</f>
        <v/>
      </c>
      <c r="AP805" s="1384">
        <f>AP800/AP777-1</f>
        <v/>
      </c>
      <c r="AQ805" s="1384">
        <f>AQ800/AQ777-1</f>
        <v/>
      </c>
      <c r="AR805" s="1384">
        <f>AR800/AR777-1</f>
        <v/>
      </c>
      <c r="AS805" s="1384">
        <f>AS800/AS777-1</f>
        <v/>
      </c>
      <c r="AT805" s="1382">
        <f>AT800/AS777-1</f>
        <v/>
      </c>
      <c r="AU805" s="1384">
        <f>AU800/AU777-1</f>
        <v/>
      </c>
      <c r="AV805" s="1384">
        <f>AV800/AV777-1</f>
        <v/>
      </c>
      <c r="AW805" s="1384">
        <f>AW800/AW777-1</f>
        <v/>
      </c>
      <c r="AX805" s="1384">
        <f>AX800/AX777-1</f>
        <v/>
      </c>
      <c r="AY805" s="1382">
        <f>AY800/AX777-1</f>
        <v/>
      </c>
      <c r="AZ805" s="1384">
        <f>AZ800/AZ777-1</f>
        <v/>
      </c>
      <c r="BA805" s="1384">
        <f>BA800/BA777-1</f>
        <v/>
      </c>
      <c r="BB805" s="1384">
        <f>BB800/BB777-1</f>
        <v/>
      </c>
      <c r="BC805" s="1384">
        <f>BC800/BC777-1</f>
        <v/>
      </c>
      <c r="BD805" s="1382">
        <f>BD800/BC777-1</f>
        <v/>
      </c>
      <c r="BE805" s="1384">
        <f>BE800/BE777-1</f>
        <v/>
      </c>
      <c r="BF805" s="1384">
        <f>BF800/BF777-1</f>
        <v/>
      </c>
      <c r="BG805" s="1384">
        <f>BG800/BG777-1</f>
        <v/>
      </c>
      <c r="BH805" s="1384">
        <f>BH800/BH777-1</f>
        <v/>
      </c>
      <c r="BI805" s="1382">
        <f>BI800/BH777-1</f>
        <v/>
      </c>
      <c r="BJ805" s="1384">
        <f>BJ800/BJ777-1</f>
        <v/>
      </c>
      <c r="BK805" s="1384">
        <f>BK800/BK777-1</f>
        <v/>
      </c>
      <c r="BL805" s="1384">
        <f>BL800/BL777-1</f>
        <v/>
      </c>
      <c r="BM805" s="1384">
        <f>BM800/BM777-1</f>
        <v/>
      </c>
      <c r="BN805" s="1382">
        <f>BN800/BM777-1</f>
        <v/>
      </c>
      <c r="BO805" s="1384">
        <f>BO800/BO777-1</f>
        <v/>
      </c>
      <c r="BP805" s="1384">
        <f>BP800/BP777-1</f>
        <v/>
      </c>
      <c r="BQ805" s="1386">
        <f>BQ800/BQ777-1</f>
        <v/>
      </c>
      <c r="BR805" s="1384" t="n"/>
      <c r="BS805" s="1382" t="n"/>
      <c r="BT805" s="1384" t="n"/>
      <c r="BU805" s="1384" t="n"/>
      <c r="BV805" s="1384" t="n"/>
      <c r="BW805" s="1384" t="n"/>
      <c r="BX805" s="1382" t="n"/>
      <c r="BY805" s="1382" t="n"/>
      <c r="BZ805" s="1382" t="n"/>
      <c r="CA805" s="1382" t="n"/>
      <c r="CB805" s="1384" t="n"/>
    </row>
    <row r="806" hidden="1" outlineLevel="3" ht="15" customFormat="1" customHeight="1" s="1359">
      <c r="A806" s="1476" t="inlineStr">
        <is>
          <t>Forward quarterly guided Y/Y non-GAAP EBIT growth - low, %</t>
        </is>
      </c>
      <c r="B806" s="1590" t="n"/>
      <c r="C806" s="1382" t="n"/>
      <c r="D806" s="1382" t="n"/>
      <c r="E806" s="1382" t="n"/>
      <c r="F806" s="1382" t="n"/>
      <c r="G806" s="1384" t="n"/>
      <c r="H806" s="1384" t="n"/>
      <c r="I806" s="1384" t="n"/>
      <c r="J806" s="1384" t="n"/>
      <c r="K806" s="1382" t="n"/>
      <c r="L806" s="1384" t="n"/>
      <c r="M806" s="1384" t="n"/>
      <c r="N806" s="1384" t="n"/>
      <c r="O806" s="1384" t="n"/>
      <c r="P806" s="1382" t="n"/>
      <c r="Q806" s="1384" t="n"/>
      <c r="R806" s="1384" t="n"/>
      <c r="S806" s="1384" t="n"/>
      <c r="T806" s="1384" t="n"/>
      <c r="U806" s="1382" t="n"/>
      <c r="V806" s="1384" t="n"/>
      <c r="W806" s="1384" t="n"/>
      <c r="X806" s="1384" t="n"/>
      <c r="Y806" s="1384" t="n"/>
      <c r="Z806" s="1382" t="n"/>
      <c r="AA806" s="1384" t="n"/>
      <c r="AB806" s="1384" t="n"/>
      <c r="AC806" s="1384" t="n"/>
      <c r="AD806" s="1384" t="n"/>
      <c r="AE806" s="1382" t="n"/>
      <c r="AF806" s="1384" t="n"/>
      <c r="AG806" s="1384" t="n"/>
      <c r="AH806" s="1384" t="n"/>
      <c r="AI806" s="1384" t="n"/>
      <c r="AJ806" s="1382" t="n"/>
      <c r="AK806" s="1384" t="n"/>
      <c r="AL806" s="1384">
        <f>AL798/AH777-1</f>
        <v/>
      </c>
      <c r="AM806" s="1384">
        <f>AM798/AI777-1</f>
        <v/>
      </c>
      <c r="AN806" s="1384">
        <f>AN798/AK777-1</f>
        <v/>
      </c>
      <c r="AO806" s="1382">
        <f>AN806</f>
        <v/>
      </c>
      <c r="AP806" s="1384">
        <f>AP798/AL777-1</f>
        <v/>
      </c>
      <c r="AQ806" s="1384">
        <f>AQ798/AM777-1</f>
        <v/>
      </c>
      <c r="AR806" s="1384">
        <f>AR798/AN777-1</f>
        <v/>
      </c>
      <c r="AS806" s="1384">
        <f>AS798/AP777-1</f>
        <v/>
      </c>
      <c r="AT806" s="1382">
        <f>AS806</f>
        <v/>
      </c>
      <c r="AU806" s="1384">
        <f>AU798/AQ777-1</f>
        <v/>
      </c>
      <c r="AV806" s="1384">
        <f>AV798/AR777-1</f>
        <v/>
      </c>
      <c r="AW806" s="1384">
        <f>AW798/AS777-1</f>
        <v/>
      </c>
      <c r="AX806" s="1384">
        <f>AX798/AU777-1</f>
        <v/>
      </c>
      <c r="AY806" s="1382">
        <f>AX806</f>
        <v/>
      </c>
      <c r="AZ806" s="1384">
        <f>AZ798/AV777-1</f>
        <v/>
      </c>
      <c r="BA806" s="1384">
        <f>BA798/AW777-1</f>
        <v/>
      </c>
      <c r="BB806" s="1384">
        <f>BB798/AX777-1</f>
        <v/>
      </c>
      <c r="BC806" s="1384">
        <f>BC798/AZ777-1</f>
        <v/>
      </c>
      <c r="BD806" s="1382">
        <f>BC806</f>
        <v/>
      </c>
      <c r="BE806" s="1384">
        <f>BE798/BA777-1</f>
        <v/>
      </c>
      <c r="BF806" s="1384">
        <f>BF798/BB777-1</f>
        <v/>
      </c>
      <c r="BG806" s="1384">
        <f>BG798/BC777-1</f>
        <v/>
      </c>
      <c r="BH806" s="1384">
        <f>BH798/BE777-1</f>
        <v/>
      </c>
      <c r="BI806" s="1382">
        <f>BH806</f>
        <v/>
      </c>
      <c r="BJ806" s="1384">
        <f>BJ798/BF777-1</f>
        <v/>
      </c>
      <c r="BK806" s="1384">
        <f>BK798/BG777-1</f>
        <v/>
      </c>
      <c r="BL806" s="1384">
        <f>BL798/BH777-1</f>
        <v/>
      </c>
      <c r="BM806" s="1384">
        <f>BM798/BJ777-1</f>
        <v/>
      </c>
      <c r="BN806" s="1382">
        <f>BM806</f>
        <v/>
      </c>
      <c r="BO806" s="1384">
        <f>BO798/BK777-1</f>
        <v/>
      </c>
      <c r="BP806" s="1384">
        <f>BP798/BL777-1</f>
        <v/>
      </c>
      <c r="BQ806" s="1386">
        <f>BQ798/BM777-1</f>
        <v/>
      </c>
      <c r="BR806" s="1384" t="n"/>
      <c r="BS806" s="1382" t="n"/>
      <c r="BT806" s="1384" t="n"/>
      <c r="BU806" s="1384" t="n"/>
      <c r="BV806" s="1384" t="n"/>
      <c r="BW806" s="1384" t="n"/>
      <c r="BX806" s="1382" t="n"/>
      <c r="BY806" s="1382" t="n"/>
      <c r="BZ806" s="1382" t="n"/>
      <c r="CA806" s="1382" t="n"/>
      <c r="CB806" s="1384" t="n"/>
    </row>
    <row r="807" hidden="1" outlineLevel="3" ht="15" customFormat="1" customHeight="1" s="1359">
      <c r="A807" s="1790" t="inlineStr">
        <is>
          <t>Forward quarterly guided Y/Y non-GAAP EBIT growth - high, %</t>
        </is>
      </c>
      <c r="B807" s="1774" t="n"/>
      <c r="C807" s="1775" t="n"/>
      <c r="D807" s="1775" t="n"/>
      <c r="E807" s="1775" t="n"/>
      <c r="F807" s="1775" t="n"/>
      <c r="G807" s="1776" t="n"/>
      <c r="H807" s="1776" t="n"/>
      <c r="I807" s="1776" t="n"/>
      <c r="J807" s="1776" t="n"/>
      <c r="K807" s="1775" t="n"/>
      <c r="L807" s="1776" t="n"/>
      <c r="M807" s="1776" t="n"/>
      <c r="N807" s="1776" t="n"/>
      <c r="O807" s="1776" t="n"/>
      <c r="P807" s="1775" t="n"/>
      <c r="Q807" s="1776" t="n"/>
      <c r="R807" s="1776" t="n"/>
      <c r="S807" s="1776" t="n"/>
      <c r="T807" s="1776" t="n"/>
      <c r="U807" s="1775" t="n"/>
      <c r="V807" s="1776" t="n"/>
      <c r="W807" s="1776" t="n"/>
      <c r="X807" s="1776" t="n"/>
      <c r="Y807" s="1776" t="n"/>
      <c r="Z807" s="1775" t="n"/>
      <c r="AA807" s="1776" t="n"/>
      <c r="AB807" s="1776" t="n"/>
      <c r="AC807" s="1776" t="n"/>
      <c r="AD807" s="1776" t="n"/>
      <c r="AE807" s="1775" t="n"/>
      <c r="AF807" s="1776" t="n"/>
      <c r="AG807" s="1776" t="n"/>
      <c r="AH807" s="1776" t="n"/>
      <c r="AI807" s="1776" t="n"/>
      <c r="AJ807" s="1775" t="n"/>
      <c r="AK807" s="1776" t="n"/>
      <c r="AL807" s="1776">
        <f>AL799/AH777-1</f>
        <v/>
      </c>
      <c r="AM807" s="1776">
        <f>AM799/AI777-1</f>
        <v/>
      </c>
      <c r="AN807" s="1776">
        <f>AN799/AK777-1</f>
        <v/>
      </c>
      <c r="AO807" s="1775">
        <f>AN807</f>
        <v/>
      </c>
      <c r="AP807" s="1776">
        <f>AP799/AL777-1</f>
        <v/>
      </c>
      <c r="AQ807" s="1776">
        <f>AQ799/AM777-1</f>
        <v/>
      </c>
      <c r="AR807" s="1776">
        <f>AR799/AN777-1</f>
        <v/>
      </c>
      <c r="AS807" s="1776">
        <f>AS799/AP777-1</f>
        <v/>
      </c>
      <c r="AT807" s="1775">
        <f>AS807</f>
        <v/>
      </c>
      <c r="AU807" s="1776">
        <f>AU799/AQ777-1</f>
        <v/>
      </c>
      <c r="AV807" s="1776">
        <f>AV799/AR777-1</f>
        <v/>
      </c>
      <c r="AW807" s="1776">
        <f>AW799/AS777-1</f>
        <v/>
      </c>
      <c r="AX807" s="1776">
        <f>AX799/AU777-1</f>
        <v/>
      </c>
      <c r="AY807" s="1775">
        <f>AX807</f>
        <v/>
      </c>
      <c r="AZ807" s="1776">
        <f>AZ799/AV777-1</f>
        <v/>
      </c>
      <c r="BA807" s="1776">
        <f>BA799/AW777-1</f>
        <v/>
      </c>
      <c r="BB807" s="1776">
        <f>BB799/AX777-1</f>
        <v/>
      </c>
      <c r="BC807" s="1776">
        <f>BC799/AZ777-1</f>
        <v/>
      </c>
      <c r="BD807" s="1775">
        <f>BC807</f>
        <v/>
      </c>
      <c r="BE807" s="1776">
        <f>BE799/BA777-1</f>
        <v/>
      </c>
      <c r="BF807" s="1776">
        <f>BF799/BB777-1</f>
        <v/>
      </c>
      <c r="BG807" s="1776">
        <f>BG799/BC777-1</f>
        <v/>
      </c>
      <c r="BH807" s="1776">
        <f>BH799/BE777-1</f>
        <v/>
      </c>
      <c r="BI807" s="1775">
        <f>BH807</f>
        <v/>
      </c>
      <c r="BJ807" s="1776">
        <f>BJ799/BF777-1</f>
        <v/>
      </c>
      <c r="BK807" s="1776">
        <f>BK799/BG777-1</f>
        <v/>
      </c>
      <c r="BL807" s="1776">
        <f>BL799/BH777-1</f>
        <v/>
      </c>
      <c r="BM807" s="1776">
        <f>BM799/BJ777-1</f>
        <v/>
      </c>
      <c r="BN807" s="1775">
        <f>BM807</f>
        <v/>
      </c>
      <c r="BO807" s="1776">
        <f>BO799/BK777-1</f>
        <v/>
      </c>
      <c r="BP807" s="1776">
        <f>BP799/BL777-1</f>
        <v/>
      </c>
      <c r="BQ807" s="1777">
        <f>BQ799/BM777-1</f>
        <v/>
      </c>
      <c r="BR807" s="1776" t="n"/>
      <c r="BS807" s="1775" t="n"/>
      <c r="BT807" s="1776" t="n"/>
      <c r="BU807" s="1776" t="n"/>
      <c r="BV807" s="1776" t="n"/>
      <c r="BW807" s="1776" t="n"/>
      <c r="BX807" s="1775" t="n"/>
      <c r="BY807" s="1775" t="n"/>
      <c r="BZ807" s="1775" t="n"/>
      <c r="CA807" s="1775" t="n"/>
      <c r="CB807" s="1384" t="n"/>
    </row>
    <row r="808" hidden="1" outlineLevel="2" collapsed="1" ht="15" customFormat="1" customHeight="1" s="1359">
      <c r="A808" s="1501" t="inlineStr">
        <is>
          <t>Forward quarterly guided Y/Y non-GAAP EBIT growth - midpoint, %</t>
        </is>
      </c>
      <c r="B808" s="1590" t="n"/>
      <c r="C808" s="1382" t="n"/>
      <c r="D808" s="1382" t="n"/>
      <c r="E808" s="1382" t="n"/>
      <c r="F808" s="1382" t="n"/>
      <c r="G808" s="1384" t="n"/>
      <c r="H808" s="1384" t="n"/>
      <c r="I808" s="1384" t="n"/>
      <c r="J808" s="1384" t="n"/>
      <c r="K808" s="1382" t="n"/>
      <c r="L808" s="1384" t="n"/>
      <c r="M808" s="1384" t="n"/>
      <c r="N808" s="1384" t="n"/>
      <c r="O808" s="1384" t="n"/>
      <c r="P808" s="1382" t="n"/>
      <c r="Q808" s="1384" t="n"/>
      <c r="R808" s="1384" t="n"/>
      <c r="S808" s="1384" t="n"/>
      <c r="T808" s="1384" t="n"/>
      <c r="U808" s="1382" t="n"/>
      <c r="V808" s="1384" t="n"/>
      <c r="W808" s="1384" t="n"/>
      <c r="X808" s="1384" t="n"/>
      <c r="Y808" s="1384" t="n"/>
      <c r="Z808" s="1382" t="n"/>
      <c r="AA808" s="1384" t="n"/>
      <c r="AB808" s="1384" t="n"/>
      <c r="AC808" s="1384" t="n"/>
      <c r="AD808" s="1384" t="n"/>
      <c r="AE808" s="1382" t="n"/>
      <c r="AF808" s="1384" t="n"/>
      <c r="AG808" s="1384" t="n"/>
      <c r="AH808" s="1384" t="n"/>
      <c r="AI808" s="1384" t="n"/>
      <c r="AJ808" s="1382" t="n"/>
      <c r="AK808" s="1384" t="n"/>
      <c r="AL808" s="1384">
        <f>AL800/AH777-1</f>
        <v/>
      </c>
      <c r="AM808" s="1384">
        <f>AM800/AI777-1</f>
        <v/>
      </c>
      <c r="AN808" s="1384">
        <f>AN800/AK777-1</f>
        <v/>
      </c>
      <c r="AO808" s="1382">
        <f>AO800/AK777-1</f>
        <v/>
      </c>
      <c r="AP808" s="1384">
        <f>AP800/AL777-1</f>
        <v/>
      </c>
      <c r="AQ808" s="1384">
        <f>AQ800/AM777-1</f>
        <v/>
      </c>
      <c r="AR808" s="1384">
        <f>AR800/AN777-1</f>
        <v/>
      </c>
      <c r="AS808" s="1384">
        <f>AS800/AP777-1</f>
        <v/>
      </c>
      <c r="AT808" s="1382">
        <f>AT800/AP777-1</f>
        <v/>
      </c>
      <c r="AU808" s="1384">
        <f>AU800/AQ777-1</f>
        <v/>
      </c>
      <c r="AV808" s="1384">
        <f>AV800/AR777-1</f>
        <v/>
      </c>
      <c r="AW808" s="1384">
        <f>AW800/AS777-1</f>
        <v/>
      </c>
      <c r="AX808" s="1384">
        <f>AX800/AU777-1</f>
        <v/>
      </c>
      <c r="AY808" s="1382">
        <f>AY800/AU777-1</f>
        <v/>
      </c>
      <c r="AZ808" s="1384">
        <f>AZ800/AV777-1</f>
        <v/>
      </c>
      <c r="BA808" s="1384">
        <f>BA800/AW777-1</f>
        <v/>
      </c>
      <c r="BB808" s="1384">
        <f>BB800/AX777-1</f>
        <v/>
      </c>
      <c r="BC808" s="1384">
        <f>BC800/AZ777-1</f>
        <v/>
      </c>
      <c r="BD808" s="1382">
        <f>BD800/AZ777-1</f>
        <v/>
      </c>
      <c r="BE808" s="1384">
        <f>BE800/BA777-1</f>
        <v/>
      </c>
      <c r="BF808" s="1384">
        <f>BF800/BB777-1</f>
        <v/>
      </c>
      <c r="BG808" s="1384">
        <f>BG800/BC777-1</f>
        <v/>
      </c>
      <c r="BH808" s="1384">
        <f>BH800/BE777-1</f>
        <v/>
      </c>
      <c r="BI808" s="1382">
        <f>BI800/BE777-1</f>
        <v/>
      </c>
      <c r="BJ808" s="1384">
        <f>BJ800/BF777-1</f>
        <v/>
      </c>
      <c r="BK808" s="1384">
        <f>BK800/BG777-1</f>
        <v/>
      </c>
      <c r="BL808" s="1384">
        <f>BL800/BH777-1</f>
        <v/>
      </c>
      <c r="BM808" s="1384">
        <f>BM800/BJ777-1</f>
        <v/>
      </c>
      <c r="BN808" s="1382">
        <f>BN800/BJ777-1</f>
        <v/>
      </c>
      <c r="BO808" s="1384">
        <f>BO800/BK777-1</f>
        <v/>
      </c>
      <c r="BP808" s="1384">
        <f>BP800/BL777-1</f>
        <v/>
      </c>
      <c r="BQ808" s="1386">
        <f>BQ800/BM777-1</f>
        <v/>
      </c>
      <c r="BR808" s="1384" t="n"/>
      <c r="BS808" s="1382" t="n"/>
      <c r="BT808" s="1384" t="n"/>
      <c r="BU808" s="1384" t="n"/>
      <c r="BV808" s="1384" t="n"/>
      <c r="BW808" s="1384" t="n"/>
      <c r="BX808" s="1382" t="n"/>
      <c r="BY808" s="1382" t="n"/>
      <c r="BZ808" s="1382" t="n"/>
      <c r="CA808" s="1382" t="n"/>
      <c r="CB808" s="1384" t="n"/>
    </row>
    <row r="809" hidden="1" outlineLevel="2" ht="15" customFormat="1" customHeight="1" s="1359">
      <c r="A809" s="545" t="n"/>
      <c r="B809" s="1512" t="n"/>
      <c r="C809" s="1379" t="n"/>
      <c r="D809" s="1379" t="n"/>
      <c r="E809" s="1379" t="n"/>
      <c r="F809" s="1379" t="n"/>
      <c r="G809" s="1361" t="n"/>
      <c r="H809" s="1361" t="n"/>
      <c r="I809" s="1361" t="n"/>
      <c r="J809" s="1361" t="n"/>
      <c r="K809" s="1379" t="n"/>
      <c r="L809" s="1361" t="n"/>
      <c r="M809" s="1361" t="n"/>
      <c r="N809" s="1361" t="n"/>
      <c r="O809" s="1361" t="n"/>
      <c r="P809" s="1379" t="n"/>
      <c r="Q809" s="1361" t="n"/>
      <c r="R809" s="1361" t="n"/>
      <c r="S809" s="1361" t="n"/>
      <c r="T809" s="1361" t="n"/>
      <c r="U809" s="1379" t="n"/>
      <c r="V809" s="1361" t="n"/>
      <c r="W809" s="1361" t="n"/>
      <c r="X809" s="1361" t="n"/>
      <c r="Y809" s="1361" t="n"/>
      <c r="Z809" s="1379" t="n"/>
      <c r="AA809" s="1361" t="n"/>
      <c r="AB809" s="1361" t="n"/>
      <c r="AC809" s="1361" t="n"/>
      <c r="AD809" s="1361" t="n"/>
      <c r="AE809" s="1379" t="n"/>
      <c r="AF809" s="1361" t="n"/>
      <c r="AG809" s="1361" t="n"/>
      <c r="AH809" s="1361" t="n"/>
      <c r="AI809" s="1361" t="n"/>
      <c r="AJ809" s="1379" t="n"/>
      <c r="AK809" s="1361" t="n"/>
      <c r="AL809" s="1361" t="n"/>
      <c r="AM809" s="1361" t="n"/>
      <c r="AN809" s="1361" t="n"/>
      <c r="AO809" s="1379" t="n"/>
      <c r="AP809" s="1361" t="n"/>
      <c r="AQ809" s="1361" t="n"/>
      <c r="AR809" s="1361" t="n"/>
      <c r="AS809" s="1361" t="n"/>
      <c r="AT809" s="1379" t="n"/>
      <c r="AU809" s="1361" t="n"/>
      <c r="AV809" s="1361" t="n"/>
      <c r="AW809" s="1361" t="n"/>
      <c r="AX809" s="1361" t="n"/>
      <c r="AY809" s="1379" t="n"/>
      <c r="AZ809" s="1361" t="n"/>
      <c r="BA809" s="1361" t="n"/>
      <c r="BB809" s="1361" t="n"/>
      <c r="BC809" s="1361" t="n"/>
      <c r="BD809" s="1379" t="n"/>
      <c r="BE809" s="1361" t="n"/>
      <c r="BF809" s="1361" t="n"/>
      <c r="BG809" s="1361" t="n"/>
      <c r="BH809" s="1361" t="n"/>
      <c r="BI809" s="1379" t="n"/>
      <c r="BJ809" s="1361" t="n"/>
      <c r="BK809" s="1361" t="n"/>
      <c r="BL809" s="1361" t="n"/>
      <c r="BM809" s="1361" t="n"/>
      <c r="BN809" s="1379" t="n"/>
      <c r="BO809" s="1361" t="n"/>
      <c r="BP809" s="1361" t="n"/>
      <c r="BQ809" s="1363" t="n"/>
      <c r="BR809" s="1361" t="n"/>
      <c r="BS809" s="1379" t="n"/>
      <c r="BT809" s="1361" t="n"/>
      <c r="BU809" s="1361" t="n"/>
      <c r="BV809" s="1361" t="n"/>
      <c r="BW809" s="1361" t="n"/>
      <c r="BX809" s="1379" t="n"/>
      <c r="BY809" s="1379" t="n"/>
      <c r="BZ809" s="1379" t="n"/>
      <c r="CA809" s="1379" t="n"/>
      <c r="CB809" s="1361" t="n"/>
    </row>
    <row r="810" hidden="1" outlineLevel="3" ht="15" customFormat="1" customHeight="1" s="1359">
      <c r="A810" s="1486" t="inlineStr">
        <is>
          <t>Forward quarterly non-GAAP EBIT margin guidance - low, %</t>
        </is>
      </c>
      <c r="B810" s="1512" t="n"/>
      <c r="C810" s="1463" t="n"/>
      <c r="D810" s="1463" t="n"/>
      <c r="E810" s="1463" t="n"/>
      <c r="F810" s="1463" t="n"/>
      <c r="G810" s="1466" t="n"/>
      <c r="H810" s="1466" t="n"/>
      <c r="I810" s="1466" t="n"/>
      <c r="J810" s="1466" t="n"/>
      <c r="K810" s="1463" t="n"/>
      <c r="L810" s="1466" t="n"/>
      <c r="M810" s="1466" t="n"/>
      <c r="N810" s="1466" t="n"/>
      <c r="O810" s="1466" t="n"/>
      <c r="P810" s="1463" t="n"/>
      <c r="Q810" s="1466" t="n"/>
      <c r="R810" s="1466" t="n"/>
      <c r="S810" s="1466" t="n"/>
      <c r="T810" s="1466" t="n"/>
      <c r="U810" s="1463" t="n"/>
      <c r="V810" s="1466" t="n"/>
      <c r="W810" s="1466" t="n"/>
      <c r="X810" s="1466" t="n"/>
      <c r="Y810" s="1466" t="n"/>
      <c r="Z810" s="1463" t="n"/>
      <c r="AA810" s="1466" t="n"/>
      <c r="AB810" s="1466" t="n"/>
      <c r="AC810" s="1466">
        <f>AC1337</f>
        <v/>
      </c>
      <c r="AD810" s="1466">
        <f>AD1337</f>
        <v/>
      </c>
      <c r="AE810" s="1463">
        <f>AE1337</f>
        <v/>
      </c>
      <c r="AF810" s="1466">
        <f>AF1337</f>
        <v/>
      </c>
      <c r="AG810" s="1466">
        <f>AG1337</f>
        <v/>
      </c>
      <c r="AH810" s="1466">
        <f>AH1337</f>
        <v/>
      </c>
      <c r="AI810" s="1466">
        <f>AI1337</f>
        <v/>
      </c>
      <c r="AJ810" s="1463">
        <f>AJ1337</f>
        <v/>
      </c>
      <c r="AK810" s="1466">
        <f>AK1337</f>
        <v/>
      </c>
      <c r="AL810" s="1466">
        <f>AL1337</f>
        <v/>
      </c>
      <c r="AM810" s="1466">
        <f>AM1337</f>
        <v/>
      </c>
      <c r="AN810" s="1466">
        <f>AN1337</f>
        <v/>
      </c>
      <c r="AO810" s="1463">
        <f>AO1337</f>
        <v/>
      </c>
      <c r="AP810" s="1466">
        <f>AP1337</f>
        <v/>
      </c>
      <c r="AQ810" s="1466">
        <f>AQ1337</f>
        <v/>
      </c>
      <c r="AR810" s="1466">
        <f>AR1337</f>
        <v/>
      </c>
      <c r="AS810" s="1466">
        <f>AS1337</f>
        <v/>
      </c>
      <c r="AT810" s="1463">
        <f>AT1337</f>
        <v/>
      </c>
      <c r="AU810" s="1466">
        <f>AU1337</f>
        <v/>
      </c>
      <c r="AV810" s="1466">
        <f>AV1337</f>
        <v/>
      </c>
      <c r="AW810" s="1466">
        <f>AW1337</f>
        <v/>
      </c>
      <c r="AX810" s="1466">
        <f>AX1337</f>
        <v/>
      </c>
      <c r="AY810" s="1463">
        <f>AY1337</f>
        <v/>
      </c>
      <c r="AZ810" s="1466">
        <f>AZ1337</f>
        <v/>
      </c>
      <c r="BA810" s="1466">
        <f>BA1337</f>
        <v/>
      </c>
      <c r="BB810" s="1466">
        <f>BB1337</f>
        <v/>
      </c>
      <c r="BC810" s="1466">
        <f>BC1337</f>
        <v/>
      </c>
      <c r="BD810" s="1463">
        <f>BD1337</f>
        <v/>
      </c>
      <c r="BE810" s="1466">
        <f>BE1337</f>
        <v/>
      </c>
      <c r="BF810" s="1466">
        <f>BF1337</f>
        <v/>
      </c>
      <c r="BG810" s="1466">
        <f>BG1337</f>
        <v/>
      </c>
      <c r="BH810" s="1466">
        <f>BH1337</f>
        <v/>
      </c>
      <c r="BI810" s="1463">
        <f>BI1337</f>
        <v/>
      </c>
      <c r="BJ810" s="1466">
        <f>BJ1337</f>
        <v/>
      </c>
      <c r="BK810" s="1466">
        <f>BK1337</f>
        <v/>
      </c>
      <c r="BL810" s="1466">
        <f>BL1337</f>
        <v/>
      </c>
      <c r="BM810" s="1466">
        <f>BM1337</f>
        <v/>
      </c>
      <c r="BN810" s="1463">
        <f>BN1337</f>
        <v/>
      </c>
      <c r="BO810" s="1466">
        <f>BO1337</f>
        <v/>
      </c>
      <c r="BP810" s="1466">
        <f>BP1337</f>
        <v/>
      </c>
      <c r="BQ810" s="1491">
        <f>BQ1337</f>
        <v/>
      </c>
      <c r="BR810" s="1466" t="n"/>
      <c r="BS810" s="1463" t="n"/>
      <c r="BT810" s="1466" t="n"/>
      <c r="BU810" s="1466" t="n"/>
      <c r="BV810" s="1466" t="n"/>
      <c r="BW810" s="1466" t="n"/>
      <c r="BX810" s="1463" t="n"/>
      <c r="BY810" s="1463" t="n"/>
      <c r="BZ810" s="1463" t="n"/>
      <c r="CA810" s="1463" t="n"/>
      <c r="CB810" s="1466" t="n"/>
    </row>
    <row r="811" hidden="1" outlineLevel="3" ht="15" customFormat="1" customHeight="1" s="1359">
      <c r="A811" s="1791" t="inlineStr">
        <is>
          <t>Forward quarterly non-GAAP EBIT margin guidance - high, %</t>
        </is>
      </c>
      <c r="B811" s="1613" t="n"/>
      <c r="C811" s="1792" t="n"/>
      <c r="D811" s="1792" t="n"/>
      <c r="E811" s="1792" t="n"/>
      <c r="F811" s="1792" t="n"/>
      <c r="G811" s="1793" t="n"/>
      <c r="H811" s="1793" t="n"/>
      <c r="I811" s="1793" t="n"/>
      <c r="J811" s="1793" t="n"/>
      <c r="K811" s="1792" t="n"/>
      <c r="L811" s="1793" t="n"/>
      <c r="M811" s="1793" t="n"/>
      <c r="N811" s="1793" t="n"/>
      <c r="O811" s="1793" t="n"/>
      <c r="P811" s="1792" t="n"/>
      <c r="Q811" s="1793" t="n"/>
      <c r="R811" s="1793" t="n"/>
      <c r="S811" s="1793" t="n"/>
      <c r="T811" s="1793" t="n"/>
      <c r="U811" s="1792" t="n"/>
      <c r="V811" s="1793" t="n"/>
      <c r="W811" s="1793" t="n"/>
      <c r="X811" s="1793" t="n"/>
      <c r="Y811" s="1793" t="n"/>
      <c r="Z811" s="1792" t="n"/>
      <c r="AA811" s="1793" t="n"/>
      <c r="AB811" s="1793" t="n"/>
      <c r="AC811" s="1793">
        <f>AC1338</f>
        <v/>
      </c>
      <c r="AD811" s="1793">
        <f>AD1338</f>
        <v/>
      </c>
      <c r="AE811" s="1792">
        <f>AE1338</f>
        <v/>
      </c>
      <c r="AF811" s="1793">
        <f>AF1338</f>
        <v/>
      </c>
      <c r="AG811" s="1793">
        <f>AG1338</f>
        <v/>
      </c>
      <c r="AH811" s="1793">
        <f>AH1338</f>
        <v/>
      </c>
      <c r="AI811" s="1793">
        <f>AI1338</f>
        <v/>
      </c>
      <c r="AJ811" s="1792">
        <f>AJ1338</f>
        <v/>
      </c>
      <c r="AK811" s="1793">
        <f>AK1338</f>
        <v/>
      </c>
      <c r="AL811" s="1793">
        <f>AL1338</f>
        <v/>
      </c>
      <c r="AM811" s="1793">
        <f>AM1338</f>
        <v/>
      </c>
      <c r="AN811" s="1793">
        <f>AN1338</f>
        <v/>
      </c>
      <c r="AO811" s="1792">
        <f>AO1338</f>
        <v/>
      </c>
      <c r="AP811" s="1793">
        <f>AP1338</f>
        <v/>
      </c>
      <c r="AQ811" s="1793">
        <f>AQ1338</f>
        <v/>
      </c>
      <c r="AR811" s="1793">
        <f>AR1338</f>
        <v/>
      </c>
      <c r="AS811" s="1793">
        <f>AS1338</f>
        <v/>
      </c>
      <c r="AT811" s="1792">
        <f>AT1338</f>
        <v/>
      </c>
      <c r="AU811" s="1793">
        <f>AU1338</f>
        <v/>
      </c>
      <c r="AV811" s="1793">
        <f>AV1338</f>
        <v/>
      </c>
      <c r="AW811" s="1793">
        <f>AW1338</f>
        <v/>
      </c>
      <c r="AX811" s="1793">
        <f>AX1338</f>
        <v/>
      </c>
      <c r="AY811" s="1792">
        <f>AY1338</f>
        <v/>
      </c>
      <c r="AZ811" s="1793">
        <f>AZ1338</f>
        <v/>
      </c>
      <c r="BA811" s="1793">
        <f>BA1338</f>
        <v/>
      </c>
      <c r="BB811" s="1793">
        <f>BB1338</f>
        <v/>
      </c>
      <c r="BC811" s="1793">
        <f>BC1338</f>
        <v/>
      </c>
      <c r="BD811" s="1792">
        <f>BD1338</f>
        <v/>
      </c>
      <c r="BE811" s="1793">
        <f>BE1338</f>
        <v/>
      </c>
      <c r="BF811" s="1793">
        <f>BF1338</f>
        <v/>
      </c>
      <c r="BG811" s="1793">
        <f>BG1338</f>
        <v/>
      </c>
      <c r="BH811" s="1793">
        <f>BH1338</f>
        <v/>
      </c>
      <c r="BI811" s="1792">
        <f>BI1338</f>
        <v/>
      </c>
      <c r="BJ811" s="1793">
        <f>BJ1338</f>
        <v/>
      </c>
      <c r="BK811" s="1793">
        <f>BK1338</f>
        <v/>
      </c>
      <c r="BL811" s="1793">
        <f>BL1338</f>
        <v/>
      </c>
      <c r="BM811" s="1793">
        <f>BM1338</f>
        <v/>
      </c>
      <c r="BN811" s="1792">
        <f>BN1338</f>
        <v/>
      </c>
      <c r="BO811" s="1793">
        <f>BO1338</f>
        <v/>
      </c>
      <c r="BP811" s="1793">
        <f>BP1338</f>
        <v/>
      </c>
      <c r="BQ811" s="1794">
        <f>BQ1338</f>
        <v/>
      </c>
      <c r="BR811" s="1793" t="n"/>
      <c r="BS811" s="1792" t="n"/>
      <c r="BT811" s="1793" t="n"/>
      <c r="BU811" s="1793" t="n"/>
      <c r="BV811" s="1793" t="n"/>
      <c r="BW811" s="1793" t="n"/>
      <c r="BX811" s="1792" t="n"/>
      <c r="BY811" s="1792" t="n"/>
      <c r="BZ811" s="1792" t="n"/>
      <c r="CA811" s="1792" t="n"/>
      <c r="CB811" s="1466" t="n"/>
    </row>
    <row r="812" hidden="1" outlineLevel="2" collapsed="1" ht="15" customFormat="1" customHeight="1" s="1359">
      <c r="A812" s="1530" t="inlineStr">
        <is>
          <t>Forward quarterly non-GAAP EBIT margin guidance - midpoint, %</t>
        </is>
      </c>
      <c r="B812" s="1517" t="n"/>
      <c r="C812" s="1532" t="n"/>
      <c r="D812" s="1532" t="n"/>
      <c r="E812" s="1532" t="n"/>
      <c r="F812" s="1532" t="n"/>
      <c r="G812" s="1533">
        <f>IFERROR(AVERAGE(G811,G810),"")</f>
        <v/>
      </c>
      <c r="H812" s="1533">
        <f>IFERROR(AVERAGE(H811,H810),"")</f>
        <v/>
      </c>
      <c r="I812" s="1533">
        <f>IFERROR(AVERAGE(I811,I810),"")</f>
        <v/>
      </c>
      <c r="J812" s="1533">
        <f>IFERROR(AVERAGE(J811,J810),"")</f>
        <v/>
      </c>
      <c r="K812" s="1532">
        <f>IFERROR(AVERAGE(K811,K810),"")</f>
        <v/>
      </c>
      <c r="L812" s="1533">
        <f>IFERROR(AVERAGE(L811,L810),"")</f>
        <v/>
      </c>
      <c r="M812" s="1533">
        <f>IFERROR(AVERAGE(M811,M810),"")</f>
        <v/>
      </c>
      <c r="N812" s="1533">
        <f>IFERROR(AVERAGE(N811,N810),"")</f>
        <v/>
      </c>
      <c r="O812" s="1533">
        <f>IFERROR(AVERAGE(O811,O810),"")</f>
        <v/>
      </c>
      <c r="P812" s="1532">
        <f>IFERROR(AVERAGE(P811,P810),"")</f>
        <v/>
      </c>
      <c r="Q812" s="1533">
        <f>IFERROR(AVERAGE(Q811,Q810),"")</f>
        <v/>
      </c>
      <c r="R812" s="1533">
        <f>IFERROR(AVERAGE(R811,R810),"")</f>
        <v/>
      </c>
      <c r="S812" s="1533">
        <f>IFERROR(AVERAGE(S811,S810),"")</f>
        <v/>
      </c>
      <c r="T812" s="1533">
        <f>IFERROR(AVERAGE(T811,T810),"")</f>
        <v/>
      </c>
      <c r="U812" s="1532">
        <f>IFERROR(AVERAGE(U811,U810),"")</f>
        <v/>
      </c>
      <c r="V812" s="1533">
        <f>IFERROR(AVERAGE(V811,V810),"")</f>
        <v/>
      </c>
      <c r="W812" s="1533">
        <f>IFERROR(AVERAGE(W811,W810),"")</f>
        <v/>
      </c>
      <c r="X812" s="1533">
        <f>IFERROR(AVERAGE(X811,X810),"")</f>
        <v/>
      </c>
      <c r="Y812" s="1533">
        <f>IFERROR(AVERAGE(Y811,Y810),"")</f>
        <v/>
      </c>
      <c r="Z812" s="1532">
        <f>IFERROR(AVERAGE(Z811,Z810),"")</f>
        <v/>
      </c>
      <c r="AA812" s="1533" t="n"/>
      <c r="AB812" s="1533" t="n"/>
      <c r="AC812" s="1533">
        <f>IFERROR(AVERAGE(AC811,AC810),"")</f>
        <v/>
      </c>
      <c r="AD812" s="1533">
        <f>IFERROR(AVERAGE(AD811,AD810),"")</f>
        <v/>
      </c>
      <c r="AE812" s="1532">
        <f>IFERROR(AVERAGE(AE811,AE810),"")</f>
        <v/>
      </c>
      <c r="AF812" s="1533">
        <f>IFERROR(AVERAGE(AF811,AF810),"")</f>
        <v/>
      </c>
      <c r="AG812" s="1533">
        <f>IFERROR(AVERAGE(AG811,AG810),"")</f>
        <v/>
      </c>
      <c r="AH812" s="1533">
        <f>IFERROR(AVERAGE(AH811,AH810),"")</f>
        <v/>
      </c>
      <c r="AI812" s="1533">
        <f>IFERROR(AVERAGE(AI811,AI810),"")</f>
        <v/>
      </c>
      <c r="AJ812" s="1532">
        <f>IFERROR(AVERAGE(AJ811,AJ810),"")</f>
        <v/>
      </c>
      <c r="AK812" s="1533">
        <f>IFERROR(AVERAGE(AK811,AK810),"")</f>
        <v/>
      </c>
      <c r="AL812" s="1533">
        <f>IFERROR(AVERAGE(AL811,AL810),"")</f>
        <v/>
      </c>
      <c r="AM812" s="1533">
        <f>IFERROR(AVERAGE(AM811,AM810),"")</f>
        <v/>
      </c>
      <c r="AN812" s="1533">
        <f>IFERROR(AVERAGE(AN811,AN810),"")</f>
        <v/>
      </c>
      <c r="AO812" s="1532">
        <f>IFERROR(AVERAGE(AO811,AO810),"")</f>
        <v/>
      </c>
      <c r="AP812" s="1533">
        <f>IFERROR(AVERAGE(AP811,AP810),"")</f>
        <v/>
      </c>
      <c r="AQ812" s="1533">
        <f>IFERROR(AVERAGE(AQ811,AQ810),"")</f>
        <v/>
      </c>
      <c r="AR812" s="1533">
        <f>IFERROR(AVERAGE(AR811,AR810),"")</f>
        <v/>
      </c>
      <c r="AS812" s="1533">
        <f>IFERROR(AVERAGE(AS811,AS810),"")</f>
        <v/>
      </c>
      <c r="AT812" s="1532">
        <f>IFERROR(AVERAGE(AT811,AT810),"")</f>
        <v/>
      </c>
      <c r="AU812" s="1533">
        <f>IFERROR(AVERAGE(AU811,AU810),"")</f>
        <v/>
      </c>
      <c r="AV812" s="1533">
        <f>IFERROR(AVERAGE(AV811,AV810),"")</f>
        <v/>
      </c>
      <c r="AW812" s="1533">
        <f>IFERROR(AVERAGE(AW811,AW810),"")</f>
        <v/>
      </c>
      <c r="AX812" s="1533">
        <f>IFERROR(AVERAGE(AX811,AX810),"")</f>
        <v/>
      </c>
      <c r="AY812" s="1532">
        <f>IFERROR(AVERAGE(AY811,AY810),"")</f>
        <v/>
      </c>
      <c r="AZ812" s="1533">
        <f>IFERROR(AVERAGE(AZ811,AZ810),"")</f>
        <v/>
      </c>
      <c r="BA812" s="1533">
        <f>IFERROR(AVERAGE(BA811,BA810),"")</f>
        <v/>
      </c>
      <c r="BB812" s="1533">
        <f>IFERROR(AVERAGE(BB811,BB810),"")</f>
        <v/>
      </c>
      <c r="BC812" s="1533">
        <f>IFERROR(AVERAGE(BC811,BC810),"")</f>
        <v/>
      </c>
      <c r="BD812" s="1532">
        <f>IFERROR(AVERAGE(BD811,BD810),"")</f>
        <v/>
      </c>
      <c r="BE812" s="1533">
        <f>IFERROR(AVERAGE(BE811,BE810),"")</f>
        <v/>
      </c>
      <c r="BF812" s="1533">
        <f>IFERROR(AVERAGE(BF811,BF810),"")</f>
        <v/>
      </c>
      <c r="BG812" s="1533">
        <f>IFERROR(AVERAGE(BG811,BG810),"")</f>
        <v/>
      </c>
      <c r="BH812" s="1533">
        <f>IFERROR(AVERAGE(BH811,BH810),"")</f>
        <v/>
      </c>
      <c r="BI812" s="1532">
        <f>IFERROR(AVERAGE(BI811,BI810),"")</f>
        <v/>
      </c>
      <c r="BJ812" s="1533">
        <f>IFERROR(AVERAGE(BJ811,BJ810),"")</f>
        <v/>
      </c>
      <c r="BK812" s="1533">
        <f>IFERROR(AVERAGE(BK811,BK810),"")</f>
        <v/>
      </c>
      <c r="BL812" s="1533">
        <f>IFERROR(AVERAGE(BL811,BL810),"")</f>
        <v/>
      </c>
      <c r="BM812" s="1533">
        <f>IFERROR(AVERAGE(BM811,BM810),"")</f>
        <v/>
      </c>
      <c r="BN812" s="1532">
        <f>IFERROR(AVERAGE(BN811,BN810),"")</f>
        <v/>
      </c>
      <c r="BO812" s="1533">
        <f>IFERROR(AVERAGE(BO811,BO810),"")</f>
        <v/>
      </c>
      <c r="BP812" s="1533">
        <f>IFERROR(AVERAGE(BP811,BP810),"")</f>
        <v/>
      </c>
      <c r="BQ812" s="1534">
        <f>IFERROR(AVERAGE(BQ811,BQ810),"")</f>
        <v/>
      </c>
      <c r="BR812" s="1533" t="n"/>
      <c r="BS812" s="1532" t="n"/>
      <c r="BT812" s="1533" t="n"/>
      <c r="BU812" s="1533" t="n"/>
      <c r="BV812" s="1533" t="n"/>
      <c r="BW812" s="1533" t="n"/>
      <c r="BX812" s="1532" t="n"/>
      <c r="BY812" s="1532" t="n"/>
      <c r="BZ812" s="1532" t="n"/>
      <c r="CA812" s="1532" t="n"/>
      <c r="CB812" s="1533" t="n"/>
    </row>
    <row r="813" hidden="1" outlineLevel="2" ht="15" customFormat="1" customHeight="1" s="1359">
      <c r="A813" s="1500" t="inlineStr">
        <is>
          <t>Forward quarterly non-GAAP EBIT margin guidance variance (+/-), bps</t>
        </is>
      </c>
      <c r="B813" s="1512" t="n"/>
      <c r="C813" s="1469" t="n"/>
      <c r="D813" s="1469" t="n"/>
      <c r="E813" s="1469" t="n"/>
      <c r="F813" s="1469" t="n"/>
      <c r="G813" s="1471">
        <f>IFERROR(ABS(G811-G812)*10000,"")</f>
        <v/>
      </c>
      <c r="H813" s="1471">
        <f>IFERROR(ABS(H811-H812)*10000,"")</f>
        <v/>
      </c>
      <c r="I813" s="1471">
        <f>IFERROR(ABS(I811-I812)*10000,"")</f>
        <v/>
      </c>
      <c r="J813" s="1471">
        <f>IFERROR(ABS(J811-J812)*10000,"")</f>
        <v/>
      </c>
      <c r="K813" s="1469">
        <f>IFERROR(ABS(K811-K812)*10000,"")</f>
        <v/>
      </c>
      <c r="L813" s="1471">
        <f>IFERROR(ABS(L811-L812)*10000,"")</f>
        <v/>
      </c>
      <c r="M813" s="1471">
        <f>IFERROR(ABS(M811-M812)*10000,"")</f>
        <v/>
      </c>
      <c r="N813" s="1471">
        <f>IFERROR(ABS(N811-N812)*10000,"")</f>
        <v/>
      </c>
      <c r="O813" s="1471">
        <f>IFERROR(ABS(O811-O812)*10000,"")</f>
        <v/>
      </c>
      <c r="P813" s="1469">
        <f>IFERROR(ABS(P811-P812)*10000,"")</f>
        <v/>
      </c>
      <c r="Q813" s="1471">
        <f>IFERROR(ABS(Q811-Q812)*10000,"")</f>
        <v/>
      </c>
      <c r="R813" s="1471">
        <f>IFERROR(ABS(R811-R812)*10000,"")</f>
        <v/>
      </c>
      <c r="S813" s="1471">
        <f>IFERROR(ABS(S811-S812)*10000,"")</f>
        <v/>
      </c>
      <c r="T813" s="1471">
        <f>IFERROR(ABS(T811-T812)*10000,"")</f>
        <v/>
      </c>
      <c r="U813" s="1469">
        <f>IFERROR(ABS(U811-U812)*10000,"")</f>
        <v/>
      </c>
      <c r="V813" s="1471">
        <f>IFERROR(ABS(V811-V812)*10000,"")</f>
        <v/>
      </c>
      <c r="W813" s="1471">
        <f>IFERROR(ABS(W811-W812)*10000,"")</f>
        <v/>
      </c>
      <c r="X813" s="1471">
        <f>IFERROR(ABS(X811-X812)*10000,"")</f>
        <v/>
      </c>
      <c r="Y813" s="1471">
        <f>IFERROR(ABS(Y811-Y812)*10000,"")</f>
        <v/>
      </c>
      <c r="Z813" s="1469">
        <f>IFERROR(ABS(Z811-Z812)*10000,"")</f>
        <v/>
      </c>
      <c r="AA813" s="1471" t="n"/>
      <c r="AB813" s="1471" t="n"/>
      <c r="AC813" s="1471">
        <f>IFERROR(ABS(AC811-AC812)*10000,"")</f>
        <v/>
      </c>
      <c r="AD813" s="1471">
        <f>IFERROR(ABS(AD811-AD812)*10000,"")</f>
        <v/>
      </c>
      <c r="AE813" s="1469">
        <f>IFERROR(ABS(AE811-AE812)*10000,"")</f>
        <v/>
      </c>
      <c r="AF813" s="1471">
        <f>IFERROR(ABS(AF811-AF812)*10000,"")</f>
        <v/>
      </c>
      <c r="AG813" s="1471">
        <f>IFERROR(ABS(AG811-AG812)*10000,"")</f>
        <v/>
      </c>
      <c r="AH813" s="1471">
        <f>IFERROR(ABS(AH811-AH812)*10000,"")</f>
        <v/>
      </c>
      <c r="AI813" s="1471">
        <f>IFERROR(ABS(AI811-AI812)*10000,"")</f>
        <v/>
      </c>
      <c r="AJ813" s="1469">
        <f>IFERROR(ABS(AJ811-AJ812)*10000,"")</f>
        <v/>
      </c>
      <c r="AK813" s="1471">
        <f>IFERROR(ABS(AK811-AK812)*10000,"")</f>
        <v/>
      </c>
      <c r="AL813" s="1471">
        <f>IFERROR(ABS(AL811-AL812)*10000,"")</f>
        <v/>
      </c>
      <c r="AM813" s="1471">
        <f>IFERROR(ABS(AM811-AM812)*10000,"")</f>
        <v/>
      </c>
      <c r="AN813" s="1471">
        <f>IFERROR(ABS(AN811-AN812)*10000,"")</f>
        <v/>
      </c>
      <c r="AO813" s="1469">
        <f>IFERROR(ABS(AO811-AO812)*10000,"")</f>
        <v/>
      </c>
      <c r="AP813" s="1471">
        <f>IFERROR(ABS(AP811-AP812)*10000,"")</f>
        <v/>
      </c>
      <c r="AQ813" s="1471">
        <f>IFERROR(ABS(AQ811-AQ812)*10000,"")</f>
        <v/>
      </c>
      <c r="AR813" s="1471">
        <f>IFERROR(ABS(AR811-AR812)*10000,"")</f>
        <v/>
      </c>
      <c r="AS813" s="1471">
        <f>IFERROR(ABS(AS811-AS812)*10000,"")</f>
        <v/>
      </c>
      <c r="AT813" s="1469">
        <f>IFERROR(ABS(AT811-AT812)*10000,"")</f>
        <v/>
      </c>
      <c r="AU813" s="1471">
        <f>IFERROR(ABS(AU811-AU812)*10000,"")</f>
        <v/>
      </c>
      <c r="AV813" s="1471">
        <f>IFERROR(ABS(AV811-AV812)*10000,"")</f>
        <v/>
      </c>
      <c r="AW813" s="1471">
        <f>IFERROR(ABS(AW811-AW812)*10000,"")</f>
        <v/>
      </c>
      <c r="AX813" s="1471">
        <f>IFERROR(ABS(AX811-AX812)*10000,"")</f>
        <v/>
      </c>
      <c r="AY813" s="1469">
        <f>IFERROR(ABS(AY811-AY812)*10000,"")</f>
        <v/>
      </c>
      <c r="AZ813" s="1471">
        <f>IFERROR(ABS(AZ811-AZ812)*10000,"")</f>
        <v/>
      </c>
      <c r="BA813" s="1471">
        <f>IFERROR(ABS(BA811-BA812)*10000,"")</f>
        <v/>
      </c>
      <c r="BB813" s="1471">
        <f>IFERROR(ABS(BB811-BB812)*10000,"")</f>
        <v/>
      </c>
      <c r="BC813" s="1471">
        <f>IFERROR(ABS(BC811-BC812)*10000,"")</f>
        <v/>
      </c>
      <c r="BD813" s="1469">
        <f>IFERROR(ABS(BD811-BD812)*10000,"")</f>
        <v/>
      </c>
      <c r="BE813" s="1471">
        <f>IFERROR(ABS(BE811-BE812)*10000,"")</f>
        <v/>
      </c>
      <c r="BF813" s="1471">
        <f>IFERROR(ABS(BF811-BF812)*10000,"")</f>
        <v/>
      </c>
      <c r="BG813" s="1471">
        <f>IFERROR(ABS(BG811-BG812)*10000,"")</f>
        <v/>
      </c>
      <c r="BH813" s="1471">
        <f>IFERROR(ABS(BH811-BH812)*10000,"")</f>
        <v/>
      </c>
      <c r="BI813" s="1469">
        <f>IFERROR(ABS(BI811-BI812)*10000,"")</f>
        <v/>
      </c>
      <c r="BJ813" s="1471">
        <f>IFERROR(ABS(BJ811-BJ812)*10000,"")</f>
        <v/>
      </c>
      <c r="BK813" s="1471">
        <f>IFERROR(ABS(BK811-BK812)*10000,"")</f>
        <v/>
      </c>
      <c r="BL813" s="1471">
        <f>IFERROR(ABS(BL811-BL812)*10000,"")</f>
        <v/>
      </c>
      <c r="BM813" s="1471">
        <f>IFERROR(ABS(BM811-BM812)*10000,"")</f>
        <v/>
      </c>
      <c r="BN813" s="1469">
        <f>IFERROR(ABS(BN811-BN812)*10000,"")</f>
        <v/>
      </c>
      <c r="BO813" s="1471">
        <f>IFERROR(ABS(BO811-BO812)*10000,"")</f>
        <v/>
      </c>
      <c r="BP813" s="1471">
        <f>IFERROR(ABS(BP811-BP812)*10000,"")</f>
        <v/>
      </c>
      <c r="BQ813" s="1487">
        <f>IFERROR(ABS(BQ811-BQ812)*10000,"")</f>
        <v/>
      </c>
      <c r="BR813" s="1471" t="n"/>
      <c r="BS813" s="1469" t="n"/>
      <c r="BT813" s="1471" t="n"/>
      <c r="BU813" s="1471" t="n"/>
      <c r="BV813" s="1471" t="n"/>
      <c r="BW813" s="1471" t="n"/>
      <c r="BX813" s="1469" t="n"/>
      <c r="BY813" s="1469" t="n"/>
      <c r="BZ813" s="1469" t="n"/>
      <c r="CA813" s="1469" t="n"/>
      <c r="CB813" s="1471" t="n"/>
    </row>
    <row r="814" hidden="1" outlineLevel="3" ht="15" customFormat="1" customHeight="1" s="1359">
      <c r="A814" s="1800" t="inlineStr">
        <is>
          <t>Forward quarterly guided Q/Q non-GAAP EBIT margin improvement - low, bps</t>
        </is>
      </c>
      <c r="B814" s="1590" t="n"/>
      <c r="C814" s="1801" t="n"/>
      <c r="D814" s="1801" t="n"/>
      <c r="E814" s="1801" t="n"/>
      <c r="F814" s="1801" t="n"/>
      <c r="G814" s="1705" t="n"/>
      <c r="H814" s="1705" t="n"/>
      <c r="I814" s="1705" t="n"/>
      <c r="J814" s="1705" t="n"/>
      <c r="K814" s="1801" t="n"/>
      <c r="L814" s="1705" t="n"/>
      <c r="M814" s="1705" t="n"/>
      <c r="N814" s="1705" t="n"/>
      <c r="O814" s="1705" t="n"/>
      <c r="P814" s="1801" t="n"/>
      <c r="Q814" s="1705" t="n"/>
      <c r="R814" s="1705" t="n"/>
      <c r="S814" s="1705" t="n"/>
      <c r="T814" s="1705" t="n"/>
      <c r="U814" s="1801" t="n"/>
      <c r="V814" s="1705" t="n"/>
      <c r="W814" s="1705" t="n"/>
      <c r="X814" s="1705" t="n"/>
      <c r="Y814" s="1705" t="n"/>
      <c r="Z814" s="1801" t="n"/>
      <c r="AA814" s="1705" t="n"/>
      <c r="AB814" s="1705" t="n"/>
      <c r="AC814" s="1705" t="n"/>
      <c r="AD814" s="1705" t="n"/>
      <c r="AE814" s="1801" t="n"/>
      <c r="AF814" s="1705" t="n"/>
      <c r="AG814" s="1705" t="n"/>
      <c r="AH814" s="1705" t="n"/>
      <c r="AI814" s="1705" t="n"/>
      <c r="AJ814" s="1801" t="n"/>
      <c r="AK814" s="1705" t="n"/>
      <c r="AL814" s="1705">
        <f>IFERROR((AL810-AL793)*10000,"")</f>
        <v/>
      </c>
      <c r="AM814" s="1705">
        <f>IFERROR((AM810-AM793)*10000,"")</f>
        <v/>
      </c>
      <c r="AN814" s="1705">
        <f>IFERROR((AN810-AN793)*10000,"")</f>
        <v/>
      </c>
      <c r="AO814" s="1801">
        <f>AN814</f>
        <v/>
      </c>
      <c r="AP814" s="1705">
        <f>IFERROR((AP810-AP793)*10000,"")</f>
        <v/>
      </c>
      <c r="AQ814" s="1705">
        <f>IFERROR((AQ810-AQ793)*10000,"")</f>
        <v/>
      </c>
      <c r="AR814" s="1705">
        <f>IFERROR((AR810-AR793)*10000,"")</f>
        <v/>
      </c>
      <c r="AS814" s="1705">
        <f>IFERROR((AS810-AS793)*10000,"")</f>
        <v/>
      </c>
      <c r="AT814" s="1801">
        <f>AS814</f>
        <v/>
      </c>
      <c r="AU814" s="1705">
        <f>IFERROR((AU810-AU793)*10000,"")</f>
        <v/>
      </c>
      <c r="AV814" s="1705">
        <f>IFERROR((AV810-AV793)*10000,"")</f>
        <v/>
      </c>
      <c r="AW814" s="1705">
        <f>IFERROR((AW810-AW793)*10000,"")</f>
        <v/>
      </c>
      <c r="AX814" s="1705">
        <f>IFERROR((AX810-AX793)*10000,"")</f>
        <v/>
      </c>
      <c r="AY814" s="1801">
        <f>AX814</f>
        <v/>
      </c>
      <c r="AZ814" s="1705">
        <f>IFERROR((AZ810-AZ793)*10000,"")</f>
        <v/>
      </c>
      <c r="BA814" s="1705">
        <f>IFERROR((BA810-BA793)*10000,"")</f>
        <v/>
      </c>
      <c r="BB814" s="1705">
        <f>IFERROR((BB810-BB793)*10000,"")</f>
        <v/>
      </c>
      <c r="BC814" s="1705">
        <f>IFERROR((BC810-BC793)*10000,"")</f>
        <v/>
      </c>
      <c r="BD814" s="1801">
        <f>BC814</f>
        <v/>
      </c>
      <c r="BE814" s="1705">
        <f>IFERROR((BE810-BE793)*10000,"")</f>
        <v/>
      </c>
      <c r="BF814" s="1705">
        <f>IFERROR((BF810-BF793)*10000,"")</f>
        <v/>
      </c>
      <c r="BG814" s="1705">
        <f>IFERROR((BG810-BG793)*10000,"")</f>
        <v/>
      </c>
      <c r="BH814" s="1705">
        <f>IFERROR((BH810-BH793)*10000,"")</f>
        <v/>
      </c>
      <c r="BI814" s="1801">
        <f>BH814</f>
        <v/>
      </c>
      <c r="BJ814" s="1705">
        <f>IFERROR((BJ810-BJ793)*10000,"")</f>
        <v/>
      </c>
      <c r="BK814" s="1705">
        <f>IFERROR((BK810-BK793)*10000,"")</f>
        <v/>
      </c>
      <c r="BL814" s="1705">
        <f>IFERROR((BL810-BL793)*10000,"")</f>
        <v/>
      </c>
      <c r="BM814" s="1705">
        <f>IFERROR((BM810-BM793)*10000,"")</f>
        <v/>
      </c>
      <c r="BN814" s="1801">
        <f>BM814</f>
        <v/>
      </c>
      <c r="BO814" s="1705">
        <f>IFERROR((BO810-BO793)*10000,"")</f>
        <v/>
      </c>
      <c r="BP814" s="1705">
        <f>IFERROR((BP810-BP793)*10000,"")</f>
        <v/>
      </c>
      <c r="BQ814" s="1802">
        <f>IFERROR((BQ810-BQ793)*10000,"")</f>
        <v/>
      </c>
      <c r="BR814" s="1705" t="n"/>
      <c r="BS814" s="1801" t="n"/>
      <c r="BT814" s="1705" t="n"/>
      <c r="BU814" s="1705" t="n"/>
      <c r="BV814" s="1705" t="n"/>
      <c r="BW814" s="1705" t="n"/>
      <c r="BX814" s="1801" t="n"/>
      <c r="BY814" s="1801" t="n"/>
      <c r="BZ814" s="1801" t="n"/>
      <c r="CA814" s="1801" t="n"/>
      <c r="CB814" s="1705" t="n"/>
    </row>
    <row r="815" hidden="1" outlineLevel="3" ht="15" customFormat="1" customHeight="1" s="1359">
      <c r="A815" s="1803" t="inlineStr">
        <is>
          <t>Forward quarterly guided Q/Q non-GAAP EBIT margin improvement - high, bps</t>
        </is>
      </c>
      <c r="B815" s="1774" t="n"/>
      <c r="C815" s="1804" t="n"/>
      <c r="D815" s="1804" t="n"/>
      <c r="E815" s="1804" t="n"/>
      <c r="F815" s="1804" t="n"/>
      <c r="G815" s="1805" t="n"/>
      <c r="H815" s="1805" t="n"/>
      <c r="I815" s="1805" t="n"/>
      <c r="J815" s="1805" t="n"/>
      <c r="K815" s="1804" t="n"/>
      <c r="L815" s="1805" t="n"/>
      <c r="M815" s="1805" t="n"/>
      <c r="N815" s="1805" t="n"/>
      <c r="O815" s="1805" t="n"/>
      <c r="P815" s="1804" t="n"/>
      <c r="Q815" s="1805" t="n"/>
      <c r="R815" s="1805" t="n"/>
      <c r="S815" s="1805" t="n"/>
      <c r="T815" s="1805" t="n"/>
      <c r="U815" s="1804" t="n"/>
      <c r="V815" s="1805" t="n"/>
      <c r="W815" s="1805" t="n"/>
      <c r="X815" s="1805" t="n"/>
      <c r="Y815" s="1805" t="n"/>
      <c r="Z815" s="1804" t="n"/>
      <c r="AA815" s="1805" t="n"/>
      <c r="AB815" s="1805" t="n"/>
      <c r="AC815" s="1805" t="n"/>
      <c r="AD815" s="1805" t="n"/>
      <c r="AE815" s="1804" t="n"/>
      <c r="AF815" s="1805" t="n"/>
      <c r="AG815" s="1805" t="n"/>
      <c r="AH815" s="1805" t="n"/>
      <c r="AI815" s="1805" t="n"/>
      <c r="AJ815" s="1804" t="n"/>
      <c r="AK815" s="1805" t="n"/>
      <c r="AL815" s="1805">
        <f>IFERROR((AL811-AL793)*10000,"")</f>
        <v/>
      </c>
      <c r="AM815" s="1805">
        <f>IFERROR((AM811-AM793)*10000,"")</f>
        <v/>
      </c>
      <c r="AN815" s="1805">
        <f>IFERROR((AN811-AN793)*10000,"")</f>
        <v/>
      </c>
      <c r="AO815" s="1804">
        <f>AN815</f>
        <v/>
      </c>
      <c r="AP815" s="1805">
        <f>IFERROR((AP811-AP793)*10000,"")</f>
        <v/>
      </c>
      <c r="AQ815" s="1805">
        <f>IFERROR((AQ811-AQ793)*10000,"")</f>
        <v/>
      </c>
      <c r="AR815" s="1805">
        <f>IFERROR((AR811-AR793)*10000,"")</f>
        <v/>
      </c>
      <c r="AS815" s="1805">
        <f>IFERROR((AS811-AS793)*10000,"")</f>
        <v/>
      </c>
      <c r="AT815" s="1804">
        <f>AS815</f>
        <v/>
      </c>
      <c r="AU815" s="1805">
        <f>IFERROR((AU811-AU793)*10000,"")</f>
        <v/>
      </c>
      <c r="AV815" s="1805">
        <f>IFERROR((AV811-AV793)*10000,"")</f>
        <v/>
      </c>
      <c r="AW815" s="1805">
        <f>IFERROR((AW811-AW793)*10000,"")</f>
        <v/>
      </c>
      <c r="AX815" s="1805">
        <f>IFERROR((AX811-AX793)*10000,"")</f>
        <v/>
      </c>
      <c r="AY815" s="1804">
        <f>AX815</f>
        <v/>
      </c>
      <c r="AZ815" s="1805">
        <f>IFERROR((AZ811-AZ793)*10000,"")</f>
        <v/>
      </c>
      <c r="BA815" s="1805">
        <f>IFERROR((BA811-BA793)*10000,"")</f>
        <v/>
      </c>
      <c r="BB815" s="1805">
        <f>IFERROR((BB811-BB793)*10000,"")</f>
        <v/>
      </c>
      <c r="BC815" s="1805">
        <f>IFERROR((BC811-BC793)*10000,"")</f>
        <v/>
      </c>
      <c r="BD815" s="1804">
        <f>BC815</f>
        <v/>
      </c>
      <c r="BE815" s="1805">
        <f>IFERROR((BE811-BE793)*10000,"")</f>
        <v/>
      </c>
      <c r="BF815" s="1805">
        <f>IFERROR((BF811-BF793)*10000,"")</f>
        <v/>
      </c>
      <c r="BG815" s="1805">
        <f>IFERROR((BG811-BG793)*10000,"")</f>
        <v/>
      </c>
      <c r="BH815" s="1805">
        <f>IFERROR((BH811-BH793)*10000,"")</f>
        <v/>
      </c>
      <c r="BI815" s="1804">
        <f>BH815</f>
        <v/>
      </c>
      <c r="BJ815" s="1805">
        <f>IFERROR((BJ811-BJ793)*10000,"")</f>
        <v/>
      </c>
      <c r="BK815" s="1805">
        <f>IFERROR((BK811-BK793)*10000,"")</f>
        <v/>
      </c>
      <c r="BL815" s="1805">
        <f>IFERROR((BL811-BL793)*10000,"")</f>
        <v/>
      </c>
      <c r="BM815" s="1805">
        <f>IFERROR((BM811-BM793)*10000,"")</f>
        <v/>
      </c>
      <c r="BN815" s="1804">
        <f>BM815</f>
        <v/>
      </c>
      <c r="BO815" s="1805">
        <f>IFERROR((BO811-BO793)*10000,"")</f>
        <v/>
      </c>
      <c r="BP815" s="1805">
        <f>IFERROR((BP811-BP793)*10000,"")</f>
        <v/>
      </c>
      <c r="BQ815" s="1806">
        <f>IFERROR((BQ811-BQ793)*10000,"")</f>
        <v/>
      </c>
      <c r="BR815" s="1805" t="n"/>
      <c r="BS815" s="1804" t="n"/>
      <c r="BT815" s="1805" t="n"/>
      <c r="BU815" s="1805" t="n"/>
      <c r="BV815" s="1805" t="n"/>
      <c r="BW815" s="1805" t="n"/>
      <c r="BX815" s="1804" t="n"/>
      <c r="BY815" s="1804" t="n"/>
      <c r="BZ815" s="1804" t="n"/>
      <c r="CA815" s="1804" t="n"/>
      <c r="CB815" s="1705" t="n"/>
    </row>
    <row r="816" hidden="1" outlineLevel="2" collapsed="1" ht="15" customFormat="1" customHeight="1" s="1359">
      <c r="A816" s="1699" t="inlineStr">
        <is>
          <t>Forward quarterly guided Q/Q non-GAAP EBIT margin improvement - midpoint, bps</t>
        </is>
      </c>
      <c r="B816" s="1590" t="n"/>
      <c r="C816" s="1801" t="n"/>
      <c r="D816" s="1801" t="n"/>
      <c r="E816" s="1801" t="n"/>
      <c r="F816" s="1801" t="n"/>
      <c r="G816" s="1705" t="n"/>
      <c r="H816" s="1705" t="n"/>
      <c r="I816" s="1705" t="n"/>
      <c r="J816" s="1705" t="n"/>
      <c r="K816" s="1801" t="n"/>
      <c r="L816" s="1705" t="n"/>
      <c r="M816" s="1705" t="n"/>
      <c r="N816" s="1705" t="n"/>
      <c r="O816" s="1705" t="n"/>
      <c r="P816" s="1801" t="n"/>
      <c r="Q816" s="1705" t="n"/>
      <c r="R816" s="1705" t="n"/>
      <c r="S816" s="1705" t="n"/>
      <c r="T816" s="1705" t="n"/>
      <c r="U816" s="1801" t="n"/>
      <c r="V816" s="1705" t="n"/>
      <c r="W816" s="1705" t="n"/>
      <c r="X816" s="1705" t="n"/>
      <c r="Y816" s="1705" t="n"/>
      <c r="Z816" s="1801" t="n"/>
      <c r="AA816" s="1705" t="n"/>
      <c r="AB816" s="1705" t="n"/>
      <c r="AC816" s="1705" t="n"/>
      <c r="AD816" s="1705" t="n"/>
      <c r="AE816" s="1801" t="n"/>
      <c r="AF816" s="1705" t="n"/>
      <c r="AG816" s="1705" t="n"/>
      <c r="AH816" s="1705" t="n"/>
      <c r="AI816" s="1705" t="n"/>
      <c r="AJ816" s="1801" t="n"/>
      <c r="AK816" s="1705" t="n"/>
      <c r="AL816" s="1705">
        <f>IFERROR((AL812-AL793)*10000,"")</f>
        <v/>
      </c>
      <c r="AM816" s="1705">
        <f>IFERROR((AM812-AM793)*10000,"")</f>
        <v/>
      </c>
      <c r="AN816" s="1705">
        <f>IFERROR((AN812-AN793)*10000,"")</f>
        <v/>
      </c>
      <c r="AO816" s="1801">
        <f>AN816</f>
        <v/>
      </c>
      <c r="AP816" s="1705">
        <f>IFERROR((AP812-AP793)*10000,"")</f>
        <v/>
      </c>
      <c r="AQ816" s="1705">
        <f>IFERROR((AQ812-AQ793)*10000,"")</f>
        <v/>
      </c>
      <c r="AR816" s="1705">
        <f>IFERROR((AR812-AR793)*10000,"")</f>
        <v/>
      </c>
      <c r="AS816" s="1705">
        <f>IFERROR((AS812-AS793)*10000,"")</f>
        <v/>
      </c>
      <c r="AT816" s="1801">
        <f>AS816</f>
        <v/>
      </c>
      <c r="AU816" s="1705">
        <f>IFERROR((AU812-AU793)*10000,"")</f>
        <v/>
      </c>
      <c r="AV816" s="1705">
        <f>IFERROR((AV812-AV793)*10000,"")</f>
        <v/>
      </c>
      <c r="AW816" s="1705">
        <f>IFERROR((AW812-AW793)*10000,"")</f>
        <v/>
      </c>
      <c r="AX816" s="1705">
        <f>IFERROR((AX812-AX793)*10000,"")</f>
        <v/>
      </c>
      <c r="AY816" s="1801">
        <f>AX816</f>
        <v/>
      </c>
      <c r="AZ816" s="1705">
        <f>IFERROR((AZ812-AZ793)*10000,"")</f>
        <v/>
      </c>
      <c r="BA816" s="1705">
        <f>IFERROR((BA812-BA793)*10000,"")</f>
        <v/>
      </c>
      <c r="BB816" s="1705">
        <f>IFERROR((BB812-BB793)*10000,"")</f>
        <v/>
      </c>
      <c r="BC816" s="1705">
        <f>IFERROR((BC812-BC793)*10000,"")</f>
        <v/>
      </c>
      <c r="BD816" s="1801">
        <f>BC816</f>
        <v/>
      </c>
      <c r="BE816" s="1705">
        <f>IFERROR((BE812-BE793)*10000,"")</f>
        <v/>
      </c>
      <c r="BF816" s="1705">
        <f>IFERROR((BF812-BF793)*10000,"")</f>
        <v/>
      </c>
      <c r="BG816" s="1705">
        <f>IFERROR((BG812-BG793)*10000,"")</f>
        <v/>
      </c>
      <c r="BH816" s="1705">
        <f>IFERROR((BH812-BH793)*10000,"")</f>
        <v/>
      </c>
      <c r="BI816" s="1801">
        <f>BH816</f>
        <v/>
      </c>
      <c r="BJ816" s="1705">
        <f>IFERROR((BJ812-BJ793)*10000,"")</f>
        <v/>
      </c>
      <c r="BK816" s="1705">
        <f>IFERROR((BK812-BK793)*10000,"")</f>
        <v/>
      </c>
      <c r="BL816" s="1705">
        <f>IFERROR((BL812-BL793)*10000,"")</f>
        <v/>
      </c>
      <c r="BM816" s="1705">
        <f>IFERROR((BM812-BM793)*10000,"")</f>
        <v/>
      </c>
      <c r="BN816" s="1801">
        <f>BM816</f>
        <v/>
      </c>
      <c r="BO816" s="1705">
        <f>IFERROR((BO812-BO793)*10000,"")</f>
        <v/>
      </c>
      <c r="BP816" s="1705">
        <f>IFERROR((BP812-BP793)*10000,"")</f>
        <v/>
      </c>
      <c r="BQ816" s="1802">
        <f>IFERROR((BQ812-BQ793)*10000,"")</f>
        <v/>
      </c>
      <c r="BR816" s="1705" t="n"/>
      <c r="BS816" s="1801" t="n"/>
      <c r="BT816" s="1705" t="n"/>
      <c r="BU816" s="1705" t="n"/>
      <c r="BV816" s="1705" t="n"/>
      <c r="BW816" s="1705" t="n"/>
      <c r="BX816" s="1801" t="n"/>
      <c r="BY816" s="1801" t="n"/>
      <c r="BZ816" s="1801" t="n"/>
      <c r="CA816" s="1801" t="n"/>
      <c r="CB816" s="1705" t="n"/>
    </row>
    <row r="817" hidden="1" outlineLevel="3" ht="15" customFormat="1" customHeight="1" s="1359">
      <c r="A817" s="1800" t="inlineStr">
        <is>
          <t>Forward quarterly guided Y/Y non-GAAP EBIT margin improvement - low, bps</t>
        </is>
      </c>
      <c r="B817" s="1590" t="n"/>
      <c r="C817" s="1801" t="n"/>
      <c r="D817" s="1801" t="n"/>
      <c r="E817" s="1801" t="n"/>
      <c r="F817" s="1801" t="n"/>
      <c r="G817" s="1705" t="n"/>
      <c r="H817" s="1705" t="n"/>
      <c r="I817" s="1705" t="n"/>
      <c r="J817" s="1705" t="n"/>
      <c r="K817" s="1801" t="n"/>
      <c r="L817" s="1705" t="n"/>
      <c r="M817" s="1705" t="n"/>
      <c r="N817" s="1705" t="n"/>
      <c r="O817" s="1705" t="n"/>
      <c r="P817" s="1801" t="n"/>
      <c r="Q817" s="1705" t="n"/>
      <c r="R817" s="1705" t="n"/>
      <c r="S817" s="1705" t="n"/>
      <c r="T817" s="1705" t="n"/>
      <c r="U817" s="1801" t="n"/>
      <c r="V817" s="1705" t="n"/>
      <c r="W817" s="1705" t="n"/>
      <c r="X817" s="1705" t="n"/>
      <c r="Y817" s="1705" t="n"/>
      <c r="Z817" s="1801" t="n"/>
      <c r="AA817" s="1705" t="n"/>
      <c r="AB817" s="1705" t="n"/>
      <c r="AC817" s="1705" t="n"/>
      <c r="AD817" s="1705" t="n"/>
      <c r="AE817" s="1801" t="n"/>
      <c r="AF817" s="1705" t="n"/>
      <c r="AG817" s="1705" t="n"/>
      <c r="AH817" s="1705" t="n"/>
      <c r="AI817" s="1705" t="n"/>
      <c r="AJ817" s="1801" t="n"/>
      <c r="AK817" s="1705" t="n"/>
      <c r="AL817" s="1705">
        <f>IFERROR((AL810-AH793)*10000,"")</f>
        <v/>
      </c>
      <c r="AM817" s="1705">
        <f>IFERROR((AM810-AI793)*10000,"")</f>
        <v/>
      </c>
      <c r="AN817" s="1705">
        <f>IFERROR((AN810-AK793)*10000,"")</f>
        <v/>
      </c>
      <c r="AO817" s="1801">
        <f>AN817</f>
        <v/>
      </c>
      <c r="AP817" s="1705">
        <f>IFERROR((AP810-AL793)*10000,"")</f>
        <v/>
      </c>
      <c r="AQ817" s="1705">
        <f>IFERROR((AQ810-AM793)*10000,"")</f>
        <v/>
      </c>
      <c r="AR817" s="1705">
        <f>IFERROR((AR810-AN793)*10000,"")</f>
        <v/>
      </c>
      <c r="AS817" s="1705">
        <f>IFERROR((AS810-AP793)*10000,"")</f>
        <v/>
      </c>
      <c r="AT817" s="1801">
        <f>AS817</f>
        <v/>
      </c>
      <c r="AU817" s="1705">
        <f>IFERROR((AU810-AQ793)*10000,"")</f>
        <v/>
      </c>
      <c r="AV817" s="1705">
        <f>IFERROR((AV810-AR793)*10000,"")</f>
        <v/>
      </c>
      <c r="AW817" s="1705">
        <f>IFERROR((AW810-AS793)*10000,"")</f>
        <v/>
      </c>
      <c r="AX817" s="1705">
        <f>IFERROR((AX810-AU793)*10000,"")</f>
        <v/>
      </c>
      <c r="AY817" s="1801">
        <f>AX817</f>
        <v/>
      </c>
      <c r="AZ817" s="1705">
        <f>IFERROR((AZ810-AV793)*10000,"")</f>
        <v/>
      </c>
      <c r="BA817" s="1705">
        <f>IFERROR((BA810-AW793)*10000,"")</f>
        <v/>
      </c>
      <c r="BB817" s="1705">
        <f>IFERROR((BB810-AX793)*10000,"")</f>
        <v/>
      </c>
      <c r="BC817" s="1705">
        <f>IFERROR((BC810-AZ793)*10000,"")</f>
        <v/>
      </c>
      <c r="BD817" s="1801">
        <f>BC817</f>
        <v/>
      </c>
      <c r="BE817" s="1705">
        <f>IFERROR((BE810-BA793)*10000,"")</f>
        <v/>
      </c>
      <c r="BF817" s="1705">
        <f>IFERROR((BF810-BB793)*10000,"")</f>
        <v/>
      </c>
      <c r="BG817" s="1705">
        <f>IFERROR((BG810-BC793)*10000,"")</f>
        <v/>
      </c>
      <c r="BH817" s="1705">
        <f>IFERROR((BH810-BE793)*10000,"")</f>
        <v/>
      </c>
      <c r="BI817" s="1801">
        <f>BH817</f>
        <v/>
      </c>
      <c r="BJ817" s="1705">
        <f>IFERROR((BJ810-BF793)*10000,"")</f>
        <v/>
      </c>
      <c r="BK817" s="1705">
        <f>IFERROR((BK810-BG793)*10000,"")</f>
        <v/>
      </c>
      <c r="BL817" s="1705">
        <f>IFERROR((BL810-BH793)*10000,"")</f>
        <v/>
      </c>
      <c r="BM817" s="1705">
        <f>IFERROR((BM810-BJ793)*10000,"")</f>
        <v/>
      </c>
      <c r="BN817" s="1801">
        <f>BM817</f>
        <v/>
      </c>
      <c r="BO817" s="1705">
        <f>IFERROR((BO810-BK793)*10000,"")</f>
        <v/>
      </c>
      <c r="BP817" s="1705">
        <f>IFERROR((BP810-BL793)*10000,"")</f>
        <v/>
      </c>
      <c r="BQ817" s="1802">
        <f>IFERROR((BQ810-BM793)*10000,"")</f>
        <v/>
      </c>
      <c r="BR817" s="1705" t="n"/>
      <c r="BS817" s="1801" t="n"/>
      <c r="BT817" s="1705" t="n"/>
      <c r="BU817" s="1705" t="n"/>
      <c r="BV817" s="1705" t="n"/>
      <c r="BW817" s="1705" t="n"/>
      <c r="BX817" s="1801" t="n"/>
      <c r="BY817" s="1801" t="n"/>
      <c r="BZ817" s="1801" t="n"/>
      <c r="CA817" s="1801" t="n"/>
      <c r="CB817" s="1705" t="n"/>
    </row>
    <row r="818" hidden="1" outlineLevel="3" ht="15" customFormat="1" customHeight="1" s="1359">
      <c r="A818" s="1803" t="inlineStr">
        <is>
          <t>Forward quarterly guided Y/Y non-GAAP EBIT margin improvement - high, bps</t>
        </is>
      </c>
      <c r="B818" s="1774" t="n"/>
      <c r="C818" s="1804" t="n"/>
      <c r="D818" s="1804" t="n"/>
      <c r="E818" s="1804" t="n"/>
      <c r="F818" s="1804" t="n"/>
      <c r="G818" s="1805" t="n"/>
      <c r="H818" s="1805" t="n"/>
      <c r="I818" s="1805" t="n"/>
      <c r="J818" s="1805" t="n"/>
      <c r="K818" s="1804" t="n"/>
      <c r="L818" s="1805" t="n"/>
      <c r="M818" s="1805" t="n"/>
      <c r="N818" s="1805" t="n"/>
      <c r="O818" s="1805" t="n"/>
      <c r="P818" s="1804" t="n"/>
      <c r="Q818" s="1805" t="n"/>
      <c r="R818" s="1805" t="n"/>
      <c r="S818" s="1805" t="n"/>
      <c r="T818" s="1805" t="n"/>
      <c r="U818" s="1804" t="n"/>
      <c r="V818" s="1805" t="n"/>
      <c r="W818" s="1805" t="n"/>
      <c r="X818" s="1805" t="n"/>
      <c r="Y818" s="1805" t="n"/>
      <c r="Z818" s="1804" t="n"/>
      <c r="AA818" s="1805" t="n"/>
      <c r="AB818" s="1805" t="n"/>
      <c r="AC818" s="1805" t="n"/>
      <c r="AD818" s="1805" t="n"/>
      <c r="AE818" s="1804" t="n"/>
      <c r="AF818" s="1805" t="n"/>
      <c r="AG818" s="1805" t="n"/>
      <c r="AH818" s="1805" t="n"/>
      <c r="AI818" s="1805" t="n"/>
      <c r="AJ818" s="1804" t="n"/>
      <c r="AK818" s="1805" t="n"/>
      <c r="AL818" s="1805">
        <f>IFERROR((AL811-AH793)*10000,"")</f>
        <v/>
      </c>
      <c r="AM818" s="1805">
        <f>IFERROR((AM811-AI793)*10000,"")</f>
        <v/>
      </c>
      <c r="AN818" s="1805">
        <f>IFERROR((AN811-AK793)*10000,"")</f>
        <v/>
      </c>
      <c r="AO818" s="1804">
        <f>AN818</f>
        <v/>
      </c>
      <c r="AP818" s="1805">
        <f>IFERROR((AP811-AL793)*10000,"")</f>
        <v/>
      </c>
      <c r="AQ818" s="1805">
        <f>IFERROR((AQ811-AM793)*10000,"")</f>
        <v/>
      </c>
      <c r="AR818" s="1805">
        <f>IFERROR((AR811-AN793)*10000,"")</f>
        <v/>
      </c>
      <c r="AS818" s="1805">
        <f>IFERROR((AS811-AP793)*10000,"")</f>
        <v/>
      </c>
      <c r="AT818" s="1804">
        <f>AS818</f>
        <v/>
      </c>
      <c r="AU818" s="1805">
        <f>IFERROR((AU811-AQ793)*10000,"")</f>
        <v/>
      </c>
      <c r="AV818" s="1805">
        <f>IFERROR((AV811-AR793)*10000,"")</f>
        <v/>
      </c>
      <c r="AW818" s="1805">
        <f>IFERROR((AW811-AS793)*10000,"")</f>
        <v/>
      </c>
      <c r="AX818" s="1805">
        <f>IFERROR((AX811-AU793)*10000,"")</f>
        <v/>
      </c>
      <c r="AY818" s="1804">
        <f>AX818</f>
        <v/>
      </c>
      <c r="AZ818" s="1805">
        <f>IFERROR((AZ811-AV793)*10000,"")</f>
        <v/>
      </c>
      <c r="BA818" s="1805">
        <f>IFERROR((BA811-AW793)*10000,"")</f>
        <v/>
      </c>
      <c r="BB818" s="1805">
        <f>IFERROR((BB811-AX793)*10000,"")</f>
        <v/>
      </c>
      <c r="BC818" s="1805">
        <f>IFERROR((BC811-AZ793)*10000,"")</f>
        <v/>
      </c>
      <c r="BD818" s="1804">
        <f>BC818</f>
        <v/>
      </c>
      <c r="BE818" s="1805">
        <f>IFERROR((BE811-BA793)*10000,"")</f>
        <v/>
      </c>
      <c r="BF818" s="1805">
        <f>IFERROR((BF811-BB793)*10000,"")</f>
        <v/>
      </c>
      <c r="BG818" s="1805">
        <f>IFERROR((BG811-BC793)*10000,"")</f>
        <v/>
      </c>
      <c r="BH818" s="1805">
        <f>IFERROR((BH811-BE793)*10000,"")</f>
        <v/>
      </c>
      <c r="BI818" s="1804">
        <f>BH818</f>
        <v/>
      </c>
      <c r="BJ818" s="1805">
        <f>IFERROR((BJ811-BF793)*10000,"")</f>
        <v/>
      </c>
      <c r="BK818" s="1805">
        <f>IFERROR((BK811-BG793)*10000,"")</f>
        <v/>
      </c>
      <c r="BL818" s="1805">
        <f>IFERROR((BL811-BH793)*10000,"")</f>
        <v/>
      </c>
      <c r="BM818" s="1805">
        <f>IFERROR((BM811-BJ793)*10000,"")</f>
        <v/>
      </c>
      <c r="BN818" s="1804">
        <f>BM818</f>
        <v/>
      </c>
      <c r="BO818" s="1805">
        <f>IFERROR((BO811-BK793)*10000,"")</f>
        <v/>
      </c>
      <c r="BP818" s="1805">
        <f>IFERROR((BP811-BL793)*10000,"")</f>
        <v/>
      </c>
      <c r="BQ818" s="1806">
        <f>IFERROR((BQ811-BM793)*10000,"")</f>
        <v/>
      </c>
      <c r="BR818" s="1805" t="n"/>
      <c r="BS818" s="1804" t="n"/>
      <c r="BT818" s="1805" t="n"/>
      <c r="BU818" s="1805" t="n"/>
      <c r="BV818" s="1805" t="n"/>
      <c r="BW818" s="1805" t="n"/>
      <c r="BX818" s="1804" t="n"/>
      <c r="BY818" s="1804" t="n"/>
      <c r="BZ818" s="1804" t="n"/>
      <c r="CA818" s="1804" t="n"/>
      <c r="CB818" s="1705" t="n"/>
    </row>
    <row r="819" hidden="1" outlineLevel="2" collapsed="1" ht="15" customFormat="1" customHeight="1" s="1359">
      <c r="A819" s="1699" t="inlineStr">
        <is>
          <t>Forward quarterly guided Y/Y non-GAAP EBIT margin improvement - midpoint, bps</t>
        </is>
      </c>
      <c r="B819" s="1590" t="n"/>
      <c r="C819" s="1801" t="n"/>
      <c r="D819" s="1801" t="n"/>
      <c r="E819" s="1801" t="n"/>
      <c r="F819" s="1801" t="n"/>
      <c r="G819" s="1705" t="n"/>
      <c r="H819" s="1705" t="n"/>
      <c r="I819" s="1705" t="n"/>
      <c r="J819" s="1705" t="n"/>
      <c r="K819" s="1801" t="n"/>
      <c r="L819" s="1705" t="n"/>
      <c r="M819" s="1705" t="n"/>
      <c r="N819" s="1705" t="n"/>
      <c r="O819" s="1705" t="n"/>
      <c r="P819" s="1801" t="n"/>
      <c r="Q819" s="1705" t="n"/>
      <c r="R819" s="1705" t="n"/>
      <c r="S819" s="1705" t="n"/>
      <c r="T819" s="1705" t="n"/>
      <c r="U819" s="1801" t="n"/>
      <c r="V819" s="1705" t="n"/>
      <c r="W819" s="1705" t="n"/>
      <c r="X819" s="1705" t="n"/>
      <c r="Y819" s="1705" t="n"/>
      <c r="Z819" s="1801" t="n"/>
      <c r="AA819" s="1705" t="n"/>
      <c r="AB819" s="1705" t="n"/>
      <c r="AC819" s="1705" t="n"/>
      <c r="AD819" s="1705" t="n"/>
      <c r="AE819" s="1801" t="n"/>
      <c r="AF819" s="1705" t="n"/>
      <c r="AG819" s="1705" t="n"/>
      <c r="AH819" s="1705" t="n"/>
      <c r="AI819" s="1705" t="n"/>
      <c r="AJ819" s="1801" t="n"/>
      <c r="AK819" s="1705" t="n"/>
      <c r="AL819" s="1705">
        <f>IFERROR((AL812-AH793)*10000,"")</f>
        <v/>
      </c>
      <c r="AM819" s="1705">
        <f>IFERROR((AM812-AI793)*10000,"")</f>
        <v/>
      </c>
      <c r="AN819" s="1705">
        <f>IFERROR((AN812-AK793)*10000,"")</f>
        <v/>
      </c>
      <c r="AO819" s="1801">
        <f>AN819</f>
        <v/>
      </c>
      <c r="AP819" s="1705">
        <f>IFERROR((AP812-AL793)*10000,"")</f>
        <v/>
      </c>
      <c r="AQ819" s="1705">
        <f>IFERROR((AQ812-AM793)*10000,"")</f>
        <v/>
      </c>
      <c r="AR819" s="1705">
        <f>IFERROR((AR812-AN793)*10000,"")</f>
        <v/>
      </c>
      <c r="AS819" s="1705">
        <f>IFERROR((AS812-AP793)*10000,"")</f>
        <v/>
      </c>
      <c r="AT819" s="1801">
        <f>AS819</f>
        <v/>
      </c>
      <c r="AU819" s="1705">
        <f>IFERROR((AU812-AQ793)*10000,"")</f>
        <v/>
      </c>
      <c r="AV819" s="1705">
        <f>IFERROR((AV812-AR793)*10000,"")</f>
        <v/>
      </c>
      <c r="AW819" s="1705">
        <f>IFERROR((AW812-AS793)*10000,"")</f>
        <v/>
      </c>
      <c r="AX819" s="1705">
        <f>IFERROR((AX812-AU793)*10000,"")</f>
        <v/>
      </c>
      <c r="AY819" s="1801">
        <f>AX819</f>
        <v/>
      </c>
      <c r="AZ819" s="1705">
        <f>IFERROR((AZ812-AV793)*10000,"")</f>
        <v/>
      </c>
      <c r="BA819" s="1705">
        <f>IFERROR((BA812-AW793)*10000,"")</f>
        <v/>
      </c>
      <c r="BB819" s="1705">
        <f>IFERROR((BB812-AX793)*10000,"")</f>
        <v/>
      </c>
      <c r="BC819" s="1705">
        <f>IFERROR((BC812-AZ793)*10000,"")</f>
        <v/>
      </c>
      <c r="BD819" s="1801">
        <f>BC819</f>
        <v/>
      </c>
      <c r="BE819" s="1705">
        <f>IFERROR((BE812-BA793)*10000,"")</f>
        <v/>
      </c>
      <c r="BF819" s="1705">
        <f>IFERROR((BF812-BB793)*10000,"")</f>
        <v/>
      </c>
      <c r="BG819" s="1705">
        <f>IFERROR((BG812-BC793)*10000,"")</f>
        <v/>
      </c>
      <c r="BH819" s="1705">
        <f>IFERROR((BH812-BE793)*10000,"")</f>
        <v/>
      </c>
      <c r="BI819" s="1801">
        <f>BH819</f>
        <v/>
      </c>
      <c r="BJ819" s="1705">
        <f>IFERROR((BJ812-BF793)*10000,"")</f>
        <v/>
      </c>
      <c r="BK819" s="1705">
        <f>IFERROR((BK812-BG793)*10000,"")</f>
        <v/>
      </c>
      <c r="BL819" s="1705">
        <f>IFERROR((BL812-BH793)*10000,"")</f>
        <v/>
      </c>
      <c r="BM819" s="1705">
        <f>IFERROR((BM812-BJ793)*10000,"")</f>
        <v/>
      </c>
      <c r="BN819" s="1801">
        <f>BM819</f>
        <v/>
      </c>
      <c r="BO819" s="1705">
        <f>IFERROR((BO812-BK793)*10000,"")</f>
        <v/>
      </c>
      <c r="BP819" s="1705">
        <f>IFERROR((BP812-BL793)*10000,"")</f>
        <v/>
      </c>
      <c r="BQ819" s="1802">
        <f>IFERROR((BQ812-BM793)*10000,"")</f>
        <v/>
      </c>
      <c r="BR819" s="1705" t="n"/>
      <c r="BS819" s="1801" t="n"/>
      <c r="BT819" s="1705" t="n"/>
      <c r="BU819" s="1705" t="n"/>
      <c r="BV819" s="1705" t="n"/>
      <c r="BW819" s="1705" t="n"/>
      <c r="BX819" s="1801" t="n"/>
      <c r="BY819" s="1801" t="n"/>
      <c r="BZ819" s="1801" t="n"/>
      <c r="CA819" s="1801" t="n"/>
      <c r="CB819" s="1705" t="n"/>
    </row>
    <row r="820" hidden="1" outlineLevel="2" ht="15" customFormat="1" customHeight="1" s="1359">
      <c r="A820" s="545" t="n"/>
      <c r="B820" s="1512" t="n"/>
      <c r="C820" s="1379" t="n"/>
      <c r="D820" s="1379" t="n"/>
      <c r="E820" s="1379" t="n"/>
      <c r="F820" s="1379" t="n"/>
      <c r="G820" s="1361" t="n"/>
      <c r="H820" s="1361" t="n"/>
      <c r="I820" s="1361" t="n"/>
      <c r="J820" s="1361" t="n"/>
      <c r="K820" s="1379" t="n"/>
      <c r="L820" s="1361" t="n"/>
      <c r="M820" s="1361" t="n"/>
      <c r="N820" s="1361" t="n"/>
      <c r="O820" s="1361" t="n"/>
      <c r="P820" s="1379" t="n"/>
      <c r="Q820" s="1361" t="n"/>
      <c r="R820" s="1361" t="n"/>
      <c r="S820" s="1361" t="n"/>
      <c r="T820" s="1361" t="n"/>
      <c r="U820" s="1379" t="n"/>
      <c r="V820" s="1361" t="n"/>
      <c r="W820" s="1361" t="n"/>
      <c r="X820" s="1361" t="n"/>
      <c r="Y820" s="1361" t="n"/>
      <c r="Z820" s="1379" t="n"/>
      <c r="AA820" s="1361" t="n"/>
      <c r="AB820" s="1361" t="n"/>
      <c r="AC820" s="1361" t="n"/>
      <c r="AD820" s="1361" t="n"/>
      <c r="AE820" s="1379" t="n"/>
      <c r="AF820" s="1361" t="n"/>
      <c r="AG820" s="1361" t="n"/>
      <c r="AH820" s="1361" t="n"/>
      <c r="AI820" s="1361" t="n"/>
      <c r="AJ820" s="1379" t="n"/>
      <c r="AK820" s="1361" t="n"/>
      <c r="AL820" s="1361" t="n"/>
      <c r="AM820" s="1361" t="n"/>
      <c r="AN820" s="1361" t="n"/>
      <c r="AO820" s="1379" t="n"/>
      <c r="AP820" s="1361" t="n"/>
      <c r="AQ820" s="1361" t="n"/>
      <c r="AR820" s="1361" t="n"/>
      <c r="AS820" s="1361" t="n"/>
      <c r="AT820" s="1379" t="n"/>
      <c r="AU820" s="1361" t="n"/>
      <c r="AV820" s="1361" t="n"/>
      <c r="AW820" s="1361" t="n"/>
      <c r="AX820" s="1361" t="n"/>
      <c r="AY820" s="1379" t="n"/>
      <c r="AZ820" s="1361" t="n"/>
      <c r="BA820" s="1361" t="n"/>
      <c r="BB820" s="1361" t="n"/>
      <c r="BC820" s="1361" t="n"/>
      <c r="BD820" s="1379" t="n"/>
      <c r="BE820" s="1361" t="n"/>
      <c r="BF820" s="1361" t="n"/>
      <c r="BG820" s="1361" t="n"/>
      <c r="BH820" s="1361" t="n"/>
      <c r="BI820" s="1379" t="n"/>
      <c r="BJ820" s="1361" t="n"/>
      <c r="BK820" s="1361" t="n"/>
      <c r="BL820" s="1361" t="n"/>
      <c r="BM820" s="1361" t="n"/>
      <c r="BN820" s="1379" t="n"/>
      <c r="BO820" s="1361" t="n"/>
      <c r="BP820" s="1361" t="n"/>
      <c r="BQ820" s="1363" t="n"/>
      <c r="BR820" s="1361" t="n"/>
      <c r="BS820" s="1379" t="n"/>
      <c r="BT820" s="1361" t="n"/>
      <c r="BU820" s="1361" t="n"/>
      <c r="BV820" s="1361" t="n"/>
      <c r="BW820" s="1361" t="n"/>
      <c r="BX820" s="1379" t="n"/>
      <c r="BY820" s="1379" t="n"/>
      <c r="BZ820" s="1379" t="n"/>
      <c r="CA820" s="1379" t="n"/>
      <c r="CB820" s="1361" t="n"/>
    </row>
    <row r="821" hidden="1" outlineLevel="2" ht="15" customFormat="1" customHeight="1" s="1359">
      <c r="A821" s="1501" t="inlineStr">
        <is>
          <t>Y/Y Implied annual guidance non-GAAP EBIT growth, %</t>
        </is>
      </c>
      <c r="B821" s="1590" t="n"/>
      <c r="C821" s="1382" t="n"/>
      <c r="D821" s="1382">
        <f>IFERROR(IF(D775="","",D775/C777-1),"")</f>
        <v/>
      </c>
      <c r="E821" s="1382">
        <f>IFERROR(IF(E775="","",E775/D777-1),"")</f>
        <v/>
      </c>
      <c r="F821" s="1382">
        <f>IFERROR(IF(F775="","",F775/E777-1),"")</f>
        <v/>
      </c>
      <c r="G821" s="1384">
        <f>IFERROR(IF(K772="","",K772/F777-1),"")</f>
        <v/>
      </c>
      <c r="H821" s="1384">
        <f>IFERROR(IF(K773="","",K773/F777-1),"")</f>
        <v/>
      </c>
      <c r="I821" s="1384">
        <f>IFERROR(IF(K774="","",K774/F777-1),"")</f>
        <v/>
      </c>
      <c r="J821" s="1384">
        <f>IFERROR(IF(K775="","",K775/F777-1),"")</f>
        <v/>
      </c>
      <c r="K821" s="1382">
        <f>IFERROR(IF(K775="","",K775/F777-1),"")</f>
        <v/>
      </c>
      <c r="L821" s="1384">
        <f>IFERROR(IF(P772="","",P772/K777-1),"")</f>
        <v/>
      </c>
      <c r="M821" s="1384">
        <f>IFERROR(IF(P773="","",P773/K777-1),"")</f>
        <v/>
      </c>
      <c r="N821" s="1384">
        <f>IFERROR(IF(P774="","",P774/K777-1),"")</f>
        <v/>
      </c>
      <c r="O821" s="1384">
        <f>IFERROR(IF(P775="","",P775/K777-1),"")</f>
        <v/>
      </c>
      <c r="P821" s="1382">
        <f>IFERROR(IF(P775="","",P775/K777-1),"")</f>
        <v/>
      </c>
      <c r="Q821" s="1384">
        <f>IFERROR(IF(U772="","",U772/P777-1),"")</f>
        <v/>
      </c>
      <c r="R821" s="1384">
        <f>IFERROR(IF(U773="","",U773/P777-1),"")</f>
        <v/>
      </c>
      <c r="S821" s="1384">
        <f>IFERROR(IF(U774="","",U774/P777-1),"")</f>
        <v/>
      </c>
      <c r="T821" s="1384">
        <f>IFERROR(IF(U775="","",U775/P777-1),"")</f>
        <v/>
      </c>
      <c r="U821" s="1382">
        <f>IFERROR(IF(U775="","",U775/P777-1),"")</f>
        <v/>
      </c>
      <c r="V821" s="1384">
        <f>IFERROR(IF(Z772="","",Z772/U777-1),"")</f>
        <v/>
      </c>
      <c r="W821" s="1384">
        <f>IFERROR(IF(Z773="","",Z773/U777-1),"")</f>
        <v/>
      </c>
      <c r="X821" s="1384">
        <f>IFERROR(IF(Z774="","",Z774/U777-1),"")</f>
        <v/>
      </c>
      <c r="Y821" s="1384">
        <f>IFERROR(IF(Z775="","",Z775/U777-1),"")</f>
        <v/>
      </c>
      <c r="Z821" s="1382">
        <f>IFERROR(IF(Z775="","",Z775/U777-1),"")</f>
        <v/>
      </c>
      <c r="AA821" s="1384">
        <f>IFERROR(IF(AE772="","",AE772/Z777-1),"")</f>
        <v/>
      </c>
      <c r="AB821" s="1384">
        <f>IFERROR(IF(AE773="","",AE773/Z777-1),"")</f>
        <v/>
      </c>
      <c r="AC821" s="1384">
        <f>IFERROR(IF(AE774="","",AE774/Z777-1),"")</f>
        <v/>
      </c>
      <c r="AD821" s="1384">
        <f>IFERROR(IF(AE775="","",AE775/Z777-1),"")</f>
        <v/>
      </c>
      <c r="AE821" s="1382">
        <f>IFERROR(IF(AE775="","",AE775/Z777-1),"")</f>
        <v/>
      </c>
      <c r="AF821" s="1384">
        <f>IFERROR(IF(AJ772="","",AJ772/AE777-1),"")</f>
        <v/>
      </c>
      <c r="AG821" s="1384">
        <f>IFERROR(IF(AJ773="","",AJ773/AE777-1),"")</f>
        <v/>
      </c>
      <c r="AH821" s="1384">
        <f>IFERROR(IF(AJ774="","",AJ774/AE777-1),"")</f>
        <v/>
      </c>
      <c r="AI821" s="1384">
        <f>IFERROR(IF(AJ775="","",AJ775/AE777-1),"")</f>
        <v/>
      </c>
      <c r="AJ821" s="1382">
        <f>IFERROR(IF(AJ775="","",AJ775/AE777-1),"")</f>
        <v/>
      </c>
      <c r="AK821" s="1384">
        <f>IFERROR(IF(AO772="","",AO772/AJ777-1),"")</f>
        <v/>
      </c>
      <c r="AL821" s="1384">
        <f>IFERROR(IF(AO773="","",AO773/AJ777-1),"")</f>
        <v/>
      </c>
      <c r="AM821" s="1384">
        <f>IFERROR(IF(AO774="","",AO774/AJ777-1),"")</f>
        <v/>
      </c>
      <c r="AN821" s="1384">
        <f>IFERROR(IF(AO775="","",AO775/AJ777-1),"")</f>
        <v/>
      </c>
      <c r="AO821" s="1382">
        <f>IFERROR(IF(AO775="","",AO775/AJ777-1),"")</f>
        <v/>
      </c>
      <c r="AP821" s="1384">
        <f>IFERROR(IF(AT772="","",AT772/AO777-1),"")</f>
        <v/>
      </c>
      <c r="AQ821" s="1384">
        <f>IFERROR(IF(AT773="","",AT773/AO777-1),"")</f>
        <v/>
      </c>
      <c r="AR821" s="1384">
        <f>IFERROR(IF(AT774="","",AT774/AO777-1),"")</f>
        <v/>
      </c>
      <c r="AS821" s="1384">
        <f>IFERROR(IF(AT775="","",AT775/AO777-1),"")</f>
        <v/>
      </c>
      <c r="AT821" s="1382">
        <f>IFERROR(IF(AT775="","",AT775/AO777-1),"")</f>
        <v/>
      </c>
      <c r="AU821" s="1384">
        <f>IFERROR(IF(AY772="","",AY772/AT777-1),"")</f>
        <v/>
      </c>
      <c r="AV821" s="1384">
        <f>IFERROR(IF(AY773="","",AY773/AT777-1),"")</f>
        <v/>
      </c>
      <c r="AW821" s="1384">
        <f>IFERROR(IF(AY774="","",AY774/AT777-1),"")</f>
        <v/>
      </c>
      <c r="AX821" s="1384">
        <f>IFERROR(IF(AY775="","",AY775/AT777-1),"")</f>
        <v/>
      </c>
      <c r="AY821" s="1382">
        <f>IFERROR(IF(AY775="","",AY775/AT777-1),"")</f>
        <v/>
      </c>
      <c r="AZ821" s="1384">
        <f>IFERROR(IF(BD772="","",BD772/AY777-1),"")</f>
        <v/>
      </c>
      <c r="BA821" s="1384">
        <f>IFERROR(IF(BD773="","",BD773/AY777-1),"")</f>
        <v/>
      </c>
      <c r="BB821" s="1384">
        <f>IFERROR(IF(BD774="","",BD774/AY777-1),"")</f>
        <v/>
      </c>
      <c r="BC821" s="1384">
        <f>IFERROR(IF(BD775="","",BD775/AY777-1),"")</f>
        <v/>
      </c>
      <c r="BD821" s="1382">
        <f>IFERROR(IF(BD775="","",BD775/AY777-1),"")</f>
        <v/>
      </c>
      <c r="BE821" s="1384">
        <f>IFERROR(IF(BI772="","",BI772/BD777-1),"")</f>
        <v/>
      </c>
      <c r="BF821" s="1384">
        <f>IFERROR(IF(BI773="","",BI773/BD777-1),"")</f>
        <v/>
      </c>
      <c r="BG821" s="1384">
        <f>IFERROR(IF(BI774="","",BI774/BD777-1),"")</f>
        <v/>
      </c>
      <c r="BH821" s="1384">
        <f>IFERROR(IF(BI775="","",BI775/BD777-1),"")</f>
        <v/>
      </c>
      <c r="BI821" s="1382">
        <f>IFERROR(IF(BI775="","",BI775/BD777-1),"")</f>
        <v/>
      </c>
      <c r="BJ821" s="1384">
        <f>IFERROR(IF(BN772="","",BN772/BI777-1),"")</f>
        <v/>
      </c>
      <c r="BK821" s="1384">
        <f>IFERROR(IF(BN773="","",BN773/BI777-1),"")</f>
        <v/>
      </c>
      <c r="BL821" s="1384">
        <f>IFERROR(IF(BN774="","",BN774/BI777-1),"")</f>
        <v/>
      </c>
      <c r="BM821" s="1384">
        <f>IFERROR(IF(BN775="","",BN775/BI777-1),"")</f>
        <v/>
      </c>
      <c r="BN821" s="1382">
        <f>IFERROR(IF(BN775="","",BN775/BI777-1),"")</f>
        <v/>
      </c>
      <c r="BO821" s="1384">
        <f>IFERROR(IF(BS772="","",BS772/BN777-1),"")</f>
        <v/>
      </c>
      <c r="BP821" s="1384">
        <f>IFERROR(IF(BS773="","",BS773/BN777-1),"")</f>
        <v/>
      </c>
      <c r="BQ821" s="1386">
        <f>IFERROR(IF(BS774="","",BS774/BN777-1),"")</f>
        <v/>
      </c>
      <c r="BR821" s="1384">
        <f>IFERROR(IF(BS775="","",BS775/BN777-1),"")</f>
        <v/>
      </c>
      <c r="BS821" s="1382">
        <f>IFERROR(IF(BS775="","",BS775/BN777-1),"")</f>
        <v/>
      </c>
      <c r="BT821" s="1384">
        <f>IFERROR(IF(BX772="","",BX772/BS777-1),"")</f>
        <v/>
      </c>
      <c r="BU821" s="1384">
        <f>IFERROR(IF(BX773="","",BX773/BS777-1),"")</f>
        <v/>
      </c>
      <c r="BV821" s="1384">
        <f>IFERROR(IF(BX774="","",BX774/BS777-1),"")</f>
        <v/>
      </c>
      <c r="BW821" s="1384">
        <f>IFERROR(IF(BX775="","",BX775/BS777-1),"")</f>
        <v/>
      </c>
      <c r="BX821" s="1382">
        <f>IFERROR(IF(BX775="","",BX775/BS777-1),"")</f>
        <v/>
      </c>
      <c r="BY821" s="1382" t="n"/>
      <c r="BZ821" s="1382" t="n"/>
      <c r="CA821" s="1382" t="n"/>
      <c r="CB821" s="1384" t="n"/>
    </row>
    <row r="822" hidden="1" outlineLevel="2" ht="15" customFormat="1" customHeight="1" s="1359">
      <c r="A822" s="1773" t="inlineStr">
        <is>
          <t>Y/Y annual guidance beat/(miss) non-GAAP EBIT growth, %</t>
        </is>
      </c>
      <c r="B822" s="1774" t="n"/>
      <c r="C822" s="1775" t="n"/>
      <c r="D822" s="1775">
        <f>IFERROR(IF(D775="","",(D777-D775)/C777),"")</f>
        <v/>
      </c>
      <c r="E822" s="1775">
        <f>IFERROR(IF(E775="","",(E777-E775)/D777),"")</f>
        <v/>
      </c>
      <c r="F822" s="1775">
        <f>IFERROR(IF(F775="","",(F777-F775)/E777),"")</f>
        <v/>
      </c>
      <c r="G822" s="1776">
        <f>IFERROR(IF(K772="","",(K777-K772)/F777),"")</f>
        <v/>
      </c>
      <c r="H822" s="1776">
        <f>IFERROR(IF(K773="","",(K777-K773)/F777),"")</f>
        <v/>
      </c>
      <c r="I822" s="1776">
        <f>IFERROR(IF(K774="","",(K777-K774)/F777),"")</f>
        <v/>
      </c>
      <c r="J822" s="1776">
        <f>IFERROR(IF(K775="","",(K777-K775)/F777),"")</f>
        <v/>
      </c>
      <c r="K822" s="1775">
        <f>IFERROR(IF(K775="","",(K777-K775)/F777),"")</f>
        <v/>
      </c>
      <c r="L822" s="1776">
        <f>IFERROR(IF(P772="","",(P777-P772)/K777),"")</f>
        <v/>
      </c>
      <c r="M822" s="1776">
        <f>IFERROR(IF(P773="","",(P777-P773)/K777),"")</f>
        <v/>
      </c>
      <c r="N822" s="1776">
        <f>IFERROR(IF(P774="","",(P777-P774)/K777),"")</f>
        <v/>
      </c>
      <c r="O822" s="1776">
        <f>IFERROR(IF(P775="","",(P777-P775)/K777),"")</f>
        <v/>
      </c>
      <c r="P822" s="1775">
        <f>IFERROR(IF(P775="","",(P777-P775)/K777),"")</f>
        <v/>
      </c>
      <c r="Q822" s="1776">
        <f>IFERROR(IF(U772="","",(U777-U772)/P777),"")</f>
        <v/>
      </c>
      <c r="R822" s="1776">
        <f>IFERROR(IF(U773="","",(U777-U773)/P777),"")</f>
        <v/>
      </c>
      <c r="S822" s="1776">
        <f>IFERROR(IF(U774="","",(U777-U774)/P777),"")</f>
        <v/>
      </c>
      <c r="T822" s="1776">
        <f>IFERROR(IF(U775="","",(U777-U775)/P777),"")</f>
        <v/>
      </c>
      <c r="U822" s="1775">
        <f>IFERROR(IF(U775="","",(U777-U775)/P777),"")</f>
        <v/>
      </c>
      <c r="V822" s="1776">
        <f>IFERROR(IF(Z772="","",(Z777-Z772)/U777),"")</f>
        <v/>
      </c>
      <c r="W822" s="1776">
        <f>IFERROR(IF(Z773="","",(Z777-Z773)/U777),"")</f>
        <v/>
      </c>
      <c r="X822" s="1776">
        <f>IFERROR(IF(Z774="","",(Z777-Z774)/U777),"")</f>
        <v/>
      </c>
      <c r="Y822" s="1776">
        <f>IFERROR(IF(Z775="","",(Z777-Z775)/U777),"")</f>
        <v/>
      </c>
      <c r="Z822" s="1775">
        <f>IFERROR(IF(Z775="","",(Z777-Z775)/U777),"")</f>
        <v/>
      </c>
      <c r="AA822" s="1776">
        <f>IFERROR(IF(AE772="","",(AE777-AE772)/Z777),"")</f>
        <v/>
      </c>
      <c r="AB822" s="1776">
        <f>IFERROR(IF(AE773="","",(AE777-AE773)/Z777),"")</f>
        <v/>
      </c>
      <c r="AC822" s="1776">
        <f>IFERROR(IF(AE774="","",(AE777-AE774)/Z777),"")</f>
        <v/>
      </c>
      <c r="AD822" s="1776">
        <f>IFERROR(IF(AE775="","",(AE777-AE775)/Z777),"")</f>
        <v/>
      </c>
      <c r="AE822" s="1775">
        <f>IFERROR(IF(AE775="","",(AE777-AE775)/Z777),"")</f>
        <v/>
      </c>
      <c r="AF822" s="1776">
        <f>IFERROR(IF(AJ772="","",(AJ777-AJ772)/AE777),"")</f>
        <v/>
      </c>
      <c r="AG822" s="1776">
        <f>IFERROR(IF(AJ773="","",(AJ777-AJ773)/AE777),"")</f>
        <v/>
      </c>
      <c r="AH822" s="1776">
        <f>IFERROR(IF(AJ774="","",(AJ777-AJ774)/AE777),"")</f>
        <v/>
      </c>
      <c r="AI822" s="1776">
        <f>IFERROR(IF(AJ775="","",(AJ777-AJ775)/AE777),"")</f>
        <v/>
      </c>
      <c r="AJ822" s="1775">
        <f>IFERROR(IF(AJ775="","",(AJ777-AJ775)/AE777),"")</f>
        <v/>
      </c>
      <c r="AK822" s="1776">
        <f>IFERROR(IF(AO772="","",(AO777-AO772)/AJ777),"")</f>
        <v/>
      </c>
      <c r="AL822" s="1776">
        <f>IFERROR(IF(AO773="","",(AO777-AO773)/AJ777),"")</f>
        <v/>
      </c>
      <c r="AM822" s="1776">
        <f>IFERROR(IF(AO774="","",(AO777-AO774)/AJ777),"")</f>
        <v/>
      </c>
      <c r="AN822" s="1776">
        <f>IFERROR(IF(AO775="","",(AO777-AO775)/AJ777),"")</f>
        <v/>
      </c>
      <c r="AO822" s="1775">
        <f>IFERROR(IF(AO775="","",(AO777-AO775)/AJ777),"")</f>
        <v/>
      </c>
      <c r="AP822" s="1776">
        <f>IFERROR(IF(AT772="","",(AT777-AT772)/AO777),"")</f>
        <v/>
      </c>
      <c r="AQ822" s="1776">
        <f>IFERROR(IF(AT773="","",(AT777-AT773)/AO777),"")</f>
        <v/>
      </c>
      <c r="AR822" s="1776">
        <f>IFERROR(IF(AT774="","",(AT777-AT774)/AO777),"")</f>
        <v/>
      </c>
      <c r="AS822" s="1776">
        <f>IFERROR(IF(AT775="","",(AT777-AT775)/AO777),"")</f>
        <v/>
      </c>
      <c r="AT822" s="1775">
        <f>IFERROR(IF(AT775="","",(AT777-AT775)/AO777),"")</f>
        <v/>
      </c>
      <c r="AU822" s="1776">
        <f>IFERROR(IF(AY772="","",(AY777-AY772)/AT777),"")</f>
        <v/>
      </c>
      <c r="AV822" s="1776">
        <f>IFERROR(IF(AY773="","",(AY777-AY773)/AT777),"")</f>
        <v/>
      </c>
      <c r="AW822" s="1776">
        <f>IFERROR(IF(AY774="","",(AY777-AY774)/AT777),"")</f>
        <v/>
      </c>
      <c r="AX822" s="1776">
        <f>IFERROR(IF(AY775="","",(AY777-AY775)/AT777),"")</f>
        <v/>
      </c>
      <c r="AY822" s="1775">
        <f>IFERROR(IF(AY775="","",(AY777-AY775)/AT777),"")</f>
        <v/>
      </c>
      <c r="AZ822" s="1776">
        <f>IFERROR(IF(BD772="","",(BD777-BD772)/AY777),"")</f>
        <v/>
      </c>
      <c r="BA822" s="1776">
        <f>IFERROR(IF(BD773="","",(BD777-BD773)/AY777),"")</f>
        <v/>
      </c>
      <c r="BB822" s="1776">
        <f>IFERROR(IF(BD774="","",(BD777-BD774)/AY777),"")</f>
        <v/>
      </c>
      <c r="BC822" s="1776">
        <f>IFERROR(IF(BD775="","",(BD777-BD775)/AY777),"")</f>
        <v/>
      </c>
      <c r="BD822" s="1775">
        <f>IFERROR(IF(BD775="","",(BD777-BD775)/AY777),"")</f>
        <v/>
      </c>
      <c r="BE822" s="1776">
        <f>IFERROR(IF(BI772="","",(BI777-BI772)/BD777),"")</f>
        <v/>
      </c>
      <c r="BF822" s="1776">
        <f>IFERROR(IF(BI773="","",(BI777-BI773)/BD777),"")</f>
        <v/>
      </c>
      <c r="BG822" s="1776">
        <f>IFERROR(IF(BI774="","",(BI777-BI774)/BD777),"")</f>
        <v/>
      </c>
      <c r="BH822" s="1776">
        <f>IFERROR(IF(BI775="","",(BI777-BI775)/BD777),"")</f>
        <v/>
      </c>
      <c r="BI822" s="1775">
        <f>IFERROR(IF(BI775="","",(BI777-BI775)/BD777),"")</f>
        <v/>
      </c>
      <c r="BJ822" s="1776">
        <f>IFERROR(IF(BN772="","",(BN777-BN772)/BI777),"")</f>
        <v/>
      </c>
      <c r="BK822" s="1776">
        <f>IFERROR(IF(BN773="","",(BN777-BN773)/BI777),"")</f>
        <v/>
      </c>
      <c r="BL822" s="1776">
        <f>IFERROR(IF(BN774="","",(BN777-BN774)/BI777),"")</f>
        <v/>
      </c>
      <c r="BM822" s="1776">
        <f>IFERROR(IF(BN775="","",(BN777-BN775)/BI777),"")</f>
        <v/>
      </c>
      <c r="BN822" s="1775">
        <f>IFERROR(IF(BN775="","",(BN777-BN775)/BI777),"")</f>
        <v/>
      </c>
      <c r="BO822" s="1776">
        <f>IFERROR(IF(BS772="","",(BS777-BS772)/BN777),"")</f>
        <v/>
      </c>
      <c r="BP822" s="1776">
        <f>IFERROR(IF(BS773="","",(BS777-BS773)/BN777),"")</f>
        <v/>
      </c>
      <c r="BQ822" s="1777">
        <f>IFERROR(IF(BS774="","",(BS777-BS774)/BN777),"")</f>
        <v/>
      </c>
      <c r="BR822" s="1776">
        <f>IFERROR(IF(BS775="","",(BS777-BS775)/BN777),"")</f>
        <v/>
      </c>
      <c r="BS822" s="1775">
        <f>IFERROR(IF(BS775="","",(BS777-BS775)/BN777),"")</f>
        <v/>
      </c>
      <c r="BT822" s="1776">
        <f>IFERROR(IF(BX772="","",(BX777-BX772)/BS777),"")</f>
        <v/>
      </c>
      <c r="BU822" s="1776">
        <f>IFERROR(IF(BX773="","",(BX777-BX773)/BS777),"")</f>
        <v/>
      </c>
      <c r="BV822" s="1776">
        <f>IFERROR(IF(BX774="","",(BX777-BX774)/BS777),"")</f>
        <v/>
      </c>
      <c r="BW822" s="1776">
        <f>IFERROR(IF(BX775="","",(BX777-BX775)/BS777),"")</f>
        <v/>
      </c>
      <c r="BX822" s="1775">
        <f>IFERROR(IF(BX775="","",(BX777-BX775)/BS777),"")</f>
        <v/>
      </c>
      <c r="BY822" s="1775" t="n"/>
      <c r="BZ822" s="1775" t="n"/>
      <c r="CA822" s="1775" t="n"/>
      <c r="CB822" s="1384" t="n"/>
    </row>
    <row r="823" hidden="1" outlineLevel="2" ht="15" customFormat="1" customHeight="1" s="1359">
      <c r="A823" s="1778" t="inlineStr">
        <is>
          <t>Y/Y annual non-GAAP EBIT growth, %</t>
        </is>
      </c>
      <c r="B823" s="1769" t="n"/>
      <c r="C823" s="1770" t="n"/>
      <c r="D823" s="1770">
        <f>D777/C777-1</f>
        <v/>
      </c>
      <c r="E823" s="1770">
        <f>E777/D777-1</f>
        <v/>
      </c>
      <c r="F823" s="1770">
        <f>F777/E777-1</f>
        <v/>
      </c>
      <c r="G823" s="1771">
        <f>K777/F777-1</f>
        <v/>
      </c>
      <c r="H823" s="1771">
        <f>K777/F777-1</f>
        <v/>
      </c>
      <c r="I823" s="1771">
        <f>K777/F777-1</f>
        <v/>
      </c>
      <c r="J823" s="1771">
        <f>K777/F777-1</f>
        <v/>
      </c>
      <c r="K823" s="1770">
        <f>K777/F777-1</f>
        <v/>
      </c>
      <c r="L823" s="1771">
        <f>P777/K777-1</f>
        <v/>
      </c>
      <c r="M823" s="1771">
        <f>P777/K777-1</f>
        <v/>
      </c>
      <c r="N823" s="1771">
        <f>P777/K777-1</f>
        <v/>
      </c>
      <c r="O823" s="1771">
        <f>P777/K777-1</f>
        <v/>
      </c>
      <c r="P823" s="1770">
        <f>P777/K777-1</f>
        <v/>
      </c>
      <c r="Q823" s="1771">
        <f>U777/P777-1</f>
        <v/>
      </c>
      <c r="R823" s="1771">
        <f>U777/P777-1</f>
        <v/>
      </c>
      <c r="S823" s="1771">
        <f>U777/P777-1</f>
        <v/>
      </c>
      <c r="T823" s="1771">
        <f>U777/P777-1</f>
        <v/>
      </c>
      <c r="U823" s="1770">
        <f>U777/P777-1</f>
        <v/>
      </c>
      <c r="V823" s="1771">
        <f>Z777/U777-1</f>
        <v/>
      </c>
      <c r="W823" s="1771">
        <f>Z777/U777-1</f>
        <v/>
      </c>
      <c r="X823" s="1771">
        <f>Z777/U777-1</f>
        <v/>
      </c>
      <c r="Y823" s="1771">
        <f>Z777/U777-1</f>
        <v/>
      </c>
      <c r="Z823" s="1770">
        <f>Z777/U777-1</f>
        <v/>
      </c>
      <c r="AA823" s="1771">
        <f>AE777/Z777-1</f>
        <v/>
      </c>
      <c r="AB823" s="1771">
        <f>AE777/Z777-1</f>
        <v/>
      </c>
      <c r="AC823" s="1771">
        <f>AE777/Z777-1</f>
        <v/>
      </c>
      <c r="AD823" s="1771">
        <f>AE777/Z777-1</f>
        <v/>
      </c>
      <c r="AE823" s="1770">
        <f>AE777/Z777-1</f>
        <v/>
      </c>
      <c r="AF823" s="1771">
        <f>AJ777/AE777-1</f>
        <v/>
      </c>
      <c r="AG823" s="1771">
        <f>AJ777/AE777-1</f>
        <v/>
      </c>
      <c r="AH823" s="1771">
        <f>AJ777/AE777-1</f>
        <v/>
      </c>
      <c r="AI823" s="1771">
        <f>AJ777/AE777-1</f>
        <v/>
      </c>
      <c r="AJ823" s="1770">
        <f>AJ777/AE777-1</f>
        <v/>
      </c>
      <c r="AK823" s="1771">
        <f>AO777/AJ777-1</f>
        <v/>
      </c>
      <c r="AL823" s="1771">
        <f>AO777/AJ777-1</f>
        <v/>
      </c>
      <c r="AM823" s="1771">
        <f>AO777/AJ777-1</f>
        <v/>
      </c>
      <c r="AN823" s="1771">
        <f>AO777/AJ777-1</f>
        <v/>
      </c>
      <c r="AO823" s="1770">
        <f>AO777/AJ777-1</f>
        <v/>
      </c>
      <c r="AP823" s="1771">
        <f>AT777/AO777-1</f>
        <v/>
      </c>
      <c r="AQ823" s="1771">
        <f>AT777/AO777-1</f>
        <v/>
      </c>
      <c r="AR823" s="1771">
        <f>AT777/AO777-1</f>
        <v/>
      </c>
      <c r="AS823" s="1771">
        <f>AT777/AO777-1</f>
        <v/>
      </c>
      <c r="AT823" s="1770">
        <f>AT777/AO777-1</f>
        <v/>
      </c>
      <c r="AU823" s="1771">
        <f>AY777/AT777-1</f>
        <v/>
      </c>
      <c r="AV823" s="1771">
        <f>AY777/AT777-1</f>
        <v/>
      </c>
      <c r="AW823" s="1771">
        <f>AY777/AT777-1</f>
        <v/>
      </c>
      <c r="AX823" s="1771">
        <f>AY777/AT777-1</f>
        <v/>
      </c>
      <c r="AY823" s="1770">
        <f>AY777/AT777-1</f>
        <v/>
      </c>
      <c r="AZ823" s="1771">
        <f>BD777/AY777-1</f>
        <v/>
      </c>
      <c r="BA823" s="1771">
        <f>BD777/AY777-1</f>
        <v/>
      </c>
      <c r="BB823" s="1771">
        <f>BD777/AY777-1</f>
        <v/>
      </c>
      <c r="BC823" s="1771">
        <f>BD777/AY777-1</f>
        <v/>
      </c>
      <c r="BD823" s="1770">
        <f>BD777/AY777-1</f>
        <v/>
      </c>
      <c r="BE823" s="1771">
        <f>BI777/BD777-1</f>
        <v/>
      </c>
      <c r="BF823" s="1771">
        <f>BI777/BD777-1</f>
        <v/>
      </c>
      <c r="BG823" s="1771">
        <f>BI777/BD777-1</f>
        <v/>
      </c>
      <c r="BH823" s="1771">
        <f>BI777/BD777-1</f>
        <v/>
      </c>
      <c r="BI823" s="1770">
        <f>BI777/BD777-1</f>
        <v/>
      </c>
      <c r="BJ823" s="1771">
        <f>BN777/BI777-1</f>
        <v/>
      </c>
      <c r="BK823" s="1771">
        <f>BN777/BI777-1</f>
        <v/>
      </c>
      <c r="BL823" s="1771">
        <f>BN777/BI777-1</f>
        <v/>
      </c>
      <c r="BM823" s="1771">
        <f>BN777/BI777-1</f>
        <v/>
      </c>
      <c r="BN823" s="1770">
        <f>BN777/BI777-1</f>
        <v/>
      </c>
      <c r="BO823" s="1771">
        <f>BS777/BN777-1</f>
        <v/>
      </c>
      <c r="BP823" s="1771">
        <f>BS777/BN777-1</f>
        <v/>
      </c>
      <c r="BQ823" s="1772">
        <f>BS777/BN777-1</f>
        <v/>
      </c>
      <c r="BR823" s="1771">
        <f>BS777/BN777-1</f>
        <v/>
      </c>
      <c r="BS823" s="1770">
        <f>BS777/BN777-1</f>
        <v/>
      </c>
      <c r="BT823" s="1771">
        <f>BX777/BS777-1</f>
        <v/>
      </c>
      <c r="BU823" s="1771">
        <f>BX777/BS777-1</f>
        <v/>
      </c>
      <c r="BV823" s="1771">
        <f>BX777/BS777-1</f>
        <v/>
      </c>
      <c r="BW823" s="1771">
        <f>BX777/BS777-1</f>
        <v/>
      </c>
      <c r="BX823" s="1770">
        <f>BX777/BS777-1</f>
        <v/>
      </c>
      <c r="BY823" s="1770">
        <f>BY777/BX777-1</f>
        <v/>
      </c>
      <c r="BZ823" s="1770">
        <f>BZ777/BY777-1</f>
        <v/>
      </c>
      <c r="CA823" s="1770">
        <f>CA777/BZ777-1</f>
        <v/>
      </c>
      <c r="CB823" s="1771" t="n"/>
    </row>
    <row r="824" hidden="1" outlineLevel="2" ht="15" customFormat="1" customHeight="1" s="1359">
      <c r="A824" s="545" t="n"/>
      <c r="B824" s="1512" t="n"/>
      <c r="C824" s="1379" t="n"/>
      <c r="D824" s="1379" t="n"/>
      <c r="E824" s="1379" t="n"/>
      <c r="F824" s="1379" t="n"/>
      <c r="G824" s="1361" t="n"/>
      <c r="H824" s="1361" t="n"/>
      <c r="I824" s="1361" t="n"/>
      <c r="J824" s="1361" t="n"/>
      <c r="K824" s="1379" t="n"/>
      <c r="L824" s="1361" t="n"/>
      <c r="M824" s="1361" t="n"/>
      <c r="N824" s="1361" t="n"/>
      <c r="O824" s="1361" t="n"/>
      <c r="P824" s="1379" t="n"/>
      <c r="Q824" s="1361" t="n"/>
      <c r="R824" s="1361" t="n"/>
      <c r="S824" s="1361" t="n"/>
      <c r="T824" s="1361" t="n"/>
      <c r="U824" s="1379" t="n"/>
      <c r="V824" s="1361" t="n"/>
      <c r="W824" s="1361" t="n"/>
      <c r="X824" s="1361" t="n"/>
      <c r="Y824" s="1361" t="n"/>
      <c r="Z824" s="1379" t="n"/>
      <c r="AA824" s="1361" t="n"/>
      <c r="AB824" s="1361" t="n"/>
      <c r="AC824" s="1361" t="n"/>
      <c r="AD824" s="1361" t="n"/>
      <c r="AE824" s="1379" t="n"/>
      <c r="AF824" s="1361" t="n"/>
      <c r="AG824" s="1361" t="n"/>
      <c r="AH824" s="1361" t="n"/>
      <c r="AI824" s="1361" t="n"/>
      <c r="AJ824" s="1379" t="n"/>
      <c r="AK824" s="1361" t="n"/>
      <c r="AL824" s="1361" t="n"/>
      <c r="AM824" s="1361" t="n"/>
      <c r="AN824" s="1361" t="n"/>
      <c r="AO824" s="1379" t="n"/>
      <c r="AP824" s="1361" t="n"/>
      <c r="AQ824" s="1361" t="n"/>
      <c r="AR824" s="1361" t="n"/>
      <c r="AS824" s="1361" t="n"/>
      <c r="AT824" s="1379" t="n"/>
      <c r="AU824" s="1361" t="n"/>
      <c r="AV824" s="1361" t="n"/>
      <c r="AW824" s="1361" t="n"/>
      <c r="AX824" s="1361" t="n"/>
      <c r="AY824" s="1379" t="n"/>
      <c r="AZ824" s="1361" t="n"/>
      <c r="BA824" s="1361" t="n"/>
      <c r="BB824" s="1361" t="n"/>
      <c r="BC824" s="1361" t="n"/>
      <c r="BD824" s="1379" t="n"/>
      <c r="BE824" s="1361" t="n"/>
      <c r="BF824" s="1361" t="n"/>
      <c r="BG824" s="1361" t="n"/>
      <c r="BH824" s="1361" t="n"/>
      <c r="BI824" s="1379" t="n"/>
      <c r="BJ824" s="1361" t="n"/>
      <c r="BK824" s="1361" t="n"/>
      <c r="BL824" s="1361" t="n"/>
      <c r="BM824" s="1361" t="n"/>
      <c r="BN824" s="1379" t="n"/>
      <c r="BO824" s="1361" t="n"/>
      <c r="BP824" s="1361" t="n"/>
      <c r="BQ824" s="1363" t="n"/>
      <c r="BR824" s="1361" t="n"/>
      <c r="BS824" s="1379" t="n"/>
      <c r="BT824" s="1361" t="n"/>
      <c r="BU824" s="1361" t="n"/>
      <c r="BV824" s="1361" t="n"/>
      <c r="BW824" s="1361" t="n"/>
      <c r="BX824" s="1379" t="n"/>
      <c r="BY824" s="1379" t="n"/>
      <c r="BZ824" s="1379" t="n"/>
      <c r="CA824" s="1379" t="n"/>
      <c r="CB824" s="1361" t="n"/>
    </row>
    <row r="825" hidden="1" outlineLevel="2" ht="15" customFormat="1" customHeight="1" s="1359">
      <c r="A825" s="1783" t="inlineStr">
        <is>
          <t>Forward annual guidance - applicable period, period</t>
        </is>
      </c>
      <c r="B825" s="1784" t="n"/>
      <c r="C825" s="1785" t="n"/>
      <c r="D825" s="1785" t="n"/>
      <c r="E825" s="1785" t="n"/>
      <c r="F825" s="1785" t="n"/>
      <c r="G825" s="1786" t="n"/>
      <c r="H825" s="1786" t="n"/>
      <c r="I825" s="1786" t="n"/>
      <c r="J825" s="1786" t="n"/>
      <c r="K825" s="1785" t="n"/>
      <c r="L825" s="1786" t="n"/>
      <c r="M825" s="1786" t="n"/>
      <c r="N825" s="1786" t="n"/>
      <c r="O825" s="1786" t="n"/>
      <c r="P825" s="1785" t="n"/>
      <c r="Q825" s="1786" t="n"/>
      <c r="R825" s="1786" t="n"/>
      <c r="S825" s="1786" t="n"/>
      <c r="T825" s="1786" t="n"/>
      <c r="U825" s="1785" t="n"/>
      <c r="V825" s="1786" t="n"/>
      <c r="W825" s="1786" t="n"/>
      <c r="X825" s="1786" t="n"/>
      <c r="Y825" s="1786" t="n"/>
      <c r="Z825" s="1785" t="n"/>
      <c r="AA825" s="1786" t="n"/>
      <c r="AB825" s="1786" t="n"/>
      <c r="AC825" s="1786">
        <f>AE5</f>
        <v/>
      </c>
      <c r="AD825" s="1786">
        <f>AJ5</f>
        <v/>
      </c>
      <c r="AE825" s="1785">
        <f>AJ5</f>
        <v/>
      </c>
      <c r="AF825" s="1786">
        <f>AJ5</f>
        <v/>
      </c>
      <c r="AG825" s="1786">
        <f>AJ5</f>
        <v/>
      </c>
      <c r="AH825" s="1786">
        <f>AJ5</f>
        <v/>
      </c>
      <c r="AI825" s="1786">
        <f>AO5</f>
        <v/>
      </c>
      <c r="AJ825" s="1785">
        <f>AO5</f>
        <v/>
      </c>
      <c r="AK825" s="1786">
        <f>AO5</f>
        <v/>
      </c>
      <c r="AL825" s="1786">
        <f>AO5</f>
        <v/>
      </c>
      <c r="AM825" s="1786">
        <f>AO5</f>
        <v/>
      </c>
      <c r="AN825" s="1786">
        <f>AT5</f>
        <v/>
      </c>
      <c r="AO825" s="1785">
        <f>AT5</f>
        <v/>
      </c>
      <c r="AP825" s="1786">
        <f>AT5</f>
        <v/>
      </c>
      <c r="AQ825" s="1786">
        <f>AT5</f>
        <v/>
      </c>
      <c r="AR825" s="1786">
        <f>AT5</f>
        <v/>
      </c>
      <c r="AS825" s="1786">
        <f>AY5</f>
        <v/>
      </c>
      <c r="AT825" s="1785">
        <f>AY5</f>
        <v/>
      </c>
      <c r="AU825" s="1786">
        <f>AY5</f>
        <v/>
      </c>
      <c r="AV825" s="1786">
        <f>AY5</f>
        <v/>
      </c>
      <c r="AW825" s="1786">
        <f>AY5</f>
        <v/>
      </c>
      <c r="AX825" s="1786">
        <f>BD5</f>
        <v/>
      </c>
      <c r="AY825" s="1785">
        <f>BD5</f>
        <v/>
      </c>
      <c r="AZ825" s="1786">
        <f>BD5</f>
        <v/>
      </c>
      <c r="BA825" s="1786">
        <f>BD5</f>
        <v/>
      </c>
      <c r="BB825" s="1786">
        <f>BD5</f>
        <v/>
      </c>
      <c r="BC825" s="1786">
        <f>BI5</f>
        <v/>
      </c>
      <c r="BD825" s="1785">
        <f>BI5</f>
        <v/>
      </c>
      <c r="BE825" s="1786">
        <f>BI5</f>
        <v/>
      </c>
      <c r="BF825" s="1786">
        <f>BI5</f>
        <v/>
      </c>
      <c r="BG825" s="1786">
        <f>BI5</f>
        <v/>
      </c>
      <c r="BH825" s="1786">
        <f>BN5</f>
        <v/>
      </c>
      <c r="BI825" s="1785">
        <f>BN5</f>
        <v/>
      </c>
      <c r="BJ825" s="1786">
        <f>BN5</f>
        <v/>
      </c>
      <c r="BK825" s="1786">
        <f>BN5</f>
        <v/>
      </c>
      <c r="BL825" s="1786">
        <f>BN5</f>
        <v/>
      </c>
      <c r="BM825" s="1786">
        <f>BS5</f>
        <v/>
      </c>
      <c r="BN825" s="1785">
        <f>BS5</f>
        <v/>
      </c>
      <c r="BO825" s="1786">
        <f>BS5</f>
        <v/>
      </c>
      <c r="BP825" s="1786">
        <f>BS5</f>
        <v/>
      </c>
      <c r="BQ825" s="1787">
        <f>BS5</f>
        <v/>
      </c>
      <c r="BR825" s="1786" t="n"/>
      <c r="BS825" s="1785" t="n"/>
      <c r="BT825" s="1786" t="n"/>
      <c r="BU825" s="1786" t="n"/>
      <c r="BV825" s="1786" t="n"/>
      <c r="BW825" s="1786" t="n"/>
      <c r="BX825" s="1785" t="n"/>
      <c r="BY825" s="1785" t="n"/>
      <c r="BZ825" s="1785" t="n"/>
      <c r="CA825" s="1785" t="n"/>
      <c r="CB825" s="1788" t="n"/>
    </row>
    <row r="826" hidden="1" outlineLevel="3" ht="15" customFormat="1" customHeight="1" s="1359">
      <c r="A826" s="1474" t="inlineStr">
        <is>
          <t>Forward annual non-GAAP EBIT guidance - low, mm</t>
        </is>
      </c>
      <c r="B826" s="1512" t="n"/>
      <c r="C826" s="1379" t="n"/>
      <c r="D826" s="1379" t="n"/>
      <c r="E826" s="1379" t="n"/>
      <c r="F826" s="1379" t="n"/>
      <c r="G826" s="1361" t="n"/>
      <c r="H826" s="1361" t="n"/>
      <c r="I826" s="1361" t="n"/>
      <c r="J826" s="1361" t="n"/>
      <c r="K826" s="1379" t="n"/>
      <c r="L826" s="1361" t="n"/>
      <c r="M826" s="1361" t="n"/>
      <c r="N826" s="1361" t="n"/>
      <c r="O826" s="1361" t="n"/>
      <c r="P826" s="1379" t="n"/>
      <c r="Q826" s="1361" t="n"/>
      <c r="R826" s="1361" t="n"/>
      <c r="S826" s="1361" t="n"/>
      <c r="T826" s="1361" t="n"/>
      <c r="U826" s="1379" t="n"/>
      <c r="V826" s="1361" t="n"/>
      <c r="W826" s="1361" t="n"/>
      <c r="X826" s="1361" t="n"/>
      <c r="Y826" s="1361" t="n"/>
      <c r="Z826" s="1379" t="n"/>
      <c r="AA826" s="1361" t="n"/>
      <c r="AB826" s="1361" t="n"/>
      <c r="AC826" s="1361">
        <f>IFERROR(AC753*AC835,"")</f>
        <v/>
      </c>
      <c r="AD826" s="1361">
        <f>IFERROR(AD753*AD835,"")</f>
        <v/>
      </c>
      <c r="AE826" s="1379">
        <f>IFERROR(AE753*AE835,"")</f>
        <v/>
      </c>
      <c r="AF826" s="1361">
        <f>IFERROR(AF753*AF835,"")</f>
        <v/>
      </c>
      <c r="AG826" s="1361">
        <f>IFERROR(AG753*AG835,"")</f>
        <v/>
      </c>
      <c r="AH826" s="1361">
        <f>IFERROR(AH753*AH835,"")</f>
        <v/>
      </c>
      <c r="AI826" s="1361">
        <f>IFERROR(AI753*AI835,"")</f>
        <v/>
      </c>
      <c r="AJ826" s="1379">
        <f>IFERROR(AJ753*AJ835,"")</f>
        <v/>
      </c>
      <c r="AK826" s="1361">
        <f>IFERROR(AK753*AK835,"")</f>
        <v/>
      </c>
      <c r="AL826" s="1361">
        <f>IFERROR(AL753*AL835,"")</f>
        <v/>
      </c>
      <c r="AM826" s="1361">
        <f>IFERROR(AM753*AM835,"")</f>
        <v/>
      </c>
      <c r="AN826" s="1361">
        <f>IFERROR(AN753*AN835,"")</f>
        <v/>
      </c>
      <c r="AO826" s="1379">
        <f>IFERROR(AO753*AO835,"")</f>
        <v/>
      </c>
      <c r="AP826" s="1361">
        <f>IFERROR(AP753*AP835,"")</f>
        <v/>
      </c>
      <c r="AQ826" s="1361">
        <f>IFERROR(AQ753*AQ835,"")</f>
        <v/>
      </c>
      <c r="AR826" s="1361">
        <f>IFERROR(AR753*AR835,"")</f>
        <v/>
      </c>
      <c r="AS826" s="1361">
        <f>IFERROR(AS753*AS835,"")</f>
        <v/>
      </c>
      <c r="AT826" s="1379">
        <f>IFERROR(AT753*AT835,"")</f>
        <v/>
      </c>
      <c r="AU826" s="1361">
        <f>IFERROR(AU753*AU835,"")</f>
        <v/>
      </c>
      <c r="AV826" s="1361">
        <f>IFERROR(AV753*AV835,"")</f>
        <v/>
      </c>
      <c r="AW826" s="1361">
        <f>IFERROR(AW753*AW835,"")</f>
        <v/>
      </c>
      <c r="AX826" s="1361">
        <f>IFERROR(AX753*AX835,"")</f>
        <v/>
      </c>
      <c r="AY826" s="1379">
        <f>IFERROR(AY753*AY835,"")</f>
        <v/>
      </c>
      <c r="AZ826" s="1361">
        <f>IFERROR(AZ753*AZ835,"")</f>
        <v/>
      </c>
      <c r="BA826" s="1361">
        <f>IFERROR(BA753*BA835,"")</f>
        <v/>
      </c>
      <c r="BB826" s="1361">
        <f>IFERROR(BB753*BB835,"")</f>
        <v/>
      </c>
      <c r="BC826" s="1361">
        <f>IFERROR(BC753*BC835,"")</f>
        <v/>
      </c>
      <c r="BD826" s="1379">
        <f>IFERROR(BD753*BD835,"")</f>
        <v/>
      </c>
      <c r="BE826" s="1361">
        <f>IFERROR(BE753*BE835,"")</f>
        <v/>
      </c>
      <c r="BF826" s="1361">
        <f>IFERROR(BF753*BF835,"")</f>
        <v/>
      </c>
      <c r="BG826" s="1361">
        <f>IFERROR(BG753*BG835,"")</f>
        <v/>
      </c>
      <c r="BH826" s="1361">
        <f>IFERROR(BH753*BH835,"")</f>
        <v/>
      </c>
      <c r="BI826" s="1379">
        <f>IFERROR(BI753*BI835,"")</f>
        <v/>
      </c>
      <c r="BJ826" s="1361">
        <f>IFERROR(BJ753*BJ835,"")</f>
        <v/>
      </c>
      <c r="BK826" s="1361">
        <f>IFERROR(BK753*BK835,"")</f>
        <v/>
      </c>
      <c r="BL826" s="1361">
        <f>IFERROR(BL753*BL835,"")</f>
        <v/>
      </c>
      <c r="BM826" s="1361">
        <f>IFERROR(BM753*BM835,"")</f>
        <v/>
      </c>
      <c r="BN826" s="1379">
        <f>IFERROR(BN753*BN835,"")</f>
        <v/>
      </c>
      <c r="BO826" s="1361">
        <f>IFERROR(BO753*BO835,"")</f>
        <v/>
      </c>
      <c r="BP826" s="1361">
        <f>IFERROR(BP753*BP835,"")</f>
        <v/>
      </c>
      <c r="BQ826" s="1363">
        <f>IFERROR(BQ753*BQ835,"")</f>
        <v/>
      </c>
      <c r="BR826" s="1361" t="n"/>
      <c r="BS826" s="1379" t="n"/>
      <c r="BT826" s="1361" t="n"/>
      <c r="BU826" s="1361" t="n"/>
      <c r="BV826" s="1361" t="n"/>
      <c r="BW826" s="1361" t="n"/>
      <c r="BX826" s="1379" t="n"/>
      <c r="BY826" s="1379" t="n"/>
      <c r="BZ826" s="1379" t="n"/>
      <c r="CA826" s="1379" t="n"/>
      <c r="CB826" s="1361" t="n"/>
    </row>
    <row r="827" hidden="1" outlineLevel="3" ht="15" customFormat="1" customHeight="1" s="1359">
      <c r="A827" s="1789" t="inlineStr">
        <is>
          <t>Forward annual non-GAAP EBIT guidance - high, mm</t>
        </is>
      </c>
      <c r="B827" s="1613" t="n"/>
      <c r="C827" s="1614" t="n"/>
      <c r="D827" s="1614" t="n"/>
      <c r="E827" s="1614" t="n"/>
      <c r="F827" s="1614" t="n"/>
      <c r="G827" s="1615" t="n"/>
      <c r="H827" s="1615" t="n"/>
      <c r="I827" s="1615" t="n"/>
      <c r="J827" s="1615" t="n"/>
      <c r="K827" s="1614" t="n"/>
      <c r="L827" s="1615" t="n"/>
      <c r="M827" s="1615" t="n"/>
      <c r="N827" s="1615" t="n"/>
      <c r="O827" s="1615" t="n"/>
      <c r="P827" s="1614" t="n"/>
      <c r="Q827" s="1615" t="n"/>
      <c r="R827" s="1615" t="n"/>
      <c r="S827" s="1615" t="n"/>
      <c r="T827" s="1615" t="n"/>
      <c r="U827" s="1614" t="n"/>
      <c r="V827" s="1615" t="n"/>
      <c r="W827" s="1615" t="n"/>
      <c r="X827" s="1615" t="n"/>
      <c r="Y827" s="1615" t="n"/>
      <c r="Z827" s="1614" t="n"/>
      <c r="AA827" s="1615" t="n"/>
      <c r="AB827" s="1615" t="n"/>
      <c r="AC827" s="1615">
        <f>IFERROR(AC754*AC836,"")</f>
        <v/>
      </c>
      <c r="AD827" s="1615">
        <f>IFERROR(AD754*AD836,"")</f>
        <v/>
      </c>
      <c r="AE827" s="1614">
        <f>IFERROR(AE754*AE836,"")</f>
        <v/>
      </c>
      <c r="AF827" s="1615">
        <f>IFERROR(AF754*AF836,"")</f>
        <v/>
      </c>
      <c r="AG827" s="1615">
        <f>IFERROR(AG754*AG836,"")</f>
        <v/>
      </c>
      <c r="AH827" s="1615">
        <f>IFERROR(AH754*AH836,"")</f>
        <v/>
      </c>
      <c r="AI827" s="1615">
        <f>IFERROR(AI754*AI836,"")</f>
        <v/>
      </c>
      <c r="AJ827" s="1614">
        <f>IFERROR(AJ754*AJ836,"")</f>
        <v/>
      </c>
      <c r="AK827" s="1615">
        <f>IFERROR(AK754*AK836,"")</f>
        <v/>
      </c>
      <c r="AL827" s="1615">
        <f>IFERROR(AL754*AL836,"")</f>
        <v/>
      </c>
      <c r="AM827" s="1615">
        <f>IFERROR(AM754*AM836,"")</f>
        <v/>
      </c>
      <c r="AN827" s="1615">
        <f>IFERROR(AN754*AN836,"")</f>
        <v/>
      </c>
      <c r="AO827" s="1614">
        <f>IFERROR(AO754*AO836,"")</f>
        <v/>
      </c>
      <c r="AP827" s="1615">
        <f>IFERROR(AP754*AP836,"")</f>
        <v/>
      </c>
      <c r="AQ827" s="1615">
        <f>IFERROR(AQ754*AQ836,"")</f>
        <v/>
      </c>
      <c r="AR827" s="1615">
        <f>IFERROR(AR754*AR836,"")</f>
        <v/>
      </c>
      <c r="AS827" s="1615">
        <f>IFERROR(AS754*AS836,"")</f>
        <v/>
      </c>
      <c r="AT827" s="1614">
        <f>IFERROR(AT754*AT836,"")</f>
        <v/>
      </c>
      <c r="AU827" s="1615">
        <f>IFERROR(AU754*AU836,"")</f>
        <v/>
      </c>
      <c r="AV827" s="1615">
        <f>IFERROR(AV754*AV836,"")</f>
        <v/>
      </c>
      <c r="AW827" s="1615">
        <f>IFERROR(AW754*AW836,"")</f>
        <v/>
      </c>
      <c r="AX827" s="1615">
        <f>IFERROR(AX754*AX836,"")</f>
        <v/>
      </c>
      <c r="AY827" s="1614">
        <f>IFERROR(AY754*AY836,"")</f>
        <v/>
      </c>
      <c r="AZ827" s="1615">
        <f>IFERROR(AZ754*AZ836,"")</f>
        <v/>
      </c>
      <c r="BA827" s="1615">
        <f>IFERROR(BA754*BA836,"")</f>
        <v/>
      </c>
      <c r="BB827" s="1615">
        <f>IFERROR(BB754*BB836,"")</f>
        <v/>
      </c>
      <c r="BC827" s="1615">
        <f>IFERROR(BC754*BC836,"")</f>
        <v/>
      </c>
      <c r="BD827" s="1614">
        <f>IFERROR(BD754*BD836,"")</f>
        <v/>
      </c>
      <c r="BE827" s="1615">
        <f>IFERROR(BE754*BE836,"")</f>
        <v/>
      </c>
      <c r="BF827" s="1615">
        <f>IFERROR(BF754*BF836,"")</f>
        <v/>
      </c>
      <c r="BG827" s="1615">
        <f>IFERROR(BG754*BG836,"")</f>
        <v/>
      </c>
      <c r="BH827" s="1615">
        <f>IFERROR(BH754*BH836,"")</f>
        <v/>
      </c>
      <c r="BI827" s="1614">
        <f>IFERROR(BI754*BI836,"")</f>
        <v/>
      </c>
      <c r="BJ827" s="1615">
        <f>IFERROR(BJ754*BJ836,"")</f>
        <v/>
      </c>
      <c r="BK827" s="1615">
        <f>IFERROR(BK754*BK836,"")</f>
        <v/>
      </c>
      <c r="BL827" s="1615">
        <f>IFERROR(BL754*BL836,"")</f>
        <v/>
      </c>
      <c r="BM827" s="1615">
        <f>IFERROR(BM754*BM836,"")</f>
        <v/>
      </c>
      <c r="BN827" s="1614">
        <f>IFERROR(BN754*BN836,"")</f>
        <v/>
      </c>
      <c r="BO827" s="1615">
        <f>IFERROR(BO754*BO836,"")</f>
        <v/>
      </c>
      <c r="BP827" s="1615">
        <f>IFERROR(BP754*BP836,"")</f>
        <v/>
      </c>
      <c r="BQ827" s="1616">
        <f>IFERROR(BQ754*BQ836,"")</f>
        <v/>
      </c>
      <c r="BR827" s="1615" t="n"/>
      <c r="BS827" s="1614" t="n"/>
      <c r="BT827" s="1615" t="n"/>
      <c r="BU827" s="1615" t="n"/>
      <c r="BV827" s="1615" t="n"/>
      <c r="BW827" s="1615" t="n"/>
      <c r="BX827" s="1614" t="n"/>
      <c r="BY827" s="1614" t="n"/>
      <c r="BZ827" s="1614" t="n"/>
      <c r="CA827" s="1614" t="n"/>
      <c r="CB827" s="1361" t="n"/>
    </row>
    <row r="828" hidden="1" outlineLevel="2" collapsed="1" ht="15" customFormat="1" customHeight="1" s="1359">
      <c r="A828" s="1447" t="inlineStr">
        <is>
          <t>Forward annual non-GAAP EBIT guidance - midpoint, mm</t>
        </is>
      </c>
      <c r="B828" s="1517" t="n"/>
      <c r="C828" s="1449" t="n"/>
      <c r="D828" s="1449" t="n"/>
      <c r="E828" s="1449" t="n"/>
      <c r="F828" s="1449" t="n"/>
      <c r="G828" s="1450" t="n"/>
      <c r="H828" s="1450" t="n"/>
      <c r="I828" s="1450" t="n"/>
      <c r="J828" s="1450" t="n"/>
      <c r="K828" s="1449" t="n"/>
      <c r="L828" s="1450" t="n"/>
      <c r="M828" s="1450" t="n"/>
      <c r="N828" s="1450" t="n"/>
      <c r="O828" s="1450" t="n"/>
      <c r="P828" s="1449" t="n"/>
      <c r="Q828" s="1450" t="n"/>
      <c r="R828" s="1450" t="n"/>
      <c r="S828" s="1450" t="n"/>
      <c r="T828" s="1450" t="n"/>
      <c r="U828" s="1449" t="n"/>
      <c r="V828" s="1450" t="n"/>
      <c r="W828" s="1450" t="n"/>
      <c r="X828" s="1450" t="n"/>
      <c r="Y828" s="1450" t="n"/>
      <c r="Z828" s="1449" t="n"/>
      <c r="AA828" s="1450" t="n"/>
      <c r="AB828" s="1450" t="n"/>
      <c r="AC828" s="1450">
        <f>IFERROR(AVERAGE(AC826,AC827),"")</f>
        <v/>
      </c>
      <c r="AD828" s="1450">
        <f>IFERROR(AVERAGE(AD826,AD827),"")</f>
        <v/>
      </c>
      <c r="AE828" s="1449">
        <f>IFERROR(AVERAGE(AE826,AE827),"")</f>
        <v/>
      </c>
      <c r="AF828" s="1450">
        <f>IFERROR(AVERAGE(AF826,AF827),"")</f>
        <v/>
      </c>
      <c r="AG828" s="1450">
        <f>IFERROR(AVERAGE(AG826,AG827),"")</f>
        <v/>
      </c>
      <c r="AH828" s="1450">
        <f>IFERROR(AVERAGE(AH826,AH827),"")</f>
        <v/>
      </c>
      <c r="AI828" s="1450">
        <f>IFERROR(AVERAGE(AI826,AI827),"")</f>
        <v/>
      </c>
      <c r="AJ828" s="1449">
        <f>IFERROR(AVERAGE(AJ826,AJ827),"")</f>
        <v/>
      </c>
      <c r="AK828" s="1450">
        <f>IFERROR(AVERAGE(AK826,AK827),"")</f>
        <v/>
      </c>
      <c r="AL828" s="1450">
        <f>IFERROR(AVERAGE(AL826,AL827),"")</f>
        <v/>
      </c>
      <c r="AM828" s="1450">
        <f>IFERROR(AVERAGE(AM826,AM827),"")</f>
        <v/>
      </c>
      <c r="AN828" s="1450">
        <f>IFERROR(AVERAGE(AN826,AN827),"")</f>
        <v/>
      </c>
      <c r="AO828" s="1449">
        <f>IFERROR(AVERAGE(AO826,AO827),"")</f>
        <v/>
      </c>
      <c r="AP828" s="1450">
        <f>IFERROR(AVERAGE(AP826,AP827),"")</f>
        <v/>
      </c>
      <c r="AQ828" s="1450">
        <f>IFERROR(AVERAGE(AQ826,AQ827),"")</f>
        <v/>
      </c>
      <c r="AR828" s="1450">
        <f>IFERROR(AVERAGE(AR826,AR827),"")</f>
        <v/>
      </c>
      <c r="AS828" s="1450">
        <f>IFERROR(AVERAGE(AS826,AS827),"")</f>
        <v/>
      </c>
      <c r="AT828" s="1449">
        <f>IFERROR(AVERAGE(AT826,AT827),"")</f>
        <v/>
      </c>
      <c r="AU828" s="1450">
        <f>IFERROR(AVERAGE(AU826,AU827),"")</f>
        <v/>
      </c>
      <c r="AV828" s="1450">
        <f>IFERROR(AVERAGE(AV826,AV827),"")</f>
        <v/>
      </c>
      <c r="AW828" s="1450">
        <f>IFERROR(AVERAGE(AW826,AW827),"")</f>
        <v/>
      </c>
      <c r="AX828" s="1450">
        <f>IFERROR(AVERAGE(AX826,AX827),"")</f>
        <v/>
      </c>
      <c r="AY828" s="1449">
        <f>IFERROR(AVERAGE(AY826,AY827),"")</f>
        <v/>
      </c>
      <c r="AZ828" s="1450">
        <f>IFERROR(AVERAGE(AZ826,AZ827),"")</f>
        <v/>
      </c>
      <c r="BA828" s="1450">
        <f>IFERROR(AVERAGE(BA826,BA827),"")</f>
        <v/>
      </c>
      <c r="BB828" s="1450">
        <f>IFERROR(AVERAGE(BB826,BB827),"")</f>
        <v/>
      </c>
      <c r="BC828" s="1450">
        <f>IFERROR(AVERAGE(BC826,BC827),"")</f>
        <v/>
      </c>
      <c r="BD828" s="1449">
        <f>IFERROR(AVERAGE(BD826,BD827),"")</f>
        <v/>
      </c>
      <c r="BE828" s="1450">
        <f>IFERROR(AVERAGE(BE826,BE827),"")</f>
        <v/>
      </c>
      <c r="BF828" s="1450">
        <f>IFERROR(AVERAGE(BF826,BF827),"")</f>
        <v/>
      </c>
      <c r="BG828" s="1450">
        <f>IFERROR(AVERAGE(BG826,BG827),"")</f>
        <v/>
      </c>
      <c r="BH828" s="1450">
        <f>IFERROR(AVERAGE(BH826,BH827),"")</f>
        <v/>
      </c>
      <c r="BI828" s="1449">
        <f>IFERROR(AVERAGE(BI826,BI827),"")</f>
        <v/>
      </c>
      <c r="BJ828" s="1450">
        <f>IFERROR(AVERAGE(BJ826,BJ827),"")</f>
        <v/>
      </c>
      <c r="BK828" s="1450">
        <f>IFERROR(AVERAGE(BK826,BK827),"")</f>
        <v/>
      </c>
      <c r="BL828" s="1450">
        <f>IFERROR(AVERAGE(BL826,BL827),"")</f>
        <v/>
      </c>
      <c r="BM828" s="1450">
        <f>IFERROR(AVERAGE(BM826,BM827),"")</f>
        <v/>
      </c>
      <c r="BN828" s="1449">
        <f>IFERROR(AVERAGE(BN826,BN827),"")</f>
        <v/>
      </c>
      <c r="BO828" s="1450">
        <f>IFERROR(AVERAGE(BO826,BO827),"")</f>
        <v/>
      </c>
      <c r="BP828" s="1450">
        <f>IFERROR(AVERAGE(BP826,BP827),"")</f>
        <v/>
      </c>
      <c r="BQ828" s="1451">
        <f>IFERROR(AVERAGE(BQ826,BQ827),"")</f>
        <v/>
      </c>
      <c r="BR828" s="1450" t="n"/>
      <c r="BS828" s="1449" t="n"/>
      <c r="BT828" s="1450" t="n"/>
      <c r="BU828" s="1450" t="n"/>
      <c r="BV828" s="1450" t="n"/>
      <c r="BW828" s="1450" t="n"/>
      <c r="BX828" s="1449" t="n"/>
      <c r="BY828" s="1449" t="n"/>
      <c r="BZ828" s="1449" t="n"/>
      <c r="CA828" s="1449" t="n"/>
      <c r="CB828" s="1450" t="n"/>
    </row>
    <row r="829" hidden="1" outlineLevel="2" ht="15" customFormat="1" customHeight="1" s="1359">
      <c r="A829" s="1474" t="inlineStr">
        <is>
          <t>Forward annual non-GAAP EBIT guidance variance, mm</t>
        </is>
      </c>
      <c r="B829" s="1512" t="n"/>
      <c r="C829" s="1379" t="n"/>
      <c r="D829" s="1379" t="n"/>
      <c r="E829" s="1379" t="n"/>
      <c r="F829" s="1379" t="n"/>
      <c r="G829" s="1361" t="n"/>
      <c r="H829" s="1361" t="n"/>
      <c r="I829" s="1361" t="n"/>
      <c r="J829" s="1361" t="n"/>
      <c r="K829" s="1379" t="n"/>
      <c r="L829" s="1361" t="n"/>
      <c r="M829" s="1361" t="n"/>
      <c r="N829" s="1361" t="n"/>
      <c r="O829" s="1361" t="n"/>
      <c r="P829" s="1379" t="n"/>
      <c r="Q829" s="1361" t="n"/>
      <c r="R829" s="1361" t="n"/>
      <c r="S829" s="1361" t="n"/>
      <c r="T829" s="1361" t="n"/>
      <c r="U829" s="1379" t="n"/>
      <c r="V829" s="1361" t="n"/>
      <c r="W829" s="1361" t="n"/>
      <c r="X829" s="1361" t="n"/>
      <c r="Y829" s="1361" t="n"/>
      <c r="Z829" s="1379" t="n"/>
      <c r="AA829" s="1361" t="n"/>
      <c r="AB829" s="1361" t="n"/>
      <c r="AC829" s="1361">
        <f>IFERROR(ABS(AC827-AC826),"")</f>
        <v/>
      </c>
      <c r="AD829" s="1361">
        <f>IFERROR(ABS(AD827-AD826),"")</f>
        <v/>
      </c>
      <c r="AE829" s="1379">
        <f>IFERROR(ABS(AE827-AE826),"")</f>
        <v/>
      </c>
      <c r="AF829" s="1361">
        <f>IFERROR(ABS(AF827-AF826),"")</f>
        <v/>
      </c>
      <c r="AG829" s="1361">
        <f>IFERROR(ABS(AG827-AG826),"")</f>
        <v/>
      </c>
      <c r="AH829" s="1361">
        <f>IFERROR(ABS(AH827-AH826),"")</f>
        <v/>
      </c>
      <c r="AI829" s="1361">
        <f>IFERROR(ABS(AI827-AI826),"")</f>
        <v/>
      </c>
      <c r="AJ829" s="1379">
        <f>IFERROR(ABS(AJ827-AJ826),"")</f>
        <v/>
      </c>
      <c r="AK829" s="1361">
        <f>IFERROR(ABS(AK827-AK826),"")</f>
        <v/>
      </c>
      <c r="AL829" s="1361">
        <f>IFERROR(ABS(AL827-AL826),"")</f>
        <v/>
      </c>
      <c r="AM829" s="1361">
        <f>IFERROR(ABS(AM827-AM826),"")</f>
        <v/>
      </c>
      <c r="AN829" s="1361">
        <f>IFERROR(ABS(AN827-AN826),"")</f>
        <v/>
      </c>
      <c r="AO829" s="1379">
        <f>IFERROR(ABS(AO827-AO826),"")</f>
        <v/>
      </c>
      <c r="AP829" s="1361">
        <f>IFERROR(ABS(AP827-AP826),"")</f>
        <v/>
      </c>
      <c r="AQ829" s="1361">
        <f>IFERROR(ABS(AQ827-AQ826),"")</f>
        <v/>
      </c>
      <c r="AR829" s="1361">
        <f>IFERROR(ABS(AR827-AR826),"")</f>
        <v/>
      </c>
      <c r="AS829" s="1361">
        <f>IFERROR(ABS(AS827-AS826),"")</f>
        <v/>
      </c>
      <c r="AT829" s="1379">
        <f>IFERROR(ABS(AT827-AT826),"")</f>
        <v/>
      </c>
      <c r="AU829" s="1361">
        <f>IFERROR(ABS(AU827-AU826),"")</f>
        <v/>
      </c>
      <c r="AV829" s="1361">
        <f>IFERROR(ABS(AV827-AV826),"")</f>
        <v/>
      </c>
      <c r="AW829" s="1361">
        <f>IFERROR(ABS(AW827-AW826),"")</f>
        <v/>
      </c>
      <c r="AX829" s="1361">
        <f>IFERROR(ABS(AX827-AX826),"")</f>
        <v/>
      </c>
      <c r="AY829" s="1379">
        <f>IFERROR(ABS(AY827-AY826),"")</f>
        <v/>
      </c>
      <c r="AZ829" s="1361">
        <f>IFERROR(ABS(AZ827-AZ826),"")</f>
        <v/>
      </c>
      <c r="BA829" s="1361">
        <f>IFERROR(ABS(BA827-BA826),"")</f>
        <v/>
      </c>
      <c r="BB829" s="1361">
        <f>IFERROR(ABS(BB827-BB826),"")</f>
        <v/>
      </c>
      <c r="BC829" s="1361">
        <f>IFERROR(ABS(BC827-BC826),"")</f>
        <v/>
      </c>
      <c r="BD829" s="1379">
        <f>IFERROR(ABS(BD827-BD826),"")</f>
        <v/>
      </c>
      <c r="BE829" s="1361">
        <f>IFERROR(ABS(BE827-BE826),"")</f>
        <v/>
      </c>
      <c r="BF829" s="1361">
        <f>IFERROR(ABS(BF827-BF826),"")</f>
        <v/>
      </c>
      <c r="BG829" s="1361">
        <f>IFERROR(ABS(BG827-BG826),"")</f>
        <v/>
      </c>
      <c r="BH829" s="1361">
        <f>IFERROR(ABS(BH827-BH826),"")</f>
        <v/>
      </c>
      <c r="BI829" s="1379">
        <f>IFERROR(ABS(BI827-BI826),"")</f>
        <v/>
      </c>
      <c r="BJ829" s="1361">
        <f>IFERROR(ABS(BJ827-BJ826),"")</f>
        <v/>
      </c>
      <c r="BK829" s="1361">
        <f>IFERROR(ABS(BK827-BK826),"")</f>
        <v/>
      </c>
      <c r="BL829" s="1361">
        <f>IFERROR(ABS(BL827-BL826),"")</f>
        <v/>
      </c>
      <c r="BM829" s="1361">
        <f>IFERROR(ABS(BM827-BM826),"")</f>
        <v/>
      </c>
      <c r="BN829" s="1379">
        <f>IFERROR(ABS(BN827-BN826),"")</f>
        <v/>
      </c>
      <c r="BO829" s="1361">
        <f>IFERROR(ABS(BO827-BO826),"")</f>
        <v/>
      </c>
      <c r="BP829" s="1361">
        <f>IFERROR(ABS(BP827-BP826),"")</f>
        <v/>
      </c>
      <c r="BQ829" s="1363">
        <f>IFERROR(ABS(BQ827-BQ826),"")</f>
        <v/>
      </c>
      <c r="BR829" s="1361" t="n"/>
      <c r="BS829" s="1379" t="n"/>
      <c r="BT829" s="1361" t="n"/>
      <c r="BU829" s="1361" t="n"/>
      <c r="BV829" s="1361" t="n"/>
      <c r="BW829" s="1361" t="n"/>
      <c r="BX829" s="1379" t="n"/>
      <c r="BY829" s="1379" t="n"/>
      <c r="BZ829" s="1379" t="n"/>
      <c r="CA829" s="1379" t="n"/>
      <c r="CB829" s="1361" t="n"/>
    </row>
    <row r="830" hidden="1" outlineLevel="2" ht="15" customFormat="1" customHeight="1" s="1359">
      <c r="A830" s="1486" t="inlineStr">
        <is>
          <t>Forward annual non-GAAP EBIT guidance variance (+/-), %</t>
        </is>
      </c>
      <c r="B830" s="1512" t="n"/>
      <c r="C830" s="1463" t="n"/>
      <c r="D830" s="1463" t="n"/>
      <c r="E830" s="1463" t="n"/>
      <c r="F830" s="1463" t="n"/>
      <c r="G830" s="1466" t="n"/>
      <c r="H830" s="1466" t="n"/>
      <c r="I830" s="1466" t="n"/>
      <c r="J830" s="1466" t="n"/>
      <c r="K830" s="1463" t="n"/>
      <c r="L830" s="1466" t="n"/>
      <c r="M830" s="1466" t="n"/>
      <c r="N830" s="1466" t="n"/>
      <c r="O830" s="1466" t="n"/>
      <c r="P830" s="1463" t="n"/>
      <c r="Q830" s="1466" t="n"/>
      <c r="R830" s="1466" t="n"/>
      <c r="S830" s="1466" t="n"/>
      <c r="T830" s="1466" t="n"/>
      <c r="U830" s="1463" t="n"/>
      <c r="V830" s="1466" t="n"/>
      <c r="W830" s="1466" t="n"/>
      <c r="X830" s="1466" t="n"/>
      <c r="Y830" s="1466" t="n"/>
      <c r="Z830" s="1463" t="n"/>
      <c r="AA830" s="1466" t="n"/>
      <c r="AB830" s="1466" t="n"/>
      <c r="AC830" s="1466">
        <f>IFERROR(ABS((AC827-AC828)/AC828),"")</f>
        <v/>
      </c>
      <c r="AD830" s="1466">
        <f>IFERROR(ABS((AD827-AD828)/AD828),"")</f>
        <v/>
      </c>
      <c r="AE830" s="1463">
        <f>IFERROR(ABS((AE827-AE828)/AE828),"")</f>
        <v/>
      </c>
      <c r="AF830" s="1466">
        <f>IFERROR(ABS((AF827-AF828)/AF828),"")</f>
        <v/>
      </c>
      <c r="AG830" s="1466">
        <f>IFERROR(ABS((AG827-AG828)/AG828),"")</f>
        <v/>
      </c>
      <c r="AH830" s="1466">
        <f>IFERROR(ABS((AH827-AH828)/AH828),"")</f>
        <v/>
      </c>
      <c r="AI830" s="1466">
        <f>IFERROR(ABS((AI827-AI828)/AI828),"")</f>
        <v/>
      </c>
      <c r="AJ830" s="1463">
        <f>IFERROR(ABS((AJ827-AJ828)/AJ828),"")</f>
        <v/>
      </c>
      <c r="AK830" s="1466">
        <f>IFERROR(ABS((AK827-AK828)/AK828),"")</f>
        <v/>
      </c>
      <c r="AL830" s="1466">
        <f>IFERROR(ABS((AL827-AL828)/AL828),"")</f>
        <v/>
      </c>
      <c r="AM830" s="1466">
        <f>IFERROR(ABS((AM827-AM828)/AM828),"")</f>
        <v/>
      </c>
      <c r="AN830" s="1466">
        <f>IFERROR(ABS((AN827-AN828)/AN828),"")</f>
        <v/>
      </c>
      <c r="AO830" s="1463">
        <f>IFERROR(ABS((AO827-AO828)/AO828),"")</f>
        <v/>
      </c>
      <c r="AP830" s="1466">
        <f>IFERROR(ABS((AP827-AP828)/AP828),"")</f>
        <v/>
      </c>
      <c r="AQ830" s="1466">
        <f>IFERROR(ABS((AQ827-AQ828)/AQ828),"")</f>
        <v/>
      </c>
      <c r="AR830" s="1466">
        <f>IFERROR(ABS((AR827-AR828)/AR828),"")</f>
        <v/>
      </c>
      <c r="AS830" s="1466">
        <f>IFERROR(ABS((AS827-AS828)/AS828),"")</f>
        <v/>
      </c>
      <c r="AT830" s="1463">
        <f>IFERROR(ABS((AT827-AT828)/AT828),"")</f>
        <v/>
      </c>
      <c r="AU830" s="1466">
        <f>IFERROR(ABS((AU827-AU828)/AU828),"")</f>
        <v/>
      </c>
      <c r="AV830" s="1466">
        <f>IFERROR(ABS((AV827-AV828)/AV828),"")</f>
        <v/>
      </c>
      <c r="AW830" s="1466">
        <f>IFERROR(ABS((AW827-AW828)/AW828),"")</f>
        <v/>
      </c>
      <c r="AX830" s="1466">
        <f>IFERROR(ABS((AX827-AX828)/AX828),"")</f>
        <v/>
      </c>
      <c r="AY830" s="1463">
        <f>IFERROR(ABS((AY827-AY828)/AY828),"")</f>
        <v/>
      </c>
      <c r="AZ830" s="1466">
        <f>IFERROR(ABS((AZ827-AZ828)/AZ828),"")</f>
        <v/>
      </c>
      <c r="BA830" s="1466">
        <f>IFERROR(ABS((BA827-BA828)/BA828),"")</f>
        <v/>
      </c>
      <c r="BB830" s="1466">
        <f>IFERROR(ABS((BB827-BB828)/BB828),"")</f>
        <v/>
      </c>
      <c r="BC830" s="1466">
        <f>IFERROR(ABS((BC827-BC828)/BC828),"")</f>
        <v/>
      </c>
      <c r="BD830" s="1463">
        <f>IFERROR(ABS((BD827-BD828)/BD828),"")</f>
        <v/>
      </c>
      <c r="BE830" s="1466">
        <f>IFERROR(ABS((BE827-BE828)/BE828),"")</f>
        <v/>
      </c>
      <c r="BF830" s="1466">
        <f>IFERROR(ABS((BF827-BF828)/BF828),"")</f>
        <v/>
      </c>
      <c r="BG830" s="1466">
        <f>IFERROR(ABS((BG827-BG828)/BG828),"")</f>
        <v/>
      </c>
      <c r="BH830" s="1466">
        <f>IFERROR(ABS((BH827-BH828)/BH828),"")</f>
        <v/>
      </c>
      <c r="BI830" s="1463">
        <f>IFERROR(ABS((BI827-BI828)/BI828),"")</f>
        <v/>
      </c>
      <c r="BJ830" s="1466">
        <f>IFERROR(ABS((BJ827-BJ828)/BJ828),"")</f>
        <v/>
      </c>
      <c r="BK830" s="1466">
        <f>IFERROR(ABS((BK827-BK828)/BK828),"")</f>
        <v/>
      </c>
      <c r="BL830" s="1466">
        <f>IFERROR(ABS((BL827-BL828)/BL828),"")</f>
        <v/>
      </c>
      <c r="BM830" s="1466">
        <f>IFERROR(ABS((BM827-BM828)/BM828),"")</f>
        <v/>
      </c>
      <c r="BN830" s="1463">
        <f>IFERROR(ABS((BN827-BN828)/BN828),"")</f>
        <v/>
      </c>
      <c r="BO830" s="1466">
        <f>IFERROR(ABS((BO827-BO828)/BO828),"")</f>
        <v/>
      </c>
      <c r="BP830" s="1466">
        <f>IFERROR(ABS((BP827-BP828)/BP828),"")</f>
        <v/>
      </c>
      <c r="BQ830" s="1491">
        <f>IFERROR(ABS((BQ827-BQ828)/BQ828),"")</f>
        <v/>
      </c>
      <c r="BR830" s="1466" t="n"/>
      <c r="BS830" s="1463" t="n"/>
      <c r="BT830" s="1466" t="n"/>
      <c r="BU830" s="1466" t="n"/>
      <c r="BV830" s="1466" t="n"/>
      <c r="BW830" s="1466" t="n"/>
      <c r="BX830" s="1463" t="n"/>
      <c r="BY830" s="1463" t="n"/>
      <c r="BZ830" s="1463" t="n"/>
      <c r="CA830" s="1463" t="n"/>
      <c r="CB830" s="1466" t="n"/>
    </row>
    <row r="831" hidden="1" outlineLevel="3" ht="15" customFormat="1" customHeight="1" s="1359">
      <c r="A831" s="1476" t="inlineStr">
        <is>
          <t>Forward annual guided Y/Y non-GAAP EBIT growth - low, %</t>
        </is>
      </c>
      <c r="B831" s="1590" t="n"/>
      <c r="C831" s="1382" t="n"/>
      <c r="D831" s="1382" t="n"/>
      <c r="E831" s="1382" t="n"/>
      <c r="F831" s="1382" t="n"/>
      <c r="G831" s="1384" t="n"/>
      <c r="H831" s="1384" t="n"/>
      <c r="I831" s="1384" t="n"/>
      <c r="J831" s="1384" t="n"/>
      <c r="K831" s="1382" t="n"/>
      <c r="L831" s="1384" t="n"/>
      <c r="M831" s="1384" t="n"/>
      <c r="N831" s="1384" t="n"/>
      <c r="O831" s="1384" t="n"/>
      <c r="P831" s="1382" t="n"/>
      <c r="Q831" s="1384" t="n"/>
      <c r="R831" s="1384" t="n"/>
      <c r="S831" s="1384" t="n"/>
      <c r="T831" s="1384" t="n"/>
      <c r="U831" s="1382" t="n"/>
      <c r="V831" s="1384" t="n"/>
      <c r="W831" s="1384" t="n"/>
      <c r="X831" s="1384" t="n"/>
      <c r="Y831" s="1384" t="n"/>
      <c r="Z831" s="1382" t="n"/>
      <c r="AA831" s="1384" t="n"/>
      <c r="AB831" s="1384" t="n"/>
      <c r="AC831" s="1384">
        <f>IFERROR(AC826/Z777-1,"")</f>
        <v/>
      </c>
      <c r="AD831" s="1384">
        <f>IFERROR(AD826/AE777-1,"")</f>
        <v/>
      </c>
      <c r="AE831" s="1382">
        <f>IFERROR(AE826/AE777-1,"")</f>
        <v/>
      </c>
      <c r="AF831" s="1384">
        <f>IFERROR(AF826/AE777-1,"")</f>
        <v/>
      </c>
      <c r="AG831" s="1384">
        <f>IFERROR(AG826/AE777-1,"")</f>
        <v/>
      </c>
      <c r="AH831" s="1384">
        <f>IFERROR(AH826/AE777-1,"")</f>
        <v/>
      </c>
      <c r="AI831" s="1384">
        <f>IFERROR(AI826/AJ777-1,"")</f>
        <v/>
      </c>
      <c r="AJ831" s="1382">
        <f>IFERROR(AJ826/AJ777-1,"")</f>
        <v/>
      </c>
      <c r="AK831" s="1384">
        <f>IFERROR(AK826/AJ777-1,"")</f>
        <v/>
      </c>
      <c r="AL831" s="1384">
        <f>IFERROR(AL826/AJ777-1,"")</f>
        <v/>
      </c>
      <c r="AM831" s="1384">
        <f>IFERROR(AM826/AJ777-1,"")</f>
        <v/>
      </c>
      <c r="AN831" s="1384">
        <f>IFERROR(AN826/AO777-1,"")</f>
        <v/>
      </c>
      <c r="AO831" s="1382">
        <f>IFERROR(AO826/AO777-1,"")</f>
        <v/>
      </c>
      <c r="AP831" s="1384">
        <f>IFERROR(AP826/AO777-1,"")</f>
        <v/>
      </c>
      <c r="AQ831" s="1384">
        <f>IFERROR(AQ826/AO777-1,"")</f>
        <v/>
      </c>
      <c r="AR831" s="1384">
        <f>IFERROR(AR826/AO777-1,"")</f>
        <v/>
      </c>
      <c r="AS831" s="1384">
        <f>IFERROR(AS826/AT777-1,"")</f>
        <v/>
      </c>
      <c r="AT831" s="1382">
        <f>IFERROR(AT826/AT777-1,"")</f>
        <v/>
      </c>
      <c r="AU831" s="1384">
        <f>IFERROR(AU826/AT777-1,"")</f>
        <v/>
      </c>
      <c r="AV831" s="1384">
        <f>IFERROR(AV826/AT777-1,"")</f>
        <v/>
      </c>
      <c r="AW831" s="1384">
        <f>IFERROR(AW826/AT777-1,"")</f>
        <v/>
      </c>
      <c r="AX831" s="1384">
        <f>IFERROR(AX826/AY777-1,"")</f>
        <v/>
      </c>
      <c r="AY831" s="1382">
        <f>IFERROR(AY826/AY777-1,"")</f>
        <v/>
      </c>
      <c r="AZ831" s="1384">
        <f>IFERROR(AZ826/AY777-1,"")</f>
        <v/>
      </c>
      <c r="BA831" s="1384">
        <f>IFERROR(BA826/AY777-1,"")</f>
        <v/>
      </c>
      <c r="BB831" s="1384">
        <f>IFERROR(BB826/AY777-1,"")</f>
        <v/>
      </c>
      <c r="BC831" s="1384">
        <f>IFERROR(BC826/BD777-1,"")</f>
        <v/>
      </c>
      <c r="BD831" s="1382">
        <f>IFERROR(BD826/BD777-1,"")</f>
        <v/>
      </c>
      <c r="BE831" s="1384">
        <f>IFERROR(BE826/BD777-1,"")</f>
        <v/>
      </c>
      <c r="BF831" s="1384">
        <f>IFERROR(BF826/BD777-1,"")</f>
        <v/>
      </c>
      <c r="BG831" s="1384">
        <f>IFERROR(BG826/BD777-1,"")</f>
        <v/>
      </c>
      <c r="BH831" s="1384">
        <f>IFERROR(BH826/BI777-1,"")</f>
        <v/>
      </c>
      <c r="BI831" s="1382">
        <f>IFERROR(BI826/BI777-1,"")</f>
        <v/>
      </c>
      <c r="BJ831" s="1384">
        <f>IFERROR(BJ826/BI777-1,"")</f>
        <v/>
      </c>
      <c r="BK831" s="1384">
        <f>IFERROR(BK826/BI777-1,"")</f>
        <v/>
      </c>
      <c r="BL831" s="1384">
        <f>IFERROR(BL826/BI777-1,"")</f>
        <v/>
      </c>
      <c r="BM831" s="1384">
        <f>IFERROR(BM826/BN777-1,"")</f>
        <v/>
      </c>
      <c r="BN831" s="1382">
        <f>IFERROR(BN826/BN777-1,"")</f>
        <v/>
      </c>
      <c r="BO831" s="1384">
        <f>IFERROR(BO826/BN777-1,"")</f>
        <v/>
      </c>
      <c r="BP831" s="1384">
        <f>IFERROR(BP826/BN777-1,"")</f>
        <v/>
      </c>
      <c r="BQ831" s="1386">
        <f>IFERROR(BQ826/BN777-1,"")</f>
        <v/>
      </c>
      <c r="BR831" s="1384" t="n"/>
      <c r="BS831" s="1382" t="n"/>
      <c r="BT831" s="1384" t="n"/>
      <c r="BU831" s="1384" t="n"/>
      <c r="BV831" s="1384" t="n"/>
      <c r="BW831" s="1384" t="n"/>
      <c r="BX831" s="1382" t="n"/>
      <c r="BY831" s="1382" t="n"/>
      <c r="BZ831" s="1382" t="n"/>
      <c r="CA831" s="1382" t="n"/>
      <c r="CB831" s="1384" t="n"/>
    </row>
    <row r="832" hidden="1" outlineLevel="3" ht="15" customFormat="1" customHeight="1" s="1359">
      <c r="A832" s="1790" t="inlineStr">
        <is>
          <t>Forward annual guided Y/Y non-GAAP EBIT growth - high, %</t>
        </is>
      </c>
      <c r="B832" s="1774" t="n"/>
      <c r="C832" s="1775" t="n"/>
      <c r="D832" s="1775" t="n"/>
      <c r="E832" s="1775" t="n"/>
      <c r="F832" s="1775" t="n"/>
      <c r="G832" s="1776" t="n"/>
      <c r="H832" s="1776" t="n"/>
      <c r="I832" s="1776" t="n"/>
      <c r="J832" s="1776" t="n"/>
      <c r="K832" s="1775" t="n"/>
      <c r="L832" s="1776" t="n"/>
      <c r="M832" s="1776" t="n"/>
      <c r="N832" s="1776" t="n"/>
      <c r="O832" s="1776" t="n"/>
      <c r="P832" s="1775" t="n"/>
      <c r="Q832" s="1776" t="n"/>
      <c r="R832" s="1776" t="n"/>
      <c r="S832" s="1776" t="n"/>
      <c r="T832" s="1776" t="n"/>
      <c r="U832" s="1775" t="n"/>
      <c r="V832" s="1776" t="n"/>
      <c r="W832" s="1776" t="n"/>
      <c r="X832" s="1776" t="n"/>
      <c r="Y832" s="1776" t="n"/>
      <c r="Z832" s="1775" t="n"/>
      <c r="AA832" s="1776" t="n"/>
      <c r="AB832" s="1776" t="n"/>
      <c r="AC832" s="1776">
        <f>IFERROR(AC827/Z777-1,"")</f>
        <v/>
      </c>
      <c r="AD832" s="1776">
        <f>IFERROR(AD827/AE777-1,"")</f>
        <v/>
      </c>
      <c r="AE832" s="1775">
        <f>IFERROR(AE827/AE777-1,"")</f>
        <v/>
      </c>
      <c r="AF832" s="1776">
        <f>IFERROR(AF827/AE777-1,"")</f>
        <v/>
      </c>
      <c r="AG832" s="1776">
        <f>IFERROR(AG827/AE777-1,"")</f>
        <v/>
      </c>
      <c r="AH832" s="1776">
        <f>IFERROR(AH827/AE777-1,"")</f>
        <v/>
      </c>
      <c r="AI832" s="1776">
        <f>IFERROR(AI827/AJ777-1,"")</f>
        <v/>
      </c>
      <c r="AJ832" s="1775">
        <f>IFERROR(AJ827/AJ777-1,"")</f>
        <v/>
      </c>
      <c r="AK832" s="1776">
        <f>IFERROR(AK827/AJ777-1,"")</f>
        <v/>
      </c>
      <c r="AL832" s="1776">
        <f>IFERROR(AL827/AJ777-1,"")</f>
        <v/>
      </c>
      <c r="AM832" s="1776">
        <f>IFERROR(AM827/AJ777-1,"")</f>
        <v/>
      </c>
      <c r="AN832" s="1776">
        <f>IFERROR(AN827/AO777-1,"")</f>
        <v/>
      </c>
      <c r="AO832" s="1775">
        <f>IFERROR(AO827/AO777-1,"")</f>
        <v/>
      </c>
      <c r="AP832" s="1776">
        <f>IFERROR(AP827/AO777-1,"")</f>
        <v/>
      </c>
      <c r="AQ832" s="1776">
        <f>IFERROR(AQ827/AO777-1,"")</f>
        <v/>
      </c>
      <c r="AR832" s="1776">
        <f>IFERROR(AR827/AO777-1,"")</f>
        <v/>
      </c>
      <c r="AS832" s="1776">
        <f>IFERROR(AS827/AT777-1,"")</f>
        <v/>
      </c>
      <c r="AT832" s="1775">
        <f>IFERROR(AT827/AT777-1,"")</f>
        <v/>
      </c>
      <c r="AU832" s="1776">
        <f>IFERROR(AU827/AT777-1,"")</f>
        <v/>
      </c>
      <c r="AV832" s="1776">
        <f>IFERROR(AV827/AT777-1,"")</f>
        <v/>
      </c>
      <c r="AW832" s="1776">
        <f>IFERROR(AW827/AT777-1,"")</f>
        <v/>
      </c>
      <c r="AX832" s="1776">
        <f>IFERROR(AX827/AY777-1,"")</f>
        <v/>
      </c>
      <c r="AY832" s="1775">
        <f>IFERROR(AY827/AY777-1,"")</f>
        <v/>
      </c>
      <c r="AZ832" s="1776">
        <f>IFERROR(AZ827/AY777-1,"")</f>
        <v/>
      </c>
      <c r="BA832" s="1776">
        <f>IFERROR(BA827/AY777-1,"")</f>
        <v/>
      </c>
      <c r="BB832" s="1776">
        <f>IFERROR(BB827/AY777-1,"")</f>
        <v/>
      </c>
      <c r="BC832" s="1776">
        <f>IFERROR(BC827/BD777-1,"")</f>
        <v/>
      </c>
      <c r="BD832" s="1775">
        <f>IFERROR(BD827/BD777-1,"")</f>
        <v/>
      </c>
      <c r="BE832" s="1776">
        <f>IFERROR(BE827/BD777-1,"")</f>
        <v/>
      </c>
      <c r="BF832" s="1776">
        <f>IFERROR(BF827/BD777-1,"")</f>
        <v/>
      </c>
      <c r="BG832" s="1776">
        <f>IFERROR(BG827/BD777-1,"")</f>
        <v/>
      </c>
      <c r="BH832" s="1776">
        <f>IFERROR(BH827/BI777-1,"")</f>
        <v/>
      </c>
      <c r="BI832" s="1775">
        <f>IFERROR(BI827/BI777-1,"")</f>
        <v/>
      </c>
      <c r="BJ832" s="1776">
        <f>IFERROR(BJ827/BI777-1,"")</f>
        <v/>
      </c>
      <c r="BK832" s="1776">
        <f>IFERROR(BK827/BI777-1,"")</f>
        <v/>
      </c>
      <c r="BL832" s="1776">
        <f>IFERROR(BL827/BI777-1,"")</f>
        <v/>
      </c>
      <c r="BM832" s="1776">
        <f>IFERROR(BM827/BN777-1,"")</f>
        <v/>
      </c>
      <c r="BN832" s="1775">
        <f>IFERROR(BN827/BN777-1,"")</f>
        <v/>
      </c>
      <c r="BO832" s="1776">
        <f>IFERROR(BO827/BN777-1,"")</f>
        <v/>
      </c>
      <c r="BP832" s="1776">
        <f>IFERROR(BP827/BN777-1,"")</f>
        <v/>
      </c>
      <c r="BQ832" s="1777">
        <f>IFERROR(BQ827/BN777-1,"")</f>
        <v/>
      </c>
      <c r="BR832" s="1776" t="n"/>
      <c r="BS832" s="1775" t="n"/>
      <c r="BT832" s="1776" t="n"/>
      <c r="BU832" s="1776" t="n"/>
      <c r="BV832" s="1776" t="n"/>
      <c r="BW832" s="1776" t="n"/>
      <c r="BX832" s="1775" t="n"/>
      <c r="BY832" s="1775" t="n"/>
      <c r="BZ832" s="1775" t="n"/>
      <c r="CA832" s="1775" t="n"/>
      <c r="CB832" s="1384" t="n"/>
    </row>
    <row r="833" hidden="1" outlineLevel="2" collapsed="1" ht="15" customFormat="1" customHeight="1" s="1359">
      <c r="A833" s="1501" t="inlineStr">
        <is>
          <t>Forward annual guided Y/Y non-GAAP EBIT growth - midpoint, %</t>
        </is>
      </c>
      <c r="B833" s="1590" t="n"/>
      <c r="C833" s="1382" t="n"/>
      <c r="D833" s="1382" t="n"/>
      <c r="E833" s="1382" t="n"/>
      <c r="F833" s="1382" t="n"/>
      <c r="G833" s="1384" t="n"/>
      <c r="H833" s="1384" t="n"/>
      <c r="I833" s="1384" t="n"/>
      <c r="J833" s="1384" t="n"/>
      <c r="K833" s="1382" t="n"/>
      <c r="L833" s="1384" t="n"/>
      <c r="M833" s="1384" t="n"/>
      <c r="N833" s="1384" t="n"/>
      <c r="O833" s="1384" t="n"/>
      <c r="P833" s="1382" t="n"/>
      <c r="Q833" s="1384" t="n"/>
      <c r="R833" s="1384" t="n"/>
      <c r="S833" s="1384" t="n"/>
      <c r="T833" s="1384" t="n"/>
      <c r="U833" s="1382" t="n"/>
      <c r="V833" s="1384" t="n"/>
      <c r="W833" s="1384" t="n"/>
      <c r="X833" s="1384" t="n"/>
      <c r="Y833" s="1384" t="n"/>
      <c r="Z833" s="1382" t="n"/>
      <c r="AA833" s="1384" t="n"/>
      <c r="AB833" s="1384" t="n"/>
      <c r="AC833" s="1384">
        <f>IFERROR(AC828/Z777-1,"")</f>
        <v/>
      </c>
      <c r="AD833" s="1384">
        <f>IFERROR(AD828/AE777-1,"")</f>
        <v/>
      </c>
      <c r="AE833" s="1382">
        <f>IFERROR(AE828/AE777-1,"")</f>
        <v/>
      </c>
      <c r="AF833" s="1384">
        <f>IFERROR(AF828/AE777-1,"")</f>
        <v/>
      </c>
      <c r="AG833" s="1384">
        <f>IFERROR(AG828/AE777-1,"")</f>
        <v/>
      </c>
      <c r="AH833" s="1384">
        <f>IFERROR(AH828/AE777-1,"")</f>
        <v/>
      </c>
      <c r="AI833" s="1384">
        <f>IFERROR(AI828/AJ777-1,"")</f>
        <v/>
      </c>
      <c r="AJ833" s="1382">
        <f>IFERROR(AJ828/AJ777-1,"")</f>
        <v/>
      </c>
      <c r="AK833" s="1384">
        <f>IFERROR(AK828/AJ777-1,"")</f>
        <v/>
      </c>
      <c r="AL833" s="1384">
        <f>IFERROR(AL828/AJ777-1,"")</f>
        <v/>
      </c>
      <c r="AM833" s="1384">
        <f>IFERROR(AM828/AJ777-1,"")</f>
        <v/>
      </c>
      <c r="AN833" s="1384">
        <f>IFERROR(AN828/AO777-1,"")</f>
        <v/>
      </c>
      <c r="AO833" s="1382">
        <f>IFERROR(AO828/AO777-1,"")</f>
        <v/>
      </c>
      <c r="AP833" s="1384">
        <f>IFERROR(AP828/AO777-1,"")</f>
        <v/>
      </c>
      <c r="AQ833" s="1384">
        <f>IFERROR(AQ828/AO777-1,"")</f>
        <v/>
      </c>
      <c r="AR833" s="1384">
        <f>IFERROR(AR828/AO777-1,"")</f>
        <v/>
      </c>
      <c r="AS833" s="1384">
        <f>IFERROR(AS828/AT777-1,"")</f>
        <v/>
      </c>
      <c r="AT833" s="1382">
        <f>IFERROR(AT828/AT777-1,"")</f>
        <v/>
      </c>
      <c r="AU833" s="1384">
        <f>IFERROR(AU828/AT777-1,"")</f>
        <v/>
      </c>
      <c r="AV833" s="1384">
        <f>IFERROR(AV828/AT777-1,"")</f>
        <v/>
      </c>
      <c r="AW833" s="1384">
        <f>IFERROR(AW828/AT777-1,"")</f>
        <v/>
      </c>
      <c r="AX833" s="1384">
        <f>IFERROR(AX828/AY777-1,"")</f>
        <v/>
      </c>
      <c r="AY833" s="1382">
        <f>IFERROR(AY828/AY777-1,"")</f>
        <v/>
      </c>
      <c r="AZ833" s="1384">
        <f>IFERROR(AZ828/AY777-1,"")</f>
        <v/>
      </c>
      <c r="BA833" s="1384">
        <f>IFERROR(BA828/AY777-1,"")</f>
        <v/>
      </c>
      <c r="BB833" s="1384">
        <f>IFERROR(BB828/AY777-1,"")</f>
        <v/>
      </c>
      <c r="BC833" s="1384">
        <f>IFERROR(BC828/BD777-1,"")</f>
        <v/>
      </c>
      <c r="BD833" s="1382">
        <f>IFERROR(BD828/BD777-1,"")</f>
        <v/>
      </c>
      <c r="BE833" s="1384">
        <f>IFERROR(BE828/BD777-1,"")</f>
        <v/>
      </c>
      <c r="BF833" s="1384">
        <f>IFERROR(BF828/BD777-1,"")</f>
        <v/>
      </c>
      <c r="BG833" s="1384">
        <f>IFERROR(BG828/BD777-1,"")</f>
        <v/>
      </c>
      <c r="BH833" s="1384">
        <f>IFERROR(BH828/BI777-1,"")</f>
        <v/>
      </c>
      <c r="BI833" s="1382">
        <f>IFERROR(BI828/BI777-1,"")</f>
        <v/>
      </c>
      <c r="BJ833" s="1384">
        <f>IFERROR(BJ828/BI777-1,"")</f>
        <v/>
      </c>
      <c r="BK833" s="1384">
        <f>IFERROR(BK828/BI777-1,"")</f>
        <v/>
      </c>
      <c r="BL833" s="1384">
        <f>IFERROR(BL828/BI777-1,"")</f>
        <v/>
      </c>
      <c r="BM833" s="1384">
        <f>IFERROR(BM828/BN777-1,"")</f>
        <v/>
      </c>
      <c r="BN833" s="1382">
        <f>IFERROR(BN828/BN777-1,"")</f>
        <v/>
      </c>
      <c r="BO833" s="1384">
        <f>IFERROR(BO828/BN777-1,"")</f>
        <v/>
      </c>
      <c r="BP833" s="1384">
        <f>IFERROR(BP828/BN777-1,"")</f>
        <v/>
      </c>
      <c r="BQ833" s="1386">
        <f>IFERROR(BQ828/BN777-1,"")</f>
        <v/>
      </c>
      <c r="BR833" s="1384" t="n"/>
      <c r="BS833" s="1382" t="n"/>
      <c r="BT833" s="1384" t="n"/>
      <c r="BU833" s="1384" t="n"/>
      <c r="BV833" s="1384" t="n"/>
      <c r="BW833" s="1384" t="n"/>
      <c r="BX833" s="1382" t="n"/>
      <c r="BY833" s="1382" t="n"/>
      <c r="BZ833" s="1382" t="n"/>
      <c r="CA833" s="1382" t="n"/>
      <c r="CB833" s="1384" t="n"/>
    </row>
    <row r="834" hidden="1" outlineLevel="2" ht="15" customFormat="1" customHeight="1" s="1359">
      <c r="A834" s="545" t="n"/>
      <c r="B834" s="1512" t="n"/>
      <c r="C834" s="1379" t="n"/>
      <c r="D834" s="1379" t="n"/>
      <c r="E834" s="1379" t="n"/>
      <c r="F834" s="1379" t="n"/>
      <c r="G834" s="1361" t="n"/>
      <c r="H834" s="1361" t="n"/>
      <c r="I834" s="1361" t="n"/>
      <c r="J834" s="1361" t="n"/>
      <c r="K834" s="1379" t="n"/>
      <c r="L834" s="1361" t="n"/>
      <c r="M834" s="1361" t="n"/>
      <c r="N834" s="1361" t="n"/>
      <c r="O834" s="1361" t="n"/>
      <c r="P834" s="1379" t="n"/>
      <c r="Q834" s="1361" t="n"/>
      <c r="R834" s="1361" t="n"/>
      <c r="S834" s="1361" t="n"/>
      <c r="T834" s="1361" t="n"/>
      <c r="U834" s="1379" t="n"/>
      <c r="V834" s="1361" t="n"/>
      <c r="W834" s="1361" t="n"/>
      <c r="X834" s="1361" t="n"/>
      <c r="Y834" s="1361" t="n"/>
      <c r="Z834" s="1379" t="n"/>
      <c r="AA834" s="1361" t="n"/>
      <c r="AB834" s="1361" t="n"/>
      <c r="AC834" s="1361" t="n"/>
      <c r="AD834" s="1361" t="n"/>
      <c r="AE834" s="1379" t="n"/>
      <c r="AF834" s="1361" t="n"/>
      <c r="AG834" s="1361" t="n"/>
      <c r="AH834" s="1361" t="n"/>
      <c r="AI834" s="1361" t="n"/>
      <c r="AJ834" s="1379" t="n"/>
      <c r="AK834" s="1361" t="n"/>
      <c r="AL834" s="1361" t="n"/>
      <c r="AM834" s="1361" t="n"/>
      <c r="AN834" s="1361" t="n"/>
      <c r="AO834" s="1379" t="n"/>
      <c r="AP834" s="1361" t="n"/>
      <c r="AQ834" s="1361" t="n"/>
      <c r="AR834" s="1361" t="n"/>
      <c r="AS834" s="1361" t="n"/>
      <c r="AT834" s="1379" t="n"/>
      <c r="AU834" s="1361" t="n"/>
      <c r="AV834" s="1361" t="n"/>
      <c r="AW834" s="1361" t="n"/>
      <c r="AX834" s="1361" t="n"/>
      <c r="AY834" s="1379" t="n"/>
      <c r="AZ834" s="1361" t="n"/>
      <c r="BA834" s="1361" t="n"/>
      <c r="BB834" s="1361" t="n"/>
      <c r="BC834" s="1361" t="n"/>
      <c r="BD834" s="1379" t="n"/>
      <c r="BE834" s="1361" t="n"/>
      <c r="BF834" s="1361" t="n"/>
      <c r="BG834" s="1361" t="n"/>
      <c r="BH834" s="1361" t="n"/>
      <c r="BI834" s="1379" t="n"/>
      <c r="BJ834" s="1361" t="n"/>
      <c r="BK834" s="1361" t="n"/>
      <c r="BL834" s="1361" t="n"/>
      <c r="BM834" s="1361" t="n"/>
      <c r="BN834" s="1379" t="n"/>
      <c r="BO834" s="1361" t="n"/>
      <c r="BP834" s="1361" t="n"/>
      <c r="BQ834" s="1363" t="n"/>
      <c r="BR834" s="1361" t="n"/>
      <c r="BS834" s="1379" t="n"/>
      <c r="BT834" s="1361" t="n"/>
      <c r="BU834" s="1361" t="n"/>
      <c r="BV834" s="1361" t="n"/>
      <c r="BW834" s="1361" t="n"/>
      <c r="BX834" s="1379" t="n"/>
      <c r="BY834" s="1379" t="n"/>
      <c r="BZ834" s="1379" t="n"/>
      <c r="CA834" s="1379" t="n"/>
      <c r="CB834" s="1361" t="n"/>
    </row>
    <row r="835" hidden="1" outlineLevel="3" ht="15" customFormat="1" customHeight="1" s="1359">
      <c r="A835" s="1486" t="inlineStr">
        <is>
          <t>Forward annual non-GAAP EBIT margin guidance - low, %</t>
        </is>
      </c>
      <c r="B835" s="1512" t="n"/>
      <c r="C835" s="1463" t="n"/>
      <c r="D835" s="1463" t="n"/>
      <c r="E835" s="1463" t="n"/>
      <c r="F835" s="1463" t="n"/>
      <c r="G835" s="1466" t="n"/>
      <c r="H835" s="1466" t="n"/>
      <c r="I835" s="1466" t="n"/>
      <c r="J835" s="1466" t="n"/>
      <c r="K835" s="1463" t="n"/>
      <c r="L835" s="1466" t="n"/>
      <c r="M835" s="1466" t="n"/>
      <c r="N835" s="1466" t="n"/>
      <c r="O835" s="1466" t="n"/>
      <c r="P835" s="1463" t="n"/>
      <c r="Q835" s="1466" t="n"/>
      <c r="R835" s="1466" t="n"/>
      <c r="S835" s="1466" t="n"/>
      <c r="T835" s="1466" t="n"/>
      <c r="U835" s="1463" t="n"/>
      <c r="V835" s="1466" t="n"/>
      <c r="W835" s="1466" t="n"/>
      <c r="X835" s="1466" t="n"/>
      <c r="Y835" s="1466" t="n"/>
      <c r="Z835" s="1463" t="n"/>
      <c r="AA835" s="1466" t="n"/>
      <c r="AB835" s="1466" t="n"/>
      <c r="AC835" s="1466">
        <f>AC1358</f>
        <v/>
      </c>
      <c r="AD835" s="1466">
        <f>AD1358</f>
        <v/>
      </c>
      <c r="AE835" s="1463">
        <f>AE1358</f>
        <v/>
      </c>
      <c r="AF835" s="1466">
        <f>AF1358</f>
        <v/>
      </c>
      <c r="AG835" s="1466">
        <f>AG1358</f>
        <v/>
      </c>
      <c r="AH835" s="1466">
        <f>AH1358</f>
        <v/>
      </c>
      <c r="AI835" s="1466">
        <f>AI1358</f>
        <v/>
      </c>
      <c r="AJ835" s="1463">
        <f>AJ1358</f>
        <v/>
      </c>
      <c r="AK835" s="1466">
        <f>AK1358</f>
        <v/>
      </c>
      <c r="AL835" s="1466">
        <f>AL1358</f>
        <v/>
      </c>
      <c r="AM835" s="1466">
        <f>AM1358</f>
        <v/>
      </c>
      <c r="AN835" s="1466">
        <f>AN1358</f>
        <v/>
      </c>
      <c r="AO835" s="1463">
        <f>AO1358</f>
        <v/>
      </c>
      <c r="AP835" s="1466">
        <f>AP1358</f>
        <v/>
      </c>
      <c r="AQ835" s="1466">
        <f>AQ1358</f>
        <v/>
      </c>
      <c r="AR835" s="1466">
        <f>AR1358</f>
        <v/>
      </c>
      <c r="AS835" s="1466">
        <f>AS1358</f>
        <v/>
      </c>
      <c r="AT835" s="1463">
        <f>AT1358</f>
        <v/>
      </c>
      <c r="AU835" s="1466">
        <f>AU1358</f>
        <v/>
      </c>
      <c r="AV835" s="1466">
        <f>AV1358</f>
        <v/>
      </c>
      <c r="AW835" s="1466">
        <f>AW1358</f>
        <v/>
      </c>
      <c r="AX835" s="1466">
        <f>AX1358</f>
        <v/>
      </c>
      <c r="AY835" s="1463">
        <f>AY1358</f>
        <v/>
      </c>
      <c r="AZ835" s="1466">
        <f>AZ1358</f>
        <v/>
      </c>
      <c r="BA835" s="1466">
        <f>BA1358</f>
        <v/>
      </c>
      <c r="BB835" s="1466">
        <f>BB1358</f>
        <v/>
      </c>
      <c r="BC835" s="1466">
        <f>BC1358</f>
        <v/>
      </c>
      <c r="BD835" s="1463">
        <f>BD1358</f>
        <v/>
      </c>
      <c r="BE835" s="1466">
        <f>BE1358</f>
        <v/>
      </c>
      <c r="BF835" s="1466">
        <f>BF1358</f>
        <v/>
      </c>
      <c r="BG835" s="1466">
        <f>BG1358</f>
        <v/>
      </c>
      <c r="BH835" s="1466">
        <f>BH1358</f>
        <v/>
      </c>
      <c r="BI835" s="1463">
        <f>BI1358</f>
        <v/>
      </c>
      <c r="BJ835" s="1466">
        <f>BJ1358</f>
        <v/>
      </c>
      <c r="BK835" s="1466">
        <f>BK1358</f>
        <v/>
      </c>
      <c r="BL835" s="1466">
        <f>BL1358</f>
        <v/>
      </c>
      <c r="BM835" s="1466">
        <f>BM1358</f>
        <v/>
      </c>
      <c r="BN835" s="1463">
        <f>BN1358</f>
        <v/>
      </c>
      <c r="BO835" s="1466">
        <f>BO1358</f>
        <v/>
      </c>
      <c r="BP835" s="1466">
        <f>BP1358</f>
        <v/>
      </c>
      <c r="BQ835" s="1491">
        <f>BQ1358</f>
        <v/>
      </c>
      <c r="BR835" s="1466" t="n"/>
      <c r="BS835" s="1463" t="n"/>
      <c r="BT835" s="1466" t="n"/>
      <c r="BU835" s="1466" t="n"/>
      <c r="BV835" s="1466" t="n"/>
      <c r="BW835" s="1466" t="n"/>
      <c r="BX835" s="1463" t="n"/>
      <c r="BY835" s="1463" t="n"/>
      <c r="BZ835" s="1463" t="n"/>
      <c r="CA835" s="1463" t="n"/>
      <c r="CB835" s="1466" t="n"/>
    </row>
    <row r="836" hidden="1" outlineLevel="3" ht="15" customFormat="1" customHeight="1" s="1359">
      <c r="A836" s="1791" t="inlineStr">
        <is>
          <t>Forward annual non-GAAP EBIT margin guidance - high, %</t>
        </is>
      </c>
      <c r="B836" s="1613" t="n"/>
      <c r="C836" s="1792" t="n"/>
      <c r="D836" s="1792" t="n"/>
      <c r="E836" s="1792" t="n"/>
      <c r="F836" s="1792" t="n"/>
      <c r="G836" s="1793" t="n"/>
      <c r="H836" s="1793" t="n"/>
      <c r="I836" s="1793" t="n"/>
      <c r="J836" s="1793" t="n"/>
      <c r="K836" s="1792" t="n"/>
      <c r="L836" s="1793" t="n"/>
      <c r="M836" s="1793" t="n"/>
      <c r="N836" s="1793" t="n"/>
      <c r="O836" s="1793" t="n"/>
      <c r="P836" s="1792" t="n"/>
      <c r="Q836" s="1793" t="n"/>
      <c r="R836" s="1793" t="n"/>
      <c r="S836" s="1793" t="n"/>
      <c r="T836" s="1793" t="n"/>
      <c r="U836" s="1792" t="n"/>
      <c r="V836" s="1793" t="n"/>
      <c r="W836" s="1793" t="n"/>
      <c r="X836" s="1793" t="n"/>
      <c r="Y836" s="1793" t="n"/>
      <c r="Z836" s="1792" t="n"/>
      <c r="AA836" s="1793" t="n"/>
      <c r="AB836" s="1793" t="n"/>
      <c r="AC836" s="1793">
        <f>AC1359</f>
        <v/>
      </c>
      <c r="AD836" s="1793">
        <f>AD1359</f>
        <v/>
      </c>
      <c r="AE836" s="1792">
        <f>AE1359</f>
        <v/>
      </c>
      <c r="AF836" s="1793">
        <f>AF1359</f>
        <v/>
      </c>
      <c r="AG836" s="1793">
        <f>AG1359</f>
        <v/>
      </c>
      <c r="AH836" s="1793">
        <f>AH1359</f>
        <v/>
      </c>
      <c r="AI836" s="1793">
        <f>AI1359</f>
        <v/>
      </c>
      <c r="AJ836" s="1792">
        <f>AJ1359</f>
        <v/>
      </c>
      <c r="AK836" s="1793">
        <f>AK1359</f>
        <v/>
      </c>
      <c r="AL836" s="1793">
        <f>AL1359</f>
        <v/>
      </c>
      <c r="AM836" s="1793">
        <f>AM1359</f>
        <v/>
      </c>
      <c r="AN836" s="1793">
        <f>AN1359</f>
        <v/>
      </c>
      <c r="AO836" s="1792">
        <f>AO1359</f>
        <v/>
      </c>
      <c r="AP836" s="1793">
        <f>AP1359</f>
        <v/>
      </c>
      <c r="AQ836" s="1793">
        <f>AQ1359</f>
        <v/>
      </c>
      <c r="AR836" s="1793">
        <f>AR1359</f>
        <v/>
      </c>
      <c r="AS836" s="1793">
        <f>AS1359</f>
        <v/>
      </c>
      <c r="AT836" s="1792">
        <f>AT1359</f>
        <v/>
      </c>
      <c r="AU836" s="1793">
        <f>AU1359</f>
        <v/>
      </c>
      <c r="AV836" s="1793">
        <f>AV1359</f>
        <v/>
      </c>
      <c r="AW836" s="1793">
        <f>AW1359</f>
        <v/>
      </c>
      <c r="AX836" s="1793">
        <f>AX1359</f>
        <v/>
      </c>
      <c r="AY836" s="1792">
        <f>AY1359</f>
        <v/>
      </c>
      <c r="AZ836" s="1793">
        <f>AZ1359</f>
        <v/>
      </c>
      <c r="BA836" s="1793">
        <f>BA1359</f>
        <v/>
      </c>
      <c r="BB836" s="1793">
        <f>BB1359</f>
        <v/>
      </c>
      <c r="BC836" s="1793">
        <f>BC1359</f>
        <v/>
      </c>
      <c r="BD836" s="1792">
        <f>BD1359</f>
        <v/>
      </c>
      <c r="BE836" s="1793">
        <f>BE1359</f>
        <v/>
      </c>
      <c r="BF836" s="1793">
        <f>BF1359</f>
        <v/>
      </c>
      <c r="BG836" s="1793">
        <f>BG1359</f>
        <v/>
      </c>
      <c r="BH836" s="1793">
        <f>BH1359</f>
        <v/>
      </c>
      <c r="BI836" s="1792">
        <f>BI1359</f>
        <v/>
      </c>
      <c r="BJ836" s="1793">
        <f>BJ1359</f>
        <v/>
      </c>
      <c r="BK836" s="1793">
        <f>BK1359</f>
        <v/>
      </c>
      <c r="BL836" s="1793">
        <f>BL1359</f>
        <v/>
      </c>
      <c r="BM836" s="1793">
        <f>BM1359</f>
        <v/>
      </c>
      <c r="BN836" s="1792">
        <f>BN1359</f>
        <v/>
      </c>
      <c r="BO836" s="1793">
        <f>BO1359</f>
        <v/>
      </c>
      <c r="BP836" s="1793">
        <f>BP1359</f>
        <v/>
      </c>
      <c r="BQ836" s="1794">
        <f>BQ1359</f>
        <v/>
      </c>
      <c r="BR836" s="1793" t="n"/>
      <c r="BS836" s="1792" t="n"/>
      <c r="BT836" s="1793" t="n"/>
      <c r="BU836" s="1793" t="n"/>
      <c r="BV836" s="1793" t="n"/>
      <c r="BW836" s="1793" t="n"/>
      <c r="BX836" s="1792" t="n"/>
      <c r="BY836" s="1792" t="n"/>
      <c r="BZ836" s="1792" t="n"/>
      <c r="CA836" s="1792" t="n"/>
      <c r="CB836" s="1466" t="n"/>
    </row>
    <row r="837" hidden="1" outlineLevel="2" collapsed="1" ht="15" customFormat="1" customHeight="1" s="1359">
      <c r="A837" s="1530" t="inlineStr">
        <is>
          <t>Forward annual non-GAAP EBIT margin guidance - midpoint, %</t>
        </is>
      </c>
      <c r="B837" s="1517" t="n"/>
      <c r="C837" s="1532" t="n"/>
      <c r="D837" s="1532" t="n"/>
      <c r="E837" s="1532" t="n"/>
      <c r="F837" s="1532" t="n"/>
      <c r="G837" s="1533" t="n"/>
      <c r="H837" s="1533" t="n"/>
      <c r="I837" s="1533" t="n"/>
      <c r="J837" s="1533" t="n"/>
      <c r="K837" s="1532" t="n"/>
      <c r="L837" s="1533" t="n"/>
      <c r="M837" s="1533" t="n"/>
      <c r="N837" s="1533" t="n"/>
      <c r="O837" s="1533" t="n"/>
      <c r="P837" s="1532" t="n"/>
      <c r="Q837" s="1533" t="n"/>
      <c r="R837" s="1533" t="n"/>
      <c r="S837" s="1533" t="n"/>
      <c r="T837" s="1533" t="n"/>
      <c r="U837" s="1532" t="n"/>
      <c r="V837" s="1533" t="n"/>
      <c r="W837" s="1533" t="n"/>
      <c r="X837" s="1533" t="n"/>
      <c r="Y837" s="1533" t="n"/>
      <c r="Z837" s="1532" t="n"/>
      <c r="AA837" s="1533" t="n"/>
      <c r="AB837" s="1533" t="n"/>
      <c r="AC837" s="1533">
        <f>IFERROR(AVERAGE(AC836,AC835),"")</f>
        <v/>
      </c>
      <c r="AD837" s="1533">
        <f>IFERROR(AVERAGE(AD836,AD835),"")</f>
        <v/>
      </c>
      <c r="AE837" s="1532">
        <f>IFERROR(AVERAGE(AE836,AE835),"")</f>
        <v/>
      </c>
      <c r="AF837" s="1533">
        <f>IFERROR(AVERAGE(AF836,AF835),"")</f>
        <v/>
      </c>
      <c r="AG837" s="1533">
        <f>IFERROR(AVERAGE(AG836,AG835),"")</f>
        <v/>
      </c>
      <c r="AH837" s="1533">
        <f>IFERROR(AVERAGE(AH836,AH835),"")</f>
        <v/>
      </c>
      <c r="AI837" s="1533">
        <f>IFERROR(AVERAGE(AI836,AI835),"")</f>
        <v/>
      </c>
      <c r="AJ837" s="1532">
        <f>IFERROR(AVERAGE(AJ836,AJ835),"")</f>
        <v/>
      </c>
      <c r="AK837" s="1533">
        <f>IFERROR(AVERAGE(AK836,AK835),"")</f>
        <v/>
      </c>
      <c r="AL837" s="1533">
        <f>IFERROR(AVERAGE(AL836,AL835),"")</f>
        <v/>
      </c>
      <c r="AM837" s="1533">
        <f>IFERROR(AVERAGE(AM836,AM835),"")</f>
        <v/>
      </c>
      <c r="AN837" s="1533">
        <f>IFERROR(AVERAGE(AN836,AN835),"")</f>
        <v/>
      </c>
      <c r="AO837" s="1532">
        <f>IFERROR(AVERAGE(AO836,AO835),"")</f>
        <v/>
      </c>
      <c r="AP837" s="1533">
        <f>IFERROR(AVERAGE(AP836,AP835),"")</f>
        <v/>
      </c>
      <c r="AQ837" s="1533">
        <f>IFERROR(AVERAGE(AQ836,AQ835),"")</f>
        <v/>
      </c>
      <c r="AR837" s="1533">
        <f>IFERROR(AVERAGE(AR836,AR835),"")</f>
        <v/>
      </c>
      <c r="AS837" s="1533">
        <f>IFERROR(AVERAGE(AS836,AS835),"")</f>
        <v/>
      </c>
      <c r="AT837" s="1532">
        <f>IFERROR(AVERAGE(AT836,AT835),"")</f>
        <v/>
      </c>
      <c r="AU837" s="1533">
        <f>IFERROR(AVERAGE(AU836,AU835),"")</f>
        <v/>
      </c>
      <c r="AV837" s="1533">
        <f>IFERROR(AVERAGE(AV836,AV835),"")</f>
        <v/>
      </c>
      <c r="AW837" s="1533">
        <f>IFERROR(AVERAGE(AW836,AW835),"")</f>
        <v/>
      </c>
      <c r="AX837" s="1533">
        <f>IFERROR(AVERAGE(AX836,AX835),"")</f>
        <v/>
      </c>
      <c r="AY837" s="1532">
        <f>IFERROR(AVERAGE(AY836,AY835),"")</f>
        <v/>
      </c>
      <c r="AZ837" s="1533">
        <f>IFERROR(AVERAGE(AZ836,AZ835),"")</f>
        <v/>
      </c>
      <c r="BA837" s="1533">
        <f>IFERROR(AVERAGE(BA836,BA835),"")</f>
        <v/>
      </c>
      <c r="BB837" s="1533">
        <f>IFERROR(AVERAGE(BB836,BB835),"")</f>
        <v/>
      </c>
      <c r="BC837" s="1533">
        <f>IFERROR(AVERAGE(BC836,BC835),"")</f>
        <v/>
      </c>
      <c r="BD837" s="1532">
        <f>IFERROR(AVERAGE(BD836,BD835),"")</f>
        <v/>
      </c>
      <c r="BE837" s="1533">
        <f>IFERROR(AVERAGE(BE836,BE835),"")</f>
        <v/>
      </c>
      <c r="BF837" s="1533">
        <f>IFERROR(AVERAGE(BF836,BF835),"")</f>
        <v/>
      </c>
      <c r="BG837" s="1533">
        <f>IFERROR(AVERAGE(BG836,BG835),"")</f>
        <v/>
      </c>
      <c r="BH837" s="1533">
        <f>IFERROR(AVERAGE(BH836,BH835),"")</f>
        <v/>
      </c>
      <c r="BI837" s="1532">
        <f>IFERROR(AVERAGE(BI836,BI835),"")</f>
        <v/>
      </c>
      <c r="BJ837" s="1533">
        <f>IFERROR(AVERAGE(BJ836,BJ835),"")</f>
        <v/>
      </c>
      <c r="BK837" s="1533">
        <f>IFERROR(AVERAGE(BK836,BK835),"")</f>
        <v/>
      </c>
      <c r="BL837" s="1533">
        <f>IFERROR(AVERAGE(BL836,BL835),"")</f>
        <v/>
      </c>
      <c r="BM837" s="1533">
        <f>IFERROR(AVERAGE(BM836,BM835),"")</f>
        <v/>
      </c>
      <c r="BN837" s="1532">
        <f>IFERROR(AVERAGE(BN836,BN835),"")</f>
        <v/>
      </c>
      <c r="BO837" s="1533">
        <f>IFERROR(AVERAGE(BO836,BO835),"")</f>
        <v/>
      </c>
      <c r="BP837" s="1533">
        <f>IFERROR(AVERAGE(BP836,BP835),"")</f>
        <v/>
      </c>
      <c r="BQ837" s="1534">
        <f>IFERROR(AVERAGE(BQ836,BQ835),"")</f>
        <v/>
      </c>
      <c r="BR837" s="1533" t="n"/>
      <c r="BS837" s="1532" t="n"/>
      <c r="BT837" s="1533" t="n"/>
      <c r="BU837" s="1533" t="n"/>
      <c r="BV837" s="1533" t="n"/>
      <c r="BW837" s="1533" t="n"/>
      <c r="BX837" s="1532" t="n"/>
      <c r="BY837" s="1532" t="n"/>
      <c r="BZ837" s="1532" t="n"/>
      <c r="CA837" s="1532" t="n"/>
      <c r="CB837" s="1533" t="n"/>
    </row>
    <row r="838" hidden="1" outlineLevel="2" ht="15" customFormat="1" customHeight="1" s="1359">
      <c r="A838" s="1500" t="inlineStr">
        <is>
          <t>Forward annual non-GAAP EBIT margin guidance variance (+/-), bps</t>
        </is>
      </c>
      <c r="B838" s="1512" t="n"/>
      <c r="C838" s="1469" t="n"/>
      <c r="D838" s="1469" t="n"/>
      <c r="E838" s="1469" t="n"/>
      <c r="F838" s="1469" t="n"/>
      <c r="G838" s="1471" t="n"/>
      <c r="H838" s="1471" t="n"/>
      <c r="I838" s="1471" t="n"/>
      <c r="J838" s="1471" t="n"/>
      <c r="K838" s="1469" t="n"/>
      <c r="L838" s="1471" t="n"/>
      <c r="M838" s="1471" t="n"/>
      <c r="N838" s="1471" t="n"/>
      <c r="O838" s="1471" t="n"/>
      <c r="P838" s="1469" t="n"/>
      <c r="Q838" s="1471" t="n"/>
      <c r="R838" s="1471" t="n"/>
      <c r="S838" s="1471" t="n"/>
      <c r="T838" s="1471" t="n"/>
      <c r="U838" s="1469" t="n"/>
      <c r="V838" s="1471" t="n"/>
      <c r="W838" s="1471" t="n"/>
      <c r="X838" s="1471" t="n"/>
      <c r="Y838" s="1471" t="n"/>
      <c r="Z838" s="1469" t="n"/>
      <c r="AA838" s="1471" t="n"/>
      <c r="AB838" s="1471" t="n"/>
      <c r="AC838" s="1471">
        <f>IFERROR(ABS(AC836-AC837)*10000,"")</f>
        <v/>
      </c>
      <c r="AD838" s="1471">
        <f>IFERROR(ABS(AD836-AD837)*10000,"")</f>
        <v/>
      </c>
      <c r="AE838" s="1469">
        <f>IFERROR(ABS(AE836-AE837)*10000,"")</f>
        <v/>
      </c>
      <c r="AF838" s="1471">
        <f>IFERROR(ABS(AF836-AF837)*10000,"")</f>
        <v/>
      </c>
      <c r="AG838" s="1471">
        <f>IFERROR(ABS(AG836-AG837)*10000,"")</f>
        <v/>
      </c>
      <c r="AH838" s="1471">
        <f>IFERROR(ABS(AH836-AH837)*10000,"")</f>
        <v/>
      </c>
      <c r="AI838" s="1471">
        <f>IFERROR(ABS(AI836-AI837)*10000,"")</f>
        <v/>
      </c>
      <c r="AJ838" s="1469">
        <f>IFERROR(ABS(AJ836-AJ837)*10000,"")</f>
        <v/>
      </c>
      <c r="AK838" s="1471">
        <f>IFERROR(ABS(AK836-AK837)*10000,"")</f>
        <v/>
      </c>
      <c r="AL838" s="1471">
        <f>IFERROR(ABS(AL836-AL837)*10000,"")</f>
        <v/>
      </c>
      <c r="AM838" s="1471">
        <f>IFERROR(ABS(AM836-AM837)*10000,"")</f>
        <v/>
      </c>
      <c r="AN838" s="1471">
        <f>IFERROR(ABS(AN836-AN837)*10000,"")</f>
        <v/>
      </c>
      <c r="AO838" s="1469">
        <f>IFERROR(ABS(AO836-AO837)*10000,"")</f>
        <v/>
      </c>
      <c r="AP838" s="1471">
        <f>IFERROR(ABS(AP836-AP837)*10000,"")</f>
        <v/>
      </c>
      <c r="AQ838" s="1471">
        <f>IFERROR(ABS(AQ836-AQ837)*10000,"")</f>
        <v/>
      </c>
      <c r="AR838" s="1471">
        <f>IFERROR(ABS(AR836-AR837)*10000,"")</f>
        <v/>
      </c>
      <c r="AS838" s="1471">
        <f>IFERROR(ABS(AS836-AS837)*10000,"")</f>
        <v/>
      </c>
      <c r="AT838" s="1469">
        <f>IFERROR(ABS(AT836-AT837)*10000,"")</f>
        <v/>
      </c>
      <c r="AU838" s="1471">
        <f>IFERROR(ABS(AU836-AU837)*10000,"")</f>
        <v/>
      </c>
      <c r="AV838" s="1471">
        <f>IFERROR(ABS(AV836-AV837)*10000,"")</f>
        <v/>
      </c>
      <c r="AW838" s="1471">
        <f>IFERROR(ABS(AW836-AW837)*10000,"")</f>
        <v/>
      </c>
      <c r="AX838" s="1471">
        <f>IFERROR(ABS(AX836-AX837)*10000,"")</f>
        <v/>
      </c>
      <c r="AY838" s="1469">
        <f>IFERROR(ABS(AY836-AY837)*10000,"")</f>
        <v/>
      </c>
      <c r="AZ838" s="1471">
        <f>IFERROR(ABS(AZ836-AZ837)*10000,"")</f>
        <v/>
      </c>
      <c r="BA838" s="1471">
        <f>IFERROR(ABS(BA836-BA837)*10000,"")</f>
        <v/>
      </c>
      <c r="BB838" s="1471">
        <f>IFERROR(ABS(BB836-BB837)*10000,"")</f>
        <v/>
      </c>
      <c r="BC838" s="1471">
        <f>IFERROR(ABS(BC836-BC837)*10000,"")</f>
        <v/>
      </c>
      <c r="BD838" s="1469">
        <f>IFERROR(ABS(BD836-BD837)*10000,"")</f>
        <v/>
      </c>
      <c r="BE838" s="1471">
        <f>IFERROR(ABS(BE836-BE837)*10000,"")</f>
        <v/>
      </c>
      <c r="BF838" s="1471">
        <f>IFERROR(ABS(BF836-BF837)*10000,"")</f>
        <v/>
      </c>
      <c r="BG838" s="1471">
        <f>IFERROR(ABS(BG836-BG837)*10000,"")</f>
        <v/>
      </c>
      <c r="BH838" s="1471">
        <f>IFERROR(ABS(BH836-BH837)*10000,"")</f>
        <v/>
      </c>
      <c r="BI838" s="1469">
        <f>IFERROR(ABS(BI836-BI837)*10000,"")</f>
        <v/>
      </c>
      <c r="BJ838" s="1471">
        <f>IFERROR(ABS(BJ836-BJ837)*10000,"")</f>
        <v/>
      </c>
      <c r="BK838" s="1471">
        <f>IFERROR(ABS(BK836-BK837)*10000,"")</f>
        <v/>
      </c>
      <c r="BL838" s="1471">
        <f>IFERROR(ABS(BL836-BL837)*10000,"")</f>
        <v/>
      </c>
      <c r="BM838" s="1471">
        <f>IFERROR(ABS(BM836-BM837)*10000,"")</f>
        <v/>
      </c>
      <c r="BN838" s="1469">
        <f>IFERROR(ABS(BN836-BN837)*10000,"")</f>
        <v/>
      </c>
      <c r="BO838" s="1471">
        <f>IFERROR(ABS(BO836-BO837)*10000,"")</f>
        <v/>
      </c>
      <c r="BP838" s="1471">
        <f>IFERROR(ABS(BP836-BP837)*10000,"")</f>
        <v/>
      </c>
      <c r="BQ838" s="1487">
        <f>IFERROR(ABS(BQ836-BQ837)*10000,"")</f>
        <v/>
      </c>
      <c r="BR838" s="1471" t="n"/>
      <c r="BS838" s="1469" t="n"/>
      <c r="BT838" s="1471" t="n"/>
      <c r="BU838" s="1471" t="n"/>
      <c r="BV838" s="1471" t="n"/>
      <c r="BW838" s="1471" t="n"/>
      <c r="BX838" s="1469" t="n"/>
      <c r="BY838" s="1469" t="n"/>
      <c r="BZ838" s="1469" t="n"/>
      <c r="CA838" s="1469" t="n"/>
      <c r="CB838" s="1471" t="n"/>
    </row>
    <row r="839" hidden="1" outlineLevel="3" ht="15" customFormat="1" customHeight="1" s="1359">
      <c r="A839" s="1800" t="inlineStr">
        <is>
          <t>Forward annual guided Y/Y non-GAAP EBIT margin improvement - low, bps</t>
        </is>
      </c>
      <c r="B839" s="1590" t="n"/>
      <c r="C839" s="1801" t="n"/>
      <c r="D839" s="1801" t="n"/>
      <c r="E839" s="1801" t="n"/>
      <c r="F839" s="1801" t="n"/>
      <c r="G839" s="1705" t="n"/>
      <c r="H839" s="1705" t="n"/>
      <c r="I839" s="1705" t="n"/>
      <c r="J839" s="1705" t="n"/>
      <c r="K839" s="1801" t="n"/>
      <c r="L839" s="1705" t="n"/>
      <c r="M839" s="1705" t="n"/>
      <c r="N839" s="1705" t="n"/>
      <c r="O839" s="1705" t="n"/>
      <c r="P839" s="1801" t="n"/>
      <c r="Q839" s="1705" t="n"/>
      <c r="R839" s="1705" t="n"/>
      <c r="S839" s="1705" t="n"/>
      <c r="T839" s="1705" t="n"/>
      <c r="U839" s="1801" t="n"/>
      <c r="V839" s="1705" t="n"/>
      <c r="W839" s="1705" t="n"/>
      <c r="X839" s="1705" t="n"/>
      <c r="Y839" s="1705" t="n"/>
      <c r="Z839" s="1801" t="n"/>
      <c r="AA839" s="1705" t="n"/>
      <c r="AB839" s="1705" t="n"/>
      <c r="AC839" s="1705">
        <f>IFERROR((AC835-Z793)*10000,"")</f>
        <v/>
      </c>
      <c r="AD839" s="1705">
        <f>IFERROR((AD835-AE793)*10000,"")</f>
        <v/>
      </c>
      <c r="AE839" s="1801">
        <f>IFERROR((AE835-AE793)*10000,"")</f>
        <v/>
      </c>
      <c r="AF839" s="1705">
        <f>IFERROR((AF835-AE793)*10000,"")</f>
        <v/>
      </c>
      <c r="AG839" s="1705">
        <f>IFERROR((AG835-AE793)*10000,"")</f>
        <v/>
      </c>
      <c r="AH839" s="1705">
        <f>IFERROR((AH835-AE793)*10000,"")</f>
        <v/>
      </c>
      <c r="AI839" s="1705">
        <f>IFERROR((AI835-AJ793)*10000,"")</f>
        <v/>
      </c>
      <c r="AJ839" s="1801">
        <f>IFERROR((AJ835-AJ793)*10000,"")</f>
        <v/>
      </c>
      <c r="AK839" s="1705">
        <f>IFERROR((AK835-AJ793)*10000,"")</f>
        <v/>
      </c>
      <c r="AL839" s="1705">
        <f>IFERROR((AL835-AJ793)*10000,"")</f>
        <v/>
      </c>
      <c r="AM839" s="1705">
        <f>IFERROR((AM835-AJ793)*10000,"")</f>
        <v/>
      </c>
      <c r="AN839" s="1705">
        <f>IFERROR((AN835-AO793)*10000,"")</f>
        <v/>
      </c>
      <c r="AO839" s="1801">
        <f>IFERROR((AO835-AO793)*10000,"")</f>
        <v/>
      </c>
      <c r="AP839" s="1705">
        <f>IFERROR((AP835-AO793)*10000,"")</f>
        <v/>
      </c>
      <c r="AQ839" s="1705">
        <f>IFERROR((AQ835-AO793)*10000,"")</f>
        <v/>
      </c>
      <c r="AR839" s="1705">
        <f>IFERROR((AR835-AO793)*10000,"")</f>
        <v/>
      </c>
      <c r="AS839" s="1705">
        <f>IFERROR((AS835-AT793)*10000,"")</f>
        <v/>
      </c>
      <c r="AT839" s="1801">
        <f>IFERROR((AT835-AT793)*10000,"")</f>
        <v/>
      </c>
      <c r="AU839" s="1705">
        <f>IFERROR((AU835-AT793)*10000,"")</f>
        <v/>
      </c>
      <c r="AV839" s="1705">
        <f>IFERROR((AV835-AT793)*10000,"")</f>
        <v/>
      </c>
      <c r="AW839" s="1705">
        <f>IFERROR((AW835-AT793)*10000,"")</f>
        <v/>
      </c>
      <c r="AX839" s="1705">
        <f>IFERROR((AX835-AY793)*10000,"")</f>
        <v/>
      </c>
      <c r="AY839" s="1801">
        <f>IFERROR((AY835-AY793)*10000,"")</f>
        <v/>
      </c>
      <c r="AZ839" s="1705">
        <f>IFERROR((AZ835-AY793)*10000,"")</f>
        <v/>
      </c>
      <c r="BA839" s="1705">
        <f>IFERROR((BA835-AY793)*10000,"")</f>
        <v/>
      </c>
      <c r="BB839" s="1705">
        <f>IFERROR((BB835-AY793)*10000,"")</f>
        <v/>
      </c>
      <c r="BC839" s="1705">
        <f>IFERROR((BC835-BD793)*10000,"")</f>
        <v/>
      </c>
      <c r="BD839" s="1801">
        <f>IFERROR((BD835-BD793)*10000,"")</f>
        <v/>
      </c>
      <c r="BE839" s="1705">
        <f>IFERROR((BE835-BD793)*10000,"")</f>
        <v/>
      </c>
      <c r="BF839" s="1705">
        <f>IFERROR((BF835-BD793)*10000,"")</f>
        <v/>
      </c>
      <c r="BG839" s="1705">
        <f>IFERROR((BG835-BD793)*10000,"")</f>
        <v/>
      </c>
      <c r="BH839" s="1705">
        <f>IFERROR((BH835-BI793)*10000,"")</f>
        <v/>
      </c>
      <c r="BI839" s="1801">
        <f>IFERROR((BI835-BI793)*10000,"")</f>
        <v/>
      </c>
      <c r="BJ839" s="1705">
        <f>IFERROR((BJ835-BI793)*10000,"")</f>
        <v/>
      </c>
      <c r="BK839" s="1705">
        <f>IFERROR((BK835-BI793)*10000,"")</f>
        <v/>
      </c>
      <c r="BL839" s="1705">
        <f>IFERROR((BL835-BI793)*10000,"")</f>
        <v/>
      </c>
      <c r="BM839" s="1705">
        <f>IFERROR((BM835-BN793)*10000,"")</f>
        <v/>
      </c>
      <c r="BN839" s="1801">
        <f>IFERROR((BN835-BN793)*10000,"")</f>
        <v/>
      </c>
      <c r="BO839" s="1705">
        <f>IFERROR((BO835-BN793)*10000,"")</f>
        <v/>
      </c>
      <c r="BP839" s="1705">
        <f>IFERROR((BP835-BN793)*10000,"")</f>
        <v/>
      </c>
      <c r="BQ839" s="1802">
        <f>IFERROR((BQ835-BN793)*10000,"")</f>
        <v/>
      </c>
      <c r="BR839" s="1705" t="n"/>
      <c r="BS839" s="1801" t="n"/>
      <c r="BT839" s="1705" t="n"/>
      <c r="BU839" s="1705" t="n"/>
      <c r="BV839" s="1705" t="n"/>
      <c r="BW839" s="1705" t="n"/>
      <c r="BX839" s="1801" t="n"/>
      <c r="BY839" s="1801" t="n"/>
      <c r="BZ839" s="1801" t="n"/>
      <c r="CA839" s="1801" t="n"/>
      <c r="CB839" s="1705" t="n"/>
    </row>
    <row r="840" hidden="1" outlineLevel="3" ht="15" customFormat="1" customHeight="1" s="1359">
      <c r="A840" s="1803" t="inlineStr">
        <is>
          <t>Forward annual guided Y/Y non-GAAP EBIT margin improvement - high, bps</t>
        </is>
      </c>
      <c r="B840" s="1774" t="n"/>
      <c r="C840" s="1804" t="n"/>
      <c r="D840" s="1804" t="n"/>
      <c r="E840" s="1804" t="n"/>
      <c r="F840" s="1804" t="n"/>
      <c r="G840" s="1805" t="n"/>
      <c r="H840" s="1805" t="n"/>
      <c r="I840" s="1805" t="n"/>
      <c r="J840" s="1805" t="n"/>
      <c r="K840" s="1804" t="n"/>
      <c r="L840" s="1805" t="n"/>
      <c r="M840" s="1805" t="n"/>
      <c r="N840" s="1805" t="n"/>
      <c r="O840" s="1805" t="n"/>
      <c r="P840" s="1804" t="n"/>
      <c r="Q840" s="1805" t="n"/>
      <c r="R840" s="1805" t="n"/>
      <c r="S840" s="1805" t="n"/>
      <c r="T840" s="1805" t="n"/>
      <c r="U840" s="1804" t="n"/>
      <c r="V840" s="1805" t="n"/>
      <c r="W840" s="1805" t="n"/>
      <c r="X840" s="1805" t="n"/>
      <c r="Y840" s="1805" t="n"/>
      <c r="Z840" s="1804" t="n"/>
      <c r="AA840" s="1805" t="n"/>
      <c r="AB840" s="1805" t="n"/>
      <c r="AC840" s="1805">
        <f>IFERROR((AC836-Z793)*10000,"")</f>
        <v/>
      </c>
      <c r="AD840" s="1805">
        <f>IFERROR((AD836-AE793)*10000,"")</f>
        <v/>
      </c>
      <c r="AE840" s="1804">
        <f>IFERROR((AE836-AE793)*10000,"")</f>
        <v/>
      </c>
      <c r="AF840" s="1805">
        <f>IFERROR((AF836-AE793)*10000,"")</f>
        <v/>
      </c>
      <c r="AG840" s="1805">
        <f>IFERROR((AG836-AE793)*10000,"")</f>
        <v/>
      </c>
      <c r="AH840" s="1805">
        <f>IFERROR((AH836-AE793)*10000,"")</f>
        <v/>
      </c>
      <c r="AI840" s="1805">
        <f>IFERROR((AI836-AJ793)*10000,"")</f>
        <v/>
      </c>
      <c r="AJ840" s="1804">
        <f>IFERROR((AJ836-AJ793)*10000,"")</f>
        <v/>
      </c>
      <c r="AK840" s="1805">
        <f>IFERROR((AK836-AJ793)*10000,"")</f>
        <v/>
      </c>
      <c r="AL840" s="1805">
        <f>IFERROR((AL836-AJ793)*10000,"")</f>
        <v/>
      </c>
      <c r="AM840" s="1805">
        <f>IFERROR((AM836-AJ793)*10000,"")</f>
        <v/>
      </c>
      <c r="AN840" s="1805">
        <f>IFERROR((AN836-AO793)*10000,"")</f>
        <v/>
      </c>
      <c r="AO840" s="1804">
        <f>IFERROR((AO836-AO793)*10000,"")</f>
        <v/>
      </c>
      <c r="AP840" s="1805">
        <f>IFERROR((AP836-AO793)*10000,"")</f>
        <v/>
      </c>
      <c r="AQ840" s="1805">
        <f>IFERROR((AQ836-AO793)*10000,"")</f>
        <v/>
      </c>
      <c r="AR840" s="1805">
        <f>IFERROR((AR836-AO793)*10000,"")</f>
        <v/>
      </c>
      <c r="AS840" s="1805">
        <f>IFERROR((AS836-AT793)*10000,"")</f>
        <v/>
      </c>
      <c r="AT840" s="1804">
        <f>IFERROR((AT836-AT793)*10000,"")</f>
        <v/>
      </c>
      <c r="AU840" s="1805">
        <f>IFERROR((AU836-AT793)*10000,"")</f>
        <v/>
      </c>
      <c r="AV840" s="1805">
        <f>IFERROR((AV836-AT793)*10000,"")</f>
        <v/>
      </c>
      <c r="AW840" s="1805">
        <f>IFERROR((AW836-AT793)*10000,"")</f>
        <v/>
      </c>
      <c r="AX840" s="1805">
        <f>IFERROR((AX836-AY793)*10000,"")</f>
        <v/>
      </c>
      <c r="AY840" s="1804">
        <f>IFERROR((AY836-AY793)*10000,"")</f>
        <v/>
      </c>
      <c r="AZ840" s="1805">
        <f>IFERROR((AZ836-AY793)*10000,"")</f>
        <v/>
      </c>
      <c r="BA840" s="1805">
        <f>IFERROR((BA836-AY793)*10000,"")</f>
        <v/>
      </c>
      <c r="BB840" s="1805">
        <f>IFERROR((BB836-AY793)*10000,"")</f>
        <v/>
      </c>
      <c r="BC840" s="1805">
        <f>IFERROR((BC836-BD793)*10000,"")</f>
        <v/>
      </c>
      <c r="BD840" s="1804">
        <f>IFERROR((BD836-BD793)*10000,"")</f>
        <v/>
      </c>
      <c r="BE840" s="1805">
        <f>IFERROR((BE836-BD793)*10000,"")</f>
        <v/>
      </c>
      <c r="BF840" s="1805">
        <f>IFERROR((BF836-BD793)*10000,"")</f>
        <v/>
      </c>
      <c r="BG840" s="1805">
        <f>IFERROR((BG836-BD793)*10000,"")</f>
        <v/>
      </c>
      <c r="BH840" s="1805">
        <f>IFERROR((BH836-BI793)*10000,"")</f>
        <v/>
      </c>
      <c r="BI840" s="1804">
        <f>IFERROR((BI836-BI793)*10000,"")</f>
        <v/>
      </c>
      <c r="BJ840" s="1805">
        <f>IFERROR((BJ836-BI793)*10000,"")</f>
        <v/>
      </c>
      <c r="BK840" s="1805">
        <f>IFERROR((BK836-BI793)*10000,"")</f>
        <v/>
      </c>
      <c r="BL840" s="1805">
        <f>IFERROR((BL836-BI793)*10000,"")</f>
        <v/>
      </c>
      <c r="BM840" s="1805">
        <f>IFERROR((BM836-BN793)*10000,"")</f>
        <v/>
      </c>
      <c r="BN840" s="1804">
        <f>IFERROR((BN836-BN793)*10000,"")</f>
        <v/>
      </c>
      <c r="BO840" s="1805">
        <f>IFERROR((BO836-BN793)*10000,"")</f>
        <v/>
      </c>
      <c r="BP840" s="1805">
        <f>IFERROR((BP836-BN793)*10000,"")</f>
        <v/>
      </c>
      <c r="BQ840" s="1806">
        <f>IFERROR((BQ836-BN793)*10000,"")</f>
        <v/>
      </c>
      <c r="BR840" s="1805" t="n"/>
      <c r="BS840" s="1804" t="n"/>
      <c r="BT840" s="1805" t="n"/>
      <c r="BU840" s="1805" t="n"/>
      <c r="BV840" s="1805" t="n"/>
      <c r="BW840" s="1805" t="n"/>
      <c r="BX840" s="1804" t="n"/>
      <c r="BY840" s="1804" t="n"/>
      <c r="BZ840" s="1804" t="n"/>
      <c r="CA840" s="1804" t="n"/>
      <c r="CB840" s="1705" t="n"/>
    </row>
    <row r="841" hidden="1" outlineLevel="2" collapsed="1" ht="15" customFormat="1" customHeight="1" s="1359">
      <c r="A841" s="1699" t="inlineStr">
        <is>
          <t>Forward annual guided Y/Y non-GAAP EBIT margin improvement - midpoint, bps</t>
        </is>
      </c>
      <c r="B841" s="1590" t="n"/>
      <c r="C841" s="1801" t="n"/>
      <c r="D841" s="1801" t="n"/>
      <c r="E841" s="1801" t="n"/>
      <c r="F841" s="1801" t="n"/>
      <c r="G841" s="1705" t="n"/>
      <c r="H841" s="1705" t="n"/>
      <c r="I841" s="1705" t="n"/>
      <c r="J841" s="1705" t="n"/>
      <c r="K841" s="1801" t="n"/>
      <c r="L841" s="1705" t="n"/>
      <c r="M841" s="1705" t="n"/>
      <c r="N841" s="1705" t="n"/>
      <c r="O841" s="1705" t="n"/>
      <c r="P841" s="1801" t="n"/>
      <c r="Q841" s="1705" t="n"/>
      <c r="R841" s="1705" t="n"/>
      <c r="S841" s="1705" t="n"/>
      <c r="T841" s="1705" t="n"/>
      <c r="U841" s="1801" t="n"/>
      <c r="V841" s="1705" t="n"/>
      <c r="W841" s="1705" t="n"/>
      <c r="X841" s="1705" t="n"/>
      <c r="Y841" s="1705" t="n"/>
      <c r="Z841" s="1801" t="n"/>
      <c r="AA841" s="1705" t="n"/>
      <c r="AB841" s="1705" t="n"/>
      <c r="AC841" s="1705">
        <f>IFERROR((AC837-Z793)*10000,"")</f>
        <v/>
      </c>
      <c r="AD841" s="1705">
        <f>IFERROR((AD837-AE793)*10000,"")</f>
        <v/>
      </c>
      <c r="AE841" s="1801">
        <f>IFERROR((AE837-AE793)*10000,"")</f>
        <v/>
      </c>
      <c r="AF841" s="1705">
        <f>IFERROR((AF837-AE793)*10000,"")</f>
        <v/>
      </c>
      <c r="AG841" s="1705">
        <f>IFERROR((AG837-AE793)*10000,"")</f>
        <v/>
      </c>
      <c r="AH841" s="1705">
        <f>IFERROR((AH837-AE793)*10000,"")</f>
        <v/>
      </c>
      <c r="AI841" s="1705">
        <f>IFERROR((AI837-AJ793)*10000,"")</f>
        <v/>
      </c>
      <c r="AJ841" s="1801">
        <f>IFERROR((AJ837-AJ793)*10000,"")</f>
        <v/>
      </c>
      <c r="AK841" s="1705">
        <f>IFERROR((AK837-AJ793)*10000,"")</f>
        <v/>
      </c>
      <c r="AL841" s="1705">
        <f>IFERROR((AL837-AJ793)*10000,"")</f>
        <v/>
      </c>
      <c r="AM841" s="1705">
        <f>IFERROR((AM837-AJ793)*10000,"")</f>
        <v/>
      </c>
      <c r="AN841" s="1705">
        <f>IFERROR((AN837-AO793)*10000,"")</f>
        <v/>
      </c>
      <c r="AO841" s="1801">
        <f>IFERROR((AO837-AO793)*10000,"")</f>
        <v/>
      </c>
      <c r="AP841" s="1705">
        <f>IFERROR((AP837-AO793)*10000,"")</f>
        <v/>
      </c>
      <c r="AQ841" s="1705">
        <f>IFERROR((AQ837-AO793)*10000,"")</f>
        <v/>
      </c>
      <c r="AR841" s="1705">
        <f>IFERROR((AR837-AO793)*10000,"")</f>
        <v/>
      </c>
      <c r="AS841" s="1705">
        <f>IFERROR((AS837-AT793)*10000,"")</f>
        <v/>
      </c>
      <c r="AT841" s="1801">
        <f>IFERROR((AT837-AT793)*10000,"")</f>
        <v/>
      </c>
      <c r="AU841" s="1705">
        <f>IFERROR((AU837-AT793)*10000,"")</f>
        <v/>
      </c>
      <c r="AV841" s="1705">
        <f>IFERROR((AV837-AT793)*10000,"")</f>
        <v/>
      </c>
      <c r="AW841" s="1705">
        <f>IFERROR((AW837-AT793)*10000,"")</f>
        <v/>
      </c>
      <c r="AX841" s="1705">
        <f>IFERROR((AX837-AY793)*10000,"")</f>
        <v/>
      </c>
      <c r="AY841" s="1801">
        <f>IFERROR((AY837-AY793)*10000,"")</f>
        <v/>
      </c>
      <c r="AZ841" s="1705">
        <f>IFERROR((AZ837-AY793)*10000,"")</f>
        <v/>
      </c>
      <c r="BA841" s="1705">
        <f>IFERROR((BA837-AY793)*10000,"")</f>
        <v/>
      </c>
      <c r="BB841" s="1705">
        <f>IFERROR((BB837-AY793)*10000,"")</f>
        <v/>
      </c>
      <c r="BC841" s="1705">
        <f>IFERROR((BC837-BD793)*10000,"")</f>
        <v/>
      </c>
      <c r="BD841" s="1801">
        <f>IFERROR((BD837-BD793)*10000,"")</f>
        <v/>
      </c>
      <c r="BE841" s="1705">
        <f>IFERROR((BE837-BD793)*10000,"")</f>
        <v/>
      </c>
      <c r="BF841" s="1705">
        <f>IFERROR((BF837-BD793)*10000,"")</f>
        <v/>
      </c>
      <c r="BG841" s="1705">
        <f>IFERROR((BG837-BD793)*10000,"")</f>
        <v/>
      </c>
      <c r="BH841" s="1705">
        <f>IFERROR((BH837-BI793)*10000,"")</f>
        <v/>
      </c>
      <c r="BI841" s="1801">
        <f>IFERROR((BI837-BI793)*10000,"")</f>
        <v/>
      </c>
      <c r="BJ841" s="1705">
        <f>IFERROR((BJ837-BI793)*10000,"")</f>
        <v/>
      </c>
      <c r="BK841" s="1705">
        <f>IFERROR((BK837-BI793)*10000,"")</f>
        <v/>
      </c>
      <c r="BL841" s="1705">
        <f>IFERROR((BL837-BI793)*10000,"")</f>
        <v/>
      </c>
      <c r="BM841" s="1705">
        <f>IFERROR((BM837-BN793)*10000,"")</f>
        <v/>
      </c>
      <c r="BN841" s="1801">
        <f>IFERROR((BN837-BN793)*10000,"")</f>
        <v/>
      </c>
      <c r="BO841" s="1705">
        <f>IFERROR((BO837-BN793)*10000,"")</f>
        <v/>
      </c>
      <c r="BP841" s="1705">
        <f>IFERROR((BP837-BN793)*10000,"")</f>
        <v/>
      </c>
      <c r="BQ841" s="1802">
        <f>IFERROR((BQ837-BN793)*10000,"")</f>
        <v/>
      </c>
      <c r="BR841" s="1705" t="n"/>
      <c r="BS841" s="1801" t="n"/>
      <c r="BT841" s="1705" t="n"/>
      <c r="BU841" s="1705" t="n"/>
      <c r="BV841" s="1705" t="n"/>
      <c r="BW841" s="1705" t="n"/>
      <c r="BX841" s="1801" t="n"/>
      <c r="BY841" s="1801" t="n"/>
      <c r="BZ841" s="1801" t="n"/>
      <c r="CA841" s="1801" t="n"/>
      <c r="CB841" s="1705" t="n"/>
    </row>
    <row r="842" hidden="1" outlineLevel="1" collapsed="1" ht="15" customFormat="1" customHeight="1" s="1359">
      <c r="A842" s="545" t="n"/>
      <c r="B842" s="1512" t="n"/>
      <c r="C842" s="1379" t="n"/>
      <c r="D842" s="1379" t="n"/>
      <c r="E842" s="1379" t="n"/>
      <c r="F842" s="1379" t="n"/>
      <c r="G842" s="1361" t="n"/>
      <c r="H842" s="1361" t="n"/>
      <c r="I842" s="1361" t="n"/>
      <c r="J842" s="1361" t="n"/>
      <c r="K842" s="1379" t="n"/>
      <c r="L842" s="1361" t="n"/>
      <c r="M842" s="1361" t="n"/>
      <c r="N842" s="1361" t="n"/>
      <c r="O842" s="1361" t="n"/>
      <c r="P842" s="1379" t="n"/>
      <c r="Q842" s="1361" t="n"/>
      <c r="R842" s="1361" t="n"/>
      <c r="S842" s="1361" t="n"/>
      <c r="T842" s="1361" t="n"/>
      <c r="U842" s="1379" t="n"/>
      <c r="V842" s="1361" t="n"/>
      <c r="W842" s="1361" t="n"/>
      <c r="X842" s="1361" t="n"/>
      <c r="Y842" s="1361" t="n"/>
      <c r="Z842" s="1379" t="n"/>
      <c r="AA842" s="1361" t="n"/>
      <c r="AB842" s="1361" t="n"/>
      <c r="AC842" s="1361" t="n"/>
      <c r="AD842" s="1361" t="n"/>
      <c r="AE842" s="1379" t="n"/>
      <c r="AF842" s="1361" t="n"/>
      <c r="AG842" s="1361" t="n"/>
      <c r="AH842" s="1361" t="n"/>
      <c r="AI842" s="1361" t="n"/>
      <c r="AJ842" s="1379" t="n"/>
      <c r="AK842" s="1361" t="n"/>
      <c r="AL842" s="1361" t="n"/>
      <c r="AM842" s="1361" t="n"/>
      <c r="AN842" s="1361" t="n"/>
      <c r="AO842" s="1379" t="n"/>
      <c r="AP842" s="1361" t="n"/>
      <c r="AQ842" s="1361" t="n"/>
      <c r="AR842" s="1361" t="n"/>
      <c r="AS842" s="1361" t="n"/>
      <c r="AT842" s="1379" t="n"/>
      <c r="AU842" s="1361" t="n"/>
      <c r="AV842" s="1361" t="n"/>
      <c r="AW842" s="1361" t="n"/>
      <c r="AX842" s="1361" t="n"/>
      <c r="AY842" s="1379" t="n"/>
      <c r="AZ842" s="1361" t="n"/>
      <c r="BA842" s="1361" t="n"/>
      <c r="BB842" s="1361" t="n"/>
      <c r="BC842" s="1361" t="n"/>
      <c r="BD842" s="1379" t="n"/>
      <c r="BE842" s="1361" t="n"/>
      <c r="BF842" s="1361" t="n"/>
      <c r="BG842" s="1361" t="n"/>
      <c r="BH842" s="1361" t="n"/>
      <c r="BI842" s="1379" t="n"/>
      <c r="BJ842" s="1361" t="n"/>
      <c r="BK842" s="1361" t="n"/>
      <c r="BL842" s="1361" t="n"/>
      <c r="BM842" s="1361" t="n"/>
      <c r="BN842" s="1379" t="n"/>
      <c r="BO842" s="1361" t="n"/>
      <c r="BP842" s="1361" t="n"/>
      <c r="BQ842" s="1363" t="n"/>
      <c r="BR842" s="1361" t="n"/>
      <c r="BS842" s="1379" t="n"/>
      <c r="BT842" s="1361" t="n"/>
      <c r="BU842" s="1361" t="n"/>
      <c r="BV842" s="1361" t="n"/>
      <c r="BW842" s="1361" t="n"/>
      <c r="BX842" s="1379" t="n"/>
      <c r="BY842" s="1379" t="n"/>
      <c r="BZ842" s="1379" t="n"/>
      <c r="CA842" s="1379" t="n"/>
      <c r="CB842" s="1361" t="n"/>
    </row>
    <row r="843" hidden="1" outlineLevel="1" ht="15" customFormat="1" customHeight="1" s="1359">
      <c r="A843" s="1807" t="inlineStr">
        <is>
          <t>Weighted Average Diluted (WAD) Adjusted EPS - Guidance Analysis</t>
        </is>
      </c>
      <c r="B843" s="1682" t="n"/>
      <c r="C843" s="1808" t="n"/>
      <c r="D843" s="1808" t="n"/>
      <c r="E843" s="1808" t="n"/>
      <c r="F843" s="1808" t="n"/>
      <c r="G843" s="1808" t="n"/>
      <c r="H843" s="1808" t="n"/>
      <c r="I843" s="1808" t="n"/>
      <c r="J843" s="1808" t="n"/>
      <c r="K843" s="1808" t="n"/>
      <c r="L843" s="1808" t="n"/>
      <c r="M843" s="1808" t="n"/>
      <c r="N843" s="1808" t="n"/>
      <c r="O843" s="1808" t="n"/>
      <c r="P843" s="1808" t="n"/>
      <c r="Q843" s="1808" t="n"/>
      <c r="R843" s="1808" t="n"/>
      <c r="S843" s="1808" t="n"/>
      <c r="T843" s="1808" t="n"/>
      <c r="U843" s="1808" t="n"/>
      <c r="V843" s="1808" t="n"/>
      <c r="W843" s="1808" t="n"/>
      <c r="X843" s="1808" t="n"/>
      <c r="Y843" s="1808" t="n"/>
      <c r="Z843" s="1808" t="n"/>
      <c r="AA843" s="1808" t="n"/>
      <c r="AB843" s="1808" t="n"/>
      <c r="AC843" s="1808" t="n"/>
      <c r="AD843" s="1808" t="n"/>
      <c r="AE843" s="1808" t="n"/>
      <c r="AF843" s="1808" t="n"/>
      <c r="AG843" s="1808" t="n"/>
      <c r="AH843" s="1808" t="n"/>
      <c r="AI843" s="1808" t="n"/>
      <c r="AJ843" s="1808" t="n"/>
      <c r="AK843" s="1808" t="n"/>
      <c r="AL843" s="1808" t="n"/>
      <c r="AM843" s="1808" t="n"/>
      <c r="AN843" s="1808" t="n"/>
      <c r="AO843" s="1808" t="n"/>
      <c r="AP843" s="1808" t="n"/>
      <c r="AQ843" s="1808" t="n"/>
      <c r="AR843" s="1808" t="n"/>
      <c r="AS843" s="1808" t="n"/>
      <c r="AT843" s="1808" t="n"/>
      <c r="AU843" s="1808" t="n"/>
      <c r="AV843" s="1808" t="n"/>
      <c r="AW843" s="1808" t="n"/>
      <c r="AX843" s="1808" t="n"/>
      <c r="AY843" s="1808" t="n"/>
      <c r="AZ843" s="1808" t="n"/>
      <c r="BA843" s="1808" t="n"/>
      <c r="BB843" s="1808" t="n"/>
      <c r="BC843" s="1808" t="n"/>
      <c r="BD843" s="1808" t="n"/>
      <c r="BE843" s="1808" t="n"/>
      <c r="BF843" s="1808" t="n"/>
      <c r="BG843" s="1808" t="n"/>
      <c r="BH843" s="1808" t="n"/>
      <c r="BI843" s="1808" t="n"/>
      <c r="BJ843" s="1808" t="n"/>
      <c r="BK843" s="1808" t="n"/>
      <c r="BL843" s="1808" t="n"/>
      <c r="BM843" s="1808" t="n"/>
      <c r="BN843" s="1808" t="n"/>
      <c r="BO843" s="1808" t="n"/>
      <c r="BP843" s="1808" t="n"/>
      <c r="BQ843" s="1809" t="n"/>
      <c r="BR843" s="1808" t="n"/>
      <c r="BS843" s="1808" t="n"/>
      <c r="BT843" s="1808" t="n"/>
      <c r="BU843" s="1808" t="n"/>
      <c r="BV843" s="1808" t="n"/>
      <c r="BW843" s="1808" t="n"/>
      <c r="BX843" s="1808" t="n"/>
      <c r="BY843" s="1808" t="n"/>
      <c r="BZ843" s="1808" t="n"/>
      <c r="CA843" s="1808" t="n"/>
      <c r="CB843" s="1810" t="n"/>
    </row>
    <row r="844" hidden="1" outlineLevel="2" ht="15" customFormat="1" customHeight="1" s="1359">
      <c r="A844" s="1719" t="inlineStr">
        <is>
          <t>WAD Adjusted EPS guidance - initial midpoint, $/share</t>
        </is>
      </c>
      <c r="B844" s="1512" t="n"/>
      <c r="C844" s="1723" t="n"/>
      <c r="D844" s="1723" t="n"/>
      <c r="E844" s="1723" t="n"/>
      <c r="F844" s="1723" t="n"/>
      <c r="G844" s="1721" t="n"/>
      <c r="H844" s="1721">
        <f>IF(ISBLANK(G864),"",G864)</f>
        <v/>
      </c>
      <c r="I844" s="1721">
        <f>IF(ISBLANK(H864),"",H864)</f>
        <v/>
      </c>
      <c r="J844" s="1721">
        <f>IF(ISBLANK(I864),"",I864)</f>
        <v/>
      </c>
      <c r="K844" s="1723" t="n"/>
      <c r="L844" s="1721">
        <f>IF(ISBLANK(J864),"",J864)</f>
        <v/>
      </c>
      <c r="M844" s="1721">
        <f>IF(ISBLANK(L864),"",L864)</f>
        <v/>
      </c>
      <c r="N844" s="1721">
        <f>IF(ISBLANK(M864),"",M864)</f>
        <v/>
      </c>
      <c r="O844" s="1721">
        <f>IF(ISBLANK(N864),"",N864)</f>
        <v/>
      </c>
      <c r="P844" s="1723">
        <f>IF(ISBLANK(J887),"",J887)</f>
        <v/>
      </c>
      <c r="Q844" s="1721">
        <f>IF(ISBLANK(O864),"",O864)</f>
        <v/>
      </c>
      <c r="R844" s="1721">
        <f>IF(ISBLANK(Q864),"",Q864)</f>
        <v/>
      </c>
      <c r="S844" s="1721">
        <f>IF(ISBLANK(R864),"",R864)</f>
        <v/>
      </c>
      <c r="T844" s="1721">
        <f>IF(ISBLANK(S864),"",S864)</f>
        <v/>
      </c>
      <c r="U844" s="1723">
        <f>IF(ISBLANK(O887),"",O887)</f>
        <v/>
      </c>
      <c r="V844" s="1721">
        <f>IF(ISBLANK(T864),"",T864)</f>
        <v/>
      </c>
      <c r="W844" s="1721">
        <f>IF(ISBLANK(V864),"",V864)</f>
        <v/>
      </c>
      <c r="X844" s="1721">
        <f>IF(ISBLANK(W864),"",W864)</f>
        <v/>
      </c>
      <c r="Y844" s="1721">
        <f>IF(ISBLANK(X864),"",X864)</f>
        <v/>
      </c>
      <c r="Z844" s="1723">
        <f>IF(ISBLANK(T887),"",T887)</f>
        <v/>
      </c>
      <c r="AA844" s="1721">
        <f>IF(ISBLANK(Y864),"",Y864)</f>
        <v/>
      </c>
      <c r="AB844" s="1721">
        <f>IF(ISBLANK(AA864),"",AA864)</f>
        <v/>
      </c>
      <c r="AC844" s="1721">
        <f>IF(ISBLANK(AB864),"",AB864)</f>
        <v/>
      </c>
      <c r="AD844" s="1721">
        <f>IF(ISBLANK(AC864),"",AC864)</f>
        <v/>
      </c>
      <c r="AE844" s="1723">
        <f>IF(ISBLANK(Y887),"",Y887)</f>
        <v/>
      </c>
      <c r="AF844" s="1721">
        <f>IF(ISBLANK(AD864),"",AD864)</f>
        <v/>
      </c>
      <c r="AG844" s="1721">
        <f>IF(ISBLANK(AF864),"",AF864)</f>
        <v/>
      </c>
      <c r="AH844" s="1721">
        <f>IF(ISBLANK(AG864),"",AG864)</f>
        <v/>
      </c>
      <c r="AI844" s="1721">
        <f>IF(ISBLANK(AH864),"",AH864)</f>
        <v/>
      </c>
      <c r="AJ844" s="1723">
        <f>IF(ISBLANK(AD887),"",AD887)</f>
        <v/>
      </c>
      <c r="AK844" s="1721">
        <f>IF(ISBLANK(AI864),"",AI864)</f>
        <v/>
      </c>
      <c r="AL844" s="1721">
        <f>IF(ISBLANK(AK864),"",AK864)</f>
        <v/>
      </c>
      <c r="AM844" s="1721">
        <f>IF(ISBLANK(AL864),"",AL864)</f>
        <v/>
      </c>
      <c r="AN844" s="1721">
        <f>IF(ISBLANK(AM864),"",AM864)</f>
        <v/>
      </c>
      <c r="AO844" s="1723">
        <f>IF(ISBLANK(AI887),"",AI887)</f>
        <v/>
      </c>
      <c r="AP844" s="1721">
        <f>IF(ISBLANK(AN864),"",AN864)</f>
        <v/>
      </c>
      <c r="AQ844" s="1721">
        <f>IF(ISBLANK(AP864),"",AP864)</f>
        <v/>
      </c>
      <c r="AR844" s="1721">
        <f>IF(ISBLANK(AQ864),"",AQ864)</f>
        <v/>
      </c>
      <c r="AS844" s="1721">
        <f>IF(ISBLANK(AR864),"",AR864)</f>
        <v/>
      </c>
      <c r="AT844" s="1723">
        <f>IF(ISBLANK(AN887),"",AN887)</f>
        <v/>
      </c>
      <c r="AU844" s="1721">
        <f>IF(ISBLANK(AS864),"",AS864)</f>
        <v/>
      </c>
      <c r="AV844" s="1721">
        <f>IF(ISBLANK(AU864),"",AU864)</f>
        <v/>
      </c>
      <c r="AW844" s="1721">
        <f>IF(ISBLANK(AV864),"",AV864)</f>
        <v/>
      </c>
      <c r="AX844" s="1721">
        <f>IF(ISBLANK(AW864),"",AW864)</f>
        <v/>
      </c>
      <c r="AY844" s="1723">
        <f>IF(ISBLANK(AS887),"",AS887)</f>
        <v/>
      </c>
      <c r="AZ844" s="1721">
        <f>IF(ISBLANK(AX864),"",AX864)</f>
        <v/>
      </c>
      <c r="BA844" s="1721">
        <f>IF(ISBLANK(AZ864),"",AZ864)</f>
        <v/>
      </c>
      <c r="BB844" s="1721">
        <f>IF(ISBLANK(BA864),"",BA864)</f>
        <v/>
      </c>
      <c r="BC844" s="1721">
        <f>IF(ISBLANK(BB864),"",BB864)</f>
        <v/>
      </c>
      <c r="BD844" s="1723">
        <f>IF(ISBLANK(AX887),"",AX887)</f>
        <v/>
      </c>
      <c r="BE844" s="1721">
        <f>IF(ISBLANK(BC864),"",BC864)</f>
        <v/>
      </c>
      <c r="BF844" s="1721">
        <f>IF(ISBLANK(BE864),"",BE864)</f>
        <v/>
      </c>
      <c r="BG844" s="1721">
        <f>IF(ISBLANK(BF864),"",BF864)</f>
        <v/>
      </c>
      <c r="BH844" s="1721">
        <f>IF(ISBLANK(BG864),"",BG864)</f>
        <v/>
      </c>
      <c r="BI844" s="1723">
        <f>IF(ISBLANK(BC887),"",BC887)</f>
        <v/>
      </c>
      <c r="BJ844" s="1721">
        <f>IF(ISBLANK(BH864),"",BH864)</f>
        <v/>
      </c>
      <c r="BK844" s="1721">
        <f>IF(ISBLANK(BJ864),"",BJ864)</f>
        <v/>
      </c>
      <c r="BL844" s="1721">
        <f>IF(ISBLANK(BK864),"",BK864)</f>
        <v/>
      </c>
      <c r="BM844" s="1721">
        <f>IF(ISBLANK(BL864),"",BL864)</f>
        <v/>
      </c>
      <c r="BN844" s="1723">
        <f>IF(ISBLANK(BH887),"",BH887)</f>
        <v/>
      </c>
      <c r="BO844" s="1721">
        <f>IF(ISBLANK(BM864),"",BM864)</f>
        <v/>
      </c>
      <c r="BP844" s="1721">
        <f>IF(ISBLANK(BO864),"",BO864)</f>
        <v/>
      </c>
      <c r="BQ844" s="1722">
        <f>IF(ISBLANK(BP864),"",BP864)</f>
        <v/>
      </c>
      <c r="BR844" s="1721">
        <f>IF(ISBLANK(BQ864),"",BQ864)</f>
        <v/>
      </c>
      <c r="BS844" s="1723">
        <f>IF(ISBLANK(BM887),"",BM887)</f>
        <v/>
      </c>
      <c r="BT844" s="1721">
        <f>IF(ISBLANK(BR864),"",BR864)</f>
        <v/>
      </c>
      <c r="BU844" s="1721">
        <f>IF(ISBLANK(BT864),"",BT864)</f>
        <v/>
      </c>
      <c r="BV844" s="1721">
        <f>IF(ISBLANK(BU864),"",BU864)</f>
        <v/>
      </c>
      <c r="BW844" s="1721">
        <f>IF(ISBLANK(BV864),"",BV864)</f>
        <v/>
      </c>
      <c r="BX844" s="1723">
        <f>IF(ISBLANK(BR887),"",BR887)</f>
        <v/>
      </c>
      <c r="BY844" s="1723" t="n"/>
      <c r="BZ844" s="1723" t="n"/>
      <c r="CA844" s="1723" t="n"/>
      <c r="CB844" s="1721" t="n"/>
    </row>
    <row r="845" hidden="1" outlineLevel="2" ht="15" customFormat="1" customHeight="1" s="1359">
      <c r="A845" s="1719" t="inlineStr">
        <is>
          <t>WAD Adjusted EPS guidance - update 1 midpoint, $/share</t>
        </is>
      </c>
      <c r="B845" s="1512" t="n"/>
      <c r="C845" s="1723" t="n"/>
      <c r="D845" s="1723" t="n"/>
      <c r="E845" s="1723" t="n"/>
      <c r="F845" s="1723" t="n"/>
      <c r="G845" s="1721" t="n"/>
      <c r="H845" s="1721" t="n"/>
      <c r="I845" s="1721" t="n"/>
      <c r="J845" s="1721" t="n"/>
      <c r="K845" s="1723">
        <f>IF(ISBLANK(G887),"",G887)</f>
        <v/>
      </c>
      <c r="L845" s="1721" t="n"/>
      <c r="M845" s="1721" t="n"/>
      <c r="N845" s="1721" t="n"/>
      <c r="O845" s="1721" t="n"/>
      <c r="P845" s="1723">
        <f>IF(ISBLANK(L887),"",L887)</f>
        <v/>
      </c>
      <c r="Q845" s="1721" t="n"/>
      <c r="R845" s="1721" t="n"/>
      <c r="S845" s="1721" t="n"/>
      <c r="T845" s="1721" t="n"/>
      <c r="U845" s="1723">
        <f>IF(ISBLANK(Q887),"",Q887)</f>
        <v/>
      </c>
      <c r="V845" s="1721" t="n"/>
      <c r="W845" s="1721" t="n"/>
      <c r="X845" s="1721" t="n"/>
      <c r="Y845" s="1721" t="n"/>
      <c r="Z845" s="1723">
        <f>IF(ISBLANK(V887),"",V887)</f>
        <v/>
      </c>
      <c r="AA845" s="1721" t="n"/>
      <c r="AB845" s="1721" t="n"/>
      <c r="AC845" s="1721" t="n"/>
      <c r="AD845" s="1721" t="n"/>
      <c r="AE845" s="1723">
        <f>IF(ISBLANK(AA887),"",AA887)</f>
        <v/>
      </c>
      <c r="AF845" s="1721" t="n"/>
      <c r="AG845" s="1721" t="n"/>
      <c r="AH845" s="1721" t="n"/>
      <c r="AI845" s="1721" t="n"/>
      <c r="AJ845" s="1723">
        <f>IF(ISBLANK(AF887),"",AF887)</f>
        <v/>
      </c>
      <c r="AK845" s="1721" t="n"/>
      <c r="AL845" s="1721" t="n"/>
      <c r="AM845" s="1721" t="n"/>
      <c r="AN845" s="1721" t="n"/>
      <c r="AO845" s="1723">
        <f>IF(ISBLANK(AK887),"",AK887)</f>
        <v/>
      </c>
      <c r="AP845" s="1721" t="n"/>
      <c r="AQ845" s="1721" t="n"/>
      <c r="AR845" s="1721" t="n"/>
      <c r="AS845" s="1721" t="n"/>
      <c r="AT845" s="1723">
        <f>IF(ISBLANK(AP887),"",AP887)</f>
        <v/>
      </c>
      <c r="AU845" s="1721" t="n"/>
      <c r="AV845" s="1721" t="n"/>
      <c r="AW845" s="1721" t="n"/>
      <c r="AX845" s="1721" t="n"/>
      <c r="AY845" s="1723">
        <f>IF(ISBLANK(AU887),"",AU887)</f>
        <v/>
      </c>
      <c r="AZ845" s="1721" t="n"/>
      <c r="BA845" s="1721" t="n"/>
      <c r="BB845" s="1721" t="n"/>
      <c r="BC845" s="1721" t="n"/>
      <c r="BD845" s="1723">
        <f>IF(ISBLANK(AZ887),"",AZ887)</f>
        <v/>
      </c>
      <c r="BE845" s="1721" t="n"/>
      <c r="BF845" s="1721" t="n"/>
      <c r="BG845" s="1721" t="n"/>
      <c r="BH845" s="1721" t="n"/>
      <c r="BI845" s="1723">
        <f>IF(ISBLANK(BE887),"",BE887)</f>
        <v/>
      </c>
      <c r="BJ845" s="1721" t="n"/>
      <c r="BK845" s="1721" t="n"/>
      <c r="BL845" s="1721" t="n"/>
      <c r="BM845" s="1721" t="n"/>
      <c r="BN845" s="1723">
        <f>IF(ISBLANK(BJ887),"",BJ887)</f>
        <v/>
      </c>
      <c r="BO845" s="1721" t="n"/>
      <c r="BP845" s="1721" t="n"/>
      <c r="BQ845" s="1722" t="n"/>
      <c r="BR845" s="1721" t="n"/>
      <c r="BS845" s="1723">
        <f>IF(ISBLANK(BO887),"",BO887)</f>
        <v/>
      </c>
      <c r="BT845" s="1721" t="n"/>
      <c r="BU845" s="1721" t="n"/>
      <c r="BV845" s="1721" t="n"/>
      <c r="BW845" s="1721" t="n"/>
      <c r="BX845" s="1723">
        <f>IF(ISBLANK(BT887),"",BT887)</f>
        <v/>
      </c>
      <c r="BY845" s="1723" t="n"/>
      <c r="BZ845" s="1723" t="n"/>
      <c r="CA845" s="1723" t="n"/>
      <c r="CB845" s="1721" t="n"/>
    </row>
    <row r="846" hidden="1" outlineLevel="2" ht="15" customFormat="1" customHeight="1" s="1359">
      <c r="A846" s="1719" t="inlineStr">
        <is>
          <t>WAD Adjusted EPS guidance - update 2 midpoint, $/share</t>
        </is>
      </c>
      <c r="B846" s="1512" t="n"/>
      <c r="C846" s="1723" t="n"/>
      <c r="D846" s="1723" t="n"/>
      <c r="E846" s="1723" t="n"/>
      <c r="F846" s="1723" t="n"/>
      <c r="G846" s="1721" t="n"/>
      <c r="H846" s="1721" t="n"/>
      <c r="I846" s="1721" t="n"/>
      <c r="J846" s="1721" t="n"/>
      <c r="K846" s="1723">
        <f>IF(ISBLANK(H887),"",H887)</f>
        <v/>
      </c>
      <c r="L846" s="1721" t="n"/>
      <c r="M846" s="1721" t="n"/>
      <c r="N846" s="1721" t="n"/>
      <c r="O846" s="1721" t="n"/>
      <c r="P846" s="1723">
        <f>IF(ISBLANK(M887),"",M887)</f>
        <v/>
      </c>
      <c r="Q846" s="1721" t="n"/>
      <c r="R846" s="1721" t="n"/>
      <c r="S846" s="1721" t="n"/>
      <c r="T846" s="1721" t="n"/>
      <c r="U846" s="1723">
        <f>IF(ISBLANK(R887),"",R887)</f>
        <v/>
      </c>
      <c r="V846" s="1721" t="n"/>
      <c r="W846" s="1721" t="n"/>
      <c r="X846" s="1721" t="n"/>
      <c r="Y846" s="1721" t="n"/>
      <c r="Z846" s="1723">
        <f>IF(ISBLANK(W887),"",W887)</f>
        <v/>
      </c>
      <c r="AA846" s="1721" t="n"/>
      <c r="AB846" s="1721" t="n"/>
      <c r="AC846" s="1721" t="n"/>
      <c r="AD846" s="1721" t="n"/>
      <c r="AE846" s="1723">
        <f>IF(ISBLANK(AB887),"",AB887)</f>
        <v/>
      </c>
      <c r="AF846" s="1721" t="n"/>
      <c r="AG846" s="1721" t="n"/>
      <c r="AH846" s="1721" t="n"/>
      <c r="AI846" s="1721" t="n"/>
      <c r="AJ846" s="1723">
        <f>IF(ISBLANK(AG887),"",AG887)</f>
        <v/>
      </c>
      <c r="AK846" s="1721" t="n"/>
      <c r="AL846" s="1721" t="n"/>
      <c r="AM846" s="1721" t="n"/>
      <c r="AN846" s="1721" t="n"/>
      <c r="AO846" s="1723">
        <f>IF(ISBLANK(AL887),"",AL887)</f>
        <v/>
      </c>
      <c r="AP846" s="1721" t="n"/>
      <c r="AQ846" s="1721" t="n"/>
      <c r="AR846" s="1721" t="n"/>
      <c r="AS846" s="1721" t="n"/>
      <c r="AT846" s="1723">
        <f>IF(ISBLANK(AQ887),"",AQ887)</f>
        <v/>
      </c>
      <c r="AU846" s="1721" t="n"/>
      <c r="AV846" s="1721" t="n"/>
      <c r="AW846" s="1721" t="n"/>
      <c r="AX846" s="1721" t="n"/>
      <c r="AY846" s="1723">
        <f>IF(ISBLANK(AV887),"",AV887)</f>
        <v/>
      </c>
      <c r="AZ846" s="1721" t="n"/>
      <c r="BA846" s="1721" t="n"/>
      <c r="BB846" s="1721" t="n"/>
      <c r="BC846" s="1721" t="n"/>
      <c r="BD846" s="1723">
        <f>IF(ISBLANK(BA887),"",BA887)</f>
        <v/>
      </c>
      <c r="BE846" s="1721" t="n"/>
      <c r="BF846" s="1721" t="n"/>
      <c r="BG846" s="1721" t="n"/>
      <c r="BH846" s="1721" t="n"/>
      <c r="BI846" s="1723">
        <f>IF(ISBLANK(BF887),"",BF887)</f>
        <v/>
      </c>
      <c r="BJ846" s="1721" t="n"/>
      <c r="BK846" s="1721" t="n"/>
      <c r="BL846" s="1721" t="n"/>
      <c r="BM846" s="1721" t="n"/>
      <c r="BN846" s="1723">
        <f>IF(ISBLANK(BK887),"",BK887)</f>
        <v/>
      </c>
      <c r="BO846" s="1721" t="n"/>
      <c r="BP846" s="1721" t="n"/>
      <c r="BQ846" s="1722" t="n"/>
      <c r="BR846" s="1721" t="n"/>
      <c r="BS846" s="1723">
        <f>IF(ISBLANK(BP887),"",BP887)</f>
        <v/>
      </c>
      <c r="BT846" s="1721" t="n"/>
      <c r="BU846" s="1721" t="n"/>
      <c r="BV846" s="1721" t="n"/>
      <c r="BW846" s="1721" t="n"/>
      <c r="BX846" s="1723">
        <f>IF(ISBLANK(BU887),"",BU887)</f>
        <v/>
      </c>
      <c r="BY846" s="1723" t="n"/>
      <c r="BZ846" s="1723" t="n"/>
      <c r="CA846" s="1723" t="n"/>
      <c r="CB846" s="1721" t="n"/>
    </row>
    <row r="847" hidden="1" outlineLevel="2" ht="15" customFormat="1" customHeight="1" s="1359">
      <c r="A847" s="1811" t="inlineStr">
        <is>
          <t>WAD Adjusted EPS guidance - update 3 midpoint, $/share</t>
        </is>
      </c>
      <c r="B847" s="1613" t="n"/>
      <c r="C847" s="1812" t="n"/>
      <c r="D847" s="1812" t="n"/>
      <c r="E847" s="1812" t="n"/>
      <c r="F847" s="1812" t="n"/>
      <c r="G847" s="1813" t="n"/>
      <c r="H847" s="1813" t="n"/>
      <c r="I847" s="1813" t="n"/>
      <c r="J847" s="1813" t="n"/>
      <c r="K847" s="1812">
        <f>IF(ISBLANK(I887),"",I887)</f>
        <v/>
      </c>
      <c r="L847" s="1813" t="n"/>
      <c r="M847" s="1813" t="n"/>
      <c r="N847" s="1813" t="n"/>
      <c r="O847" s="1813" t="n"/>
      <c r="P847" s="1812">
        <f>IF(ISBLANK(N887),"",N887)</f>
        <v/>
      </c>
      <c r="Q847" s="1813" t="n"/>
      <c r="R847" s="1813" t="n"/>
      <c r="S847" s="1813" t="n"/>
      <c r="T847" s="1813" t="n"/>
      <c r="U847" s="1812">
        <f>IF(ISBLANK(S887),"",S887)</f>
        <v/>
      </c>
      <c r="V847" s="1813" t="n"/>
      <c r="W847" s="1813" t="n"/>
      <c r="X847" s="1813" t="n"/>
      <c r="Y847" s="1813" t="n"/>
      <c r="Z847" s="1812">
        <f>IF(ISBLANK(X887),"",X887)</f>
        <v/>
      </c>
      <c r="AA847" s="1813" t="n"/>
      <c r="AB847" s="1813" t="n"/>
      <c r="AC847" s="1813" t="n"/>
      <c r="AD847" s="1813" t="n"/>
      <c r="AE847" s="1812">
        <f>IF(ISBLANK(AC887),"",AC887)</f>
        <v/>
      </c>
      <c r="AF847" s="1813" t="n"/>
      <c r="AG847" s="1813" t="n"/>
      <c r="AH847" s="1813" t="n"/>
      <c r="AI847" s="1813" t="n"/>
      <c r="AJ847" s="1812">
        <f>IF(ISBLANK(AH887),"",AH887)</f>
        <v/>
      </c>
      <c r="AK847" s="1813" t="n"/>
      <c r="AL847" s="1813" t="n"/>
      <c r="AM847" s="1813" t="n"/>
      <c r="AN847" s="1813" t="n"/>
      <c r="AO847" s="1812">
        <f>IF(ISBLANK(AM887),"",AM887)</f>
        <v/>
      </c>
      <c r="AP847" s="1813" t="n"/>
      <c r="AQ847" s="1813" t="n"/>
      <c r="AR847" s="1813" t="n"/>
      <c r="AS847" s="1813" t="n"/>
      <c r="AT847" s="1812">
        <f>IF(ISBLANK(AR887),"",AR887)</f>
        <v/>
      </c>
      <c r="AU847" s="1813" t="n"/>
      <c r="AV847" s="1813" t="n"/>
      <c r="AW847" s="1813" t="n"/>
      <c r="AX847" s="1813" t="n"/>
      <c r="AY847" s="1812">
        <f>IF(ISBLANK(AW887),"",AW887)</f>
        <v/>
      </c>
      <c r="AZ847" s="1813" t="n"/>
      <c r="BA847" s="1813" t="n"/>
      <c r="BB847" s="1813" t="n"/>
      <c r="BC847" s="1813" t="n"/>
      <c r="BD847" s="1812">
        <f>IF(ISBLANK(BB887),"",BB887)</f>
        <v/>
      </c>
      <c r="BE847" s="1813" t="n"/>
      <c r="BF847" s="1813" t="n"/>
      <c r="BG847" s="1813" t="n"/>
      <c r="BH847" s="1813" t="n"/>
      <c r="BI847" s="1812">
        <f>IF(ISBLANK(BG887),"",BG887)</f>
        <v/>
      </c>
      <c r="BJ847" s="1813" t="n"/>
      <c r="BK847" s="1813" t="n"/>
      <c r="BL847" s="1813" t="n"/>
      <c r="BM847" s="1813" t="n"/>
      <c r="BN847" s="1812">
        <f>IF(ISBLANK(BL887),"",BL887)</f>
        <v/>
      </c>
      <c r="BO847" s="1813" t="n"/>
      <c r="BP847" s="1813" t="n"/>
      <c r="BQ847" s="1814" t="n"/>
      <c r="BR847" s="1813" t="n"/>
      <c r="BS847" s="1812">
        <f>IF(ISBLANK(BQ887),"",BQ887)</f>
        <v/>
      </c>
      <c r="BT847" s="1813" t="n"/>
      <c r="BU847" s="1813" t="n"/>
      <c r="BV847" s="1813" t="n"/>
      <c r="BW847" s="1813" t="n"/>
      <c r="BX847" s="1812">
        <f>IF(ISBLANK(BV887),"",BV887)</f>
        <v/>
      </c>
      <c r="BY847" s="1812" t="n"/>
      <c r="BZ847" s="1812" t="n"/>
      <c r="CA847" s="1812" t="n"/>
      <c r="CB847" s="1721" t="n"/>
    </row>
    <row r="848" hidden="1" outlineLevel="1" collapsed="1" ht="15" customFormat="1" customHeight="1" s="1359">
      <c r="A848" s="1815" t="inlineStr">
        <is>
          <t>WAD Adjusted EPS guidance - most recent midpoint, $/share</t>
        </is>
      </c>
      <c r="B848" s="1512" t="n"/>
      <c r="C848" s="1723" t="n"/>
      <c r="D848" s="1723" t="n"/>
      <c r="E848" s="1723" t="n"/>
      <c r="F848" s="1723" t="n"/>
      <c r="G848" s="1721">
        <f>IF(G847="",IF(G846="",IF(G845="",IF(G844="","",G844),G845),G846),G847)</f>
        <v/>
      </c>
      <c r="H848" s="1721">
        <f>IF(H847="",IF(H846="",IF(H845="",IF(H844="","",H844),H845),H846),H847)</f>
        <v/>
      </c>
      <c r="I848" s="1721">
        <f>IF(I847="",IF(I846="",IF(I845="",IF(I844="","",I844),I845),I846),I847)</f>
        <v/>
      </c>
      <c r="J848" s="1721">
        <f>IF(J847="",IF(J846="",IF(J845="",IF(J844="","",J844),J845),J846),J847)</f>
        <v/>
      </c>
      <c r="K848" s="1723">
        <f>IF(K847="",IF(K846="",IF(K845="",IF(K844="","",K844),K845),K846),K847)</f>
        <v/>
      </c>
      <c r="L848" s="1721">
        <f>IF(L847="",IF(L846="",IF(L845="",IF(L844="","",L844),L845),L846),L847)</f>
        <v/>
      </c>
      <c r="M848" s="1721">
        <f>IF(M847="",IF(M846="",IF(M845="",IF(M844="","",M844),M845),M846),M847)</f>
        <v/>
      </c>
      <c r="N848" s="1721">
        <f>IF(N847="",IF(N846="",IF(N845="",IF(N844="","",N844),N845),N846),N847)</f>
        <v/>
      </c>
      <c r="O848" s="1721">
        <f>IF(O847="",IF(O846="",IF(O845="",IF(O844="","",O844),O845),O846),O847)</f>
        <v/>
      </c>
      <c r="P848" s="1723">
        <f>IF(P847="",IF(P846="",IF(P845="",IF(P844="","",P844),P845),P846),P847)</f>
        <v/>
      </c>
      <c r="Q848" s="1721">
        <f>IF(Q847="",IF(Q846="",IF(Q845="",IF(Q844="","",Q844),Q845),Q846),Q847)</f>
        <v/>
      </c>
      <c r="R848" s="1721">
        <f>IF(R847="",IF(R846="",IF(R845="",IF(R844="","",R844),R845),R846),R847)</f>
        <v/>
      </c>
      <c r="S848" s="1721">
        <f>IF(S847="",IF(S846="",IF(S845="",IF(S844="","",S844),S845),S846),S847)</f>
        <v/>
      </c>
      <c r="T848" s="1721">
        <f>IF(T847="",IF(T846="",IF(T845="",IF(T844="","",T844),T845),T846),T847)</f>
        <v/>
      </c>
      <c r="U848" s="1723">
        <f>IF(U847="",IF(U846="",IF(U845="",IF(U844="","",U844),U845),U846),U847)</f>
        <v/>
      </c>
      <c r="V848" s="1721">
        <f>IF(V847="",IF(V846="",IF(V845="",IF(V844="","",V844),V845),V846),V847)</f>
        <v/>
      </c>
      <c r="W848" s="1721">
        <f>IF(W847="",IF(W846="",IF(W845="",IF(W844="","",W844),W845),W846),W847)</f>
        <v/>
      </c>
      <c r="X848" s="1721">
        <f>IF(X847="",IF(X846="",IF(X845="",IF(X844="","",X844),X845),X846),X847)</f>
        <v/>
      </c>
      <c r="Y848" s="1721">
        <f>IF(Y847="",IF(Y846="",IF(Y845="",IF(Y844="","",Y844),Y845),Y846),Y847)</f>
        <v/>
      </c>
      <c r="Z848" s="1723">
        <f>IF(Z847="",IF(Z846="",IF(Z845="",IF(Z844="","",Z844),Z845),Z846),Z847)</f>
        <v/>
      </c>
      <c r="AA848" s="1721">
        <f>IF(AA847="",IF(AA846="",IF(AA845="",IF(AA844="","",AA844),AA845),AA846),AA847)</f>
        <v/>
      </c>
      <c r="AB848" s="1721">
        <f>IF(AB847="",IF(AB846="",IF(AB845="",IF(AB844="","",AB844),AB845),AB846),AB847)</f>
        <v/>
      </c>
      <c r="AC848" s="1721">
        <f>IF(AC847="",IF(AC846="",IF(AC845="",IF(AC844="","",AC844),AC845),AC846),AC847)</f>
        <v/>
      </c>
      <c r="AD848" s="1721">
        <f>IF(AD847="",IF(AD846="",IF(AD845="",IF(AD844="","",AD844),AD845),AD846),AD847)</f>
        <v/>
      </c>
      <c r="AE848" s="1723">
        <f>IF(AE847="",IF(AE846="",IF(AE845="",IF(AE844="","",AE844),AE845),AE846),AE847)</f>
        <v/>
      </c>
      <c r="AF848" s="1721">
        <f>IF(AF847="",IF(AF846="",IF(AF845="",IF(AF844="","",AF844),AF845),AF846),AF847)</f>
        <v/>
      </c>
      <c r="AG848" s="1721">
        <f>IF(AG847="",IF(AG846="",IF(AG845="",IF(AG844="","",AG844),AG845),AG846),AG847)</f>
        <v/>
      </c>
      <c r="AH848" s="1721">
        <f>IF(AH847="",IF(AH846="",IF(AH845="",IF(AH844="","",AH844),AH845),AH846),AH847)</f>
        <v/>
      </c>
      <c r="AI848" s="1721">
        <f>IF(AI847="",IF(AI846="",IF(AI845="",IF(AI844="","",AI844),AI845),AI846),AI847)</f>
        <v/>
      </c>
      <c r="AJ848" s="1723">
        <f>IF(AJ847="",IF(AJ846="",IF(AJ845="",IF(AJ844="","",AJ844),AJ845),AJ846),AJ847)</f>
        <v/>
      </c>
      <c r="AK848" s="1721">
        <f>IF(AK847="",IF(AK846="",IF(AK845="",IF(AK844="","",AK844),AK845),AK846),AK847)</f>
        <v/>
      </c>
      <c r="AL848" s="1721">
        <f>IF(AL847="",IF(AL846="",IF(AL845="",IF(AL844="","",AL844),AL845),AL846),AL847)</f>
        <v/>
      </c>
      <c r="AM848" s="1721">
        <f>IF(AM847="",IF(AM846="",IF(AM845="",IF(AM844="","",AM844),AM845),AM846),AM847)</f>
        <v/>
      </c>
      <c r="AN848" s="1721">
        <f>IF(AN847="",IF(AN846="",IF(AN845="",IF(AN844="","",AN844),AN845),AN846),AN847)</f>
        <v/>
      </c>
      <c r="AO848" s="1723">
        <f>IF(AO847="",IF(AO846="",IF(AO845="",IF(AO844="","",AO844),AO845),AO846),AO847)</f>
        <v/>
      </c>
      <c r="AP848" s="1721">
        <f>IF(AP847="",IF(AP846="",IF(AP845="",IF(AP844="","",AP844),AP845),AP846),AP847)</f>
        <v/>
      </c>
      <c r="AQ848" s="1721">
        <f>IF(AQ847="",IF(AQ846="",IF(AQ845="",IF(AQ844="","",AQ844),AQ845),AQ846),AQ847)</f>
        <v/>
      </c>
      <c r="AR848" s="1721">
        <f>IF(AR847="",IF(AR846="",IF(AR845="",IF(AR844="","",AR844),AR845),AR846),AR847)</f>
        <v/>
      </c>
      <c r="AS848" s="1721">
        <f>IF(AS847="",IF(AS846="",IF(AS845="",IF(AS844="","",AS844),AS845),AS846),AS847)</f>
        <v/>
      </c>
      <c r="AT848" s="1723">
        <f>IF(AT847="",IF(AT846="",IF(AT845="",IF(AT844="","",AT844),AT845),AT846),AT847)</f>
        <v/>
      </c>
      <c r="AU848" s="1721">
        <f>IF(AU847="",IF(AU846="",IF(AU845="",IF(AU844="","",AU844),AU845),AU846),AU847)</f>
        <v/>
      </c>
      <c r="AV848" s="1721">
        <f>IF(AV847="",IF(AV846="",IF(AV845="",IF(AV844="","",AV844),AV845),AV846),AV847)</f>
        <v/>
      </c>
      <c r="AW848" s="1721">
        <f>IF(AW847="",IF(AW846="",IF(AW845="",IF(AW844="","",AW844),AW845),AW846),AW847)</f>
        <v/>
      </c>
      <c r="AX848" s="1721">
        <f>IF(AX847="",IF(AX846="",IF(AX845="",IF(AX844="","",AX844),AX845),AX846),AX847)</f>
        <v/>
      </c>
      <c r="AY848" s="1723">
        <f>IF(AY847="",IF(AY846="",IF(AY845="",IF(AY844="","",AY844),AY845),AY846),AY847)</f>
        <v/>
      </c>
      <c r="AZ848" s="1721">
        <f>IF(AZ847="",IF(AZ846="",IF(AZ845="",IF(AZ844="","",AZ844),AZ845),AZ846),AZ847)</f>
        <v/>
      </c>
      <c r="BA848" s="1721">
        <f>IF(BA847="",IF(BA846="",IF(BA845="",IF(BA844="","",BA844),BA845),BA846),BA847)</f>
        <v/>
      </c>
      <c r="BB848" s="1721">
        <f>IF(BB847="",IF(BB846="",IF(BB845="",IF(BB844="","",BB844),BB845),BB846),BB847)</f>
        <v/>
      </c>
      <c r="BC848" s="1721">
        <f>IF(BC847="",IF(BC846="",IF(BC845="",IF(BC844="","",BC844),BC845),BC846),BC847)</f>
        <v/>
      </c>
      <c r="BD848" s="1723">
        <f>IF(BD847="",IF(BD846="",IF(BD845="",IF(BD844="","",BD844),BD845),BD846),BD847)</f>
        <v/>
      </c>
      <c r="BE848" s="1721">
        <f>IF(BE847="",IF(BE846="",IF(BE845="",IF(BE844="","",BE844),BE845),BE846),BE847)</f>
        <v/>
      </c>
      <c r="BF848" s="1721">
        <f>IF(BF847="",IF(BF846="",IF(BF845="",IF(BF844="","",BF844),BF845),BF846),BF847)</f>
        <v/>
      </c>
      <c r="BG848" s="1721">
        <f>IF(BG847="",IF(BG846="",IF(BG845="",IF(BG844="","",BG844),BG845),BG846),BG847)</f>
        <v/>
      </c>
      <c r="BH848" s="1721">
        <f>IF(BH847="",IF(BH846="",IF(BH845="",IF(BH844="","",BH844),BH845),BH846),BH847)</f>
        <v/>
      </c>
      <c r="BI848" s="1723">
        <f>IF(BI847="",IF(BI846="",IF(BI845="",IF(BI844="","",BI844),BI845),BI846),BI847)</f>
        <v/>
      </c>
      <c r="BJ848" s="1721">
        <f>IF(BJ847="",IF(BJ846="",IF(BJ845="",IF(BJ844="","",BJ844),BJ845),BJ846),BJ847)</f>
        <v/>
      </c>
      <c r="BK848" s="1721">
        <f>IF(BK847="",IF(BK846="",IF(BK845="",IF(BK844="","",BK844),BK845),BK846),BK847)</f>
        <v/>
      </c>
      <c r="BL848" s="1721">
        <f>IF(BL847="",IF(BL846="",IF(BL845="",IF(BL844="","",BL844),BL845),BL846),BL847)</f>
        <v/>
      </c>
      <c r="BM848" s="1721">
        <f>IF(BM847="",IF(BM846="",IF(BM845="",IF(BM844="","",BM844),BM845),BM846),BM847)</f>
        <v/>
      </c>
      <c r="BN848" s="1723">
        <f>IF(BN847="",IF(BN846="",IF(BN845="",IF(BN844="","",BN844),BN845),BN846),BN847)</f>
        <v/>
      </c>
      <c r="BO848" s="1721">
        <f>IF(BO847="",IF(BO846="",IF(BO845="",IF(BO844="","",BO844),BO845),BO846),BO847)</f>
        <v/>
      </c>
      <c r="BP848" s="1721">
        <f>IF(BP847="",IF(BP846="",IF(BP845="",IF(BP844="","",BP844),BP845),BP846),BP847)</f>
        <v/>
      </c>
      <c r="BQ848" s="1722">
        <f>IF(BQ847="",IF(BQ846="",IF(BQ845="",IF(BQ844="","",BQ844),BQ845),BQ846),BQ847)</f>
        <v/>
      </c>
      <c r="BR848" s="1721">
        <f>IF(BR847="",IF(BR846="",IF(BR845="",IF(BR844="","",BR844),BR845),BR846),BR847)</f>
        <v/>
      </c>
      <c r="BS848" s="1723">
        <f>IF(BS847="",IF(BS846="",IF(BS845="",IF(BS844="","",BS844),BS845),BS846),BS847)</f>
        <v/>
      </c>
      <c r="BT848" s="1721">
        <f>IF(BT847="",IF(BT846="",IF(BT845="",IF(BT844="","",BT844),BT845),BT846),BT847)</f>
        <v/>
      </c>
      <c r="BU848" s="1721">
        <f>IF(BU847="",IF(BU846="",IF(BU845="",IF(BU844="","",BU844),BU845),BU846),BU847)</f>
        <v/>
      </c>
      <c r="BV848" s="1721">
        <f>IF(BV847="",IF(BV846="",IF(BV845="",IF(BV844="","",BV844),BV845),BV846),BV847)</f>
        <v/>
      </c>
      <c r="BW848" s="1721">
        <f>IF(BW847="",IF(BW846="",IF(BW845="",IF(BW844="","",BW844),BW845),BW846),BW847)</f>
        <v/>
      </c>
      <c r="BX848" s="1723">
        <f>IF(BX847="",IF(BX846="",IF(BX845="",IF(BX844="","",BX844),BX845),BX846),BX847)</f>
        <v/>
      </c>
      <c r="BY848" s="1723" t="n"/>
      <c r="BZ848" s="1723" t="n"/>
      <c r="CA848" s="1723" t="n"/>
      <c r="CB848" s="1721" t="n"/>
    </row>
    <row r="849" hidden="1" outlineLevel="1" ht="15" customFormat="1" customHeight="1" s="1359">
      <c r="A849" s="1816" t="inlineStr">
        <is>
          <t>WAD Adjusted EPS - reported/model estimate, $/share</t>
        </is>
      </c>
      <c r="B849" s="1613" t="n"/>
      <c r="C849" s="1812">
        <f>C516</f>
        <v/>
      </c>
      <c r="D849" s="1812">
        <f>D516</f>
        <v/>
      </c>
      <c r="E849" s="1812">
        <f>E516</f>
        <v/>
      </c>
      <c r="F849" s="1812">
        <f>F516</f>
        <v/>
      </c>
      <c r="G849" s="1813">
        <f>G516</f>
        <v/>
      </c>
      <c r="H849" s="1813">
        <f>H516</f>
        <v/>
      </c>
      <c r="I849" s="1813">
        <f>I516</f>
        <v/>
      </c>
      <c r="J849" s="1813">
        <f>J516</f>
        <v/>
      </c>
      <c r="K849" s="1812">
        <f>K516</f>
        <v/>
      </c>
      <c r="L849" s="1813">
        <f>L516</f>
        <v/>
      </c>
      <c r="M849" s="1813">
        <f>M516</f>
        <v/>
      </c>
      <c r="N849" s="1813">
        <f>N516</f>
        <v/>
      </c>
      <c r="O849" s="1813">
        <f>O516</f>
        <v/>
      </c>
      <c r="P849" s="1812">
        <f>P516</f>
        <v/>
      </c>
      <c r="Q849" s="1813">
        <f>Q516</f>
        <v/>
      </c>
      <c r="R849" s="1813">
        <f>R516</f>
        <v/>
      </c>
      <c r="S849" s="1813">
        <f>S516</f>
        <v/>
      </c>
      <c r="T849" s="1813">
        <f>T516</f>
        <v/>
      </c>
      <c r="U849" s="1812">
        <f>U516</f>
        <v/>
      </c>
      <c r="V849" s="1813">
        <f>V516</f>
        <v/>
      </c>
      <c r="W849" s="1813">
        <f>W516</f>
        <v/>
      </c>
      <c r="X849" s="1813">
        <f>X516</f>
        <v/>
      </c>
      <c r="Y849" s="1813">
        <f>Y516</f>
        <v/>
      </c>
      <c r="Z849" s="1812">
        <f>Z516</f>
        <v/>
      </c>
      <c r="AA849" s="1813">
        <f>AA516</f>
        <v/>
      </c>
      <c r="AB849" s="1813">
        <f>AB516</f>
        <v/>
      </c>
      <c r="AC849" s="1813">
        <f>AC516</f>
        <v/>
      </c>
      <c r="AD849" s="1813">
        <f>AD516</f>
        <v/>
      </c>
      <c r="AE849" s="1812">
        <f>AE516</f>
        <v/>
      </c>
      <c r="AF849" s="1813">
        <f>AF516</f>
        <v/>
      </c>
      <c r="AG849" s="1813">
        <f>AG516</f>
        <v/>
      </c>
      <c r="AH849" s="1813">
        <f>AH516</f>
        <v/>
      </c>
      <c r="AI849" s="1813">
        <f>AI516</f>
        <v/>
      </c>
      <c r="AJ849" s="1812">
        <f>AJ516</f>
        <v/>
      </c>
      <c r="AK849" s="1813">
        <f>AK516</f>
        <v/>
      </c>
      <c r="AL849" s="1813">
        <f>AL516</f>
        <v/>
      </c>
      <c r="AM849" s="1813">
        <f>AM516</f>
        <v/>
      </c>
      <c r="AN849" s="1813">
        <f>AN516</f>
        <v/>
      </c>
      <c r="AO849" s="1812">
        <f>AO516</f>
        <v/>
      </c>
      <c r="AP849" s="1813">
        <f>AP516</f>
        <v/>
      </c>
      <c r="AQ849" s="1813">
        <f>AQ516</f>
        <v/>
      </c>
      <c r="AR849" s="1813">
        <f>AR516</f>
        <v/>
      </c>
      <c r="AS849" s="1813">
        <f>AS516</f>
        <v/>
      </c>
      <c r="AT849" s="1812">
        <f>AT516</f>
        <v/>
      </c>
      <c r="AU849" s="1813">
        <f>AU516</f>
        <v/>
      </c>
      <c r="AV849" s="1813">
        <f>AV516</f>
        <v/>
      </c>
      <c r="AW849" s="1813">
        <f>AW516</f>
        <v/>
      </c>
      <c r="AX849" s="1813">
        <f>AX516</f>
        <v/>
      </c>
      <c r="AY849" s="1812">
        <f>AY516</f>
        <v/>
      </c>
      <c r="AZ849" s="1813">
        <f>AZ516</f>
        <v/>
      </c>
      <c r="BA849" s="1813">
        <f>BA516</f>
        <v/>
      </c>
      <c r="BB849" s="1813">
        <f>BB516</f>
        <v/>
      </c>
      <c r="BC849" s="1813">
        <f>BC516</f>
        <v/>
      </c>
      <c r="BD849" s="1812">
        <f>BD516</f>
        <v/>
      </c>
      <c r="BE849" s="1813">
        <f>BE516</f>
        <v/>
      </c>
      <c r="BF849" s="1813">
        <f>BF516</f>
        <v/>
      </c>
      <c r="BG849" s="1813">
        <f>BG516</f>
        <v/>
      </c>
      <c r="BH849" s="1813">
        <f>BH516</f>
        <v/>
      </c>
      <c r="BI849" s="1812">
        <f>BI516</f>
        <v/>
      </c>
      <c r="BJ849" s="1813">
        <f>BJ516</f>
        <v/>
      </c>
      <c r="BK849" s="1813">
        <f>BK516</f>
        <v/>
      </c>
      <c r="BL849" s="1813">
        <f>BL516</f>
        <v/>
      </c>
      <c r="BM849" s="1813">
        <f>BM516</f>
        <v/>
      </c>
      <c r="BN849" s="1812">
        <f>BN516</f>
        <v/>
      </c>
      <c r="BO849" s="1813">
        <f>BO516</f>
        <v/>
      </c>
      <c r="BP849" s="1813">
        <f>BP516</f>
        <v/>
      </c>
      <c r="BQ849" s="1814">
        <f>BQ516</f>
        <v/>
      </c>
      <c r="BR849" s="1813">
        <f>BR516</f>
        <v/>
      </c>
      <c r="BS849" s="1812">
        <f>BS516</f>
        <v/>
      </c>
      <c r="BT849" s="1813">
        <f>BT516</f>
        <v/>
      </c>
      <c r="BU849" s="1813">
        <f>BU516</f>
        <v/>
      </c>
      <c r="BV849" s="1813">
        <f>BV516</f>
        <v/>
      </c>
      <c r="BW849" s="1813">
        <f>BW516</f>
        <v/>
      </c>
      <c r="BX849" s="1812">
        <f>BX516</f>
        <v/>
      </c>
      <c r="BY849" s="1812">
        <f>BY516</f>
        <v/>
      </c>
      <c r="BZ849" s="1812">
        <f>BZ516</f>
        <v/>
      </c>
      <c r="CA849" s="1812">
        <f>CA516</f>
        <v/>
      </c>
      <c r="CB849" s="1721" t="n"/>
    </row>
    <row r="850" hidden="1" outlineLevel="1" ht="15" customFormat="1" customHeight="1" s="1359">
      <c r="A850" s="1815" t="inlineStr">
        <is>
          <t>WAD Adjusted EPS beat/(miss) vs. most recent guidance - midpoint, $/share</t>
        </is>
      </c>
      <c r="B850" s="1512" t="n"/>
      <c r="C850" s="1723" t="n"/>
      <c r="D850" s="1723" t="n"/>
      <c r="E850" s="1723" t="n"/>
      <c r="F850" s="1723" t="n"/>
      <c r="G850" s="1721">
        <f>IFERROR(G849-G848,"")</f>
        <v/>
      </c>
      <c r="H850" s="1721">
        <f>IFERROR(H849-H848,"")</f>
        <v/>
      </c>
      <c r="I850" s="1721">
        <f>IFERROR(I849-I848,"")</f>
        <v/>
      </c>
      <c r="J850" s="1721">
        <f>IFERROR(J849-J848,"")</f>
        <v/>
      </c>
      <c r="K850" s="1723">
        <f>IFERROR(K849-K848,"")</f>
        <v/>
      </c>
      <c r="L850" s="1721">
        <f>IFERROR(L849-L848,"")</f>
        <v/>
      </c>
      <c r="M850" s="1721">
        <f>IFERROR(M849-M848,"")</f>
        <v/>
      </c>
      <c r="N850" s="1721">
        <f>IFERROR(N849-N848,"")</f>
        <v/>
      </c>
      <c r="O850" s="1721">
        <f>IFERROR(O849-O848,"")</f>
        <v/>
      </c>
      <c r="P850" s="1723">
        <f>IFERROR(P849-P848,"")</f>
        <v/>
      </c>
      <c r="Q850" s="1721">
        <f>IFERROR(Q849-Q848,"")</f>
        <v/>
      </c>
      <c r="R850" s="1721">
        <f>IFERROR(R849-R848,"")</f>
        <v/>
      </c>
      <c r="S850" s="1721">
        <f>IFERROR(S849-S848,"")</f>
        <v/>
      </c>
      <c r="T850" s="1721">
        <f>IFERROR(T849-T848,"")</f>
        <v/>
      </c>
      <c r="U850" s="1723">
        <f>IFERROR(U849-U848,"")</f>
        <v/>
      </c>
      <c r="V850" s="1721">
        <f>IFERROR(V849-V848,"")</f>
        <v/>
      </c>
      <c r="W850" s="1721">
        <f>IFERROR(W849-W848,"")</f>
        <v/>
      </c>
      <c r="X850" s="1721">
        <f>IFERROR(X849-X848,"")</f>
        <v/>
      </c>
      <c r="Y850" s="1721">
        <f>IFERROR(Y849-Y848,"")</f>
        <v/>
      </c>
      <c r="Z850" s="1723">
        <f>IFERROR(Z849-Z848,"")</f>
        <v/>
      </c>
      <c r="AA850" s="1721">
        <f>IFERROR(AA849-AA848,"")</f>
        <v/>
      </c>
      <c r="AB850" s="1721">
        <f>IFERROR(AB849-AB848,"")</f>
        <v/>
      </c>
      <c r="AC850" s="1721">
        <f>IFERROR(AC849-AC848,"")</f>
        <v/>
      </c>
      <c r="AD850" s="1721">
        <f>IFERROR(AD849-AD848,"")</f>
        <v/>
      </c>
      <c r="AE850" s="1723">
        <f>IFERROR(AE849-AE848,"")</f>
        <v/>
      </c>
      <c r="AF850" s="1721">
        <f>IFERROR(AF849-AF848,"")</f>
        <v/>
      </c>
      <c r="AG850" s="1721">
        <f>IFERROR(AG849-AG848,"")</f>
        <v/>
      </c>
      <c r="AH850" s="1721">
        <f>IFERROR(AH849-AH848,"")</f>
        <v/>
      </c>
      <c r="AI850" s="1721">
        <f>IFERROR(AI849-AI848,"")</f>
        <v/>
      </c>
      <c r="AJ850" s="1723">
        <f>IFERROR(AJ849-AJ848,"")</f>
        <v/>
      </c>
      <c r="AK850" s="1721">
        <f>IFERROR(AK849-AK848,"")</f>
        <v/>
      </c>
      <c r="AL850" s="1721">
        <f>IFERROR(AL849-AL848,"")</f>
        <v/>
      </c>
      <c r="AM850" s="1721">
        <f>IFERROR(AM849-AM848,"")</f>
        <v/>
      </c>
      <c r="AN850" s="1721">
        <f>IFERROR(AN849-AN848,"")</f>
        <v/>
      </c>
      <c r="AO850" s="1723">
        <f>IFERROR(AO849-AO848,"")</f>
        <v/>
      </c>
      <c r="AP850" s="1721">
        <f>IFERROR(AP849-AP848,"")</f>
        <v/>
      </c>
      <c r="AQ850" s="1721">
        <f>IFERROR(AQ849-AQ848,"")</f>
        <v/>
      </c>
      <c r="AR850" s="1721">
        <f>IFERROR(AR849-AR848,"")</f>
        <v/>
      </c>
      <c r="AS850" s="1721">
        <f>IFERROR(AS849-AS848,"")</f>
        <v/>
      </c>
      <c r="AT850" s="1723">
        <f>IFERROR(AT849-AT848,"")</f>
        <v/>
      </c>
      <c r="AU850" s="1721">
        <f>IFERROR(AU849-AU848,"")</f>
        <v/>
      </c>
      <c r="AV850" s="1721">
        <f>IFERROR(AV849-AV848,"")</f>
        <v/>
      </c>
      <c r="AW850" s="1721">
        <f>IFERROR(AW849-AW848,"")</f>
        <v/>
      </c>
      <c r="AX850" s="1721">
        <f>IFERROR(AX849-AX848,"")</f>
        <v/>
      </c>
      <c r="AY850" s="1723">
        <f>IFERROR(AY849-AY848,"")</f>
        <v/>
      </c>
      <c r="AZ850" s="1721">
        <f>IFERROR(AZ849-AZ848,"")</f>
        <v/>
      </c>
      <c r="BA850" s="1721">
        <f>IFERROR(BA849-BA848,"")</f>
        <v/>
      </c>
      <c r="BB850" s="1721">
        <f>IFERROR(BB849-BB848,"")</f>
        <v/>
      </c>
      <c r="BC850" s="1721">
        <f>IFERROR(BC849-BC848,"")</f>
        <v/>
      </c>
      <c r="BD850" s="1723">
        <f>IFERROR(BD849-BD848,"")</f>
        <v/>
      </c>
      <c r="BE850" s="1721">
        <f>IFERROR(BE849-BE848,"")</f>
        <v/>
      </c>
      <c r="BF850" s="1721">
        <f>IFERROR(BF849-BF848,"")</f>
        <v/>
      </c>
      <c r="BG850" s="1721">
        <f>IFERROR(BG849-BG848,"")</f>
        <v/>
      </c>
      <c r="BH850" s="1721">
        <f>IFERROR(BH849-BH848,"")</f>
        <v/>
      </c>
      <c r="BI850" s="1723">
        <f>IFERROR(BI849-BI848,"")</f>
        <v/>
      </c>
      <c r="BJ850" s="1721">
        <f>IFERROR(BJ849-BJ848,"")</f>
        <v/>
      </c>
      <c r="BK850" s="1721">
        <f>IFERROR(BK849-BK848,"")</f>
        <v/>
      </c>
      <c r="BL850" s="1721">
        <f>IFERROR(BL849-BL848,"")</f>
        <v/>
      </c>
      <c r="BM850" s="1721">
        <f>IFERROR(BM849-BM848,"")</f>
        <v/>
      </c>
      <c r="BN850" s="1723">
        <f>IFERROR(BN849-BN848,"")</f>
        <v/>
      </c>
      <c r="BO850" s="1721">
        <f>IFERROR(BO849-BO848,"")</f>
        <v/>
      </c>
      <c r="BP850" s="1721">
        <f>IFERROR(BP849-BP848,"")</f>
        <v/>
      </c>
      <c r="BQ850" s="1722">
        <f>IFERROR(BQ849-BQ848,"")</f>
        <v/>
      </c>
      <c r="BR850" s="1721">
        <f>IFERROR(BR849-BR848,"")</f>
        <v/>
      </c>
      <c r="BS850" s="1723">
        <f>IFERROR(BS849-BS848,"")</f>
        <v/>
      </c>
      <c r="BT850" s="1721">
        <f>IFERROR(BT849-BT848,"")</f>
        <v/>
      </c>
      <c r="BU850" s="1721">
        <f>IFERROR(BU849-BU848,"")</f>
        <v/>
      </c>
      <c r="BV850" s="1721">
        <f>IFERROR(BV849-BV848,"")</f>
        <v/>
      </c>
      <c r="BW850" s="1721">
        <f>IFERROR(BW849-BW848,"")</f>
        <v/>
      </c>
      <c r="BX850" s="1723">
        <f>IFERROR(BX849-BX848,"")</f>
        <v/>
      </c>
      <c r="BY850" s="1723" t="n"/>
      <c r="BZ850" s="1723" t="n"/>
      <c r="CA850" s="1723" t="n"/>
      <c r="CB850" s="1721" t="n"/>
    </row>
    <row r="851" hidden="1" outlineLevel="1" ht="15" customFormat="1" customHeight="1" s="1359">
      <c r="A851" s="1768" t="inlineStr">
        <is>
          <t>Relative WAD Adjusted EPS beat/(miss) vs. most recent guidance - midpoint, %</t>
        </is>
      </c>
      <c r="B851" s="1769" t="n"/>
      <c r="C851" s="1770" t="n"/>
      <c r="D851" s="1770" t="n"/>
      <c r="E851" s="1770" t="n"/>
      <c r="F851" s="1770" t="n"/>
      <c r="G851" s="1771">
        <f>IFERROR(G850/ABS(G848),"")</f>
        <v/>
      </c>
      <c r="H851" s="1771">
        <f>IFERROR(H850/ABS(H848),"")</f>
        <v/>
      </c>
      <c r="I851" s="1771">
        <f>IFERROR(I850/ABS(I848),"")</f>
        <v/>
      </c>
      <c r="J851" s="1771">
        <f>IFERROR(J850/ABS(J848),"")</f>
        <v/>
      </c>
      <c r="K851" s="1770">
        <f>IFERROR(K850/ABS(K848),"")</f>
        <v/>
      </c>
      <c r="L851" s="1771">
        <f>IFERROR(L850/ABS(L848),"")</f>
        <v/>
      </c>
      <c r="M851" s="1771">
        <f>IFERROR(M850/ABS(M848),"")</f>
        <v/>
      </c>
      <c r="N851" s="1771">
        <f>IFERROR(N850/ABS(N848),"")</f>
        <v/>
      </c>
      <c r="O851" s="1771">
        <f>IFERROR(O850/ABS(O848),"")</f>
        <v/>
      </c>
      <c r="P851" s="1770">
        <f>IFERROR(P850/ABS(P848),"")</f>
        <v/>
      </c>
      <c r="Q851" s="1771">
        <f>IFERROR(Q850/ABS(Q848),"")</f>
        <v/>
      </c>
      <c r="R851" s="1771">
        <f>IFERROR(R850/ABS(R848),"")</f>
        <v/>
      </c>
      <c r="S851" s="1771">
        <f>IFERROR(S850/ABS(S848),"")</f>
        <v/>
      </c>
      <c r="T851" s="1771">
        <f>IFERROR(T850/ABS(T848),"")</f>
        <v/>
      </c>
      <c r="U851" s="1770">
        <f>IFERROR(U850/ABS(U848),"")</f>
        <v/>
      </c>
      <c r="V851" s="1771">
        <f>IFERROR(V850/ABS(V848),"")</f>
        <v/>
      </c>
      <c r="W851" s="1771">
        <f>IFERROR(W850/ABS(W848),"")</f>
        <v/>
      </c>
      <c r="X851" s="1771">
        <f>IFERROR(X850/ABS(X848),"")</f>
        <v/>
      </c>
      <c r="Y851" s="1771">
        <f>IFERROR(Y850/ABS(Y848),"")</f>
        <v/>
      </c>
      <c r="Z851" s="1770">
        <f>IFERROR(Z850/ABS(Z848),"")</f>
        <v/>
      </c>
      <c r="AA851" s="1771">
        <f>IFERROR(AA850/ABS(AA848),"")</f>
        <v/>
      </c>
      <c r="AB851" s="1771">
        <f>IFERROR(AB850/ABS(AB848),"")</f>
        <v/>
      </c>
      <c r="AC851" s="1771">
        <f>IFERROR(AC850/ABS(AC848),"")</f>
        <v/>
      </c>
      <c r="AD851" s="1771">
        <f>IFERROR(AD850/ABS(AD848),"")</f>
        <v/>
      </c>
      <c r="AE851" s="1770">
        <f>IFERROR(AE850/ABS(AE848),"")</f>
        <v/>
      </c>
      <c r="AF851" s="1771">
        <f>IFERROR(AF850/ABS(AF848),"")</f>
        <v/>
      </c>
      <c r="AG851" s="1771">
        <f>IFERROR(AG850/ABS(AG848),"")</f>
        <v/>
      </c>
      <c r="AH851" s="1771">
        <f>IFERROR(AH850/ABS(AH848),"")</f>
        <v/>
      </c>
      <c r="AI851" s="1771">
        <f>IFERROR(AI850/ABS(AI848),"")</f>
        <v/>
      </c>
      <c r="AJ851" s="1770">
        <f>IFERROR(AJ850/ABS(AJ848),"")</f>
        <v/>
      </c>
      <c r="AK851" s="1771">
        <f>IFERROR(AK850/ABS(AK848),"")</f>
        <v/>
      </c>
      <c r="AL851" s="1771">
        <f>IFERROR(AL850/ABS(AL848),"")</f>
        <v/>
      </c>
      <c r="AM851" s="1771">
        <f>IFERROR(AM850/ABS(AM848),"")</f>
        <v/>
      </c>
      <c r="AN851" s="1771">
        <f>IFERROR(AN850/ABS(AN848),"")</f>
        <v/>
      </c>
      <c r="AO851" s="1770">
        <f>IFERROR(AO850/ABS(AO848),"")</f>
        <v/>
      </c>
      <c r="AP851" s="1771">
        <f>IFERROR(AP850/ABS(AP848),"")</f>
        <v/>
      </c>
      <c r="AQ851" s="1771">
        <f>IFERROR(AQ850/ABS(AQ848),"")</f>
        <v/>
      </c>
      <c r="AR851" s="1771">
        <f>IFERROR(AR850/ABS(AR848),"")</f>
        <v/>
      </c>
      <c r="AS851" s="1771">
        <f>IFERROR(AS850/ABS(AS848),"")</f>
        <v/>
      </c>
      <c r="AT851" s="1770">
        <f>IFERROR(AT850/ABS(AT848),"")</f>
        <v/>
      </c>
      <c r="AU851" s="1771">
        <f>IFERROR(AU850/ABS(AU848),"")</f>
        <v/>
      </c>
      <c r="AV851" s="1771">
        <f>IFERROR(AV850/ABS(AV848),"")</f>
        <v/>
      </c>
      <c r="AW851" s="1771">
        <f>IFERROR(AW850/ABS(AW848),"")</f>
        <v/>
      </c>
      <c r="AX851" s="1771">
        <f>IFERROR(AX850/ABS(AX848),"")</f>
        <v/>
      </c>
      <c r="AY851" s="1770">
        <f>IFERROR(AY850/ABS(AY848),"")</f>
        <v/>
      </c>
      <c r="AZ851" s="1771">
        <f>IFERROR(AZ850/ABS(AZ848),"")</f>
        <v/>
      </c>
      <c r="BA851" s="1771">
        <f>IFERROR(BA850/ABS(BA848),"")</f>
        <v/>
      </c>
      <c r="BB851" s="1771">
        <f>IFERROR(BB850/ABS(BB848),"")</f>
        <v/>
      </c>
      <c r="BC851" s="1771">
        <f>IFERROR(BC850/ABS(BC848),"")</f>
        <v/>
      </c>
      <c r="BD851" s="1770">
        <f>IFERROR(BD850/ABS(BD848),"")</f>
        <v/>
      </c>
      <c r="BE851" s="1771">
        <f>IFERROR(BE850/ABS(BE848),"")</f>
        <v/>
      </c>
      <c r="BF851" s="1771">
        <f>IFERROR(BF850/ABS(BF848),"")</f>
        <v/>
      </c>
      <c r="BG851" s="1771">
        <f>IFERROR(BG850/ABS(BG848),"")</f>
        <v/>
      </c>
      <c r="BH851" s="1771">
        <f>IFERROR(BH850/ABS(BH848),"")</f>
        <v/>
      </c>
      <c r="BI851" s="1770">
        <f>IFERROR(BI850/ABS(BI848),"")</f>
        <v/>
      </c>
      <c r="BJ851" s="1771">
        <f>IFERROR(BJ850/ABS(BJ848),"")</f>
        <v/>
      </c>
      <c r="BK851" s="1771">
        <f>IFERROR(BK850/ABS(BK848),"")</f>
        <v/>
      </c>
      <c r="BL851" s="1771">
        <f>IFERROR(BL850/ABS(BL848),"")</f>
        <v/>
      </c>
      <c r="BM851" s="1771">
        <f>IFERROR(BM850/ABS(BM848),"")</f>
        <v/>
      </c>
      <c r="BN851" s="1770">
        <f>IFERROR(BN850/ABS(BN848),"")</f>
        <v/>
      </c>
      <c r="BO851" s="1771">
        <f>IFERROR(BO850/ABS(BO848),"")</f>
        <v/>
      </c>
      <c r="BP851" s="1771">
        <f>IFERROR(BP850/ABS(BP848),"")</f>
        <v/>
      </c>
      <c r="BQ851" s="1772">
        <f>IFERROR(BQ850/ABS(BQ848),"")</f>
        <v/>
      </c>
      <c r="BR851" s="1771">
        <f>IFERROR(BR850/ABS(BR848),"")</f>
        <v/>
      </c>
      <c r="BS851" s="1770">
        <f>IFERROR(BS850/ABS(BS848),"")</f>
        <v/>
      </c>
      <c r="BT851" s="1771">
        <f>IFERROR(BT850/ABS(BT848),"")</f>
        <v/>
      </c>
      <c r="BU851" s="1771">
        <f>IFERROR(BU850/ABS(BU848),"")</f>
        <v/>
      </c>
      <c r="BV851" s="1771">
        <f>IFERROR(BV850/ABS(BV848),"")</f>
        <v/>
      </c>
      <c r="BW851" s="1771">
        <f>IFERROR(BW850/ABS(BW848),"")</f>
        <v/>
      </c>
      <c r="BX851" s="1770">
        <f>IFERROR(BX850/ABS(BX848),"")</f>
        <v/>
      </c>
      <c r="BY851" s="1770" t="n"/>
      <c r="BZ851" s="1770" t="n"/>
      <c r="CA851" s="1770" t="n"/>
      <c r="CB851" s="1771" t="n"/>
    </row>
    <row r="852" hidden="1" outlineLevel="1" ht="15" customFormat="1" customHeight="1" s="1359">
      <c r="A852" s="545" t="n"/>
      <c r="B852" s="1512" t="n"/>
      <c r="C852" s="1723" t="n"/>
      <c r="D852" s="1723" t="n"/>
      <c r="E852" s="1723" t="n"/>
      <c r="F852" s="1723" t="n"/>
      <c r="G852" s="1721" t="n"/>
      <c r="H852" s="1721" t="n"/>
      <c r="I852" s="1721" t="n"/>
      <c r="J852" s="1721" t="n"/>
      <c r="K852" s="1723" t="n"/>
      <c r="L852" s="1721" t="n"/>
      <c r="M852" s="1721" t="n"/>
      <c r="N852" s="1721" t="n"/>
      <c r="O852" s="1721" t="n"/>
      <c r="P852" s="1723" t="n"/>
      <c r="Q852" s="1721" t="n"/>
      <c r="R852" s="1721" t="n"/>
      <c r="S852" s="1721" t="n"/>
      <c r="T852" s="1721" t="n"/>
      <c r="U852" s="1723" t="n"/>
      <c r="V852" s="1721" t="n"/>
      <c r="W852" s="1721" t="n"/>
      <c r="X852" s="1721" t="n"/>
      <c r="Y852" s="1721" t="n"/>
      <c r="Z852" s="1723" t="n"/>
      <c r="AA852" s="1721" t="n"/>
      <c r="AB852" s="1721" t="n"/>
      <c r="AC852" s="1721" t="n"/>
      <c r="AD852" s="1721" t="n"/>
      <c r="AE852" s="1723" t="n"/>
      <c r="AF852" s="1721" t="n"/>
      <c r="AG852" s="1721" t="n"/>
      <c r="AH852" s="1721" t="n"/>
      <c r="AI852" s="1721" t="n"/>
      <c r="AJ852" s="1723" t="n"/>
      <c r="AK852" s="1721" t="n"/>
      <c r="AL852" s="1721" t="n"/>
      <c r="AM852" s="1721" t="n"/>
      <c r="AN852" s="1721" t="n"/>
      <c r="AO852" s="1723" t="n"/>
      <c r="AP852" s="1721" t="n"/>
      <c r="AQ852" s="1721" t="n"/>
      <c r="AR852" s="1721" t="n"/>
      <c r="AS852" s="1721" t="n"/>
      <c r="AT852" s="1723" t="n"/>
      <c r="AU852" s="1721" t="n"/>
      <c r="AV852" s="1721" t="n"/>
      <c r="AW852" s="1721" t="n"/>
      <c r="AX852" s="1721" t="n"/>
      <c r="AY852" s="1723" t="n"/>
      <c r="AZ852" s="1721" t="n"/>
      <c r="BA852" s="1721" t="n"/>
      <c r="BB852" s="1721" t="n"/>
      <c r="BC852" s="1721" t="n"/>
      <c r="BD852" s="1723" t="n"/>
      <c r="BE852" s="1721" t="n"/>
      <c r="BF852" s="1721" t="n"/>
      <c r="BG852" s="1721" t="n"/>
      <c r="BH852" s="1721" t="n"/>
      <c r="BI852" s="1723" t="n"/>
      <c r="BJ852" s="1721" t="n"/>
      <c r="BK852" s="1721" t="n"/>
      <c r="BL852" s="1721" t="n"/>
      <c r="BM852" s="1721" t="n"/>
      <c r="BN852" s="1723" t="n"/>
      <c r="BO852" s="1721" t="n"/>
      <c r="BP852" s="1721" t="n"/>
      <c r="BQ852" s="1722" t="n"/>
      <c r="BR852" s="1721" t="n"/>
      <c r="BS852" s="1723" t="n"/>
      <c r="BT852" s="1721" t="n"/>
      <c r="BU852" s="1721" t="n"/>
      <c r="BV852" s="1721" t="n"/>
      <c r="BW852" s="1721" t="n"/>
      <c r="BX852" s="1723" t="n"/>
      <c r="BY852" s="1723" t="n"/>
      <c r="BZ852" s="1723" t="n"/>
      <c r="CA852" s="1723" t="n"/>
      <c r="CB852" s="1361" t="n"/>
    </row>
    <row r="853" hidden="1" outlineLevel="1" ht="15" customFormat="1" customHeight="1" s="1359">
      <c r="A853" s="1501" t="inlineStr">
        <is>
          <t>Q/Q guided WAD Adjusted EPS growth, %</t>
        </is>
      </c>
      <c r="B853" s="1590" t="n"/>
      <c r="C853" s="1382" t="n"/>
      <c r="D853" s="1382" t="n"/>
      <c r="E853" s="1382" t="n"/>
      <c r="F853" s="1382" t="n"/>
      <c r="G853" s="1384" t="n"/>
      <c r="H853" s="1384">
        <f>IF(H848="","",H848/G849-1)</f>
        <v/>
      </c>
      <c r="I853" s="1384">
        <f>IF(I848="","",I848/H849-1)</f>
        <v/>
      </c>
      <c r="J853" s="1384">
        <f>IF(J848="","",J848/I849-1)</f>
        <v/>
      </c>
      <c r="K853" s="1382" t="n"/>
      <c r="L853" s="1384">
        <f>IF(L848="","",L848/J849-1)</f>
        <v/>
      </c>
      <c r="M853" s="1384">
        <f>IF(M848="","",M848/L849-1)</f>
        <v/>
      </c>
      <c r="N853" s="1384">
        <f>IF(N848="","",N848/M849-1)</f>
        <v/>
      </c>
      <c r="O853" s="1384">
        <f>IF(O848="","",O848/N849-1)</f>
        <v/>
      </c>
      <c r="P853" s="1382" t="n"/>
      <c r="Q853" s="1384">
        <f>IF(Q848="","",Q848/O849-1)</f>
        <v/>
      </c>
      <c r="R853" s="1384">
        <f>IF(R848="","",R848/Q849-1)</f>
        <v/>
      </c>
      <c r="S853" s="1384">
        <f>IF(S848="","",S848/R849-1)</f>
        <v/>
      </c>
      <c r="T853" s="1384">
        <f>IF(T848="","",T848/S849-1)</f>
        <v/>
      </c>
      <c r="U853" s="1382" t="n"/>
      <c r="V853" s="1384">
        <f>IF(V848="","",V848/T849-1)</f>
        <v/>
      </c>
      <c r="W853" s="1384">
        <f>IF(W848="","",W848/V849-1)</f>
        <v/>
      </c>
      <c r="X853" s="1384">
        <f>IF(X848="","",X848/W849-1)</f>
        <v/>
      </c>
      <c r="Y853" s="1384">
        <f>IF(Y848="","",Y848/X849-1)</f>
        <v/>
      </c>
      <c r="Z853" s="1382" t="n"/>
      <c r="AA853" s="1384">
        <f>IF(AA848="","",AA848/Y849-1)</f>
        <v/>
      </c>
      <c r="AB853" s="1384">
        <f>IF(AB848="","",AB848/AA849-1)</f>
        <v/>
      </c>
      <c r="AC853" s="1384">
        <f>IF(AC848="","",AC848/AB849-1)</f>
        <v/>
      </c>
      <c r="AD853" s="1384">
        <f>IF(AD848="","",AD848/AC849-1)</f>
        <v/>
      </c>
      <c r="AE853" s="1382" t="n"/>
      <c r="AF853" s="1384">
        <f>IF(AF848="","",AF848/AD849-1)</f>
        <v/>
      </c>
      <c r="AG853" s="1384">
        <f>IF(AG848="","",AG848/AF849-1)</f>
        <v/>
      </c>
      <c r="AH853" s="1384">
        <f>IF(AH848="","",AH848/AG849-1)</f>
        <v/>
      </c>
      <c r="AI853" s="1384">
        <f>IF(AI848="","",AI848/AH849-1)</f>
        <v/>
      </c>
      <c r="AJ853" s="1382" t="n"/>
      <c r="AK853" s="1384">
        <f>IF(AK848="","",AK848/AI849-1)</f>
        <v/>
      </c>
      <c r="AL853" s="1384">
        <f>IF(AL848="","",AL848/AK849-1)</f>
        <v/>
      </c>
      <c r="AM853" s="1384">
        <f>IF(AM848="","",AM848/AL849-1)</f>
        <v/>
      </c>
      <c r="AN853" s="1384">
        <f>IF(AN848="","",AN848/AM849-1)</f>
        <v/>
      </c>
      <c r="AO853" s="1382" t="n"/>
      <c r="AP853" s="1384">
        <f>IF(AP848="","",AP848/AN849-1)</f>
        <v/>
      </c>
      <c r="AQ853" s="1384">
        <f>IF(AQ848="","",AQ848/AP849-1)</f>
        <v/>
      </c>
      <c r="AR853" s="1384">
        <f>IF(AR848="","",AR848/AQ849-1)</f>
        <v/>
      </c>
      <c r="AS853" s="1384">
        <f>IF(AS848="","",AS848/AR849-1)</f>
        <v/>
      </c>
      <c r="AT853" s="1382" t="n"/>
      <c r="AU853" s="1384">
        <f>IF(AU848="","",AU848/AS849-1)</f>
        <v/>
      </c>
      <c r="AV853" s="1384">
        <f>IF(AV848="","",AV848/AU849-1)</f>
        <v/>
      </c>
      <c r="AW853" s="1384">
        <f>IF(AW848="","",AW848/AV849-1)</f>
        <v/>
      </c>
      <c r="AX853" s="1384">
        <f>IF(AX848="","",AX848/AW849-1)</f>
        <v/>
      </c>
      <c r="AY853" s="1382" t="n"/>
      <c r="AZ853" s="1384">
        <f>IF(AZ848="","",AZ848/AX849-1)</f>
        <v/>
      </c>
      <c r="BA853" s="1384">
        <f>IF(BA848="","",BA848/AZ849-1)</f>
        <v/>
      </c>
      <c r="BB853" s="1384">
        <f>IF(BB848="","",BB848/BA849-1)</f>
        <v/>
      </c>
      <c r="BC853" s="1384">
        <f>IF(BC848="","",BC848/BB849-1)</f>
        <v/>
      </c>
      <c r="BD853" s="1382" t="n"/>
      <c r="BE853" s="1384">
        <f>IF(BE848="","",BE848/BC849-1)</f>
        <v/>
      </c>
      <c r="BF853" s="1384">
        <f>IF(BF848="","",BF848/BE849-1)</f>
        <v/>
      </c>
      <c r="BG853" s="1384">
        <f>IF(BG848="","",BG848/BF849-1)</f>
        <v/>
      </c>
      <c r="BH853" s="1384">
        <f>IF(BH848="","",BH848/BG849-1)</f>
        <v/>
      </c>
      <c r="BI853" s="1382" t="n"/>
      <c r="BJ853" s="1384">
        <f>IF(BJ848="","",BJ848/BH849-1)</f>
        <v/>
      </c>
      <c r="BK853" s="1384">
        <f>IF(BK848="","",BK848/BJ849-1)</f>
        <v/>
      </c>
      <c r="BL853" s="1384">
        <f>IF(BL848="","",BL848/BK849-1)</f>
        <v/>
      </c>
      <c r="BM853" s="1384">
        <f>IF(BM848="","",BM848/BL849-1)</f>
        <v/>
      </c>
      <c r="BN853" s="1382" t="n"/>
      <c r="BO853" s="1384">
        <f>IF(BO848="","",BO848/BM849-1)</f>
        <v/>
      </c>
      <c r="BP853" s="1384">
        <f>IF(BP848="","",BP848/BO849-1)</f>
        <v/>
      </c>
      <c r="BQ853" s="1386">
        <f>IF(BQ848="","",BQ848/BP849-1)</f>
        <v/>
      </c>
      <c r="BR853" s="1384">
        <f>IF(BR848="","",BR848/BQ849-1)</f>
        <v/>
      </c>
      <c r="BS853" s="1382" t="n"/>
      <c r="BT853" s="1384">
        <f>IF(BT848="","",BT848/BR849-1)</f>
        <v/>
      </c>
      <c r="BU853" s="1384">
        <f>IF(BU848="","",BU848/BT849-1)</f>
        <v/>
      </c>
      <c r="BV853" s="1384">
        <f>IF(BV848="","",BV848/BU849-1)</f>
        <v/>
      </c>
      <c r="BW853" s="1384">
        <f>IF(BW848="","",BW848/BV849-1)</f>
        <v/>
      </c>
      <c r="BX853" s="1382" t="n"/>
      <c r="BY853" s="1382" t="n"/>
      <c r="BZ853" s="1382" t="n"/>
      <c r="CA853" s="1382" t="n"/>
      <c r="CB853" s="1384" t="n"/>
    </row>
    <row r="854" hidden="1" outlineLevel="1" ht="15" customFormat="1" customHeight="1" s="1359">
      <c r="A854" s="1773" t="inlineStr">
        <is>
          <t>Q/Q beat/(miss) WAD Adjusted EPS growth, %</t>
        </is>
      </c>
      <c r="B854" s="1774" t="n"/>
      <c r="C854" s="1775" t="n"/>
      <c r="D854" s="1775" t="n"/>
      <c r="E854" s="1775" t="n"/>
      <c r="F854" s="1775" t="n"/>
      <c r="G854" s="1776" t="n"/>
      <c r="H854" s="1776">
        <f>IF(H850="","",H850/G849)</f>
        <v/>
      </c>
      <c r="I854" s="1776">
        <f>IF(I850="","",I850/H849)</f>
        <v/>
      </c>
      <c r="J854" s="1776">
        <f>IF(J850="","",J850/I849)</f>
        <v/>
      </c>
      <c r="K854" s="1775" t="n"/>
      <c r="L854" s="1776">
        <f>IF(L850="","",L850/J849)</f>
        <v/>
      </c>
      <c r="M854" s="1776">
        <f>IF(M850="","",M850/L849)</f>
        <v/>
      </c>
      <c r="N854" s="1776">
        <f>IF(N850="","",N850/M849)</f>
        <v/>
      </c>
      <c r="O854" s="1776">
        <f>IF(O850="","",O850/N849)</f>
        <v/>
      </c>
      <c r="P854" s="1775" t="n"/>
      <c r="Q854" s="1776">
        <f>IF(Q850="","",Q850/O849)</f>
        <v/>
      </c>
      <c r="R854" s="1776">
        <f>IF(R850="","",R850/Q849)</f>
        <v/>
      </c>
      <c r="S854" s="1776">
        <f>IF(S850="","",S850/R849)</f>
        <v/>
      </c>
      <c r="T854" s="1776">
        <f>IF(T850="","",T850/S849)</f>
        <v/>
      </c>
      <c r="U854" s="1775" t="n"/>
      <c r="V854" s="1776">
        <f>IF(V850="","",V850/T849)</f>
        <v/>
      </c>
      <c r="W854" s="1776">
        <f>IF(W850="","",W850/V849)</f>
        <v/>
      </c>
      <c r="X854" s="1776">
        <f>IF(X850="","",X850/W849)</f>
        <v/>
      </c>
      <c r="Y854" s="1776">
        <f>IF(Y850="","",Y850/X849)</f>
        <v/>
      </c>
      <c r="Z854" s="1775" t="n"/>
      <c r="AA854" s="1776">
        <f>IF(AA850="","",AA850/Y849)</f>
        <v/>
      </c>
      <c r="AB854" s="1776">
        <f>IF(AB850="","",AB850/AA849)</f>
        <v/>
      </c>
      <c r="AC854" s="1776">
        <f>IF(AC850="","",AC850/AB849)</f>
        <v/>
      </c>
      <c r="AD854" s="1776">
        <f>IF(AD850="","",AD850/AC849)</f>
        <v/>
      </c>
      <c r="AE854" s="1775" t="n"/>
      <c r="AF854" s="1776">
        <f>IF(AF850="","",AF850/AD849)</f>
        <v/>
      </c>
      <c r="AG854" s="1776">
        <f>IF(AG850="","",AG850/AF849)</f>
        <v/>
      </c>
      <c r="AH854" s="1776">
        <f>IF(AH850="","",AH850/AG849)</f>
        <v/>
      </c>
      <c r="AI854" s="1776">
        <f>IF(AI850="","",AI850/AH849)</f>
        <v/>
      </c>
      <c r="AJ854" s="1775" t="n"/>
      <c r="AK854" s="1776">
        <f>IF(AK850="","",AK850/AI849)</f>
        <v/>
      </c>
      <c r="AL854" s="1776">
        <f>IF(AL850="","",AL850/AK849)</f>
        <v/>
      </c>
      <c r="AM854" s="1776">
        <f>IF(AM850="","",AM850/AL849)</f>
        <v/>
      </c>
      <c r="AN854" s="1776">
        <f>IF(AN850="","",AN850/AM849)</f>
        <v/>
      </c>
      <c r="AO854" s="1775" t="n"/>
      <c r="AP854" s="1776">
        <f>IF(AP850="","",AP850/AN849)</f>
        <v/>
      </c>
      <c r="AQ854" s="1776">
        <f>IF(AQ850="","",AQ850/AP849)</f>
        <v/>
      </c>
      <c r="AR854" s="1776">
        <f>IF(AR850="","",AR850/AQ849)</f>
        <v/>
      </c>
      <c r="AS854" s="1776">
        <f>IF(AS850="","",AS850/AR849)</f>
        <v/>
      </c>
      <c r="AT854" s="1775" t="n"/>
      <c r="AU854" s="1776">
        <f>IF(AU850="","",AU850/AS849)</f>
        <v/>
      </c>
      <c r="AV854" s="1776">
        <f>IF(AV850="","",AV850/AU849)</f>
        <v/>
      </c>
      <c r="AW854" s="1776">
        <f>IF(AW850="","",AW850/AV849)</f>
        <v/>
      </c>
      <c r="AX854" s="1776">
        <f>IF(AX850="","",AX850/AW849)</f>
        <v/>
      </c>
      <c r="AY854" s="1775" t="n"/>
      <c r="AZ854" s="1776">
        <f>IF(AZ850="","",AZ850/AX849)</f>
        <v/>
      </c>
      <c r="BA854" s="1776">
        <f>IF(BA850="","",BA850/AZ849)</f>
        <v/>
      </c>
      <c r="BB854" s="1776">
        <f>IF(BB850="","",BB850/BA849)</f>
        <v/>
      </c>
      <c r="BC854" s="1776">
        <f>IF(BC850="","",BC850/BB849)</f>
        <v/>
      </c>
      <c r="BD854" s="1775" t="n"/>
      <c r="BE854" s="1776">
        <f>IF(BE850="","",BE850/BC849)</f>
        <v/>
      </c>
      <c r="BF854" s="1776">
        <f>IF(BF850="","",BF850/BE849)</f>
        <v/>
      </c>
      <c r="BG854" s="1776">
        <f>IF(BG850="","",BG850/BF849)</f>
        <v/>
      </c>
      <c r="BH854" s="1776">
        <f>IF(BH850="","",BH850/BG849)</f>
        <v/>
      </c>
      <c r="BI854" s="1775" t="n"/>
      <c r="BJ854" s="1776">
        <f>IF(BJ850="","",BJ850/BH849)</f>
        <v/>
      </c>
      <c r="BK854" s="1776">
        <f>IF(BK850="","",BK850/BJ849)</f>
        <v/>
      </c>
      <c r="BL854" s="1776">
        <f>IF(BL850="","",BL850/BK849)</f>
        <v/>
      </c>
      <c r="BM854" s="1776">
        <f>IF(BM850="","",BM850/BL849)</f>
        <v/>
      </c>
      <c r="BN854" s="1775" t="n"/>
      <c r="BO854" s="1776">
        <f>IF(BO850="","",BO850/BM849)</f>
        <v/>
      </c>
      <c r="BP854" s="1776">
        <f>IF(BP850="","",BP850/BO849)</f>
        <v/>
      </c>
      <c r="BQ854" s="1777">
        <f>IF(BQ850="","",BQ850/BP849)</f>
        <v/>
      </c>
      <c r="BR854" s="1776">
        <f>IF(BR850="","",BR850/BQ849)</f>
        <v/>
      </c>
      <c r="BS854" s="1775" t="n"/>
      <c r="BT854" s="1776">
        <f>IF(BT850="","",BT850/BR849)</f>
        <v/>
      </c>
      <c r="BU854" s="1776">
        <f>IF(BU850="","",BU850/BT849)</f>
        <v/>
      </c>
      <c r="BV854" s="1776">
        <f>IF(BV850="","",BV850/BU849)</f>
        <v/>
      </c>
      <c r="BW854" s="1776">
        <f>IF(BW850="","",BW850/BV849)</f>
        <v/>
      </c>
      <c r="BX854" s="1775" t="n"/>
      <c r="BY854" s="1775" t="n"/>
      <c r="BZ854" s="1775" t="n"/>
      <c r="CA854" s="1775" t="n"/>
      <c r="CB854" s="1384" t="n"/>
    </row>
    <row r="855" hidden="1" outlineLevel="1" ht="15" customFormat="1" customHeight="1" s="1359">
      <c r="A855" s="1778" t="inlineStr">
        <is>
          <t>Q/Q WAD Adjusted EPS growth, %</t>
        </is>
      </c>
      <c r="B855" s="1769" t="n"/>
      <c r="C855" s="1770" t="n"/>
      <c r="D855" s="1770" t="n"/>
      <c r="E855" s="1770" t="n"/>
      <c r="F855" s="1770" t="n"/>
      <c r="G855" s="1771" t="n"/>
      <c r="H855" s="1771">
        <f>H849/G849-1</f>
        <v/>
      </c>
      <c r="I855" s="1771">
        <f>I849/H849-1</f>
        <v/>
      </c>
      <c r="J855" s="1771">
        <f>J849/I849-1</f>
        <v/>
      </c>
      <c r="K855" s="1770" t="n"/>
      <c r="L855" s="1771">
        <f>L849/J849-1</f>
        <v/>
      </c>
      <c r="M855" s="1771">
        <f>M849/L849-1</f>
        <v/>
      </c>
      <c r="N855" s="1771">
        <f>N849/M849-1</f>
        <v/>
      </c>
      <c r="O855" s="1771">
        <f>O849/N849-1</f>
        <v/>
      </c>
      <c r="P855" s="1770" t="n"/>
      <c r="Q855" s="1771">
        <f>Q849/O849-1</f>
        <v/>
      </c>
      <c r="R855" s="1771">
        <f>R849/Q849-1</f>
        <v/>
      </c>
      <c r="S855" s="1771">
        <f>S849/R849-1</f>
        <v/>
      </c>
      <c r="T855" s="1771">
        <f>T849/S849-1</f>
        <v/>
      </c>
      <c r="U855" s="1770" t="n"/>
      <c r="V855" s="1771">
        <f>V849/T849-1</f>
        <v/>
      </c>
      <c r="W855" s="1771">
        <f>W849/V849-1</f>
        <v/>
      </c>
      <c r="X855" s="1771">
        <f>X849/W849-1</f>
        <v/>
      </c>
      <c r="Y855" s="1771">
        <f>Y849/X849-1</f>
        <v/>
      </c>
      <c r="Z855" s="1770" t="n"/>
      <c r="AA855" s="1771">
        <f>AA849/Y849-1</f>
        <v/>
      </c>
      <c r="AB855" s="1771">
        <f>AB849/AA849-1</f>
        <v/>
      </c>
      <c r="AC855" s="1771">
        <f>AC849/AB849-1</f>
        <v/>
      </c>
      <c r="AD855" s="1771">
        <f>AD849/AC849-1</f>
        <v/>
      </c>
      <c r="AE855" s="1770" t="n"/>
      <c r="AF855" s="1771">
        <f>AF849/AD849-1</f>
        <v/>
      </c>
      <c r="AG855" s="1771">
        <f>AG849/AF849-1</f>
        <v/>
      </c>
      <c r="AH855" s="1771">
        <f>AH849/AG849-1</f>
        <v/>
      </c>
      <c r="AI855" s="1771">
        <f>AI849/AH849-1</f>
        <v/>
      </c>
      <c r="AJ855" s="1770" t="n"/>
      <c r="AK855" s="1771">
        <f>AK849/AI849-1</f>
        <v/>
      </c>
      <c r="AL855" s="1771">
        <f>AL849/AK849-1</f>
        <v/>
      </c>
      <c r="AM855" s="1771">
        <f>AM849/AL849-1</f>
        <v/>
      </c>
      <c r="AN855" s="1771">
        <f>AN849/AM849-1</f>
        <v/>
      </c>
      <c r="AO855" s="1770" t="n"/>
      <c r="AP855" s="1771">
        <f>AP849/AN849-1</f>
        <v/>
      </c>
      <c r="AQ855" s="1771">
        <f>AQ849/AP849-1</f>
        <v/>
      </c>
      <c r="AR855" s="1771">
        <f>AR849/AQ849-1</f>
        <v/>
      </c>
      <c r="AS855" s="1771">
        <f>AS849/AR849-1</f>
        <v/>
      </c>
      <c r="AT855" s="1770" t="n"/>
      <c r="AU855" s="1771">
        <f>AU849/AS849-1</f>
        <v/>
      </c>
      <c r="AV855" s="1771">
        <f>AV849/AU849-1</f>
        <v/>
      </c>
      <c r="AW855" s="1771">
        <f>AW849/AV849-1</f>
        <v/>
      </c>
      <c r="AX855" s="1771">
        <f>AX849/AW849-1</f>
        <v/>
      </c>
      <c r="AY855" s="1770" t="n"/>
      <c r="AZ855" s="1771">
        <f>AZ849/AX849-1</f>
        <v/>
      </c>
      <c r="BA855" s="1771">
        <f>BA849/AZ849-1</f>
        <v/>
      </c>
      <c r="BB855" s="1771">
        <f>BB849/BA849-1</f>
        <v/>
      </c>
      <c r="BC855" s="1771">
        <f>BC849/BB849-1</f>
        <v/>
      </c>
      <c r="BD855" s="1770" t="n"/>
      <c r="BE855" s="1771">
        <f>BE849/BC849-1</f>
        <v/>
      </c>
      <c r="BF855" s="1771">
        <f>BF849/BE849-1</f>
        <v/>
      </c>
      <c r="BG855" s="1771">
        <f>BG849/BF849-1</f>
        <v/>
      </c>
      <c r="BH855" s="1771">
        <f>BH849/BG849-1</f>
        <v/>
      </c>
      <c r="BI855" s="1770" t="n"/>
      <c r="BJ855" s="1771">
        <f>BJ849/BH849-1</f>
        <v/>
      </c>
      <c r="BK855" s="1771">
        <f>BK849/BJ849-1</f>
        <v/>
      </c>
      <c r="BL855" s="1771">
        <f>BL849/BK849-1</f>
        <v/>
      </c>
      <c r="BM855" s="1771">
        <f>BM849/BL849-1</f>
        <v/>
      </c>
      <c r="BN855" s="1770" t="n"/>
      <c r="BO855" s="1771">
        <f>BO849/BM849-1</f>
        <v/>
      </c>
      <c r="BP855" s="1771">
        <f>BP849/BO849-1</f>
        <v/>
      </c>
      <c r="BQ855" s="1772">
        <f>BQ849/BP849-1</f>
        <v/>
      </c>
      <c r="BR855" s="1771">
        <f>BR849/BQ849-1</f>
        <v/>
      </c>
      <c r="BS855" s="1770" t="n"/>
      <c r="BT855" s="1771">
        <f>BT849/BR849-1</f>
        <v/>
      </c>
      <c r="BU855" s="1771">
        <f>BU849/BT849-1</f>
        <v/>
      </c>
      <c r="BV855" s="1771">
        <f>BV849/BU849-1</f>
        <v/>
      </c>
      <c r="BW855" s="1771">
        <f>BW849/BV849-1</f>
        <v/>
      </c>
      <c r="BX855" s="1770" t="n"/>
      <c r="BY855" s="1770" t="n"/>
      <c r="BZ855" s="1770" t="n"/>
      <c r="CA855" s="1770" t="n"/>
      <c r="CB855" s="1771" t="n"/>
    </row>
    <row r="856" hidden="1" outlineLevel="1" ht="15" customFormat="1" customHeight="1" s="1359">
      <c r="A856" s="1501" t="inlineStr">
        <is>
          <t>Y/Y guided WAD Adjusted EPS growth, %</t>
        </is>
      </c>
      <c r="B856" s="1590" t="n"/>
      <c r="C856" s="1382" t="n"/>
      <c r="D856" s="1382">
        <f>IF(D848="","",D848/C849-1)</f>
        <v/>
      </c>
      <c r="E856" s="1382">
        <f>IF(E848="","",E848/D849-1)</f>
        <v/>
      </c>
      <c r="F856" s="1382">
        <f>IF(F848="","",F848/E849-1)</f>
        <v/>
      </c>
      <c r="G856" s="1384" t="n"/>
      <c r="H856" s="1384" t="n"/>
      <c r="I856" s="1384" t="n"/>
      <c r="J856" s="1384" t="n"/>
      <c r="K856" s="1382">
        <f>IF(K848="","",K848/F849-1)</f>
        <v/>
      </c>
      <c r="L856" s="1384">
        <f>IF(L848="","",L848/G849-1)</f>
        <v/>
      </c>
      <c r="M856" s="1384">
        <f>IF(M848="","",M848/H849-1)</f>
        <v/>
      </c>
      <c r="N856" s="1384">
        <f>IF(N848="","",N848/I849-1)</f>
        <v/>
      </c>
      <c r="O856" s="1384">
        <f>IF(O848="","",O848/J849-1)</f>
        <v/>
      </c>
      <c r="P856" s="1382">
        <f>IF(P848="","",P848/K849-1)</f>
        <v/>
      </c>
      <c r="Q856" s="1384">
        <f>IF(Q848="","",Q848/L849-1)</f>
        <v/>
      </c>
      <c r="R856" s="1384">
        <f>IF(R848="","",R848/M849-1)</f>
        <v/>
      </c>
      <c r="S856" s="1384">
        <f>IF(S848="","",S848/N849-1)</f>
        <v/>
      </c>
      <c r="T856" s="1384">
        <f>IF(T848="","",T848/O849-1)</f>
        <v/>
      </c>
      <c r="U856" s="1382">
        <f>IF(U848="","",U848/P849-1)</f>
        <v/>
      </c>
      <c r="V856" s="1384">
        <f>IF(V848="","",V848/Q849-1)</f>
        <v/>
      </c>
      <c r="W856" s="1384">
        <f>IF(W848="","",W848/R849-1)</f>
        <v/>
      </c>
      <c r="X856" s="1384">
        <f>IF(X848="","",X848/S849-1)</f>
        <v/>
      </c>
      <c r="Y856" s="1384">
        <f>IF(Y848="","",Y848/T849-1)</f>
        <v/>
      </c>
      <c r="Z856" s="1382">
        <f>IF(Z848="","",Z848/U849-1)</f>
        <v/>
      </c>
      <c r="AA856" s="1384">
        <f>IF(AA848="","",AA848/V849-1)</f>
        <v/>
      </c>
      <c r="AB856" s="1384">
        <f>IF(AB848="","",AB848/W849-1)</f>
        <v/>
      </c>
      <c r="AC856" s="1384">
        <f>IF(AC848="","",AC848/X849-1)</f>
        <v/>
      </c>
      <c r="AD856" s="1384">
        <f>IF(AD848="","",AD848/Y849-1)</f>
        <v/>
      </c>
      <c r="AE856" s="1382">
        <f>IF(AE848="","",AE848/Z849-1)</f>
        <v/>
      </c>
      <c r="AF856" s="1384">
        <f>IF(AF848="","",AF848/AA849-1)</f>
        <v/>
      </c>
      <c r="AG856" s="1384">
        <f>IF(AG848="","",AG848/AB849-1)</f>
        <v/>
      </c>
      <c r="AH856" s="1384">
        <f>IF(AH848="","",AH848/AC849-1)</f>
        <v/>
      </c>
      <c r="AI856" s="1384">
        <f>IF(AI848="","",AI848/AD849-1)</f>
        <v/>
      </c>
      <c r="AJ856" s="1382">
        <f>IF(AJ848="","",AJ848/AE849-1)</f>
        <v/>
      </c>
      <c r="AK856" s="1384">
        <f>IF(AK848="","",AK848/AF849-1)</f>
        <v/>
      </c>
      <c r="AL856" s="1384">
        <f>IF(AL848="","",AL848/AG849-1)</f>
        <v/>
      </c>
      <c r="AM856" s="1384">
        <f>IF(AM848="","",AM848/AH849-1)</f>
        <v/>
      </c>
      <c r="AN856" s="1384">
        <f>IF(AN848="","",AN848/AI849-1)</f>
        <v/>
      </c>
      <c r="AO856" s="1382">
        <f>IF(AO848="","",AO848/AJ849-1)</f>
        <v/>
      </c>
      <c r="AP856" s="1384">
        <f>IF(AP848="","",AP848/AK849-1)</f>
        <v/>
      </c>
      <c r="AQ856" s="1384">
        <f>IF(AQ848="","",AQ848/AL849-1)</f>
        <v/>
      </c>
      <c r="AR856" s="1384">
        <f>IF(AR848="","",AR848/AM849-1)</f>
        <v/>
      </c>
      <c r="AS856" s="1384">
        <f>IF(AS848="","",AS848/AN849-1)</f>
        <v/>
      </c>
      <c r="AT856" s="1382">
        <f>IF(AT848="","",AT848/AO849-1)</f>
        <v/>
      </c>
      <c r="AU856" s="1384">
        <f>IF(AU848="","",AU848/AP849-1)</f>
        <v/>
      </c>
      <c r="AV856" s="1384">
        <f>IF(AV848="","",AV848/AQ849-1)</f>
        <v/>
      </c>
      <c r="AW856" s="1384">
        <f>IF(AW848="","",AW848/AR849-1)</f>
        <v/>
      </c>
      <c r="AX856" s="1384">
        <f>IF(AX848="","",AX848/AS849-1)</f>
        <v/>
      </c>
      <c r="AY856" s="1382">
        <f>IF(AY848="","",AY848/AT849-1)</f>
        <v/>
      </c>
      <c r="AZ856" s="1384">
        <f>IF(AZ848="","",AZ848/AU849-1)</f>
        <v/>
      </c>
      <c r="BA856" s="1384">
        <f>IF(BA848="","",BA848/AV849-1)</f>
        <v/>
      </c>
      <c r="BB856" s="1384">
        <f>IF(BB848="","",BB848/AW849-1)</f>
        <v/>
      </c>
      <c r="BC856" s="1384">
        <f>IF(BC848="","",BC848/AX849-1)</f>
        <v/>
      </c>
      <c r="BD856" s="1382">
        <f>IF(BD848="","",BD848/AY849-1)</f>
        <v/>
      </c>
      <c r="BE856" s="1384">
        <f>IF(BE848="","",BE848/AZ849-1)</f>
        <v/>
      </c>
      <c r="BF856" s="1384">
        <f>IF(BF848="","",BF848/BA849-1)</f>
        <v/>
      </c>
      <c r="BG856" s="1384">
        <f>IF(BG848="","",BG848/BB849-1)</f>
        <v/>
      </c>
      <c r="BH856" s="1384">
        <f>IF(BH848="","",BH848/BC849-1)</f>
        <v/>
      </c>
      <c r="BI856" s="1382">
        <f>IF(BI848="","",BI848/BD849-1)</f>
        <v/>
      </c>
      <c r="BJ856" s="1384">
        <f>IF(BJ848="","",BJ848/BE849-1)</f>
        <v/>
      </c>
      <c r="BK856" s="1384">
        <f>IF(BK848="","",BK848/BF849-1)</f>
        <v/>
      </c>
      <c r="BL856" s="1384">
        <f>IF(BL848="","",BL848/BG849-1)</f>
        <v/>
      </c>
      <c r="BM856" s="1384">
        <f>IF(BM848="","",BM848/BH849-1)</f>
        <v/>
      </c>
      <c r="BN856" s="1382">
        <f>IF(BN848="","",BN848/BI849-1)</f>
        <v/>
      </c>
      <c r="BO856" s="1384">
        <f>IF(BO848="","",BO848/BJ849-1)</f>
        <v/>
      </c>
      <c r="BP856" s="1384">
        <f>IF(BP848="","",BP848/BK849-1)</f>
        <v/>
      </c>
      <c r="BQ856" s="1386">
        <f>IF(BQ848="","",BQ848/BL849-1)</f>
        <v/>
      </c>
      <c r="BR856" s="1384">
        <f>IF(BR848="","",BR848/BM849-1)</f>
        <v/>
      </c>
      <c r="BS856" s="1382">
        <f>IF(BS848="","",BS848/BN849-1)</f>
        <v/>
      </c>
      <c r="BT856" s="1384">
        <f>IF(BT848="","",BT848/BO849-1)</f>
        <v/>
      </c>
      <c r="BU856" s="1384">
        <f>IF(BU848="","",BU848/BP849-1)</f>
        <v/>
      </c>
      <c r="BV856" s="1384">
        <f>IF(BV848="","",BV848/BQ849-1)</f>
        <v/>
      </c>
      <c r="BW856" s="1384">
        <f>IF(BW848="","",BW848/BR849-1)</f>
        <v/>
      </c>
      <c r="BX856" s="1382">
        <f>IF(BX848="","",BX848/BS849-1)</f>
        <v/>
      </c>
      <c r="BY856" s="1382" t="n"/>
      <c r="BZ856" s="1382" t="n"/>
      <c r="CA856" s="1382" t="n"/>
      <c r="CB856" s="1384" t="n"/>
    </row>
    <row r="857" hidden="1" outlineLevel="1" ht="15" customFormat="1" customHeight="1" s="1359">
      <c r="A857" s="1773" t="inlineStr">
        <is>
          <t>Y/Y beat/(miss) WAD Adjusted EPS growth, %</t>
        </is>
      </c>
      <c r="B857" s="1774" t="n"/>
      <c r="C857" s="1775" t="n"/>
      <c r="D857" s="1775">
        <f>IF(D850="","",D850/C849)</f>
        <v/>
      </c>
      <c r="E857" s="1775">
        <f>IF(E850="","",E850/D849)</f>
        <v/>
      </c>
      <c r="F857" s="1775">
        <f>IF(F850="","",F850/E849)</f>
        <v/>
      </c>
      <c r="G857" s="1776" t="n"/>
      <c r="H857" s="1776" t="n"/>
      <c r="I857" s="1776" t="n"/>
      <c r="J857" s="1776" t="n"/>
      <c r="K857" s="1775">
        <f>IF(K850="","",K850/F849)</f>
        <v/>
      </c>
      <c r="L857" s="1776">
        <f>IF(L850="","",L850/G849)</f>
        <v/>
      </c>
      <c r="M857" s="1776">
        <f>IF(M850="","",M850/H849)</f>
        <v/>
      </c>
      <c r="N857" s="1776">
        <f>IF(N850="","",N850/I849)</f>
        <v/>
      </c>
      <c r="O857" s="1776">
        <f>IF(O850="","",O850/J849)</f>
        <v/>
      </c>
      <c r="P857" s="1775">
        <f>IF(P850="","",P850/K849)</f>
        <v/>
      </c>
      <c r="Q857" s="1776">
        <f>IF(Q850="","",Q850/L849)</f>
        <v/>
      </c>
      <c r="R857" s="1776">
        <f>IF(R850="","",R850/M849)</f>
        <v/>
      </c>
      <c r="S857" s="1776">
        <f>IF(S850="","",S850/N849)</f>
        <v/>
      </c>
      <c r="T857" s="1776">
        <f>IF(T850="","",T850/O849)</f>
        <v/>
      </c>
      <c r="U857" s="1775">
        <f>IF(U850="","",U850/P849)</f>
        <v/>
      </c>
      <c r="V857" s="1776">
        <f>IF(V850="","",V850/Q849)</f>
        <v/>
      </c>
      <c r="W857" s="1776">
        <f>IF(W850="","",W850/R849)</f>
        <v/>
      </c>
      <c r="X857" s="1776">
        <f>IF(X850="","",X850/S849)</f>
        <v/>
      </c>
      <c r="Y857" s="1776">
        <f>IF(Y850="","",Y850/T849)</f>
        <v/>
      </c>
      <c r="Z857" s="1775">
        <f>IF(Z850="","",Z850/U849)</f>
        <v/>
      </c>
      <c r="AA857" s="1776">
        <f>IF(AA850="","",AA850/V849)</f>
        <v/>
      </c>
      <c r="AB857" s="1776">
        <f>IF(AB850="","",AB850/W849)</f>
        <v/>
      </c>
      <c r="AC857" s="1776">
        <f>IF(AC850="","",AC850/X849)</f>
        <v/>
      </c>
      <c r="AD857" s="1776">
        <f>IF(AD850="","",AD850/Y849)</f>
        <v/>
      </c>
      <c r="AE857" s="1775">
        <f>IF(AE850="","",AE850/Z849)</f>
        <v/>
      </c>
      <c r="AF857" s="1776">
        <f>IF(AF850="","",AF850/AA849)</f>
        <v/>
      </c>
      <c r="AG857" s="1776">
        <f>IF(AG850="","",AG850/AB849)</f>
        <v/>
      </c>
      <c r="AH857" s="1776">
        <f>IF(AH850="","",AH850/AC849)</f>
        <v/>
      </c>
      <c r="AI857" s="1776">
        <f>IF(AI850="","",AI850/AD849)</f>
        <v/>
      </c>
      <c r="AJ857" s="1775">
        <f>IF(AJ850="","",AJ850/AE849)</f>
        <v/>
      </c>
      <c r="AK857" s="1776">
        <f>IF(AK850="","",AK850/AF849)</f>
        <v/>
      </c>
      <c r="AL857" s="1776">
        <f>IF(AL850="","",AL850/AG849)</f>
        <v/>
      </c>
      <c r="AM857" s="1776">
        <f>IF(AM850="","",AM850/AH849)</f>
        <v/>
      </c>
      <c r="AN857" s="1776">
        <f>IF(AN850="","",AN850/AI849)</f>
        <v/>
      </c>
      <c r="AO857" s="1775">
        <f>IF(AO850="","",AO850/AJ849)</f>
        <v/>
      </c>
      <c r="AP857" s="1776">
        <f>IF(AP850="","",AP850/AK849)</f>
        <v/>
      </c>
      <c r="AQ857" s="1776">
        <f>IF(AQ850="","",AQ850/AL849)</f>
        <v/>
      </c>
      <c r="AR857" s="1776">
        <f>IF(AR850="","",AR850/AM849)</f>
        <v/>
      </c>
      <c r="AS857" s="1776">
        <f>IF(AS850="","",AS850/AN849)</f>
        <v/>
      </c>
      <c r="AT857" s="1775">
        <f>IF(AT850="","",AT850/AO849)</f>
        <v/>
      </c>
      <c r="AU857" s="1776">
        <f>IF(AU850="","",AU850/AP849)</f>
        <v/>
      </c>
      <c r="AV857" s="1776">
        <f>IF(AV850="","",AV850/AQ849)</f>
        <v/>
      </c>
      <c r="AW857" s="1776">
        <f>IF(AW850="","",AW850/AR849)</f>
        <v/>
      </c>
      <c r="AX857" s="1776">
        <f>IF(AX850="","",AX850/AS849)</f>
        <v/>
      </c>
      <c r="AY857" s="1775">
        <f>IF(AY850="","",AY850/AT849)</f>
        <v/>
      </c>
      <c r="AZ857" s="1776">
        <f>IF(AZ850="","",AZ850/AU849)</f>
        <v/>
      </c>
      <c r="BA857" s="1776">
        <f>IF(BA850="","",BA850/AV849)</f>
        <v/>
      </c>
      <c r="BB857" s="1776">
        <f>IF(BB850="","",BB850/AW849)</f>
        <v/>
      </c>
      <c r="BC857" s="1776">
        <f>IF(BC850="","",BC850/AX849)</f>
        <v/>
      </c>
      <c r="BD857" s="1775">
        <f>IF(BD850="","",BD850/AY849)</f>
        <v/>
      </c>
      <c r="BE857" s="1776">
        <f>IF(BE850="","",BE850/AZ849)</f>
        <v/>
      </c>
      <c r="BF857" s="1776">
        <f>IF(BF850="","",BF850/BA849)</f>
        <v/>
      </c>
      <c r="BG857" s="1776">
        <f>IF(BG850="","",BG850/BB849)</f>
        <v/>
      </c>
      <c r="BH857" s="1776">
        <f>IF(BH850="","",BH850/BC849)</f>
        <v/>
      </c>
      <c r="BI857" s="1775">
        <f>IF(BI850="","",BI850/BD849)</f>
        <v/>
      </c>
      <c r="BJ857" s="1776">
        <f>IF(BJ850="","",BJ850/BE849)</f>
        <v/>
      </c>
      <c r="BK857" s="1776">
        <f>IF(BK850="","",BK850/BF849)</f>
        <v/>
      </c>
      <c r="BL857" s="1776">
        <f>IF(BL850="","",BL850/BG849)</f>
        <v/>
      </c>
      <c r="BM857" s="1776">
        <f>IF(BM850="","",BM850/BH849)</f>
        <v/>
      </c>
      <c r="BN857" s="1775">
        <f>IF(BN850="","",BN850/BI849)</f>
        <v/>
      </c>
      <c r="BO857" s="1776">
        <f>IF(BO850="","",BO850/BJ849)</f>
        <v/>
      </c>
      <c r="BP857" s="1776">
        <f>IF(BP850="","",BP850/BK849)</f>
        <v/>
      </c>
      <c r="BQ857" s="1777">
        <f>IF(BQ850="","",BQ850/BL849)</f>
        <v/>
      </c>
      <c r="BR857" s="1776">
        <f>IF(BR850="","",BR850/BM849)</f>
        <v/>
      </c>
      <c r="BS857" s="1775">
        <f>IF(BS850="","",BS850/BN849)</f>
        <v/>
      </c>
      <c r="BT857" s="1776">
        <f>IF(BT850="","",BT850/BO849)</f>
        <v/>
      </c>
      <c r="BU857" s="1776">
        <f>IF(BU850="","",BU850/BP849)</f>
        <v/>
      </c>
      <c r="BV857" s="1776">
        <f>IF(BV850="","",BV850/BQ849)</f>
        <v/>
      </c>
      <c r="BW857" s="1776">
        <f>IF(BW850="","",BW850/BR849)</f>
        <v/>
      </c>
      <c r="BX857" s="1775">
        <f>IF(BX850="","",BX850/BS849)</f>
        <v/>
      </c>
      <c r="BY857" s="1775" t="n"/>
      <c r="BZ857" s="1775" t="n"/>
      <c r="CA857" s="1775" t="n"/>
      <c r="CB857" s="1384" t="n"/>
    </row>
    <row r="858" hidden="1" outlineLevel="1" ht="15" customFormat="1" customHeight="1" s="1359">
      <c r="A858" s="1778" t="inlineStr">
        <is>
          <t>Y/Y WAD Adjusted EPS growth, %</t>
        </is>
      </c>
      <c r="B858" s="1769" t="n"/>
      <c r="C858" s="1770" t="n"/>
      <c r="D858" s="1770">
        <f>D849/C849-1</f>
        <v/>
      </c>
      <c r="E858" s="1770">
        <f>E849/D849-1</f>
        <v/>
      </c>
      <c r="F858" s="1770">
        <f>F849/E849-1</f>
        <v/>
      </c>
      <c r="G858" s="1771" t="n"/>
      <c r="H858" s="1771" t="n"/>
      <c r="I858" s="1771" t="n"/>
      <c r="J858" s="1771" t="n"/>
      <c r="K858" s="1770">
        <f>K849/F849-1</f>
        <v/>
      </c>
      <c r="L858" s="1771">
        <f>L849/G849-1</f>
        <v/>
      </c>
      <c r="M858" s="1771">
        <f>M849/H849-1</f>
        <v/>
      </c>
      <c r="N858" s="1771">
        <f>N849/I849-1</f>
        <v/>
      </c>
      <c r="O858" s="1771">
        <f>O849/J849-1</f>
        <v/>
      </c>
      <c r="P858" s="1770">
        <f>P849/K849-1</f>
        <v/>
      </c>
      <c r="Q858" s="1771">
        <f>Q849/L849-1</f>
        <v/>
      </c>
      <c r="R858" s="1771">
        <f>R849/M849-1</f>
        <v/>
      </c>
      <c r="S858" s="1771">
        <f>S849/N849-1</f>
        <v/>
      </c>
      <c r="T858" s="1771">
        <f>T849/O849-1</f>
        <v/>
      </c>
      <c r="U858" s="1770">
        <f>U849/P849-1</f>
        <v/>
      </c>
      <c r="V858" s="1771">
        <f>V849/Q849-1</f>
        <v/>
      </c>
      <c r="W858" s="1771">
        <f>W849/R849-1</f>
        <v/>
      </c>
      <c r="X858" s="1771">
        <f>X849/S849-1</f>
        <v/>
      </c>
      <c r="Y858" s="1771">
        <f>Y849/T849-1</f>
        <v/>
      </c>
      <c r="Z858" s="1770">
        <f>Z849/U849-1</f>
        <v/>
      </c>
      <c r="AA858" s="1771">
        <f>AA849/V849-1</f>
        <v/>
      </c>
      <c r="AB858" s="1771">
        <f>AB849/W849-1</f>
        <v/>
      </c>
      <c r="AC858" s="1771">
        <f>AC849/X849-1</f>
        <v/>
      </c>
      <c r="AD858" s="1771">
        <f>AD849/Y849-1</f>
        <v/>
      </c>
      <c r="AE858" s="1770">
        <f>AE849/Z849-1</f>
        <v/>
      </c>
      <c r="AF858" s="1771">
        <f>AF849/AA849-1</f>
        <v/>
      </c>
      <c r="AG858" s="1771">
        <f>AG849/AB849-1</f>
        <v/>
      </c>
      <c r="AH858" s="1771">
        <f>AH849/AC849-1</f>
        <v/>
      </c>
      <c r="AI858" s="1771">
        <f>AI849/AD849-1</f>
        <v/>
      </c>
      <c r="AJ858" s="1770">
        <f>AJ849/AE849-1</f>
        <v/>
      </c>
      <c r="AK858" s="1771">
        <f>AK849/AF849-1</f>
        <v/>
      </c>
      <c r="AL858" s="1771">
        <f>AL849/AG849-1</f>
        <v/>
      </c>
      <c r="AM858" s="1771">
        <f>AM849/AH849-1</f>
        <v/>
      </c>
      <c r="AN858" s="1771">
        <f>AN849/AI849-1</f>
        <v/>
      </c>
      <c r="AO858" s="1770">
        <f>AO849/AJ849-1</f>
        <v/>
      </c>
      <c r="AP858" s="1771">
        <f>AP849/AK849-1</f>
        <v/>
      </c>
      <c r="AQ858" s="1771">
        <f>AQ849/AL849-1</f>
        <v/>
      </c>
      <c r="AR858" s="1771">
        <f>AR849/AM849-1</f>
        <v/>
      </c>
      <c r="AS858" s="1771">
        <f>AS849/AN849-1</f>
        <v/>
      </c>
      <c r="AT858" s="1770">
        <f>AT849/AO849-1</f>
        <v/>
      </c>
      <c r="AU858" s="1771">
        <f>AU849/AP849-1</f>
        <v/>
      </c>
      <c r="AV858" s="1771">
        <f>AV849/AQ849-1</f>
        <v/>
      </c>
      <c r="AW858" s="1771">
        <f>AW849/AR849-1</f>
        <v/>
      </c>
      <c r="AX858" s="1771">
        <f>AX849/AS849-1</f>
        <v/>
      </c>
      <c r="AY858" s="1770">
        <f>AY849/AT849-1</f>
        <v/>
      </c>
      <c r="AZ858" s="1771">
        <f>AZ849/AU849-1</f>
        <v/>
      </c>
      <c r="BA858" s="1771">
        <f>BA849/AV849-1</f>
        <v/>
      </c>
      <c r="BB858" s="1771">
        <f>BB849/AW849-1</f>
        <v/>
      </c>
      <c r="BC858" s="1771">
        <f>BC849/AX849-1</f>
        <v/>
      </c>
      <c r="BD858" s="1770">
        <f>BD849/AY849-1</f>
        <v/>
      </c>
      <c r="BE858" s="1771">
        <f>BE849/AZ849-1</f>
        <v/>
      </c>
      <c r="BF858" s="1771">
        <f>BF849/BA849-1</f>
        <v/>
      </c>
      <c r="BG858" s="1771">
        <f>BG849/BB849-1</f>
        <v/>
      </c>
      <c r="BH858" s="1771">
        <f>BH849/BC849-1</f>
        <v/>
      </c>
      <c r="BI858" s="1770">
        <f>BI849/BD849-1</f>
        <v/>
      </c>
      <c r="BJ858" s="1771">
        <f>BJ849/BE849-1</f>
        <v/>
      </c>
      <c r="BK858" s="1771">
        <f>BK849/BF849-1</f>
        <v/>
      </c>
      <c r="BL858" s="1771">
        <f>BL849/BG849-1</f>
        <v/>
      </c>
      <c r="BM858" s="1771">
        <f>BM849/BH849-1</f>
        <v/>
      </c>
      <c r="BN858" s="1770">
        <f>BN849/BI849-1</f>
        <v/>
      </c>
      <c r="BO858" s="1771">
        <f>BO849/BJ849-1</f>
        <v/>
      </c>
      <c r="BP858" s="1771">
        <f>BP849/BK849-1</f>
        <v/>
      </c>
      <c r="BQ858" s="1772">
        <f>BQ849/BL849-1</f>
        <v/>
      </c>
      <c r="BR858" s="1771">
        <f>BR849/BM849-1</f>
        <v/>
      </c>
      <c r="BS858" s="1770">
        <f>BS849/BN849-1</f>
        <v/>
      </c>
      <c r="BT858" s="1771">
        <f>BT849/BO849-1</f>
        <v/>
      </c>
      <c r="BU858" s="1771">
        <f>BU849/BP849-1</f>
        <v/>
      </c>
      <c r="BV858" s="1771">
        <f>BV849/BQ849-1</f>
        <v/>
      </c>
      <c r="BW858" s="1771">
        <f>BW849/BR849-1</f>
        <v/>
      </c>
      <c r="BX858" s="1770">
        <f>BX849/BS849-1</f>
        <v/>
      </c>
      <c r="BY858" s="1770">
        <f>BY849/BX849-1</f>
        <v/>
      </c>
      <c r="BZ858" s="1770">
        <f>BZ849/BY849-1</f>
        <v/>
      </c>
      <c r="CA858" s="1770">
        <f>CA849/BZ849-1</f>
        <v/>
      </c>
      <c r="CB858" s="1771" t="n"/>
    </row>
    <row r="859" hidden="1" outlineLevel="2" ht="15" customFormat="1" customHeight="1" s="1359">
      <c r="A859" s="545" t="n"/>
      <c r="B859" s="1512" t="n"/>
      <c r="C859" s="1723" t="n"/>
      <c r="D859" s="1723" t="n"/>
      <c r="E859" s="1723" t="n"/>
      <c r="F859" s="1723" t="n"/>
      <c r="G859" s="1721" t="n"/>
      <c r="H859" s="1721" t="n"/>
      <c r="I859" s="1721" t="n"/>
      <c r="J859" s="1721" t="n"/>
      <c r="K859" s="1723" t="n"/>
      <c r="L859" s="1721" t="n"/>
      <c r="M859" s="1721" t="n"/>
      <c r="N859" s="1721" t="n"/>
      <c r="O859" s="1721" t="n"/>
      <c r="P859" s="1723" t="n"/>
      <c r="Q859" s="1721" t="n"/>
      <c r="R859" s="1721" t="n"/>
      <c r="S859" s="1721" t="n"/>
      <c r="T859" s="1721" t="n"/>
      <c r="U859" s="1723" t="n"/>
      <c r="V859" s="1721" t="n"/>
      <c r="W859" s="1721" t="n"/>
      <c r="X859" s="1721" t="n"/>
      <c r="Y859" s="1721" t="n"/>
      <c r="Z859" s="1723" t="n"/>
      <c r="AA859" s="1721" t="n"/>
      <c r="AB859" s="1721" t="n"/>
      <c r="AC859" s="1721" t="n"/>
      <c r="AD859" s="1721" t="n"/>
      <c r="AE859" s="1723" t="n"/>
      <c r="AF859" s="1721" t="n"/>
      <c r="AG859" s="1721" t="n"/>
      <c r="AH859" s="1721" t="n"/>
      <c r="AI859" s="1721" t="n"/>
      <c r="AJ859" s="1723" t="n"/>
      <c r="AK859" s="1721" t="n"/>
      <c r="AL859" s="1721" t="n"/>
      <c r="AM859" s="1721" t="n"/>
      <c r="AN859" s="1721" t="n"/>
      <c r="AO859" s="1723" t="n"/>
      <c r="AP859" s="1721" t="n"/>
      <c r="AQ859" s="1721" t="n"/>
      <c r="AR859" s="1721" t="n"/>
      <c r="AS859" s="1721" t="n"/>
      <c r="AT859" s="1723" t="n"/>
      <c r="AU859" s="1721" t="n"/>
      <c r="AV859" s="1721" t="n"/>
      <c r="AW859" s="1721" t="n"/>
      <c r="AX859" s="1721" t="n"/>
      <c r="AY859" s="1723" t="n"/>
      <c r="AZ859" s="1721" t="n"/>
      <c r="BA859" s="1721" t="n"/>
      <c r="BB859" s="1721" t="n"/>
      <c r="BC859" s="1721" t="n"/>
      <c r="BD859" s="1723" t="n"/>
      <c r="BE859" s="1721" t="n"/>
      <c r="BF859" s="1721" t="n"/>
      <c r="BG859" s="1721" t="n"/>
      <c r="BH859" s="1721" t="n"/>
      <c r="BI859" s="1723" t="n"/>
      <c r="BJ859" s="1721" t="n"/>
      <c r="BK859" s="1721" t="n"/>
      <c r="BL859" s="1721" t="n"/>
      <c r="BM859" s="1721" t="n"/>
      <c r="BN859" s="1723" t="n"/>
      <c r="BO859" s="1721" t="n"/>
      <c r="BP859" s="1721" t="n"/>
      <c r="BQ859" s="1722" t="n"/>
      <c r="BR859" s="1721" t="n"/>
      <c r="BS859" s="1723" t="n"/>
      <c r="BT859" s="1721" t="n"/>
      <c r="BU859" s="1721" t="n"/>
      <c r="BV859" s="1721" t="n"/>
      <c r="BW859" s="1721" t="n"/>
      <c r="BX859" s="1723" t="n"/>
      <c r="BY859" s="1723" t="n"/>
      <c r="BZ859" s="1723" t="n"/>
      <c r="CA859" s="1723" t="n"/>
      <c r="CB859" s="1361" t="n"/>
    </row>
    <row r="860" hidden="1" outlineLevel="2" ht="15" customFormat="1" customHeight="1" s="1359">
      <c r="A860" s="1815" t="inlineStr">
        <is>
          <t>Forward guidance - report date, date</t>
        </is>
      </c>
      <c r="B860" s="1512" t="n"/>
      <c r="C860" s="1779" t="n"/>
      <c r="D860" s="1779" t="n"/>
      <c r="E860" s="1779" t="n"/>
      <c r="F860" s="1779" t="n"/>
      <c r="G860" s="1780" t="n"/>
      <c r="H860" s="1780" t="n"/>
      <c r="I860" s="1780" t="n"/>
      <c r="J860" s="1780" t="n"/>
      <c r="K860" s="1779" t="n"/>
      <c r="L860" s="1780" t="n"/>
      <c r="M860" s="1780" t="n"/>
      <c r="N860" s="1780" t="n"/>
      <c r="O860" s="1780" t="n"/>
      <c r="P860" s="1779" t="n"/>
      <c r="Q860" s="1780" t="n"/>
      <c r="R860" s="1780" t="n"/>
      <c r="S860" s="1780" t="n"/>
      <c r="T860" s="1780" t="n"/>
      <c r="U860" s="1779" t="n"/>
      <c r="V860" s="1780" t="n"/>
      <c r="W860" s="1780" t="n"/>
      <c r="X860" s="1780" t="n"/>
      <c r="Y860" s="1780" t="n"/>
      <c r="Z860" s="1779" t="n"/>
      <c r="AA860" s="1780" t="n"/>
      <c r="AB860" s="1780" t="n"/>
      <c r="AC860" s="1780">
        <f>AC1332</f>
        <v/>
      </c>
      <c r="AD860" s="1780">
        <f>AD1332</f>
        <v/>
      </c>
      <c r="AE860" s="1779">
        <f>AE1332</f>
        <v/>
      </c>
      <c r="AF860" s="1780">
        <f>AF1332</f>
        <v/>
      </c>
      <c r="AG860" s="1780">
        <f>AG1332</f>
        <v/>
      </c>
      <c r="AH860" s="1780">
        <f>AH1332</f>
        <v/>
      </c>
      <c r="AI860" s="1780">
        <f>AI1332</f>
        <v/>
      </c>
      <c r="AJ860" s="1779">
        <f>AJ1332</f>
        <v/>
      </c>
      <c r="AK860" s="1780">
        <f>AK1332</f>
        <v/>
      </c>
      <c r="AL860" s="1780">
        <f>AL1332</f>
        <v/>
      </c>
      <c r="AM860" s="1780">
        <f>AM1332</f>
        <v/>
      </c>
      <c r="AN860" s="1780">
        <f>AN1332</f>
        <v/>
      </c>
      <c r="AO860" s="1779">
        <f>AO1332</f>
        <v/>
      </c>
      <c r="AP860" s="1780">
        <f>AP1332</f>
        <v/>
      </c>
      <c r="AQ860" s="1780">
        <f>AQ1332</f>
        <v/>
      </c>
      <c r="AR860" s="1780">
        <f>AR1332</f>
        <v/>
      </c>
      <c r="AS860" s="1780">
        <f>AS1332</f>
        <v/>
      </c>
      <c r="AT860" s="1779">
        <f>AT1332</f>
        <v/>
      </c>
      <c r="AU860" s="1780">
        <f>AU1332</f>
        <v/>
      </c>
      <c r="AV860" s="1780">
        <f>AV1332</f>
        <v/>
      </c>
      <c r="AW860" s="1780">
        <f>AW1332</f>
        <v/>
      </c>
      <c r="AX860" s="1780">
        <f>AX1332</f>
        <v/>
      </c>
      <c r="AY860" s="1779">
        <f>AY1332</f>
        <v/>
      </c>
      <c r="AZ860" s="1780">
        <f>AZ1332</f>
        <v/>
      </c>
      <c r="BA860" s="1780">
        <f>BA1332</f>
        <v/>
      </c>
      <c r="BB860" s="1780">
        <f>BB1332</f>
        <v/>
      </c>
      <c r="BC860" s="1780">
        <f>BC1332</f>
        <v/>
      </c>
      <c r="BD860" s="1779">
        <f>BD1332</f>
        <v/>
      </c>
      <c r="BE860" s="1780">
        <f>BE1332</f>
        <v/>
      </c>
      <c r="BF860" s="1780">
        <f>BF1332</f>
        <v/>
      </c>
      <c r="BG860" s="1780">
        <f>BG1332</f>
        <v/>
      </c>
      <c r="BH860" s="1780">
        <f>BH1332</f>
        <v/>
      </c>
      <c r="BI860" s="1779">
        <f>BI1332</f>
        <v/>
      </c>
      <c r="BJ860" s="1780">
        <f>BJ1332</f>
        <v/>
      </c>
      <c r="BK860" s="1780">
        <f>BK1332</f>
        <v/>
      </c>
      <c r="BL860" s="1780">
        <f>BL1332</f>
        <v/>
      </c>
      <c r="BM860" s="1780">
        <f>BM1332</f>
        <v/>
      </c>
      <c r="BN860" s="1779">
        <f>BN1332</f>
        <v/>
      </c>
      <c r="BO860" s="1780">
        <f>BO1332</f>
        <v/>
      </c>
      <c r="BP860" s="1780">
        <f>BP1332</f>
        <v/>
      </c>
      <c r="BQ860" s="1781">
        <f>BQ1332</f>
        <v/>
      </c>
      <c r="BR860" s="1780" t="n"/>
      <c r="BS860" s="1779" t="n"/>
      <c r="BT860" s="1780" t="n"/>
      <c r="BU860" s="1780" t="n"/>
      <c r="BV860" s="1780" t="n"/>
      <c r="BW860" s="1780" t="n"/>
      <c r="BX860" s="1779" t="n"/>
      <c r="BY860" s="1779" t="n"/>
      <c r="BZ860" s="1779" t="n"/>
      <c r="CA860" s="1779" t="n"/>
      <c r="CB860" s="1782" t="n"/>
    </row>
    <row r="861" hidden="1" outlineLevel="2" ht="15" customFormat="1" customHeight="1" s="1359">
      <c r="A861" s="1783" t="inlineStr">
        <is>
          <t>Forward quarterly guidance - applicable period, period</t>
        </is>
      </c>
      <c r="B861" s="1784" t="n"/>
      <c r="C861" s="1785" t="n"/>
      <c r="D861" s="1785" t="n"/>
      <c r="E861" s="1785" t="n"/>
      <c r="F861" s="1785" t="n"/>
      <c r="G861" s="1786" t="n"/>
      <c r="H861" s="1786" t="n"/>
      <c r="I861" s="1786" t="n"/>
      <c r="J861" s="1786" t="n"/>
      <c r="K861" s="1785" t="n"/>
      <c r="L861" s="1786" t="n"/>
      <c r="M861" s="1786" t="n"/>
      <c r="N861" s="1786" t="n"/>
      <c r="O861" s="1786" t="n"/>
      <c r="P861" s="1785" t="n"/>
      <c r="Q861" s="1786" t="n"/>
      <c r="R861" s="1786" t="n"/>
      <c r="S861" s="1786" t="n"/>
      <c r="T861" s="1786" t="n"/>
      <c r="U861" s="1785" t="n"/>
      <c r="V861" s="1786" t="n"/>
      <c r="W861" s="1786" t="n"/>
      <c r="X861" s="1786" t="n"/>
      <c r="Y861" s="1786" t="n"/>
      <c r="Z861" s="1785" t="n"/>
      <c r="AA861" s="1786" t="n"/>
      <c r="AB861" s="1786" t="n"/>
      <c r="AC861" s="1786">
        <f>AD5</f>
        <v/>
      </c>
      <c r="AD861" s="1786">
        <f>AF5</f>
        <v/>
      </c>
      <c r="AE861" s="1785">
        <f>AF5</f>
        <v/>
      </c>
      <c r="AF861" s="1786">
        <f>AG5</f>
        <v/>
      </c>
      <c r="AG861" s="1786">
        <f>AH5</f>
        <v/>
      </c>
      <c r="AH861" s="1786">
        <f>AI5</f>
        <v/>
      </c>
      <c r="AI861" s="1786">
        <f>AK5</f>
        <v/>
      </c>
      <c r="AJ861" s="1785">
        <f>AK5</f>
        <v/>
      </c>
      <c r="AK861" s="1786">
        <f>AL5</f>
        <v/>
      </c>
      <c r="AL861" s="1786">
        <f>AM5</f>
        <v/>
      </c>
      <c r="AM861" s="1786">
        <f>AN5</f>
        <v/>
      </c>
      <c r="AN861" s="1786">
        <f>AP5</f>
        <v/>
      </c>
      <c r="AO861" s="1785">
        <f>AP5</f>
        <v/>
      </c>
      <c r="AP861" s="1786">
        <f>AQ5</f>
        <v/>
      </c>
      <c r="AQ861" s="1786">
        <f>AR5</f>
        <v/>
      </c>
      <c r="AR861" s="1786">
        <f>AS5</f>
        <v/>
      </c>
      <c r="AS861" s="1786">
        <f>AU5</f>
        <v/>
      </c>
      <c r="AT861" s="1785">
        <f>AU5</f>
        <v/>
      </c>
      <c r="AU861" s="1786">
        <f>AV5</f>
        <v/>
      </c>
      <c r="AV861" s="1786">
        <f>AW5</f>
        <v/>
      </c>
      <c r="AW861" s="1786">
        <f>AX5</f>
        <v/>
      </c>
      <c r="AX861" s="1786">
        <f>AZ5</f>
        <v/>
      </c>
      <c r="AY861" s="1785">
        <f>AZ5</f>
        <v/>
      </c>
      <c r="AZ861" s="1786">
        <f>BA5</f>
        <v/>
      </c>
      <c r="BA861" s="1786">
        <f>BB5</f>
        <v/>
      </c>
      <c r="BB861" s="1786">
        <f>BC5</f>
        <v/>
      </c>
      <c r="BC861" s="1786">
        <f>BE5</f>
        <v/>
      </c>
      <c r="BD861" s="1785">
        <f>BE5</f>
        <v/>
      </c>
      <c r="BE861" s="1786">
        <f>BF5</f>
        <v/>
      </c>
      <c r="BF861" s="1786">
        <f>BG5</f>
        <v/>
      </c>
      <c r="BG861" s="1786">
        <f>BH5</f>
        <v/>
      </c>
      <c r="BH861" s="1786">
        <f>BJ5</f>
        <v/>
      </c>
      <c r="BI861" s="1785">
        <f>BJ5</f>
        <v/>
      </c>
      <c r="BJ861" s="1786">
        <f>BK5</f>
        <v/>
      </c>
      <c r="BK861" s="1786">
        <f>BL5</f>
        <v/>
      </c>
      <c r="BL861" s="1786">
        <f>BM5</f>
        <v/>
      </c>
      <c r="BM861" s="1786">
        <f>BO5</f>
        <v/>
      </c>
      <c r="BN861" s="1785">
        <f>BO5</f>
        <v/>
      </c>
      <c r="BO861" s="1786">
        <f>BP5</f>
        <v/>
      </c>
      <c r="BP861" s="1786">
        <f>BQ5</f>
        <v/>
      </c>
      <c r="BQ861" s="1787">
        <f>BR5</f>
        <v/>
      </c>
      <c r="BR861" s="1786" t="n"/>
      <c r="BS861" s="1785" t="n"/>
      <c r="BT861" s="1786" t="n"/>
      <c r="BU861" s="1786" t="n"/>
      <c r="BV861" s="1786" t="n"/>
      <c r="BW861" s="1786" t="n"/>
      <c r="BX861" s="1785" t="n"/>
      <c r="BY861" s="1785" t="n"/>
      <c r="BZ861" s="1785" t="n"/>
      <c r="CA861" s="1785" t="n"/>
      <c r="CB861" s="1788" t="n"/>
    </row>
    <row r="862" hidden="1" outlineLevel="3" ht="15" customFormat="1" customHeight="1" s="1359">
      <c r="A862" s="1719" t="inlineStr">
        <is>
          <t>Forward quarterly WAD Adjusted EPS guidance - low, $/share</t>
        </is>
      </c>
      <c r="B862" s="1512" t="n"/>
      <c r="C862" s="1723" t="n"/>
      <c r="D862" s="1723" t="n"/>
      <c r="E862" s="1723" t="n"/>
      <c r="F862" s="1723" t="n"/>
      <c r="G862" s="1721" t="n"/>
      <c r="H862" s="1721" t="n"/>
      <c r="I862" s="1721" t="n"/>
      <c r="J862" s="1721" t="n"/>
      <c r="K862" s="1723" t="n"/>
      <c r="L862" s="1721" t="n"/>
      <c r="M862" s="1721" t="n"/>
      <c r="N862" s="1721" t="n"/>
      <c r="O862" s="1721" t="n"/>
      <c r="P862" s="1723" t="n"/>
      <c r="Q862" s="1721" t="n"/>
      <c r="R862" s="1721" t="n"/>
      <c r="S862" s="1721" t="n"/>
      <c r="T862" s="1721" t="n"/>
      <c r="U862" s="1723" t="n"/>
      <c r="V862" s="1721" t="n"/>
      <c r="W862" s="1721" t="n"/>
      <c r="X862" s="1721" t="n"/>
      <c r="Y862" s="1721" t="n"/>
      <c r="Z862" s="1723" t="n"/>
      <c r="AA862" s="1721" t="n"/>
      <c r="AB862" s="1721" t="n"/>
      <c r="AC862" s="1721">
        <f>AC1340</f>
        <v/>
      </c>
      <c r="AD862" s="1721">
        <f>AD1340</f>
        <v/>
      </c>
      <c r="AE862" s="1723">
        <f>AE1340</f>
        <v/>
      </c>
      <c r="AF862" s="1721">
        <f>AF1340</f>
        <v/>
      </c>
      <c r="AG862" s="1721">
        <f>AG1340</f>
        <v/>
      </c>
      <c r="AH862" s="1721">
        <f>AH1340</f>
        <v/>
      </c>
      <c r="AI862" s="1721">
        <f>AI1340</f>
        <v/>
      </c>
      <c r="AJ862" s="1723">
        <f>AJ1340</f>
        <v/>
      </c>
      <c r="AK862" s="1721">
        <f>AK1340</f>
        <v/>
      </c>
      <c r="AL862" s="1721">
        <f>AL1340</f>
        <v/>
      </c>
      <c r="AM862" s="1721">
        <f>AM1340</f>
        <v/>
      </c>
      <c r="AN862" s="1721">
        <f>AN1340</f>
        <v/>
      </c>
      <c r="AO862" s="1723">
        <f>AO1340</f>
        <v/>
      </c>
      <c r="AP862" s="1721">
        <f>AP1340</f>
        <v/>
      </c>
      <c r="AQ862" s="1721">
        <f>AQ1340</f>
        <v/>
      </c>
      <c r="AR862" s="1721">
        <f>AR1340</f>
        <v/>
      </c>
      <c r="AS862" s="1721">
        <f>AS1340</f>
        <v/>
      </c>
      <c r="AT862" s="1723">
        <f>AT1340</f>
        <v/>
      </c>
      <c r="AU862" s="1721">
        <f>AU1340</f>
        <v/>
      </c>
      <c r="AV862" s="1721">
        <f>AV1340</f>
        <v/>
      </c>
      <c r="AW862" s="1721">
        <f>AW1340</f>
        <v/>
      </c>
      <c r="AX862" s="1721">
        <f>AX1340</f>
        <v/>
      </c>
      <c r="AY862" s="1723">
        <f>AY1340</f>
        <v/>
      </c>
      <c r="AZ862" s="1721">
        <f>AZ1340</f>
        <v/>
      </c>
      <c r="BA862" s="1721">
        <f>BA1340</f>
        <v/>
      </c>
      <c r="BB862" s="1721">
        <f>BB1340</f>
        <v/>
      </c>
      <c r="BC862" s="1721">
        <f>BC1340</f>
        <v/>
      </c>
      <c r="BD862" s="1723">
        <f>BD1340</f>
        <v/>
      </c>
      <c r="BE862" s="1721">
        <f>BE1340</f>
        <v/>
      </c>
      <c r="BF862" s="1721">
        <f>BF1340</f>
        <v/>
      </c>
      <c r="BG862" s="1721">
        <f>BG1340</f>
        <v/>
      </c>
      <c r="BH862" s="1721">
        <f>BH1340</f>
        <v/>
      </c>
      <c r="BI862" s="1723">
        <f>BI1340</f>
        <v/>
      </c>
      <c r="BJ862" s="1721">
        <f>BJ1340</f>
        <v/>
      </c>
      <c r="BK862" s="1721">
        <f>BK1340</f>
        <v/>
      </c>
      <c r="BL862" s="1721">
        <f>BL1340</f>
        <v/>
      </c>
      <c r="BM862" s="1721">
        <f>BM1340</f>
        <v/>
      </c>
      <c r="BN862" s="1723">
        <f>BN1340</f>
        <v/>
      </c>
      <c r="BO862" s="1721">
        <f>BO1340</f>
        <v/>
      </c>
      <c r="BP862" s="1721">
        <f>BP1340</f>
        <v/>
      </c>
      <c r="BQ862" s="1722">
        <f>BQ1340</f>
        <v/>
      </c>
      <c r="BR862" s="1721" t="n"/>
      <c r="BS862" s="1723" t="n"/>
      <c r="BT862" s="1721" t="n"/>
      <c r="BU862" s="1721" t="n"/>
      <c r="BV862" s="1721" t="n"/>
      <c r="BW862" s="1721" t="n"/>
      <c r="BX862" s="1723" t="n"/>
      <c r="BY862" s="1723" t="n"/>
      <c r="BZ862" s="1723" t="n"/>
      <c r="CA862" s="1723" t="n"/>
      <c r="CB862" s="1721" t="n"/>
    </row>
    <row r="863" hidden="1" outlineLevel="3" ht="15" customFormat="1" customHeight="1" s="1359">
      <c r="A863" s="1811" t="inlineStr">
        <is>
          <t>Forward quarterly WAD Adjusted EPS guidance - high, $/share</t>
        </is>
      </c>
      <c r="B863" s="1613" t="n"/>
      <c r="C863" s="1812" t="n"/>
      <c r="D863" s="1812" t="n"/>
      <c r="E863" s="1812" t="n"/>
      <c r="F863" s="1812" t="n"/>
      <c r="G863" s="1813" t="n"/>
      <c r="H863" s="1813" t="n"/>
      <c r="I863" s="1813" t="n"/>
      <c r="J863" s="1813" t="n"/>
      <c r="K863" s="1812" t="n"/>
      <c r="L863" s="1813" t="n"/>
      <c r="M863" s="1813" t="n"/>
      <c r="N863" s="1813" t="n"/>
      <c r="O863" s="1813" t="n"/>
      <c r="P863" s="1812" t="n"/>
      <c r="Q863" s="1813" t="n"/>
      <c r="R863" s="1813" t="n"/>
      <c r="S863" s="1813" t="n"/>
      <c r="T863" s="1813" t="n"/>
      <c r="U863" s="1812" t="n"/>
      <c r="V863" s="1813" t="n"/>
      <c r="W863" s="1813" t="n"/>
      <c r="X863" s="1813" t="n"/>
      <c r="Y863" s="1813" t="n"/>
      <c r="Z863" s="1812" t="n"/>
      <c r="AA863" s="1813" t="n"/>
      <c r="AB863" s="1813" t="n"/>
      <c r="AC863" s="1813">
        <f>AC1341</f>
        <v/>
      </c>
      <c r="AD863" s="1813">
        <f>AD1341</f>
        <v/>
      </c>
      <c r="AE863" s="1812">
        <f>AE1341</f>
        <v/>
      </c>
      <c r="AF863" s="1813">
        <f>AF1341</f>
        <v/>
      </c>
      <c r="AG863" s="1813">
        <f>AG1341</f>
        <v/>
      </c>
      <c r="AH863" s="1813">
        <f>AH1341</f>
        <v/>
      </c>
      <c r="AI863" s="1813">
        <f>AI1341</f>
        <v/>
      </c>
      <c r="AJ863" s="1812">
        <f>AJ1341</f>
        <v/>
      </c>
      <c r="AK863" s="1813">
        <f>AK1341</f>
        <v/>
      </c>
      <c r="AL863" s="1813">
        <f>AL1341</f>
        <v/>
      </c>
      <c r="AM863" s="1813">
        <f>AM1341</f>
        <v/>
      </c>
      <c r="AN863" s="1813">
        <f>AN1341</f>
        <v/>
      </c>
      <c r="AO863" s="1812">
        <f>AO1341</f>
        <v/>
      </c>
      <c r="AP863" s="1813">
        <f>AP1341</f>
        <v/>
      </c>
      <c r="AQ863" s="1813">
        <f>AQ1341</f>
        <v/>
      </c>
      <c r="AR863" s="1813">
        <f>AR1341</f>
        <v/>
      </c>
      <c r="AS863" s="1813">
        <f>AS1341</f>
        <v/>
      </c>
      <c r="AT863" s="1812">
        <f>AT1341</f>
        <v/>
      </c>
      <c r="AU863" s="1813">
        <f>AU1341</f>
        <v/>
      </c>
      <c r="AV863" s="1813">
        <f>AV1341</f>
        <v/>
      </c>
      <c r="AW863" s="1813">
        <f>AW1341</f>
        <v/>
      </c>
      <c r="AX863" s="1813">
        <f>AX1341</f>
        <v/>
      </c>
      <c r="AY863" s="1812">
        <f>AY1341</f>
        <v/>
      </c>
      <c r="AZ863" s="1813">
        <f>AZ1341</f>
        <v/>
      </c>
      <c r="BA863" s="1813">
        <f>BA1341</f>
        <v/>
      </c>
      <c r="BB863" s="1813">
        <f>BB1341</f>
        <v/>
      </c>
      <c r="BC863" s="1813">
        <f>BC1341</f>
        <v/>
      </c>
      <c r="BD863" s="1812">
        <f>BD1341</f>
        <v/>
      </c>
      <c r="BE863" s="1813">
        <f>BE1341</f>
        <v/>
      </c>
      <c r="BF863" s="1813">
        <f>BF1341</f>
        <v/>
      </c>
      <c r="BG863" s="1813">
        <f>BG1341</f>
        <v/>
      </c>
      <c r="BH863" s="1813">
        <f>BH1341</f>
        <v/>
      </c>
      <c r="BI863" s="1812">
        <f>BI1341</f>
        <v/>
      </c>
      <c r="BJ863" s="1813">
        <f>BJ1341</f>
        <v/>
      </c>
      <c r="BK863" s="1813">
        <f>BK1341</f>
        <v/>
      </c>
      <c r="BL863" s="1813">
        <f>BL1341</f>
        <v/>
      </c>
      <c r="BM863" s="1813">
        <f>BM1341</f>
        <v/>
      </c>
      <c r="BN863" s="1812">
        <f>BN1341</f>
        <v/>
      </c>
      <c r="BO863" s="1813">
        <f>BO1341</f>
        <v/>
      </c>
      <c r="BP863" s="1813">
        <f>BP1341</f>
        <v/>
      </c>
      <c r="BQ863" s="1814">
        <f>BQ1341</f>
        <v/>
      </c>
      <c r="BR863" s="1813" t="n"/>
      <c r="BS863" s="1812" t="n"/>
      <c r="BT863" s="1813" t="n"/>
      <c r="BU863" s="1813" t="n"/>
      <c r="BV863" s="1813" t="n"/>
      <c r="BW863" s="1813" t="n"/>
      <c r="BX863" s="1812" t="n"/>
      <c r="BY863" s="1812" t="n"/>
      <c r="BZ863" s="1812" t="n"/>
      <c r="CA863" s="1812" t="n"/>
      <c r="CB863" s="1721" t="n"/>
    </row>
    <row r="864" hidden="1" outlineLevel="2" collapsed="1" ht="15" customFormat="1" customHeight="1" s="1359">
      <c r="A864" s="1817" t="inlineStr">
        <is>
          <t>Forward quarterly WAD Adjusted EPS guidance - midpoint, $/share</t>
        </is>
      </c>
      <c r="B864" s="1517" t="n"/>
      <c r="C864" s="1690">
        <f>IFERROR(AVERAGE(C862,C863),"")</f>
        <v/>
      </c>
      <c r="D864" s="1690">
        <f>IFERROR(AVERAGE(D862,D863),"")</f>
        <v/>
      </c>
      <c r="E864" s="1690">
        <f>IFERROR(AVERAGE(E862,E863),"")</f>
        <v/>
      </c>
      <c r="F864" s="1690">
        <f>IFERROR(AVERAGE(F862,F863),"")</f>
        <v/>
      </c>
      <c r="G864" s="1689">
        <f>IFERROR(AVERAGE(G862,G863),"")</f>
        <v/>
      </c>
      <c r="H864" s="1689">
        <f>IFERROR(AVERAGE(H862,H863),"")</f>
        <v/>
      </c>
      <c r="I864" s="1689">
        <f>IFERROR(AVERAGE(I862,I863),"")</f>
        <v/>
      </c>
      <c r="J864" s="1689">
        <f>IFERROR(AVERAGE(J862,J863),"")</f>
        <v/>
      </c>
      <c r="K864" s="1690">
        <f>IFERROR(AVERAGE(K862,K863),"")</f>
        <v/>
      </c>
      <c r="L864" s="1689">
        <f>IFERROR(AVERAGE(L862,L863),"")</f>
        <v/>
      </c>
      <c r="M864" s="1689">
        <f>IFERROR(AVERAGE(M862,M863),"")</f>
        <v/>
      </c>
      <c r="N864" s="1689">
        <f>IFERROR(AVERAGE(N862,N863),"")</f>
        <v/>
      </c>
      <c r="O864" s="1689">
        <f>IFERROR(AVERAGE(O862,O863),"")</f>
        <v/>
      </c>
      <c r="P864" s="1690">
        <f>IFERROR(AVERAGE(P862,P863),"")</f>
        <v/>
      </c>
      <c r="Q864" s="1689">
        <f>IFERROR(AVERAGE(Q862,Q863),"")</f>
        <v/>
      </c>
      <c r="R864" s="1689">
        <f>IFERROR(AVERAGE(R862,R863),"")</f>
        <v/>
      </c>
      <c r="S864" s="1689">
        <f>IFERROR(AVERAGE(S862,S863),"")</f>
        <v/>
      </c>
      <c r="T864" s="1689">
        <f>IFERROR(AVERAGE(T862,T863),"")</f>
        <v/>
      </c>
      <c r="U864" s="1690">
        <f>IFERROR(AVERAGE(U862,U863),"")</f>
        <v/>
      </c>
      <c r="V864" s="1689">
        <f>IFERROR(AVERAGE(V862,V863),"")</f>
        <v/>
      </c>
      <c r="W864" s="1689">
        <f>IFERROR(AVERAGE(W862,W863),"")</f>
        <v/>
      </c>
      <c r="X864" s="1689">
        <f>IFERROR(AVERAGE(X862,X863),"")</f>
        <v/>
      </c>
      <c r="Y864" s="1689">
        <f>IFERROR(AVERAGE(Y862,Y863),"")</f>
        <v/>
      </c>
      <c r="Z864" s="1690">
        <f>IFERROR(AVERAGE(Z862,Z863),"")</f>
        <v/>
      </c>
      <c r="AA864" s="1689" t="n"/>
      <c r="AB864" s="1689" t="n"/>
      <c r="AC864" s="1689">
        <f>IFERROR(AVERAGE(AC862,AC863),"")</f>
        <v/>
      </c>
      <c r="AD864" s="1689">
        <f>IFERROR(AVERAGE(AD862,AD863),"")</f>
        <v/>
      </c>
      <c r="AE864" s="1690">
        <f>IFERROR(AVERAGE(AE862,AE863),"")</f>
        <v/>
      </c>
      <c r="AF864" s="1689">
        <f>IFERROR(AVERAGE(AF862,AF863),"")</f>
        <v/>
      </c>
      <c r="AG864" s="1689">
        <f>IFERROR(AVERAGE(AG862,AG863),"")</f>
        <v/>
      </c>
      <c r="AH864" s="1689">
        <f>IFERROR(AVERAGE(AH862,AH863),"")</f>
        <v/>
      </c>
      <c r="AI864" s="1689">
        <f>IFERROR(AVERAGE(AI862,AI863),"")</f>
        <v/>
      </c>
      <c r="AJ864" s="1690">
        <f>IFERROR(AVERAGE(AJ862,AJ863),"")</f>
        <v/>
      </c>
      <c r="AK864" s="1689">
        <f>IFERROR(AVERAGE(AK862,AK863),"")</f>
        <v/>
      </c>
      <c r="AL864" s="1689">
        <f>IFERROR(AVERAGE(AL862,AL863),"")</f>
        <v/>
      </c>
      <c r="AM864" s="1689">
        <f>IFERROR(AVERAGE(AM862,AM863),"")</f>
        <v/>
      </c>
      <c r="AN864" s="1689">
        <f>IFERROR(AVERAGE(AN862,AN863),"")</f>
        <v/>
      </c>
      <c r="AO864" s="1690">
        <f>IFERROR(AVERAGE(AO862,AO863),"")</f>
        <v/>
      </c>
      <c r="AP864" s="1689">
        <f>IFERROR(AVERAGE(AP862,AP863),"")</f>
        <v/>
      </c>
      <c r="AQ864" s="1689">
        <f>IFERROR(AVERAGE(AQ862,AQ863),"")</f>
        <v/>
      </c>
      <c r="AR864" s="1689">
        <f>IFERROR(AVERAGE(AR862,AR863),"")</f>
        <v/>
      </c>
      <c r="AS864" s="1689">
        <f>IFERROR(AVERAGE(AS862,AS863),"")</f>
        <v/>
      </c>
      <c r="AT864" s="1690">
        <f>IFERROR(AVERAGE(AT862,AT863),"")</f>
        <v/>
      </c>
      <c r="AU864" s="1689">
        <f>IFERROR(AVERAGE(AU862,AU863),"")</f>
        <v/>
      </c>
      <c r="AV864" s="1689">
        <f>IFERROR(AVERAGE(AV862,AV863),"")</f>
        <v/>
      </c>
      <c r="AW864" s="1689">
        <f>IFERROR(AVERAGE(AW862,AW863),"")</f>
        <v/>
      </c>
      <c r="AX864" s="1689">
        <f>IFERROR(AVERAGE(AX862,AX863),"")</f>
        <v/>
      </c>
      <c r="AY864" s="1690">
        <f>IFERROR(AVERAGE(AY862,AY863),"")</f>
        <v/>
      </c>
      <c r="AZ864" s="1689">
        <f>IFERROR(AVERAGE(AZ862,AZ863),"")</f>
        <v/>
      </c>
      <c r="BA864" s="1689">
        <f>IFERROR(AVERAGE(BA862,BA863),"")</f>
        <v/>
      </c>
      <c r="BB864" s="1689">
        <f>IFERROR(AVERAGE(BB862,BB863),"")</f>
        <v/>
      </c>
      <c r="BC864" s="1689">
        <f>IFERROR(AVERAGE(BC862,BC863),"")</f>
        <v/>
      </c>
      <c r="BD864" s="1690">
        <f>IFERROR(AVERAGE(BD862,BD863),"")</f>
        <v/>
      </c>
      <c r="BE864" s="1689">
        <f>IFERROR(AVERAGE(BE862,BE863),"")</f>
        <v/>
      </c>
      <c r="BF864" s="1689">
        <f>IFERROR(AVERAGE(BF862,BF863),"")</f>
        <v/>
      </c>
      <c r="BG864" s="1689">
        <f>IFERROR(AVERAGE(BG862,BG863),"")</f>
        <v/>
      </c>
      <c r="BH864" s="1689">
        <f>IFERROR(AVERAGE(BH862,BH863),"")</f>
        <v/>
      </c>
      <c r="BI864" s="1690">
        <f>IFERROR(AVERAGE(BI862,BI863),"")</f>
        <v/>
      </c>
      <c r="BJ864" s="1689">
        <f>IFERROR(AVERAGE(BJ862,BJ863),"")</f>
        <v/>
      </c>
      <c r="BK864" s="1689">
        <f>IFERROR(AVERAGE(BK862,BK863),"")</f>
        <v/>
      </c>
      <c r="BL864" s="1689">
        <f>IFERROR(AVERAGE(BL862,BL863),"")</f>
        <v/>
      </c>
      <c r="BM864" s="1689">
        <f>IFERROR(AVERAGE(BM862,BM863),"")</f>
        <v/>
      </c>
      <c r="BN864" s="1690">
        <f>IFERROR(AVERAGE(BN862,BN863),"")</f>
        <v/>
      </c>
      <c r="BO864" s="1689">
        <f>IFERROR(AVERAGE(BO862,BO863),"")</f>
        <v/>
      </c>
      <c r="BP864" s="1689">
        <f>IFERROR(AVERAGE(BP862,BP863),"")</f>
        <v/>
      </c>
      <c r="BQ864" s="1691">
        <f>IFERROR(AVERAGE(BQ862,BQ863),"")</f>
        <v/>
      </c>
      <c r="BR864" s="1689" t="n"/>
      <c r="BS864" s="1690" t="n"/>
      <c r="BT864" s="1689" t="n"/>
      <c r="BU864" s="1689" t="n"/>
      <c r="BV864" s="1689" t="n"/>
      <c r="BW864" s="1689" t="n"/>
      <c r="BX864" s="1690" t="n"/>
      <c r="BY864" s="1690" t="n"/>
      <c r="BZ864" s="1690" t="n"/>
      <c r="CA864" s="1690" t="n"/>
      <c r="CB864" s="1689" t="n"/>
    </row>
    <row r="865" hidden="1" outlineLevel="2" ht="15" customFormat="1" customHeight="1" s="1359">
      <c r="A865" s="1719" t="inlineStr">
        <is>
          <t>Forward quarterly WAD Adjusted EPS guidance variance, $/share</t>
        </is>
      </c>
      <c r="B865" s="1512" t="n"/>
      <c r="C865" s="1723" t="n"/>
      <c r="D865" s="1723" t="n"/>
      <c r="E865" s="1723" t="n"/>
      <c r="F865" s="1723" t="n"/>
      <c r="G865" s="1721" t="n"/>
      <c r="H865" s="1721" t="n"/>
      <c r="I865" s="1721" t="n"/>
      <c r="J865" s="1721" t="n"/>
      <c r="K865" s="1723" t="n"/>
      <c r="L865" s="1721" t="n"/>
      <c r="M865" s="1721" t="n"/>
      <c r="N865" s="1721" t="n"/>
      <c r="O865" s="1721" t="n"/>
      <c r="P865" s="1723" t="n"/>
      <c r="Q865" s="1721" t="n"/>
      <c r="R865" s="1721" t="n"/>
      <c r="S865" s="1721" t="n"/>
      <c r="T865" s="1721" t="n"/>
      <c r="U865" s="1723" t="n"/>
      <c r="V865" s="1721" t="n"/>
      <c r="W865" s="1721" t="n"/>
      <c r="X865" s="1721" t="n"/>
      <c r="Y865" s="1721" t="n"/>
      <c r="Z865" s="1723" t="n"/>
      <c r="AA865" s="1721" t="n"/>
      <c r="AB865" s="1721" t="n"/>
      <c r="AC865" s="1721">
        <f>IFERROR(ABS(AC863-AC862),"")</f>
        <v/>
      </c>
      <c r="AD865" s="1721">
        <f>IFERROR(ABS(AD863-AD862),"")</f>
        <v/>
      </c>
      <c r="AE865" s="1723">
        <f>IFERROR(ABS(AE863-AE862),"")</f>
        <v/>
      </c>
      <c r="AF865" s="1721">
        <f>IFERROR(ABS(AF863-AF862),"")</f>
        <v/>
      </c>
      <c r="AG865" s="1721">
        <f>IFERROR(ABS(AG863-AG862),"")</f>
        <v/>
      </c>
      <c r="AH865" s="1721">
        <f>IFERROR(ABS(AH863-AH862),"")</f>
        <v/>
      </c>
      <c r="AI865" s="1721">
        <f>IFERROR(ABS(AI863-AI862),"")</f>
        <v/>
      </c>
      <c r="AJ865" s="1723">
        <f>IFERROR(ABS(AJ863-AJ862),"")</f>
        <v/>
      </c>
      <c r="AK865" s="1721">
        <f>IFERROR(ABS(AK863-AK862),"")</f>
        <v/>
      </c>
      <c r="AL865" s="1721">
        <f>IFERROR(ABS(AL863-AL862),"")</f>
        <v/>
      </c>
      <c r="AM865" s="1721">
        <f>IFERROR(ABS(AM863-AM862),"")</f>
        <v/>
      </c>
      <c r="AN865" s="1721">
        <f>IFERROR(ABS(AN863-AN862),"")</f>
        <v/>
      </c>
      <c r="AO865" s="1723">
        <f>IFERROR(ABS(AO863-AO862),"")</f>
        <v/>
      </c>
      <c r="AP865" s="1721">
        <f>IFERROR(ABS(AP863-AP862),"")</f>
        <v/>
      </c>
      <c r="AQ865" s="1721">
        <f>IFERROR(ABS(AQ863-AQ862),"")</f>
        <v/>
      </c>
      <c r="AR865" s="1721">
        <f>IFERROR(ABS(AR863-AR862),"")</f>
        <v/>
      </c>
      <c r="AS865" s="1721">
        <f>IFERROR(ABS(AS863-AS862),"")</f>
        <v/>
      </c>
      <c r="AT865" s="1723">
        <f>IFERROR(ABS(AT863-AT862),"")</f>
        <v/>
      </c>
      <c r="AU865" s="1721">
        <f>IFERROR(ABS(AU863-AU862),"")</f>
        <v/>
      </c>
      <c r="AV865" s="1721">
        <f>IFERROR(ABS(AV863-AV862),"")</f>
        <v/>
      </c>
      <c r="AW865" s="1721">
        <f>IFERROR(ABS(AW863-AW862),"")</f>
        <v/>
      </c>
      <c r="AX865" s="1721">
        <f>IFERROR(ABS(AX863-AX862),"")</f>
        <v/>
      </c>
      <c r="AY865" s="1723">
        <f>IFERROR(ABS(AY863-AY862),"")</f>
        <v/>
      </c>
      <c r="AZ865" s="1721">
        <f>IFERROR(ABS(AZ863-AZ862),"")</f>
        <v/>
      </c>
      <c r="BA865" s="1721">
        <f>IFERROR(ABS(BA863-BA862),"")</f>
        <v/>
      </c>
      <c r="BB865" s="1721">
        <f>IFERROR(ABS(BB863-BB862),"")</f>
        <v/>
      </c>
      <c r="BC865" s="1721">
        <f>IFERROR(ABS(BC863-BC862),"")</f>
        <v/>
      </c>
      <c r="BD865" s="1723">
        <f>IFERROR(ABS(BD863-BD862),"")</f>
        <v/>
      </c>
      <c r="BE865" s="1721">
        <f>IFERROR(ABS(BE863-BE862),"")</f>
        <v/>
      </c>
      <c r="BF865" s="1721">
        <f>IFERROR(ABS(BF863-BF862),"")</f>
        <v/>
      </c>
      <c r="BG865" s="1721">
        <f>IFERROR(ABS(BG863-BG862),"")</f>
        <v/>
      </c>
      <c r="BH865" s="1721">
        <f>IFERROR(ABS(BH863-BH862),"")</f>
        <v/>
      </c>
      <c r="BI865" s="1723">
        <f>IFERROR(ABS(BI863-BI862),"")</f>
        <v/>
      </c>
      <c r="BJ865" s="1721">
        <f>IFERROR(ABS(BJ863-BJ862),"")</f>
        <v/>
      </c>
      <c r="BK865" s="1721">
        <f>IFERROR(ABS(BK863-BK862),"")</f>
        <v/>
      </c>
      <c r="BL865" s="1721">
        <f>IFERROR(ABS(BL863-BL862),"")</f>
        <v/>
      </c>
      <c r="BM865" s="1721">
        <f>IFERROR(ABS(BM863-BM862),"")</f>
        <v/>
      </c>
      <c r="BN865" s="1723">
        <f>IFERROR(ABS(BN863-BN862),"")</f>
        <v/>
      </c>
      <c r="BO865" s="1721">
        <f>IFERROR(ABS(BO863-BO862),"")</f>
        <v/>
      </c>
      <c r="BP865" s="1721">
        <f>IFERROR(ABS(BP863-BP862),"")</f>
        <v/>
      </c>
      <c r="BQ865" s="1722">
        <f>IFERROR(ABS(BQ863-BQ862),"")</f>
        <v/>
      </c>
      <c r="BR865" s="1721" t="n"/>
      <c r="BS865" s="1723" t="n"/>
      <c r="BT865" s="1721" t="n"/>
      <c r="BU865" s="1721" t="n"/>
      <c r="BV865" s="1721" t="n"/>
      <c r="BW865" s="1721" t="n"/>
      <c r="BX865" s="1723" t="n"/>
      <c r="BY865" s="1723" t="n"/>
      <c r="BZ865" s="1723" t="n"/>
      <c r="CA865" s="1723" t="n"/>
      <c r="CB865" s="1721" t="n"/>
    </row>
    <row r="866" hidden="1" outlineLevel="2" ht="15" customFormat="1" customHeight="1" s="1359">
      <c r="A866" s="1486" t="inlineStr">
        <is>
          <t>Forward quarterly WAD Adjusted EPS guidance variance (+/-), %</t>
        </is>
      </c>
      <c r="B866" s="1512" t="n"/>
      <c r="C866" s="1463">
        <f>IFERROR(ABS((C863-C864)/C864),"")</f>
        <v/>
      </c>
      <c r="D866" s="1463">
        <f>IFERROR(ABS((D863-D864)/D864),"")</f>
        <v/>
      </c>
      <c r="E866" s="1463">
        <f>IFERROR(ABS((E863-E864)/E864),"")</f>
        <v/>
      </c>
      <c r="F866" s="1463">
        <f>IFERROR(ABS((F863-F864)/F864),"")</f>
        <v/>
      </c>
      <c r="G866" s="1466">
        <f>IFERROR(ABS((G863-G864)/G864),"")</f>
        <v/>
      </c>
      <c r="H866" s="1466">
        <f>IFERROR(ABS((H863-H864)/H864),"")</f>
        <v/>
      </c>
      <c r="I866" s="1466">
        <f>IFERROR(ABS((I863-I864)/I864),"")</f>
        <v/>
      </c>
      <c r="J866" s="1466">
        <f>IFERROR(ABS((J863-J864)/J864),"")</f>
        <v/>
      </c>
      <c r="K866" s="1463">
        <f>IFERROR(ABS((K863-K864)/K864),"")</f>
        <v/>
      </c>
      <c r="L866" s="1466">
        <f>IFERROR(ABS((L863-L864)/L864),"")</f>
        <v/>
      </c>
      <c r="M866" s="1466">
        <f>IFERROR(ABS((M863-M864)/M864),"")</f>
        <v/>
      </c>
      <c r="N866" s="1466">
        <f>IFERROR(ABS((N863-N864)/N864),"")</f>
        <v/>
      </c>
      <c r="O866" s="1466">
        <f>IFERROR(ABS((O863-O864)/O864),"")</f>
        <v/>
      </c>
      <c r="P866" s="1463">
        <f>IFERROR(ABS((P863-P864)/P864),"")</f>
        <v/>
      </c>
      <c r="Q866" s="1466">
        <f>IFERROR(ABS((Q863-Q864)/Q864),"")</f>
        <v/>
      </c>
      <c r="R866" s="1466">
        <f>IFERROR(ABS((R863-R864)/R864),"")</f>
        <v/>
      </c>
      <c r="S866" s="1466">
        <f>IFERROR(ABS((S863-S864)/S864),"")</f>
        <v/>
      </c>
      <c r="T866" s="1466">
        <f>IFERROR(ABS((T863-T864)/T864),"")</f>
        <v/>
      </c>
      <c r="U866" s="1463">
        <f>IFERROR(ABS((U863-U864)/U864),"")</f>
        <v/>
      </c>
      <c r="V866" s="1466">
        <f>IFERROR(ABS((V863-V864)/V864),"")</f>
        <v/>
      </c>
      <c r="W866" s="1466">
        <f>IFERROR(ABS((W863-W864)/W864),"")</f>
        <v/>
      </c>
      <c r="X866" s="1466">
        <f>IFERROR(ABS((X863-X864)/X864),"")</f>
        <v/>
      </c>
      <c r="Y866" s="1466">
        <f>IFERROR(ABS((Y863-Y864)/Y864),"")</f>
        <v/>
      </c>
      <c r="Z866" s="1463">
        <f>IFERROR(ABS((Z863-Z864)/Z864),"")</f>
        <v/>
      </c>
      <c r="AA866" s="1466">
        <f>IFERROR(ABS((AA863-AA864)/AA864),"")</f>
        <v/>
      </c>
      <c r="AB866" s="1466">
        <f>IFERROR(ABS((AB863-AB864)/AB864),"")</f>
        <v/>
      </c>
      <c r="AC866" s="1466">
        <f>IFERROR(ABS((AC863-AC864)/AC864),"")</f>
        <v/>
      </c>
      <c r="AD866" s="1466">
        <f>IFERROR(ABS((AD863-AD864)/AD864),"")</f>
        <v/>
      </c>
      <c r="AE866" s="1463">
        <f>IFERROR(ABS((AE863-AE864)/AE864),"")</f>
        <v/>
      </c>
      <c r="AF866" s="1466">
        <f>IFERROR(ABS((AF863-AF864)/AF864),"")</f>
        <v/>
      </c>
      <c r="AG866" s="1466">
        <f>IFERROR(ABS((AG863-AG864)/AG864),"")</f>
        <v/>
      </c>
      <c r="AH866" s="1466">
        <f>IFERROR(ABS((AH863-AH864)/AH864),"")</f>
        <v/>
      </c>
      <c r="AI866" s="1466">
        <f>IFERROR(ABS((AI863-AI864)/AI864),"")</f>
        <v/>
      </c>
      <c r="AJ866" s="1463">
        <f>IFERROR(ABS((AJ863-AJ864)/AJ864),"")</f>
        <v/>
      </c>
      <c r="AK866" s="1466">
        <f>IFERROR(ABS((AK863-AK864)/AK864),"")</f>
        <v/>
      </c>
      <c r="AL866" s="1466">
        <f>IFERROR(ABS((AL863-AL864)/AL864),"")</f>
        <v/>
      </c>
      <c r="AM866" s="1466">
        <f>IFERROR(ABS((AM863-AM864)/AM864),"")</f>
        <v/>
      </c>
      <c r="AN866" s="1466">
        <f>IFERROR(ABS((AN863-AN864)/AN864),"")</f>
        <v/>
      </c>
      <c r="AO866" s="1463">
        <f>IFERROR(ABS((AO863-AO864)/AO864),"")</f>
        <v/>
      </c>
      <c r="AP866" s="1466">
        <f>IFERROR(ABS((AP863-AP864)/AP864),"")</f>
        <v/>
      </c>
      <c r="AQ866" s="1466">
        <f>IFERROR(ABS((AQ863-AQ864)/AQ864),"")</f>
        <v/>
      </c>
      <c r="AR866" s="1466">
        <f>IFERROR(ABS((AR863-AR864)/AR864),"")</f>
        <v/>
      </c>
      <c r="AS866" s="1466">
        <f>IFERROR(ABS((AS863-AS864)/AS864),"")</f>
        <v/>
      </c>
      <c r="AT866" s="1463">
        <f>IFERROR(ABS((AT863-AT864)/AT864),"")</f>
        <v/>
      </c>
      <c r="AU866" s="1466">
        <f>IFERROR(ABS((AU863-AU864)/AU864),"")</f>
        <v/>
      </c>
      <c r="AV866" s="1466">
        <f>IFERROR(ABS((AV863-AV864)/AV864),"")</f>
        <v/>
      </c>
      <c r="AW866" s="1466">
        <f>IFERROR(ABS((AW863-AW864)/AW864),"")</f>
        <v/>
      </c>
      <c r="AX866" s="1466">
        <f>IFERROR(ABS((AX863-AX864)/AX864),"")</f>
        <v/>
      </c>
      <c r="AY866" s="1463">
        <f>IFERROR(ABS((AY863-AY864)/AY864),"")</f>
        <v/>
      </c>
      <c r="AZ866" s="1466">
        <f>IFERROR(ABS((AZ863-AZ864)/AZ864),"")</f>
        <v/>
      </c>
      <c r="BA866" s="1466">
        <f>IFERROR(ABS((BA863-BA864)/BA864),"")</f>
        <v/>
      </c>
      <c r="BB866" s="1466">
        <f>IFERROR(ABS((BB863-BB864)/BB864),"")</f>
        <v/>
      </c>
      <c r="BC866" s="1466">
        <f>IFERROR(ABS((BC863-BC864)/BC864),"")</f>
        <v/>
      </c>
      <c r="BD866" s="1463">
        <f>IFERROR(ABS((BD863-BD864)/BD864),"")</f>
        <v/>
      </c>
      <c r="BE866" s="1466">
        <f>IFERROR(ABS((BE863-BE864)/BE864),"")</f>
        <v/>
      </c>
      <c r="BF866" s="1466">
        <f>IFERROR(ABS((BF863-BF864)/BF864),"")</f>
        <v/>
      </c>
      <c r="BG866" s="1466">
        <f>IFERROR(ABS((BG863-BG864)/BG864),"")</f>
        <v/>
      </c>
      <c r="BH866" s="1466">
        <f>IFERROR(ABS((BH863-BH864)/BH864),"")</f>
        <v/>
      </c>
      <c r="BI866" s="1463">
        <f>IFERROR(ABS((BI863-BI864)/BI864),"")</f>
        <v/>
      </c>
      <c r="BJ866" s="1466">
        <f>IFERROR(ABS((BJ863-BJ864)/BJ864),"")</f>
        <v/>
      </c>
      <c r="BK866" s="1466">
        <f>IFERROR(ABS((BK863-BK864)/BK864),"")</f>
        <v/>
      </c>
      <c r="BL866" s="1466">
        <f>IFERROR(ABS((BL863-BL864)/BL864),"")</f>
        <v/>
      </c>
      <c r="BM866" s="1466">
        <f>IFERROR(ABS((BM863-BM864)/BM864),"")</f>
        <v/>
      </c>
      <c r="BN866" s="1463">
        <f>IFERROR(ABS((BN863-BN864)/BN864),"")</f>
        <v/>
      </c>
      <c r="BO866" s="1466">
        <f>IFERROR(ABS((BO863-BO864)/BO864),"")</f>
        <v/>
      </c>
      <c r="BP866" s="1466">
        <f>IFERROR(ABS((BP863-BP864)/BP864),"")</f>
        <v/>
      </c>
      <c r="BQ866" s="1491">
        <f>IFERROR(ABS((BQ863-BQ864)/BQ864),"")</f>
        <v/>
      </c>
      <c r="BR866" s="1466" t="n"/>
      <c r="BS866" s="1463" t="n"/>
      <c r="BT866" s="1466" t="n"/>
      <c r="BU866" s="1466" t="n"/>
      <c r="BV866" s="1466" t="n"/>
      <c r="BW866" s="1466" t="n"/>
      <c r="BX866" s="1463" t="n"/>
      <c r="BY866" s="1463" t="n"/>
      <c r="BZ866" s="1463" t="n"/>
      <c r="CA866" s="1463" t="n"/>
      <c r="CB866" s="1466" t="n"/>
    </row>
    <row r="867" hidden="1" outlineLevel="3" ht="15" customFormat="1" customHeight="1" s="1359">
      <c r="A867" s="1476" t="inlineStr">
        <is>
          <t>Forward quarterly guided Q/Q WAD Adjusted EPS growth - low, %</t>
        </is>
      </c>
      <c r="B867" s="1590" t="n"/>
      <c r="C867" s="1382" t="n"/>
      <c r="D867" s="1382" t="n"/>
      <c r="E867" s="1382" t="n"/>
      <c r="F867" s="1382" t="n"/>
      <c r="G867" s="1384" t="n"/>
      <c r="H867" s="1384" t="n"/>
      <c r="I867" s="1384" t="n"/>
      <c r="J867" s="1384" t="n"/>
      <c r="K867" s="1382" t="n"/>
      <c r="L867" s="1384" t="n"/>
      <c r="M867" s="1384" t="n"/>
      <c r="N867" s="1384" t="n"/>
      <c r="O867" s="1384" t="n"/>
      <c r="P867" s="1382" t="n"/>
      <c r="Q867" s="1384" t="n"/>
      <c r="R867" s="1384" t="n"/>
      <c r="S867" s="1384" t="n"/>
      <c r="T867" s="1384" t="n"/>
      <c r="U867" s="1382" t="n"/>
      <c r="V867" s="1384" t="n"/>
      <c r="W867" s="1384" t="n"/>
      <c r="X867" s="1384" t="n"/>
      <c r="Y867" s="1384" t="n"/>
      <c r="Z867" s="1382" t="n"/>
      <c r="AA867" s="1384" t="n"/>
      <c r="AB867" s="1384" t="n"/>
      <c r="AC867" s="1384">
        <f>AC862/AC849-1</f>
        <v/>
      </c>
      <c r="AD867" s="1384">
        <f>AD862/AD849-1</f>
        <v/>
      </c>
      <c r="AE867" s="1382">
        <f>AE862/AD849-1</f>
        <v/>
      </c>
      <c r="AF867" s="1384">
        <f>AF862/AF849-1</f>
        <v/>
      </c>
      <c r="AG867" s="1384">
        <f>AG862/AG849-1</f>
        <v/>
      </c>
      <c r="AH867" s="1384">
        <f>AH862/AH849-1</f>
        <v/>
      </c>
      <c r="AI867" s="1384">
        <f>AI862/AI849-1</f>
        <v/>
      </c>
      <c r="AJ867" s="1382">
        <f>AJ862/AI849-1</f>
        <v/>
      </c>
      <c r="AK867" s="1384">
        <f>AK862/AK849-1</f>
        <v/>
      </c>
      <c r="AL867" s="1384">
        <f>AL862/AL849-1</f>
        <v/>
      </c>
      <c r="AM867" s="1384">
        <f>AM862/AM849-1</f>
        <v/>
      </c>
      <c r="AN867" s="1384">
        <f>AN862/AN849-1</f>
        <v/>
      </c>
      <c r="AO867" s="1382">
        <f>AO862/AN849-1</f>
        <v/>
      </c>
      <c r="AP867" s="1384">
        <f>AP862/AP849-1</f>
        <v/>
      </c>
      <c r="AQ867" s="1384">
        <f>AQ862/AQ849-1</f>
        <v/>
      </c>
      <c r="AR867" s="1384">
        <f>AR862/AR849-1</f>
        <v/>
      </c>
      <c r="AS867" s="1384">
        <f>AS862/AS849-1</f>
        <v/>
      </c>
      <c r="AT867" s="1382">
        <f>AT862/AS849-1</f>
        <v/>
      </c>
      <c r="AU867" s="1384">
        <f>AU862/AU849-1</f>
        <v/>
      </c>
      <c r="AV867" s="1384">
        <f>AV862/AV849-1</f>
        <v/>
      </c>
      <c r="AW867" s="1384">
        <f>AW862/AW849-1</f>
        <v/>
      </c>
      <c r="AX867" s="1384">
        <f>AX862/AX849-1</f>
        <v/>
      </c>
      <c r="AY867" s="1382">
        <f>AY862/AX849-1</f>
        <v/>
      </c>
      <c r="AZ867" s="1384">
        <f>AZ862/AZ849-1</f>
        <v/>
      </c>
      <c r="BA867" s="1384">
        <f>BA862/BA849-1</f>
        <v/>
      </c>
      <c r="BB867" s="1384">
        <f>BB862/BB849-1</f>
        <v/>
      </c>
      <c r="BC867" s="1384">
        <f>BC862/BC849-1</f>
        <v/>
      </c>
      <c r="BD867" s="1382">
        <f>BD862/BC849-1</f>
        <v/>
      </c>
      <c r="BE867" s="1384">
        <f>BE862/BE849-1</f>
        <v/>
      </c>
      <c r="BF867" s="1384">
        <f>BF862/BF849-1</f>
        <v/>
      </c>
      <c r="BG867" s="1384">
        <f>BG862/BG849-1</f>
        <v/>
      </c>
      <c r="BH867" s="1384">
        <f>BH862/BH849-1</f>
        <v/>
      </c>
      <c r="BI867" s="1382">
        <f>BI862/BH849-1</f>
        <v/>
      </c>
      <c r="BJ867" s="1384">
        <f>BJ862/BJ849-1</f>
        <v/>
      </c>
      <c r="BK867" s="1384">
        <f>BK862/BK849-1</f>
        <v/>
      </c>
      <c r="BL867" s="1384">
        <f>BL862/BL849-1</f>
        <v/>
      </c>
      <c r="BM867" s="1384">
        <f>BM862/BM849-1</f>
        <v/>
      </c>
      <c r="BN867" s="1382">
        <f>BN862/BM849-1</f>
        <v/>
      </c>
      <c r="BO867" s="1384">
        <f>BO862/BO849-1</f>
        <v/>
      </c>
      <c r="BP867" s="1384">
        <f>BP862/BP849-1</f>
        <v/>
      </c>
      <c r="BQ867" s="1386">
        <f>BQ862/BQ849-1</f>
        <v/>
      </c>
      <c r="BR867" s="1384" t="n"/>
      <c r="BS867" s="1382" t="n"/>
      <c r="BT867" s="1384" t="n"/>
      <c r="BU867" s="1384" t="n"/>
      <c r="BV867" s="1384" t="n"/>
      <c r="BW867" s="1384" t="n"/>
      <c r="BX867" s="1382" t="n"/>
      <c r="BY867" s="1382" t="n"/>
      <c r="BZ867" s="1382" t="n"/>
      <c r="CA867" s="1382" t="n"/>
      <c r="CB867" s="1384" t="n"/>
    </row>
    <row r="868" hidden="1" outlineLevel="3" ht="15" customFormat="1" customHeight="1" s="1359">
      <c r="A868" s="1790" t="inlineStr">
        <is>
          <t>Forward quarterly guided Q/Q WAD Adjusted EPS growth - high, %</t>
        </is>
      </c>
      <c r="B868" s="1774" t="n"/>
      <c r="C868" s="1775" t="n"/>
      <c r="D868" s="1775" t="n"/>
      <c r="E868" s="1775" t="n"/>
      <c r="F868" s="1775" t="n"/>
      <c r="G868" s="1776" t="n"/>
      <c r="H868" s="1776" t="n"/>
      <c r="I868" s="1776" t="n"/>
      <c r="J868" s="1776" t="n"/>
      <c r="K868" s="1775" t="n"/>
      <c r="L868" s="1776" t="n"/>
      <c r="M868" s="1776" t="n"/>
      <c r="N868" s="1776" t="n"/>
      <c r="O868" s="1776" t="n"/>
      <c r="P868" s="1775" t="n"/>
      <c r="Q868" s="1776" t="n"/>
      <c r="R868" s="1776" t="n"/>
      <c r="S868" s="1776" t="n"/>
      <c r="T868" s="1776" t="n"/>
      <c r="U868" s="1775" t="n"/>
      <c r="V868" s="1776" t="n"/>
      <c r="W868" s="1776" t="n"/>
      <c r="X868" s="1776" t="n"/>
      <c r="Y868" s="1776" t="n"/>
      <c r="Z868" s="1775" t="n"/>
      <c r="AA868" s="1776" t="n"/>
      <c r="AB868" s="1776" t="n"/>
      <c r="AC868" s="1776">
        <f>AC863/AC849-1</f>
        <v/>
      </c>
      <c r="AD868" s="1776">
        <f>AD863/AD849-1</f>
        <v/>
      </c>
      <c r="AE868" s="1775">
        <f>AE863/AD849-1</f>
        <v/>
      </c>
      <c r="AF868" s="1776">
        <f>AF863/AF849-1</f>
        <v/>
      </c>
      <c r="AG868" s="1776">
        <f>AG863/AG849-1</f>
        <v/>
      </c>
      <c r="AH868" s="1776">
        <f>AH863/AH849-1</f>
        <v/>
      </c>
      <c r="AI868" s="1776">
        <f>AI863/AI849-1</f>
        <v/>
      </c>
      <c r="AJ868" s="1775">
        <f>AJ863/AI849-1</f>
        <v/>
      </c>
      <c r="AK868" s="1776">
        <f>AK863/AK849-1</f>
        <v/>
      </c>
      <c r="AL868" s="1776">
        <f>AL863/AL849-1</f>
        <v/>
      </c>
      <c r="AM868" s="1776">
        <f>AM863/AM849-1</f>
        <v/>
      </c>
      <c r="AN868" s="1776">
        <f>AN863/AN849-1</f>
        <v/>
      </c>
      <c r="AO868" s="1775">
        <f>AO863/AN849-1</f>
        <v/>
      </c>
      <c r="AP868" s="1776">
        <f>AP863/AP849-1</f>
        <v/>
      </c>
      <c r="AQ868" s="1776">
        <f>AQ863/AQ849-1</f>
        <v/>
      </c>
      <c r="AR868" s="1776">
        <f>AR863/AR849-1</f>
        <v/>
      </c>
      <c r="AS868" s="1776">
        <f>AS863/AS849-1</f>
        <v/>
      </c>
      <c r="AT868" s="1775">
        <f>AT863/AS849-1</f>
        <v/>
      </c>
      <c r="AU868" s="1776">
        <f>AU863/AU849-1</f>
        <v/>
      </c>
      <c r="AV868" s="1776">
        <f>AV863/AV849-1</f>
        <v/>
      </c>
      <c r="AW868" s="1776">
        <f>AW863/AW849-1</f>
        <v/>
      </c>
      <c r="AX868" s="1776">
        <f>AX863/AX849-1</f>
        <v/>
      </c>
      <c r="AY868" s="1775">
        <f>AY863/AX849-1</f>
        <v/>
      </c>
      <c r="AZ868" s="1776">
        <f>AZ863/AZ849-1</f>
        <v/>
      </c>
      <c r="BA868" s="1776">
        <f>BA863/BA849-1</f>
        <v/>
      </c>
      <c r="BB868" s="1776">
        <f>BB863/BB849-1</f>
        <v/>
      </c>
      <c r="BC868" s="1776">
        <f>BC863/BC849-1</f>
        <v/>
      </c>
      <c r="BD868" s="1775">
        <f>BD863/BC849-1</f>
        <v/>
      </c>
      <c r="BE868" s="1776">
        <f>BE863/BE849-1</f>
        <v/>
      </c>
      <c r="BF868" s="1776">
        <f>BF863/BF849-1</f>
        <v/>
      </c>
      <c r="BG868" s="1776">
        <f>BG863/BG849-1</f>
        <v/>
      </c>
      <c r="BH868" s="1776">
        <f>BH863/BH849-1</f>
        <v/>
      </c>
      <c r="BI868" s="1775">
        <f>BI863/BH849-1</f>
        <v/>
      </c>
      <c r="BJ868" s="1776">
        <f>BJ863/BJ849-1</f>
        <v/>
      </c>
      <c r="BK868" s="1776">
        <f>BK863/BK849-1</f>
        <v/>
      </c>
      <c r="BL868" s="1776">
        <f>BL863/BL849-1</f>
        <v/>
      </c>
      <c r="BM868" s="1776">
        <f>BM863/BM849-1</f>
        <v/>
      </c>
      <c r="BN868" s="1775">
        <f>BN863/BM849-1</f>
        <v/>
      </c>
      <c r="BO868" s="1776">
        <f>BO863/BO849-1</f>
        <v/>
      </c>
      <c r="BP868" s="1776">
        <f>BP863/BP849-1</f>
        <v/>
      </c>
      <c r="BQ868" s="1777">
        <f>BQ863/BQ849-1</f>
        <v/>
      </c>
      <c r="BR868" s="1776" t="n"/>
      <c r="BS868" s="1775" t="n"/>
      <c r="BT868" s="1776" t="n"/>
      <c r="BU868" s="1776" t="n"/>
      <c r="BV868" s="1776" t="n"/>
      <c r="BW868" s="1776" t="n"/>
      <c r="BX868" s="1775" t="n"/>
      <c r="BY868" s="1775" t="n"/>
      <c r="BZ868" s="1775" t="n"/>
      <c r="CA868" s="1775" t="n"/>
      <c r="CB868" s="1384" t="n"/>
    </row>
    <row r="869" hidden="1" outlineLevel="2" collapsed="1" ht="15" customFormat="1" customHeight="1" s="1359">
      <c r="A869" s="1501" t="inlineStr">
        <is>
          <t>Forward quarterly guided Q/Q WAD Adjusted EPS growth - midpoint, %</t>
        </is>
      </c>
      <c r="B869" s="1590" t="n"/>
      <c r="C869" s="1382" t="n"/>
      <c r="D869" s="1382" t="n"/>
      <c r="E869" s="1382" t="n"/>
      <c r="F869" s="1382" t="n"/>
      <c r="G869" s="1384" t="n"/>
      <c r="H869" s="1384" t="n"/>
      <c r="I869" s="1384" t="n"/>
      <c r="J869" s="1384" t="n"/>
      <c r="K869" s="1382" t="n"/>
      <c r="L869" s="1384" t="n"/>
      <c r="M869" s="1384" t="n"/>
      <c r="N869" s="1384" t="n"/>
      <c r="O869" s="1384" t="n"/>
      <c r="P869" s="1382" t="n"/>
      <c r="Q869" s="1384" t="n"/>
      <c r="R869" s="1384" t="n"/>
      <c r="S869" s="1384" t="n"/>
      <c r="T869" s="1384" t="n"/>
      <c r="U869" s="1382" t="n"/>
      <c r="V869" s="1384" t="n"/>
      <c r="W869" s="1384" t="n"/>
      <c r="X869" s="1384" t="n"/>
      <c r="Y869" s="1384" t="n"/>
      <c r="Z869" s="1382" t="n"/>
      <c r="AA869" s="1384" t="n"/>
      <c r="AB869" s="1384" t="n"/>
      <c r="AC869" s="1384">
        <f>AC864/AC849-1</f>
        <v/>
      </c>
      <c r="AD869" s="1384">
        <f>AD864/AD849-1</f>
        <v/>
      </c>
      <c r="AE869" s="1382">
        <f>AE864/AD849-1</f>
        <v/>
      </c>
      <c r="AF869" s="1384">
        <f>AF864/AF849-1</f>
        <v/>
      </c>
      <c r="AG869" s="1384">
        <f>AG864/AG849-1</f>
        <v/>
      </c>
      <c r="AH869" s="1384">
        <f>AH864/AH849-1</f>
        <v/>
      </c>
      <c r="AI869" s="1384">
        <f>AI864/AI849-1</f>
        <v/>
      </c>
      <c r="AJ869" s="1382">
        <f>AJ864/AI849-1</f>
        <v/>
      </c>
      <c r="AK869" s="1384">
        <f>AK864/AK849-1</f>
        <v/>
      </c>
      <c r="AL869" s="1384">
        <f>AL864/AL849-1</f>
        <v/>
      </c>
      <c r="AM869" s="1384">
        <f>AM864/AM849-1</f>
        <v/>
      </c>
      <c r="AN869" s="1384">
        <f>AN864/AN849-1</f>
        <v/>
      </c>
      <c r="AO869" s="1382">
        <f>AO864/AN849-1</f>
        <v/>
      </c>
      <c r="AP869" s="1384">
        <f>AP864/AP849-1</f>
        <v/>
      </c>
      <c r="AQ869" s="1384">
        <f>AQ864/AQ849-1</f>
        <v/>
      </c>
      <c r="AR869" s="1384">
        <f>AR864/AR849-1</f>
        <v/>
      </c>
      <c r="AS869" s="1384">
        <f>AS864/AS849-1</f>
        <v/>
      </c>
      <c r="AT869" s="1382">
        <f>AT864/AS849-1</f>
        <v/>
      </c>
      <c r="AU869" s="1384">
        <f>AU864/AU849-1</f>
        <v/>
      </c>
      <c r="AV869" s="1384">
        <f>AV864/AV849-1</f>
        <v/>
      </c>
      <c r="AW869" s="1384">
        <f>AW864/AW849-1</f>
        <v/>
      </c>
      <c r="AX869" s="1384">
        <f>AX864/AX849-1</f>
        <v/>
      </c>
      <c r="AY869" s="1382">
        <f>AY864/AX849-1</f>
        <v/>
      </c>
      <c r="AZ869" s="1384">
        <f>AZ864/AZ849-1</f>
        <v/>
      </c>
      <c r="BA869" s="1384">
        <f>BA864/BA849-1</f>
        <v/>
      </c>
      <c r="BB869" s="1384">
        <f>BB864/BB849-1</f>
        <v/>
      </c>
      <c r="BC869" s="1384">
        <f>BC864/BC849-1</f>
        <v/>
      </c>
      <c r="BD869" s="1382">
        <f>BD864/BC849-1</f>
        <v/>
      </c>
      <c r="BE869" s="1384">
        <f>BE864/BE849-1</f>
        <v/>
      </c>
      <c r="BF869" s="1384">
        <f>BF864/BF849-1</f>
        <v/>
      </c>
      <c r="BG869" s="1384">
        <f>BG864/BG849-1</f>
        <v/>
      </c>
      <c r="BH869" s="1384">
        <f>BH864/BH849-1</f>
        <v/>
      </c>
      <c r="BI869" s="1382">
        <f>BI864/BH849-1</f>
        <v/>
      </c>
      <c r="BJ869" s="1384">
        <f>BJ864/BJ849-1</f>
        <v/>
      </c>
      <c r="BK869" s="1384">
        <f>BK864/BK849-1</f>
        <v/>
      </c>
      <c r="BL869" s="1384">
        <f>BL864/BL849-1</f>
        <v/>
      </c>
      <c r="BM869" s="1384">
        <f>BM864/BM849-1</f>
        <v/>
      </c>
      <c r="BN869" s="1382">
        <f>BN864/BM849-1</f>
        <v/>
      </c>
      <c r="BO869" s="1384">
        <f>BO864/BO849-1</f>
        <v/>
      </c>
      <c r="BP869" s="1384">
        <f>BP864/BP849-1</f>
        <v/>
      </c>
      <c r="BQ869" s="1386">
        <f>BQ864/BQ849-1</f>
        <v/>
      </c>
      <c r="BR869" s="1384" t="n"/>
      <c r="BS869" s="1382" t="n"/>
      <c r="BT869" s="1384" t="n"/>
      <c r="BU869" s="1384" t="n"/>
      <c r="BV869" s="1384" t="n"/>
      <c r="BW869" s="1384" t="n"/>
      <c r="BX869" s="1382" t="n"/>
      <c r="BY869" s="1382" t="n"/>
      <c r="BZ869" s="1382" t="n"/>
      <c r="CA869" s="1382" t="n"/>
      <c r="CB869" s="1384" t="n"/>
    </row>
    <row r="870" hidden="1" outlineLevel="3" ht="15" customFormat="1" customHeight="1" s="1359">
      <c r="A870" s="1476" t="inlineStr">
        <is>
          <t>Forward quarterly guided Y/Y WAD Adjusted EPS growth - low, %</t>
        </is>
      </c>
      <c r="B870" s="1590" t="n"/>
      <c r="C870" s="1382" t="n"/>
      <c r="D870" s="1382" t="n"/>
      <c r="E870" s="1382" t="n"/>
      <c r="F870" s="1382" t="n"/>
      <c r="G870" s="1384" t="n"/>
      <c r="H870" s="1384" t="n"/>
      <c r="I870" s="1384" t="n"/>
      <c r="J870" s="1384" t="n"/>
      <c r="K870" s="1382" t="n"/>
      <c r="L870" s="1384" t="n"/>
      <c r="M870" s="1384" t="n"/>
      <c r="N870" s="1384" t="n"/>
      <c r="O870" s="1384" t="n"/>
      <c r="P870" s="1382" t="n"/>
      <c r="Q870" s="1384" t="n"/>
      <c r="R870" s="1384" t="n"/>
      <c r="S870" s="1384" t="n"/>
      <c r="T870" s="1384" t="n"/>
      <c r="U870" s="1382" t="n"/>
      <c r="V870" s="1384" t="n"/>
      <c r="W870" s="1384" t="n"/>
      <c r="X870" s="1384" t="n"/>
      <c r="Y870" s="1384" t="n"/>
      <c r="Z870" s="1382" t="n"/>
      <c r="AA870" s="1384" t="n"/>
      <c r="AB870" s="1384" t="n"/>
      <c r="AC870" s="1384">
        <f>AC862/Y849-1</f>
        <v/>
      </c>
      <c r="AD870" s="1384">
        <f>AD862/AA849-1</f>
        <v/>
      </c>
      <c r="AE870" s="1382">
        <f>AD870</f>
        <v/>
      </c>
      <c r="AF870" s="1384">
        <f>AF862/AB849-1</f>
        <v/>
      </c>
      <c r="AG870" s="1384">
        <f>AG862/AC849-1</f>
        <v/>
      </c>
      <c r="AH870" s="1384">
        <f>AH862/AD849-1</f>
        <v/>
      </c>
      <c r="AI870" s="1384">
        <f>AI862/AF849-1</f>
        <v/>
      </c>
      <c r="AJ870" s="1382">
        <f>AI870</f>
        <v/>
      </c>
      <c r="AK870" s="1384">
        <f>AK862/AG849-1</f>
        <v/>
      </c>
      <c r="AL870" s="1384">
        <f>AL862/AH849-1</f>
        <v/>
      </c>
      <c r="AM870" s="1384">
        <f>AM862/AI849-1</f>
        <v/>
      </c>
      <c r="AN870" s="1384">
        <f>AN862/AK849-1</f>
        <v/>
      </c>
      <c r="AO870" s="1382">
        <f>AN870</f>
        <v/>
      </c>
      <c r="AP870" s="1384">
        <f>AP862/AL849-1</f>
        <v/>
      </c>
      <c r="AQ870" s="1384">
        <f>AQ862/AM849-1</f>
        <v/>
      </c>
      <c r="AR870" s="1384">
        <f>AR862/AN849-1</f>
        <v/>
      </c>
      <c r="AS870" s="1384">
        <f>AS862/AP849-1</f>
        <v/>
      </c>
      <c r="AT870" s="1382">
        <f>AS870</f>
        <v/>
      </c>
      <c r="AU870" s="1384">
        <f>AU862/AQ849-1</f>
        <v/>
      </c>
      <c r="AV870" s="1384">
        <f>AV862/AR849-1</f>
        <v/>
      </c>
      <c r="AW870" s="1384">
        <f>AW862/AS849-1</f>
        <v/>
      </c>
      <c r="AX870" s="1384">
        <f>AX862/AU849-1</f>
        <v/>
      </c>
      <c r="AY870" s="1382">
        <f>AX870</f>
        <v/>
      </c>
      <c r="AZ870" s="1384">
        <f>AZ862/AV849-1</f>
        <v/>
      </c>
      <c r="BA870" s="1384">
        <f>BA862/AW849-1</f>
        <v/>
      </c>
      <c r="BB870" s="1384">
        <f>BB862/AX849-1</f>
        <v/>
      </c>
      <c r="BC870" s="1384">
        <f>BC862/AZ849-1</f>
        <v/>
      </c>
      <c r="BD870" s="1382">
        <f>BC870</f>
        <v/>
      </c>
      <c r="BE870" s="1384">
        <f>BE862/BA849-1</f>
        <v/>
      </c>
      <c r="BF870" s="1384">
        <f>BF862/BB849-1</f>
        <v/>
      </c>
      <c r="BG870" s="1384">
        <f>BG862/BC849-1</f>
        <v/>
      </c>
      <c r="BH870" s="1384">
        <f>BH862/BE849-1</f>
        <v/>
      </c>
      <c r="BI870" s="1382">
        <f>BH870</f>
        <v/>
      </c>
      <c r="BJ870" s="1384">
        <f>BJ862/BF849-1</f>
        <v/>
      </c>
      <c r="BK870" s="1384">
        <f>BK862/BG849-1</f>
        <v/>
      </c>
      <c r="BL870" s="1384">
        <f>BL862/BH849-1</f>
        <v/>
      </c>
      <c r="BM870" s="1384">
        <f>BM862/BJ849-1</f>
        <v/>
      </c>
      <c r="BN870" s="1382">
        <f>BM870</f>
        <v/>
      </c>
      <c r="BO870" s="1384">
        <f>BO862/BK849-1</f>
        <v/>
      </c>
      <c r="BP870" s="1384">
        <f>BP862/BL849-1</f>
        <v/>
      </c>
      <c r="BQ870" s="1386">
        <f>BQ862/BM849-1</f>
        <v/>
      </c>
      <c r="BR870" s="1384" t="n"/>
      <c r="BS870" s="1382" t="n"/>
      <c r="BT870" s="1384" t="n"/>
      <c r="BU870" s="1384" t="n"/>
      <c r="BV870" s="1384" t="n"/>
      <c r="BW870" s="1384" t="n"/>
      <c r="BX870" s="1382" t="n"/>
      <c r="BY870" s="1382" t="n"/>
      <c r="BZ870" s="1382" t="n"/>
      <c r="CA870" s="1382" t="n"/>
      <c r="CB870" s="1384" t="n"/>
    </row>
    <row r="871" hidden="1" outlineLevel="3" ht="15" customFormat="1" customHeight="1" s="1359">
      <c r="A871" s="1790" t="inlineStr">
        <is>
          <t>Forward quarterly guided Y/Y WAD Adjusted EPS growth - high, %</t>
        </is>
      </c>
      <c r="B871" s="1774" t="n"/>
      <c r="C871" s="1775" t="n"/>
      <c r="D871" s="1775" t="n"/>
      <c r="E871" s="1775" t="n"/>
      <c r="F871" s="1775" t="n"/>
      <c r="G871" s="1776" t="n"/>
      <c r="H871" s="1776" t="n"/>
      <c r="I871" s="1776" t="n"/>
      <c r="J871" s="1776" t="n"/>
      <c r="K871" s="1775" t="n"/>
      <c r="L871" s="1776" t="n"/>
      <c r="M871" s="1776" t="n"/>
      <c r="N871" s="1776" t="n"/>
      <c r="O871" s="1776" t="n"/>
      <c r="P871" s="1775" t="n"/>
      <c r="Q871" s="1776" t="n"/>
      <c r="R871" s="1776" t="n"/>
      <c r="S871" s="1776" t="n"/>
      <c r="T871" s="1776" t="n"/>
      <c r="U871" s="1775" t="n"/>
      <c r="V871" s="1776" t="n"/>
      <c r="W871" s="1776" t="n"/>
      <c r="X871" s="1776" t="n"/>
      <c r="Y871" s="1776" t="n"/>
      <c r="Z871" s="1775" t="n"/>
      <c r="AA871" s="1776" t="n"/>
      <c r="AB871" s="1776" t="n"/>
      <c r="AC871" s="1776">
        <f>AC863/Y849-1</f>
        <v/>
      </c>
      <c r="AD871" s="1776">
        <f>AD863/AA849-1</f>
        <v/>
      </c>
      <c r="AE871" s="1775">
        <f>AD871</f>
        <v/>
      </c>
      <c r="AF871" s="1776">
        <f>AF863/AB849-1</f>
        <v/>
      </c>
      <c r="AG871" s="1776">
        <f>AG863/AC849-1</f>
        <v/>
      </c>
      <c r="AH871" s="1776">
        <f>AH863/AD849-1</f>
        <v/>
      </c>
      <c r="AI871" s="1776">
        <f>AI863/AF849-1</f>
        <v/>
      </c>
      <c r="AJ871" s="1775">
        <f>AI871</f>
        <v/>
      </c>
      <c r="AK871" s="1776">
        <f>AK863/AG849-1</f>
        <v/>
      </c>
      <c r="AL871" s="1776">
        <f>AL863/AH849-1</f>
        <v/>
      </c>
      <c r="AM871" s="1776">
        <f>AM863/AI849-1</f>
        <v/>
      </c>
      <c r="AN871" s="1776">
        <f>AN863/AK849-1</f>
        <v/>
      </c>
      <c r="AO871" s="1775">
        <f>AN871</f>
        <v/>
      </c>
      <c r="AP871" s="1776">
        <f>AP863/AL849-1</f>
        <v/>
      </c>
      <c r="AQ871" s="1776">
        <f>AQ863/AM849-1</f>
        <v/>
      </c>
      <c r="AR871" s="1776">
        <f>AR863/AN849-1</f>
        <v/>
      </c>
      <c r="AS871" s="1776">
        <f>AS863/AP849-1</f>
        <v/>
      </c>
      <c r="AT871" s="1775">
        <f>AS871</f>
        <v/>
      </c>
      <c r="AU871" s="1776">
        <f>AU863/AQ849-1</f>
        <v/>
      </c>
      <c r="AV871" s="1776">
        <f>AV863/AR849-1</f>
        <v/>
      </c>
      <c r="AW871" s="1776">
        <f>AW863/AS849-1</f>
        <v/>
      </c>
      <c r="AX871" s="1776">
        <f>AX863/AU849-1</f>
        <v/>
      </c>
      <c r="AY871" s="1775">
        <f>AX871</f>
        <v/>
      </c>
      <c r="AZ871" s="1776">
        <f>AZ863/AV849-1</f>
        <v/>
      </c>
      <c r="BA871" s="1776">
        <f>BA863/AW849-1</f>
        <v/>
      </c>
      <c r="BB871" s="1776">
        <f>BB863/AX849-1</f>
        <v/>
      </c>
      <c r="BC871" s="1776">
        <f>BC863/AZ849-1</f>
        <v/>
      </c>
      <c r="BD871" s="1775">
        <f>BC871</f>
        <v/>
      </c>
      <c r="BE871" s="1776">
        <f>BE863/BA849-1</f>
        <v/>
      </c>
      <c r="BF871" s="1776">
        <f>BF863/BB849-1</f>
        <v/>
      </c>
      <c r="BG871" s="1776">
        <f>BG863/BC849-1</f>
        <v/>
      </c>
      <c r="BH871" s="1776">
        <f>BH863/BE849-1</f>
        <v/>
      </c>
      <c r="BI871" s="1775">
        <f>BH871</f>
        <v/>
      </c>
      <c r="BJ871" s="1776">
        <f>BJ863/BF849-1</f>
        <v/>
      </c>
      <c r="BK871" s="1776">
        <f>BK863/BG849-1</f>
        <v/>
      </c>
      <c r="BL871" s="1776">
        <f>BL863/BH849-1</f>
        <v/>
      </c>
      <c r="BM871" s="1776">
        <f>BM863/BJ849-1</f>
        <v/>
      </c>
      <c r="BN871" s="1775">
        <f>BM871</f>
        <v/>
      </c>
      <c r="BO871" s="1776">
        <f>BO863/BK849-1</f>
        <v/>
      </c>
      <c r="BP871" s="1776">
        <f>BP863/BL849-1</f>
        <v/>
      </c>
      <c r="BQ871" s="1777">
        <f>BQ863/BM849-1</f>
        <v/>
      </c>
      <c r="BR871" s="1776" t="n"/>
      <c r="BS871" s="1775" t="n"/>
      <c r="BT871" s="1776" t="n"/>
      <c r="BU871" s="1776" t="n"/>
      <c r="BV871" s="1776" t="n"/>
      <c r="BW871" s="1776" t="n"/>
      <c r="BX871" s="1775" t="n"/>
      <c r="BY871" s="1775" t="n"/>
      <c r="BZ871" s="1775" t="n"/>
      <c r="CA871" s="1775" t="n"/>
      <c r="CB871" s="1384" t="n"/>
    </row>
    <row r="872" hidden="1" outlineLevel="2" collapsed="1" ht="15" customFormat="1" customHeight="1" s="1359">
      <c r="A872" s="1501" t="inlineStr">
        <is>
          <t>Forward quarterly guided Y/Y WAD Adjusted EPS growth - midpoint, %</t>
        </is>
      </c>
      <c r="B872" s="1590" t="n"/>
      <c r="C872" s="1382" t="n"/>
      <c r="D872" s="1382" t="n"/>
      <c r="E872" s="1382" t="n"/>
      <c r="F872" s="1382" t="n"/>
      <c r="G872" s="1384" t="n"/>
      <c r="H872" s="1384" t="n"/>
      <c r="I872" s="1384" t="n"/>
      <c r="J872" s="1384" t="n"/>
      <c r="K872" s="1382" t="n"/>
      <c r="L872" s="1384" t="n"/>
      <c r="M872" s="1384" t="n"/>
      <c r="N872" s="1384" t="n"/>
      <c r="O872" s="1384" t="n"/>
      <c r="P872" s="1382" t="n"/>
      <c r="Q872" s="1384" t="n"/>
      <c r="R872" s="1384" t="n"/>
      <c r="S872" s="1384" t="n"/>
      <c r="T872" s="1384" t="n"/>
      <c r="U872" s="1382" t="n"/>
      <c r="V872" s="1384" t="n"/>
      <c r="W872" s="1384" t="n"/>
      <c r="X872" s="1384" t="n"/>
      <c r="Y872" s="1384" t="n"/>
      <c r="Z872" s="1382" t="n"/>
      <c r="AA872" s="1384" t="n"/>
      <c r="AB872" s="1384" t="n"/>
      <c r="AC872" s="1384">
        <f>AC864/Y849-1</f>
        <v/>
      </c>
      <c r="AD872" s="1384">
        <f>AD864/AA849-1</f>
        <v/>
      </c>
      <c r="AE872" s="1382">
        <f>AE864/AA849-1</f>
        <v/>
      </c>
      <c r="AF872" s="1384">
        <f>AF864/AB849-1</f>
        <v/>
      </c>
      <c r="AG872" s="1384">
        <f>AG864/AC849-1</f>
        <v/>
      </c>
      <c r="AH872" s="1384">
        <f>AH864/AD849-1</f>
        <v/>
      </c>
      <c r="AI872" s="1384">
        <f>AI864/AF849-1</f>
        <v/>
      </c>
      <c r="AJ872" s="1382">
        <f>AJ864/AF849-1</f>
        <v/>
      </c>
      <c r="AK872" s="1384">
        <f>AK864/AG849-1</f>
        <v/>
      </c>
      <c r="AL872" s="1384">
        <f>AL864/AH849-1</f>
        <v/>
      </c>
      <c r="AM872" s="1384">
        <f>AM864/AI849-1</f>
        <v/>
      </c>
      <c r="AN872" s="1384">
        <f>AN864/AK849-1</f>
        <v/>
      </c>
      <c r="AO872" s="1382">
        <f>AO864/AK849-1</f>
        <v/>
      </c>
      <c r="AP872" s="1384">
        <f>AP864/AL849-1</f>
        <v/>
      </c>
      <c r="AQ872" s="1384">
        <f>AQ864/AM849-1</f>
        <v/>
      </c>
      <c r="AR872" s="1384">
        <f>AR864/AN849-1</f>
        <v/>
      </c>
      <c r="AS872" s="1384">
        <f>AS864/AP849-1</f>
        <v/>
      </c>
      <c r="AT872" s="1382">
        <f>AT864/AP849-1</f>
        <v/>
      </c>
      <c r="AU872" s="1384">
        <f>AU864/AQ849-1</f>
        <v/>
      </c>
      <c r="AV872" s="1384">
        <f>AV864/AR849-1</f>
        <v/>
      </c>
      <c r="AW872" s="1384">
        <f>AW864/AS849-1</f>
        <v/>
      </c>
      <c r="AX872" s="1384">
        <f>AX864/AU849-1</f>
        <v/>
      </c>
      <c r="AY872" s="1382">
        <f>AY864/AU849-1</f>
        <v/>
      </c>
      <c r="AZ872" s="1384">
        <f>AZ864/AV849-1</f>
        <v/>
      </c>
      <c r="BA872" s="1384">
        <f>BA864/AW849-1</f>
        <v/>
      </c>
      <c r="BB872" s="1384">
        <f>BB864/AX849-1</f>
        <v/>
      </c>
      <c r="BC872" s="1384">
        <f>BC864/AZ849-1</f>
        <v/>
      </c>
      <c r="BD872" s="1382">
        <f>BD864/AZ849-1</f>
        <v/>
      </c>
      <c r="BE872" s="1384">
        <f>BE864/BA849-1</f>
        <v/>
      </c>
      <c r="BF872" s="1384">
        <f>BF864/BB849-1</f>
        <v/>
      </c>
      <c r="BG872" s="1384">
        <f>BG864/BC849-1</f>
        <v/>
      </c>
      <c r="BH872" s="1384">
        <f>BH864/BE849-1</f>
        <v/>
      </c>
      <c r="BI872" s="1382">
        <f>BI864/BE849-1</f>
        <v/>
      </c>
      <c r="BJ872" s="1384">
        <f>BJ864/BF849-1</f>
        <v/>
      </c>
      <c r="BK872" s="1384">
        <f>BK864/BG849-1</f>
        <v/>
      </c>
      <c r="BL872" s="1384">
        <f>BL864/BH849-1</f>
        <v/>
      </c>
      <c r="BM872" s="1384">
        <f>BM864/BJ849-1</f>
        <v/>
      </c>
      <c r="BN872" s="1382">
        <f>BN864/BJ849-1</f>
        <v/>
      </c>
      <c r="BO872" s="1384">
        <f>BO864/BK849-1</f>
        <v/>
      </c>
      <c r="BP872" s="1384">
        <f>BP864/BL849-1</f>
        <v/>
      </c>
      <c r="BQ872" s="1386">
        <f>BQ864/BM849-1</f>
        <v/>
      </c>
      <c r="BR872" s="1384" t="n"/>
      <c r="BS872" s="1382" t="n"/>
      <c r="BT872" s="1384" t="n"/>
      <c r="BU872" s="1384" t="n"/>
      <c r="BV872" s="1384" t="n"/>
      <c r="BW872" s="1384" t="n"/>
      <c r="BX872" s="1382" t="n"/>
      <c r="BY872" s="1382" t="n"/>
      <c r="BZ872" s="1382" t="n"/>
      <c r="CA872" s="1382" t="n"/>
      <c r="CB872" s="1384" t="n"/>
    </row>
    <row r="873" hidden="1" outlineLevel="2" ht="15" customFormat="1" customHeight="1" s="1359">
      <c r="A873" s="545" t="n"/>
      <c r="B873" s="1512" t="n"/>
      <c r="C873" s="1723" t="n"/>
      <c r="D873" s="1723" t="n"/>
      <c r="E873" s="1723" t="n"/>
      <c r="F873" s="1723" t="n"/>
      <c r="G873" s="1721" t="n"/>
      <c r="H873" s="1721" t="n"/>
      <c r="I873" s="1721" t="n"/>
      <c r="J873" s="1721" t="n"/>
      <c r="K873" s="1723" t="n"/>
      <c r="L873" s="1721" t="n"/>
      <c r="M873" s="1721" t="n"/>
      <c r="N873" s="1721" t="n"/>
      <c r="O873" s="1721" t="n"/>
      <c r="P873" s="1723" t="n"/>
      <c r="Q873" s="1721" t="n"/>
      <c r="R873" s="1721" t="n"/>
      <c r="S873" s="1721" t="n"/>
      <c r="T873" s="1721" t="n"/>
      <c r="U873" s="1723" t="n"/>
      <c r="V873" s="1721" t="n"/>
      <c r="W873" s="1721" t="n"/>
      <c r="X873" s="1721" t="n"/>
      <c r="Y873" s="1721" t="n"/>
      <c r="Z873" s="1723" t="n"/>
      <c r="AA873" s="1721" t="n"/>
      <c r="AB873" s="1721" t="n"/>
      <c r="AC873" s="1721" t="n"/>
      <c r="AD873" s="1721" t="n"/>
      <c r="AE873" s="1723" t="n"/>
      <c r="AF873" s="1721" t="n"/>
      <c r="AG873" s="1721" t="n"/>
      <c r="AH873" s="1721" t="n"/>
      <c r="AI873" s="1721" t="n"/>
      <c r="AJ873" s="1723" t="n"/>
      <c r="AK873" s="1721" t="n"/>
      <c r="AL873" s="1721" t="n"/>
      <c r="AM873" s="1721" t="n"/>
      <c r="AN873" s="1721" t="n"/>
      <c r="AO873" s="1723" t="n"/>
      <c r="AP873" s="1721" t="n"/>
      <c r="AQ873" s="1721" t="n"/>
      <c r="AR873" s="1721" t="n"/>
      <c r="AS873" s="1721" t="n"/>
      <c r="AT873" s="1723" t="n"/>
      <c r="AU873" s="1721" t="n"/>
      <c r="AV873" s="1721" t="n"/>
      <c r="AW873" s="1721" t="n"/>
      <c r="AX873" s="1721" t="n"/>
      <c r="AY873" s="1723" t="n"/>
      <c r="AZ873" s="1721" t="n"/>
      <c r="BA873" s="1721" t="n"/>
      <c r="BB873" s="1721" t="n"/>
      <c r="BC873" s="1721" t="n"/>
      <c r="BD873" s="1723" t="n"/>
      <c r="BE873" s="1721" t="n"/>
      <c r="BF873" s="1721" t="n"/>
      <c r="BG873" s="1721" t="n"/>
      <c r="BH873" s="1721" t="n"/>
      <c r="BI873" s="1723" t="n"/>
      <c r="BJ873" s="1721" t="n"/>
      <c r="BK873" s="1721" t="n"/>
      <c r="BL873" s="1721" t="n"/>
      <c r="BM873" s="1721" t="n"/>
      <c r="BN873" s="1723" t="n"/>
      <c r="BO873" s="1721" t="n"/>
      <c r="BP873" s="1721" t="n"/>
      <c r="BQ873" s="1722" t="n"/>
      <c r="BR873" s="1721" t="n"/>
      <c r="BS873" s="1723" t="n"/>
      <c r="BT873" s="1721" t="n"/>
      <c r="BU873" s="1721" t="n"/>
      <c r="BV873" s="1721" t="n"/>
      <c r="BW873" s="1721" t="n"/>
      <c r="BX873" s="1723" t="n"/>
      <c r="BY873" s="1723" t="n"/>
      <c r="BZ873" s="1723" t="n"/>
      <c r="CA873" s="1723" t="n"/>
      <c r="CB873" s="1361" t="n"/>
    </row>
    <row r="874" hidden="1" outlineLevel="2" ht="15" customFormat="1" customHeight="1" s="1359">
      <c r="A874" s="1501" t="inlineStr">
        <is>
          <t>Y/Y Implied annual guidance WAD Adjusted EPS growth, %</t>
        </is>
      </c>
      <c r="B874" s="1590" t="n"/>
      <c r="C874" s="1382" t="n"/>
      <c r="D874" s="1382">
        <f>IFERROR(IF(D847="","",D847/C849-1),"")</f>
        <v/>
      </c>
      <c r="E874" s="1382">
        <f>IFERROR(IF(E847="","",E847/D849-1),"")</f>
        <v/>
      </c>
      <c r="F874" s="1382">
        <f>IFERROR(IF(F847="","",F847/E849-1),"")</f>
        <v/>
      </c>
      <c r="G874" s="1384">
        <f>IFERROR(IF(K844="","",K844/F849-1),"")</f>
        <v/>
      </c>
      <c r="H874" s="1384">
        <f>IFERROR(IF(K845="","",K845/F849-1),"")</f>
        <v/>
      </c>
      <c r="I874" s="1384">
        <f>IFERROR(IF(K846="","",K846/F849-1),"")</f>
        <v/>
      </c>
      <c r="J874" s="1384">
        <f>IFERROR(IF(K847="","",K847/F849-1),"")</f>
        <v/>
      </c>
      <c r="K874" s="1382">
        <f>IFERROR(IF(K847="","",K847/F849-1),"")</f>
        <v/>
      </c>
      <c r="L874" s="1384">
        <f>IFERROR(IF(P844="","",P844/K849-1),"")</f>
        <v/>
      </c>
      <c r="M874" s="1384">
        <f>IFERROR(IF(P845="","",P845/K849-1),"")</f>
        <v/>
      </c>
      <c r="N874" s="1384">
        <f>IFERROR(IF(P846="","",P846/K849-1),"")</f>
        <v/>
      </c>
      <c r="O874" s="1384">
        <f>IFERROR(IF(P847="","",P847/K849-1),"")</f>
        <v/>
      </c>
      <c r="P874" s="1382">
        <f>IFERROR(IF(P847="","",P847/K849-1),"")</f>
        <v/>
      </c>
      <c r="Q874" s="1384">
        <f>IFERROR(IF(U844="","",U844/P849-1),"")</f>
        <v/>
      </c>
      <c r="R874" s="1384">
        <f>IFERROR(IF(U845="","",U845/P849-1),"")</f>
        <v/>
      </c>
      <c r="S874" s="1384">
        <f>IFERROR(IF(U846="","",U846/P849-1),"")</f>
        <v/>
      </c>
      <c r="T874" s="1384">
        <f>IFERROR(IF(U847="","",U847/P849-1),"")</f>
        <v/>
      </c>
      <c r="U874" s="1382">
        <f>IFERROR(IF(U847="","",U847/P849-1),"")</f>
        <v/>
      </c>
      <c r="V874" s="1384">
        <f>IFERROR(IF(Z844="","",Z844/U849-1),"")</f>
        <v/>
      </c>
      <c r="W874" s="1384">
        <f>IFERROR(IF(Z845="","",Z845/U849-1),"")</f>
        <v/>
      </c>
      <c r="X874" s="1384">
        <f>IFERROR(IF(Z846="","",Z846/U849-1),"")</f>
        <v/>
      </c>
      <c r="Y874" s="1384">
        <f>IFERROR(IF(Z847="","",Z847/U849-1),"")</f>
        <v/>
      </c>
      <c r="Z874" s="1382">
        <f>IFERROR(IF(Z847="","",Z847/U849-1),"")</f>
        <v/>
      </c>
      <c r="AA874" s="1384">
        <f>IFERROR(IF(AE844="","",AE844/Z849-1),"")</f>
        <v/>
      </c>
      <c r="AB874" s="1384">
        <f>IFERROR(IF(AE845="","",AE845/Z849-1),"")</f>
        <v/>
      </c>
      <c r="AC874" s="1384">
        <f>IFERROR(IF(AE846="","",AE846/Z849-1),"")</f>
        <v/>
      </c>
      <c r="AD874" s="1384">
        <f>IFERROR(IF(AE847="","",AE847/Z849-1),"")</f>
        <v/>
      </c>
      <c r="AE874" s="1382">
        <f>IFERROR(IF(AE847="","",AE847/Z849-1),"")</f>
        <v/>
      </c>
      <c r="AF874" s="1384">
        <f>IFERROR(IF(AJ844="","",AJ844/AE849-1),"")</f>
        <v/>
      </c>
      <c r="AG874" s="1384">
        <f>IFERROR(IF(AJ845="","",AJ845/AE849-1),"")</f>
        <v/>
      </c>
      <c r="AH874" s="1384">
        <f>IFERROR(IF(AJ846="","",AJ846/AE849-1),"")</f>
        <v/>
      </c>
      <c r="AI874" s="1384">
        <f>IFERROR(IF(AJ847="","",AJ847/AE849-1),"")</f>
        <v/>
      </c>
      <c r="AJ874" s="1382">
        <f>IFERROR(IF(AJ847="","",AJ847/AE849-1),"")</f>
        <v/>
      </c>
      <c r="AK874" s="1384">
        <f>IFERROR(IF(AO844="","",AO844/AJ849-1),"")</f>
        <v/>
      </c>
      <c r="AL874" s="1384">
        <f>IFERROR(IF(AO845="","",AO845/AJ849-1),"")</f>
        <v/>
      </c>
      <c r="AM874" s="1384">
        <f>IFERROR(IF(AO846="","",AO846/AJ849-1),"")</f>
        <v/>
      </c>
      <c r="AN874" s="1384">
        <f>IFERROR(IF(AO847="","",AO847/AJ849-1),"")</f>
        <v/>
      </c>
      <c r="AO874" s="1382">
        <f>IFERROR(IF(AO847="","",AO847/AJ849-1),"")</f>
        <v/>
      </c>
      <c r="AP874" s="1384">
        <f>IFERROR(IF(AT844="","",AT844/AO849-1),"")</f>
        <v/>
      </c>
      <c r="AQ874" s="1384">
        <f>IFERROR(IF(AT845="","",AT845/AO849-1),"")</f>
        <v/>
      </c>
      <c r="AR874" s="1384">
        <f>IFERROR(IF(AT846="","",AT846/AO849-1),"")</f>
        <v/>
      </c>
      <c r="AS874" s="1384">
        <f>IFERROR(IF(AT847="","",AT847/AO849-1),"")</f>
        <v/>
      </c>
      <c r="AT874" s="1382">
        <f>IFERROR(IF(AT847="","",AT847/AO849-1),"")</f>
        <v/>
      </c>
      <c r="AU874" s="1384">
        <f>IFERROR(IF(AY844="","",AY844/AT849-1),"")</f>
        <v/>
      </c>
      <c r="AV874" s="1384">
        <f>IFERROR(IF(AY845="","",AY845/AT849-1),"")</f>
        <v/>
      </c>
      <c r="AW874" s="1384">
        <f>IFERROR(IF(AY846="","",AY846/AT849-1),"")</f>
        <v/>
      </c>
      <c r="AX874" s="1384">
        <f>IFERROR(IF(AY847="","",AY847/AT849-1),"")</f>
        <v/>
      </c>
      <c r="AY874" s="1382">
        <f>IFERROR(IF(AY847="","",AY847/AT849-1),"")</f>
        <v/>
      </c>
      <c r="AZ874" s="1384">
        <f>IFERROR(IF(BD844="","",BD844/AY849-1),"")</f>
        <v/>
      </c>
      <c r="BA874" s="1384">
        <f>IFERROR(IF(BD845="","",BD845/AY849-1),"")</f>
        <v/>
      </c>
      <c r="BB874" s="1384">
        <f>IFERROR(IF(BD846="","",BD846/AY849-1),"")</f>
        <v/>
      </c>
      <c r="BC874" s="1384">
        <f>IFERROR(IF(BD847="","",BD847/AY849-1),"")</f>
        <v/>
      </c>
      <c r="BD874" s="1382">
        <f>IFERROR(IF(BD847="","",BD847/AY849-1),"")</f>
        <v/>
      </c>
      <c r="BE874" s="1384">
        <f>IFERROR(IF(BI844="","",BI844/BD849-1),"")</f>
        <v/>
      </c>
      <c r="BF874" s="1384">
        <f>IFERROR(IF(BI845="","",BI845/BD849-1),"")</f>
        <v/>
      </c>
      <c r="BG874" s="1384">
        <f>IFERROR(IF(BI846="","",BI846/BD849-1),"")</f>
        <v/>
      </c>
      <c r="BH874" s="1384">
        <f>IFERROR(IF(BI847="","",BI847/BD849-1),"")</f>
        <v/>
      </c>
      <c r="BI874" s="1382">
        <f>IFERROR(IF(BI847="","",BI847/BD849-1),"")</f>
        <v/>
      </c>
      <c r="BJ874" s="1384">
        <f>IFERROR(IF(BN844="","",BN844/BI849-1),"")</f>
        <v/>
      </c>
      <c r="BK874" s="1384">
        <f>IFERROR(IF(BN845="","",BN845/BI849-1),"")</f>
        <v/>
      </c>
      <c r="BL874" s="1384">
        <f>IFERROR(IF(BN846="","",BN846/BI849-1),"")</f>
        <v/>
      </c>
      <c r="BM874" s="1384">
        <f>IFERROR(IF(BN847="","",BN847/BI849-1),"")</f>
        <v/>
      </c>
      <c r="BN874" s="1382">
        <f>IFERROR(IF(BN847="","",BN847/BI849-1),"")</f>
        <v/>
      </c>
      <c r="BO874" s="1384">
        <f>IFERROR(IF(BS844="","",BS844/BN849-1),"")</f>
        <v/>
      </c>
      <c r="BP874" s="1384">
        <f>IFERROR(IF(BS845="","",BS845/BN849-1),"")</f>
        <v/>
      </c>
      <c r="BQ874" s="1386">
        <f>IFERROR(IF(BS846="","",BS846/BN849-1),"")</f>
        <v/>
      </c>
      <c r="BR874" s="1384">
        <f>IFERROR(IF(BS847="","",BS847/BN849-1),"")</f>
        <v/>
      </c>
      <c r="BS874" s="1382">
        <f>IFERROR(IF(BS847="","",BS847/BN849-1),"")</f>
        <v/>
      </c>
      <c r="BT874" s="1384">
        <f>IFERROR(IF(BX844="","",BX844/BS849-1),"")</f>
        <v/>
      </c>
      <c r="BU874" s="1384">
        <f>IFERROR(IF(BX845="","",BX845/BS849-1),"")</f>
        <v/>
      </c>
      <c r="BV874" s="1384">
        <f>IFERROR(IF(BX846="","",BX846/BS849-1),"")</f>
        <v/>
      </c>
      <c r="BW874" s="1384">
        <f>IFERROR(IF(BX847="","",BX847/BS849-1),"")</f>
        <v/>
      </c>
      <c r="BX874" s="1382">
        <f>IFERROR(IF(BX847="","",BX847/BS849-1),"")</f>
        <v/>
      </c>
      <c r="BY874" s="1382" t="n"/>
      <c r="BZ874" s="1382" t="n"/>
      <c r="CA874" s="1382" t="n"/>
      <c r="CB874" s="1384" t="n"/>
    </row>
    <row r="875" hidden="1" outlineLevel="2" ht="15" customFormat="1" customHeight="1" s="1359">
      <c r="A875" s="1773" t="inlineStr">
        <is>
          <t>Y/Y annual guidance beat/(miss) WAD Adjusted EPS growth, %</t>
        </is>
      </c>
      <c r="B875" s="1774" t="n"/>
      <c r="C875" s="1775" t="n"/>
      <c r="D875" s="1775">
        <f>IFERROR(IF(D847="","",(D849-D847)/C849),"")</f>
        <v/>
      </c>
      <c r="E875" s="1775">
        <f>IFERROR(IF(E847="","",(E849-E847)/D849),"")</f>
        <v/>
      </c>
      <c r="F875" s="1775">
        <f>IFERROR(IF(F847="","",(F849-F847)/E849),"")</f>
        <v/>
      </c>
      <c r="G875" s="1776">
        <f>IFERROR(IF(K844="","",(K849-K844)/F849),"")</f>
        <v/>
      </c>
      <c r="H875" s="1776">
        <f>IFERROR(IF(K845="","",(K849-K845)/F849),"")</f>
        <v/>
      </c>
      <c r="I875" s="1776">
        <f>IFERROR(IF(K846="","",(K849-K846)/F849),"")</f>
        <v/>
      </c>
      <c r="J875" s="1776">
        <f>IFERROR(IF(K847="","",(K849-K847)/F849),"")</f>
        <v/>
      </c>
      <c r="K875" s="1775">
        <f>IFERROR(IF(K847="","",(K849-K847)/F849),"")</f>
        <v/>
      </c>
      <c r="L875" s="1776">
        <f>IFERROR(IF(P844="","",(P849-P844)/K849),"")</f>
        <v/>
      </c>
      <c r="M875" s="1776">
        <f>IFERROR(IF(P845="","",(P849-P845)/K849),"")</f>
        <v/>
      </c>
      <c r="N875" s="1776">
        <f>IFERROR(IF(P846="","",(P849-P846)/K849),"")</f>
        <v/>
      </c>
      <c r="O875" s="1776">
        <f>IFERROR(IF(P847="","",(P849-P847)/K849),"")</f>
        <v/>
      </c>
      <c r="P875" s="1775">
        <f>IFERROR(IF(P847="","",(P849-P847)/K849),"")</f>
        <v/>
      </c>
      <c r="Q875" s="1776">
        <f>IFERROR(IF(U844="","",(U849-U844)/P849),"")</f>
        <v/>
      </c>
      <c r="R875" s="1776">
        <f>IFERROR(IF(U845="","",(U849-U845)/P849),"")</f>
        <v/>
      </c>
      <c r="S875" s="1776">
        <f>IFERROR(IF(U846="","",(U849-U846)/P849),"")</f>
        <v/>
      </c>
      <c r="T875" s="1776">
        <f>IFERROR(IF(U847="","",(U849-U847)/P849),"")</f>
        <v/>
      </c>
      <c r="U875" s="1775">
        <f>IFERROR(IF(U847="","",(U849-U847)/P849),"")</f>
        <v/>
      </c>
      <c r="V875" s="1776">
        <f>IFERROR(IF(Z844="","",(Z849-Z844)/U849),"")</f>
        <v/>
      </c>
      <c r="W875" s="1776">
        <f>IFERROR(IF(Z845="","",(Z849-Z845)/U849),"")</f>
        <v/>
      </c>
      <c r="X875" s="1776">
        <f>IFERROR(IF(Z846="","",(Z849-Z846)/U849),"")</f>
        <v/>
      </c>
      <c r="Y875" s="1776">
        <f>IFERROR(IF(Z847="","",(Z849-Z847)/U849),"")</f>
        <v/>
      </c>
      <c r="Z875" s="1775">
        <f>IFERROR(IF(Z847="","",(Z849-Z847)/U849),"")</f>
        <v/>
      </c>
      <c r="AA875" s="1776">
        <f>IFERROR(IF(AE844="","",(AE849-AE844)/Z849),"")</f>
        <v/>
      </c>
      <c r="AB875" s="1776">
        <f>IFERROR(IF(AE845="","",(AE849-AE845)/Z849),"")</f>
        <v/>
      </c>
      <c r="AC875" s="1776">
        <f>IFERROR(IF(AE846="","",(AE849-AE846)/Z849),"")</f>
        <v/>
      </c>
      <c r="AD875" s="1776">
        <f>IFERROR(IF(AE847="","",(AE849-AE847)/Z849),"")</f>
        <v/>
      </c>
      <c r="AE875" s="1775">
        <f>IFERROR(IF(AE847="","",(AE849-AE847)/Z849),"")</f>
        <v/>
      </c>
      <c r="AF875" s="1776">
        <f>IFERROR(IF(AJ844="","",(AJ849-AJ844)/AE849),"")</f>
        <v/>
      </c>
      <c r="AG875" s="1776">
        <f>IFERROR(IF(AJ845="","",(AJ849-AJ845)/AE849),"")</f>
        <v/>
      </c>
      <c r="AH875" s="1776">
        <f>IFERROR(IF(AJ846="","",(AJ849-AJ846)/AE849),"")</f>
        <v/>
      </c>
      <c r="AI875" s="1776">
        <f>IFERROR(IF(AJ847="","",(AJ849-AJ847)/AE849),"")</f>
        <v/>
      </c>
      <c r="AJ875" s="1775">
        <f>IFERROR(IF(AJ847="","",(AJ849-AJ847)/AE849),"")</f>
        <v/>
      </c>
      <c r="AK875" s="1776">
        <f>IFERROR(IF(AO844="","",(AO849-AO844)/AJ849),"")</f>
        <v/>
      </c>
      <c r="AL875" s="1776">
        <f>IFERROR(IF(AO845="","",(AO849-AO845)/AJ849),"")</f>
        <v/>
      </c>
      <c r="AM875" s="1776">
        <f>IFERROR(IF(AO846="","",(AO849-AO846)/AJ849),"")</f>
        <v/>
      </c>
      <c r="AN875" s="1776">
        <f>IFERROR(IF(AO847="","",(AO849-AO847)/AJ849),"")</f>
        <v/>
      </c>
      <c r="AO875" s="1775">
        <f>IFERROR(IF(AO847="","",(AO849-AO847)/AJ849),"")</f>
        <v/>
      </c>
      <c r="AP875" s="1776">
        <f>IFERROR(IF(AT844="","",(AT849-AT844)/AO849),"")</f>
        <v/>
      </c>
      <c r="AQ875" s="1776">
        <f>IFERROR(IF(AT845="","",(AT849-AT845)/AO849),"")</f>
        <v/>
      </c>
      <c r="AR875" s="1776">
        <f>IFERROR(IF(AT846="","",(AT849-AT846)/AO849),"")</f>
        <v/>
      </c>
      <c r="AS875" s="1776">
        <f>IFERROR(IF(AT847="","",(AT849-AT847)/AO849),"")</f>
        <v/>
      </c>
      <c r="AT875" s="1775">
        <f>IFERROR(IF(AT847="","",(AT849-AT847)/AO849),"")</f>
        <v/>
      </c>
      <c r="AU875" s="1776">
        <f>IFERROR(IF(AY844="","",(AY849-AY844)/AT849),"")</f>
        <v/>
      </c>
      <c r="AV875" s="1776">
        <f>IFERROR(IF(AY845="","",(AY849-AY845)/AT849),"")</f>
        <v/>
      </c>
      <c r="AW875" s="1776">
        <f>IFERROR(IF(AY846="","",(AY849-AY846)/AT849),"")</f>
        <v/>
      </c>
      <c r="AX875" s="1776">
        <f>IFERROR(IF(AY847="","",(AY849-AY847)/AT849),"")</f>
        <v/>
      </c>
      <c r="AY875" s="1775">
        <f>IFERROR(IF(AY847="","",(AY849-AY847)/AT849),"")</f>
        <v/>
      </c>
      <c r="AZ875" s="1776">
        <f>IFERROR(IF(BD844="","",(BD849-BD844)/AY849),"")</f>
        <v/>
      </c>
      <c r="BA875" s="1776">
        <f>IFERROR(IF(BD845="","",(BD849-BD845)/AY849),"")</f>
        <v/>
      </c>
      <c r="BB875" s="1776">
        <f>IFERROR(IF(BD846="","",(BD849-BD846)/AY849),"")</f>
        <v/>
      </c>
      <c r="BC875" s="1776">
        <f>IFERROR(IF(BD847="","",(BD849-BD847)/AY849),"")</f>
        <v/>
      </c>
      <c r="BD875" s="1775">
        <f>IFERROR(IF(BD847="","",(BD849-BD847)/AY849),"")</f>
        <v/>
      </c>
      <c r="BE875" s="1776">
        <f>IFERROR(IF(BI844="","",(BI849-BI844)/BD849),"")</f>
        <v/>
      </c>
      <c r="BF875" s="1776">
        <f>IFERROR(IF(BI845="","",(BI849-BI845)/BD849),"")</f>
        <v/>
      </c>
      <c r="BG875" s="1776">
        <f>IFERROR(IF(BI846="","",(BI849-BI846)/BD849),"")</f>
        <v/>
      </c>
      <c r="BH875" s="1776">
        <f>IFERROR(IF(BI847="","",(BI849-BI847)/BD849),"")</f>
        <v/>
      </c>
      <c r="BI875" s="1775">
        <f>IFERROR(IF(BI847="","",(BI849-BI847)/BD849),"")</f>
        <v/>
      </c>
      <c r="BJ875" s="1776">
        <f>IFERROR(IF(BN844="","",(BN849-BN844)/BI849),"")</f>
        <v/>
      </c>
      <c r="BK875" s="1776">
        <f>IFERROR(IF(BN845="","",(BN849-BN845)/BI849),"")</f>
        <v/>
      </c>
      <c r="BL875" s="1776">
        <f>IFERROR(IF(BN846="","",(BN849-BN846)/BI849),"")</f>
        <v/>
      </c>
      <c r="BM875" s="1776">
        <f>IFERROR(IF(BN847="","",(BN849-BN847)/BI849),"")</f>
        <v/>
      </c>
      <c r="BN875" s="1775">
        <f>IFERROR(IF(BN847="","",(BN849-BN847)/BI849),"")</f>
        <v/>
      </c>
      <c r="BO875" s="1776">
        <f>IFERROR(IF(BS844="","",(BS849-BS844)/BN849),"")</f>
        <v/>
      </c>
      <c r="BP875" s="1776">
        <f>IFERROR(IF(BS845="","",(BS849-BS845)/BN849),"")</f>
        <v/>
      </c>
      <c r="BQ875" s="1777">
        <f>IFERROR(IF(BS846="","",(BS849-BS846)/BN849),"")</f>
        <v/>
      </c>
      <c r="BR875" s="1776">
        <f>IFERROR(IF(BS847="","",(BS849-BS847)/BN849),"")</f>
        <v/>
      </c>
      <c r="BS875" s="1775">
        <f>IFERROR(IF(BS847="","",(BS849-BS847)/BN849),"")</f>
        <v/>
      </c>
      <c r="BT875" s="1776">
        <f>IFERROR(IF(BX844="","",(BX849-BX844)/BS849),"")</f>
        <v/>
      </c>
      <c r="BU875" s="1776">
        <f>IFERROR(IF(BX845="","",(BX849-BX845)/BS849),"")</f>
        <v/>
      </c>
      <c r="BV875" s="1776">
        <f>IFERROR(IF(BX846="","",(BX849-BX846)/BS849),"")</f>
        <v/>
      </c>
      <c r="BW875" s="1776">
        <f>IFERROR(IF(BX847="","",(BX849-BX847)/BS849),"")</f>
        <v/>
      </c>
      <c r="BX875" s="1775">
        <f>IFERROR(IF(BX847="","",(BX849-BX847)/BS849),"")</f>
        <v/>
      </c>
      <c r="BY875" s="1775" t="n"/>
      <c r="BZ875" s="1775" t="n"/>
      <c r="CA875" s="1775" t="n"/>
      <c r="CB875" s="1384" t="n"/>
    </row>
    <row r="876" hidden="1" outlineLevel="2" ht="15" customFormat="1" customHeight="1" s="1359">
      <c r="A876" s="1778" t="inlineStr">
        <is>
          <t>Y/Y annual WAD Adjusted EPS growth, %</t>
        </is>
      </c>
      <c r="B876" s="1769" t="n"/>
      <c r="C876" s="1770" t="n"/>
      <c r="D876" s="1770">
        <f>D849/C849-1</f>
        <v/>
      </c>
      <c r="E876" s="1770">
        <f>E849/D849-1</f>
        <v/>
      </c>
      <c r="F876" s="1770">
        <f>F849/E849-1</f>
        <v/>
      </c>
      <c r="G876" s="1771">
        <f>K849/F849-1</f>
        <v/>
      </c>
      <c r="H876" s="1771">
        <f>K849/F849-1</f>
        <v/>
      </c>
      <c r="I876" s="1771">
        <f>K849/F849-1</f>
        <v/>
      </c>
      <c r="J876" s="1771">
        <f>K849/F849-1</f>
        <v/>
      </c>
      <c r="K876" s="1770">
        <f>K849/F849-1</f>
        <v/>
      </c>
      <c r="L876" s="1771">
        <f>P849/K849-1</f>
        <v/>
      </c>
      <c r="M876" s="1771">
        <f>P849/K849-1</f>
        <v/>
      </c>
      <c r="N876" s="1771">
        <f>P849/K849-1</f>
        <v/>
      </c>
      <c r="O876" s="1771">
        <f>P849/K849-1</f>
        <v/>
      </c>
      <c r="P876" s="1770">
        <f>P849/K849-1</f>
        <v/>
      </c>
      <c r="Q876" s="1771">
        <f>U849/P849-1</f>
        <v/>
      </c>
      <c r="R876" s="1771">
        <f>U849/P849-1</f>
        <v/>
      </c>
      <c r="S876" s="1771">
        <f>U849/P849-1</f>
        <v/>
      </c>
      <c r="T876" s="1771">
        <f>U849/P849-1</f>
        <v/>
      </c>
      <c r="U876" s="1770">
        <f>U849/P849-1</f>
        <v/>
      </c>
      <c r="V876" s="1771">
        <f>Z849/U849-1</f>
        <v/>
      </c>
      <c r="W876" s="1771">
        <f>Z849/U849-1</f>
        <v/>
      </c>
      <c r="X876" s="1771">
        <f>Z849/U849-1</f>
        <v/>
      </c>
      <c r="Y876" s="1771">
        <f>Z849/U849-1</f>
        <v/>
      </c>
      <c r="Z876" s="1770">
        <f>Z849/U849-1</f>
        <v/>
      </c>
      <c r="AA876" s="1771">
        <f>AE849/Z849-1</f>
        <v/>
      </c>
      <c r="AB876" s="1771">
        <f>AE849/Z849-1</f>
        <v/>
      </c>
      <c r="AC876" s="1771">
        <f>AE849/Z849-1</f>
        <v/>
      </c>
      <c r="AD876" s="1771">
        <f>AE849/Z849-1</f>
        <v/>
      </c>
      <c r="AE876" s="1770">
        <f>AE849/Z849-1</f>
        <v/>
      </c>
      <c r="AF876" s="1771">
        <f>AJ849/AE849-1</f>
        <v/>
      </c>
      <c r="AG876" s="1771">
        <f>AJ849/AE849-1</f>
        <v/>
      </c>
      <c r="AH876" s="1771">
        <f>AJ849/AE849-1</f>
        <v/>
      </c>
      <c r="AI876" s="1771">
        <f>AJ849/AE849-1</f>
        <v/>
      </c>
      <c r="AJ876" s="1770">
        <f>AJ849/AE849-1</f>
        <v/>
      </c>
      <c r="AK876" s="1771">
        <f>AO849/AJ849-1</f>
        <v/>
      </c>
      <c r="AL876" s="1771">
        <f>AO849/AJ849-1</f>
        <v/>
      </c>
      <c r="AM876" s="1771">
        <f>AO849/AJ849-1</f>
        <v/>
      </c>
      <c r="AN876" s="1771">
        <f>AO849/AJ849-1</f>
        <v/>
      </c>
      <c r="AO876" s="1770">
        <f>AO849/AJ849-1</f>
        <v/>
      </c>
      <c r="AP876" s="1771">
        <f>AT849/AO849-1</f>
        <v/>
      </c>
      <c r="AQ876" s="1771">
        <f>AT849/AO849-1</f>
        <v/>
      </c>
      <c r="AR876" s="1771">
        <f>AT849/AO849-1</f>
        <v/>
      </c>
      <c r="AS876" s="1771">
        <f>AT849/AO849-1</f>
        <v/>
      </c>
      <c r="AT876" s="1770">
        <f>AT849/AO849-1</f>
        <v/>
      </c>
      <c r="AU876" s="1771">
        <f>AY849/AT849-1</f>
        <v/>
      </c>
      <c r="AV876" s="1771">
        <f>AY849/AT849-1</f>
        <v/>
      </c>
      <c r="AW876" s="1771">
        <f>AY849/AT849-1</f>
        <v/>
      </c>
      <c r="AX876" s="1771">
        <f>AY849/AT849-1</f>
        <v/>
      </c>
      <c r="AY876" s="1770">
        <f>AY849/AT849-1</f>
        <v/>
      </c>
      <c r="AZ876" s="1771">
        <f>BD849/AY849-1</f>
        <v/>
      </c>
      <c r="BA876" s="1771">
        <f>BD849/AY849-1</f>
        <v/>
      </c>
      <c r="BB876" s="1771">
        <f>BD849/AY849-1</f>
        <v/>
      </c>
      <c r="BC876" s="1771">
        <f>BD849/AY849-1</f>
        <v/>
      </c>
      <c r="BD876" s="1770">
        <f>BD849/AY849-1</f>
        <v/>
      </c>
      <c r="BE876" s="1771">
        <f>BI849/BD849-1</f>
        <v/>
      </c>
      <c r="BF876" s="1771">
        <f>BI849/BD849-1</f>
        <v/>
      </c>
      <c r="BG876" s="1771">
        <f>BI849/BD849-1</f>
        <v/>
      </c>
      <c r="BH876" s="1771">
        <f>BI849/BD849-1</f>
        <v/>
      </c>
      <c r="BI876" s="1770">
        <f>BI849/BD849-1</f>
        <v/>
      </c>
      <c r="BJ876" s="1771">
        <f>BN849/BI849-1</f>
        <v/>
      </c>
      <c r="BK876" s="1771">
        <f>BN849/BI849-1</f>
        <v/>
      </c>
      <c r="BL876" s="1771">
        <f>BN849/BI849-1</f>
        <v/>
      </c>
      <c r="BM876" s="1771">
        <f>BN849/BI849-1</f>
        <v/>
      </c>
      <c r="BN876" s="1770">
        <f>BN849/BI849-1</f>
        <v/>
      </c>
      <c r="BO876" s="1771">
        <f>BS849/BN849-1</f>
        <v/>
      </c>
      <c r="BP876" s="1771">
        <f>BS849/BN849-1</f>
        <v/>
      </c>
      <c r="BQ876" s="1772">
        <f>BS849/BN849-1</f>
        <v/>
      </c>
      <c r="BR876" s="1771">
        <f>BS849/BN849-1</f>
        <v/>
      </c>
      <c r="BS876" s="1770">
        <f>BS849/BN849-1</f>
        <v/>
      </c>
      <c r="BT876" s="1771">
        <f>BX849/BS849-1</f>
        <v/>
      </c>
      <c r="BU876" s="1771">
        <f>BX849/BS849-1</f>
        <v/>
      </c>
      <c r="BV876" s="1771">
        <f>BX849/BS849-1</f>
        <v/>
      </c>
      <c r="BW876" s="1771">
        <f>BX849/BS849-1</f>
        <v/>
      </c>
      <c r="BX876" s="1770">
        <f>BX849/BS849-1</f>
        <v/>
      </c>
      <c r="BY876" s="1770">
        <f>BY849/BX849-1</f>
        <v/>
      </c>
      <c r="BZ876" s="1770">
        <f>BZ849/BY849-1</f>
        <v/>
      </c>
      <c r="CA876" s="1770">
        <f>CA849/BZ849-1</f>
        <v/>
      </c>
      <c r="CB876" s="1771" t="n"/>
    </row>
    <row r="877" hidden="1" outlineLevel="2" ht="15" customFormat="1" customHeight="1" s="1359">
      <c r="A877" s="545" t="n"/>
      <c r="B877" s="1512" t="n"/>
      <c r="C877" s="1723" t="n"/>
      <c r="D877" s="1723" t="n"/>
      <c r="E877" s="1723" t="n"/>
      <c r="F877" s="1723" t="n"/>
      <c r="G877" s="1721" t="n"/>
      <c r="H877" s="1721" t="n"/>
      <c r="I877" s="1721" t="n"/>
      <c r="J877" s="1721" t="n"/>
      <c r="K877" s="1723" t="n"/>
      <c r="L877" s="1721" t="n"/>
      <c r="M877" s="1721" t="n"/>
      <c r="N877" s="1721" t="n"/>
      <c r="O877" s="1721" t="n"/>
      <c r="P877" s="1723" t="n"/>
      <c r="Q877" s="1721" t="n"/>
      <c r="R877" s="1721" t="n"/>
      <c r="S877" s="1721" t="n"/>
      <c r="T877" s="1721" t="n"/>
      <c r="U877" s="1723" t="n"/>
      <c r="V877" s="1721" t="n"/>
      <c r="W877" s="1721" t="n"/>
      <c r="X877" s="1721" t="n"/>
      <c r="Y877" s="1721" t="n"/>
      <c r="Z877" s="1723" t="n"/>
      <c r="AA877" s="1721" t="n"/>
      <c r="AB877" s="1721" t="n"/>
      <c r="AC877" s="1721" t="n"/>
      <c r="AD877" s="1721" t="n"/>
      <c r="AE877" s="1723" t="n"/>
      <c r="AF877" s="1721" t="n"/>
      <c r="AG877" s="1721" t="n"/>
      <c r="AH877" s="1721" t="n"/>
      <c r="AI877" s="1721" t="n"/>
      <c r="AJ877" s="1723" t="n"/>
      <c r="AK877" s="1721" t="n"/>
      <c r="AL877" s="1721" t="n"/>
      <c r="AM877" s="1721" t="n"/>
      <c r="AN877" s="1721" t="n"/>
      <c r="AO877" s="1723" t="n"/>
      <c r="AP877" s="1721" t="n"/>
      <c r="AQ877" s="1721" t="n"/>
      <c r="AR877" s="1721" t="n"/>
      <c r="AS877" s="1721" t="n"/>
      <c r="AT877" s="1723" t="n"/>
      <c r="AU877" s="1721" t="n"/>
      <c r="AV877" s="1721" t="n"/>
      <c r="AW877" s="1721" t="n"/>
      <c r="AX877" s="1721" t="n"/>
      <c r="AY877" s="1723" t="n"/>
      <c r="AZ877" s="1721" t="n"/>
      <c r="BA877" s="1721" t="n"/>
      <c r="BB877" s="1721" t="n"/>
      <c r="BC877" s="1721" t="n"/>
      <c r="BD877" s="1723" t="n"/>
      <c r="BE877" s="1721" t="n"/>
      <c r="BF877" s="1721" t="n"/>
      <c r="BG877" s="1721" t="n"/>
      <c r="BH877" s="1721" t="n"/>
      <c r="BI877" s="1723" t="n"/>
      <c r="BJ877" s="1721" t="n"/>
      <c r="BK877" s="1721" t="n"/>
      <c r="BL877" s="1721" t="n"/>
      <c r="BM877" s="1721" t="n"/>
      <c r="BN877" s="1723" t="n"/>
      <c r="BO877" s="1721" t="n"/>
      <c r="BP877" s="1721" t="n"/>
      <c r="BQ877" s="1722" t="n"/>
      <c r="BR877" s="1721" t="n"/>
      <c r="BS877" s="1723" t="n"/>
      <c r="BT877" s="1721" t="n"/>
      <c r="BU877" s="1721" t="n"/>
      <c r="BV877" s="1721" t="n"/>
      <c r="BW877" s="1721" t="n"/>
      <c r="BX877" s="1723" t="n"/>
      <c r="BY877" s="1723" t="n"/>
      <c r="BZ877" s="1723" t="n"/>
      <c r="CA877" s="1723" t="n"/>
      <c r="CB877" s="1361" t="n"/>
    </row>
    <row r="878" hidden="1" outlineLevel="2" ht="15" customFormat="1" customHeight="1" s="1359">
      <c r="A878" s="1783" t="inlineStr">
        <is>
          <t>Forward annual guidance - applicable period, period</t>
        </is>
      </c>
      <c r="B878" s="1784" t="n"/>
      <c r="C878" s="1785" t="n"/>
      <c r="D878" s="1785" t="n"/>
      <c r="E878" s="1785" t="n"/>
      <c r="F878" s="1785" t="n"/>
      <c r="G878" s="1786" t="n"/>
      <c r="H878" s="1786" t="n"/>
      <c r="I878" s="1786" t="n"/>
      <c r="J878" s="1786" t="n"/>
      <c r="K878" s="1785" t="n"/>
      <c r="L878" s="1786" t="n"/>
      <c r="M878" s="1786" t="n"/>
      <c r="N878" s="1786" t="n"/>
      <c r="O878" s="1786" t="n"/>
      <c r="P878" s="1785" t="n"/>
      <c r="Q878" s="1786" t="n"/>
      <c r="R878" s="1786" t="n"/>
      <c r="S878" s="1786" t="n"/>
      <c r="T878" s="1786" t="n"/>
      <c r="U878" s="1785" t="n"/>
      <c r="V878" s="1786" t="n"/>
      <c r="W878" s="1786" t="n"/>
      <c r="X878" s="1786" t="n"/>
      <c r="Y878" s="1786" t="n"/>
      <c r="Z878" s="1785" t="n"/>
      <c r="AA878" s="1786" t="n"/>
      <c r="AB878" s="1786" t="n"/>
      <c r="AC878" s="1786">
        <f>AE5</f>
        <v/>
      </c>
      <c r="AD878" s="1786">
        <f>AJ5</f>
        <v/>
      </c>
      <c r="AE878" s="1785">
        <f>AJ5</f>
        <v/>
      </c>
      <c r="AF878" s="1786">
        <f>AJ5</f>
        <v/>
      </c>
      <c r="AG878" s="1786">
        <f>AJ5</f>
        <v/>
      </c>
      <c r="AH878" s="1786">
        <f>AJ5</f>
        <v/>
      </c>
      <c r="AI878" s="1786">
        <f>AO5</f>
        <v/>
      </c>
      <c r="AJ878" s="1785">
        <f>AO5</f>
        <v/>
      </c>
      <c r="AK878" s="1786">
        <f>AO5</f>
        <v/>
      </c>
      <c r="AL878" s="1786">
        <f>AO5</f>
        <v/>
      </c>
      <c r="AM878" s="1786">
        <f>AO5</f>
        <v/>
      </c>
      <c r="AN878" s="1786">
        <f>AT5</f>
        <v/>
      </c>
      <c r="AO878" s="1785">
        <f>AT5</f>
        <v/>
      </c>
      <c r="AP878" s="1786">
        <f>AT5</f>
        <v/>
      </c>
      <c r="AQ878" s="1786">
        <f>AT5</f>
        <v/>
      </c>
      <c r="AR878" s="1786">
        <f>AT5</f>
        <v/>
      </c>
      <c r="AS878" s="1786">
        <f>AY5</f>
        <v/>
      </c>
      <c r="AT878" s="1785">
        <f>AY5</f>
        <v/>
      </c>
      <c r="AU878" s="1786">
        <f>AY5</f>
        <v/>
      </c>
      <c r="AV878" s="1786">
        <f>AY5</f>
        <v/>
      </c>
      <c r="AW878" s="1786">
        <f>AY5</f>
        <v/>
      </c>
      <c r="AX878" s="1786">
        <f>BD5</f>
        <v/>
      </c>
      <c r="AY878" s="1785">
        <f>BD5</f>
        <v/>
      </c>
      <c r="AZ878" s="1786">
        <f>BD5</f>
        <v/>
      </c>
      <c r="BA878" s="1786">
        <f>BD5</f>
        <v/>
      </c>
      <c r="BB878" s="1786">
        <f>BD5</f>
        <v/>
      </c>
      <c r="BC878" s="1786">
        <f>BI5</f>
        <v/>
      </c>
      <c r="BD878" s="1785">
        <f>BI5</f>
        <v/>
      </c>
      <c r="BE878" s="1786">
        <f>BI5</f>
        <v/>
      </c>
      <c r="BF878" s="1786">
        <f>BI5</f>
        <v/>
      </c>
      <c r="BG878" s="1786">
        <f>BI5</f>
        <v/>
      </c>
      <c r="BH878" s="1786">
        <f>BN5</f>
        <v/>
      </c>
      <c r="BI878" s="1785">
        <f>BN5</f>
        <v/>
      </c>
      <c r="BJ878" s="1786">
        <f>BN5</f>
        <v/>
      </c>
      <c r="BK878" s="1786">
        <f>BN5</f>
        <v/>
      </c>
      <c r="BL878" s="1786">
        <f>BN5</f>
        <v/>
      </c>
      <c r="BM878" s="1786">
        <f>BS5</f>
        <v/>
      </c>
      <c r="BN878" s="1785">
        <f>BS5</f>
        <v/>
      </c>
      <c r="BO878" s="1786">
        <f>BS5</f>
        <v/>
      </c>
      <c r="BP878" s="1786">
        <f>BS5</f>
        <v/>
      </c>
      <c r="BQ878" s="1787">
        <f>BS5</f>
        <v/>
      </c>
      <c r="BR878" s="1786" t="n"/>
      <c r="BS878" s="1785" t="n"/>
      <c r="BT878" s="1786" t="n"/>
      <c r="BU878" s="1786" t="n"/>
      <c r="BV878" s="1786" t="n"/>
      <c r="BW878" s="1786" t="n"/>
      <c r="BX878" s="1785" t="n"/>
      <c r="BY878" s="1785" t="n"/>
      <c r="BZ878" s="1785" t="n"/>
      <c r="CA878" s="1785" t="n"/>
      <c r="CB878" s="1788" t="n"/>
    </row>
    <row r="879" hidden="1" outlineLevel="3" ht="15" customFormat="1" customHeight="1" s="1359">
      <c r="A879" s="1508" t="inlineStr">
        <is>
          <t>Forward annual WAD adjusted net income guidance - low, mm</t>
        </is>
      </c>
      <c r="B879" s="1512" t="n"/>
      <c r="C879" s="1379" t="n"/>
      <c r="D879" s="1379" t="n"/>
      <c r="E879" s="1379" t="n"/>
      <c r="F879" s="1379" t="n"/>
      <c r="G879" s="1361" t="n"/>
      <c r="H879" s="1361" t="n"/>
      <c r="I879" s="1361" t="n"/>
      <c r="J879" s="1361" t="n"/>
      <c r="K879" s="1379" t="n"/>
      <c r="L879" s="1361" t="n"/>
      <c r="M879" s="1361" t="n"/>
      <c r="N879" s="1361" t="n"/>
      <c r="O879" s="1361" t="n"/>
      <c r="P879" s="1379" t="n"/>
      <c r="Q879" s="1361" t="n"/>
      <c r="R879" s="1361" t="n"/>
      <c r="S879" s="1361" t="n"/>
      <c r="T879" s="1361" t="n"/>
      <c r="U879" s="1379" t="n"/>
      <c r="V879" s="1361" t="n"/>
      <c r="W879" s="1361" t="n"/>
      <c r="X879" s="1361" t="n"/>
      <c r="Y879" s="1361" t="n"/>
      <c r="Z879" s="1379" t="n"/>
      <c r="AA879" s="1361" t="n"/>
      <c r="AB879" s="1361" t="n"/>
      <c r="AC879" s="1361">
        <f>IFERROR(AC881*AC880,"")</f>
        <v/>
      </c>
      <c r="AD879" s="1361">
        <f>IFERROR(AD881*AD880,"")</f>
        <v/>
      </c>
      <c r="AE879" s="1379">
        <f>IFERROR(AE881*AE880,"")</f>
        <v/>
      </c>
      <c r="AF879" s="1361">
        <f>IFERROR(AF881*AF880,"")</f>
        <v/>
      </c>
      <c r="AG879" s="1361">
        <f>IFERROR(AG881*AG880,"")</f>
        <v/>
      </c>
      <c r="AH879" s="1361">
        <f>IFERROR(AH881*AH880,"")</f>
        <v/>
      </c>
      <c r="AI879" s="1361">
        <f>IFERROR(AI881*AI880,"")</f>
        <v/>
      </c>
      <c r="AJ879" s="1379">
        <f>IFERROR(AJ881*AJ880,"")</f>
        <v/>
      </c>
      <c r="AK879" s="1361">
        <f>IFERROR(AK881*AK880,"")</f>
        <v/>
      </c>
      <c r="AL879" s="1361">
        <f>IFERROR(AL881*AL880,"")</f>
        <v/>
      </c>
      <c r="AM879" s="1361">
        <f>IFERROR(AM881*AM880,"")</f>
        <v/>
      </c>
      <c r="AN879" s="1361">
        <f>IFERROR(AN881*AN880,"")</f>
        <v/>
      </c>
      <c r="AO879" s="1379">
        <f>IFERROR(AO881*AO880,"")</f>
        <v/>
      </c>
      <c r="AP879" s="1361">
        <f>IFERROR(AP881*AP880,"")</f>
        <v/>
      </c>
      <c r="AQ879" s="1361">
        <f>IFERROR(AQ881*AQ880,"")</f>
        <v/>
      </c>
      <c r="AR879" s="1361">
        <f>IFERROR(AR881*AR880,"")</f>
        <v/>
      </c>
      <c r="AS879" s="1361">
        <f>IFERROR(AS881*AS880,"")</f>
        <v/>
      </c>
      <c r="AT879" s="1379">
        <f>IFERROR(AT881*AT880,"")</f>
        <v/>
      </c>
      <c r="AU879" s="1361">
        <f>IFERROR(AU881*AU880,"")</f>
        <v/>
      </c>
      <c r="AV879" s="1361">
        <f>IFERROR(AV881*AV880,"")</f>
        <v/>
      </c>
      <c r="AW879" s="1361">
        <f>IFERROR(AW881*AW880,"")</f>
        <v/>
      </c>
      <c r="AX879" s="1361">
        <f>IFERROR(AX881*AX880,"")</f>
        <v/>
      </c>
      <c r="AY879" s="1379">
        <f>IFERROR(AY881*AY880,"")</f>
        <v/>
      </c>
      <c r="AZ879" s="1361">
        <f>IFERROR(AZ881*AZ880,"")</f>
        <v/>
      </c>
      <c r="BA879" s="1361">
        <f>IFERROR(BA881*BA880,"")</f>
        <v/>
      </c>
      <c r="BB879" s="1361">
        <f>IFERROR(BB881*BB880,"")</f>
        <v/>
      </c>
      <c r="BC879" s="1361">
        <f>IFERROR(BC881*BC880,"")</f>
        <v/>
      </c>
      <c r="BD879" s="1379">
        <f>IFERROR(BD881*BD880,"")</f>
        <v/>
      </c>
      <c r="BE879" s="1361">
        <f>IFERROR(BE881*BE880,"")</f>
        <v/>
      </c>
      <c r="BF879" s="1361">
        <f>IFERROR(BF881*BF880,"")</f>
        <v/>
      </c>
      <c r="BG879" s="1361">
        <f>IFERROR(BG881*BG880,"")</f>
        <v/>
      </c>
      <c r="BH879" s="1361">
        <f>IFERROR(BH881*BH880,"")</f>
        <v/>
      </c>
      <c r="BI879" s="1379">
        <f>IFERROR(BI881*BI880,"")</f>
        <v/>
      </c>
      <c r="BJ879" s="1361">
        <f>IFERROR(BJ881*BJ880,"")</f>
        <v/>
      </c>
      <c r="BK879" s="1361">
        <f>IFERROR(BK881*BK880,"")</f>
        <v/>
      </c>
      <c r="BL879" s="1361">
        <f>IFERROR(BL881*BL880,"")</f>
        <v/>
      </c>
      <c r="BM879" s="1361">
        <f>IFERROR(BM881*BM880,"")</f>
        <v/>
      </c>
      <c r="BN879" s="1379">
        <f>IFERROR(BN881*BN880,"")</f>
        <v/>
      </c>
      <c r="BO879" s="1361">
        <f>IFERROR(BO881*BO880,"")</f>
        <v/>
      </c>
      <c r="BP879" s="1361">
        <f>IFERROR(BP881*BP880,"")</f>
        <v/>
      </c>
      <c r="BQ879" s="1363">
        <f>IFERROR(BQ881*BQ880,"")</f>
        <v/>
      </c>
      <c r="BR879" s="1361" t="n"/>
      <c r="BS879" s="1379" t="n"/>
      <c r="BT879" s="1361" t="n"/>
      <c r="BU879" s="1361" t="n"/>
      <c r="BV879" s="1361" t="n"/>
      <c r="BW879" s="1361" t="n"/>
      <c r="BX879" s="1379" t="n"/>
      <c r="BY879" s="1379" t="n"/>
      <c r="BZ879" s="1379" t="n"/>
      <c r="CA879" s="1379" t="n"/>
      <c r="CB879" s="1361" t="n"/>
    </row>
    <row r="880" hidden="1" outlineLevel="3" ht="15" customFormat="1" customHeight="1" s="1359">
      <c r="A880" s="1762" t="inlineStr">
        <is>
          <t>Forward annual WAD adjusted shares guidance - low, mm shares</t>
        </is>
      </c>
      <c r="B880" s="1613" t="n"/>
      <c r="C880" s="1614" t="n"/>
      <c r="D880" s="1614" t="n"/>
      <c r="E880" s="1614" t="n"/>
      <c r="F880" s="1614" t="n"/>
      <c r="G880" s="1615" t="n"/>
      <c r="H880" s="1615" t="n"/>
      <c r="I880" s="1615" t="n"/>
      <c r="J880" s="1615" t="n"/>
      <c r="K880" s="1614" t="n"/>
      <c r="L880" s="1615" t="n"/>
      <c r="M880" s="1615" t="n"/>
      <c r="N880" s="1615" t="n"/>
      <c r="O880" s="1615" t="n"/>
      <c r="P880" s="1614" t="n"/>
      <c r="Q880" s="1615" t="n"/>
      <c r="R880" s="1615" t="n"/>
      <c r="S880" s="1615" t="n"/>
      <c r="T880" s="1615" t="n"/>
      <c r="U880" s="1614" t="n"/>
      <c r="V880" s="1615" t="n"/>
      <c r="W880" s="1615" t="n"/>
      <c r="X880" s="1615" t="n"/>
      <c r="Y880" s="1615" t="n"/>
      <c r="Z880" s="1614" t="n"/>
      <c r="AA880" s="1615" t="n"/>
      <c r="AB880" s="1615" t="n"/>
      <c r="AC880" s="1615">
        <f>AC1364</f>
        <v/>
      </c>
      <c r="AD880" s="1615">
        <f>AD1364</f>
        <v/>
      </c>
      <c r="AE880" s="1614">
        <f>AE1364</f>
        <v/>
      </c>
      <c r="AF880" s="1615">
        <f>AF1364</f>
        <v/>
      </c>
      <c r="AG880" s="1615">
        <f>AG1364</f>
        <v/>
      </c>
      <c r="AH880" s="1615">
        <f>AH1364</f>
        <v/>
      </c>
      <c r="AI880" s="1615">
        <f>AI1364</f>
        <v/>
      </c>
      <c r="AJ880" s="1614">
        <f>AJ1364</f>
        <v/>
      </c>
      <c r="AK880" s="1615">
        <f>AK1364</f>
        <v/>
      </c>
      <c r="AL880" s="1615">
        <f>AL1364</f>
        <v/>
      </c>
      <c r="AM880" s="1615">
        <f>AM1364</f>
        <v/>
      </c>
      <c r="AN880" s="1615">
        <f>AN1364</f>
        <v/>
      </c>
      <c r="AO880" s="1614">
        <f>AO1364</f>
        <v/>
      </c>
      <c r="AP880" s="1615">
        <f>AP1364</f>
        <v/>
      </c>
      <c r="AQ880" s="1615">
        <f>AQ1364</f>
        <v/>
      </c>
      <c r="AR880" s="1615">
        <f>AR1364</f>
        <v/>
      </c>
      <c r="AS880" s="1615">
        <f>AS1364</f>
        <v/>
      </c>
      <c r="AT880" s="1614">
        <f>AT1364</f>
        <v/>
      </c>
      <c r="AU880" s="1615">
        <f>AU1364</f>
        <v/>
      </c>
      <c r="AV880" s="1615">
        <f>AV1364</f>
        <v/>
      </c>
      <c r="AW880" s="1615">
        <f>AW1364</f>
        <v/>
      </c>
      <c r="AX880" s="1615">
        <f>AX1364</f>
        <v/>
      </c>
      <c r="AY880" s="1614">
        <f>AY1364</f>
        <v/>
      </c>
      <c r="AZ880" s="1615">
        <f>AZ1364</f>
        <v/>
      </c>
      <c r="BA880" s="1615">
        <f>BA1364</f>
        <v/>
      </c>
      <c r="BB880" s="1615">
        <f>BB1364</f>
        <v/>
      </c>
      <c r="BC880" s="1615">
        <f>BC1364</f>
        <v/>
      </c>
      <c r="BD880" s="1614">
        <f>BD1364</f>
        <v/>
      </c>
      <c r="BE880" s="1615">
        <f>BE1364</f>
        <v/>
      </c>
      <c r="BF880" s="1615">
        <f>BF1364</f>
        <v/>
      </c>
      <c r="BG880" s="1615">
        <f>BG1364</f>
        <v/>
      </c>
      <c r="BH880" s="1615">
        <f>BH1364</f>
        <v/>
      </c>
      <c r="BI880" s="1614">
        <f>BI1364</f>
        <v/>
      </c>
      <c r="BJ880" s="1615">
        <f>BJ1364</f>
        <v/>
      </c>
      <c r="BK880" s="1615">
        <f>BK1364</f>
        <v/>
      </c>
      <c r="BL880" s="1615">
        <f>BL1364</f>
        <v/>
      </c>
      <c r="BM880" s="1615">
        <f>BM1364</f>
        <v/>
      </c>
      <c r="BN880" s="1614">
        <f>BN1364</f>
        <v/>
      </c>
      <c r="BO880" s="1615">
        <f>BO1364</f>
        <v/>
      </c>
      <c r="BP880" s="1615">
        <f>BP1364</f>
        <v/>
      </c>
      <c r="BQ880" s="1616">
        <f>BQ1364</f>
        <v/>
      </c>
      <c r="BR880" s="1615" t="n"/>
      <c r="BS880" s="1614" t="n"/>
      <c r="BT880" s="1615" t="n"/>
      <c r="BU880" s="1615" t="n"/>
      <c r="BV880" s="1615" t="n"/>
      <c r="BW880" s="1615" t="n"/>
      <c r="BX880" s="1614" t="n"/>
      <c r="BY880" s="1614" t="n"/>
      <c r="BZ880" s="1614" t="n"/>
      <c r="CA880" s="1614" t="n"/>
      <c r="CB880" s="1361" t="n"/>
    </row>
    <row r="881" hidden="1" outlineLevel="3" ht="15" customFormat="1" customHeight="1" s="1359">
      <c r="A881" s="1719" t="inlineStr">
        <is>
          <t>Forward annual WAD Adjusted EPS guidance - low, $/share</t>
        </is>
      </c>
      <c r="B881" s="1512" t="n"/>
      <c r="C881" s="1723" t="n"/>
      <c r="D881" s="1723" t="n"/>
      <c r="E881" s="1723" t="n"/>
      <c r="F881" s="1723" t="n"/>
      <c r="G881" s="1721" t="n"/>
      <c r="H881" s="1721" t="n"/>
      <c r="I881" s="1721" t="n"/>
      <c r="J881" s="1721" t="n"/>
      <c r="K881" s="1723" t="n"/>
      <c r="L881" s="1721" t="n"/>
      <c r="M881" s="1721" t="n"/>
      <c r="N881" s="1721" t="n"/>
      <c r="O881" s="1721" t="n"/>
      <c r="P881" s="1723" t="n"/>
      <c r="Q881" s="1721" t="n"/>
      <c r="R881" s="1721" t="n"/>
      <c r="S881" s="1721" t="n"/>
      <c r="T881" s="1721" t="n"/>
      <c r="U881" s="1723" t="n"/>
      <c r="V881" s="1721" t="n"/>
      <c r="W881" s="1721" t="n"/>
      <c r="X881" s="1721" t="n"/>
      <c r="Y881" s="1721" t="n"/>
      <c r="Z881" s="1723" t="n"/>
      <c r="AA881" s="1721" t="n"/>
      <c r="AB881" s="1721" t="n"/>
      <c r="AC881" s="1721">
        <f>AC1361</f>
        <v/>
      </c>
      <c r="AD881" s="1721">
        <f>AD1361</f>
        <v/>
      </c>
      <c r="AE881" s="1723">
        <f>AE1361</f>
        <v/>
      </c>
      <c r="AF881" s="1721">
        <f>AF1361</f>
        <v/>
      </c>
      <c r="AG881" s="1721">
        <f>AG1361</f>
        <v/>
      </c>
      <c r="AH881" s="1721">
        <f>AH1361</f>
        <v/>
      </c>
      <c r="AI881" s="1721">
        <f>AI1361</f>
        <v/>
      </c>
      <c r="AJ881" s="1723">
        <f>AJ1361</f>
        <v/>
      </c>
      <c r="AK881" s="1721">
        <f>AK1361</f>
        <v/>
      </c>
      <c r="AL881" s="1721">
        <f>AL1361</f>
        <v/>
      </c>
      <c r="AM881" s="1721">
        <f>AM1361</f>
        <v/>
      </c>
      <c r="AN881" s="1721">
        <f>AN1361</f>
        <v/>
      </c>
      <c r="AO881" s="1723">
        <f>AO1361</f>
        <v/>
      </c>
      <c r="AP881" s="1721">
        <f>AP1361</f>
        <v/>
      </c>
      <c r="AQ881" s="1721">
        <f>AQ1361</f>
        <v/>
      </c>
      <c r="AR881" s="1721">
        <f>AR1361</f>
        <v/>
      </c>
      <c r="AS881" s="1721">
        <f>AS1361</f>
        <v/>
      </c>
      <c r="AT881" s="1723">
        <f>AT1361</f>
        <v/>
      </c>
      <c r="AU881" s="1721">
        <f>AU1361</f>
        <v/>
      </c>
      <c r="AV881" s="1721">
        <f>AV1361</f>
        <v/>
      </c>
      <c r="AW881" s="1721">
        <f>AW1361</f>
        <v/>
      </c>
      <c r="AX881" s="1721">
        <f>AX1361</f>
        <v/>
      </c>
      <c r="AY881" s="1723">
        <f>AY1361</f>
        <v/>
      </c>
      <c r="AZ881" s="1721">
        <f>AZ1361</f>
        <v/>
      </c>
      <c r="BA881" s="1721">
        <f>BA1361</f>
        <v/>
      </c>
      <c r="BB881" s="1721">
        <f>BB1361</f>
        <v/>
      </c>
      <c r="BC881" s="1721">
        <f>BC1361</f>
        <v/>
      </c>
      <c r="BD881" s="1723">
        <f>BD1361</f>
        <v/>
      </c>
      <c r="BE881" s="1721">
        <f>BE1361</f>
        <v/>
      </c>
      <c r="BF881" s="1721">
        <f>BF1361</f>
        <v/>
      </c>
      <c r="BG881" s="1721">
        <f>BG1361</f>
        <v/>
      </c>
      <c r="BH881" s="1721">
        <f>BH1361</f>
        <v/>
      </c>
      <c r="BI881" s="1723">
        <f>BI1361</f>
        <v/>
      </c>
      <c r="BJ881" s="1721">
        <f>BJ1361</f>
        <v/>
      </c>
      <c r="BK881" s="1721">
        <f>BK1361</f>
        <v/>
      </c>
      <c r="BL881" s="1721">
        <f>BL1361</f>
        <v/>
      </c>
      <c r="BM881" s="1721">
        <f>BM1361</f>
        <v/>
      </c>
      <c r="BN881" s="1723">
        <f>BN1361</f>
        <v/>
      </c>
      <c r="BO881" s="1721">
        <f>BO1361</f>
        <v/>
      </c>
      <c r="BP881" s="1721">
        <f>BP1361</f>
        <v/>
      </c>
      <c r="BQ881" s="1722">
        <f>BQ1361</f>
        <v/>
      </c>
      <c r="BR881" s="1721" t="n"/>
      <c r="BS881" s="1723" t="n"/>
      <c r="BT881" s="1721" t="n"/>
      <c r="BU881" s="1721" t="n"/>
      <c r="BV881" s="1721" t="n"/>
      <c r="BW881" s="1721" t="n"/>
      <c r="BX881" s="1723" t="n"/>
      <c r="BY881" s="1723" t="n"/>
      <c r="BZ881" s="1723" t="n"/>
      <c r="CA881" s="1723" t="n"/>
      <c r="CB881" s="1721" t="n"/>
    </row>
    <row r="882" hidden="1" outlineLevel="3" ht="15" customFormat="1" customHeight="1" s="1359">
      <c r="A882" s="1508" t="inlineStr">
        <is>
          <t>Forward annual WAD adjusted net income guidance - high, mm</t>
        </is>
      </c>
      <c r="B882" s="1512" t="n"/>
      <c r="C882" s="1379" t="n"/>
      <c r="D882" s="1379" t="n"/>
      <c r="E882" s="1379" t="n"/>
      <c r="F882" s="1379" t="n"/>
      <c r="G882" s="1361" t="n"/>
      <c r="H882" s="1361" t="n"/>
      <c r="I882" s="1361" t="n"/>
      <c r="J882" s="1361" t="n"/>
      <c r="K882" s="1379" t="n"/>
      <c r="L882" s="1361" t="n"/>
      <c r="M882" s="1361" t="n"/>
      <c r="N882" s="1361" t="n"/>
      <c r="O882" s="1361" t="n"/>
      <c r="P882" s="1379" t="n"/>
      <c r="Q882" s="1361" t="n"/>
      <c r="R882" s="1361" t="n"/>
      <c r="S882" s="1361" t="n"/>
      <c r="T882" s="1361" t="n"/>
      <c r="U882" s="1379" t="n"/>
      <c r="V882" s="1361" t="n"/>
      <c r="W882" s="1361" t="n"/>
      <c r="X882" s="1361" t="n"/>
      <c r="Y882" s="1361" t="n"/>
      <c r="Z882" s="1379" t="n"/>
      <c r="AA882" s="1361" t="n"/>
      <c r="AB882" s="1361" t="n"/>
      <c r="AC882" s="1361">
        <f>IFERROR(AC884*AC883,"")</f>
        <v/>
      </c>
      <c r="AD882" s="1361">
        <f>IFERROR(AD884*AD883,"")</f>
        <v/>
      </c>
      <c r="AE882" s="1379">
        <f>IFERROR(AE884*AE883,"")</f>
        <v/>
      </c>
      <c r="AF882" s="1361">
        <f>IFERROR(AF884*AF883,"")</f>
        <v/>
      </c>
      <c r="AG882" s="1361">
        <f>IFERROR(AG884*AG883,"")</f>
        <v/>
      </c>
      <c r="AH882" s="1361">
        <f>IFERROR(AH884*AH883,"")</f>
        <v/>
      </c>
      <c r="AI882" s="1361">
        <f>IFERROR(AI884*AI883,"")</f>
        <v/>
      </c>
      <c r="AJ882" s="1379">
        <f>IFERROR(AJ884*AJ883,"")</f>
        <v/>
      </c>
      <c r="AK882" s="1361">
        <f>IFERROR(AK884*AK883,"")</f>
        <v/>
      </c>
      <c r="AL882" s="1361">
        <f>IFERROR(AL884*AL883,"")</f>
        <v/>
      </c>
      <c r="AM882" s="1361">
        <f>IFERROR(AM884*AM883,"")</f>
        <v/>
      </c>
      <c r="AN882" s="1361">
        <f>IFERROR(AN884*AN883,"")</f>
        <v/>
      </c>
      <c r="AO882" s="1379">
        <f>IFERROR(AO884*AO883,"")</f>
        <v/>
      </c>
      <c r="AP882" s="1361">
        <f>IFERROR(AP884*AP883,"")</f>
        <v/>
      </c>
      <c r="AQ882" s="1361">
        <f>IFERROR(AQ884*AQ883,"")</f>
        <v/>
      </c>
      <c r="AR882" s="1361">
        <f>IFERROR(AR884*AR883,"")</f>
        <v/>
      </c>
      <c r="AS882" s="1361">
        <f>IFERROR(AS884*AS883,"")</f>
        <v/>
      </c>
      <c r="AT882" s="1379">
        <f>IFERROR(AT884*AT883,"")</f>
        <v/>
      </c>
      <c r="AU882" s="1361">
        <f>IFERROR(AU884*AU883,"")</f>
        <v/>
      </c>
      <c r="AV882" s="1361">
        <f>IFERROR(AV884*AV883,"")</f>
        <v/>
      </c>
      <c r="AW882" s="1361">
        <f>IFERROR(AW884*AW883,"")</f>
        <v/>
      </c>
      <c r="AX882" s="1361">
        <f>IFERROR(AX884*AX883,"")</f>
        <v/>
      </c>
      <c r="AY882" s="1379">
        <f>IFERROR(AY884*AY883,"")</f>
        <v/>
      </c>
      <c r="AZ882" s="1361">
        <f>IFERROR(AZ884*AZ883,"")</f>
        <v/>
      </c>
      <c r="BA882" s="1361">
        <f>IFERROR(BA884*BA883,"")</f>
        <v/>
      </c>
      <c r="BB882" s="1361">
        <f>IFERROR(BB884*BB883,"")</f>
        <v/>
      </c>
      <c r="BC882" s="1361">
        <f>IFERROR(BC884*BC883,"")</f>
        <v/>
      </c>
      <c r="BD882" s="1379">
        <f>IFERROR(BD884*BD883,"")</f>
        <v/>
      </c>
      <c r="BE882" s="1361">
        <f>IFERROR(BE884*BE883,"")</f>
        <v/>
      </c>
      <c r="BF882" s="1361">
        <f>IFERROR(BF884*BF883,"")</f>
        <v/>
      </c>
      <c r="BG882" s="1361">
        <f>IFERROR(BG884*BG883,"")</f>
        <v/>
      </c>
      <c r="BH882" s="1361">
        <f>IFERROR(BH884*BH883,"")</f>
        <v/>
      </c>
      <c r="BI882" s="1379">
        <f>IFERROR(BI884*BI883,"")</f>
        <v/>
      </c>
      <c r="BJ882" s="1361">
        <f>IFERROR(BJ884*BJ883,"")</f>
        <v/>
      </c>
      <c r="BK882" s="1361">
        <f>IFERROR(BK884*BK883,"")</f>
        <v/>
      </c>
      <c r="BL882" s="1361">
        <f>IFERROR(BL884*BL883,"")</f>
        <v/>
      </c>
      <c r="BM882" s="1361">
        <f>IFERROR(BM884*BM883,"")</f>
        <v/>
      </c>
      <c r="BN882" s="1379">
        <f>IFERROR(BN884*BN883,"")</f>
        <v/>
      </c>
      <c r="BO882" s="1361">
        <f>IFERROR(BO884*BO883,"")</f>
        <v/>
      </c>
      <c r="BP882" s="1361">
        <f>IFERROR(BP884*BP883,"")</f>
        <v/>
      </c>
      <c r="BQ882" s="1363">
        <f>IFERROR(BQ884*BQ883,"")</f>
        <v/>
      </c>
      <c r="BR882" s="1361" t="n"/>
      <c r="BS882" s="1379" t="n"/>
      <c r="BT882" s="1361" t="n"/>
      <c r="BU882" s="1361" t="n"/>
      <c r="BV882" s="1361" t="n"/>
      <c r="BW882" s="1361" t="n"/>
      <c r="BX882" s="1379" t="n"/>
      <c r="BY882" s="1379" t="n"/>
      <c r="BZ882" s="1379" t="n"/>
      <c r="CA882" s="1379" t="n"/>
      <c r="CB882" s="1361" t="n"/>
    </row>
    <row r="883" hidden="1" outlineLevel="3" ht="15" customFormat="1" customHeight="1" s="1359">
      <c r="A883" s="1762" t="inlineStr">
        <is>
          <t>Forward annual WAD adjusted shares guidance - high, mm shares</t>
        </is>
      </c>
      <c r="B883" s="1613" t="n"/>
      <c r="C883" s="1614" t="n"/>
      <c r="D883" s="1614" t="n"/>
      <c r="E883" s="1614" t="n"/>
      <c r="F883" s="1614" t="n"/>
      <c r="G883" s="1615" t="n"/>
      <c r="H883" s="1615" t="n"/>
      <c r="I883" s="1615" t="n"/>
      <c r="J883" s="1615" t="n"/>
      <c r="K883" s="1614" t="n"/>
      <c r="L883" s="1615" t="n"/>
      <c r="M883" s="1615" t="n"/>
      <c r="N883" s="1615" t="n"/>
      <c r="O883" s="1615" t="n"/>
      <c r="P883" s="1614" t="n"/>
      <c r="Q883" s="1615" t="n"/>
      <c r="R883" s="1615" t="n"/>
      <c r="S883" s="1615" t="n"/>
      <c r="T883" s="1615" t="n"/>
      <c r="U883" s="1614" t="n"/>
      <c r="V883" s="1615" t="n"/>
      <c r="W883" s="1615" t="n"/>
      <c r="X883" s="1615" t="n"/>
      <c r="Y883" s="1615" t="n"/>
      <c r="Z883" s="1614" t="n"/>
      <c r="AA883" s="1615" t="n"/>
      <c r="AB883" s="1615" t="n"/>
      <c r="AC883" s="1615">
        <f>AC1365</f>
        <v/>
      </c>
      <c r="AD883" s="1615">
        <f>AD1365</f>
        <v/>
      </c>
      <c r="AE883" s="1614">
        <f>AE1365</f>
        <v/>
      </c>
      <c r="AF883" s="1615">
        <f>AF1365</f>
        <v/>
      </c>
      <c r="AG883" s="1615">
        <f>AG1365</f>
        <v/>
      </c>
      <c r="AH883" s="1615">
        <f>AH1365</f>
        <v/>
      </c>
      <c r="AI883" s="1615">
        <f>AI1365</f>
        <v/>
      </c>
      <c r="AJ883" s="1614">
        <f>AJ1365</f>
        <v/>
      </c>
      <c r="AK883" s="1615">
        <f>AK1365</f>
        <v/>
      </c>
      <c r="AL883" s="1615">
        <f>AL1365</f>
        <v/>
      </c>
      <c r="AM883" s="1615">
        <f>AM1365</f>
        <v/>
      </c>
      <c r="AN883" s="1615">
        <f>AN1365</f>
        <v/>
      </c>
      <c r="AO883" s="1614">
        <f>AO1365</f>
        <v/>
      </c>
      <c r="AP883" s="1615">
        <f>AP1365</f>
        <v/>
      </c>
      <c r="AQ883" s="1615">
        <f>AQ1365</f>
        <v/>
      </c>
      <c r="AR883" s="1615">
        <f>AR1365</f>
        <v/>
      </c>
      <c r="AS883" s="1615">
        <f>AS1365</f>
        <v/>
      </c>
      <c r="AT883" s="1614">
        <f>AT1365</f>
        <v/>
      </c>
      <c r="AU883" s="1615">
        <f>AU1365</f>
        <v/>
      </c>
      <c r="AV883" s="1615">
        <f>AV1365</f>
        <v/>
      </c>
      <c r="AW883" s="1615">
        <f>AW1365</f>
        <v/>
      </c>
      <c r="AX883" s="1615">
        <f>AX1365</f>
        <v/>
      </c>
      <c r="AY883" s="1614">
        <f>AY1365</f>
        <v/>
      </c>
      <c r="AZ883" s="1615">
        <f>AZ1365</f>
        <v/>
      </c>
      <c r="BA883" s="1615">
        <f>BA1365</f>
        <v/>
      </c>
      <c r="BB883" s="1615">
        <f>BB1365</f>
        <v/>
      </c>
      <c r="BC883" s="1615">
        <f>BC1365</f>
        <v/>
      </c>
      <c r="BD883" s="1614">
        <f>BD1365</f>
        <v/>
      </c>
      <c r="BE883" s="1615">
        <f>BE1365</f>
        <v/>
      </c>
      <c r="BF883" s="1615">
        <f>BF1365</f>
        <v/>
      </c>
      <c r="BG883" s="1615">
        <f>BG1365</f>
        <v/>
      </c>
      <c r="BH883" s="1615">
        <f>BH1365</f>
        <v/>
      </c>
      <c r="BI883" s="1614">
        <f>BI1365</f>
        <v/>
      </c>
      <c r="BJ883" s="1615">
        <f>BJ1365</f>
        <v/>
      </c>
      <c r="BK883" s="1615">
        <f>BK1365</f>
        <v/>
      </c>
      <c r="BL883" s="1615">
        <f>BL1365</f>
        <v/>
      </c>
      <c r="BM883" s="1615">
        <f>BM1365</f>
        <v/>
      </c>
      <c r="BN883" s="1614">
        <f>BN1365</f>
        <v/>
      </c>
      <c r="BO883" s="1615">
        <f>BO1365</f>
        <v/>
      </c>
      <c r="BP883" s="1615">
        <f>BP1365</f>
        <v/>
      </c>
      <c r="BQ883" s="1616">
        <f>BQ1365</f>
        <v/>
      </c>
      <c r="BR883" s="1615" t="n"/>
      <c r="BS883" s="1614" t="n"/>
      <c r="BT883" s="1615" t="n"/>
      <c r="BU883" s="1615" t="n"/>
      <c r="BV883" s="1615" t="n"/>
      <c r="BW883" s="1615" t="n"/>
      <c r="BX883" s="1614" t="n"/>
      <c r="BY883" s="1614" t="n"/>
      <c r="BZ883" s="1614" t="n"/>
      <c r="CA883" s="1614" t="n"/>
      <c r="CB883" s="1361" t="n"/>
    </row>
    <row r="884" hidden="1" outlineLevel="3" ht="15" customFormat="1" customHeight="1" s="1359">
      <c r="A884" s="1811" t="inlineStr">
        <is>
          <t>Forward annual WAD Adjusted EPS guidance - high, $/share</t>
        </is>
      </c>
      <c r="B884" s="1613" t="n"/>
      <c r="C884" s="1812" t="n"/>
      <c r="D884" s="1812" t="n"/>
      <c r="E884" s="1812" t="n"/>
      <c r="F884" s="1812" t="n"/>
      <c r="G884" s="1813" t="n"/>
      <c r="H884" s="1813" t="n"/>
      <c r="I884" s="1813" t="n"/>
      <c r="J884" s="1813" t="n"/>
      <c r="K884" s="1812" t="n"/>
      <c r="L884" s="1813" t="n"/>
      <c r="M884" s="1813" t="n"/>
      <c r="N884" s="1813" t="n"/>
      <c r="O884" s="1813" t="n"/>
      <c r="P884" s="1812" t="n"/>
      <c r="Q884" s="1813" t="n"/>
      <c r="R884" s="1813" t="n"/>
      <c r="S884" s="1813" t="n"/>
      <c r="T884" s="1813" t="n"/>
      <c r="U884" s="1812" t="n"/>
      <c r="V884" s="1813" t="n"/>
      <c r="W884" s="1813" t="n"/>
      <c r="X884" s="1813" t="n"/>
      <c r="Y884" s="1813" t="n"/>
      <c r="Z884" s="1812" t="n"/>
      <c r="AA884" s="1813" t="n"/>
      <c r="AB884" s="1813" t="n"/>
      <c r="AC884" s="1813">
        <f>AC1362</f>
        <v/>
      </c>
      <c r="AD884" s="1813">
        <f>AD1362</f>
        <v/>
      </c>
      <c r="AE884" s="1812">
        <f>AE1362</f>
        <v/>
      </c>
      <c r="AF884" s="1813">
        <f>AF1362</f>
        <v/>
      </c>
      <c r="AG884" s="1813">
        <f>AG1362</f>
        <v/>
      </c>
      <c r="AH884" s="1813">
        <f>AH1362</f>
        <v/>
      </c>
      <c r="AI884" s="1813">
        <f>AI1362</f>
        <v/>
      </c>
      <c r="AJ884" s="1812">
        <f>AJ1362</f>
        <v/>
      </c>
      <c r="AK884" s="1813">
        <f>AK1362</f>
        <v/>
      </c>
      <c r="AL884" s="1813">
        <f>AL1362</f>
        <v/>
      </c>
      <c r="AM884" s="1813">
        <f>AM1362</f>
        <v/>
      </c>
      <c r="AN884" s="1813">
        <f>AN1362</f>
        <v/>
      </c>
      <c r="AO884" s="1812">
        <f>AO1362</f>
        <v/>
      </c>
      <c r="AP884" s="1813">
        <f>AP1362</f>
        <v/>
      </c>
      <c r="AQ884" s="1813">
        <f>AQ1362</f>
        <v/>
      </c>
      <c r="AR884" s="1813">
        <f>AR1362</f>
        <v/>
      </c>
      <c r="AS884" s="1813">
        <f>AS1362</f>
        <v/>
      </c>
      <c r="AT884" s="1812">
        <f>AT1362</f>
        <v/>
      </c>
      <c r="AU884" s="1813">
        <f>AU1362</f>
        <v/>
      </c>
      <c r="AV884" s="1813">
        <f>AV1362</f>
        <v/>
      </c>
      <c r="AW884" s="1813">
        <f>AW1362</f>
        <v/>
      </c>
      <c r="AX884" s="1813">
        <f>AX1362</f>
        <v/>
      </c>
      <c r="AY884" s="1812">
        <f>AY1362</f>
        <v/>
      </c>
      <c r="AZ884" s="1813">
        <f>AZ1362</f>
        <v/>
      </c>
      <c r="BA884" s="1813">
        <f>BA1362</f>
        <v/>
      </c>
      <c r="BB884" s="1813">
        <f>BB1362</f>
        <v/>
      </c>
      <c r="BC884" s="1813">
        <f>BC1362</f>
        <v/>
      </c>
      <c r="BD884" s="1812">
        <f>BD1362</f>
        <v/>
      </c>
      <c r="BE884" s="1813">
        <f>BE1362</f>
        <v/>
      </c>
      <c r="BF884" s="1813">
        <f>BF1362</f>
        <v/>
      </c>
      <c r="BG884" s="1813">
        <f>BG1362</f>
        <v/>
      </c>
      <c r="BH884" s="1813">
        <f>BH1362</f>
        <v/>
      </c>
      <c r="BI884" s="1812">
        <f>BI1362</f>
        <v/>
      </c>
      <c r="BJ884" s="1813">
        <f>BJ1362</f>
        <v/>
      </c>
      <c r="BK884" s="1813">
        <f>BK1362</f>
        <v/>
      </c>
      <c r="BL884" s="1813">
        <f>BL1362</f>
        <v/>
      </c>
      <c r="BM884" s="1813">
        <f>BM1362</f>
        <v/>
      </c>
      <c r="BN884" s="1812">
        <f>BN1362</f>
        <v/>
      </c>
      <c r="BO884" s="1813">
        <f>BO1362</f>
        <v/>
      </c>
      <c r="BP884" s="1813">
        <f>BP1362</f>
        <v/>
      </c>
      <c r="BQ884" s="1814">
        <f>BQ1362</f>
        <v/>
      </c>
      <c r="BR884" s="1813" t="n"/>
      <c r="BS884" s="1812" t="n"/>
      <c r="BT884" s="1813" t="n"/>
      <c r="BU884" s="1813" t="n"/>
      <c r="BV884" s="1813" t="n"/>
      <c r="BW884" s="1813" t="n"/>
      <c r="BX884" s="1812" t="n"/>
      <c r="BY884" s="1812" t="n"/>
      <c r="BZ884" s="1812" t="n"/>
      <c r="CA884" s="1812" t="n"/>
      <c r="CB884" s="1721" t="n"/>
    </row>
    <row r="885" hidden="1" outlineLevel="3" ht="15" customFormat="1" customHeight="1" s="1359">
      <c r="A885" s="1474" t="inlineStr">
        <is>
          <t>Forward annual WAD adjusted net income guidance - midpoint, mm</t>
        </is>
      </c>
      <c r="B885" s="1512" t="n"/>
      <c r="C885" s="1379" t="n"/>
      <c r="D885" s="1379" t="n"/>
      <c r="E885" s="1379" t="n"/>
      <c r="F885" s="1379" t="n"/>
      <c r="G885" s="1361" t="n"/>
      <c r="H885" s="1361" t="n"/>
      <c r="I885" s="1361" t="n"/>
      <c r="J885" s="1361" t="n"/>
      <c r="K885" s="1379" t="n"/>
      <c r="L885" s="1361" t="n"/>
      <c r="M885" s="1361" t="n"/>
      <c r="N885" s="1361" t="n"/>
      <c r="O885" s="1361" t="n"/>
      <c r="P885" s="1379" t="n"/>
      <c r="Q885" s="1361" t="n"/>
      <c r="R885" s="1361" t="n"/>
      <c r="S885" s="1361" t="n"/>
      <c r="T885" s="1361" t="n"/>
      <c r="U885" s="1379" t="n"/>
      <c r="V885" s="1361" t="n"/>
      <c r="W885" s="1361" t="n"/>
      <c r="X885" s="1361" t="n"/>
      <c r="Y885" s="1361" t="n"/>
      <c r="Z885" s="1379" t="n"/>
      <c r="AA885" s="1361" t="n"/>
      <c r="AB885" s="1361" t="n"/>
      <c r="AC885" s="1361">
        <f>IFERROR(AVERAGE(AC879,AC882),"")</f>
        <v/>
      </c>
      <c r="AD885" s="1361">
        <f>IFERROR(AVERAGE(AD879,AD882),"")</f>
        <v/>
      </c>
      <c r="AE885" s="1379">
        <f>IFERROR(AVERAGE(AE879,AE882),"")</f>
        <v/>
      </c>
      <c r="AF885" s="1361">
        <f>IFERROR(AVERAGE(AF879,AF882),"")</f>
        <v/>
      </c>
      <c r="AG885" s="1361">
        <f>IFERROR(AVERAGE(AG879,AG882),"")</f>
        <v/>
      </c>
      <c r="AH885" s="1361">
        <f>IFERROR(AVERAGE(AH879,AH882),"")</f>
        <v/>
      </c>
      <c r="AI885" s="1361">
        <f>IFERROR(AVERAGE(AI879,AI882),"")</f>
        <v/>
      </c>
      <c r="AJ885" s="1379">
        <f>IFERROR(AVERAGE(AJ879,AJ882),"")</f>
        <v/>
      </c>
      <c r="AK885" s="1361">
        <f>IFERROR(AVERAGE(AK879,AK882),"")</f>
        <v/>
      </c>
      <c r="AL885" s="1361">
        <f>IFERROR(AVERAGE(AL879,AL882),"")</f>
        <v/>
      </c>
      <c r="AM885" s="1361">
        <f>IFERROR(AVERAGE(AM879,AM882),"")</f>
        <v/>
      </c>
      <c r="AN885" s="1361">
        <f>IFERROR(AVERAGE(AN879,AN882),"")</f>
        <v/>
      </c>
      <c r="AO885" s="1379">
        <f>IFERROR(AVERAGE(AO879,AO882),"")</f>
        <v/>
      </c>
      <c r="AP885" s="1361">
        <f>IFERROR(AVERAGE(AP879,AP882),"")</f>
        <v/>
      </c>
      <c r="AQ885" s="1361">
        <f>IFERROR(AVERAGE(AQ879,AQ882),"")</f>
        <v/>
      </c>
      <c r="AR885" s="1361">
        <f>IFERROR(AVERAGE(AR879,AR882),"")</f>
        <v/>
      </c>
      <c r="AS885" s="1361">
        <f>IFERROR(AVERAGE(AS879,AS882),"")</f>
        <v/>
      </c>
      <c r="AT885" s="1379">
        <f>IFERROR(AVERAGE(AT879,AT882),"")</f>
        <v/>
      </c>
      <c r="AU885" s="1361">
        <f>IFERROR(AVERAGE(AU879,AU882),"")</f>
        <v/>
      </c>
      <c r="AV885" s="1361">
        <f>IFERROR(AVERAGE(AV879,AV882),"")</f>
        <v/>
      </c>
      <c r="AW885" s="1361">
        <f>IFERROR(AVERAGE(AW879,AW882),"")</f>
        <v/>
      </c>
      <c r="AX885" s="1361">
        <f>IFERROR(AVERAGE(AX879,AX882),"")</f>
        <v/>
      </c>
      <c r="AY885" s="1379">
        <f>IFERROR(AVERAGE(AY879,AY882),"")</f>
        <v/>
      </c>
      <c r="AZ885" s="1361">
        <f>IFERROR(AVERAGE(AZ879,AZ882),"")</f>
        <v/>
      </c>
      <c r="BA885" s="1361">
        <f>IFERROR(AVERAGE(BA879,BA882),"")</f>
        <v/>
      </c>
      <c r="BB885" s="1361">
        <f>IFERROR(AVERAGE(BB879,BB882),"")</f>
        <v/>
      </c>
      <c r="BC885" s="1361">
        <f>IFERROR(AVERAGE(BC879,BC882),"")</f>
        <v/>
      </c>
      <c r="BD885" s="1379">
        <f>IFERROR(AVERAGE(BD879,BD882),"")</f>
        <v/>
      </c>
      <c r="BE885" s="1361">
        <f>IFERROR(AVERAGE(BE879,BE882),"")</f>
        <v/>
      </c>
      <c r="BF885" s="1361">
        <f>IFERROR(AVERAGE(BF879,BF882),"")</f>
        <v/>
      </c>
      <c r="BG885" s="1361">
        <f>IFERROR(AVERAGE(BG879,BG882),"")</f>
        <v/>
      </c>
      <c r="BH885" s="1361">
        <f>IFERROR(AVERAGE(BH879,BH882),"")</f>
        <v/>
      </c>
      <c r="BI885" s="1379">
        <f>IFERROR(AVERAGE(BI879,BI882),"")</f>
        <v/>
      </c>
      <c r="BJ885" s="1361">
        <f>IFERROR(AVERAGE(BJ879,BJ882),"")</f>
        <v/>
      </c>
      <c r="BK885" s="1361">
        <f>IFERROR(AVERAGE(BK879,BK882),"")</f>
        <v/>
      </c>
      <c r="BL885" s="1361">
        <f>IFERROR(AVERAGE(BL879,BL882),"")</f>
        <v/>
      </c>
      <c r="BM885" s="1361">
        <f>IFERROR(AVERAGE(BM879,BM882),"")</f>
        <v/>
      </c>
      <c r="BN885" s="1379">
        <f>IFERROR(AVERAGE(BN879,BN882),"")</f>
        <v/>
      </c>
      <c r="BO885" s="1361">
        <f>IFERROR(AVERAGE(BO879,BO882),"")</f>
        <v/>
      </c>
      <c r="BP885" s="1361">
        <f>IFERROR(AVERAGE(BP879,BP882),"")</f>
        <v/>
      </c>
      <c r="BQ885" s="1363">
        <f>IFERROR(AVERAGE(BQ879,BQ882),"")</f>
        <v/>
      </c>
      <c r="BR885" s="1361" t="n"/>
      <c r="BS885" s="1379" t="n"/>
      <c r="BT885" s="1361" t="n"/>
      <c r="BU885" s="1361" t="n"/>
      <c r="BV885" s="1361" t="n"/>
      <c r="BW885" s="1361" t="n"/>
      <c r="BX885" s="1379" t="n"/>
      <c r="BY885" s="1379" t="n"/>
      <c r="BZ885" s="1379" t="n"/>
      <c r="CA885" s="1379" t="n"/>
      <c r="CB885" s="1361" t="n"/>
    </row>
    <row r="886" hidden="1" outlineLevel="3" ht="15" customFormat="1" customHeight="1" s="1359">
      <c r="A886" s="1789" t="inlineStr">
        <is>
          <t>Forward annual WAD adjusted shares guidance - midpoint, mm shares</t>
        </is>
      </c>
      <c r="B886" s="1613" t="n"/>
      <c r="C886" s="1614" t="n"/>
      <c r="D886" s="1614" t="n"/>
      <c r="E886" s="1614" t="n"/>
      <c r="F886" s="1614" t="n"/>
      <c r="G886" s="1615" t="n"/>
      <c r="H886" s="1615" t="n"/>
      <c r="I886" s="1615" t="n"/>
      <c r="J886" s="1615" t="n"/>
      <c r="K886" s="1614" t="n"/>
      <c r="L886" s="1615" t="n"/>
      <c r="M886" s="1615" t="n"/>
      <c r="N886" s="1615" t="n"/>
      <c r="O886" s="1615" t="n"/>
      <c r="P886" s="1614" t="n"/>
      <c r="Q886" s="1615" t="n"/>
      <c r="R886" s="1615" t="n"/>
      <c r="S886" s="1615" t="n"/>
      <c r="T886" s="1615" t="n"/>
      <c r="U886" s="1614" t="n"/>
      <c r="V886" s="1615" t="n"/>
      <c r="W886" s="1615" t="n"/>
      <c r="X886" s="1615" t="n"/>
      <c r="Y886" s="1615" t="n"/>
      <c r="Z886" s="1614" t="n"/>
      <c r="AA886" s="1615" t="n"/>
      <c r="AB886" s="1615" t="n"/>
      <c r="AC886" s="1615">
        <f>IFERROR(AVERAGE(AC880,AC883),"")</f>
        <v/>
      </c>
      <c r="AD886" s="1615">
        <f>IFERROR(AVERAGE(AD880,AD883),"")</f>
        <v/>
      </c>
      <c r="AE886" s="1614">
        <f>IFERROR(AVERAGE(AE880,AE883),"")</f>
        <v/>
      </c>
      <c r="AF886" s="1615">
        <f>IFERROR(AVERAGE(AF880,AF883),"")</f>
        <v/>
      </c>
      <c r="AG886" s="1615">
        <f>IFERROR(AVERAGE(AG880,AG883),"")</f>
        <v/>
      </c>
      <c r="AH886" s="1615">
        <f>IFERROR(AVERAGE(AH880,AH883),"")</f>
        <v/>
      </c>
      <c r="AI886" s="1615">
        <f>IFERROR(AVERAGE(AI880,AI883),"")</f>
        <v/>
      </c>
      <c r="AJ886" s="1614">
        <f>IFERROR(AVERAGE(AJ880,AJ883),"")</f>
        <v/>
      </c>
      <c r="AK886" s="1615">
        <f>IFERROR(AVERAGE(AK880,AK883),"")</f>
        <v/>
      </c>
      <c r="AL886" s="1615">
        <f>IFERROR(AVERAGE(AL880,AL883),"")</f>
        <v/>
      </c>
      <c r="AM886" s="1615">
        <f>IFERROR(AVERAGE(AM880,AM883),"")</f>
        <v/>
      </c>
      <c r="AN886" s="1615">
        <f>IFERROR(AVERAGE(AN880,AN883),"")</f>
        <v/>
      </c>
      <c r="AO886" s="1614">
        <f>IFERROR(AVERAGE(AO880,AO883),"")</f>
        <v/>
      </c>
      <c r="AP886" s="1615">
        <f>IFERROR(AVERAGE(AP880,AP883),"")</f>
        <v/>
      </c>
      <c r="AQ886" s="1615">
        <f>IFERROR(AVERAGE(AQ880,AQ883),"")</f>
        <v/>
      </c>
      <c r="AR886" s="1615">
        <f>IFERROR(AVERAGE(AR880,AR883),"")</f>
        <v/>
      </c>
      <c r="AS886" s="1615">
        <f>IFERROR(AVERAGE(AS880,AS883),"")</f>
        <v/>
      </c>
      <c r="AT886" s="1614">
        <f>IFERROR(AVERAGE(AT880,AT883),"")</f>
        <v/>
      </c>
      <c r="AU886" s="1615">
        <f>IFERROR(AVERAGE(AU880,AU883),"")</f>
        <v/>
      </c>
      <c r="AV886" s="1615">
        <f>IFERROR(AVERAGE(AV880,AV883),"")</f>
        <v/>
      </c>
      <c r="AW886" s="1615">
        <f>IFERROR(AVERAGE(AW880,AW883),"")</f>
        <v/>
      </c>
      <c r="AX886" s="1615">
        <f>IFERROR(AVERAGE(AX880,AX883),"")</f>
        <v/>
      </c>
      <c r="AY886" s="1614">
        <f>IFERROR(AVERAGE(AY880,AY883),"")</f>
        <v/>
      </c>
      <c r="AZ886" s="1615">
        <f>IFERROR(AVERAGE(AZ880,AZ883),"")</f>
        <v/>
      </c>
      <c r="BA886" s="1615">
        <f>IFERROR(AVERAGE(BA880,BA883),"")</f>
        <v/>
      </c>
      <c r="BB886" s="1615">
        <f>IFERROR(AVERAGE(BB880,BB883),"")</f>
        <v/>
      </c>
      <c r="BC886" s="1615">
        <f>IFERROR(AVERAGE(BC880,BC883),"")</f>
        <v/>
      </c>
      <c r="BD886" s="1614">
        <f>IFERROR(AVERAGE(BD880,BD883),"")</f>
        <v/>
      </c>
      <c r="BE886" s="1615">
        <f>IFERROR(AVERAGE(BE880,BE883),"")</f>
        <v/>
      </c>
      <c r="BF886" s="1615">
        <f>IFERROR(AVERAGE(BF880,BF883),"")</f>
        <v/>
      </c>
      <c r="BG886" s="1615">
        <f>IFERROR(AVERAGE(BG880,BG883),"")</f>
        <v/>
      </c>
      <c r="BH886" s="1615">
        <f>IFERROR(AVERAGE(BH880,BH883),"")</f>
        <v/>
      </c>
      <c r="BI886" s="1614">
        <f>IFERROR(AVERAGE(BI880,BI883),"")</f>
        <v/>
      </c>
      <c r="BJ886" s="1615">
        <f>IFERROR(AVERAGE(BJ880,BJ883),"")</f>
        <v/>
      </c>
      <c r="BK886" s="1615">
        <f>IFERROR(AVERAGE(BK880,BK883),"")</f>
        <v/>
      </c>
      <c r="BL886" s="1615">
        <f>IFERROR(AVERAGE(BL880,BL883),"")</f>
        <v/>
      </c>
      <c r="BM886" s="1615">
        <f>IFERROR(AVERAGE(BM880,BM883),"")</f>
        <v/>
      </c>
      <c r="BN886" s="1614">
        <f>IFERROR(AVERAGE(BN880,BN883),"")</f>
        <v/>
      </c>
      <c r="BO886" s="1615">
        <f>IFERROR(AVERAGE(BO880,BO883),"")</f>
        <v/>
      </c>
      <c r="BP886" s="1615">
        <f>IFERROR(AVERAGE(BP880,BP883),"")</f>
        <v/>
      </c>
      <c r="BQ886" s="1616">
        <f>IFERROR(AVERAGE(BQ880,BQ883),"")</f>
        <v/>
      </c>
      <c r="BR886" s="1615" t="n"/>
      <c r="BS886" s="1614" t="n"/>
      <c r="BT886" s="1615" t="n"/>
      <c r="BU886" s="1615" t="n"/>
      <c r="BV886" s="1615" t="n"/>
      <c r="BW886" s="1615" t="n"/>
      <c r="BX886" s="1614" t="n"/>
      <c r="BY886" s="1614" t="n"/>
      <c r="BZ886" s="1614" t="n"/>
      <c r="CA886" s="1614" t="n"/>
      <c r="CB886" s="1361" t="n"/>
    </row>
    <row r="887" hidden="1" outlineLevel="2" collapsed="1" ht="15" customFormat="1" customHeight="1" s="1359">
      <c r="A887" s="1817" t="inlineStr">
        <is>
          <t>Forward annual WAD Adjusted EPS guidance - midpoint, $/share</t>
        </is>
      </c>
      <c r="B887" s="1517" t="n"/>
      <c r="C887" s="1690">
        <f>IFERROR(AVERAGE(C881,C884),"")</f>
        <v/>
      </c>
      <c r="D887" s="1690">
        <f>IFERROR(AVERAGE(D881,D884),"")</f>
        <v/>
      </c>
      <c r="E887" s="1690">
        <f>IFERROR(AVERAGE(E881,E884),"")</f>
        <v/>
      </c>
      <c r="F887" s="1690">
        <f>IFERROR(AVERAGE(F881,F884),"")</f>
        <v/>
      </c>
      <c r="G887" s="1689">
        <f>IFERROR(AVERAGE(G881,G884),"")</f>
        <v/>
      </c>
      <c r="H887" s="1689">
        <f>IFERROR(AVERAGE(H881,H884),"")</f>
        <v/>
      </c>
      <c r="I887" s="1689">
        <f>IFERROR(AVERAGE(I881,I884),"")</f>
        <v/>
      </c>
      <c r="J887" s="1689">
        <f>IFERROR(AVERAGE(J881,J884),"")</f>
        <v/>
      </c>
      <c r="K887" s="1690">
        <f>IFERROR(AVERAGE(K881,K884),"")</f>
        <v/>
      </c>
      <c r="L887" s="1689">
        <f>IFERROR(AVERAGE(L881,L884),"")</f>
        <v/>
      </c>
      <c r="M887" s="1689">
        <f>IFERROR(AVERAGE(M881,M884),"")</f>
        <v/>
      </c>
      <c r="N887" s="1689">
        <f>IFERROR(AVERAGE(N881,N884),"")</f>
        <v/>
      </c>
      <c r="O887" s="1689">
        <f>IFERROR(AVERAGE(O881,O884),"")</f>
        <v/>
      </c>
      <c r="P887" s="1690">
        <f>IFERROR(AVERAGE(P881,P884),"")</f>
        <v/>
      </c>
      <c r="Q887" s="1689">
        <f>IFERROR(AVERAGE(Q881,Q884),"")</f>
        <v/>
      </c>
      <c r="R887" s="1689">
        <f>IFERROR(AVERAGE(R881,R884),"")</f>
        <v/>
      </c>
      <c r="S887" s="1689">
        <f>IFERROR(AVERAGE(S881,S884),"")</f>
        <v/>
      </c>
      <c r="T887" s="1689">
        <f>IFERROR(AVERAGE(T881,T884),"")</f>
        <v/>
      </c>
      <c r="U887" s="1690">
        <f>IFERROR(AVERAGE(U881,U884),"")</f>
        <v/>
      </c>
      <c r="V887" s="1689">
        <f>IFERROR(AVERAGE(V881,V884),"")</f>
        <v/>
      </c>
      <c r="W887" s="1689">
        <f>IFERROR(AVERAGE(W881,W884),"")</f>
        <v/>
      </c>
      <c r="X887" s="1689">
        <f>IFERROR(AVERAGE(X881,X884),"")</f>
        <v/>
      </c>
      <c r="Y887" s="1689">
        <f>IFERROR(AVERAGE(Y881,Y884),"")</f>
        <v/>
      </c>
      <c r="Z887" s="1690">
        <f>IFERROR(AVERAGE(Z881,Z884),"")</f>
        <v/>
      </c>
      <c r="AA887" s="1689">
        <f>IFERROR(AVERAGE(AA881,AA884),"")</f>
        <v/>
      </c>
      <c r="AB887" s="1689">
        <f>IFERROR(AVERAGE(AB881,AB884),"")</f>
        <v/>
      </c>
      <c r="AC887" s="1689">
        <f>IFERROR(AVERAGE(AC881,AC884),"")</f>
        <v/>
      </c>
      <c r="AD887" s="1689">
        <f>IFERROR(AVERAGE(AD881,AD884),"")</f>
        <v/>
      </c>
      <c r="AE887" s="1690">
        <f>IFERROR(AVERAGE(AE881,AE884),"")</f>
        <v/>
      </c>
      <c r="AF887" s="1689">
        <f>IFERROR(AVERAGE(AF881,AF884),"")</f>
        <v/>
      </c>
      <c r="AG887" s="1689">
        <f>IFERROR(AVERAGE(AG881,AG884),"")</f>
        <v/>
      </c>
      <c r="AH887" s="1689">
        <f>IFERROR(AVERAGE(AH881,AH884),"")</f>
        <v/>
      </c>
      <c r="AI887" s="1689">
        <f>IFERROR(AVERAGE(AI881,AI884),"")</f>
        <v/>
      </c>
      <c r="AJ887" s="1690">
        <f>IFERROR(AVERAGE(AJ881,AJ884),"")</f>
        <v/>
      </c>
      <c r="AK887" s="1689">
        <f>IFERROR(AVERAGE(AK881,AK884),"")</f>
        <v/>
      </c>
      <c r="AL887" s="1689">
        <f>IFERROR(AVERAGE(AL881,AL884),"")</f>
        <v/>
      </c>
      <c r="AM887" s="1689">
        <f>IFERROR(AVERAGE(AM881,AM884),"")</f>
        <v/>
      </c>
      <c r="AN887" s="1689">
        <f>IFERROR(AVERAGE(AN881,AN884),"")</f>
        <v/>
      </c>
      <c r="AO887" s="1690">
        <f>IFERROR(AVERAGE(AO881,AO884),"")</f>
        <v/>
      </c>
      <c r="AP887" s="1689">
        <f>IFERROR(AVERAGE(AP881,AP884),"")</f>
        <v/>
      </c>
      <c r="AQ887" s="1689">
        <f>IFERROR(AVERAGE(AQ881,AQ884),"")</f>
        <v/>
      </c>
      <c r="AR887" s="1689">
        <f>IFERROR(AVERAGE(AR881,AR884),"")</f>
        <v/>
      </c>
      <c r="AS887" s="1689">
        <f>IFERROR(AVERAGE(AS881,AS884),"")</f>
        <v/>
      </c>
      <c r="AT887" s="1690">
        <f>IFERROR(AVERAGE(AT881,AT884),"")</f>
        <v/>
      </c>
      <c r="AU887" s="1689">
        <f>IFERROR(AVERAGE(AU881,AU884),"")</f>
        <v/>
      </c>
      <c r="AV887" s="1689">
        <f>IFERROR(AVERAGE(AV881,AV884),"")</f>
        <v/>
      </c>
      <c r="AW887" s="1689">
        <f>IFERROR(AVERAGE(AW881,AW884),"")</f>
        <v/>
      </c>
      <c r="AX887" s="1689">
        <f>IFERROR(AVERAGE(AX881,AX884),"")</f>
        <v/>
      </c>
      <c r="AY887" s="1690">
        <f>IFERROR(AVERAGE(AY881,AY884),"")</f>
        <v/>
      </c>
      <c r="AZ887" s="1689">
        <f>IFERROR(AVERAGE(AZ881,AZ884),"")</f>
        <v/>
      </c>
      <c r="BA887" s="1689">
        <f>IFERROR(AVERAGE(BA881,BA884),"")</f>
        <v/>
      </c>
      <c r="BB887" s="1689">
        <f>IFERROR(AVERAGE(BB881,BB884),"")</f>
        <v/>
      </c>
      <c r="BC887" s="1689">
        <f>IFERROR(AVERAGE(BC881,BC884),"")</f>
        <v/>
      </c>
      <c r="BD887" s="1690">
        <f>IFERROR(AVERAGE(BD881,BD884),"")</f>
        <v/>
      </c>
      <c r="BE887" s="1689">
        <f>IFERROR(AVERAGE(BE881,BE884),"")</f>
        <v/>
      </c>
      <c r="BF887" s="1689">
        <f>IFERROR(AVERAGE(BF881,BF884),"")</f>
        <v/>
      </c>
      <c r="BG887" s="1689">
        <f>IFERROR(AVERAGE(BG881,BG884),"")</f>
        <v/>
      </c>
      <c r="BH887" s="1689">
        <f>IFERROR(AVERAGE(BH881,BH884),"")</f>
        <v/>
      </c>
      <c r="BI887" s="1690">
        <f>IFERROR(AVERAGE(BI881,BI884),"")</f>
        <v/>
      </c>
      <c r="BJ887" s="1689">
        <f>IFERROR(AVERAGE(BJ881,BJ884),"")</f>
        <v/>
      </c>
      <c r="BK887" s="1689">
        <f>IFERROR(AVERAGE(BK881,BK884),"")</f>
        <v/>
      </c>
      <c r="BL887" s="1689">
        <f>IFERROR(AVERAGE(BL881,BL884),"")</f>
        <v/>
      </c>
      <c r="BM887" s="1689">
        <f>IFERROR(AVERAGE(BM881,BM884),"")</f>
        <v/>
      </c>
      <c r="BN887" s="1690">
        <f>IFERROR(AVERAGE(BN881,BN884),"")</f>
        <v/>
      </c>
      <c r="BO887" s="1689">
        <f>IFERROR(AVERAGE(BO881,BO884),"")</f>
        <v/>
      </c>
      <c r="BP887" s="1689">
        <f>IFERROR(AVERAGE(BP881,BP884),"")</f>
        <v/>
      </c>
      <c r="BQ887" s="1691">
        <f>IFERROR(AVERAGE(BQ881,BQ884),"")</f>
        <v/>
      </c>
      <c r="BR887" s="1689" t="n"/>
      <c r="BS887" s="1690" t="n"/>
      <c r="BT887" s="1689" t="n"/>
      <c r="BU887" s="1689" t="n"/>
      <c r="BV887" s="1689" t="n"/>
      <c r="BW887" s="1689" t="n"/>
      <c r="BX887" s="1690" t="n"/>
      <c r="BY887" s="1690" t="n"/>
      <c r="BZ887" s="1690" t="n"/>
      <c r="CA887" s="1690" t="n"/>
      <c r="CB887" s="1689" t="n"/>
    </row>
    <row r="888" hidden="1" outlineLevel="2" ht="15" customFormat="1" customHeight="1" s="1359">
      <c r="A888" s="1719" t="inlineStr">
        <is>
          <t>Forward annual WAD Adjusted EPS guidance variance, $/share</t>
        </is>
      </c>
      <c r="B888" s="1512" t="n"/>
      <c r="C888" s="1723" t="n"/>
      <c r="D888" s="1723" t="n"/>
      <c r="E888" s="1723" t="n"/>
      <c r="F888" s="1723" t="n"/>
      <c r="G888" s="1721" t="n"/>
      <c r="H888" s="1721" t="n"/>
      <c r="I888" s="1721" t="n"/>
      <c r="J888" s="1721" t="n"/>
      <c r="K888" s="1723" t="n"/>
      <c r="L888" s="1721" t="n"/>
      <c r="M888" s="1721" t="n"/>
      <c r="N888" s="1721" t="n"/>
      <c r="O888" s="1721" t="n"/>
      <c r="P888" s="1723" t="n"/>
      <c r="Q888" s="1721" t="n"/>
      <c r="R888" s="1721" t="n"/>
      <c r="S888" s="1721" t="n"/>
      <c r="T888" s="1721" t="n"/>
      <c r="U888" s="1723" t="n"/>
      <c r="V888" s="1721" t="n"/>
      <c r="W888" s="1721" t="n"/>
      <c r="X888" s="1721" t="n"/>
      <c r="Y888" s="1721" t="n"/>
      <c r="Z888" s="1723" t="n"/>
      <c r="AA888" s="1721" t="n"/>
      <c r="AB888" s="1721" t="n"/>
      <c r="AC888" s="1721">
        <f>IFERROR(ABS(AC884-AC881),"")</f>
        <v/>
      </c>
      <c r="AD888" s="1721">
        <f>IFERROR(ABS(AD884-AD881),"")</f>
        <v/>
      </c>
      <c r="AE888" s="1723">
        <f>IFERROR(ABS(AE884-AE881),"")</f>
        <v/>
      </c>
      <c r="AF888" s="1721">
        <f>IFERROR(ABS(AF884-AF881),"")</f>
        <v/>
      </c>
      <c r="AG888" s="1721">
        <f>IFERROR(ABS(AG884-AG881),"")</f>
        <v/>
      </c>
      <c r="AH888" s="1721">
        <f>IFERROR(ABS(AH884-AH881),"")</f>
        <v/>
      </c>
      <c r="AI888" s="1721">
        <f>IFERROR(ABS(AI884-AI881),"")</f>
        <v/>
      </c>
      <c r="AJ888" s="1723">
        <f>IFERROR(ABS(AJ884-AJ881),"")</f>
        <v/>
      </c>
      <c r="AK888" s="1721">
        <f>IFERROR(ABS(AK884-AK881),"")</f>
        <v/>
      </c>
      <c r="AL888" s="1721">
        <f>IFERROR(ABS(AL884-AL881),"")</f>
        <v/>
      </c>
      <c r="AM888" s="1721">
        <f>IFERROR(ABS(AM884-AM881),"")</f>
        <v/>
      </c>
      <c r="AN888" s="1721">
        <f>IFERROR(ABS(AN884-AN881),"")</f>
        <v/>
      </c>
      <c r="AO888" s="1723">
        <f>IFERROR(ABS(AO884-AO881),"")</f>
        <v/>
      </c>
      <c r="AP888" s="1721">
        <f>IFERROR(ABS(AP884-AP881),"")</f>
        <v/>
      </c>
      <c r="AQ888" s="1721">
        <f>IFERROR(ABS(AQ884-AQ881),"")</f>
        <v/>
      </c>
      <c r="AR888" s="1721">
        <f>IFERROR(ABS(AR884-AR881),"")</f>
        <v/>
      </c>
      <c r="AS888" s="1721">
        <f>IFERROR(ABS(AS884-AS881),"")</f>
        <v/>
      </c>
      <c r="AT888" s="1723">
        <f>IFERROR(ABS(AT884-AT881),"")</f>
        <v/>
      </c>
      <c r="AU888" s="1721">
        <f>IFERROR(ABS(AU884-AU881),"")</f>
        <v/>
      </c>
      <c r="AV888" s="1721">
        <f>IFERROR(ABS(AV884-AV881),"")</f>
        <v/>
      </c>
      <c r="AW888" s="1721">
        <f>IFERROR(ABS(AW884-AW881),"")</f>
        <v/>
      </c>
      <c r="AX888" s="1721">
        <f>IFERROR(ABS(AX884-AX881),"")</f>
        <v/>
      </c>
      <c r="AY888" s="1723">
        <f>IFERROR(ABS(AY884-AY881),"")</f>
        <v/>
      </c>
      <c r="AZ888" s="1721">
        <f>IFERROR(ABS(AZ884-AZ881),"")</f>
        <v/>
      </c>
      <c r="BA888" s="1721">
        <f>IFERROR(ABS(BA884-BA881),"")</f>
        <v/>
      </c>
      <c r="BB888" s="1721">
        <f>IFERROR(ABS(BB884-BB881),"")</f>
        <v/>
      </c>
      <c r="BC888" s="1721">
        <f>IFERROR(ABS(BC884-BC881),"")</f>
        <v/>
      </c>
      <c r="BD888" s="1723">
        <f>IFERROR(ABS(BD884-BD881),"")</f>
        <v/>
      </c>
      <c r="BE888" s="1721">
        <f>IFERROR(ABS(BE884-BE881),"")</f>
        <v/>
      </c>
      <c r="BF888" s="1721">
        <f>IFERROR(ABS(BF884-BF881),"")</f>
        <v/>
      </c>
      <c r="BG888" s="1721">
        <f>IFERROR(ABS(BG884-BG881),"")</f>
        <v/>
      </c>
      <c r="BH888" s="1721">
        <f>IFERROR(ABS(BH884-BH881),"")</f>
        <v/>
      </c>
      <c r="BI888" s="1723">
        <f>IFERROR(ABS(BI884-BI881),"")</f>
        <v/>
      </c>
      <c r="BJ888" s="1721">
        <f>IFERROR(ABS(BJ884-BJ881),"")</f>
        <v/>
      </c>
      <c r="BK888" s="1721">
        <f>IFERROR(ABS(BK884-BK881),"")</f>
        <v/>
      </c>
      <c r="BL888" s="1721">
        <f>IFERROR(ABS(BL884-BL881),"")</f>
        <v/>
      </c>
      <c r="BM888" s="1721">
        <f>IFERROR(ABS(BM884-BM881),"")</f>
        <v/>
      </c>
      <c r="BN888" s="1723">
        <f>IFERROR(ABS(BN884-BN881),"")</f>
        <v/>
      </c>
      <c r="BO888" s="1721">
        <f>IFERROR(ABS(BO884-BO881),"")</f>
        <v/>
      </c>
      <c r="BP888" s="1721">
        <f>IFERROR(ABS(BP884-BP881),"")</f>
        <v/>
      </c>
      <c r="BQ888" s="1722">
        <f>IFERROR(ABS(BQ884-BQ881),"")</f>
        <v/>
      </c>
      <c r="BR888" s="1721" t="n"/>
      <c r="BS888" s="1723" t="n"/>
      <c r="BT888" s="1721" t="n"/>
      <c r="BU888" s="1721" t="n"/>
      <c r="BV888" s="1721" t="n"/>
      <c r="BW888" s="1721" t="n"/>
      <c r="BX888" s="1723" t="n"/>
      <c r="BY888" s="1723" t="n"/>
      <c r="BZ888" s="1723" t="n"/>
      <c r="CA888" s="1723" t="n"/>
      <c r="CB888" s="1721" t="n"/>
    </row>
    <row r="889" hidden="1" outlineLevel="2" ht="15" customFormat="1" customHeight="1" s="1359">
      <c r="A889" s="1486" t="inlineStr">
        <is>
          <t>Forward annual WAD Adjusted EPS guidance variance (+/-), %</t>
        </is>
      </c>
      <c r="B889" s="1512" t="n"/>
      <c r="C889" s="1463">
        <f>IFERROR(ABS((C884-C887)/C887),"")</f>
        <v/>
      </c>
      <c r="D889" s="1463">
        <f>IFERROR(ABS((D884-D887)/D887),"")</f>
        <v/>
      </c>
      <c r="E889" s="1463">
        <f>IFERROR(ABS((E884-E887)/E887),"")</f>
        <v/>
      </c>
      <c r="F889" s="1463">
        <f>IFERROR(ABS((F884-F887)/F887),"")</f>
        <v/>
      </c>
      <c r="G889" s="1466">
        <f>IFERROR(ABS((G884-G887)/G887),"")</f>
        <v/>
      </c>
      <c r="H889" s="1466">
        <f>IFERROR(ABS((H884-H887)/H887),"")</f>
        <v/>
      </c>
      <c r="I889" s="1466">
        <f>IFERROR(ABS((I884-I887)/I887),"")</f>
        <v/>
      </c>
      <c r="J889" s="1466">
        <f>IFERROR(ABS((J884-J887)/J887),"")</f>
        <v/>
      </c>
      <c r="K889" s="1463">
        <f>IFERROR(ABS((K884-K887)/K887),"")</f>
        <v/>
      </c>
      <c r="L889" s="1466">
        <f>IFERROR(ABS((L884-L887)/L887),"")</f>
        <v/>
      </c>
      <c r="M889" s="1466">
        <f>IFERROR(ABS((M884-M887)/M887),"")</f>
        <v/>
      </c>
      <c r="N889" s="1466">
        <f>IFERROR(ABS((N884-N887)/N887),"")</f>
        <v/>
      </c>
      <c r="O889" s="1466">
        <f>IFERROR(ABS((O884-O887)/O887),"")</f>
        <v/>
      </c>
      <c r="P889" s="1463">
        <f>IFERROR(ABS((P884-P887)/P887),"")</f>
        <v/>
      </c>
      <c r="Q889" s="1466">
        <f>IFERROR(ABS((Q884-Q887)/Q887),"")</f>
        <v/>
      </c>
      <c r="R889" s="1466">
        <f>IFERROR(ABS((R884-R887)/R887),"")</f>
        <v/>
      </c>
      <c r="S889" s="1466">
        <f>IFERROR(ABS((S884-S887)/S887),"")</f>
        <v/>
      </c>
      <c r="T889" s="1466">
        <f>IFERROR(ABS((T884-T887)/T887),"")</f>
        <v/>
      </c>
      <c r="U889" s="1463">
        <f>IFERROR(ABS((U884-U887)/U887),"")</f>
        <v/>
      </c>
      <c r="V889" s="1466">
        <f>IFERROR(ABS((V884-V887)/V887),"")</f>
        <v/>
      </c>
      <c r="W889" s="1466">
        <f>IFERROR(ABS((W884-W887)/W887),"")</f>
        <v/>
      </c>
      <c r="X889" s="1466">
        <f>IFERROR(ABS((X884-X887)/X887),"")</f>
        <v/>
      </c>
      <c r="Y889" s="1466">
        <f>IFERROR(ABS((Y884-Y887)/Y887),"")</f>
        <v/>
      </c>
      <c r="Z889" s="1463">
        <f>IFERROR(ABS((Z884-Z887)/Z887),"")</f>
        <v/>
      </c>
      <c r="AA889" s="1466">
        <f>IFERROR(ABS((AA884-AA887)/AA887),"")</f>
        <v/>
      </c>
      <c r="AB889" s="1466">
        <f>IFERROR(ABS((AB884-AB887)/AB887),"")</f>
        <v/>
      </c>
      <c r="AC889" s="1466">
        <f>IFERROR(ABS((AC884-AC887)/AC887),"")</f>
        <v/>
      </c>
      <c r="AD889" s="1466">
        <f>IFERROR(ABS((AD884-AD887)/AD887),"")</f>
        <v/>
      </c>
      <c r="AE889" s="1463">
        <f>IFERROR(ABS((AE884-AE887)/AE887),"")</f>
        <v/>
      </c>
      <c r="AF889" s="1466">
        <f>IFERROR(ABS((AF884-AF887)/AF887),"")</f>
        <v/>
      </c>
      <c r="AG889" s="1466">
        <f>IFERROR(ABS((AG884-AG887)/AG887),"")</f>
        <v/>
      </c>
      <c r="AH889" s="1466">
        <f>IFERROR(ABS((AH884-AH887)/AH887),"")</f>
        <v/>
      </c>
      <c r="AI889" s="1466">
        <f>IFERROR(ABS((AI884-AI887)/AI887),"")</f>
        <v/>
      </c>
      <c r="AJ889" s="1463">
        <f>IFERROR(ABS((AJ884-AJ887)/AJ887),"")</f>
        <v/>
      </c>
      <c r="AK889" s="1466">
        <f>IFERROR(ABS((AK884-AK887)/AK887),"")</f>
        <v/>
      </c>
      <c r="AL889" s="1466">
        <f>IFERROR(ABS((AL884-AL887)/AL887),"")</f>
        <v/>
      </c>
      <c r="AM889" s="1466">
        <f>IFERROR(ABS((AM884-AM887)/AM887),"")</f>
        <v/>
      </c>
      <c r="AN889" s="1466">
        <f>IFERROR(ABS((AN884-AN887)/AN887),"")</f>
        <v/>
      </c>
      <c r="AO889" s="1463">
        <f>IFERROR(ABS((AO884-AO887)/AO887),"")</f>
        <v/>
      </c>
      <c r="AP889" s="1466">
        <f>IFERROR(ABS((AP884-AP887)/AP887),"")</f>
        <v/>
      </c>
      <c r="AQ889" s="1466">
        <f>IFERROR(ABS((AQ884-AQ887)/AQ887),"")</f>
        <v/>
      </c>
      <c r="AR889" s="1466">
        <f>IFERROR(ABS((AR884-AR887)/AR887),"")</f>
        <v/>
      </c>
      <c r="AS889" s="1466">
        <f>IFERROR(ABS((AS884-AS887)/AS887),"")</f>
        <v/>
      </c>
      <c r="AT889" s="1463">
        <f>IFERROR(ABS((AT884-AT887)/AT887),"")</f>
        <v/>
      </c>
      <c r="AU889" s="1466">
        <f>IFERROR(ABS((AU884-AU887)/AU887),"")</f>
        <v/>
      </c>
      <c r="AV889" s="1466">
        <f>IFERROR(ABS((AV884-AV887)/AV887),"")</f>
        <v/>
      </c>
      <c r="AW889" s="1466">
        <f>IFERROR(ABS((AW884-AW887)/AW887),"")</f>
        <v/>
      </c>
      <c r="AX889" s="1466">
        <f>IFERROR(ABS((AX884-AX887)/AX887),"")</f>
        <v/>
      </c>
      <c r="AY889" s="1463">
        <f>IFERROR(ABS((AY884-AY887)/AY887),"")</f>
        <v/>
      </c>
      <c r="AZ889" s="1466">
        <f>IFERROR(ABS((AZ884-AZ887)/AZ887),"")</f>
        <v/>
      </c>
      <c r="BA889" s="1466">
        <f>IFERROR(ABS((BA884-BA887)/BA887),"")</f>
        <v/>
      </c>
      <c r="BB889" s="1466">
        <f>IFERROR(ABS((BB884-BB887)/BB887),"")</f>
        <v/>
      </c>
      <c r="BC889" s="1466">
        <f>IFERROR(ABS((BC884-BC887)/BC887),"")</f>
        <v/>
      </c>
      <c r="BD889" s="1463">
        <f>IFERROR(ABS((BD884-BD887)/BD887),"")</f>
        <v/>
      </c>
      <c r="BE889" s="1466">
        <f>IFERROR(ABS((BE884-BE887)/BE887),"")</f>
        <v/>
      </c>
      <c r="BF889" s="1466">
        <f>IFERROR(ABS((BF884-BF887)/BF887),"")</f>
        <v/>
      </c>
      <c r="BG889" s="1466">
        <f>IFERROR(ABS((BG884-BG887)/BG887),"")</f>
        <v/>
      </c>
      <c r="BH889" s="1466">
        <f>IFERROR(ABS((BH884-BH887)/BH887),"")</f>
        <v/>
      </c>
      <c r="BI889" s="1463">
        <f>IFERROR(ABS((BI884-BI887)/BI887),"")</f>
        <v/>
      </c>
      <c r="BJ889" s="1466">
        <f>IFERROR(ABS((BJ884-BJ887)/BJ887),"")</f>
        <v/>
      </c>
      <c r="BK889" s="1466">
        <f>IFERROR(ABS((BK884-BK887)/BK887),"")</f>
        <v/>
      </c>
      <c r="BL889" s="1466">
        <f>IFERROR(ABS((BL884-BL887)/BL887),"")</f>
        <v/>
      </c>
      <c r="BM889" s="1466">
        <f>IFERROR(ABS((BM884-BM887)/BM887),"")</f>
        <v/>
      </c>
      <c r="BN889" s="1463">
        <f>IFERROR(ABS((BN884-BN887)/BN887),"")</f>
        <v/>
      </c>
      <c r="BO889" s="1466">
        <f>IFERROR(ABS((BO884-BO887)/BO887),"")</f>
        <v/>
      </c>
      <c r="BP889" s="1466">
        <f>IFERROR(ABS((BP884-BP887)/BP887),"")</f>
        <v/>
      </c>
      <c r="BQ889" s="1491">
        <f>IFERROR(ABS((BQ884-BQ887)/BQ887),"")</f>
        <v/>
      </c>
      <c r="BR889" s="1466" t="n"/>
      <c r="BS889" s="1463" t="n"/>
      <c r="BT889" s="1466" t="n"/>
      <c r="BU889" s="1466" t="n"/>
      <c r="BV889" s="1466" t="n"/>
      <c r="BW889" s="1466" t="n"/>
      <c r="BX889" s="1463" t="n"/>
      <c r="BY889" s="1463" t="n"/>
      <c r="BZ889" s="1463" t="n"/>
      <c r="CA889" s="1463" t="n"/>
      <c r="CB889" s="1466" t="n"/>
    </row>
    <row r="890" hidden="1" outlineLevel="3" ht="15" customFormat="1" customHeight="1" s="1359">
      <c r="A890" s="1476" t="inlineStr">
        <is>
          <t>Forward annual guided Y/Y WAD Adjusted EPS growth - low, %</t>
        </is>
      </c>
      <c r="B890" s="1590" t="n"/>
      <c r="C890" s="1382" t="n"/>
      <c r="D890" s="1382" t="n"/>
      <c r="E890" s="1382" t="n"/>
      <c r="F890" s="1382" t="n"/>
      <c r="G890" s="1384" t="n"/>
      <c r="H890" s="1384" t="n"/>
      <c r="I890" s="1384" t="n"/>
      <c r="J890" s="1384" t="n"/>
      <c r="K890" s="1382" t="n"/>
      <c r="L890" s="1384" t="n"/>
      <c r="M890" s="1384" t="n"/>
      <c r="N890" s="1384" t="n"/>
      <c r="O890" s="1384" t="n"/>
      <c r="P890" s="1382" t="n"/>
      <c r="Q890" s="1384" t="n"/>
      <c r="R890" s="1384" t="n"/>
      <c r="S890" s="1384" t="n"/>
      <c r="T890" s="1384" t="n"/>
      <c r="U890" s="1382" t="n"/>
      <c r="V890" s="1384" t="n"/>
      <c r="W890" s="1384" t="n"/>
      <c r="X890" s="1384" t="n"/>
      <c r="Y890" s="1384" t="n"/>
      <c r="Z890" s="1382" t="n"/>
      <c r="AA890" s="1384" t="n"/>
      <c r="AB890" s="1384" t="n"/>
      <c r="AC890" s="1384">
        <f>IFERROR(AC881/Z849-1,"")</f>
        <v/>
      </c>
      <c r="AD890" s="1384">
        <f>IFERROR(AD881/AE849-1,"")</f>
        <v/>
      </c>
      <c r="AE890" s="1382">
        <f>IFERROR(AE881/AE849-1,"")</f>
        <v/>
      </c>
      <c r="AF890" s="1384">
        <f>IFERROR(AF881/AE849-1,"")</f>
        <v/>
      </c>
      <c r="AG890" s="1384">
        <f>IFERROR(AG881/AE849-1,"")</f>
        <v/>
      </c>
      <c r="AH890" s="1384">
        <f>IFERROR(AH881/AE849-1,"")</f>
        <v/>
      </c>
      <c r="AI890" s="1384">
        <f>IFERROR(AI881/AJ849-1,"")</f>
        <v/>
      </c>
      <c r="AJ890" s="1382">
        <f>IFERROR(AJ881/AJ849-1,"")</f>
        <v/>
      </c>
      <c r="AK890" s="1384">
        <f>IFERROR(AK881/AJ849-1,"")</f>
        <v/>
      </c>
      <c r="AL890" s="1384">
        <f>IFERROR(AL881/AJ849-1,"")</f>
        <v/>
      </c>
      <c r="AM890" s="1384">
        <f>IFERROR(AM881/AJ849-1,"")</f>
        <v/>
      </c>
      <c r="AN890" s="1384">
        <f>IFERROR(AN881/AO849-1,"")</f>
        <v/>
      </c>
      <c r="AO890" s="1382">
        <f>IFERROR(AO881/AO849-1,"")</f>
        <v/>
      </c>
      <c r="AP890" s="1384">
        <f>IFERROR(AP881/AO849-1,"")</f>
        <v/>
      </c>
      <c r="AQ890" s="1384">
        <f>IFERROR(AQ881/AO849-1,"")</f>
        <v/>
      </c>
      <c r="AR890" s="1384">
        <f>IFERROR(AR881/AO849-1,"")</f>
        <v/>
      </c>
      <c r="AS890" s="1384">
        <f>IFERROR(AS881/AT849-1,"")</f>
        <v/>
      </c>
      <c r="AT890" s="1382">
        <f>IFERROR(AT881/AT849-1,"")</f>
        <v/>
      </c>
      <c r="AU890" s="1384">
        <f>IFERROR(AU881/AT849-1,"")</f>
        <v/>
      </c>
      <c r="AV890" s="1384">
        <f>IFERROR(AV881/AT849-1,"")</f>
        <v/>
      </c>
      <c r="AW890" s="1384">
        <f>IFERROR(AW881/AT849-1,"")</f>
        <v/>
      </c>
      <c r="AX890" s="1384">
        <f>IFERROR(AX881/AY849-1,"")</f>
        <v/>
      </c>
      <c r="AY890" s="1382">
        <f>IFERROR(AY881/AY849-1,"")</f>
        <v/>
      </c>
      <c r="AZ890" s="1384">
        <f>IFERROR(AZ881/AY849-1,"")</f>
        <v/>
      </c>
      <c r="BA890" s="1384">
        <f>IFERROR(BA881/AY849-1,"")</f>
        <v/>
      </c>
      <c r="BB890" s="1384">
        <f>IFERROR(BB881/AY849-1,"")</f>
        <v/>
      </c>
      <c r="BC890" s="1384">
        <f>IFERROR(BC881/BD849-1,"")</f>
        <v/>
      </c>
      <c r="BD890" s="1382">
        <f>IFERROR(BD881/BD849-1,"")</f>
        <v/>
      </c>
      <c r="BE890" s="1384">
        <f>IFERROR(BE881/BD849-1,"")</f>
        <v/>
      </c>
      <c r="BF890" s="1384">
        <f>IFERROR(BF881/BD849-1,"")</f>
        <v/>
      </c>
      <c r="BG890" s="1384">
        <f>IFERROR(BG881/BD849-1,"")</f>
        <v/>
      </c>
      <c r="BH890" s="1384">
        <f>IFERROR(BH881/BI849-1,"")</f>
        <v/>
      </c>
      <c r="BI890" s="1382">
        <f>IFERROR(BI881/BI849-1,"")</f>
        <v/>
      </c>
      <c r="BJ890" s="1384">
        <f>IFERROR(BJ881/BI849-1,"")</f>
        <v/>
      </c>
      <c r="BK890" s="1384">
        <f>IFERROR(BK881/BI849-1,"")</f>
        <v/>
      </c>
      <c r="BL890" s="1384">
        <f>IFERROR(BL881/BI849-1,"")</f>
        <v/>
      </c>
      <c r="BM890" s="1384">
        <f>IFERROR(BM881/BN849-1,"")</f>
        <v/>
      </c>
      <c r="BN890" s="1382">
        <f>IFERROR(BN881/BN849-1,"")</f>
        <v/>
      </c>
      <c r="BO890" s="1384">
        <f>IFERROR(BO881/BN849-1,"")</f>
        <v/>
      </c>
      <c r="BP890" s="1384">
        <f>IFERROR(BP881/BN849-1,"")</f>
        <v/>
      </c>
      <c r="BQ890" s="1386">
        <f>IFERROR(BQ881/BN849-1,"")</f>
        <v/>
      </c>
      <c r="BR890" s="1384" t="n"/>
      <c r="BS890" s="1382" t="n"/>
      <c r="BT890" s="1384" t="n"/>
      <c r="BU890" s="1384" t="n"/>
      <c r="BV890" s="1384" t="n"/>
      <c r="BW890" s="1384" t="n"/>
      <c r="BX890" s="1382" t="n"/>
      <c r="BY890" s="1382" t="n"/>
      <c r="BZ890" s="1382" t="n"/>
      <c r="CA890" s="1382" t="n"/>
      <c r="CB890" s="1384" t="n"/>
    </row>
    <row r="891" hidden="1" outlineLevel="3" ht="15" customFormat="1" customHeight="1" s="1359">
      <c r="A891" s="1790" t="inlineStr">
        <is>
          <t>Forward annual guided Y/Y WAD Adjusted EPS growth - high, %</t>
        </is>
      </c>
      <c r="B891" s="1774" t="n"/>
      <c r="C891" s="1775" t="n"/>
      <c r="D891" s="1775" t="n"/>
      <c r="E891" s="1775" t="n"/>
      <c r="F891" s="1775" t="n"/>
      <c r="G891" s="1776" t="n"/>
      <c r="H891" s="1776" t="n"/>
      <c r="I891" s="1776" t="n"/>
      <c r="J891" s="1776" t="n"/>
      <c r="K891" s="1775" t="n"/>
      <c r="L891" s="1776" t="n"/>
      <c r="M891" s="1776" t="n"/>
      <c r="N891" s="1776" t="n"/>
      <c r="O891" s="1776" t="n"/>
      <c r="P891" s="1775" t="n"/>
      <c r="Q891" s="1776" t="n"/>
      <c r="R891" s="1776" t="n"/>
      <c r="S891" s="1776" t="n"/>
      <c r="T891" s="1776" t="n"/>
      <c r="U891" s="1775" t="n"/>
      <c r="V891" s="1776" t="n"/>
      <c r="W891" s="1776" t="n"/>
      <c r="X891" s="1776" t="n"/>
      <c r="Y891" s="1776" t="n"/>
      <c r="Z891" s="1775" t="n"/>
      <c r="AA891" s="1776" t="n"/>
      <c r="AB891" s="1776" t="n"/>
      <c r="AC891" s="1776">
        <f>IFERROR(AC884/Z849-1,"")</f>
        <v/>
      </c>
      <c r="AD891" s="1776">
        <f>IFERROR(AD884/AE849-1,"")</f>
        <v/>
      </c>
      <c r="AE891" s="1775">
        <f>IFERROR(AE884/AE849-1,"")</f>
        <v/>
      </c>
      <c r="AF891" s="1776">
        <f>IFERROR(AF884/AE849-1,"")</f>
        <v/>
      </c>
      <c r="AG891" s="1776">
        <f>IFERROR(AG884/AE849-1,"")</f>
        <v/>
      </c>
      <c r="AH891" s="1776">
        <f>IFERROR(AH884/AE849-1,"")</f>
        <v/>
      </c>
      <c r="AI891" s="1776">
        <f>IFERROR(AI884/AJ849-1,"")</f>
        <v/>
      </c>
      <c r="AJ891" s="1775">
        <f>IFERROR(AJ884/AJ849-1,"")</f>
        <v/>
      </c>
      <c r="AK891" s="1776">
        <f>IFERROR(AK884/AJ849-1,"")</f>
        <v/>
      </c>
      <c r="AL891" s="1776">
        <f>IFERROR(AL884/AJ849-1,"")</f>
        <v/>
      </c>
      <c r="AM891" s="1776">
        <f>IFERROR(AM884/AJ849-1,"")</f>
        <v/>
      </c>
      <c r="AN891" s="1776">
        <f>IFERROR(AN884/AO849-1,"")</f>
        <v/>
      </c>
      <c r="AO891" s="1775">
        <f>IFERROR(AO884/AO849-1,"")</f>
        <v/>
      </c>
      <c r="AP891" s="1776">
        <f>IFERROR(AP884/AO849-1,"")</f>
        <v/>
      </c>
      <c r="AQ891" s="1776">
        <f>IFERROR(AQ884/AO849-1,"")</f>
        <v/>
      </c>
      <c r="AR891" s="1776">
        <f>IFERROR(AR884/AO849-1,"")</f>
        <v/>
      </c>
      <c r="AS891" s="1776">
        <f>IFERROR(AS884/AT849-1,"")</f>
        <v/>
      </c>
      <c r="AT891" s="1775">
        <f>IFERROR(AT884/AT849-1,"")</f>
        <v/>
      </c>
      <c r="AU891" s="1776">
        <f>IFERROR(AU884/AT849-1,"")</f>
        <v/>
      </c>
      <c r="AV891" s="1776">
        <f>IFERROR(AV884/AT849-1,"")</f>
        <v/>
      </c>
      <c r="AW891" s="1776">
        <f>IFERROR(AW884/AT849-1,"")</f>
        <v/>
      </c>
      <c r="AX891" s="1776">
        <f>IFERROR(AX884/AY849-1,"")</f>
        <v/>
      </c>
      <c r="AY891" s="1775">
        <f>IFERROR(AY884/AY849-1,"")</f>
        <v/>
      </c>
      <c r="AZ891" s="1776">
        <f>IFERROR(AZ884/AY849-1,"")</f>
        <v/>
      </c>
      <c r="BA891" s="1776">
        <f>IFERROR(BA884/AY849-1,"")</f>
        <v/>
      </c>
      <c r="BB891" s="1776">
        <f>IFERROR(BB884/AY849-1,"")</f>
        <v/>
      </c>
      <c r="BC891" s="1776">
        <f>IFERROR(BC884/BD849-1,"")</f>
        <v/>
      </c>
      <c r="BD891" s="1775">
        <f>IFERROR(BD884/BD849-1,"")</f>
        <v/>
      </c>
      <c r="BE891" s="1776">
        <f>IFERROR(BE884/BD849-1,"")</f>
        <v/>
      </c>
      <c r="BF891" s="1776">
        <f>IFERROR(BF884/BD849-1,"")</f>
        <v/>
      </c>
      <c r="BG891" s="1776">
        <f>IFERROR(BG884/BD849-1,"")</f>
        <v/>
      </c>
      <c r="BH891" s="1776">
        <f>IFERROR(BH884/BI849-1,"")</f>
        <v/>
      </c>
      <c r="BI891" s="1775">
        <f>IFERROR(BI884/BI849-1,"")</f>
        <v/>
      </c>
      <c r="BJ891" s="1776">
        <f>IFERROR(BJ884/BI849-1,"")</f>
        <v/>
      </c>
      <c r="BK891" s="1776">
        <f>IFERROR(BK884/BI849-1,"")</f>
        <v/>
      </c>
      <c r="BL891" s="1776">
        <f>IFERROR(BL884/BI849-1,"")</f>
        <v/>
      </c>
      <c r="BM891" s="1776">
        <f>IFERROR(BM884/BN849-1,"")</f>
        <v/>
      </c>
      <c r="BN891" s="1775">
        <f>IFERROR(BN884/BN849-1,"")</f>
        <v/>
      </c>
      <c r="BO891" s="1776">
        <f>IFERROR(BO884/BN849-1,"")</f>
        <v/>
      </c>
      <c r="BP891" s="1776">
        <f>IFERROR(BP884/BN849-1,"")</f>
        <v/>
      </c>
      <c r="BQ891" s="1777">
        <f>IFERROR(BQ884/BN849-1,"")</f>
        <v/>
      </c>
      <c r="BR891" s="1776" t="n"/>
      <c r="BS891" s="1775" t="n"/>
      <c r="BT891" s="1776" t="n"/>
      <c r="BU891" s="1776" t="n"/>
      <c r="BV891" s="1776" t="n"/>
      <c r="BW891" s="1776" t="n"/>
      <c r="BX891" s="1775" t="n"/>
      <c r="BY891" s="1775" t="n"/>
      <c r="BZ891" s="1775" t="n"/>
      <c r="CA891" s="1775" t="n"/>
      <c r="CB891" s="1384" t="n"/>
    </row>
    <row r="892" hidden="1" outlineLevel="2" collapsed="1" ht="15" customFormat="1" customHeight="1" s="1359">
      <c r="A892" s="1501" t="inlineStr">
        <is>
          <t>Forward annual guided Y/Y WAD Adjusted EPS growth - midpoint, %</t>
        </is>
      </c>
      <c r="B892" s="1590" t="n"/>
      <c r="C892" s="1382" t="n"/>
      <c r="D892" s="1382" t="n"/>
      <c r="E892" s="1382" t="n"/>
      <c r="F892" s="1382" t="n"/>
      <c r="G892" s="1384">
        <f>IFERROR(G887/F849-1,"")</f>
        <v/>
      </c>
      <c r="H892" s="1384">
        <f>IFERROR(H887/F849-1,"")</f>
        <v/>
      </c>
      <c r="I892" s="1384">
        <f>IFERROR(I887/F849-1,"")</f>
        <v/>
      </c>
      <c r="J892" s="1384">
        <f>IFERROR(J887/K849-1,"")</f>
        <v/>
      </c>
      <c r="K892" s="1382">
        <f>IFERROR(K887/K849-1,"")</f>
        <v/>
      </c>
      <c r="L892" s="1384">
        <f>IFERROR(L887/K849-1,"")</f>
        <v/>
      </c>
      <c r="M892" s="1384">
        <f>IFERROR(M887/K849-1,"")</f>
        <v/>
      </c>
      <c r="N892" s="1384">
        <f>IFERROR(N887/K849-1,"")</f>
        <v/>
      </c>
      <c r="O892" s="1384">
        <f>IFERROR(O887/P849-1,"")</f>
        <v/>
      </c>
      <c r="P892" s="1382">
        <f>IFERROR(P887/P849-1,"")</f>
        <v/>
      </c>
      <c r="Q892" s="1384">
        <f>IFERROR(Q887/P849-1,"")</f>
        <v/>
      </c>
      <c r="R892" s="1384">
        <f>IFERROR(R887/P849-1,"")</f>
        <v/>
      </c>
      <c r="S892" s="1384">
        <f>IFERROR(S887/P849-1,"")</f>
        <v/>
      </c>
      <c r="T892" s="1384">
        <f>IFERROR(T887/U849-1,"")</f>
        <v/>
      </c>
      <c r="U892" s="1382">
        <f>IFERROR(U887/U849-1,"")</f>
        <v/>
      </c>
      <c r="V892" s="1384">
        <f>IFERROR(V887/U849-1,"")</f>
        <v/>
      </c>
      <c r="W892" s="1384">
        <f>IFERROR(W887/U849-1,"")</f>
        <v/>
      </c>
      <c r="X892" s="1384">
        <f>IFERROR(X887/U849-1,"")</f>
        <v/>
      </c>
      <c r="Y892" s="1384">
        <f>IFERROR(Y887/Z849-1,"")</f>
        <v/>
      </c>
      <c r="Z892" s="1382">
        <f>IFERROR(Z887/Z849-1,"")</f>
        <v/>
      </c>
      <c r="AA892" s="1384">
        <f>IFERROR(AA887/Z849-1,"")</f>
        <v/>
      </c>
      <c r="AB892" s="1384">
        <f>IFERROR(AB887/Z849-1,"")</f>
        <v/>
      </c>
      <c r="AC892" s="1384">
        <f>IFERROR(AC887/Z849-1,"")</f>
        <v/>
      </c>
      <c r="AD892" s="1384">
        <f>IFERROR(AD887/AE849-1,"")</f>
        <v/>
      </c>
      <c r="AE892" s="1382">
        <f>IFERROR(AE887/AE849-1,"")</f>
        <v/>
      </c>
      <c r="AF892" s="1384">
        <f>IFERROR(AF887/AE849-1,"")</f>
        <v/>
      </c>
      <c r="AG892" s="1384">
        <f>IFERROR(AG887/AE849-1,"")</f>
        <v/>
      </c>
      <c r="AH892" s="1384">
        <f>IFERROR(AH887/AE849-1,"")</f>
        <v/>
      </c>
      <c r="AI892" s="1384">
        <f>IFERROR(AI887/AJ849-1,"")</f>
        <v/>
      </c>
      <c r="AJ892" s="1382">
        <f>IFERROR(AJ887/AJ849-1,"")</f>
        <v/>
      </c>
      <c r="AK892" s="1384">
        <f>IFERROR(AK887/AJ849-1,"")</f>
        <v/>
      </c>
      <c r="AL892" s="1384">
        <f>IFERROR(AL887/AJ849-1,"")</f>
        <v/>
      </c>
      <c r="AM892" s="1384">
        <f>IFERROR(AM887/AJ849-1,"")</f>
        <v/>
      </c>
      <c r="AN892" s="1384">
        <f>IFERROR(AN887/AO849-1,"")</f>
        <v/>
      </c>
      <c r="AO892" s="1382">
        <f>IFERROR(AO887/AO849-1,"")</f>
        <v/>
      </c>
      <c r="AP892" s="1384">
        <f>IFERROR(AP887/AO849-1,"")</f>
        <v/>
      </c>
      <c r="AQ892" s="1384">
        <f>IFERROR(AQ887/AO849-1,"")</f>
        <v/>
      </c>
      <c r="AR892" s="1384">
        <f>IFERROR(AR887/AO849-1,"")</f>
        <v/>
      </c>
      <c r="AS892" s="1384">
        <f>IFERROR(AS887/AT849-1,"")</f>
        <v/>
      </c>
      <c r="AT892" s="1382">
        <f>IFERROR(AT887/AT849-1,"")</f>
        <v/>
      </c>
      <c r="AU892" s="1384">
        <f>IFERROR(AU887/AT849-1,"")</f>
        <v/>
      </c>
      <c r="AV892" s="1384">
        <f>IFERROR(AV887/AT849-1,"")</f>
        <v/>
      </c>
      <c r="AW892" s="1384">
        <f>IFERROR(AW887/AT849-1,"")</f>
        <v/>
      </c>
      <c r="AX892" s="1384">
        <f>IFERROR(AX887/AY849-1,"")</f>
        <v/>
      </c>
      <c r="AY892" s="1382">
        <f>IFERROR(AY887/AY849-1,"")</f>
        <v/>
      </c>
      <c r="AZ892" s="1384">
        <f>IFERROR(AZ887/AY849-1,"")</f>
        <v/>
      </c>
      <c r="BA892" s="1384">
        <f>IFERROR(BA887/AY849-1,"")</f>
        <v/>
      </c>
      <c r="BB892" s="1384">
        <f>IFERROR(BB887/AY849-1,"")</f>
        <v/>
      </c>
      <c r="BC892" s="1384">
        <f>IFERROR(BC887/BD849-1,"")</f>
        <v/>
      </c>
      <c r="BD892" s="1382">
        <f>IFERROR(BD887/BD849-1,"")</f>
        <v/>
      </c>
      <c r="BE892" s="1384">
        <f>IFERROR(BE887/BD849-1,"")</f>
        <v/>
      </c>
      <c r="BF892" s="1384">
        <f>IFERROR(BF887/BD849-1,"")</f>
        <v/>
      </c>
      <c r="BG892" s="1384">
        <f>IFERROR(BG887/BD849-1,"")</f>
        <v/>
      </c>
      <c r="BH892" s="1384">
        <f>IFERROR(BH887/BI849-1,"")</f>
        <v/>
      </c>
      <c r="BI892" s="1382">
        <f>IFERROR(BI887/BI849-1,"")</f>
        <v/>
      </c>
      <c r="BJ892" s="1384">
        <f>IFERROR(BJ887/BI849-1,"")</f>
        <v/>
      </c>
      <c r="BK892" s="1384">
        <f>IFERROR(BK887/BI849-1,"")</f>
        <v/>
      </c>
      <c r="BL892" s="1384">
        <f>IFERROR(BL887/BI849-1,"")</f>
        <v/>
      </c>
      <c r="BM892" s="1384">
        <f>IFERROR(BM887/BN849-1,"")</f>
        <v/>
      </c>
      <c r="BN892" s="1382">
        <f>IFERROR(BN887/BN849-1,"")</f>
        <v/>
      </c>
      <c r="BO892" s="1384">
        <f>IFERROR(BO887/BN849-1,"")</f>
        <v/>
      </c>
      <c r="BP892" s="1384">
        <f>IFERROR(BP887/BN849-1,"")</f>
        <v/>
      </c>
      <c r="BQ892" s="1386">
        <f>IFERROR(BQ887/BN849-1,"")</f>
        <v/>
      </c>
      <c r="BR892" s="1384" t="n"/>
      <c r="BS892" s="1382" t="n"/>
      <c r="BT892" s="1384" t="n"/>
      <c r="BU892" s="1384" t="n"/>
      <c r="BV892" s="1384" t="n"/>
      <c r="BW892" s="1384" t="n"/>
      <c r="BX892" s="1382" t="n"/>
      <c r="BY892" s="1382" t="n"/>
      <c r="BZ892" s="1382" t="n"/>
      <c r="CA892" s="1382" t="n"/>
      <c r="CB892" s="1384" t="n"/>
    </row>
    <row r="893" hidden="1" outlineLevel="1" collapsed="1" ht="15" customFormat="1" customHeight="1" s="1359">
      <c r="A893" s="545" t="n"/>
      <c r="B893" s="1512" t="n"/>
      <c r="C893" s="1723" t="n"/>
      <c r="D893" s="1723" t="n"/>
      <c r="E893" s="1723" t="n"/>
      <c r="F893" s="1723" t="n"/>
      <c r="G893" s="1721" t="n"/>
      <c r="H893" s="1721" t="n"/>
      <c r="I893" s="1721" t="n"/>
      <c r="J893" s="1721" t="n"/>
      <c r="K893" s="1723" t="n"/>
      <c r="L893" s="1721" t="n"/>
      <c r="M893" s="1721" t="n"/>
      <c r="N893" s="1721" t="n"/>
      <c r="O893" s="1721" t="n"/>
      <c r="P893" s="1723" t="n"/>
      <c r="Q893" s="1721" t="n"/>
      <c r="R893" s="1721" t="n"/>
      <c r="S893" s="1721" t="n"/>
      <c r="T893" s="1721" t="n"/>
      <c r="U893" s="1723" t="n"/>
      <c r="V893" s="1721" t="n"/>
      <c r="W893" s="1721" t="n"/>
      <c r="X893" s="1721" t="n"/>
      <c r="Y893" s="1721" t="n"/>
      <c r="Z893" s="1723" t="n"/>
      <c r="AA893" s="1721" t="n"/>
      <c r="AB893" s="1721" t="n"/>
      <c r="AC893" s="1721" t="n"/>
      <c r="AD893" s="1721" t="n"/>
      <c r="AE893" s="1723" t="n"/>
      <c r="AF893" s="1721" t="n"/>
      <c r="AG893" s="1721" t="n"/>
      <c r="AH893" s="1721" t="n"/>
      <c r="AI893" s="1721" t="n"/>
      <c r="AJ893" s="1723" t="n"/>
      <c r="AK893" s="1721" t="n"/>
      <c r="AL893" s="1721" t="n"/>
      <c r="AM893" s="1721" t="n"/>
      <c r="AN893" s="1721" t="n"/>
      <c r="AO893" s="1723" t="n"/>
      <c r="AP893" s="1721" t="n"/>
      <c r="AQ893" s="1721" t="n"/>
      <c r="AR893" s="1721" t="n"/>
      <c r="AS893" s="1721" t="n"/>
      <c r="AT893" s="1723" t="n"/>
      <c r="AU893" s="1721" t="n"/>
      <c r="AV893" s="1721" t="n"/>
      <c r="AW893" s="1721" t="n"/>
      <c r="AX893" s="1721" t="n"/>
      <c r="AY893" s="1723" t="n"/>
      <c r="AZ893" s="1721" t="n"/>
      <c r="BA893" s="1721" t="n"/>
      <c r="BB893" s="1721" t="n"/>
      <c r="BC893" s="1721" t="n"/>
      <c r="BD893" s="1723" t="n"/>
      <c r="BE893" s="1721" t="n"/>
      <c r="BF893" s="1721" t="n"/>
      <c r="BG893" s="1721" t="n"/>
      <c r="BH893" s="1721" t="n"/>
      <c r="BI893" s="1723" t="n"/>
      <c r="BJ893" s="1721" t="n"/>
      <c r="BK893" s="1721" t="n"/>
      <c r="BL893" s="1721" t="n"/>
      <c r="BM893" s="1721" t="n"/>
      <c r="BN893" s="1723" t="n"/>
      <c r="BO893" s="1721" t="n"/>
      <c r="BP893" s="1721" t="n"/>
      <c r="BQ893" s="1722" t="n"/>
      <c r="BR893" s="1721" t="n"/>
      <c r="BS893" s="1723" t="n"/>
      <c r="BT893" s="1721" t="n"/>
      <c r="BU893" s="1721" t="n"/>
      <c r="BV893" s="1721" t="n"/>
      <c r="BW893" s="1721" t="n"/>
      <c r="BX893" s="1723" t="n"/>
      <c r="BY893" s="1723" t="n"/>
      <c r="BZ893" s="1723" t="n"/>
      <c r="CA893" s="1723" t="n"/>
      <c r="CB893" s="1361" t="n"/>
    </row>
    <row r="894" hidden="1" outlineLevel="1" ht="15" customFormat="1" customHeight="1" s="1359">
      <c r="A894" s="1766" t="inlineStr">
        <is>
          <t>Capex - Guidance Analysis</t>
        </is>
      </c>
      <c r="B894" s="1682" t="n"/>
      <c r="C894" s="1373" t="n"/>
      <c r="D894" s="1373" t="n"/>
      <c r="E894" s="1373" t="n"/>
      <c r="F894" s="1373" t="n"/>
      <c r="G894" s="1373" t="n"/>
      <c r="H894" s="1373" t="n"/>
      <c r="I894" s="1373" t="n"/>
      <c r="J894" s="1373" t="n"/>
      <c r="K894" s="1373" t="n"/>
      <c r="L894" s="1373" t="n"/>
      <c r="M894" s="1373" t="n"/>
      <c r="N894" s="1373" t="n"/>
      <c r="O894" s="1373" t="n"/>
      <c r="P894" s="1373" t="n"/>
      <c r="Q894" s="1373" t="n"/>
      <c r="R894" s="1373" t="n"/>
      <c r="S894" s="1373" t="n"/>
      <c r="T894" s="1373" t="n"/>
      <c r="U894" s="1373" t="n"/>
      <c r="V894" s="1373" t="n"/>
      <c r="W894" s="1373" t="n"/>
      <c r="X894" s="1373" t="n"/>
      <c r="Y894" s="1373" t="n"/>
      <c r="Z894" s="1373" t="n"/>
      <c r="AA894" s="1373" t="n"/>
      <c r="AB894" s="1373" t="n"/>
      <c r="AC894" s="1373" t="n"/>
      <c r="AD894" s="1373" t="n"/>
      <c r="AE894" s="1373" t="n"/>
      <c r="AF894" s="1373" t="n"/>
      <c r="AG894" s="1373" t="n"/>
      <c r="AH894" s="1373" t="n"/>
      <c r="AI894" s="1373" t="n"/>
      <c r="AJ894" s="1373" t="n"/>
      <c r="AK894" s="1373" t="n"/>
      <c r="AL894" s="1373" t="n"/>
      <c r="AM894" s="1373" t="n"/>
      <c r="AN894" s="1373" t="n"/>
      <c r="AO894" s="1373" t="n"/>
      <c r="AP894" s="1373" t="n"/>
      <c r="AQ894" s="1373" t="n"/>
      <c r="AR894" s="1373" t="n"/>
      <c r="AS894" s="1373" t="n"/>
      <c r="AT894" s="1373" t="n"/>
      <c r="AU894" s="1373" t="n"/>
      <c r="AV894" s="1373" t="n"/>
      <c r="AW894" s="1373" t="n"/>
      <c r="AX894" s="1373" t="n"/>
      <c r="AY894" s="1373" t="n"/>
      <c r="AZ894" s="1373" t="n"/>
      <c r="BA894" s="1373" t="n"/>
      <c r="BB894" s="1373" t="n"/>
      <c r="BC894" s="1373" t="n"/>
      <c r="BD894" s="1373" t="n"/>
      <c r="BE894" s="1373" t="n"/>
      <c r="BF894" s="1373" t="n"/>
      <c r="BG894" s="1373" t="n"/>
      <c r="BH894" s="1373" t="n"/>
      <c r="BI894" s="1373" t="n"/>
      <c r="BJ894" s="1373" t="n"/>
      <c r="BK894" s="1373" t="n"/>
      <c r="BL894" s="1373" t="n"/>
      <c r="BM894" s="1373" t="n"/>
      <c r="BN894" s="1373" t="n"/>
      <c r="BO894" s="1373" t="n"/>
      <c r="BP894" s="1373" t="n"/>
      <c r="BQ894" s="1374" t="n"/>
      <c r="BR894" s="1373" t="n"/>
      <c r="BS894" s="1373" t="n"/>
      <c r="BT894" s="1373" t="n"/>
      <c r="BU894" s="1373" t="n"/>
      <c r="BV894" s="1373" t="n"/>
      <c r="BW894" s="1373" t="n"/>
      <c r="BX894" s="1373" t="n"/>
      <c r="BY894" s="1373" t="n"/>
      <c r="BZ894" s="1373" t="n"/>
      <c r="CA894" s="1373" t="n"/>
      <c r="CB894" s="1364" t="n"/>
    </row>
    <row r="895" hidden="1" outlineLevel="2" ht="15" customFormat="1" customHeight="1" s="1359">
      <c r="A895" s="1474" t="inlineStr">
        <is>
          <t>Capex guidance - initial midpoint, mm</t>
        </is>
      </c>
      <c r="B895" s="1512" t="n"/>
      <c r="C895" s="1379" t="n"/>
      <c r="D895" s="1379" t="n"/>
      <c r="E895" s="1379" t="n"/>
      <c r="F895" s="1379" t="n"/>
      <c r="G895" s="1361" t="n"/>
      <c r="H895" s="1361">
        <f>IF(ISBLANK(G912),"",G912)</f>
        <v/>
      </c>
      <c r="I895" s="1361">
        <f>IF(ISBLANK(H912),"",H912)</f>
        <v/>
      </c>
      <c r="J895" s="1361">
        <f>IF(ISBLANK(I912),"",I912)</f>
        <v/>
      </c>
      <c r="K895" s="1379" t="n"/>
      <c r="L895" s="1361">
        <f>IF(ISBLANK(J912),"",J912)</f>
        <v/>
      </c>
      <c r="M895" s="1361">
        <f>IF(ISBLANK(L912),"",L912)</f>
        <v/>
      </c>
      <c r="N895" s="1361">
        <f>IF(ISBLANK(M912),"",M912)</f>
        <v/>
      </c>
      <c r="O895" s="1361">
        <f>IF(ISBLANK(N912),"",N912)</f>
        <v/>
      </c>
      <c r="P895" s="1379">
        <f>IF(ISBLANK(J926),"",J926)</f>
        <v/>
      </c>
      <c r="Q895" s="1361">
        <f>IF(ISBLANK(O912),"",O912)</f>
        <v/>
      </c>
      <c r="R895" s="1361">
        <f>IF(ISBLANK(Q912),"",Q912)</f>
        <v/>
      </c>
      <c r="S895" s="1361">
        <f>IF(ISBLANK(R912),"",R912)</f>
        <v/>
      </c>
      <c r="T895" s="1361">
        <f>IF(ISBLANK(S912),"",S912)</f>
        <v/>
      </c>
      <c r="U895" s="1379">
        <f>IF(ISBLANK(O926),"",O926)</f>
        <v/>
      </c>
      <c r="V895" s="1361">
        <f>IF(ISBLANK(T912),"",T912)</f>
        <v/>
      </c>
      <c r="W895" s="1361">
        <f>IF(ISBLANK(V912),"",V912)</f>
        <v/>
      </c>
      <c r="X895" s="1361">
        <f>IF(ISBLANK(W912),"",W912)</f>
        <v/>
      </c>
      <c r="Y895" s="1361">
        <f>IF(ISBLANK(X912),"",X912)</f>
        <v/>
      </c>
      <c r="Z895" s="1379">
        <f>IF(ISBLANK(T926),"",T926)</f>
        <v/>
      </c>
      <c r="AA895" s="1361">
        <f>IF(ISBLANK(Y912),"",Y912)</f>
        <v/>
      </c>
      <c r="AB895" s="1361">
        <f>IF(ISBLANK(AA912),"",AA912)</f>
        <v/>
      </c>
      <c r="AC895" s="1361">
        <f>IF(ISBLANK(AB912),"",AB912)</f>
        <v/>
      </c>
      <c r="AD895" s="1361">
        <f>IF(ISBLANK(AC912),"",AC912)</f>
        <v/>
      </c>
      <c r="AE895" s="1379">
        <f>IF(ISBLANK(Y926),"",Y926)</f>
        <v/>
      </c>
      <c r="AF895" s="1361">
        <f>IF(ISBLANK(AD912),"",AD912)</f>
        <v/>
      </c>
      <c r="AG895" s="1361">
        <f>IF(ISBLANK(AF912),"",AF912)</f>
        <v/>
      </c>
      <c r="AH895" s="1361">
        <f>IF(ISBLANK(AG912),"",AG912)</f>
        <v/>
      </c>
      <c r="AI895" s="1361">
        <f>IF(ISBLANK(AH912),"",AH912)</f>
        <v/>
      </c>
      <c r="AJ895" s="1379">
        <f>IF(ISBLANK(AD926),"",AD926)</f>
        <v/>
      </c>
      <c r="AK895" s="1361">
        <f>IF(ISBLANK(AI912),"",AI912)</f>
        <v/>
      </c>
      <c r="AL895" s="1361">
        <f>IF(ISBLANK(AK912),"",AK912)</f>
        <v/>
      </c>
      <c r="AM895" s="1361">
        <f>IF(ISBLANK(AL912),"",AL912)</f>
        <v/>
      </c>
      <c r="AN895" s="1361">
        <f>IF(ISBLANK(AM912),"",AM912)</f>
        <v/>
      </c>
      <c r="AO895" s="1379">
        <f>IF(ISBLANK(AI926),"",AI926)</f>
        <v/>
      </c>
      <c r="AP895" s="1361">
        <f>IF(ISBLANK(AN912),"",AN912)</f>
        <v/>
      </c>
      <c r="AQ895" s="1361">
        <f>IF(ISBLANK(AP912),"",AP912)</f>
        <v/>
      </c>
      <c r="AR895" s="1361">
        <f>IF(ISBLANK(AQ912),"",AQ912)</f>
        <v/>
      </c>
      <c r="AS895" s="1361">
        <f>IF(ISBLANK(AR912),"",AR912)</f>
        <v/>
      </c>
      <c r="AT895" s="1379">
        <f>IF(ISBLANK(AN926),"",AN926)</f>
        <v/>
      </c>
      <c r="AU895" s="1361">
        <f>IF(ISBLANK(AS912),"",AS912)</f>
        <v/>
      </c>
      <c r="AV895" s="1361">
        <f>IF(ISBLANK(AU912),"",AU912)</f>
        <v/>
      </c>
      <c r="AW895" s="1361">
        <f>IF(ISBLANK(AV912),"",AV912)</f>
        <v/>
      </c>
      <c r="AX895" s="1361">
        <f>IF(ISBLANK(AW912),"",AW912)</f>
        <v/>
      </c>
      <c r="AY895" s="1379">
        <f>IF(ISBLANK(AS926),"",AS926)</f>
        <v/>
      </c>
      <c r="AZ895" s="1361">
        <f>IF(ISBLANK(AX912),"",AX912)</f>
        <v/>
      </c>
      <c r="BA895" s="1361">
        <f>IF(ISBLANK(AZ912),"",AZ912)</f>
        <v/>
      </c>
      <c r="BB895" s="1361">
        <f>IF(ISBLANK(BA912),"",BA912)</f>
        <v/>
      </c>
      <c r="BC895" s="1361">
        <f>IF(ISBLANK(BB912),"",BB912)</f>
        <v/>
      </c>
      <c r="BD895" s="1379">
        <f>IF(ISBLANK(AX926),"",AX926)</f>
        <v/>
      </c>
      <c r="BE895" s="1361">
        <f>IF(ISBLANK(BC912),"",BC912)</f>
        <v/>
      </c>
      <c r="BF895" s="1361">
        <f>IF(ISBLANK(BE912),"",BE912)</f>
        <v/>
      </c>
      <c r="BG895" s="1361">
        <f>IF(ISBLANK(BF912),"",BF912)</f>
        <v/>
      </c>
      <c r="BH895" s="1361">
        <f>IF(ISBLANK(BG912),"",BG912)</f>
        <v/>
      </c>
      <c r="BI895" s="1379">
        <f>IF(ISBLANK(BC926),"",BC926)</f>
        <v/>
      </c>
      <c r="BJ895" s="1361">
        <f>IF(ISBLANK(BH912),"",BH912)</f>
        <v/>
      </c>
      <c r="BK895" s="1361">
        <f>IF(ISBLANK(BJ912),"",BJ912)</f>
        <v/>
      </c>
      <c r="BL895" s="1361">
        <f>IF(ISBLANK(BK912),"",BK912)</f>
        <v/>
      </c>
      <c r="BM895" s="1361">
        <f>IF(ISBLANK(BL912),"",BL912)</f>
        <v/>
      </c>
      <c r="BN895" s="1379">
        <f>IF(ISBLANK(BH926),"",BH926)</f>
        <v/>
      </c>
      <c r="BO895" s="1361">
        <f>IF(ISBLANK(BM912),"",BM912)</f>
        <v/>
      </c>
      <c r="BP895" s="1361">
        <f>IF(ISBLANK(BO912),"",BO912)</f>
        <v/>
      </c>
      <c r="BQ895" s="1363">
        <f>IF(ISBLANK(BP912),"",BP912)</f>
        <v/>
      </c>
      <c r="BR895" s="1361">
        <f>IF(ISBLANK(BQ912),"",BQ912)</f>
        <v/>
      </c>
      <c r="BS895" s="1379">
        <f>IF(ISBLANK(BM926),"",BM926)</f>
        <v/>
      </c>
      <c r="BT895" s="1361">
        <f>IF(ISBLANK(BR912),"",BR912)</f>
        <v/>
      </c>
      <c r="BU895" s="1361">
        <f>IF(ISBLANK(BT912),"",BT912)</f>
        <v/>
      </c>
      <c r="BV895" s="1361">
        <f>IF(ISBLANK(BU912),"",BU912)</f>
        <v/>
      </c>
      <c r="BW895" s="1361">
        <f>IF(ISBLANK(BV912),"",BV912)</f>
        <v/>
      </c>
      <c r="BX895" s="1379">
        <f>IF(ISBLANK(BR926),"",BR926)</f>
        <v/>
      </c>
      <c r="BY895" s="1379" t="n"/>
      <c r="BZ895" s="1379" t="n"/>
      <c r="CA895" s="1379" t="n"/>
      <c r="CB895" s="1361" t="n"/>
    </row>
    <row r="896" hidden="1" outlineLevel="2" ht="15" customFormat="1" customHeight="1" s="1359">
      <c r="A896" s="1474" t="inlineStr">
        <is>
          <t>Capex guidance - update 1 midpoint, mm</t>
        </is>
      </c>
      <c r="B896" s="1512" t="n"/>
      <c r="C896" s="1379" t="n"/>
      <c r="D896" s="1379" t="n"/>
      <c r="E896" s="1379" t="n"/>
      <c r="F896" s="1379" t="n"/>
      <c r="G896" s="1361" t="n"/>
      <c r="H896" s="1361" t="n"/>
      <c r="I896" s="1361" t="n"/>
      <c r="J896" s="1361" t="n"/>
      <c r="K896" s="1379">
        <f>IF(ISBLANK(G926),"",G926)</f>
        <v/>
      </c>
      <c r="L896" s="1361" t="n"/>
      <c r="M896" s="1361" t="n"/>
      <c r="N896" s="1361" t="n"/>
      <c r="O896" s="1361" t="n"/>
      <c r="P896" s="1379">
        <f>IF(ISBLANK(L926),"",L926)</f>
        <v/>
      </c>
      <c r="Q896" s="1361" t="n"/>
      <c r="R896" s="1361" t="n"/>
      <c r="S896" s="1361" t="n"/>
      <c r="T896" s="1361" t="n"/>
      <c r="U896" s="1379">
        <f>IF(ISBLANK(Q926),"",Q926)</f>
        <v/>
      </c>
      <c r="V896" s="1361" t="n"/>
      <c r="W896" s="1361" t="n"/>
      <c r="X896" s="1361" t="n"/>
      <c r="Y896" s="1361" t="n"/>
      <c r="Z896" s="1379">
        <f>IF(ISBLANK(V926),"",V926)</f>
        <v/>
      </c>
      <c r="AA896" s="1361" t="n"/>
      <c r="AB896" s="1361" t="n"/>
      <c r="AC896" s="1361" t="n"/>
      <c r="AD896" s="1361" t="n"/>
      <c r="AE896" s="1379">
        <f>IF(ISBLANK(AA926),"",AA926)</f>
        <v/>
      </c>
      <c r="AF896" s="1361" t="n"/>
      <c r="AG896" s="1361" t="n"/>
      <c r="AH896" s="1361" t="n"/>
      <c r="AI896" s="1361" t="n"/>
      <c r="AJ896" s="1379">
        <f>IF(ISBLANK(AF926),"",AF926)</f>
        <v/>
      </c>
      <c r="AK896" s="1361" t="n"/>
      <c r="AL896" s="1361" t="n"/>
      <c r="AM896" s="1361" t="n"/>
      <c r="AN896" s="1361" t="n"/>
      <c r="AO896" s="1379">
        <f>IF(ISBLANK(AK926),"",AK926)</f>
        <v/>
      </c>
      <c r="AP896" s="1361" t="n"/>
      <c r="AQ896" s="1361" t="n"/>
      <c r="AR896" s="1361" t="n"/>
      <c r="AS896" s="1361" t="n"/>
      <c r="AT896" s="1379">
        <f>IF(ISBLANK(AP926),"",AP926)</f>
        <v/>
      </c>
      <c r="AU896" s="1361" t="n"/>
      <c r="AV896" s="1361" t="n"/>
      <c r="AW896" s="1361" t="n"/>
      <c r="AX896" s="1361" t="n"/>
      <c r="AY896" s="1379">
        <f>IF(ISBLANK(AU926),"",AU926)</f>
        <v/>
      </c>
      <c r="AZ896" s="1361" t="n"/>
      <c r="BA896" s="1361" t="n"/>
      <c r="BB896" s="1361" t="n"/>
      <c r="BC896" s="1361" t="n"/>
      <c r="BD896" s="1379">
        <f>IF(ISBLANK(AZ926),"",AZ926)</f>
        <v/>
      </c>
      <c r="BE896" s="1361" t="n"/>
      <c r="BF896" s="1361" t="n"/>
      <c r="BG896" s="1361" t="n"/>
      <c r="BH896" s="1361" t="n"/>
      <c r="BI896" s="1379">
        <f>IF(ISBLANK(BE926),"",BE926)</f>
        <v/>
      </c>
      <c r="BJ896" s="1361" t="n"/>
      <c r="BK896" s="1361" t="n"/>
      <c r="BL896" s="1361" t="n"/>
      <c r="BM896" s="1361" t="n"/>
      <c r="BN896" s="1379">
        <f>IF(ISBLANK(BJ926),"",BJ926)</f>
        <v/>
      </c>
      <c r="BO896" s="1361" t="n"/>
      <c r="BP896" s="1361" t="n"/>
      <c r="BQ896" s="1363" t="n"/>
      <c r="BR896" s="1361" t="n"/>
      <c r="BS896" s="1379">
        <f>IF(ISBLANK(BO926),"",BO926)</f>
        <v/>
      </c>
      <c r="BT896" s="1361" t="n"/>
      <c r="BU896" s="1361" t="n"/>
      <c r="BV896" s="1361" t="n"/>
      <c r="BW896" s="1361" t="n"/>
      <c r="BX896" s="1379">
        <f>IF(ISBLANK(BT926),"",BT926)</f>
        <v/>
      </c>
      <c r="BY896" s="1379" t="n"/>
      <c r="BZ896" s="1379" t="n"/>
      <c r="CA896" s="1379" t="n"/>
      <c r="CB896" s="1361" t="n"/>
    </row>
    <row r="897" hidden="1" outlineLevel="2" ht="15" customFormat="1" customHeight="1" s="1359">
      <c r="A897" s="1474" t="inlineStr">
        <is>
          <t>Capex guidance - update 2 midpoint, mm</t>
        </is>
      </c>
      <c r="B897" s="1512" t="n"/>
      <c r="C897" s="1379" t="n"/>
      <c r="D897" s="1379" t="n"/>
      <c r="E897" s="1379" t="n"/>
      <c r="F897" s="1379" t="n"/>
      <c r="G897" s="1361" t="n"/>
      <c r="H897" s="1361" t="n"/>
      <c r="I897" s="1361" t="n"/>
      <c r="J897" s="1361" t="n"/>
      <c r="K897" s="1379">
        <f>IF(ISBLANK(H926),"",H926)</f>
        <v/>
      </c>
      <c r="L897" s="1361" t="n"/>
      <c r="M897" s="1361" t="n"/>
      <c r="N897" s="1361" t="n"/>
      <c r="O897" s="1361" t="n"/>
      <c r="P897" s="1379">
        <f>IF(ISBLANK(M926),"",M926)</f>
        <v/>
      </c>
      <c r="Q897" s="1361" t="n"/>
      <c r="R897" s="1361" t="n"/>
      <c r="S897" s="1361" t="n"/>
      <c r="T897" s="1361" t="n"/>
      <c r="U897" s="1379">
        <f>IF(ISBLANK(R926),"",R926)</f>
        <v/>
      </c>
      <c r="V897" s="1361" t="n"/>
      <c r="W897" s="1361" t="n"/>
      <c r="X897" s="1361" t="n"/>
      <c r="Y897" s="1361" t="n"/>
      <c r="Z897" s="1379">
        <f>IF(ISBLANK(W926),"",W926)</f>
        <v/>
      </c>
      <c r="AA897" s="1361" t="n"/>
      <c r="AB897" s="1361" t="n"/>
      <c r="AC897" s="1361" t="n"/>
      <c r="AD897" s="1361" t="n"/>
      <c r="AE897" s="1379">
        <f>IF(ISBLANK(AB926),"",AB926)</f>
        <v/>
      </c>
      <c r="AF897" s="1361" t="n"/>
      <c r="AG897" s="1361" t="n"/>
      <c r="AH897" s="1361" t="n"/>
      <c r="AI897" s="1361" t="n"/>
      <c r="AJ897" s="1379">
        <f>IF(ISBLANK(AG926),"",AG926)</f>
        <v/>
      </c>
      <c r="AK897" s="1361" t="n"/>
      <c r="AL897" s="1361" t="n"/>
      <c r="AM897" s="1361" t="n"/>
      <c r="AN897" s="1361" t="n"/>
      <c r="AO897" s="1379">
        <f>IF(ISBLANK(AL926),"",AL926)</f>
        <v/>
      </c>
      <c r="AP897" s="1361" t="n"/>
      <c r="AQ897" s="1361" t="n"/>
      <c r="AR897" s="1361" t="n"/>
      <c r="AS897" s="1361" t="n"/>
      <c r="AT897" s="1379">
        <f>IF(ISBLANK(AQ926),"",AQ926)</f>
        <v/>
      </c>
      <c r="AU897" s="1361" t="n"/>
      <c r="AV897" s="1361" t="n"/>
      <c r="AW897" s="1361" t="n"/>
      <c r="AX897" s="1361" t="n"/>
      <c r="AY897" s="1379">
        <f>IF(ISBLANK(AV926),"",AV926)</f>
        <v/>
      </c>
      <c r="AZ897" s="1361" t="n"/>
      <c r="BA897" s="1361" t="n"/>
      <c r="BB897" s="1361" t="n"/>
      <c r="BC897" s="1361" t="n"/>
      <c r="BD897" s="1379">
        <f>IF(ISBLANK(BA926),"",BA926)</f>
        <v/>
      </c>
      <c r="BE897" s="1361" t="n"/>
      <c r="BF897" s="1361" t="n"/>
      <c r="BG897" s="1361" t="n"/>
      <c r="BH897" s="1361" t="n"/>
      <c r="BI897" s="1379">
        <f>IF(ISBLANK(BF926),"",BF926)</f>
        <v/>
      </c>
      <c r="BJ897" s="1361" t="n"/>
      <c r="BK897" s="1361" t="n"/>
      <c r="BL897" s="1361" t="n"/>
      <c r="BM897" s="1361" t="n"/>
      <c r="BN897" s="1379">
        <f>IF(ISBLANK(BK926),"",BK926)</f>
        <v/>
      </c>
      <c r="BO897" s="1361" t="n"/>
      <c r="BP897" s="1361" t="n"/>
      <c r="BQ897" s="1363" t="n"/>
      <c r="BR897" s="1361" t="n"/>
      <c r="BS897" s="1379">
        <f>IF(ISBLANK(BP926),"",BP926)</f>
        <v/>
      </c>
      <c r="BT897" s="1361" t="n"/>
      <c r="BU897" s="1361" t="n"/>
      <c r="BV897" s="1361" t="n"/>
      <c r="BW897" s="1361" t="n"/>
      <c r="BX897" s="1379">
        <f>IF(ISBLANK(BU926),"",BU926)</f>
        <v/>
      </c>
      <c r="BY897" s="1379" t="n"/>
      <c r="BZ897" s="1379" t="n"/>
      <c r="CA897" s="1379" t="n"/>
      <c r="CB897" s="1361" t="n"/>
    </row>
    <row r="898" hidden="1" outlineLevel="2" ht="15" customFormat="1" customHeight="1" s="1359">
      <c r="A898" s="1478" t="inlineStr">
        <is>
          <t>Capex guidance - update 3 midpoint, mm</t>
        </is>
      </c>
      <c r="B898" s="1514" t="n"/>
      <c r="C898" s="1455" t="n"/>
      <c r="D898" s="1455" t="n"/>
      <c r="E898" s="1455" t="n"/>
      <c r="F898" s="1455" t="n"/>
      <c r="G898" s="1456" t="n"/>
      <c r="H898" s="1456" t="n"/>
      <c r="I898" s="1456" t="n"/>
      <c r="J898" s="1456" t="n"/>
      <c r="K898" s="1455">
        <f>IF(ISBLANK(I926),"",I926)</f>
        <v/>
      </c>
      <c r="L898" s="1456" t="n"/>
      <c r="M898" s="1456" t="n"/>
      <c r="N898" s="1456" t="n"/>
      <c r="O898" s="1456" t="n"/>
      <c r="P898" s="1455">
        <f>IF(ISBLANK(N926),"",N926)</f>
        <v/>
      </c>
      <c r="Q898" s="1456" t="n"/>
      <c r="R898" s="1456" t="n"/>
      <c r="S898" s="1456" t="n"/>
      <c r="T898" s="1456" t="n"/>
      <c r="U898" s="1455">
        <f>IF(ISBLANK(S926),"",S926)</f>
        <v/>
      </c>
      <c r="V898" s="1456" t="n"/>
      <c r="W898" s="1456" t="n"/>
      <c r="X898" s="1456" t="n"/>
      <c r="Y898" s="1456" t="n"/>
      <c r="Z898" s="1455">
        <f>IF(ISBLANK(X926),"",X926)</f>
        <v/>
      </c>
      <c r="AA898" s="1456" t="n"/>
      <c r="AB898" s="1456" t="n"/>
      <c r="AC898" s="1456" t="n"/>
      <c r="AD898" s="1456" t="n"/>
      <c r="AE898" s="1455">
        <f>IF(ISBLANK(AC926),"",AC926)</f>
        <v/>
      </c>
      <c r="AF898" s="1456" t="n"/>
      <c r="AG898" s="1456" t="n"/>
      <c r="AH898" s="1456" t="n"/>
      <c r="AI898" s="1456" t="n"/>
      <c r="AJ898" s="1455">
        <f>IF(ISBLANK(AH926),"",AH926)</f>
        <v/>
      </c>
      <c r="AK898" s="1456" t="n"/>
      <c r="AL898" s="1456" t="n"/>
      <c r="AM898" s="1456" t="n"/>
      <c r="AN898" s="1456" t="n"/>
      <c r="AO898" s="1455">
        <f>IF(ISBLANK(AM926),"",AM926)</f>
        <v/>
      </c>
      <c r="AP898" s="1456" t="n"/>
      <c r="AQ898" s="1456" t="n"/>
      <c r="AR898" s="1456" t="n"/>
      <c r="AS898" s="1456" t="n"/>
      <c r="AT898" s="1455">
        <f>IF(ISBLANK(AR926),"",AR926)</f>
        <v/>
      </c>
      <c r="AU898" s="1456" t="n"/>
      <c r="AV898" s="1456" t="n"/>
      <c r="AW898" s="1456" t="n"/>
      <c r="AX898" s="1456" t="n"/>
      <c r="AY898" s="1455">
        <f>IF(ISBLANK(AW926),"",AW926)</f>
        <v/>
      </c>
      <c r="AZ898" s="1456" t="n"/>
      <c r="BA898" s="1456" t="n"/>
      <c r="BB898" s="1456" t="n"/>
      <c r="BC898" s="1456" t="n"/>
      <c r="BD898" s="1455">
        <f>IF(ISBLANK(BB926),"",BB926)</f>
        <v/>
      </c>
      <c r="BE898" s="1456" t="n"/>
      <c r="BF898" s="1456" t="n"/>
      <c r="BG898" s="1456" t="n"/>
      <c r="BH898" s="1456" t="n"/>
      <c r="BI898" s="1455">
        <f>IF(ISBLANK(BG926),"",BG926)</f>
        <v/>
      </c>
      <c r="BJ898" s="1456" t="n"/>
      <c r="BK898" s="1456" t="n"/>
      <c r="BL898" s="1456" t="n"/>
      <c r="BM898" s="1456" t="n"/>
      <c r="BN898" s="1455">
        <f>IF(ISBLANK(BL926),"",BL926)</f>
        <v/>
      </c>
      <c r="BO898" s="1456" t="n"/>
      <c r="BP898" s="1456" t="n"/>
      <c r="BQ898" s="1457" t="n"/>
      <c r="BR898" s="1456" t="n"/>
      <c r="BS898" s="1455">
        <f>IF(ISBLANK(BQ926),"",BQ926)</f>
        <v/>
      </c>
      <c r="BT898" s="1456" t="n"/>
      <c r="BU898" s="1456" t="n"/>
      <c r="BV898" s="1456" t="n"/>
      <c r="BW898" s="1456" t="n"/>
      <c r="BX898" s="1455">
        <f>IF(ISBLANK(BV926),"",BV926)</f>
        <v/>
      </c>
      <c r="BY898" s="1455" t="n"/>
      <c r="BZ898" s="1455" t="n"/>
      <c r="CA898" s="1455" t="n"/>
      <c r="CB898" s="1361" t="n"/>
    </row>
    <row r="899" hidden="1" outlineLevel="1" collapsed="1" ht="15" customFormat="1" customHeight="1" s="1359">
      <c r="A899" s="1503" t="inlineStr">
        <is>
          <t>Capex guidance - most recent midpoint, mm</t>
        </is>
      </c>
      <c r="B899" s="1512" t="n"/>
      <c r="C899" s="1379" t="n"/>
      <c r="D899" s="1379" t="n"/>
      <c r="E899" s="1379" t="n"/>
      <c r="F899" s="1379" t="n"/>
      <c r="G899" s="1361">
        <f>IF(G898="",IF(G897="",IF(G896="",IF(G895="","",G895),G896),G897),G898)</f>
        <v/>
      </c>
      <c r="H899" s="1361">
        <f>IF(H898="",IF(H897="",IF(H896="",IF(H895="","",H895),H896),H897),H898)</f>
        <v/>
      </c>
      <c r="I899" s="1361">
        <f>IF(I898="",IF(I897="",IF(I896="",IF(I895="","",I895),I896),I897),I898)</f>
        <v/>
      </c>
      <c r="J899" s="1361">
        <f>IF(J898="",IF(J897="",IF(J896="",IF(J895="","",J895),J896),J897),J898)</f>
        <v/>
      </c>
      <c r="K899" s="1379">
        <f>IF(K898="",IF(K897="",IF(K896="",IF(K895="","",K895),K896),K897),K898)</f>
        <v/>
      </c>
      <c r="L899" s="1361">
        <f>IF(L898="",IF(L897="",IF(L896="",IF(L895="","",L895),L896),L897),L898)</f>
        <v/>
      </c>
      <c r="M899" s="1361">
        <f>IF(M898="",IF(M897="",IF(M896="",IF(M895="","",M895),M896),M897),M898)</f>
        <v/>
      </c>
      <c r="N899" s="1361">
        <f>IF(N898="",IF(N897="",IF(N896="",IF(N895="","",N895),N896),N897),N898)</f>
        <v/>
      </c>
      <c r="O899" s="1361">
        <f>IF(O898="",IF(O897="",IF(O896="",IF(O895="","",O895),O896),O897),O898)</f>
        <v/>
      </c>
      <c r="P899" s="1379">
        <f>IF(P898="",IF(P897="",IF(P896="",IF(P895="","",P895),P896),P897),P898)</f>
        <v/>
      </c>
      <c r="Q899" s="1361">
        <f>IF(Q898="",IF(Q897="",IF(Q896="",IF(Q895="","",Q895),Q896),Q897),Q898)</f>
        <v/>
      </c>
      <c r="R899" s="1361">
        <f>IF(R898="",IF(R897="",IF(R896="",IF(R895="","",R895),R896),R897),R898)</f>
        <v/>
      </c>
      <c r="S899" s="1361">
        <f>IF(S898="",IF(S897="",IF(S896="",IF(S895="","",S895),S896),S897),S898)</f>
        <v/>
      </c>
      <c r="T899" s="1361">
        <f>IF(T898="",IF(T897="",IF(T896="",IF(T895="","",T895),T896),T897),T898)</f>
        <v/>
      </c>
      <c r="U899" s="1379">
        <f>IF(U898="",IF(U897="",IF(U896="",IF(U895="","",U895),U896),U897),U898)</f>
        <v/>
      </c>
      <c r="V899" s="1361">
        <f>IF(V898="",IF(V897="",IF(V896="",IF(V895="","",V895),V896),V897),V898)</f>
        <v/>
      </c>
      <c r="W899" s="1361">
        <f>IF(W898="",IF(W897="",IF(W896="",IF(W895="","",W895),W896),W897),W898)</f>
        <v/>
      </c>
      <c r="X899" s="1361">
        <f>IF(X898="",IF(X897="",IF(X896="",IF(X895="","",X895),X896),X897),X898)</f>
        <v/>
      </c>
      <c r="Y899" s="1361">
        <f>IF(Y898="",IF(Y897="",IF(Y896="",IF(Y895="","",Y895),Y896),Y897),Y898)</f>
        <v/>
      </c>
      <c r="Z899" s="1379">
        <f>IF(Z898="",IF(Z897="",IF(Z896="",IF(Z895="","",Z895),Z896),Z897),Z898)</f>
        <v/>
      </c>
      <c r="AA899" s="1361">
        <f>IF(AA898="",IF(AA897="",IF(AA896="",IF(AA895="","",AA895),AA896),AA897),AA898)</f>
        <v/>
      </c>
      <c r="AB899" s="1361">
        <f>IF(AB898="",IF(AB897="",IF(AB896="",IF(AB895="","",AB895),AB896),AB897),AB898)</f>
        <v/>
      </c>
      <c r="AC899" s="1361">
        <f>IF(AC898="",IF(AC897="",IF(AC896="",IF(AC895="","",AC895),AC896),AC897),AC898)</f>
        <v/>
      </c>
      <c r="AD899" s="1361">
        <f>IF(AD898="",IF(AD897="",IF(AD896="",IF(AD895="","",AD895),AD896),AD897),AD898)</f>
        <v/>
      </c>
      <c r="AE899" s="1379">
        <f>IF(AE898="",IF(AE897="",IF(AE896="",IF(AE895="","",AE895),AE896),AE897),AE898)</f>
        <v/>
      </c>
      <c r="AF899" s="1361">
        <f>IF(AF898="",IF(AF897="",IF(AF896="",IF(AF895="","",AF895),AF896),AF897),AF898)</f>
        <v/>
      </c>
      <c r="AG899" s="1361">
        <f>IF(AG898="",IF(AG897="",IF(AG896="",IF(AG895="","",AG895),AG896),AG897),AG898)</f>
        <v/>
      </c>
      <c r="AH899" s="1361">
        <f>IF(AH898="",IF(AH897="",IF(AH896="",IF(AH895="","",AH895),AH896),AH897),AH898)</f>
        <v/>
      </c>
      <c r="AI899" s="1361">
        <f>IF(AI898="",IF(AI897="",IF(AI896="",IF(AI895="","",AI895),AI896),AI897),AI898)</f>
        <v/>
      </c>
      <c r="AJ899" s="1379">
        <f>IF(AJ898="",IF(AJ897="",IF(AJ896="",IF(AJ895="","",AJ895),AJ896),AJ897),AJ898)</f>
        <v/>
      </c>
      <c r="AK899" s="1361">
        <f>IF(AK898="",IF(AK897="",IF(AK896="",IF(AK895="","",AK895),AK896),AK897),AK898)</f>
        <v/>
      </c>
      <c r="AL899" s="1361">
        <f>IF(AL898="",IF(AL897="",IF(AL896="",IF(AL895="","",AL895),AL896),AL897),AL898)</f>
        <v/>
      </c>
      <c r="AM899" s="1361">
        <f>IF(AM898="",IF(AM897="",IF(AM896="",IF(AM895="","",AM895),AM896),AM897),AM898)</f>
        <v/>
      </c>
      <c r="AN899" s="1361">
        <f>IF(AN898="",IF(AN897="",IF(AN896="",IF(AN895="","",AN895),AN896),AN897),AN898)</f>
        <v/>
      </c>
      <c r="AO899" s="1379">
        <f>IF(AO898="",IF(AO897="",IF(AO896="",IF(AO895="","",AO895),AO896),AO897),AO898)</f>
        <v/>
      </c>
      <c r="AP899" s="1361">
        <f>IF(AP898="",IF(AP897="",IF(AP896="",IF(AP895="","",AP895),AP896),AP897),AP898)</f>
        <v/>
      </c>
      <c r="AQ899" s="1361">
        <f>IF(AQ898="",IF(AQ897="",IF(AQ896="",IF(AQ895="","",AQ895),AQ896),AQ897),AQ898)</f>
        <v/>
      </c>
      <c r="AR899" s="1361">
        <f>IF(AR898="",IF(AR897="",IF(AR896="",IF(AR895="","",AR895),AR896),AR897),AR898)</f>
        <v/>
      </c>
      <c r="AS899" s="1361">
        <f>IF(AS898="",IF(AS897="",IF(AS896="",IF(AS895="","",AS895),AS896),AS897),AS898)</f>
        <v/>
      </c>
      <c r="AT899" s="1379">
        <f>IF(AT898="",IF(AT897="",IF(AT896="",IF(AT895="","",AT895),AT896),AT897),AT898)</f>
        <v/>
      </c>
      <c r="AU899" s="1361">
        <f>IF(AU898="",IF(AU897="",IF(AU896="",IF(AU895="","",AU895),AU896),AU897),AU898)</f>
        <v/>
      </c>
      <c r="AV899" s="1361">
        <f>IF(AV898="",IF(AV897="",IF(AV896="",IF(AV895="","",AV895),AV896),AV897),AV898)</f>
        <v/>
      </c>
      <c r="AW899" s="1361">
        <f>IF(AW898="",IF(AW897="",IF(AW896="",IF(AW895="","",AW895),AW896),AW897),AW898)</f>
        <v/>
      </c>
      <c r="AX899" s="1361">
        <f>IF(AX898="",IF(AX897="",IF(AX896="",IF(AX895="","",AX895),AX896),AX897),AX898)</f>
        <v/>
      </c>
      <c r="AY899" s="1379">
        <f>IF(AY898="",IF(AY897="",IF(AY896="",IF(AY895="","",AY895),AY896),AY897),AY898)</f>
        <v/>
      </c>
      <c r="AZ899" s="1361">
        <f>IF(AZ898="",IF(AZ897="",IF(AZ896="",IF(AZ895="","",AZ895),AZ896),AZ897),AZ898)</f>
        <v/>
      </c>
      <c r="BA899" s="1361">
        <f>IF(BA898="",IF(BA897="",IF(BA896="",IF(BA895="","",BA895),BA896),BA897),BA898)</f>
        <v/>
      </c>
      <c r="BB899" s="1361">
        <f>IF(BB898="",IF(BB897="",IF(BB896="",IF(BB895="","",BB895),BB896),BB897),BB898)</f>
        <v/>
      </c>
      <c r="BC899" s="1361">
        <f>IF(BC898="",IF(BC897="",IF(BC896="",IF(BC895="","",BC895),BC896),BC897),BC898)</f>
        <v/>
      </c>
      <c r="BD899" s="1379">
        <f>IF(BD898="",IF(BD897="",IF(BD896="",IF(BD895="","",BD895),BD896),BD897),BD898)</f>
        <v/>
      </c>
      <c r="BE899" s="1361">
        <f>IF(BE898="",IF(BE897="",IF(BE896="",IF(BE895="","",BE895),BE896),BE897),BE898)</f>
        <v/>
      </c>
      <c r="BF899" s="1361">
        <f>IF(BF898="",IF(BF897="",IF(BF896="",IF(BF895="","",BF895),BF896),BF897),BF898)</f>
        <v/>
      </c>
      <c r="BG899" s="1361">
        <f>IF(BG898="",IF(BG897="",IF(BG896="",IF(BG895="","",BG895),BG896),BG897),BG898)</f>
        <v/>
      </c>
      <c r="BH899" s="1361">
        <f>IF(BH898="",IF(BH897="",IF(BH896="",IF(BH895="","",BH895),BH896),BH897),BH898)</f>
        <v/>
      </c>
      <c r="BI899" s="1379">
        <f>IF(BI898="",IF(BI897="",IF(BI896="",IF(BI895="","",BI895),BI896),BI897),BI898)</f>
        <v/>
      </c>
      <c r="BJ899" s="1361">
        <f>IF(BJ898="",IF(BJ897="",IF(BJ896="",IF(BJ895="","",BJ895),BJ896),BJ897),BJ898)</f>
        <v/>
      </c>
      <c r="BK899" s="1361">
        <f>IF(BK898="",IF(BK897="",IF(BK896="",IF(BK895="","",BK895),BK896),BK897),BK898)</f>
        <v/>
      </c>
      <c r="BL899" s="1361">
        <f>IF(BL898="",IF(BL897="",IF(BL896="",IF(BL895="","",BL895),BL896),BL897),BL898)</f>
        <v/>
      </c>
      <c r="BM899" s="1361">
        <f>IF(BM898="",IF(BM897="",IF(BM896="",IF(BM895="","",BM895),BM896),BM897),BM898)</f>
        <v/>
      </c>
      <c r="BN899" s="1379">
        <f>IF(BN898="",IF(BN897="",IF(BN896="",IF(BN895="","",BN895),BN896),BN897),BN898)</f>
        <v/>
      </c>
      <c r="BO899" s="1361">
        <f>IF(BO898="",IF(BO897="",IF(BO896="",IF(BO895="","",BO895),BO896),BO897),BO898)</f>
        <v/>
      </c>
      <c r="BP899" s="1361">
        <f>IF(BP898="",IF(BP897="",IF(BP896="",IF(BP895="","",BP895),BP896),BP897),BP898)</f>
        <v/>
      </c>
      <c r="BQ899" s="1363">
        <f>IF(BQ898="",IF(BQ897="",IF(BQ896="",IF(BQ895="","",BQ895),BQ896),BQ897),BQ898)</f>
        <v/>
      </c>
      <c r="BR899" s="1361">
        <f>IF(BR898="",IF(BR897="",IF(BR896="",IF(BR895="","",BR895),BR896),BR897),BR898)</f>
        <v/>
      </c>
      <c r="BS899" s="1379">
        <f>IF(BS898="",IF(BS897="",IF(BS896="",IF(BS895="","",BS895),BS896),BS897),BS898)</f>
        <v/>
      </c>
      <c r="BT899" s="1361">
        <f>IF(BT898="",IF(BT897="",IF(BT896="",IF(BT895="","",BT895),BT896),BT897),BT898)</f>
        <v/>
      </c>
      <c r="BU899" s="1361">
        <f>IF(BU898="",IF(BU897="",IF(BU896="",IF(BU895="","",BU895),BU896),BU897),BU898)</f>
        <v/>
      </c>
      <c r="BV899" s="1361">
        <f>IF(BV898="",IF(BV897="",IF(BV896="",IF(BV895="","",BV895),BV896),BV897),BV898)</f>
        <v/>
      </c>
      <c r="BW899" s="1361">
        <f>IF(BW898="",IF(BW897="",IF(BW896="",IF(BW895="","",BW895),BW896),BW897),BW898)</f>
        <v/>
      </c>
      <c r="BX899" s="1379">
        <f>IF(BX898="",IF(BX897="",IF(BX896="",IF(BX895="","",BX895),BX896),BX897),BX898)</f>
        <v/>
      </c>
      <c r="BY899" s="1379" t="n"/>
      <c r="BZ899" s="1379" t="n"/>
      <c r="CA899" s="1379" t="n"/>
      <c r="CB899" s="1361" t="n"/>
    </row>
    <row r="900" hidden="1" outlineLevel="1" ht="15" customFormat="1" customHeight="1" s="1359">
      <c r="A900" s="1818" t="inlineStr">
        <is>
          <t>Capex - reported/model estimate, mm</t>
        </is>
      </c>
      <c r="B900" s="1514" t="n"/>
      <c r="C900" s="1455">
        <f>-C938</f>
        <v/>
      </c>
      <c r="D900" s="1455">
        <f>-D938</f>
        <v/>
      </c>
      <c r="E900" s="1455">
        <f>-E938</f>
        <v/>
      </c>
      <c r="F900" s="1455">
        <f>-F938</f>
        <v/>
      </c>
      <c r="G900" s="1456">
        <f>-G938</f>
        <v/>
      </c>
      <c r="H900" s="1456">
        <f>-H938</f>
        <v/>
      </c>
      <c r="I900" s="1456">
        <f>-I938</f>
        <v/>
      </c>
      <c r="J900" s="1456">
        <f>-J938</f>
        <v/>
      </c>
      <c r="K900" s="1455">
        <f>-K938</f>
        <v/>
      </c>
      <c r="L900" s="1456">
        <f>-L938</f>
        <v/>
      </c>
      <c r="M900" s="1456">
        <f>-M938</f>
        <v/>
      </c>
      <c r="N900" s="1456">
        <f>-N938</f>
        <v/>
      </c>
      <c r="O900" s="1456">
        <f>-O938</f>
        <v/>
      </c>
      <c r="P900" s="1455">
        <f>-P938</f>
        <v/>
      </c>
      <c r="Q900" s="1456">
        <f>-Q938</f>
        <v/>
      </c>
      <c r="R900" s="1456">
        <f>-R938</f>
        <v/>
      </c>
      <c r="S900" s="1456">
        <f>-S938</f>
        <v/>
      </c>
      <c r="T900" s="1456">
        <f>-T938</f>
        <v/>
      </c>
      <c r="U900" s="1455">
        <f>-U938</f>
        <v/>
      </c>
      <c r="V900" s="1456">
        <f>-V938</f>
        <v/>
      </c>
      <c r="W900" s="1456">
        <f>-W938</f>
        <v/>
      </c>
      <c r="X900" s="1456">
        <f>-X938</f>
        <v/>
      </c>
      <c r="Y900" s="1456">
        <f>-Y938</f>
        <v/>
      </c>
      <c r="Z900" s="1455">
        <f>-Z938</f>
        <v/>
      </c>
      <c r="AA900" s="1456">
        <f>-AA938</f>
        <v/>
      </c>
      <c r="AB900" s="1456">
        <f>-AB938</f>
        <v/>
      </c>
      <c r="AC900" s="1456">
        <f>-AC938</f>
        <v/>
      </c>
      <c r="AD900" s="1456">
        <f>-AD938</f>
        <v/>
      </c>
      <c r="AE900" s="1455">
        <f>-AE938</f>
        <v/>
      </c>
      <c r="AF900" s="1456">
        <f>-AF938</f>
        <v/>
      </c>
      <c r="AG900" s="1456">
        <f>-AG938</f>
        <v/>
      </c>
      <c r="AH900" s="1456">
        <f>-AH938</f>
        <v/>
      </c>
      <c r="AI900" s="1456">
        <f>-AI938</f>
        <v/>
      </c>
      <c r="AJ900" s="1455">
        <f>-AJ938</f>
        <v/>
      </c>
      <c r="AK900" s="1456">
        <f>-AK938</f>
        <v/>
      </c>
      <c r="AL900" s="1456">
        <f>-AL938</f>
        <v/>
      </c>
      <c r="AM900" s="1456">
        <f>-AM938</f>
        <v/>
      </c>
      <c r="AN900" s="1456">
        <f>-AN938</f>
        <v/>
      </c>
      <c r="AO900" s="1455">
        <f>-AO938</f>
        <v/>
      </c>
      <c r="AP900" s="1456">
        <f>-AP938</f>
        <v/>
      </c>
      <c r="AQ900" s="1456">
        <f>-AQ938</f>
        <v/>
      </c>
      <c r="AR900" s="1456">
        <f>-AR938</f>
        <v/>
      </c>
      <c r="AS900" s="1456">
        <f>-AS938</f>
        <v/>
      </c>
      <c r="AT900" s="1455">
        <f>-AT938</f>
        <v/>
      </c>
      <c r="AU900" s="1456">
        <f>-AU938</f>
        <v/>
      </c>
      <c r="AV900" s="1456">
        <f>-AV938</f>
        <v/>
      </c>
      <c r="AW900" s="1456">
        <f>-AW938</f>
        <v/>
      </c>
      <c r="AX900" s="1456">
        <f>-AX938</f>
        <v/>
      </c>
      <c r="AY900" s="1455">
        <f>-AY938</f>
        <v/>
      </c>
      <c r="AZ900" s="1456">
        <f>-AZ938</f>
        <v/>
      </c>
      <c r="BA900" s="1456">
        <f>-BA938</f>
        <v/>
      </c>
      <c r="BB900" s="1456">
        <f>-BB938</f>
        <v/>
      </c>
      <c r="BC900" s="1456">
        <f>-BC938</f>
        <v/>
      </c>
      <c r="BD900" s="1455">
        <f>-BD938</f>
        <v/>
      </c>
      <c r="BE900" s="1456">
        <f>-BE938</f>
        <v/>
      </c>
      <c r="BF900" s="1456">
        <f>-BF938</f>
        <v/>
      </c>
      <c r="BG900" s="1456">
        <f>-BG938</f>
        <v/>
      </c>
      <c r="BH900" s="1456">
        <f>-BH938</f>
        <v/>
      </c>
      <c r="BI900" s="1455">
        <f>-BI938</f>
        <v/>
      </c>
      <c r="BJ900" s="1456">
        <f>-BJ938</f>
        <v/>
      </c>
      <c r="BK900" s="1456">
        <f>-BK938</f>
        <v/>
      </c>
      <c r="BL900" s="1456">
        <f>-BL938</f>
        <v/>
      </c>
      <c r="BM900" s="1456">
        <f>-BM938</f>
        <v/>
      </c>
      <c r="BN900" s="1455">
        <f>-BN938</f>
        <v/>
      </c>
      <c r="BO900" s="1456">
        <f>-BO938</f>
        <v/>
      </c>
      <c r="BP900" s="1456">
        <f>-BP938</f>
        <v/>
      </c>
      <c r="BQ900" s="1457">
        <f>-BQ938</f>
        <v/>
      </c>
      <c r="BR900" s="1456">
        <f>-BR938</f>
        <v/>
      </c>
      <c r="BS900" s="1455">
        <f>-BS938</f>
        <v/>
      </c>
      <c r="BT900" s="1456">
        <f>-BT938</f>
        <v/>
      </c>
      <c r="BU900" s="1456">
        <f>-BU938</f>
        <v/>
      </c>
      <c r="BV900" s="1456">
        <f>-BV938</f>
        <v/>
      </c>
      <c r="BW900" s="1456">
        <f>-BW938</f>
        <v/>
      </c>
      <c r="BX900" s="1455">
        <f>-BX938</f>
        <v/>
      </c>
      <c r="BY900" s="1455">
        <f>-BY938</f>
        <v/>
      </c>
      <c r="BZ900" s="1455">
        <f>-BZ938</f>
        <v/>
      </c>
      <c r="CA900" s="1455">
        <f>-CA938</f>
        <v/>
      </c>
      <c r="CB900" s="1361" t="n"/>
    </row>
    <row r="901" hidden="1" outlineLevel="1" ht="15" customFormat="1" customHeight="1" s="1359">
      <c r="A901" s="1819" t="inlineStr">
        <is>
          <t>Capex beat/(miss) vs. most recent guidance - midpoint, mm</t>
        </is>
      </c>
      <c r="B901" s="1581" t="n"/>
      <c r="C901" s="1582" t="n"/>
      <c r="D901" s="1582" t="n"/>
      <c r="E901" s="1582" t="n"/>
      <c r="F901" s="1582" t="n"/>
      <c r="G901" s="1583">
        <f>IFERROR(G900-G899,"")</f>
        <v/>
      </c>
      <c r="H901" s="1583">
        <f>IFERROR(H900-H899,"")</f>
        <v/>
      </c>
      <c r="I901" s="1583">
        <f>IFERROR(I900-I899,"")</f>
        <v/>
      </c>
      <c r="J901" s="1583">
        <f>IFERROR(J900-J899,"")</f>
        <v/>
      </c>
      <c r="K901" s="1582">
        <f>IFERROR(K900-K899,"")</f>
        <v/>
      </c>
      <c r="L901" s="1583">
        <f>IFERROR(L900-L899,"")</f>
        <v/>
      </c>
      <c r="M901" s="1583">
        <f>IFERROR(M900-M899,"")</f>
        <v/>
      </c>
      <c r="N901" s="1583">
        <f>IFERROR(N900-N899,"")</f>
        <v/>
      </c>
      <c r="O901" s="1583">
        <f>IFERROR(O900-O899,"")</f>
        <v/>
      </c>
      <c r="P901" s="1582">
        <f>IFERROR(P900-P899,"")</f>
        <v/>
      </c>
      <c r="Q901" s="1583">
        <f>IFERROR(Q900-Q899,"")</f>
        <v/>
      </c>
      <c r="R901" s="1583">
        <f>IFERROR(R900-R899,"")</f>
        <v/>
      </c>
      <c r="S901" s="1583">
        <f>IFERROR(S900-S899,"")</f>
        <v/>
      </c>
      <c r="T901" s="1583">
        <f>IFERROR(T900-T899,"")</f>
        <v/>
      </c>
      <c r="U901" s="1582">
        <f>IFERROR(U900-U899,"")</f>
        <v/>
      </c>
      <c r="V901" s="1583">
        <f>IFERROR(V900-V899,"")</f>
        <v/>
      </c>
      <c r="W901" s="1583">
        <f>IFERROR(W900-W899,"")</f>
        <v/>
      </c>
      <c r="X901" s="1583">
        <f>IFERROR(X900-X899,"")</f>
        <v/>
      </c>
      <c r="Y901" s="1583">
        <f>IFERROR(Y900-Y899,"")</f>
        <v/>
      </c>
      <c r="Z901" s="1582">
        <f>IFERROR(Z900-Z899,"")</f>
        <v/>
      </c>
      <c r="AA901" s="1583">
        <f>IFERROR(AA900-AA899,"")</f>
        <v/>
      </c>
      <c r="AB901" s="1583">
        <f>IFERROR(AB900-AB899,"")</f>
        <v/>
      </c>
      <c r="AC901" s="1583">
        <f>IFERROR(AC900-AC899,"")</f>
        <v/>
      </c>
      <c r="AD901" s="1583">
        <f>IFERROR(AD900-AD899,"")</f>
        <v/>
      </c>
      <c r="AE901" s="1582">
        <f>IFERROR(AE900-AE899,"")</f>
        <v/>
      </c>
      <c r="AF901" s="1583">
        <f>IFERROR(AF900-AF899,"")</f>
        <v/>
      </c>
      <c r="AG901" s="1583">
        <f>IFERROR(AG900-AG899,"")</f>
        <v/>
      </c>
      <c r="AH901" s="1583">
        <f>IFERROR(AH900-AH899,"")</f>
        <v/>
      </c>
      <c r="AI901" s="1583">
        <f>IFERROR(AI900-AI899,"")</f>
        <v/>
      </c>
      <c r="AJ901" s="1582">
        <f>IFERROR(AJ900-AJ899,"")</f>
        <v/>
      </c>
      <c r="AK901" s="1583">
        <f>IFERROR(AK900-AK899,"")</f>
        <v/>
      </c>
      <c r="AL901" s="1583">
        <f>IFERROR(AL900-AL899,"")</f>
        <v/>
      </c>
      <c r="AM901" s="1583">
        <f>IFERROR(AM900-AM899,"")</f>
        <v/>
      </c>
      <c r="AN901" s="1583">
        <f>IFERROR(AN900-AN899,"")</f>
        <v/>
      </c>
      <c r="AO901" s="1582">
        <f>IFERROR(AO900-AO899,"")</f>
        <v/>
      </c>
      <c r="AP901" s="1583">
        <f>IFERROR(AP900-AP899,"")</f>
        <v/>
      </c>
      <c r="AQ901" s="1583">
        <f>IFERROR(AQ900-AQ899,"")</f>
        <v/>
      </c>
      <c r="AR901" s="1583">
        <f>IFERROR(AR900-AR899,"")</f>
        <v/>
      </c>
      <c r="AS901" s="1583">
        <f>IFERROR(AS900-AS899,"")</f>
        <v/>
      </c>
      <c r="AT901" s="1582">
        <f>IFERROR(AT900-AT899,"")</f>
        <v/>
      </c>
      <c r="AU901" s="1583">
        <f>IFERROR(AU900-AU899,"")</f>
        <v/>
      </c>
      <c r="AV901" s="1583">
        <f>IFERROR(AV900-AV899,"")</f>
        <v/>
      </c>
      <c r="AW901" s="1583">
        <f>IFERROR(AW900-AW899,"")</f>
        <v/>
      </c>
      <c r="AX901" s="1583">
        <f>IFERROR(AX900-AX899,"")</f>
        <v/>
      </c>
      <c r="AY901" s="1582">
        <f>IFERROR(AY900-AY899,"")</f>
        <v/>
      </c>
      <c r="AZ901" s="1583">
        <f>IFERROR(AZ900-AZ899,"")</f>
        <v/>
      </c>
      <c r="BA901" s="1583">
        <f>IFERROR(BA900-BA899,"")</f>
        <v/>
      </c>
      <c r="BB901" s="1583">
        <f>IFERROR(BB900-BB899,"")</f>
        <v/>
      </c>
      <c r="BC901" s="1583">
        <f>IFERROR(BC900-BC899,"")</f>
        <v/>
      </c>
      <c r="BD901" s="1582">
        <f>IFERROR(BD900-BD899,"")</f>
        <v/>
      </c>
      <c r="BE901" s="1583">
        <f>IFERROR(BE900-BE899,"")</f>
        <v/>
      </c>
      <c r="BF901" s="1583">
        <f>IFERROR(BF900-BF899,"")</f>
        <v/>
      </c>
      <c r="BG901" s="1583">
        <f>IFERROR(BG900-BG899,"")</f>
        <v/>
      </c>
      <c r="BH901" s="1583">
        <f>IFERROR(BH900-BH899,"")</f>
        <v/>
      </c>
      <c r="BI901" s="1582">
        <f>IFERROR(BI900-BI899,"")</f>
        <v/>
      </c>
      <c r="BJ901" s="1583">
        <f>IFERROR(BJ900-BJ899,"")</f>
        <v/>
      </c>
      <c r="BK901" s="1583">
        <f>IFERROR(BK900-BK899,"")</f>
        <v/>
      </c>
      <c r="BL901" s="1583">
        <f>IFERROR(BL900-BL899,"")</f>
        <v/>
      </c>
      <c r="BM901" s="1583">
        <f>IFERROR(BM900-BM899,"")</f>
        <v/>
      </c>
      <c r="BN901" s="1582">
        <f>IFERROR(BN900-BN899,"")</f>
        <v/>
      </c>
      <c r="BO901" s="1583">
        <f>IFERROR(BO900-BO899,"")</f>
        <v/>
      </c>
      <c r="BP901" s="1583">
        <f>IFERROR(BP900-BP899,"")</f>
        <v/>
      </c>
      <c r="BQ901" s="1584">
        <f>IFERROR(BQ900-BQ899,"")</f>
        <v/>
      </c>
      <c r="BR901" s="1583">
        <f>IFERROR(BR900-BR899,"")</f>
        <v/>
      </c>
      <c r="BS901" s="1582">
        <f>IFERROR(BS900-BS899,"")</f>
        <v/>
      </c>
      <c r="BT901" s="1583">
        <f>IFERROR(BT900-BT899,"")</f>
        <v/>
      </c>
      <c r="BU901" s="1583">
        <f>IFERROR(BU900-BU899,"")</f>
        <v/>
      </c>
      <c r="BV901" s="1583">
        <f>IFERROR(BV900-BV899,"")</f>
        <v/>
      </c>
      <c r="BW901" s="1583">
        <f>IFERROR(BW900-BW899,"")</f>
        <v/>
      </c>
      <c r="BX901" s="1582">
        <f>IFERROR(BX900-BX899,"")</f>
        <v/>
      </c>
      <c r="BY901" s="1582" t="n"/>
      <c r="BZ901" s="1582" t="n"/>
      <c r="CA901" s="1582" t="n"/>
      <c r="CB901" s="1361" t="n"/>
    </row>
    <row r="902" hidden="1" outlineLevel="1" ht="15" customFormat="1" customHeight="1" s="1359">
      <c r="A902" s="1768" t="inlineStr">
        <is>
          <t>Relative Capex beat/(miss) vs. most recent guidance - midpoint, %</t>
        </is>
      </c>
      <c r="B902" s="1769" t="n"/>
      <c r="C902" s="1770" t="n"/>
      <c r="D902" s="1770" t="n"/>
      <c r="E902" s="1770" t="n"/>
      <c r="F902" s="1770" t="n"/>
      <c r="G902" s="1771">
        <f>IFERROR(G901/ABS(G899),"")</f>
        <v/>
      </c>
      <c r="H902" s="1771">
        <f>IFERROR(H901/ABS(H899),"")</f>
        <v/>
      </c>
      <c r="I902" s="1771">
        <f>IFERROR(I901/ABS(I899),"")</f>
        <v/>
      </c>
      <c r="J902" s="1771">
        <f>IFERROR(J901/ABS(J899),"")</f>
        <v/>
      </c>
      <c r="K902" s="1770">
        <f>IFERROR(K901/ABS(K899),"")</f>
        <v/>
      </c>
      <c r="L902" s="1771">
        <f>IFERROR(L901/ABS(L899),"")</f>
        <v/>
      </c>
      <c r="M902" s="1771">
        <f>IFERROR(M901/ABS(M899),"")</f>
        <v/>
      </c>
      <c r="N902" s="1771">
        <f>IFERROR(N901/ABS(N899),"")</f>
        <v/>
      </c>
      <c r="O902" s="1771">
        <f>IFERROR(O901/ABS(O899),"")</f>
        <v/>
      </c>
      <c r="P902" s="1770">
        <f>IFERROR(P901/ABS(P899),"")</f>
        <v/>
      </c>
      <c r="Q902" s="1771">
        <f>IFERROR(Q901/ABS(Q899),"")</f>
        <v/>
      </c>
      <c r="R902" s="1771">
        <f>IFERROR(R901/ABS(R899),"")</f>
        <v/>
      </c>
      <c r="S902" s="1771">
        <f>IFERROR(S901/ABS(S899),"")</f>
        <v/>
      </c>
      <c r="T902" s="1771">
        <f>IFERROR(T901/ABS(T899),"")</f>
        <v/>
      </c>
      <c r="U902" s="1770">
        <f>IFERROR(U901/ABS(U899),"")</f>
        <v/>
      </c>
      <c r="V902" s="1771">
        <f>IFERROR(V901/ABS(V899),"")</f>
        <v/>
      </c>
      <c r="W902" s="1771">
        <f>IFERROR(W901/ABS(W899),"")</f>
        <v/>
      </c>
      <c r="X902" s="1771">
        <f>IFERROR(X901/ABS(X899),"")</f>
        <v/>
      </c>
      <c r="Y902" s="1771">
        <f>IFERROR(Y901/ABS(Y899),"")</f>
        <v/>
      </c>
      <c r="Z902" s="1770">
        <f>IFERROR(Z901/ABS(Z899),"")</f>
        <v/>
      </c>
      <c r="AA902" s="1771">
        <f>IFERROR(AA901/ABS(AA899),"")</f>
        <v/>
      </c>
      <c r="AB902" s="1771">
        <f>IFERROR(AB901/ABS(AB899),"")</f>
        <v/>
      </c>
      <c r="AC902" s="1771">
        <f>IFERROR(AC901/ABS(AC899),"")</f>
        <v/>
      </c>
      <c r="AD902" s="1771">
        <f>IFERROR(AD901/ABS(AD899),"")</f>
        <v/>
      </c>
      <c r="AE902" s="1770">
        <f>IFERROR(AE901/ABS(AE899),"")</f>
        <v/>
      </c>
      <c r="AF902" s="1771">
        <f>IFERROR(AF901/ABS(AF899),"")</f>
        <v/>
      </c>
      <c r="AG902" s="1771">
        <f>IFERROR(AG901/ABS(AG899),"")</f>
        <v/>
      </c>
      <c r="AH902" s="1771">
        <f>IFERROR(AH901/ABS(AH899),"")</f>
        <v/>
      </c>
      <c r="AI902" s="1771">
        <f>IFERROR(AI901/ABS(AI899),"")</f>
        <v/>
      </c>
      <c r="AJ902" s="1770">
        <f>IFERROR(AJ901/ABS(AJ899),"")</f>
        <v/>
      </c>
      <c r="AK902" s="1771">
        <f>IFERROR(AK901/ABS(AK899),"")</f>
        <v/>
      </c>
      <c r="AL902" s="1771">
        <f>IFERROR(AL901/ABS(AL899),"")</f>
        <v/>
      </c>
      <c r="AM902" s="1771">
        <f>IFERROR(AM901/ABS(AM899),"")</f>
        <v/>
      </c>
      <c r="AN902" s="1771">
        <f>IFERROR(AN901/ABS(AN899),"")</f>
        <v/>
      </c>
      <c r="AO902" s="1770">
        <f>IFERROR(AO901/ABS(AO899),"")</f>
        <v/>
      </c>
      <c r="AP902" s="1771">
        <f>IFERROR(AP901/ABS(AP899),"")</f>
        <v/>
      </c>
      <c r="AQ902" s="1771">
        <f>IFERROR(AQ901/ABS(AQ899),"")</f>
        <v/>
      </c>
      <c r="AR902" s="1771">
        <f>IFERROR(AR901/ABS(AR899),"")</f>
        <v/>
      </c>
      <c r="AS902" s="1771">
        <f>IFERROR(AS901/ABS(AS899),"")</f>
        <v/>
      </c>
      <c r="AT902" s="1770">
        <f>IFERROR(AT901/ABS(AT899),"")</f>
        <v/>
      </c>
      <c r="AU902" s="1771">
        <f>IFERROR(AU901/ABS(AU899),"")</f>
        <v/>
      </c>
      <c r="AV902" s="1771">
        <f>IFERROR(AV901/ABS(AV899),"")</f>
        <v/>
      </c>
      <c r="AW902" s="1771">
        <f>IFERROR(AW901/ABS(AW899),"")</f>
        <v/>
      </c>
      <c r="AX902" s="1771">
        <f>IFERROR(AX901/ABS(AX899),"")</f>
        <v/>
      </c>
      <c r="AY902" s="1770">
        <f>IFERROR(AY901/ABS(AY899),"")</f>
        <v/>
      </c>
      <c r="AZ902" s="1771">
        <f>IFERROR(AZ901/ABS(AZ899),"")</f>
        <v/>
      </c>
      <c r="BA902" s="1771">
        <f>IFERROR(BA901/ABS(BA899),"")</f>
        <v/>
      </c>
      <c r="BB902" s="1771">
        <f>IFERROR(BB901/ABS(BB899),"")</f>
        <v/>
      </c>
      <c r="BC902" s="1771">
        <f>IFERROR(BC901/ABS(BC899),"")</f>
        <v/>
      </c>
      <c r="BD902" s="1770">
        <f>IFERROR(BD901/ABS(BD899),"")</f>
        <v/>
      </c>
      <c r="BE902" s="1771">
        <f>IFERROR(BE901/ABS(BE899),"")</f>
        <v/>
      </c>
      <c r="BF902" s="1771">
        <f>IFERROR(BF901/ABS(BF899),"")</f>
        <v/>
      </c>
      <c r="BG902" s="1771">
        <f>IFERROR(BG901/ABS(BG899),"")</f>
        <v/>
      </c>
      <c r="BH902" s="1771">
        <f>IFERROR(BH901/ABS(BH899),"")</f>
        <v/>
      </c>
      <c r="BI902" s="1770">
        <f>IFERROR(BI901/ABS(BI899),"")</f>
        <v/>
      </c>
      <c r="BJ902" s="1771">
        <f>IFERROR(BJ901/ABS(BJ899),"")</f>
        <v/>
      </c>
      <c r="BK902" s="1771">
        <f>IFERROR(BK901/ABS(BK899),"")</f>
        <v/>
      </c>
      <c r="BL902" s="1771">
        <f>IFERROR(BL901/ABS(BL899),"")</f>
        <v/>
      </c>
      <c r="BM902" s="1771">
        <f>IFERROR(BM901/ABS(BM899),"")</f>
        <v/>
      </c>
      <c r="BN902" s="1770">
        <f>IFERROR(BN901/ABS(BN899),"")</f>
        <v/>
      </c>
      <c r="BO902" s="1771">
        <f>IFERROR(BO901/ABS(BO899),"")</f>
        <v/>
      </c>
      <c r="BP902" s="1771">
        <f>IFERROR(BP901/ABS(BP899),"")</f>
        <v/>
      </c>
      <c r="BQ902" s="1772">
        <f>IFERROR(BQ901/ABS(BQ899),"")</f>
        <v/>
      </c>
      <c r="BR902" s="1771">
        <f>IFERROR(BR901/ABS(BR899),"")</f>
        <v/>
      </c>
      <c r="BS902" s="1770">
        <f>IFERROR(BS901/ABS(BS899),"")</f>
        <v/>
      </c>
      <c r="BT902" s="1771">
        <f>IFERROR(BT901/ABS(BT899),"")</f>
        <v/>
      </c>
      <c r="BU902" s="1771">
        <f>IFERROR(BU901/ABS(BU899),"")</f>
        <v/>
      </c>
      <c r="BV902" s="1771">
        <f>IFERROR(BV901/ABS(BV899),"")</f>
        <v/>
      </c>
      <c r="BW902" s="1771">
        <f>IFERROR(BW901/ABS(BW899),"")</f>
        <v/>
      </c>
      <c r="BX902" s="1770">
        <f>IFERROR(BX901/ABS(BX899),"")</f>
        <v/>
      </c>
      <c r="BY902" s="1770" t="n"/>
      <c r="BZ902" s="1770" t="n"/>
      <c r="CA902" s="1770" t="n"/>
      <c r="CB902" s="1361" t="n"/>
    </row>
    <row r="903" hidden="1" outlineLevel="1" ht="15" customFormat="1" customHeight="1" s="1359">
      <c r="A903" s="545" t="n"/>
      <c r="B903" s="1512" t="n"/>
      <c r="C903" s="1379" t="n"/>
      <c r="D903" s="1379" t="n"/>
      <c r="E903" s="1379" t="n"/>
      <c r="F903" s="1379" t="n"/>
      <c r="G903" s="1361" t="n"/>
      <c r="H903" s="1361" t="n"/>
      <c r="I903" s="1361" t="n"/>
      <c r="J903" s="1361" t="n"/>
      <c r="K903" s="1379" t="n"/>
      <c r="L903" s="1361" t="n"/>
      <c r="M903" s="1361" t="n"/>
      <c r="N903" s="1361" t="n"/>
      <c r="O903" s="1361" t="n"/>
      <c r="P903" s="1379" t="n"/>
      <c r="Q903" s="1361" t="n"/>
      <c r="R903" s="1361" t="n"/>
      <c r="S903" s="1361" t="n"/>
      <c r="T903" s="1361" t="n"/>
      <c r="U903" s="1379" t="n"/>
      <c r="V903" s="1361" t="n"/>
      <c r="W903" s="1361" t="n"/>
      <c r="X903" s="1361" t="n"/>
      <c r="Y903" s="1361" t="n"/>
      <c r="Z903" s="1379" t="n"/>
      <c r="AA903" s="1361" t="n"/>
      <c r="AB903" s="1361" t="n"/>
      <c r="AC903" s="1361" t="n"/>
      <c r="AD903" s="1361" t="n"/>
      <c r="AE903" s="1379" t="n"/>
      <c r="AF903" s="1361" t="n"/>
      <c r="AG903" s="1361" t="n"/>
      <c r="AH903" s="1361" t="n"/>
      <c r="AI903" s="1361" t="n"/>
      <c r="AJ903" s="1379" t="n"/>
      <c r="AK903" s="1361" t="n"/>
      <c r="AL903" s="1361" t="n"/>
      <c r="AM903" s="1361" t="n"/>
      <c r="AN903" s="1361" t="n"/>
      <c r="AO903" s="1379" t="n"/>
      <c r="AP903" s="1361" t="n"/>
      <c r="AQ903" s="1361" t="n"/>
      <c r="AR903" s="1361" t="n"/>
      <c r="AS903" s="1361" t="n"/>
      <c r="AT903" s="1379" t="n"/>
      <c r="AU903" s="1361" t="n"/>
      <c r="AV903" s="1361" t="n"/>
      <c r="AW903" s="1361" t="n"/>
      <c r="AX903" s="1361" t="n"/>
      <c r="AY903" s="1379" t="n"/>
      <c r="AZ903" s="1361" t="n"/>
      <c r="BA903" s="1361" t="n"/>
      <c r="BB903" s="1361" t="n"/>
      <c r="BC903" s="1361" t="n"/>
      <c r="BD903" s="1379" t="n"/>
      <c r="BE903" s="1361" t="n"/>
      <c r="BF903" s="1361" t="n"/>
      <c r="BG903" s="1361" t="n"/>
      <c r="BH903" s="1361" t="n"/>
      <c r="BI903" s="1379" t="n"/>
      <c r="BJ903" s="1361" t="n"/>
      <c r="BK903" s="1361" t="n"/>
      <c r="BL903" s="1361" t="n"/>
      <c r="BM903" s="1361" t="n"/>
      <c r="BN903" s="1379" t="n"/>
      <c r="BO903" s="1361" t="n"/>
      <c r="BP903" s="1361" t="n"/>
      <c r="BQ903" s="1363" t="n"/>
      <c r="BR903" s="1361" t="n"/>
      <c r="BS903" s="1379" t="n"/>
      <c r="BT903" s="1361" t="n"/>
      <c r="BU903" s="1361" t="n"/>
      <c r="BV903" s="1361" t="n"/>
      <c r="BW903" s="1361" t="n"/>
      <c r="BX903" s="1379" t="n"/>
      <c r="BY903" s="1379" t="n"/>
      <c r="BZ903" s="1379" t="n"/>
      <c r="CA903" s="1379" t="n"/>
      <c r="CB903" s="1361" t="n"/>
    </row>
    <row r="904" hidden="1" outlineLevel="1" ht="15" customFormat="1" customHeight="1" s="1359">
      <c r="A904" s="1501" t="inlineStr">
        <is>
          <t>Y/Y guided revenue growth, %</t>
        </is>
      </c>
      <c r="B904" s="1590" t="n"/>
      <c r="C904" s="1382" t="n"/>
      <c r="D904" s="1382">
        <f>IF(D899="","",D899/C900-1)</f>
        <v/>
      </c>
      <c r="E904" s="1382">
        <f>IF(E899="","",E899/D900-1)</f>
        <v/>
      </c>
      <c r="F904" s="1382">
        <f>IF(F899="","",F899/E900-1)</f>
        <v/>
      </c>
      <c r="G904" s="1384" t="n"/>
      <c r="H904" s="1384" t="n"/>
      <c r="I904" s="1384" t="n"/>
      <c r="J904" s="1384" t="n"/>
      <c r="K904" s="1382">
        <f>IF(K899="","",K899/F900-1)</f>
        <v/>
      </c>
      <c r="L904" s="1384">
        <f>IF(L899="","",L899/G900-1)</f>
        <v/>
      </c>
      <c r="M904" s="1384">
        <f>IF(M899="","",M899/H900-1)</f>
        <v/>
      </c>
      <c r="N904" s="1384">
        <f>IF(N899="","",N899/I900-1)</f>
        <v/>
      </c>
      <c r="O904" s="1384">
        <f>IF(O899="","",O899/J900-1)</f>
        <v/>
      </c>
      <c r="P904" s="1382">
        <f>IF(P899="","",P899/K900-1)</f>
        <v/>
      </c>
      <c r="Q904" s="1384">
        <f>IF(Q899="","",Q899/L900-1)</f>
        <v/>
      </c>
      <c r="R904" s="1384">
        <f>IF(R899="","",R899/M900-1)</f>
        <v/>
      </c>
      <c r="S904" s="1384">
        <f>IF(S899="","",S899/N900-1)</f>
        <v/>
      </c>
      <c r="T904" s="1384">
        <f>IF(T899="","",T899/O900-1)</f>
        <v/>
      </c>
      <c r="U904" s="1382">
        <f>IF(U899="","",U899/P900-1)</f>
        <v/>
      </c>
      <c r="V904" s="1384">
        <f>IF(V899="","",V899/Q900-1)</f>
        <v/>
      </c>
      <c r="W904" s="1384">
        <f>IF(W899="","",W899/R900-1)</f>
        <v/>
      </c>
      <c r="X904" s="1384">
        <f>IF(X899="","",X899/S900-1)</f>
        <v/>
      </c>
      <c r="Y904" s="1384">
        <f>IF(Y899="","",Y899/T900-1)</f>
        <v/>
      </c>
      <c r="Z904" s="1382">
        <f>IF(Z899="","",Z899/U900-1)</f>
        <v/>
      </c>
      <c r="AA904" s="1384">
        <f>IF(AA899="","",AA899/V900-1)</f>
        <v/>
      </c>
      <c r="AB904" s="1384">
        <f>IF(AB899="","",AB899/W900-1)</f>
        <v/>
      </c>
      <c r="AC904" s="1384">
        <f>IF(AC899="","",AC899/X900-1)</f>
        <v/>
      </c>
      <c r="AD904" s="1384">
        <f>IF(AD899="","",AD899/Y900-1)</f>
        <v/>
      </c>
      <c r="AE904" s="1382">
        <f>IF(AE899="","",AE899/Z900-1)</f>
        <v/>
      </c>
      <c r="AF904" s="1384">
        <f>IF(AF899="","",AF899/AA900-1)</f>
        <v/>
      </c>
      <c r="AG904" s="1384">
        <f>IF(AG899="","",AG899/AB900-1)</f>
        <v/>
      </c>
      <c r="AH904" s="1384">
        <f>IF(AH899="","",AH899/AC900-1)</f>
        <v/>
      </c>
      <c r="AI904" s="1384">
        <f>IF(AI899="","",AI899/AD900-1)</f>
        <v/>
      </c>
      <c r="AJ904" s="1382">
        <f>IF(AJ899="","",AJ899/AE900-1)</f>
        <v/>
      </c>
      <c r="AK904" s="1384">
        <f>IF(AK899="","",AK899/AF900-1)</f>
        <v/>
      </c>
      <c r="AL904" s="1384">
        <f>IF(AL899="","",AL899/AG900-1)</f>
        <v/>
      </c>
      <c r="AM904" s="1384">
        <f>IF(AM899="","",AM899/AH900-1)</f>
        <v/>
      </c>
      <c r="AN904" s="1384">
        <f>IF(AN899="","",AN899/AI900-1)</f>
        <v/>
      </c>
      <c r="AO904" s="1382">
        <f>IF(AO899="","",AO899/AJ900-1)</f>
        <v/>
      </c>
      <c r="AP904" s="1384">
        <f>IF(AP899="","",AP899/AK900-1)</f>
        <v/>
      </c>
      <c r="AQ904" s="1384">
        <f>IF(AQ899="","",AQ899/AL900-1)</f>
        <v/>
      </c>
      <c r="AR904" s="1384">
        <f>IF(AR899="","",AR899/AM900-1)</f>
        <v/>
      </c>
      <c r="AS904" s="1384">
        <f>IF(AS899="","",AS899/AN900-1)</f>
        <v/>
      </c>
      <c r="AT904" s="1382">
        <f>IF(AT899="","",AT899/AO900-1)</f>
        <v/>
      </c>
      <c r="AU904" s="1384">
        <f>IF(AU899="","",AU899/AP900-1)</f>
        <v/>
      </c>
      <c r="AV904" s="1384">
        <f>IF(AV899="","",AV899/AQ900-1)</f>
        <v/>
      </c>
      <c r="AW904" s="1384">
        <f>IF(AW899="","",AW899/AR900-1)</f>
        <v/>
      </c>
      <c r="AX904" s="1384">
        <f>IF(AX899="","",AX899/AS900-1)</f>
        <v/>
      </c>
      <c r="AY904" s="1382">
        <f>IF(AY899="","",AY899/AT900-1)</f>
        <v/>
      </c>
      <c r="AZ904" s="1384">
        <f>IF(AZ899="","",AZ899/AU900-1)</f>
        <v/>
      </c>
      <c r="BA904" s="1384">
        <f>IF(BA899="","",BA899/AV900-1)</f>
        <v/>
      </c>
      <c r="BB904" s="1384">
        <f>IF(BB899="","",BB899/AW900-1)</f>
        <v/>
      </c>
      <c r="BC904" s="1384">
        <f>IF(BC899="","",BC899/AX900-1)</f>
        <v/>
      </c>
      <c r="BD904" s="1382">
        <f>IF(BD899="","",BD899/AY900-1)</f>
        <v/>
      </c>
      <c r="BE904" s="1384">
        <f>IF(BE899="","",BE899/AZ900-1)</f>
        <v/>
      </c>
      <c r="BF904" s="1384">
        <f>IF(BF899="","",BF899/BA900-1)</f>
        <v/>
      </c>
      <c r="BG904" s="1384">
        <f>IF(BG899="","",BG899/BB900-1)</f>
        <v/>
      </c>
      <c r="BH904" s="1384">
        <f>IF(BH899="","",BH899/BC900-1)</f>
        <v/>
      </c>
      <c r="BI904" s="1382">
        <f>IF(BI899="","",BI899/BD900-1)</f>
        <v/>
      </c>
      <c r="BJ904" s="1384">
        <f>IF(BJ899="","",BJ899/BE900-1)</f>
        <v/>
      </c>
      <c r="BK904" s="1384">
        <f>IF(BK899="","",BK899/BF900-1)</f>
        <v/>
      </c>
      <c r="BL904" s="1384">
        <f>IF(BL899="","",BL899/BG900-1)</f>
        <v/>
      </c>
      <c r="BM904" s="1384">
        <f>IF(BM899="","",BM899/BH900-1)</f>
        <v/>
      </c>
      <c r="BN904" s="1382">
        <f>IF(BN899="","",BN899/BI900-1)</f>
        <v/>
      </c>
      <c r="BO904" s="1384">
        <f>IF(BO899="","",BO899/BJ900-1)</f>
        <v/>
      </c>
      <c r="BP904" s="1384">
        <f>IF(BP899="","",BP899/BK900-1)</f>
        <v/>
      </c>
      <c r="BQ904" s="1386">
        <f>IF(BQ899="","",BQ899/BL900-1)</f>
        <v/>
      </c>
      <c r="BR904" s="1384">
        <f>IF(BR899="","",BR899/BM900-1)</f>
        <v/>
      </c>
      <c r="BS904" s="1382">
        <f>IF(BS899="","",BS899/BN900-1)</f>
        <v/>
      </c>
      <c r="BT904" s="1384">
        <f>IF(BT899="","",BT899/BO900-1)</f>
        <v/>
      </c>
      <c r="BU904" s="1384">
        <f>IF(BU899="","",BU899/BP900-1)</f>
        <v/>
      </c>
      <c r="BV904" s="1384">
        <f>IF(BV899="","",BV899/BQ900-1)</f>
        <v/>
      </c>
      <c r="BW904" s="1384">
        <f>IF(BW899="","",BW899/BR900-1)</f>
        <v/>
      </c>
      <c r="BX904" s="1382">
        <f>IF(BX899="","",BX899/BS900-1)</f>
        <v/>
      </c>
      <c r="BY904" s="1382" t="n"/>
      <c r="BZ904" s="1382" t="n"/>
      <c r="CA904" s="1382" t="n"/>
      <c r="CB904" s="1361" t="n"/>
    </row>
    <row r="905" hidden="1" outlineLevel="1" ht="15" customFormat="1" customHeight="1" s="1359">
      <c r="A905" s="1820" t="inlineStr">
        <is>
          <t>Y/Y beat/(miss) revenue growth, %</t>
        </is>
      </c>
      <c r="B905" s="1821" t="n"/>
      <c r="C905" s="1389" t="n"/>
      <c r="D905" s="1389">
        <f>IF(D901="","",D901/C900)</f>
        <v/>
      </c>
      <c r="E905" s="1389">
        <f>IF(E901="","",E901/D900)</f>
        <v/>
      </c>
      <c r="F905" s="1389">
        <f>IF(F901="","",F901/E900)</f>
        <v/>
      </c>
      <c r="G905" s="1391" t="n"/>
      <c r="H905" s="1391" t="n"/>
      <c r="I905" s="1391" t="n"/>
      <c r="J905" s="1391" t="n"/>
      <c r="K905" s="1389">
        <f>IF(K901="","",K901/F900)</f>
        <v/>
      </c>
      <c r="L905" s="1391">
        <f>IF(L901="","",L901/G900)</f>
        <v/>
      </c>
      <c r="M905" s="1391">
        <f>IF(M901="","",M901/H900)</f>
        <v/>
      </c>
      <c r="N905" s="1391">
        <f>IF(N901="","",N901/I900)</f>
        <v/>
      </c>
      <c r="O905" s="1391">
        <f>IF(O901="","",O901/J900)</f>
        <v/>
      </c>
      <c r="P905" s="1389">
        <f>IF(P901="","",P901/K900)</f>
        <v/>
      </c>
      <c r="Q905" s="1391">
        <f>IF(Q901="","",Q901/L900)</f>
        <v/>
      </c>
      <c r="R905" s="1391">
        <f>IF(R901="","",R901/M900)</f>
        <v/>
      </c>
      <c r="S905" s="1391">
        <f>IF(S901="","",S901/N900)</f>
        <v/>
      </c>
      <c r="T905" s="1391">
        <f>IF(T901="","",T901/O900)</f>
        <v/>
      </c>
      <c r="U905" s="1389">
        <f>IF(U901="","",U901/P900)</f>
        <v/>
      </c>
      <c r="V905" s="1391">
        <f>IF(V901="","",V901/Q900)</f>
        <v/>
      </c>
      <c r="W905" s="1391">
        <f>IF(W901="","",W901/R900)</f>
        <v/>
      </c>
      <c r="X905" s="1391">
        <f>IF(X901="","",X901/S900)</f>
        <v/>
      </c>
      <c r="Y905" s="1391">
        <f>IF(Y901="","",Y901/T900)</f>
        <v/>
      </c>
      <c r="Z905" s="1389">
        <f>IF(Z901="","",Z901/U900)</f>
        <v/>
      </c>
      <c r="AA905" s="1391">
        <f>IF(AA901="","",AA901/V900)</f>
        <v/>
      </c>
      <c r="AB905" s="1391">
        <f>IF(AB901="","",AB901/W900)</f>
        <v/>
      </c>
      <c r="AC905" s="1391">
        <f>IF(AC901="","",AC901/X900)</f>
        <v/>
      </c>
      <c r="AD905" s="1391">
        <f>IF(AD901="","",AD901/Y900)</f>
        <v/>
      </c>
      <c r="AE905" s="1389">
        <f>IF(AE901="","",AE901/Z900)</f>
        <v/>
      </c>
      <c r="AF905" s="1391">
        <f>IF(AF901="","",AF901/AA900)</f>
        <v/>
      </c>
      <c r="AG905" s="1391">
        <f>IF(AG901="","",AG901/AB900)</f>
        <v/>
      </c>
      <c r="AH905" s="1391">
        <f>IF(AH901="","",AH901/AC900)</f>
        <v/>
      </c>
      <c r="AI905" s="1391">
        <f>IF(AI901="","",AI901/AD900)</f>
        <v/>
      </c>
      <c r="AJ905" s="1389">
        <f>IF(AJ901="","",AJ901/AE900)</f>
        <v/>
      </c>
      <c r="AK905" s="1391">
        <f>IF(AK901="","",AK901/AF900)</f>
        <v/>
      </c>
      <c r="AL905" s="1391">
        <f>IF(AL901="","",AL901/AG900)</f>
        <v/>
      </c>
      <c r="AM905" s="1391">
        <f>IF(AM901="","",AM901/AH900)</f>
        <v/>
      </c>
      <c r="AN905" s="1391">
        <f>IF(AN901="","",AN901/AI900)</f>
        <v/>
      </c>
      <c r="AO905" s="1389">
        <f>IF(AO901="","",AO901/AJ900)</f>
        <v/>
      </c>
      <c r="AP905" s="1391">
        <f>IF(AP901="","",AP901/AK900)</f>
        <v/>
      </c>
      <c r="AQ905" s="1391">
        <f>IF(AQ901="","",AQ901/AL900)</f>
        <v/>
      </c>
      <c r="AR905" s="1391">
        <f>IF(AR901="","",AR901/AM900)</f>
        <v/>
      </c>
      <c r="AS905" s="1391">
        <f>IF(AS901="","",AS901/AN900)</f>
        <v/>
      </c>
      <c r="AT905" s="1389">
        <f>IF(AT901="","",AT901/AO900)</f>
        <v/>
      </c>
      <c r="AU905" s="1391">
        <f>IF(AU901="","",AU901/AP900)</f>
        <v/>
      </c>
      <c r="AV905" s="1391">
        <f>IF(AV901="","",AV901/AQ900)</f>
        <v/>
      </c>
      <c r="AW905" s="1391">
        <f>IF(AW901="","",AW901/AR900)</f>
        <v/>
      </c>
      <c r="AX905" s="1391">
        <f>IF(AX901="","",AX901/AS900)</f>
        <v/>
      </c>
      <c r="AY905" s="1389">
        <f>IF(AY901="","",AY901/AT900)</f>
        <v/>
      </c>
      <c r="AZ905" s="1391">
        <f>IF(AZ901="","",AZ901/AU900)</f>
        <v/>
      </c>
      <c r="BA905" s="1391">
        <f>IF(BA901="","",BA901/AV900)</f>
        <v/>
      </c>
      <c r="BB905" s="1391">
        <f>IF(BB901="","",BB901/AW900)</f>
        <v/>
      </c>
      <c r="BC905" s="1391">
        <f>IF(BC901="","",BC901/AX900)</f>
        <v/>
      </c>
      <c r="BD905" s="1389">
        <f>IF(BD901="","",BD901/AY900)</f>
        <v/>
      </c>
      <c r="BE905" s="1391">
        <f>IF(BE901="","",BE901/AZ900)</f>
        <v/>
      </c>
      <c r="BF905" s="1391">
        <f>IF(BF901="","",BF901/BA900)</f>
        <v/>
      </c>
      <c r="BG905" s="1391">
        <f>IF(BG901="","",BG901/BB900)</f>
        <v/>
      </c>
      <c r="BH905" s="1391">
        <f>IF(BH901="","",BH901/BC900)</f>
        <v/>
      </c>
      <c r="BI905" s="1389">
        <f>IF(BI901="","",BI901/BD900)</f>
        <v/>
      </c>
      <c r="BJ905" s="1391">
        <f>IF(BJ901="","",BJ901/BE900)</f>
        <v/>
      </c>
      <c r="BK905" s="1391">
        <f>IF(BK901="","",BK901/BF900)</f>
        <v/>
      </c>
      <c r="BL905" s="1391">
        <f>IF(BL901="","",BL901/BG900)</f>
        <v/>
      </c>
      <c r="BM905" s="1391">
        <f>IF(BM901="","",BM901/BH900)</f>
        <v/>
      </c>
      <c r="BN905" s="1389">
        <f>IF(BN901="","",BN901/BI900)</f>
        <v/>
      </c>
      <c r="BO905" s="1391">
        <f>IF(BO901="","",BO901/BJ900)</f>
        <v/>
      </c>
      <c r="BP905" s="1391">
        <f>IF(BP901="","",BP901/BK900)</f>
        <v/>
      </c>
      <c r="BQ905" s="1393">
        <f>IF(BQ901="","",BQ901/BL900)</f>
        <v/>
      </c>
      <c r="BR905" s="1391">
        <f>IF(BR901="","",BR901/BM900)</f>
        <v/>
      </c>
      <c r="BS905" s="1389">
        <f>IF(BS901="","",BS901/BN900)</f>
        <v/>
      </c>
      <c r="BT905" s="1391">
        <f>IF(BT901="","",BT901/BO900)</f>
        <v/>
      </c>
      <c r="BU905" s="1391">
        <f>IF(BU901="","",BU901/BP900)</f>
        <v/>
      </c>
      <c r="BV905" s="1391">
        <f>IF(BV901="","",BV901/BQ900)</f>
        <v/>
      </c>
      <c r="BW905" s="1391">
        <f>IF(BW901="","",BW901/BR900)</f>
        <v/>
      </c>
      <c r="BX905" s="1389">
        <f>IF(BX901="","",BX901/BS900)</f>
        <v/>
      </c>
      <c r="BY905" s="1389" t="n"/>
      <c r="BZ905" s="1389" t="n"/>
      <c r="CA905" s="1389" t="n"/>
      <c r="CB905" s="1361" t="n"/>
    </row>
    <row r="906" hidden="1" outlineLevel="1" ht="15" customFormat="1" customHeight="1" s="1359">
      <c r="A906" s="1822" t="inlineStr">
        <is>
          <t>Y/Y revenue growth, %</t>
        </is>
      </c>
      <c r="B906" s="1823" t="n"/>
      <c r="C906" s="1824" t="n"/>
      <c r="D906" s="1824">
        <f>D900/C900-1</f>
        <v/>
      </c>
      <c r="E906" s="1824">
        <f>E900/D900-1</f>
        <v/>
      </c>
      <c r="F906" s="1824">
        <f>F900/E900-1</f>
        <v/>
      </c>
      <c r="G906" s="1825" t="n"/>
      <c r="H906" s="1825" t="n"/>
      <c r="I906" s="1825" t="n"/>
      <c r="J906" s="1825" t="n"/>
      <c r="K906" s="1824">
        <f>K900/F900-1</f>
        <v/>
      </c>
      <c r="L906" s="1825">
        <f>L900/G900-1</f>
        <v/>
      </c>
      <c r="M906" s="1825">
        <f>M900/H900-1</f>
        <v/>
      </c>
      <c r="N906" s="1825">
        <f>N900/I900-1</f>
        <v/>
      </c>
      <c r="O906" s="1825">
        <f>O900/J900-1</f>
        <v/>
      </c>
      <c r="P906" s="1824">
        <f>P900/K900-1</f>
        <v/>
      </c>
      <c r="Q906" s="1825">
        <f>Q900/L900-1</f>
        <v/>
      </c>
      <c r="R906" s="1825">
        <f>R900/M900-1</f>
        <v/>
      </c>
      <c r="S906" s="1825">
        <f>S900/N900-1</f>
        <v/>
      </c>
      <c r="T906" s="1825">
        <f>T900/O900-1</f>
        <v/>
      </c>
      <c r="U906" s="1824">
        <f>U900/P900-1</f>
        <v/>
      </c>
      <c r="V906" s="1825">
        <f>V900/Q900-1</f>
        <v/>
      </c>
      <c r="W906" s="1825">
        <f>W900/R900-1</f>
        <v/>
      </c>
      <c r="X906" s="1825">
        <f>X900/S900-1</f>
        <v/>
      </c>
      <c r="Y906" s="1825">
        <f>Y900/T900-1</f>
        <v/>
      </c>
      <c r="Z906" s="1824">
        <f>Z900/U900-1</f>
        <v/>
      </c>
      <c r="AA906" s="1825">
        <f>AA900/V900-1</f>
        <v/>
      </c>
      <c r="AB906" s="1825">
        <f>AB900/W900-1</f>
        <v/>
      </c>
      <c r="AC906" s="1825">
        <f>AC900/X900-1</f>
        <v/>
      </c>
      <c r="AD906" s="1825">
        <f>AD900/Y900-1</f>
        <v/>
      </c>
      <c r="AE906" s="1824">
        <f>AE900/Z900-1</f>
        <v/>
      </c>
      <c r="AF906" s="1825">
        <f>AF900/AA900-1</f>
        <v/>
      </c>
      <c r="AG906" s="1825">
        <f>AG900/AB900-1</f>
        <v/>
      </c>
      <c r="AH906" s="1825">
        <f>AH900/AC900-1</f>
        <v/>
      </c>
      <c r="AI906" s="1825">
        <f>AI900/AD900-1</f>
        <v/>
      </c>
      <c r="AJ906" s="1824">
        <f>AJ900/AE900-1</f>
        <v/>
      </c>
      <c r="AK906" s="1825">
        <f>AK900/AF900-1</f>
        <v/>
      </c>
      <c r="AL906" s="1825">
        <f>AL900/AG900-1</f>
        <v/>
      </c>
      <c r="AM906" s="1825">
        <f>AM900/AH900-1</f>
        <v/>
      </c>
      <c r="AN906" s="1825">
        <f>AN900/AI900-1</f>
        <v/>
      </c>
      <c r="AO906" s="1824">
        <f>AO900/AJ900-1</f>
        <v/>
      </c>
      <c r="AP906" s="1825">
        <f>AP900/AK900-1</f>
        <v/>
      </c>
      <c r="AQ906" s="1825">
        <f>AQ900/AL900-1</f>
        <v/>
      </c>
      <c r="AR906" s="1825">
        <f>AR900/AM900-1</f>
        <v/>
      </c>
      <c r="AS906" s="1825">
        <f>AS900/AN900-1</f>
        <v/>
      </c>
      <c r="AT906" s="1824">
        <f>AT900/AO900-1</f>
        <v/>
      </c>
      <c r="AU906" s="1825">
        <f>AU900/AP900-1</f>
        <v/>
      </c>
      <c r="AV906" s="1825">
        <f>AV900/AQ900-1</f>
        <v/>
      </c>
      <c r="AW906" s="1825">
        <f>AW900/AR900-1</f>
        <v/>
      </c>
      <c r="AX906" s="1825">
        <f>AX900/AS900-1</f>
        <v/>
      </c>
      <c r="AY906" s="1824">
        <f>AY900/AT900-1</f>
        <v/>
      </c>
      <c r="AZ906" s="1825">
        <f>AZ900/AU900-1</f>
        <v/>
      </c>
      <c r="BA906" s="1825">
        <f>BA900/AV900-1</f>
        <v/>
      </c>
      <c r="BB906" s="1825">
        <f>BB900/AW900-1</f>
        <v/>
      </c>
      <c r="BC906" s="1825">
        <f>BC900/AX900-1</f>
        <v/>
      </c>
      <c r="BD906" s="1824">
        <f>BD900/AY900-1</f>
        <v/>
      </c>
      <c r="BE906" s="1825">
        <f>BE900/AZ900-1</f>
        <v/>
      </c>
      <c r="BF906" s="1825">
        <f>BF900/BA900-1</f>
        <v/>
      </c>
      <c r="BG906" s="1825">
        <f>BG900/BB900-1</f>
        <v/>
      </c>
      <c r="BH906" s="1825">
        <f>BH900/BC900-1</f>
        <v/>
      </c>
      <c r="BI906" s="1824">
        <f>BI900/BD900-1</f>
        <v/>
      </c>
      <c r="BJ906" s="1825">
        <f>BJ900/BE900-1</f>
        <v/>
      </c>
      <c r="BK906" s="1825">
        <f>BK900/BF900-1</f>
        <v/>
      </c>
      <c r="BL906" s="1825">
        <f>BL900/BG900-1</f>
        <v/>
      </c>
      <c r="BM906" s="1825">
        <f>BM900/BH900-1</f>
        <v/>
      </c>
      <c r="BN906" s="1824">
        <f>BN900/BI900-1</f>
        <v/>
      </c>
      <c r="BO906" s="1825">
        <f>BO900/BJ900-1</f>
        <v/>
      </c>
      <c r="BP906" s="1825">
        <f>BP900/BK900-1</f>
        <v/>
      </c>
      <c r="BQ906" s="1826">
        <f>BQ900/BL900-1</f>
        <v/>
      </c>
      <c r="BR906" s="1825">
        <f>BR900/BM900-1</f>
        <v/>
      </c>
      <c r="BS906" s="1824">
        <f>BS900/BN900-1</f>
        <v/>
      </c>
      <c r="BT906" s="1825">
        <f>BT900/BO900-1</f>
        <v/>
      </c>
      <c r="BU906" s="1825">
        <f>BU900/BP900-1</f>
        <v/>
      </c>
      <c r="BV906" s="1825">
        <f>BV900/BQ900-1</f>
        <v/>
      </c>
      <c r="BW906" s="1825">
        <f>BW900/BR900-1</f>
        <v/>
      </c>
      <c r="BX906" s="1824">
        <f>BX900/BS900-1</f>
        <v/>
      </c>
      <c r="BY906" s="1824">
        <f>BY900/BX900-1</f>
        <v/>
      </c>
      <c r="BZ906" s="1824">
        <f>BZ900/BY900-1</f>
        <v/>
      </c>
      <c r="CA906" s="1824">
        <f>CA900/BZ900-1</f>
        <v/>
      </c>
      <c r="CB906" s="1361" t="n"/>
    </row>
    <row r="907" hidden="1" outlineLevel="2" ht="15" customFormat="1" customHeight="1" s="1359">
      <c r="A907" s="545" t="n"/>
      <c r="B907" s="1512" t="n"/>
      <c r="C907" s="1379" t="n"/>
      <c r="D907" s="1379" t="n"/>
      <c r="E907" s="1379" t="n"/>
      <c r="F907" s="1379" t="n"/>
      <c r="G907" s="1361" t="n"/>
      <c r="H907" s="1361" t="n"/>
      <c r="I907" s="1361" t="n"/>
      <c r="J907" s="1361" t="n"/>
      <c r="K907" s="1379" t="n"/>
      <c r="L907" s="1361" t="n"/>
      <c r="M907" s="1361" t="n"/>
      <c r="N907" s="1361" t="n"/>
      <c r="O907" s="1361" t="n"/>
      <c r="P907" s="1379" t="n"/>
      <c r="Q907" s="1361" t="n"/>
      <c r="R907" s="1361" t="n"/>
      <c r="S907" s="1361" t="n"/>
      <c r="T907" s="1361" t="n"/>
      <c r="U907" s="1379" t="n"/>
      <c r="V907" s="1361" t="n"/>
      <c r="W907" s="1361" t="n"/>
      <c r="X907" s="1361" t="n"/>
      <c r="Y907" s="1361" t="n"/>
      <c r="Z907" s="1379" t="n"/>
      <c r="AA907" s="1361" t="n"/>
      <c r="AB907" s="1361" t="n"/>
      <c r="AC907" s="1361" t="n"/>
      <c r="AD907" s="1361" t="n"/>
      <c r="AE907" s="1379" t="n"/>
      <c r="AF907" s="1361" t="n"/>
      <c r="AG907" s="1361" t="n"/>
      <c r="AH907" s="1361" t="n"/>
      <c r="AI907" s="1361" t="n"/>
      <c r="AJ907" s="1379" t="n"/>
      <c r="AK907" s="1361" t="n"/>
      <c r="AL907" s="1361" t="n"/>
      <c r="AM907" s="1361" t="n"/>
      <c r="AN907" s="1361" t="n"/>
      <c r="AO907" s="1379" t="n"/>
      <c r="AP907" s="1361" t="n"/>
      <c r="AQ907" s="1361" t="n"/>
      <c r="AR907" s="1361" t="n"/>
      <c r="AS907" s="1361" t="n"/>
      <c r="AT907" s="1379" t="n"/>
      <c r="AU907" s="1361" t="n"/>
      <c r="AV907" s="1361" t="n"/>
      <c r="AW907" s="1361" t="n"/>
      <c r="AX907" s="1361" t="n"/>
      <c r="AY907" s="1379" t="n"/>
      <c r="AZ907" s="1361" t="n"/>
      <c r="BA907" s="1361" t="n"/>
      <c r="BB907" s="1361" t="n"/>
      <c r="BC907" s="1361" t="n"/>
      <c r="BD907" s="1379" t="n"/>
      <c r="BE907" s="1361" t="n"/>
      <c r="BF907" s="1361" t="n"/>
      <c r="BG907" s="1361" t="n"/>
      <c r="BH907" s="1361" t="n"/>
      <c r="BI907" s="1379" t="n"/>
      <c r="BJ907" s="1361" t="n"/>
      <c r="BK907" s="1361" t="n"/>
      <c r="BL907" s="1361" t="n"/>
      <c r="BM907" s="1361" t="n"/>
      <c r="BN907" s="1379" t="n"/>
      <c r="BO907" s="1361" t="n"/>
      <c r="BP907" s="1361" t="n"/>
      <c r="BQ907" s="1363" t="n"/>
      <c r="BR907" s="1361" t="n"/>
      <c r="BS907" s="1379" t="n"/>
      <c r="BT907" s="1361" t="n"/>
      <c r="BU907" s="1361" t="n"/>
      <c r="BV907" s="1361" t="n"/>
      <c r="BW907" s="1361" t="n"/>
      <c r="BX907" s="1379" t="n"/>
      <c r="BY907" s="1379" t="n"/>
      <c r="BZ907" s="1379" t="n"/>
      <c r="CA907" s="1379" t="n"/>
      <c r="CB907" s="1361" t="n"/>
    </row>
    <row r="908" hidden="1" outlineLevel="2" ht="15" customFormat="1" customHeight="1" s="1359">
      <c r="A908" s="1503" t="inlineStr">
        <is>
          <t>Forward guidance - report date, date</t>
        </is>
      </c>
      <c r="B908" s="1512" t="n"/>
      <c r="C908" s="1779" t="n"/>
      <c r="D908" s="1779" t="n"/>
      <c r="E908" s="1779" t="n"/>
      <c r="F908" s="1779" t="n"/>
      <c r="G908" s="1780" t="n"/>
      <c r="H908" s="1780" t="n"/>
      <c r="I908" s="1780" t="n"/>
      <c r="J908" s="1780" t="n"/>
      <c r="K908" s="1779" t="n"/>
      <c r="L908" s="1780" t="n"/>
      <c r="M908" s="1780" t="n"/>
      <c r="N908" s="1780" t="n"/>
      <c r="O908" s="1780" t="n"/>
      <c r="P908" s="1779" t="n"/>
      <c r="Q908" s="1780" t="n"/>
      <c r="R908" s="1780" t="n"/>
      <c r="S908" s="1780" t="n"/>
      <c r="T908" s="1780" t="n"/>
      <c r="U908" s="1779" t="n"/>
      <c r="V908" s="1780" t="n"/>
      <c r="W908" s="1780" t="n"/>
      <c r="X908" s="1780" t="n"/>
      <c r="Y908" s="1780" t="n"/>
      <c r="Z908" s="1779" t="n"/>
      <c r="AA908" s="1780" t="n"/>
      <c r="AB908" s="1780" t="n"/>
      <c r="AC908" s="1780">
        <f>AC1332</f>
        <v/>
      </c>
      <c r="AD908" s="1780">
        <f>AD1332</f>
        <v/>
      </c>
      <c r="AE908" s="1779">
        <f>AE1332</f>
        <v/>
      </c>
      <c r="AF908" s="1780">
        <f>AF1332</f>
        <v/>
      </c>
      <c r="AG908" s="1780">
        <f>AG1332</f>
        <v/>
      </c>
      <c r="AH908" s="1780">
        <f>AH1332</f>
        <v/>
      </c>
      <c r="AI908" s="1780">
        <f>AI1332</f>
        <v/>
      </c>
      <c r="AJ908" s="1779">
        <f>AJ1332</f>
        <v/>
      </c>
      <c r="AK908" s="1780">
        <f>AK1332</f>
        <v/>
      </c>
      <c r="AL908" s="1780">
        <f>AL1332</f>
        <v/>
      </c>
      <c r="AM908" s="1780">
        <f>AM1332</f>
        <v/>
      </c>
      <c r="AN908" s="1780">
        <f>AN1332</f>
        <v/>
      </c>
      <c r="AO908" s="1779">
        <f>AO1332</f>
        <v/>
      </c>
      <c r="AP908" s="1780">
        <f>AP1332</f>
        <v/>
      </c>
      <c r="AQ908" s="1780">
        <f>AQ1332</f>
        <v/>
      </c>
      <c r="AR908" s="1780">
        <f>AR1332</f>
        <v/>
      </c>
      <c r="AS908" s="1780">
        <f>AS1332</f>
        <v/>
      </c>
      <c r="AT908" s="1779">
        <f>AT1332</f>
        <v/>
      </c>
      <c r="AU908" s="1780">
        <f>AU1332</f>
        <v/>
      </c>
      <c r="AV908" s="1780">
        <f>AV1332</f>
        <v/>
      </c>
      <c r="AW908" s="1780">
        <f>AW1332</f>
        <v/>
      </c>
      <c r="AX908" s="1780">
        <f>AX1332</f>
        <v/>
      </c>
      <c r="AY908" s="1779">
        <f>AY1332</f>
        <v/>
      </c>
      <c r="AZ908" s="1780">
        <f>AZ1332</f>
        <v/>
      </c>
      <c r="BA908" s="1780">
        <f>BA1332</f>
        <v/>
      </c>
      <c r="BB908" s="1780">
        <f>BB1332</f>
        <v/>
      </c>
      <c r="BC908" s="1780">
        <f>BC1332</f>
        <v/>
      </c>
      <c r="BD908" s="1779">
        <f>BD1332</f>
        <v/>
      </c>
      <c r="BE908" s="1780">
        <f>BE1332</f>
        <v/>
      </c>
      <c r="BF908" s="1780">
        <f>BF1332</f>
        <v/>
      </c>
      <c r="BG908" s="1780">
        <f>BG1332</f>
        <v/>
      </c>
      <c r="BH908" s="1780">
        <f>BH1332</f>
        <v/>
      </c>
      <c r="BI908" s="1779">
        <f>BI1332</f>
        <v/>
      </c>
      <c r="BJ908" s="1780">
        <f>BJ1332</f>
        <v/>
      </c>
      <c r="BK908" s="1780">
        <f>BK1332</f>
        <v/>
      </c>
      <c r="BL908" s="1780">
        <f>BL1332</f>
        <v/>
      </c>
      <c r="BM908" s="1780">
        <f>BM1332</f>
        <v/>
      </c>
      <c r="BN908" s="1779">
        <f>BN1332</f>
        <v/>
      </c>
      <c r="BO908" s="1780">
        <f>BO1332</f>
        <v/>
      </c>
      <c r="BP908" s="1780">
        <f>BP1332</f>
        <v/>
      </c>
      <c r="BQ908" s="1781">
        <f>BQ1332</f>
        <v/>
      </c>
      <c r="BR908" s="1780" t="n"/>
      <c r="BS908" s="1779" t="n"/>
      <c r="BT908" s="1780" t="n"/>
      <c r="BU908" s="1780" t="n"/>
      <c r="BV908" s="1780" t="n"/>
      <c r="BW908" s="1780" t="n"/>
      <c r="BX908" s="1779" t="n"/>
      <c r="BY908" s="1779" t="n"/>
      <c r="BZ908" s="1779" t="n"/>
      <c r="CA908" s="1779" t="n"/>
      <c r="CB908" s="1361" t="n"/>
    </row>
    <row r="909" hidden="1" outlineLevel="2" ht="15" customFormat="1" customHeight="1" s="1359">
      <c r="A909" s="1783" t="inlineStr">
        <is>
          <t>Forward quarterly guidance - applicable period, period</t>
        </is>
      </c>
      <c r="B909" s="1784" t="n"/>
      <c r="C909" s="1785" t="n"/>
      <c r="D909" s="1785" t="n"/>
      <c r="E909" s="1785" t="n"/>
      <c r="F909" s="1785" t="n"/>
      <c r="G909" s="1786" t="n"/>
      <c r="H909" s="1786" t="n"/>
      <c r="I909" s="1786" t="n"/>
      <c r="J909" s="1786" t="n"/>
      <c r="K909" s="1785" t="n"/>
      <c r="L909" s="1786" t="n"/>
      <c r="M909" s="1786" t="n"/>
      <c r="N909" s="1786" t="n"/>
      <c r="O909" s="1786" t="n"/>
      <c r="P909" s="1785" t="n"/>
      <c r="Q909" s="1786" t="n"/>
      <c r="R909" s="1786" t="n"/>
      <c r="S909" s="1786" t="n"/>
      <c r="T909" s="1786" t="n"/>
      <c r="U909" s="1785" t="n"/>
      <c r="V909" s="1786" t="n"/>
      <c r="W909" s="1786" t="n"/>
      <c r="X909" s="1786" t="n"/>
      <c r="Y909" s="1786" t="n"/>
      <c r="Z909" s="1785" t="n"/>
      <c r="AA909" s="1786" t="n"/>
      <c r="AB909" s="1786" t="n"/>
      <c r="AC909" s="1786">
        <f>AD5</f>
        <v/>
      </c>
      <c r="AD909" s="1786">
        <f>AF5</f>
        <v/>
      </c>
      <c r="AE909" s="1785">
        <f>AF5</f>
        <v/>
      </c>
      <c r="AF909" s="1786">
        <f>AG5</f>
        <v/>
      </c>
      <c r="AG909" s="1786">
        <f>AH5</f>
        <v/>
      </c>
      <c r="AH909" s="1786">
        <f>AI5</f>
        <v/>
      </c>
      <c r="AI909" s="1786">
        <f>AK5</f>
        <v/>
      </c>
      <c r="AJ909" s="1785">
        <f>AK5</f>
        <v/>
      </c>
      <c r="AK909" s="1786">
        <f>AL5</f>
        <v/>
      </c>
      <c r="AL909" s="1786">
        <f>AM5</f>
        <v/>
      </c>
      <c r="AM909" s="1786">
        <f>AN5</f>
        <v/>
      </c>
      <c r="AN909" s="1786">
        <f>AP5</f>
        <v/>
      </c>
      <c r="AO909" s="1785">
        <f>AP5</f>
        <v/>
      </c>
      <c r="AP909" s="1786">
        <f>AQ5</f>
        <v/>
      </c>
      <c r="AQ909" s="1786">
        <f>AR5</f>
        <v/>
      </c>
      <c r="AR909" s="1786">
        <f>AS5</f>
        <v/>
      </c>
      <c r="AS909" s="1786">
        <f>AU5</f>
        <v/>
      </c>
      <c r="AT909" s="1785">
        <f>AU5</f>
        <v/>
      </c>
      <c r="AU909" s="1786">
        <f>AV5</f>
        <v/>
      </c>
      <c r="AV909" s="1786">
        <f>AW5</f>
        <v/>
      </c>
      <c r="AW909" s="1786">
        <f>AX5</f>
        <v/>
      </c>
      <c r="AX909" s="1786">
        <f>AZ5</f>
        <v/>
      </c>
      <c r="AY909" s="1785">
        <f>AZ5</f>
        <v/>
      </c>
      <c r="AZ909" s="1786">
        <f>BA5</f>
        <v/>
      </c>
      <c r="BA909" s="1786">
        <f>BB5</f>
        <v/>
      </c>
      <c r="BB909" s="1786">
        <f>BC5</f>
        <v/>
      </c>
      <c r="BC909" s="1786">
        <f>BE5</f>
        <v/>
      </c>
      <c r="BD909" s="1785">
        <f>BE5</f>
        <v/>
      </c>
      <c r="BE909" s="1786">
        <f>BF5</f>
        <v/>
      </c>
      <c r="BF909" s="1786">
        <f>BG5</f>
        <v/>
      </c>
      <c r="BG909" s="1786">
        <f>BH5</f>
        <v/>
      </c>
      <c r="BH909" s="1786">
        <f>BJ5</f>
        <v/>
      </c>
      <c r="BI909" s="1785">
        <f>BJ5</f>
        <v/>
      </c>
      <c r="BJ909" s="1786">
        <f>BK5</f>
        <v/>
      </c>
      <c r="BK909" s="1786">
        <f>BL5</f>
        <v/>
      </c>
      <c r="BL909" s="1786">
        <f>BM5</f>
        <v/>
      </c>
      <c r="BM909" s="1786">
        <f>BO5</f>
        <v/>
      </c>
      <c r="BN909" s="1785">
        <f>BO5</f>
        <v/>
      </c>
      <c r="BO909" s="1786">
        <f>BP5</f>
        <v/>
      </c>
      <c r="BP909" s="1786">
        <f>BQ5</f>
        <v/>
      </c>
      <c r="BQ909" s="1787">
        <f>BR5</f>
        <v/>
      </c>
      <c r="BR909" s="1786" t="n"/>
      <c r="BS909" s="1785" t="n"/>
      <c r="BT909" s="1786" t="n"/>
      <c r="BU909" s="1786" t="n"/>
      <c r="BV909" s="1786" t="n"/>
      <c r="BW909" s="1786" t="n"/>
      <c r="BX909" s="1785" t="n"/>
      <c r="BY909" s="1785" t="n"/>
      <c r="BZ909" s="1785" t="n"/>
      <c r="CA909" s="1785" t="n"/>
      <c r="CB909" s="1361" t="n"/>
    </row>
    <row r="910" hidden="1" outlineLevel="3" ht="15" customFormat="1" customHeight="1" s="1359">
      <c r="A910" s="1474" t="inlineStr">
        <is>
          <t>Forward quarterly capex guidance - low, mm</t>
        </is>
      </c>
      <c r="B910" s="1512" t="n"/>
      <c r="C910" s="1379" t="n"/>
      <c r="D910" s="1379" t="n"/>
      <c r="E910" s="1379" t="n"/>
      <c r="F910" s="1379" t="n"/>
      <c r="G910" s="1361" t="n"/>
      <c r="H910" s="1361" t="n"/>
      <c r="I910" s="1361" t="n"/>
      <c r="J910" s="1361" t="n"/>
      <c r="K910" s="1379" t="n"/>
      <c r="L910" s="1361" t="n"/>
      <c r="M910" s="1361" t="n"/>
      <c r="N910" s="1361" t="n"/>
      <c r="O910" s="1361" t="n"/>
      <c r="P910" s="1379" t="n"/>
      <c r="Q910" s="1361" t="n"/>
      <c r="R910" s="1361" t="n"/>
      <c r="S910" s="1361" t="n"/>
      <c r="T910" s="1361" t="n"/>
      <c r="U910" s="1379" t="n"/>
      <c r="V910" s="1361" t="n"/>
      <c r="W910" s="1361" t="n"/>
      <c r="X910" s="1361" t="n"/>
      <c r="Y910" s="1361" t="n"/>
      <c r="Z910" s="1379" t="n"/>
      <c r="AA910" s="1361" t="n"/>
      <c r="AB910" s="1361" t="n"/>
      <c r="AC910" s="1361" t="n"/>
      <c r="AD910" s="1361" t="n"/>
      <c r="AE910" s="1379" t="n"/>
      <c r="AF910" s="1361" t="n"/>
      <c r="AG910" s="1361" t="n"/>
      <c r="AH910" s="1361" t="n"/>
      <c r="AI910" s="1361" t="n"/>
      <c r="AJ910" s="1379" t="n"/>
      <c r="AK910" s="1361" t="n"/>
      <c r="AL910" s="1361" t="n"/>
      <c r="AM910" s="1361" t="n"/>
      <c r="AN910" s="1361" t="n"/>
      <c r="AO910" s="1379" t="n"/>
      <c r="AP910" s="1361" t="n"/>
      <c r="AQ910" s="1361" t="n"/>
      <c r="AR910" s="1361">
        <f>AR924-AP900-AQ900-AR900</f>
        <v/>
      </c>
      <c r="AS910" s="1361" t="n"/>
      <c r="AT910" s="1379" t="n"/>
      <c r="AU910" s="1361" t="n"/>
      <c r="AV910" s="1361" t="n"/>
      <c r="AW910" s="1361">
        <f>AW924-AU900-AV900-AW900</f>
        <v/>
      </c>
      <c r="AX910" s="1361" t="n"/>
      <c r="AY910" s="1379" t="n"/>
      <c r="AZ910" s="1361" t="n"/>
      <c r="BA910" s="1361" t="n"/>
      <c r="BB910" s="1361">
        <f>BB924-AZ900-BA900-BB900</f>
        <v/>
      </c>
      <c r="BC910" s="1361" t="n"/>
      <c r="BD910" s="1379" t="n"/>
      <c r="BE910" s="1361" t="n"/>
      <c r="BF910" s="1361" t="n"/>
      <c r="BG910" s="1361">
        <f>BG924-BE900-BF900-BG900</f>
        <v/>
      </c>
      <c r="BH910" s="1361" t="n"/>
      <c r="BI910" s="1379" t="n"/>
      <c r="BJ910" s="1361" t="n"/>
      <c r="BK910" s="1361" t="n"/>
      <c r="BL910" s="1361">
        <f>BL924-BJ900-BK900-BL900</f>
        <v/>
      </c>
      <c r="BM910" s="1361" t="n"/>
      <c r="BN910" s="1379" t="n"/>
      <c r="BO910" s="1361" t="n"/>
      <c r="BP910" s="1361" t="n"/>
      <c r="BQ910" s="1363" t="n"/>
      <c r="BR910" s="1361" t="n"/>
      <c r="BS910" s="1379" t="n"/>
      <c r="BT910" s="1361" t="n"/>
      <c r="BU910" s="1361" t="n"/>
      <c r="BV910" s="1361" t="n"/>
      <c r="BW910" s="1361" t="n"/>
      <c r="BX910" s="1379" t="n"/>
      <c r="BY910" s="1379" t="n"/>
      <c r="BZ910" s="1379" t="n"/>
      <c r="CA910" s="1379" t="n"/>
      <c r="CB910" s="1361" t="n"/>
    </row>
    <row r="911" hidden="1" outlineLevel="3" ht="15" customFormat="1" customHeight="1" s="1359">
      <c r="A911" s="1478" t="inlineStr">
        <is>
          <t>Forward quarterly capex guidance - high, mm</t>
        </is>
      </c>
      <c r="B911" s="1514" t="n"/>
      <c r="C911" s="1455" t="n"/>
      <c r="D911" s="1455" t="n"/>
      <c r="E911" s="1455" t="n"/>
      <c r="F911" s="1455" t="n"/>
      <c r="G911" s="1456" t="n"/>
      <c r="H911" s="1456" t="n"/>
      <c r="I911" s="1456" t="n"/>
      <c r="J911" s="1456" t="n"/>
      <c r="K911" s="1455" t="n"/>
      <c r="L911" s="1456" t="n"/>
      <c r="M911" s="1456" t="n"/>
      <c r="N911" s="1456" t="n"/>
      <c r="O911" s="1456" t="n"/>
      <c r="P911" s="1455" t="n"/>
      <c r="Q911" s="1456" t="n"/>
      <c r="R911" s="1456" t="n"/>
      <c r="S911" s="1456" t="n"/>
      <c r="T911" s="1456" t="n"/>
      <c r="U911" s="1455" t="n"/>
      <c r="V911" s="1456" t="n"/>
      <c r="W911" s="1456" t="n"/>
      <c r="X911" s="1456" t="n"/>
      <c r="Y911" s="1456" t="n"/>
      <c r="Z911" s="1455" t="n"/>
      <c r="AA911" s="1456" t="n"/>
      <c r="AB911" s="1456" t="n"/>
      <c r="AC911" s="1456" t="n"/>
      <c r="AD911" s="1456" t="n"/>
      <c r="AE911" s="1455" t="n"/>
      <c r="AF911" s="1456" t="n"/>
      <c r="AG911" s="1456" t="n"/>
      <c r="AH911" s="1456" t="n"/>
      <c r="AI911" s="1456" t="n"/>
      <c r="AJ911" s="1455" t="n"/>
      <c r="AK911" s="1456" t="n"/>
      <c r="AL911" s="1456" t="n"/>
      <c r="AM911" s="1456" t="n"/>
      <c r="AN911" s="1456" t="n"/>
      <c r="AO911" s="1455" t="n"/>
      <c r="AP911" s="1456" t="n"/>
      <c r="AQ911" s="1456" t="n"/>
      <c r="AR911" s="1456">
        <f>AR925-AP900-AQ900-AR900</f>
        <v/>
      </c>
      <c r="AS911" s="1456" t="n"/>
      <c r="AT911" s="1455" t="n"/>
      <c r="AU911" s="1456" t="n"/>
      <c r="AV911" s="1456" t="n"/>
      <c r="AW911" s="1456">
        <f>AW925-AU900-AV900-AW900</f>
        <v/>
      </c>
      <c r="AX911" s="1456" t="n"/>
      <c r="AY911" s="1455" t="n"/>
      <c r="AZ911" s="1456" t="n"/>
      <c r="BA911" s="1456" t="n"/>
      <c r="BB911" s="1456">
        <f>BB925-AZ900-BA900-BB900</f>
        <v/>
      </c>
      <c r="BC911" s="1456" t="n"/>
      <c r="BD911" s="1455" t="n"/>
      <c r="BE911" s="1456" t="n"/>
      <c r="BF911" s="1456" t="n"/>
      <c r="BG911" s="1456">
        <f>BG925-BE900-BF900-BG900</f>
        <v/>
      </c>
      <c r="BH911" s="1456" t="n"/>
      <c r="BI911" s="1455" t="n"/>
      <c r="BJ911" s="1456" t="n"/>
      <c r="BK911" s="1456" t="n"/>
      <c r="BL911" s="1456">
        <f>BL925-BJ900-BK900-BL900</f>
        <v/>
      </c>
      <c r="BM911" s="1456" t="n"/>
      <c r="BN911" s="1455" t="n"/>
      <c r="BO911" s="1456" t="n"/>
      <c r="BP911" s="1456" t="n"/>
      <c r="BQ911" s="1457" t="n"/>
      <c r="BR911" s="1456" t="n"/>
      <c r="BS911" s="1455" t="n"/>
      <c r="BT911" s="1456" t="n"/>
      <c r="BU911" s="1456" t="n"/>
      <c r="BV911" s="1456" t="n"/>
      <c r="BW911" s="1456" t="n"/>
      <c r="BX911" s="1455" t="n"/>
      <c r="BY911" s="1455" t="n"/>
      <c r="BZ911" s="1455" t="n"/>
      <c r="CA911" s="1455" t="n"/>
      <c r="CB911" s="1361" t="n"/>
    </row>
    <row r="912" hidden="1" outlineLevel="2" collapsed="1" ht="15" customFormat="1" customHeight="1" s="1359">
      <c r="A912" s="1447" t="inlineStr">
        <is>
          <t>Forward quarterly capex guidance - midpoint, mm</t>
        </is>
      </c>
      <c r="B912" s="1517" t="n"/>
      <c r="C912" s="1449">
        <f>IFERROR(AVERAGE(C910,C911),"")</f>
        <v/>
      </c>
      <c r="D912" s="1449">
        <f>IFERROR(AVERAGE(D910,D911),"")</f>
        <v/>
      </c>
      <c r="E912" s="1449">
        <f>IFERROR(AVERAGE(E910,E911),"")</f>
        <v/>
      </c>
      <c r="F912" s="1449">
        <f>IFERROR(AVERAGE(F910,F911),"")</f>
        <v/>
      </c>
      <c r="G912" s="1450">
        <f>IFERROR(AVERAGE(G910,G911),"")</f>
        <v/>
      </c>
      <c r="H912" s="1450">
        <f>IFERROR(AVERAGE(H910,H911),"")</f>
        <v/>
      </c>
      <c r="I912" s="1450">
        <f>IFERROR(AVERAGE(I910,I911),"")</f>
        <v/>
      </c>
      <c r="J912" s="1450">
        <f>IFERROR(AVERAGE(J910,J911),"")</f>
        <v/>
      </c>
      <c r="K912" s="1449">
        <f>IFERROR(AVERAGE(K910,K911),"")</f>
        <v/>
      </c>
      <c r="L912" s="1450">
        <f>IFERROR(AVERAGE(L910,L911),"")</f>
        <v/>
      </c>
      <c r="M912" s="1450">
        <f>IFERROR(AVERAGE(M910,M911),"")</f>
        <v/>
      </c>
      <c r="N912" s="1450">
        <f>IFERROR(AVERAGE(N910,N911),"")</f>
        <v/>
      </c>
      <c r="O912" s="1450">
        <f>IFERROR(AVERAGE(O910,O911),"")</f>
        <v/>
      </c>
      <c r="P912" s="1449">
        <f>IFERROR(AVERAGE(P910,P911),"")</f>
        <v/>
      </c>
      <c r="Q912" s="1450">
        <f>IFERROR(AVERAGE(Q910,Q911),"")</f>
        <v/>
      </c>
      <c r="R912" s="1450">
        <f>IFERROR(AVERAGE(R910,R911),"")</f>
        <v/>
      </c>
      <c r="S912" s="1450">
        <f>IFERROR(AVERAGE(S910,S911),"")</f>
        <v/>
      </c>
      <c r="T912" s="1450">
        <f>IFERROR(AVERAGE(T910,T911),"")</f>
        <v/>
      </c>
      <c r="U912" s="1449">
        <f>IFERROR(AVERAGE(U910,U911),"")</f>
        <v/>
      </c>
      <c r="V912" s="1450">
        <f>IFERROR(AVERAGE(V910,V911),"")</f>
        <v/>
      </c>
      <c r="W912" s="1450">
        <f>IFERROR(AVERAGE(W910,W911),"")</f>
        <v/>
      </c>
      <c r="X912" s="1450">
        <f>IFERROR(AVERAGE(X910,X911),"")</f>
        <v/>
      </c>
      <c r="Y912" s="1450">
        <f>IFERROR(AVERAGE(Y910,Y911),"")</f>
        <v/>
      </c>
      <c r="Z912" s="1449">
        <f>IFERROR(AVERAGE(Z910,Z911),"")</f>
        <v/>
      </c>
      <c r="AA912" s="1450">
        <f>IFERROR(AVERAGE(AA910,AA911),"")</f>
        <v/>
      </c>
      <c r="AB912" s="1450">
        <f>IFERROR(AVERAGE(AB910,AB911),"")</f>
        <v/>
      </c>
      <c r="AC912" s="1450">
        <f>IFERROR(AVERAGE(AC910,AC911),"")</f>
        <v/>
      </c>
      <c r="AD912" s="1450">
        <f>IFERROR(AVERAGE(AD910,AD911),"")</f>
        <v/>
      </c>
      <c r="AE912" s="1449">
        <f>IFERROR(AVERAGE(AE910,AE911),"")</f>
        <v/>
      </c>
      <c r="AF912" s="1450">
        <f>IFERROR(AVERAGE(AF910,AF911),"")</f>
        <v/>
      </c>
      <c r="AG912" s="1450">
        <f>IFERROR(AVERAGE(AG910,AG911),"")</f>
        <v/>
      </c>
      <c r="AH912" s="1450">
        <f>IFERROR(AVERAGE(AH910,AH911),"")</f>
        <v/>
      </c>
      <c r="AI912" s="1450">
        <f>IFERROR(AVERAGE(AI910,AI911),"")</f>
        <v/>
      </c>
      <c r="AJ912" s="1449">
        <f>IFERROR(AVERAGE(AJ910,AJ911),"")</f>
        <v/>
      </c>
      <c r="AK912" s="1450">
        <f>IFERROR(AVERAGE(AK910,AK911),"")</f>
        <v/>
      </c>
      <c r="AL912" s="1450">
        <f>IFERROR(AVERAGE(AL910,AL911),"")</f>
        <v/>
      </c>
      <c r="AM912" s="1450">
        <f>IFERROR(AVERAGE(AM910,AM911),"")</f>
        <v/>
      </c>
      <c r="AN912" s="1450">
        <f>IFERROR(AVERAGE(AN910,AN911),"")</f>
        <v/>
      </c>
      <c r="AO912" s="1449">
        <f>IFERROR(AVERAGE(AO910,AO911),"")</f>
        <v/>
      </c>
      <c r="AP912" s="1450">
        <f>IFERROR(AVERAGE(AP910,AP911),"")</f>
        <v/>
      </c>
      <c r="AQ912" s="1450">
        <f>IFERROR(AVERAGE(AQ910,AQ911),"")</f>
        <v/>
      </c>
      <c r="AR912" s="1450">
        <f>IFERROR(AVERAGE(AR910,AR911),"")</f>
        <v/>
      </c>
      <c r="AS912" s="1450">
        <f>IFERROR(AVERAGE(AS910,AS911),"")</f>
        <v/>
      </c>
      <c r="AT912" s="1449">
        <f>IFERROR(AVERAGE(AT910,AT911),"")</f>
        <v/>
      </c>
      <c r="AU912" s="1450">
        <f>IFERROR(AVERAGE(AU910,AU911),"")</f>
        <v/>
      </c>
      <c r="AV912" s="1450">
        <f>IFERROR(AVERAGE(AV910,AV911),"")</f>
        <v/>
      </c>
      <c r="AW912" s="1450">
        <f>IFERROR(AVERAGE(AW910,AW911),"")</f>
        <v/>
      </c>
      <c r="AX912" s="1450">
        <f>IFERROR(AVERAGE(AX910,AX911),"")</f>
        <v/>
      </c>
      <c r="AY912" s="1449">
        <f>IFERROR(AVERAGE(AY910,AY911),"")</f>
        <v/>
      </c>
      <c r="AZ912" s="1450">
        <f>IFERROR(AVERAGE(AZ910,AZ911),"")</f>
        <v/>
      </c>
      <c r="BA912" s="1450">
        <f>IFERROR(AVERAGE(BA910,BA911),"")</f>
        <v/>
      </c>
      <c r="BB912" s="1450">
        <f>IFERROR(AVERAGE(BB910,BB911),"")</f>
        <v/>
      </c>
      <c r="BC912" s="1450">
        <f>IFERROR(AVERAGE(BC910,BC911),"")</f>
        <v/>
      </c>
      <c r="BD912" s="1449">
        <f>IFERROR(AVERAGE(BD910,BD911),"")</f>
        <v/>
      </c>
      <c r="BE912" s="1450">
        <f>IFERROR(AVERAGE(BE910,BE911),"")</f>
        <v/>
      </c>
      <c r="BF912" s="1450">
        <f>IFERROR(AVERAGE(BF910,BF911),"")</f>
        <v/>
      </c>
      <c r="BG912" s="1450">
        <f>IFERROR(AVERAGE(BG910,BG911),"")</f>
        <v/>
      </c>
      <c r="BH912" s="1450">
        <f>IFERROR(AVERAGE(BH910,BH911),"")</f>
        <v/>
      </c>
      <c r="BI912" s="1449">
        <f>IFERROR(AVERAGE(BI910,BI911),"")</f>
        <v/>
      </c>
      <c r="BJ912" s="1450">
        <f>IFERROR(AVERAGE(BJ910,BJ911),"")</f>
        <v/>
      </c>
      <c r="BK912" s="1450">
        <f>IFERROR(AVERAGE(BK910,BK911),"")</f>
        <v/>
      </c>
      <c r="BL912" s="1450">
        <f>IFERROR(AVERAGE(BL910,BL911),"")</f>
        <v/>
      </c>
      <c r="BM912" s="1450">
        <f>IFERROR(AVERAGE(BM910,BM911),"")</f>
        <v/>
      </c>
      <c r="BN912" s="1449">
        <f>IFERROR(AVERAGE(BN910,BN911),"")</f>
        <v/>
      </c>
      <c r="BO912" s="1450">
        <f>IFERROR(AVERAGE(BO910,BO911),"")</f>
        <v/>
      </c>
      <c r="BP912" s="1450">
        <f>IFERROR(AVERAGE(BP910,BP911),"")</f>
        <v/>
      </c>
      <c r="BQ912" s="1451">
        <f>IFERROR(AVERAGE(BQ910,BQ911),"")</f>
        <v/>
      </c>
      <c r="BR912" s="1450" t="n"/>
      <c r="BS912" s="1449" t="n"/>
      <c r="BT912" s="1450" t="n"/>
      <c r="BU912" s="1450" t="n"/>
      <c r="BV912" s="1450" t="n"/>
      <c r="BW912" s="1450" t="n"/>
      <c r="BX912" s="1449" t="n"/>
      <c r="BY912" s="1449" t="n"/>
      <c r="BZ912" s="1449" t="n"/>
      <c r="CA912" s="1449" t="n"/>
      <c r="CB912" s="1361" t="n"/>
    </row>
    <row r="913" hidden="1" outlineLevel="2" ht="15" customFormat="1" customHeight="1" s="1359">
      <c r="A913" s="1474" t="inlineStr">
        <is>
          <t>Forward quarterly capex guidance variance, mm</t>
        </is>
      </c>
      <c r="B913" s="1512" t="n"/>
      <c r="C913" s="1379" t="n"/>
      <c r="D913" s="1379" t="n"/>
      <c r="E913" s="1379" t="n"/>
      <c r="F913" s="1379" t="n"/>
      <c r="G913" s="1361" t="n"/>
      <c r="H913" s="1361" t="n"/>
      <c r="I913" s="1361" t="n"/>
      <c r="J913" s="1361" t="n"/>
      <c r="K913" s="1379" t="n"/>
      <c r="L913" s="1361" t="n"/>
      <c r="M913" s="1361" t="n"/>
      <c r="N913" s="1361" t="n"/>
      <c r="O913" s="1361" t="n"/>
      <c r="P913" s="1379" t="n"/>
      <c r="Q913" s="1361" t="n"/>
      <c r="R913" s="1361" t="n"/>
      <c r="S913" s="1361" t="n"/>
      <c r="T913" s="1361" t="n"/>
      <c r="U913" s="1379" t="n"/>
      <c r="V913" s="1361" t="n"/>
      <c r="W913" s="1361" t="n"/>
      <c r="X913" s="1361" t="n"/>
      <c r="Y913" s="1361" t="n"/>
      <c r="Z913" s="1379" t="n"/>
      <c r="AA913" s="1361" t="n"/>
      <c r="AB913" s="1361" t="n"/>
      <c r="AC913" s="1361" t="n"/>
      <c r="AD913" s="1361" t="n"/>
      <c r="AE913" s="1379" t="n"/>
      <c r="AF913" s="1361" t="n"/>
      <c r="AG913" s="1361" t="n"/>
      <c r="AH913" s="1361" t="n"/>
      <c r="AI913" s="1361" t="n"/>
      <c r="AJ913" s="1379" t="n"/>
      <c r="AK913" s="1361" t="n"/>
      <c r="AL913" s="1361" t="n"/>
      <c r="AM913" s="1361" t="n"/>
      <c r="AN913" s="1361" t="n"/>
      <c r="AO913" s="1379" t="n"/>
      <c r="AP913" s="1361" t="n"/>
      <c r="AQ913" s="1361" t="n"/>
      <c r="AR913" s="1361">
        <f>IFERROR(ABS(AR911-AR910),"")</f>
        <v/>
      </c>
      <c r="AS913" s="1361" t="n"/>
      <c r="AT913" s="1379" t="n"/>
      <c r="AU913" s="1361" t="n"/>
      <c r="AV913" s="1361" t="n"/>
      <c r="AW913" s="1361">
        <f>IFERROR(ABS(AW911-AW910),"")</f>
        <v/>
      </c>
      <c r="AX913" s="1361" t="n"/>
      <c r="AY913" s="1379" t="n"/>
      <c r="AZ913" s="1361" t="n"/>
      <c r="BA913" s="1361" t="n"/>
      <c r="BB913" s="1361">
        <f>IFERROR(ABS(BB911-BB910),"")</f>
        <v/>
      </c>
      <c r="BC913" s="1361" t="n"/>
      <c r="BD913" s="1379" t="n"/>
      <c r="BE913" s="1361" t="n"/>
      <c r="BF913" s="1361" t="n"/>
      <c r="BG913" s="1361">
        <f>IFERROR(ABS(BG911-BG910),"")</f>
        <v/>
      </c>
      <c r="BH913" s="1361" t="n"/>
      <c r="BI913" s="1379" t="n"/>
      <c r="BJ913" s="1361" t="n"/>
      <c r="BK913" s="1361" t="n"/>
      <c r="BL913" s="1361">
        <f>IFERROR(ABS(BL911-BL910),"")</f>
        <v/>
      </c>
      <c r="BM913" s="1361" t="n"/>
      <c r="BN913" s="1379" t="n"/>
      <c r="BO913" s="1361" t="n"/>
      <c r="BP913" s="1361" t="n"/>
      <c r="BQ913" s="1363" t="n"/>
      <c r="BR913" s="1361" t="n"/>
      <c r="BS913" s="1379" t="n"/>
      <c r="BT913" s="1361" t="n"/>
      <c r="BU913" s="1361" t="n"/>
      <c r="BV913" s="1361" t="n"/>
      <c r="BW913" s="1361" t="n"/>
      <c r="BX913" s="1379" t="n"/>
      <c r="BY913" s="1379" t="n"/>
      <c r="BZ913" s="1379" t="n"/>
      <c r="CA913" s="1379" t="n"/>
      <c r="CB913" s="1361" t="n"/>
    </row>
    <row r="914" hidden="1" outlineLevel="2" ht="15" customFormat="1" customHeight="1" s="1359">
      <c r="A914" s="1486" t="inlineStr">
        <is>
          <t>Forward quarterly capex guidance variance (+/-), %</t>
        </is>
      </c>
      <c r="B914" s="1512" t="n"/>
      <c r="C914" s="1463">
        <f>IFERROR(ABS((C911-C912)/C912),"")</f>
        <v/>
      </c>
      <c r="D914" s="1463">
        <f>IFERROR(ABS((D911-D912)/D912),"")</f>
        <v/>
      </c>
      <c r="E914" s="1463">
        <f>IFERROR(ABS((E911-E912)/E912),"")</f>
        <v/>
      </c>
      <c r="F914" s="1463">
        <f>IFERROR(ABS((F911-F912)/F912),"")</f>
        <v/>
      </c>
      <c r="G914" s="1466">
        <f>IFERROR(ABS((G911-G912)/G912),"")</f>
        <v/>
      </c>
      <c r="H914" s="1466">
        <f>IFERROR(ABS((H911-H912)/H912),"")</f>
        <v/>
      </c>
      <c r="I914" s="1466">
        <f>IFERROR(ABS((I911-I912)/I912),"")</f>
        <v/>
      </c>
      <c r="J914" s="1466">
        <f>IFERROR(ABS((J911-J912)/J912),"")</f>
        <v/>
      </c>
      <c r="K914" s="1463">
        <f>IFERROR(ABS((K911-K912)/K912),"")</f>
        <v/>
      </c>
      <c r="L914" s="1466">
        <f>IFERROR(ABS((L911-L912)/L912),"")</f>
        <v/>
      </c>
      <c r="M914" s="1466">
        <f>IFERROR(ABS((M911-M912)/M912),"")</f>
        <v/>
      </c>
      <c r="N914" s="1466">
        <f>IFERROR(ABS((N911-N912)/N912),"")</f>
        <v/>
      </c>
      <c r="O914" s="1466">
        <f>IFERROR(ABS((O911-O912)/O912),"")</f>
        <v/>
      </c>
      <c r="P914" s="1463">
        <f>IFERROR(ABS((P911-P912)/P912),"")</f>
        <v/>
      </c>
      <c r="Q914" s="1466">
        <f>IFERROR(ABS((Q911-Q912)/Q912),"")</f>
        <v/>
      </c>
      <c r="R914" s="1466">
        <f>IFERROR(ABS((R911-R912)/R912),"")</f>
        <v/>
      </c>
      <c r="S914" s="1466">
        <f>IFERROR(ABS((S911-S912)/S912),"")</f>
        <v/>
      </c>
      <c r="T914" s="1466">
        <f>IFERROR(ABS((T911-T912)/T912),"")</f>
        <v/>
      </c>
      <c r="U914" s="1463">
        <f>IFERROR(ABS((U911-U912)/U912),"")</f>
        <v/>
      </c>
      <c r="V914" s="1466">
        <f>IFERROR(ABS((V911-V912)/V912),"")</f>
        <v/>
      </c>
      <c r="W914" s="1466">
        <f>IFERROR(ABS((W911-W912)/W912),"")</f>
        <v/>
      </c>
      <c r="X914" s="1466">
        <f>IFERROR(ABS((X911-X912)/X912),"")</f>
        <v/>
      </c>
      <c r="Y914" s="1466">
        <f>IFERROR(ABS((Y911-Y912)/Y912),"")</f>
        <v/>
      </c>
      <c r="Z914" s="1463">
        <f>IFERROR(ABS((Z911-Z912)/Z912),"")</f>
        <v/>
      </c>
      <c r="AA914" s="1466">
        <f>IFERROR(ABS((AA911-AA912)/AA912),"")</f>
        <v/>
      </c>
      <c r="AB914" s="1466">
        <f>IFERROR(ABS((AB911-AB912)/AB912),"")</f>
        <v/>
      </c>
      <c r="AC914" s="1466">
        <f>IFERROR(ABS((AC911-AC912)/AC912),"")</f>
        <v/>
      </c>
      <c r="AD914" s="1466">
        <f>IFERROR(ABS((AD911-AD912)/AD912),"")</f>
        <v/>
      </c>
      <c r="AE914" s="1463">
        <f>IFERROR(ABS((AE911-AE912)/AE912),"")</f>
        <v/>
      </c>
      <c r="AF914" s="1466">
        <f>IFERROR(ABS((AF911-AF912)/AF912),"")</f>
        <v/>
      </c>
      <c r="AG914" s="1466">
        <f>IFERROR(ABS((AG911-AG912)/AG912),"")</f>
        <v/>
      </c>
      <c r="AH914" s="1466">
        <f>IFERROR(ABS((AH911-AH912)/AH912),"")</f>
        <v/>
      </c>
      <c r="AI914" s="1466">
        <f>IFERROR(ABS((AI911-AI912)/AI912),"")</f>
        <v/>
      </c>
      <c r="AJ914" s="1463">
        <f>IFERROR(ABS((AJ911-AJ912)/AJ912),"")</f>
        <v/>
      </c>
      <c r="AK914" s="1466">
        <f>IFERROR(ABS((AK911-AK912)/AK912),"")</f>
        <v/>
      </c>
      <c r="AL914" s="1466">
        <f>IFERROR(ABS((AL911-AL912)/AL912),"")</f>
        <v/>
      </c>
      <c r="AM914" s="1466">
        <f>IFERROR(ABS((AM911-AM912)/AM912),"")</f>
        <v/>
      </c>
      <c r="AN914" s="1466">
        <f>IFERROR(ABS((AN911-AN912)/AN912),"")</f>
        <v/>
      </c>
      <c r="AO914" s="1463">
        <f>IFERROR(ABS((AO911-AO912)/AO912),"")</f>
        <v/>
      </c>
      <c r="AP914" s="1466">
        <f>IFERROR(ABS((AP911-AP912)/AP912),"")</f>
        <v/>
      </c>
      <c r="AQ914" s="1466">
        <f>IFERROR(ABS((AQ911-AQ912)/AQ912),"")</f>
        <v/>
      </c>
      <c r="AR914" s="1466">
        <f>IFERROR(ABS((AR911-AR912)/AR912),"")</f>
        <v/>
      </c>
      <c r="AS914" s="1466">
        <f>IFERROR(ABS((AS911-AS912)/AS912),"")</f>
        <v/>
      </c>
      <c r="AT914" s="1463">
        <f>IFERROR(ABS((AT911-AT912)/AT912),"")</f>
        <v/>
      </c>
      <c r="AU914" s="1466">
        <f>IFERROR(ABS((AU911-AU912)/AU912),"")</f>
        <v/>
      </c>
      <c r="AV914" s="1466">
        <f>IFERROR(ABS((AV911-AV912)/AV912),"")</f>
        <v/>
      </c>
      <c r="AW914" s="1466">
        <f>IFERROR(ABS((AW911-AW912)/AW912),"")</f>
        <v/>
      </c>
      <c r="AX914" s="1466">
        <f>IFERROR(ABS((AX911-AX912)/AX912),"")</f>
        <v/>
      </c>
      <c r="AY914" s="1463">
        <f>IFERROR(ABS((AY911-AY912)/AY912),"")</f>
        <v/>
      </c>
      <c r="AZ914" s="1466">
        <f>IFERROR(ABS((AZ911-AZ912)/AZ912),"")</f>
        <v/>
      </c>
      <c r="BA914" s="1466">
        <f>IFERROR(ABS((BA911-BA912)/BA912),"")</f>
        <v/>
      </c>
      <c r="BB914" s="1466">
        <f>IFERROR(ABS((BB911-BB912)/BB912),"")</f>
        <v/>
      </c>
      <c r="BC914" s="1466">
        <f>IFERROR(ABS((BC911-BC912)/BC912),"")</f>
        <v/>
      </c>
      <c r="BD914" s="1463">
        <f>IFERROR(ABS((BD911-BD912)/BD912),"")</f>
        <v/>
      </c>
      <c r="BE914" s="1466">
        <f>IFERROR(ABS((BE911-BE912)/BE912),"")</f>
        <v/>
      </c>
      <c r="BF914" s="1466">
        <f>IFERROR(ABS((BF911-BF912)/BF912),"")</f>
        <v/>
      </c>
      <c r="BG914" s="1466">
        <f>IFERROR(ABS((BG911-BG912)/BG912),"")</f>
        <v/>
      </c>
      <c r="BH914" s="1466">
        <f>IFERROR(ABS((BH911-BH912)/BH912),"")</f>
        <v/>
      </c>
      <c r="BI914" s="1463">
        <f>IFERROR(ABS((BI911-BI912)/BI912),"")</f>
        <v/>
      </c>
      <c r="BJ914" s="1466">
        <f>IFERROR(ABS((BJ911-BJ912)/BJ912),"")</f>
        <v/>
      </c>
      <c r="BK914" s="1466">
        <f>IFERROR(ABS((BK911-BK912)/BK912),"")</f>
        <v/>
      </c>
      <c r="BL914" s="1466">
        <f>IFERROR(ABS((BL911-BL912)/BL912),"")</f>
        <v/>
      </c>
      <c r="BM914" s="1466">
        <f>IFERROR(ABS((BM911-BM912)/BM912),"")</f>
        <v/>
      </c>
      <c r="BN914" s="1463">
        <f>IFERROR(ABS((BN911-BN912)/BN912),"")</f>
        <v/>
      </c>
      <c r="BO914" s="1466">
        <f>IFERROR(ABS((BO911-BO912)/BO912),"")</f>
        <v/>
      </c>
      <c r="BP914" s="1466">
        <f>IFERROR(ABS((BP911-BP912)/BP912),"")</f>
        <v/>
      </c>
      <c r="BQ914" s="1491">
        <f>IFERROR(ABS((BQ911-BQ912)/BQ912),"")</f>
        <v/>
      </c>
      <c r="BR914" s="1466" t="n"/>
      <c r="BS914" s="1463" t="n"/>
      <c r="BT914" s="1466" t="n"/>
      <c r="BU914" s="1466" t="n"/>
      <c r="BV914" s="1466" t="n"/>
      <c r="BW914" s="1466" t="n"/>
      <c r="BX914" s="1463" t="n"/>
      <c r="BY914" s="1463" t="n"/>
      <c r="BZ914" s="1463" t="n"/>
      <c r="CA914" s="1463" t="n"/>
      <c r="CB914" s="1361" t="n"/>
    </row>
    <row r="915" hidden="1" outlineLevel="3" ht="15" customFormat="1" customHeight="1" s="1359">
      <c r="A915" s="1476" t="inlineStr">
        <is>
          <t>Forward quarterly guided Y/Y revenue growth - low, %</t>
        </is>
      </c>
      <c r="B915" s="1590" t="n"/>
      <c r="C915" s="1382" t="n"/>
      <c r="D915" s="1382" t="n"/>
      <c r="E915" s="1382" t="n"/>
      <c r="F915" s="1382" t="n"/>
      <c r="G915" s="1384" t="n"/>
      <c r="H915" s="1384" t="n"/>
      <c r="I915" s="1384" t="n"/>
      <c r="J915" s="1384" t="n"/>
      <c r="K915" s="1382" t="n"/>
      <c r="L915" s="1384" t="n"/>
      <c r="M915" s="1384" t="n"/>
      <c r="N915" s="1384" t="n"/>
      <c r="O915" s="1384" t="n"/>
      <c r="P915" s="1382" t="n"/>
      <c r="Q915" s="1384" t="n"/>
      <c r="R915" s="1384" t="n"/>
      <c r="S915" s="1384" t="n"/>
      <c r="T915" s="1384" t="n"/>
      <c r="U915" s="1382" t="n"/>
      <c r="V915" s="1384" t="n"/>
      <c r="W915" s="1384" t="n"/>
      <c r="X915" s="1384" t="n"/>
      <c r="Y915" s="1384" t="n"/>
      <c r="Z915" s="1382" t="n"/>
      <c r="AA915" s="1384" t="n"/>
      <c r="AB915" s="1384" t="n"/>
      <c r="AC915" s="1384" t="n"/>
      <c r="AD915" s="1384" t="n"/>
      <c r="AE915" s="1382" t="n"/>
      <c r="AF915" s="1384" t="n"/>
      <c r="AG915" s="1384" t="n"/>
      <c r="AH915" s="1384" t="n"/>
      <c r="AI915" s="1384" t="n"/>
      <c r="AJ915" s="1382" t="n"/>
      <c r="AK915" s="1384" t="n"/>
      <c r="AL915" s="1384" t="n"/>
      <c r="AM915" s="1384" t="n"/>
      <c r="AN915" s="1384" t="n"/>
      <c r="AO915" s="1382" t="n"/>
      <c r="AP915" s="1384" t="n"/>
      <c r="AQ915" s="1384" t="n"/>
      <c r="AR915" s="1384">
        <f>AR910/AN900-1</f>
        <v/>
      </c>
      <c r="AS915" s="1384" t="n"/>
      <c r="AT915" s="1382" t="n"/>
      <c r="AU915" s="1384" t="n"/>
      <c r="AV915" s="1384" t="n"/>
      <c r="AW915" s="1384">
        <f>AW910/AS900-1</f>
        <v/>
      </c>
      <c r="AX915" s="1384" t="n"/>
      <c r="AY915" s="1382" t="n"/>
      <c r="AZ915" s="1384" t="n"/>
      <c r="BA915" s="1384" t="n"/>
      <c r="BB915" s="1384">
        <f>BB910/AX900-1</f>
        <v/>
      </c>
      <c r="BC915" s="1384" t="n"/>
      <c r="BD915" s="1382" t="n"/>
      <c r="BE915" s="1384" t="n"/>
      <c r="BF915" s="1384" t="n"/>
      <c r="BG915" s="1384">
        <f>BG910/BC900-1</f>
        <v/>
      </c>
      <c r="BH915" s="1384" t="n"/>
      <c r="BI915" s="1382" t="n"/>
      <c r="BJ915" s="1384" t="n"/>
      <c r="BK915" s="1384" t="n"/>
      <c r="BL915" s="1384">
        <f>BL910/BH900-1</f>
        <v/>
      </c>
      <c r="BM915" s="1384" t="n"/>
      <c r="BN915" s="1382" t="n"/>
      <c r="BO915" s="1384" t="n"/>
      <c r="BP915" s="1384" t="n"/>
      <c r="BQ915" s="1386" t="n"/>
      <c r="BR915" s="1384" t="n"/>
      <c r="BS915" s="1382" t="n"/>
      <c r="BT915" s="1384" t="n"/>
      <c r="BU915" s="1384" t="n"/>
      <c r="BV915" s="1384" t="n"/>
      <c r="BW915" s="1384" t="n"/>
      <c r="BX915" s="1382" t="n"/>
      <c r="BY915" s="1382" t="n"/>
      <c r="BZ915" s="1382" t="n"/>
      <c r="CA915" s="1382" t="n"/>
      <c r="CB915" s="1361" t="n"/>
    </row>
    <row r="916" hidden="1" outlineLevel="3" ht="15" customFormat="1" customHeight="1" s="1359">
      <c r="A916" s="1827" t="inlineStr">
        <is>
          <t>Forward quarterly guided Y/Y revenue growth - high, %</t>
        </is>
      </c>
      <c r="B916" s="1821" t="n"/>
      <c r="C916" s="1389" t="n"/>
      <c r="D916" s="1389" t="n"/>
      <c r="E916" s="1389" t="n"/>
      <c r="F916" s="1389" t="n"/>
      <c r="G916" s="1391" t="n"/>
      <c r="H916" s="1391" t="n"/>
      <c r="I916" s="1391" t="n"/>
      <c r="J916" s="1391" t="n"/>
      <c r="K916" s="1389" t="n"/>
      <c r="L916" s="1391" t="n"/>
      <c r="M916" s="1391" t="n"/>
      <c r="N916" s="1391" t="n"/>
      <c r="O916" s="1391" t="n"/>
      <c r="P916" s="1389" t="n"/>
      <c r="Q916" s="1391" t="n"/>
      <c r="R916" s="1391" t="n"/>
      <c r="S916" s="1391" t="n"/>
      <c r="T916" s="1391" t="n"/>
      <c r="U916" s="1389" t="n"/>
      <c r="V916" s="1391" t="n"/>
      <c r="W916" s="1391" t="n"/>
      <c r="X916" s="1391" t="n"/>
      <c r="Y916" s="1391" t="n"/>
      <c r="Z916" s="1389" t="n"/>
      <c r="AA916" s="1391" t="n"/>
      <c r="AB916" s="1391" t="n"/>
      <c r="AC916" s="1391" t="n"/>
      <c r="AD916" s="1391" t="n"/>
      <c r="AE916" s="1389" t="n"/>
      <c r="AF916" s="1391" t="n"/>
      <c r="AG916" s="1391" t="n"/>
      <c r="AH916" s="1391" t="n"/>
      <c r="AI916" s="1391" t="n"/>
      <c r="AJ916" s="1389" t="n"/>
      <c r="AK916" s="1391" t="n"/>
      <c r="AL916" s="1391" t="n"/>
      <c r="AM916" s="1391" t="n"/>
      <c r="AN916" s="1391" t="n"/>
      <c r="AO916" s="1389" t="n"/>
      <c r="AP916" s="1391" t="n"/>
      <c r="AQ916" s="1391" t="n"/>
      <c r="AR916" s="1391">
        <f>AR911/AN900-1</f>
        <v/>
      </c>
      <c r="AS916" s="1391" t="n"/>
      <c r="AT916" s="1389" t="n"/>
      <c r="AU916" s="1391" t="n"/>
      <c r="AV916" s="1391" t="n"/>
      <c r="AW916" s="1391">
        <f>AW911/AS900-1</f>
        <v/>
      </c>
      <c r="AX916" s="1391" t="n"/>
      <c r="AY916" s="1389" t="n"/>
      <c r="AZ916" s="1391" t="n"/>
      <c r="BA916" s="1391" t="n"/>
      <c r="BB916" s="1391">
        <f>BB911/AX900-1</f>
        <v/>
      </c>
      <c r="BC916" s="1391" t="n"/>
      <c r="BD916" s="1389" t="n"/>
      <c r="BE916" s="1391" t="n"/>
      <c r="BF916" s="1391" t="n"/>
      <c r="BG916" s="1391">
        <f>BG911/BC900-1</f>
        <v/>
      </c>
      <c r="BH916" s="1391" t="n"/>
      <c r="BI916" s="1389" t="n"/>
      <c r="BJ916" s="1391" t="n"/>
      <c r="BK916" s="1391" t="n"/>
      <c r="BL916" s="1391">
        <f>BL911/BH900-1</f>
        <v/>
      </c>
      <c r="BM916" s="1391" t="n"/>
      <c r="BN916" s="1389" t="n"/>
      <c r="BO916" s="1391" t="n"/>
      <c r="BP916" s="1391" t="n"/>
      <c r="BQ916" s="1393" t="n"/>
      <c r="BR916" s="1391" t="n"/>
      <c r="BS916" s="1389" t="n"/>
      <c r="BT916" s="1391" t="n"/>
      <c r="BU916" s="1391" t="n"/>
      <c r="BV916" s="1391" t="n"/>
      <c r="BW916" s="1391" t="n"/>
      <c r="BX916" s="1389" t="n"/>
      <c r="BY916" s="1389" t="n"/>
      <c r="BZ916" s="1389" t="n"/>
      <c r="CA916" s="1389" t="n"/>
      <c r="CB916" s="1361" t="n"/>
    </row>
    <row r="917" hidden="1" outlineLevel="2" collapsed="1" ht="15" customFormat="1" customHeight="1" s="1359">
      <c r="A917" s="1501" t="inlineStr">
        <is>
          <t>Forward quarterly guided Y/Y revenue growth - midpoint, %</t>
        </is>
      </c>
      <c r="B917" s="1590" t="n"/>
      <c r="C917" s="1382" t="n"/>
      <c r="D917" s="1382" t="n"/>
      <c r="E917" s="1382" t="n"/>
      <c r="F917" s="1382" t="n"/>
      <c r="G917" s="1384" t="n"/>
      <c r="H917" s="1384" t="n"/>
      <c r="I917" s="1384" t="n"/>
      <c r="J917" s="1384" t="n"/>
      <c r="K917" s="1382" t="n"/>
      <c r="L917" s="1384" t="n"/>
      <c r="M917" s="1384" t="n"/>
      <c r="N917" s="1384" t="n"/>
      <c r="O917" s="1384" t="n"/>
      <c r="P917" s="1382" t="n"/>
      <c r="Q917" s="1384" t="n"/>
      <c r="R917" s="1384" t="n"/>
      <c r="S917" s="1384" t="n"/>
      <c r="T917" s="1384" t="n"/>
      <c r="U917" s="1382" t="n"/>
      <c r="V917" s="1384" t="n"/>
      <c r="W917" s="1384" t="n"/>
      <c r="X917" s="1384" t="n"/>
      <c r="Y917" s="1384" t="n"/>
      <c r="Z917" s="1382" t="n"/>
      <c r="AA917" s="1384" t="n"/>
      <c r="AB917" s="1384" t="n"/>
      <c r="AC917" s="1384" t="n"/>
      <c r="AD917" s="1384" t="n"/>
      <c r="AE917" s="1382" t="n"/>
      <c r="AF917" s="1384" t="n"/>
      <c r="AG917" s="1384" t="n"/>
      <c r="AH917" s="1384" t="n"/>
      <c r="AI917" s="1384" t="n"/>
      <c r="AJ917" s="1382" t="n"/>
      <c r="AK917" s="1384" t="n"/>
      <c r="AL917" s="1384" t="n"/>
      <c r="AM917" s="1384" t="n"/>
      <c r="AN917" s="1384" t="n"/>
      <c r="AO917" s="1382" t="n"/>
      <c r="AP917" s="1384" t="n"/>
      <c r="AQ917" s="1384" t="n"/>
      <c r="AR917" s="1384">
        <f>AR912/AN900-1</f>
        <v/>
      </c>
      <c r="AS917" s="1384" t="n"/>
      <c r="AT917" s="1382" t="n"/>
      <c r="AU917" s="1384" t="n"/>
      <c r="AV917" s="1384" t="n"/>
      <c r="AW917" s="1384">
        <f>AW912/AS900-1</f>
        <v/>
      </c>
      <c r="AX917" s="1384" t="n"/>
      <c r="AY917" s="1382" t="n"/>
      <c r="AZ917" s="1384" t="n"/>
      <c r="BA917" s="1384" t="n"/>
      <c r="BB917" s="1384">
        <f>BB912/AX900-1</f>
        <v/>
      </c>
      <c r="BC917" s="1384" t="n"/>
      <c r="BD917" s="1382" t="n"/>
      <c r="BE917" s="1384" t="n"/>
      <c r="BF917" s="1384" t="n"/>
      <c r="BG917" s="1384">
        <f>BG912/BC900-1</f>
        <v/>
      </c>
      <c r="BH917" s="1384" t="n"/>
      <c r="BI917" s="1382" t="n"/>
      <c r="BJ917" s="1384" t="n"/>
      <c r="BK917" s="1384" t="n"/>
      <c r="BL917" s="1384">
        <f>BL912/BH900-1</f>
        <v/>
      </c>
      <c r="BM917" s="1384" t="n"/>
      <c r="BN917" s="1382" t="n"/>
      <c r="BO917" s="1384" t="n"/>
      <c r="BP917" s="1384" t="n"/>
      <c r="BQ917" s="1386" t="n"/>
      <c r="BR917" s="1384" t="n"/>
      <c r="BS917" s="1382" t="n"/>
      <c r="BT917" s="1384" t="n"/>
      <c r="BU917" s="1384" t="n"/>
      <c r="BV917" s="1384" t="n"/>
      <c r="BW917" s="1384" t="n"/>
      <c r="BX917" s="1382" t="n"/>
      <c r="BY917" s="1382" t="n"/>
      <c r="BZ917" s="1382" t="n"/>
      <c r="CA917" s="1382" t="n"/>
      <c r="CB917" s="1361" t="n"/>
    </row>
    <row r="918" hidden="1" outlineLevel="2" ht="15" customFormat="1" customHeight="1" s="1359">
      <c r="A918" s="545" t="n"/>
      <c r="B918" s="1512" t="n"/>
      <c r="C918" s="1379" t="n"/>
      <c r="D918" s="1379" t="n"/>
      <c r="E918" s="1379" t="n"/>
      <c r="F918" s="1379" t="n"/>
      <c r="G918" s="1361" t="n"/>
      <c r="H918" s="1361" t="n"/>
      <c r="I918" s="1361" t="n"/>
      <c r="J918" s="1361" t="n"/>
      <c r="K918" s="1379" t="n"/>
      <c r="L918" s="1361" t="n"/>
      <c r="M918" s="1361" t="n"/>
      <c r="N918" s="1361" t="n"/>
      <c r="O918" s="1361" t="n"/>
      <c r="P918" s="1379" t="n"/>
      <c r="Q918" s="1361" t="n"/>
      <c r="R918" s="1361" t="n"/>
      <c r="S918" s="1361" t="n"/>
      <c r="T918" s="1361" t="n"/>
      <c r="U918" s="1379" t="n"/>
      <c r="V918" s="1361" t="n"/>
      <c r="W918" s="1361" t="n"/>
      <c r="X918" s="1361" t="n"/>
      <c r="Y918" s="1361" t="n"/>
      <c r="Z918" s="1379" t="n"/>
      <c r="AA918" s="1361" t="n"/>
      <c r="AB918" s="1361" t="n"/>
      <c r="AC918" s="1361" t="n"/>
      <c r="AD918" s="1361" t="n"/>
      <c r="AE918" s="1379" t="n"/>
      <c r="AF918" s="1361" t="n"/>
      <c r="AG918" s="1361" t="n"/>
      <c r="AH918" s="1361" t="n"/>
      <c r="AI918" s="1361" t="n"/>
      <c r="AJ918" s="1379" t="n"/>
      <c r="AK918" s="1361" t="n"/>
      <c r="AL918" s="1361" t="n"/>
      <c r="AM918" s="1361" t="n"/>
      <c r="AN918" s="1361" t="n"/>
      <c r="AO918" s="1379" t="n"/>
      <c r="AP918" s="1361" t="n"/>
      <c r="AQ918" s="1361" t="n"/>
      <c r="AR918" s="1361" t="n"/>
      <c r="AS918" s="1361" t="n"/>
      <c r="AT918" s="1379" t="n"/>
      <c r="AU918" s="1361" t="n"/>
      <c r="AV918" s="1361" t="n"/>
      <c r="AW918" s="1361" t="n"/>
      <c r="AX918" s="1361" t="n"/>
      <c r="AY918" s="1379" t="n"/>
      <c r="AZ918" s="1361" t="n"/>
      <c r="BA918" s="1361" t="n"/>
      <c r="BB918" s="1361" t="n"/>
      <c r="BC918" s="1361" t="n"/>
      <c r="BD918" s="1379" t="n"/>
      <c r="BE918" s="1361" t="n"/>
      <c r="BF918" s="1361" t="n"/>
      <c r="BG918" s="1361" t="n"/>
      <c r="BH918" s="1361" t="n"/>
      <c r="BI918" s="1379" t="n"/>
      <c r="BJ918" s="1361" t="n"/>
      <c r="BK918" s="1361" t="n"/>
      <c r="BL918" s="1361" t="n"/>
      <c r="BM918" s="1361" t="n"/>
      <c r="BN918" s="1379" t="n"/>
      <c r="BO918" s="1361" t="n"/>
      <c r="BP918" s="1361" t="n"/>
      <c r="BQ918" s="1363" t="n"/>
      <c r="BR918" s="1361" t="n"/>
      <c r="BS918" s="1379" t="n"/>
      <c r="BT918" s="1361" t="n"/>
      <c r="BU918" s="1361" t="n"/>
      <c r="BV918" s="1361" t="n"/>
      <c r="BW918" s="1361" t="n"/>
      <c r="BX918" s="1379" t="n"/>
      <c r="BY918" s="1379" t="n"/>
      <c r="BZ918" s="1379" t="n"/>
      <c r="CA918" s="1379" t="n"/>
      <c r="CB918" s="1361" t="n"/>
    </row>
    <row r="919" hidden="1" outlineLevel="2" ht="15" customFormat="1" customHeight="1" s="1359">
      <c r="A919" s="1501" t="inlineStr">
        <is>
          <t>Y/Y Implied annual guidance revenue growth, %</t>
        </is>
      </c>
      <c r="B919" s="1590" t="n"/>
      <c r="C919" s="1382" t="n"/>
      <c r="D919" s="1382">
        <f>IFERROR(IF(D898="","",D898/C900-1),"")</f>
        <v/>
      </c>
      <c r="E919" s="1382">
        <f>IFERROR(IF(E898="","",E898/D900-1),"")</f>
        <v/>
      </c>
      <c r="F919" s="1382">
        <f>IFERROR(IF(F898="","",F898/E900-1),"")</f>
        <v/>
      </c>
      <c r="G919" s="1384">
        <f>IFERROR(IF(K895="","",K895/F900-1),"")</f>
        <v/>
      </c>
      <c r="H919" s="1384">
        <f>IFERROR(IF(K896="","",K896/F900-1),"")</f>
        <v/>
      </c>
      <c r="I919" s="1384">
        <f>IFERROR(IF(K897="","",K897/F900-1),"")</f>
        <v/>
      </c>
      <c r="J919" s="1384">
        <f>IFERROR(IF(K898="","",K898/F900-1),"")</f>
        <v/>
      </c>
      <c r="K919" s="1382">
        <f>IFERROR(IF(K898="","",K898/F900-1),"")</f>
        <v/>
      </c>
      <c r="L919" s="1384">
        <f>IFERROR(IF(P895="","",P895/K900-1),"")</f>
        <v/>
      </c>
      <c r="M919" s="1384">
        <f>IFERROR(IF(P896="","",P896/K900-1),"")</f>
        <v/>
      </c>
      <c r="N919" s="1384">
        <f>IFERROR(IF(P897="","",P897/K900-1),"")</f>
        <v/>
      </c>
      <c r="O919" s="1384">
        <f>IFERROR(IF(P898="","",P898/K900-1),"")</f>
        <v/>
      </c>
      <c r="P919" s="1382">
        <f>IFERROR(IF(P898="","",P898/K900-1),"")</f>
        <v/>
      </c>
      <c r="Q919" s="1384">
        <f>IFERROR(IF(U895="","",U895/P900-1),"")</f>
        <v/>
      </c>
      <c r="R919" s="1384">
        <f>IFERROR(IF(U896="","",U896/P900-1),"")</f>
        <v/>
      </c>
      <c r="S919" s="1384">
        <f>IFERROR(IF(U897="","",U897/P900-1),"")</f>
        <v/>
      </c>
      <c r="T919" s="1384">
        <f>IFERROR(IF(U898="","",U898/P900-1),"")</f>
        <v/>
      </c>
      <c r="U919" s="1382">
        <f>IFERROR(IF(U898="","",U898/P900-1),"")</f>
        <v/>
      </c>
      <c r="V919" s="1384">
        <f>IFERROR(IF(Z895="","",Z895/U900-1),"")</f>
        <v/>
      </c>
      <c r="W919" s="1384">
        <f>IFERROR(IF(Z896="","",Z896/U900-1),"")</f>
        <v/>
      </c>
      <c r="X919" s="1384">
        <f>IFERROR(IF(Z897="","",Z897/U900-1),"")</f>
        <v/>
      </c>
      <c r="Y919" s="1384">
        <f>IFERROR(IF(Z898="","",Z898/U900-1),"")</f>
        <v/>
      </c>
      <c r="Z919" s="1382">
        <f>IFERROR(IF(Z898="","",Z898/U900-1),"")</f>
        <v/>
      </c>
      <c r="AA919" s="1384">
        <f>IFERROR(IF(AE895="","",AE895/Z900-1),"")</f>
        <v/>
      </c>
      <c r="AB919" s="1384">
        <f>IFERROR(IF(AE896="","",AE896/Z900-1),"")</f>
        <v/>
      </c>
      <c r="AC919" s="1384">
        <f>IFERROR(IF(AE897="","",AE897/Z900-1),"")</f>
        <v/>
      </c>
      <c r="AD919" s="1384">
        <f>IFERROR(IF(AE898="","",AE898/Z900-1),"")</f>
        <v/>
      </c>
      <c r="AE919" s="1382">
        <f>IFERROR(IF(AE898="","",AE898/Z900-1),"")</f>
        <v/>
      </c>
      <c r="AF919" s="1384">
        <f>IFERROR(IF(AJ895="","",AJ895/AE900-1),"")</f>
        <v/>
      </c>
      <c r="AG919" s="1384">
        <f>IFERROR(IF(AJ896="","",AJ896/AE900-1),"")</f>
        <v/>
      </c>
      <c r="AH919" s="1384">
        <f>IFERROR(IF(AJ897="","",AJ897/AE900-1),"")</f>
        <v/>
      </c>
      <c r="AI919" s="1384">
        <f>IFERROR(IF(AJ898="","",AJ898/AE900-1),"")</f>
        <v/>
      </c>
      <c r="AJ919" s="1382">
        <f>IFERROR(IF(AJ898="","",AJ898/AE900-1),"")</f>
        <v/>
      </c>
      <c r="AK919" s="1384">
        <f>IFERROR(IF(AO895="","",AO895/AJ900-1),"")</f>
        <v/>
      </c>
      <c r="AL919" s="1384">
        <f>IFERROR(IF(AO896="","",AO896/AJ900-1),"")</f>
        <v/>
      </c>
      <c r="AM919" s="1384">
        <f>IFERROR(IF(AO897="","",AO897/AJ900-1),"")</f>
        <v/>
      </c>
      <c r="AN919" s="1384">
        <f>IFERROR(IF(AO898="","",AO898/AJ900-1),"")</f>
        <v/>
      </c>
      <c r="AO919" s="1382">
        <f>IFERROR(IF(AO898="","",AO898/AJ900-1),"")</f>
        <v/>
      </c>
      <c r="AP919" s="1384">
        <f>IFERROR(IF(AT895="","",AT895/AO900-1),"")</f>
        <v/>
      </c>
      <c r="AQ919" s="1384">
        <f>IFERROR(IF(AT896="","",AT896/AO900-1),"")</f>
        <v/>
      </c>
      <c r="AR919" s="1384">
        <f>IFERROR(IF(AT897="","",AT897/AO900-1),"")</f>
        <v/>
      </c>
      <c r="AS919" s="1384">
        <f>IFERROR(IF(AT898="","",AT898/AO900-1),"")</f>
        <v/>
      </c>
      <c r="AT919" s="1382">
        <f>IFERROR(IF(AT898="","",AT898/AO900-1),"")</f>
        <v/>
      </c>
      <c r="AU919" s="1384">
        <f>IFERROR(IF(AY895="","",AY895/AT900-1),"")</f>
        <v/>
      </c>
      <c r="AV919" s="1384">
        <f>IFERROR(IF(AY896="","",AY896/AT900-1),"")</f>
        <v/>
      </c>
      <c r="AW919" s="1384">
        <f>IFERROR(IF(AY897="","",AY897/AT900-1),"")</f>
        <v/>
      </c>
      <c r="AX919" s="1384">
        <f>IFERROR(IF(AY898="","",AY898/AT900-1),"")</f>
        <v/>
      </c>
      <c r="AY919" s="1382">
        <f>IFERROR(IF(AY898="","",AY898/AT900-1),"")</f>
        <v/>
      </c>
      <c r="AZ919" s="1384">
        <f>IFERROR(IF(BD895="","",BD895/AY900-1),"")</f>
        <v/>
      </c>
      <c r="BA919" s="1384">
        <f>IFERROR(IF(BD896="","",BD896/AY900-1),"")</f>
        <v/>
      </c>
      <c r="BB919" s="1384">
        <f>IFERROR(IF(BD897="","",BD897/AY900-1),"")</f>
        <v/>
      </c>
      <c r="BC919" s="1384">
        <f>IFERROR(IF(BD898="","",BD898/AY900-1),"")</f>
        <v/>
      </c>
      <c r="BD919" s="1382">
        <f>IFERROR(IF(BD898="","",BD898/AY900-1),"")</f>
        <v/>
      </c>
      <c r="BE919" s="1384">
        <f>IFERROR(IF(BI895="","",BI895/BD900-1),"")</f>
        <v/>
      </c>
      <c r="BF919" s="1384">
        <f>IFERROR(IF(BI896="","",BI896/BD900-1),"")</f>
        <v/>
      </c>
      <c r="BG919" s="1384">
        <f>IFERROR(IF(BI897="","",BI897/BD900-1),"")</f>
        <v/>
      </c>
      <c r="BH919" s="1384">
        <f>IFERROR(IF(BI898="","",BI898/BD900-1),"")</f>
        <v/>
      </c>
      <c r="BI919" s="1382">
        <f>IFERROR(IF(BI898="","",BI898/BD900-1),"")</f>
        <v/>
      </c>
      <c r="BJ919" s="1384">
        <f>IFERROR(IF(BN895="","",BN895/BI900-1),"")</f>
        <v/>
      </c>
      <c r="BK919" s="1384">
        <f>IFERROR(IF(BN896="","",BN896/BI900-1),"")</f>
        <v/>
      </c>
      <c r="BL919" s="1384">
        <f>IFERROR(IF(BN897="","",BN897/BI900-1),"")</f>
        <v/>
      </c>
      <c r="BM919" s="1384">
        <f>IFERROR(IF(BN898="","",BN898/BI900-1),"")</f>
        <v/>
      </c>
      <c r="BN919" s="1382">
        <f>IFERROR(IF(BN898="","",BN898/BI900-1),"")</f>
        <v/>
      </c>
      <c r="BO919" s="1384">
        <f>IFERROR(IF(BS895="","",BS895/BN900-1),"")</f>
        <v/>
      </c>
      <c r="BP919" s="1384">
        <f>IFERROR(IF(BS896="","",BS896/BN900-1),"")</f>
        <v/>
      </c>
      <c r="BQ919" s="1386">
        <f>IFERROR(IF(BS897="","",BS897/BN900-1),"")</f>
        <v/>
      </c>
      <c r="BR919" s="1384">
        <f>IFERROR(IF(BS898="","",BS898/BN900-1),"")</f>
        <v/>
      </c>
      <c r="BS919" s="1382">
        <f>IFERROR(IF(BS898="","",BS898/BN900-1),"")</f>
        <v/>
      </c>
      <c r="BT919" s="1384">
        <f>IFERROR(IF(BX895="","",BX895/BS900-1),"")</f>
        <v/>
      </c>
      <c r="BU919" s="1384">
        <f>IFERROR(IF(BX896="","",BX896/BS900-1),"")</f>
        <v/>
      </c>
      <c r="BV919" s="1384">
        <f>IFERROR(IF(BX897="","",BX897/BS900-1),"")</f>
        <v/>
      </c>
      <c r="BW919" s="1384">
        <f>IFERROR(IF(BX898="","",BX898/BS900-1),"")</f>
        <v/>
      </c>
      <c r="BX919" s="1382">
        <f>IFERROR(IF(BX898="","",BX898/BS900-1),"")</f>
        <v/>
      </c>
      <c r="BY919" s="1382" t="n"/>
      <c r="BZ919" s="1382" t="n"/>
      <c r="CA919" s="1382" t="n"/>
      <c r="CB919" s="1361" t="n"/>
    </row>
    <row r="920" hidden="1" outlineLevel="2" ht="15" customFormat="1" customHeight="1" s="1359">
      <c r="A920" s="1820" t="inlineStr">
        <is>
          <t>Y/Y annual guidance beat/(miss) revenue growth, %</t>
        </is>
      </c>
      <c r="B920" s="1821" t="n"/>
      <c r="C920" s="1389" t="n"/>
      <c r="D920" s="1389">
        <f>IFERROR(IF(D898="","",(D900-D898)/C900),"")</f>
        <v/>
      </c>
      <c r="E920" s="1389">
        <f>IFERROR(IF(E898="","",(E900-E898)/D900),"")</f>
        <v/>
      </c>
      <c r="F920" s="1389">
        <f>IFERROR(IF(F898="","",(F900-F898)/E900),"")</f>
        <v/>
      </c>
      <c r="G920" s="1391">
        <f>IFERROR(IF(K895="","",(K900-K895)/F900),"")</f>
        <v/>
      </c>
      <c r="H920" s="1391">
        <f>IFERROR(IF(K896="","",(K900-K896)/F900),"")</f>
        <v/>
      </c>
      <c r="I920" s="1391">
        <f>IFERROR(IF(K897="","",(K900-K897)/F900),"")</f>
        <v/>
      </c>
      <c r="J920" s="1391">
        <f>IFERROR(IF(K898="","",(K900-K898)/F900),"")</f>
        <v/>
      </c>
      <c r="K920" s="1389">
        <f>IFERROR(IF(K898="","",(K900-K898)/F900),"")</f>
        <v/>
      </c>
      <c r="L920" s="1391">
        <f>IFERROR(IF(P895="","",(P900-P895)/K900),"")</f>
        <v/>
      </c>
      <c r="M920" s="1391">
        <f>IFERROR(IF(P896="","",(P900-P896)/K900),"")</f>
        <v/>
      </c>
      <c r="N920" s="1391">
        <f>IFERROR(IF(P897="","",(P900-P897)/K900),"")</f>
        <v/>
      </c>
      <c r="O920" s="1391">
        <f>IFERROR(IF(P898="","",(P900-P898)/K900),"")</f>
        <v/>
      </c>
      <c r="P920" s="1389">
        <f>IFERROR(IF(P898="","",(P900-P898)/K900),"")</f>
        <v/>
      </c>
      <c r="Q920" s="1391">
        <f>IFERROR(IF(U895="","",(U900-U895)/P900),"")</f>
        <v/>
      </c>
      <c r="R920" s="1391">
        <f>IFERROR(IF(U896="","",(U900-U896)/P900),"")</f>
        <v/>
      </c>
      <c r="S920" s="1391">
        <f>IFERROR(IF(U897="","",(U900-U897)/P900),"")</f>
        <v/>
      </c>
      <c r="T920" s="1391">
        <f>IFERROR(IF(U898="","",(U900-U898)/P900),"")</f>
        <v/>
      </c>
      <c r="U920" s="1389">
        <f>IFERROR(IF(U898="","",(U900-U898)/P900),"")</f>
        <v/>
      </c>
      <c r="V920" s="1391">
        <f>IFERROR(IF(Z895="","",(Z900-Z895)/U900),"")</f>
        <v/>
      </c>
      <c r="W920" s="1391">
        <f>IFERROR(IF(Z896="","",(Z900-Z896)/U900),"")</f>
        <v/>
      </c>
      <c r="X920" s="1391">
        <f>IFERROR(IF(Z897="","",(Z900-Z897)/U900),"")</f>
        <v/>
      </c>
      <c r="Y920" s="1391">
        <f>IFERROR(IF(Z898="","",(Z900-Z898)/U900),"")</f>
        <v/>
      </c>
      <c r="Z920" s="1389">
        <f>IFERROR(IF(Z898="","",(Z900-Z898)/U900),"")</f>
        <v/>
      </c>
      <c r="AA920" s="1391">
        <f>IFERROR(IF(AE895="","",(AE900-AE895)/Z900),"")</f>
        <v/>
      </c>
      <c r="AB920" s="1391">
        <f>IFERROR(IF(AE896="","",(AE900-AE896)/Z900),"")</f>
        <v/>
      </c>
      <c r="AC920" s="1391">
        <f>IFERROR(IF(AE897="","",(AE900-AE897)/Z900),"")</f>
        <v/>
      </c>
      <c r="AD920" s="1391">
        <f>IFERROR(IF(AE898="","",(AE900-AE898)/Z900),"")</f>
        <v/>
      </c>
      <c r="AE920" s="1389">
        <f>IFERROR(IF(AE898="","",(AE900-AE898)/Z900),"")</f>
        <v/>
      </c>
      <c r="AF920" s="1391">
        <f>IFERROR(IF(AJ895="","",(AJ900-AJ895)/AE900),"")</f>
        <v/>
      </c>
      <c r="AG920" s="1391">
        <f>IFERROR(IF(AJ896="","",(AJ900-AJ896)/AE900),"")</f>
        <v/>
      </c>
      <c r="AH920" s="1391">
        <f>IFERROR(IF(AJ897="","",(AJ900-AJ897)/AE900),"")</f>
        <v/>
      </c>
      <c r="AI920" s="1391">
        <f>IFERROR(IF(AJ898="","",(AJ900-AJ898)/AE900),"")</f>
        <v/>
      </c>
      <c r="AJ920" s="1389">
        <f>IFERROR(IF(AJ898="","",(AJ900-AJ898)/AE900),"")</f>
        <v/>
      </c>
      <c r="AK920" s="1391">
        <f>IFERROR(IF(AO895="","",(AO900-AO895)/AJ900),"")</f>
        <v/>
      </c>
      <c r="AL920" s="1391">
        <f>IFERROR(IF(AO896="","",(AO900-AO896)/AJ900),"")</f>
        <v/>
      </c>
      <c r="AM920" s="1391">
        <f>IFERROR(IF(AO897="","",(AO900-AO897)/AJ900),"")</f>
        <v/>
      </c>
      <c r="AN920" s="1391">
        <f>IFERROR(IF(AO898="","",(AO900-AO898)/AJ900),"")</f>
        <v/>
      </c>
      <c r="AO920" s="1389">
        <f>IFERROR(IF(AO898="","",(AO900-AO898)/AJ900),"")</f>
        <v/>
      </c>
      <c r="AP920" s="1391">
        <f>IFERROR(IF(AT895="","",(AT900-AT895)/AO900),"")</f>
        <v/>
      </c>
      <c r="AQ920" s="1391">
        <f>IFERROR(IF(AT896="","",(AT900-AT896)/AO900),"")</f>
        <v/>
      </c>
      <c r="AR920" s="1391">
        <f>IFERROR(IF(AT897="","",(AT900-AT897)/AO900),"")</f>
        <v/>
      </c>
      <c r="AS920" s="1391">
        <f>IFERROR(IF(AT898="","",(AT900-AT898)/AO900),"")</f>
        <v/>
      </c>
      <c r="AT920" s="1389">
        <f>IFERROR(IF(AT898="","",(AT900-AT898)/AO900),"")</f>
        <v/>
      </c>
      <c r="AU920" s="1391">
        <f>IFERROR(IF(AY895="","",(AY900-AY895)/AT900),"")</f>
        <v/>
      </c>
      <c r="AV920" s="1391">
        <f>IFERROR(IF(AY896="","",(AY900-AY896)/AT900),"")</f>
        <v/>
      </c>
      <c r="AW920" s="1391">
        <f>IFERROR(IF(AY897="","",(AY900-AY897)/AT900),"")</f>
        <v/>
      </c>
      <c r="AX920" s="1391">
        <f>IFERROR(IF(AY898="","",(AY900-AY898)/AT900),"")</f>
        <v/>
      </c>
      <c r="AY920" s="1389">
        <f>IFERROR(IF(AY898="","",(AY900-AY898)/AT900),"")</f>
        <v/>
      </c>
      <c r="AZ920" s="1391">
        <f>IFERROR(IF(BD895="","",(BD900-BD895)/AY900),"")</f>
        <v/>
      </c>
      <c r="BA920" s="1391">
        <f>IFERROR(IF(BD896="","",(BD900-BD896)/AY900),"")</f>
        <v/>
      </c>
      <c r="BB920" s="1391">
        <f>IFERROR(IF(BD897="","",(BD900-BD897)/AY900),"")</f>
        <v/>
      </c>
      <c r="BC920" s="1391">
        <f>IFERROR(IF(BD898="","",(BD900-BD898)/AY900),"")</f>
        <v/>
      </c>
      <c r="BD920" s="1389">
        <f>IFERROR(IF(BD898="","",(BD900-BD898)/AY900),"")</f>
        <v/>
      </c>
      <c r="BE920" s="1391">
        <f>IFERROR(IF(BI895="","",(BI900-BI895)/BD900),"")</f>
        <v/>
      </c>
      <c r="BF920" s="1391">
        <f>IFERROR(IF(BI896="","",(BI900-BI896)/BD900),"")</f>
        <v/>
      </c>
      <c r="BG920" s="1391">
        <f>IFERROR(IF(BI897="","",(BI900-BI897)/BD900),"")</f>
        <v/>
      </c>
      <c r="BH920" s="1391">
        <f>IFERROR(IF(BI898="","",(BI900-BI898)/BD900),"")</f>
        <v/>
      </c>
      <c r="BI920" s="1389">
        <f>IFERROR(IF(BI898="","",(BI900-BI898)/BD900),"")</f>
        <v/>
      </c>
      <c r="BJ920" s="1391">
        <f>IFERROR(IF(BN895="","",(BN900-BN895)/BI900),"")</f>
        <v/>
      </c>
      <c r="BK920" s="1391">
        <f>IFERROR(IF(BN896="","",(BN900-BN896)/BI900),"")</f>
        <v/>
      </c>
      <c r="BL920" s="1391">
        <f>IFERROR(IF(BN897="","",(BN900-BN897)/BI900),"")</f>
        <v/>
      </c>
      <c r="BM920" s="1391">
        <f>IFERROR(IF(BN898="","",(BN900-BN898)/BI900),"")</f>
        <v/>
      </c>
      <c r="BN920" s="1389">
        <f>IFERROR(IF(BN898="","",(BN900-BN898)/BI900),"")</f>
        <v/>
      </c>
      <c r="BO920" s="1391">
        <f>IFERROR(IF(BS895="","",(BS900-BS895)/BN900),"")</f>
        <v/>
      </c>
      <c r="BP920" s="1391">
        <f>IFERROR(IF(BS896="","",(BS900-BS896)/BN900),"")</f>
        <v/>
      </c>
      <c r="BQ920" s="1393">
        <f>IFERROR(IF(BS897="","",(BS900-BS897)/BN900),"")</f>
        <v/>
      </c>
      <c r="BR920" s="1391">
        <f>IFERROR(IF(BS898="","",(BS900-BS898)/BN900),"")</f>
        <v/>
      </c>
      <c r="BS920" s="1389">
        <f>IFERROR(IF(BS898="","",(BS900-BS898)/BN900),"")</f>
        <v/>
      </c>
      <c r="BT920" s="1391">
        <f>IFERROR(IF(BX895="","",(BX900-BX895)/BS900),"")</f>
        <v/>
      </c>
      <c r="BU920" s="1391">
        <f>IFERROR(IF(BX896="","",(BX900-BX896)/BS900),"")</f>
        <v/>
      </c>
      <c r="BV920" s="1391">
        <f>IFERROR(IF(BX897="","",(BX900-BX897)/BS900),"")</f>
        <v/>
      </c>
      <c r="BW920" s="1391">
        <f>IFERROR(IF(BX898="","",(BX900-BX898)/BS900),"")</f>
        <v/>
      </c>
      <c r="BX920" s="1389">
        <f>IFERROR(IF(BX898="","",(BX900-BX898)/BS900),"")</f>
        <v/>
      </c>
      <c r="BY920" s="1389" t="n"/>
      <c r="BZ920" s="1389" t="n"/>
      <c r="CA920" s="1389" t="n"/>
      <c r="CB920" s="1361" t="n"/>
    </row>
    <row r="921" hidden="1" outlineLevel="2" ht="15" customFormat="1" customHeight="1" s="1359">
      <c r="A921" s="1822" t="inlineStr">
        <is>
          <t>Y/Y annual revenue growth, %</t>
        </is>
      </c>
      <c r="B921" s="1823" t="n"/>
      <c r="C921" s="1824" t="n"/>
      <c r="D921" s="1824">
        <f>D900/C900-1</f>
        <v/>
      </c>
      <c r="E921" s="1824">
        <f>E900/D900-1</f>
        <v/>
      </c>
      <c r="F921" s="1824">
        <f>F900/E900-1</f>
        <v/>
      </c>
      <c r="G921" s="1825">
        <f>K900/F900-1</f>
        <v/>
      </c>
      <c r="H921" s="1825">
        <f>K900/F900-1</f>
        <v/>
      </c>
      <c r="I921" s="1825">
        <f>K900/F900-1</f>
        <v/>
      </c>
      <c r="J921" s="1825">
        <f>K900/F900-1</f>
        <v/>
      </c>
      <c r="K921" s="1824">
        <f>K900/F900-1</f>
        <v/>
      </c>
      <c r="L921" s="1825">
        <f>P900/K900-1</f>
        <v/>
      </c>
      <c r="M921" s="1825">
        <f>P900/K900-1</f>
        <v/>
      </c>
      <c r="N921" s="1825">
        <f>P900/K900-1</f>
        <v/>
      </c>
      <c r="O921" s="1825">
        <f>P900/K900-1</f>
        <v/>
      </c>
      <c r="P921" s="1824">
        <f>P900/K900-1</f>
        <v/>
      </c>
      <c r="Q921" s="1825">
        <f>U900/P900-1</f>
        <v/>
      </c>
      <c r="R921" s="1825">
        <f>U900/P900-1</f>
        <v/>
      </c>
      <c r="S921" s="1825">
        <f>U900/P900-1</f>
        <v/>
      </c>
      <c r="T921" s="1825">
        <f>U900/P900-1</f>
        <v/>
      </c>
      <c r="U921" s="1824">
        <f>U900/P900-1</f>
        <v/>
      </c>
      <c r="V921" s="1825">
        <f>Z900/U900-1</f>
        <v/>
      </c>
      <c r="W921" s="1825">
        <f>Z900/U900-1</f>
        <v/>
      </c>
      <c r="X921" s="1825">
        <f>Z900/U900-1</f>
        <v/>
      </c>
      <c r="Y921" s="1825">
        <f>Z900/U900-1</f>
        <v/>
      </c>
      <c r="Z921" s="1824">
        <f>Z900/U900-1</f>
        <v/>
      </c>
      <c r="AA921" s="1825">
        <f>AE900/Z900-1</f>
        <v/>
      </c>
      <c r="AB921" s="1825">
        <f>AE900/Z900-1</f>
        <v/>
      </c>
      <c r="AC921" s="1825">
        <f>AE900/Z900-1</f>
        <v/>
      </c>
      <c r="AD921" s="1825">
        <f>AE900/Z900-1</f>
        <v/>
      </c>
      <c r="AE921" s="1824">
        <f>AE900/Z900-1</f>
        <v/>
      </c>
      <c r="AF921" s="1825">
        <f>AJ900/AE900-1</f>
        <v/>
      </c>
      <c r="AG921" s="1825">
        <f>AJ900/AE900-1</f>
        <v/>
      </c>
      <c r="AH921" s="1825">
        <f>AJ900/AE900-1</f>
        <v/>
      </c>
      <c r="AI921" s="1825">
        <f>AJ900/AE900-1</f>
        <v/>
      </c>
      <c r="AJ921" s="1824">
        <f>AJ900/AE900-1</f>
        <v/>
      </c>
      <c r="AK921" s="1825">
        <f>AO900/AJ900-1</f>
        <v/>
      </c>
      <c r="AL921" s="1825">
        <f>AO900/AJ900-1</f>
        <v/>
      </c>
      <c r="AM921" s="1825">
        <f>AO900/AJ900-1</f>
        <v/>
      </c>
      <c r="AN921" s="1825">
        <f>AO900/AJ900-1</f>
        <v/>
      </c>
      <c r="AO921" s="1824">
        <f>AO900/AJ900-1</f>
        <v/>
      </c>
      <c r="AP921" s="1825">
        <f>AT900/AO900-1</f>
        <v/>
      </c>
      <c r="AQ921" s="1825">
        <f>AT900/AO900-1</f>
        <v/>
      </c>
      <c r="AR921" s="1825">
        <f>AT900/AO900-1</f>
        <v/>
      </c>
      <c r="AS921" s="1825">
        <f>AT900/AO900-1</f>
        <v/>
      </c>
      <c r="AT921" s="1824">
        <f>AT900/AO900-1</f>
        <v/>
      </c>
      <c r="AU921" s="1825">
        <f>AY900/AT900-1</f>
        <v/>
      </c>
      <c r="AV921" s="1825">
        <f>AY900/AT900-1</f>
        <v/>
      </c>
      <c r="AW921" s="1825">
        <f>AY900/AT900-1</f>
        <v/>
      </c>
      <c r="AX921" s="1825">
        <f>AY900/AT900-1</f>
        <v/>
      </c>
      <c r="AY921" s="1824">
        <f>AY900/AT900-1</f>
        <v/>
      </c>
      <c r="AZ921" s="1825">
        <f>BD900/AY900-1</f>
        <v/>
      </c>
      <c r="BA921" s="1825">
        <f>BD900/AY900-1</f>
        <v/>
      </c>
      <c r="BB921" s="1825">
        <f>BD900/AY900-1</f>
        <v/>
      </c>
      <c r="BC921" s="1825">
        <f>BD900/AY900-1</f>
        <v/>
      </c>
      <c r="BD921" s="1824">
        <f>BD900/AY900-1</f>
        <v/>
      </c>
      <c r="BE921" s="1825">
        <f>BI900/BD900-1</f>
        <v/>
      </c>
      <c r="BF921" s="1825">
        <f>BI900/BD900-1</f>
        <v/>
      </c>
      <c r="BG921" s="1825">
        <f>BI900/BD900-1</f>
        <v/>
      </c>
      <c r="BH921" s="1825">
        <f>BI900/BD900-1</f>
        <v/>
      </c>
      <c r="BI921" s="1824">
        <f>BI900/BD900-1</f>
        <v/>
      </c>
      <c r="BJ921" s="1825">
        <f>BN900/BI900-1</f>
        <v/>
      </c>
      <c r="BK921" s="1825">
        <f>BN900/BI900-1</f>
        <v/>
      </c>
      <c r="BL921" s="1825">
        <f>BN900/BI900-1</f>
        <v/>
      </c>
      <c r="BM921" s="1825">
        <f>BN900/BI900-1</f>
        <v/>
      </c>
      <c r="BN921" s="1824">
        <f>BN900/BI900-1</f>
        <v/>
      </c>
      <c r="BO921" s="1825">
        <f>BS900/BN900-1</f>
        <v/>
      </c>
      <c r="BP921" s="1825">
        <f>BS900/BN900-1</f>
        <v/>
      </c>
      <c r="BQ921" s="1826">
        <f>BS900/BN900-1</f>
        <v/>
      </c>
      <c r="BR921" s="1825">
        <f>BS900/BN900-1</f>
        <v/>
      </c>
      <c r="BS921" s="1824">
        <f>BS900/BN900-1</f>
        <v/>
      </c>
      <c r="BT921" s="1825">
        <f>BX900/BS900-1</f>
        <v/>
      </c>
      <c r="BU921" s="1825">
        <f>BX900/BS900-1</f>
        <v/>
      </c>
      <c r="BV921" s="1825">
        <f>BX900/BS900-1</f>
        <v/>
      </c>
      <c r="BW921" s="1825">
        <f>BX900/BS900-1</f>
        <v/>
      </c>
      <c r="BX921" s="1824">
        <f>BX900/BS900-1</f>
        <v/>
      </c>
      <c r="BY921" s="1824">
        <f>BY900/BX900-1</f>
        <v/>
      </c>
      <c r="BZ921" s="1824">
        <f>BZ900/BY900-1</f>
        <v/>
      </c>
      <c r="CA921" s="1824">
        <f>CA900/BZ900-1</f>
        <v/>
      </c>
      <c r="CB921" s="1361" t="n"/>
    </row>
    <row r="922" hidden="1" outlineLevel="2" ht="15" customFormat="1" customHeight="1" s="1359">
      <c r="A922" s="545" t="n"/>
      <c r="B922" s="1512" t="n"/>
      <c r="C922" s="1379" t="n"/>
      <c r="D922" s="1379" t="n"/>
      <c r="E922" s="1379" t="n"/>
      <c r="F922" s="1379" t="n"/>
      <c r="G922" s="1361" t="n"/>
      <c r="H922" s="1361" t="n"/>
      <c r="I922" s="1361" t="n"/>
      <c r="J922" s="1361" t="n"/>
      <c r="K922" s="1379" t="n"/>
      <c r="L922" s="1361" t="n"/>
      <c r="M922" s="1361" t="n"/>
      <c r="N922" s="1361" t="n"/>
      <c r="O922" s="1361" t="n"/>
      <c r="P922" s="1379" t="n"/>
      <c r="Q922" s="1361" t="n"/>
      <c r="R922" s="1361" t="n"/>
      <c r="S922" s="1361" t="n"/>
      <c r="T922" s="1361" t="n"/>
      <c r="U922" s="1379" t="n"/>
      <c r="V922" s="1361" t="n"/>
      <c r="W922" s="1361" t="n"/>
      <c r="X922" s="1361" t="n"/>
      <c r="Y922" s="1361" t="n"/>
      <c r="Z922" s="1379" t="n"/>
      <c r="AA922" s="1361" t="n"/>
      <c r="AB922" s="1361" t="n"/>
      <c r="AC922" s="1361" t="n"/>
      <c r="AD922" s="1361" t="n"/>
      <c r="AE922" s="1379" t="n"/>
      <c r="AF922" s="1361" t="n"/>
      <c r="AG922" s="1361" t="n"/>
      <c r="AH922" s="1361" t="n"/>
      <c r="AI922" s="1361" t="n"/>
      <c r="AJ922" s="1379" t="n"/>
      <c r="AK922" s="1361" t="n"/>
      <c r="AL922" s="1361" t="n"/>
      <c r="AM922" s="1361" t="n"/>
      <c r="AN922" s="1361" t="n"/>
      <c r="AO922" s="1379" t="n"/>
      <c r="AP922" s="1361" t="n"/>
      <c r="AQ922" s="1361" t="n"/>
      <c r="AR922" s="1361" t="n"/>
      <c r="AS922" s="1361" t="n"/>
      <c r="AT922" s="1379" t="n"/>
      <c r="AU922" s="1361" t="n"/>
      <c r="AV922" s="1361" t="n"/>
      <c r="AW922" s="1361" t="n"/>
      <c r="AX922" s="1361" t="n"/>
      <c r="AY922" s="1379" t="n"/>
      <c r="AZ922" s="1361" t="n"/>
      <c r="BA922" s="1361" t="n"/>
      <c r="BB922" s="1361" t="n"/>
      <c r="BC922" s="1361" t="n"/>
      <c r="BD922" s="1379" t="n"/>
      <c r="BE922" s="1361" t="n"/>
      <c r="BF922" s="1361" t="n"/>
      <c r="BG922" s="1361" t="n"/>
      <c r="BH922" s="1361" t="n"/>
      <c r="BI922" s="1379" t="n"/>
      <c r="BJ922" s="1361" t="n"/>
      <c r="BK922" s="1361" t="n"/>
      <c r="BL922" s="1361" t="n"/>
      <c r="BM922" s="1361" t="n"/>
      <c r="BN922" s="1379" t="n"/>
      <c r="BO922" s="1361" t="n"/>
      <c r="BP922" s="1361" t="n"/>
      <c r="BQ922" s="1363" t="n"/>
      <c r="BR922" s="1361" t="n"/>
      <c r="BS922" s="1379" t="n"/>
      <c r="BT922" s="1361" t="n"/>
      <c r="BU922" s="1361" t="n"/>
      <c r="BV922" s="1361" t="n"/>
      <c r="BW922" s="1361" t="n"/>
      <c r="BX922" s="1379" t="n"/>
      <c r="BY922" s="1379" t="n"/>
      <c r="BZ922" s="1379" t="n"/>
      <c r="CA922" s="1379" t="n"/>
      <c r="CB922" s="1361" t="n"/>
    </row>
    <row r="923" hidden="1" outlineLevel="2" ht="15" customFormat="1" customHeight="1" s="1359">
      <c r="A923" s="1783" t="inlineStr">
        <is>
          <t>Forward annual guidance - applicable period, period</t>
        </is>
      </c>
      <c r="B923" s="1784" t="n"/>
      <c r="C923" s="1785" t="n"/>
      <c r="D923" s="1785" t="n"/>
      <c r="E923" s="1785" t="n"/>
      <c r="F923" s="1785" t="n"/>
      <c r="G923" s="1786" t="n"/>
      <c r="H923" s="1786" t="n"/>
      <c r="I923" s="1786" t="n"/>
      <c r="J923" s="1786" t="n"/>
      <c r="K923" s="1785" t="n"/>
      <c r="L923" s="1786" t="n"/>
      <c r="M923" s="1786" t="n"/>
      <c r="N923" s="1786" t="n"/>
      <c r="O923" s="1786" t="n"/>
      <c r="P923" s="1785" t="n"/>
      <c r="Q923" s="1786" t="n"/>
      <c r="R923" s="1786" t="n"/>
      <c r="S923" s="1786" t="n"/>
      <c r="T923" s="1786" t="n"/>
      <c r="U923" s="1785" t="n"/>
      <c r="V923" s="1786" t="n"/>
      <c r="W923" s="1786" t="n"/>
      <c r="X923" s="1786" t="n"/>
      <c r="Y923" s="1786" t="n"/>
      <c r="Z923" s="1785" t="n"/>
      <c r="AA923" s="1786" t="n"/>
      <c r="AB923" s="1786" t="n"/>
      <c r="AC923" s="1786">
        <f>AE5</f>
        <v/>
      </c>
      <c r="AD923" s="1786">
        <f>AJ5</f>
        <v/>
      </c>
      <c r="AE923" s="1785">
        <f>AJ5</f>
        <v/>
      </c>
      <c r="AF923" s="1786">
        <f>AJ5</f>
        <v/>
      </c>
      <c r="AG923" s="1786">
        <f>AJ5</f>
        <v/>
      </c>
      <c r="AH923" s="1786">
        <f>AJ5</f>
        <v/>
      </c>
      <c r="AI923" s="1786">
        <f>AO5</f>
        <v/>
      </c>
      <c r="AJ923" s="1785">
        <f>AO5</f>
        <v/>
      </c>
      <c r="AK923" s="1786">
        <f>AO5</f>
        <v/>
      </c>
      <c r="AL923" s="1786">
        <f>AO5</f>
        <v/>
      </c>
      <c r="AM923" s="1786">
        <f>AO5</f>
        <v/>
      </c>
      <c r="AN923" s="1786">
        <f>AT5</f>
        <v/>
      </c>
      <c r="AO923" s="1785">
        <f>AT5</f>
        <v/>
      </c>
      <c r="AP923" s="1786">
        <f>AT5</f>
        <v/>
      </c>
      <c r="AQ923" s="1786">
        <f>AT5</f>
        <v/>
      </c>
      <c r="AR923" s="1786">
        <f>AT5</f>
        <v/>
      </c>
      <c r="AS923" s="1786">
        <f>AY5</f>
        <v/>
      </c>
      <c r="AT923" s="1785">
        <f>AY5</f>
        <v/>
      </c>
      <c r="AU923" s="1786">
        <f>AY5</f>
        <v/>
      </c>
      <c r="AV923" s="1786">
        <f>AY5</f>
        <v/>
      </c>
      <c r="AW923" s="1786">
        <f>AY5</f>
        <v/>
      </c>
      <c r="AX923" s="1786">
        <f>BD5</f>
        <v/>
      </c>
      <c r="AY923" s="1785">
        <f>BD5</f>
        <v/>
      </c>
      <c r="AZ923" s="1786">
        <f>BD5</f>
        <v/>
      </c>
      <c r="BA923" s="1786">
        <f>BD5</f>
        <v/>
      </c>
      <c r="BB923" s="1786">
        <f>BD5</f>
        <v/>
      </c>
      <c r="BC923" s="1786">
        <f>BI5</f>
        <v/>
      </c>
      <c r="BD923" s="1785">
        <f>BI5</f>
        <v/>
      </c>
      <c r="BE923" s="1786">
        <f>BI5</f>
        <v/>
      </c>
      <c r="BF923" s="1786">
        <f>BI5</f>
        <v/>
      </c>
      <c r="BG923" s="1786">
        <f>BI5</f>
        <v/>
      </c>
      <c r="BH923" s="1786">
        <f>BN5</f>
        <v/>
      </c>
      <c r="BI923" s="1785">
        <f>BN5</f>
        <v/>
      </c>
      <c r="BJ923" s="1786">
        <f>BN5</f>
        <v/>
      </c>
      <c r="BK923" s="1786">
        <f>BN5</f>
        <v/>
      </c>
      <c r="BL923" s="1786">
        <f>BN5</f>
        <v/>
      </c>
      <c r="BM923" s="1786">
        <f>BS5</f>
        <v/>
      </c>
      <c r="BN923" s="1785">
        <f>BS5</f>
        <v/>
      </c>
      <c r="BO923" s="1786">
        <f>BS5</f>
        <v/>
      </c>
      <c r="BP923" s="1786">
        <f>BS5</f>
        <v/>
      </c>
      <c r="BQ923" s="1787">
        <f>BS5</f>
        <v/>
      </c>
      <c r="BR923" s="1786" t="n"/>
      <c r="BS923" s="1785" t="n"/>
      <c r="BT923" s="1786" t="n"/>
      <c r="BU923" s="1786" t="n"/>
      <c r="BV923" s="1786" t="n"/>
      <c r="BW923" s="1786" t="n"/>
      <c r="BX923" s="1785" t="n"/>
      <c r="BY923" s="1785" t="n"/>
      <c r="BZ923" s="1785" t="n"/>
      <c r="CA923" s="1785" t="n"/>
      <c r="CB923" s="1361" t="n"/>
    </row>
    <row r="924" hidden="1" outlineLevel="3" ht="15" customFormat="1" customHeight="1" s="1359">
      <c r="A924" s="1474" t="inlineStr">
        <is>
          <t>Forward annual capex guidance - low, mm</t>
        </is>
      </c>
      <c r="B924" s="1512" t="n"/>
      <c r="C924" s="1379" t="n"/>
      <c r="D924" s="1379" t="n"/>
      <c r="E924" s="1379" t="n"/>
      <c r="F924" s="1379" t="n"/>
      <c r="G924" s="1361" t="n"/>
      <c r="H924" s="1361" t="n"/>
      <c r="I924" s="1361" t="n"/>
      <c r="J924" s="1361" t="n"/>
      <c r="K924" s="1379" t="n"/>
      <c r="L924" s="1361" t="n"/>
      <c r="M924" s="1361" t="n"/>
      <c r="N924" s="1361" t="n"/>
      <c r="O924" s="1361" t="n"/>
      <c r="P924" s="1379" t="n"/>
      <c r="Q924" s="1361" t="n"/>
      <c r="R924" s="1361" t="n"/>
      <c r="S924" s="1361" t="n"/>
      <c r="T924" s="1361" t="n"/>
      <c r="U924" s="1379" t="n"/>
      <c r="V924" s="1361" t="n"/>
      <c r="W924" s="1361" t="n"/>
      <c r="X924" s="1361" t="n"/>
      <c r="Y924" s="1361" t="n"/>
      <c r="Z924" s="1379" t="n"/>
      <c r="AA924" s="1361" t="n"/>
      <c r="AB924" s="1361" t="n"/>
      <c r="AC924" s="1361" t="n"/>
      <c r="AD924" s="1361" t="n"/>
      <c r="AE924" s="1379" t="n"/>
      <c r="AF924" s="1361" t="n"/>
      <c r="AG924" s="1361" t="n"/>
      <c r="AH924" s="1361" t="n"/>
      <c r="AI924" s="1361" t="n"/>
      <c r="AJ924" s="1379" t="n"/>
      <c r="AK924" s="1361" t="n"/>
      <c r="AL924" s="1361" t="n"/>
      <c r="AM924" s="1361" t="n"/>
      <c r="AN924" s="1361" t="n"/>
      <c r="AO924" s="1379" t="n"/>
      <c r="AP924" s="1361" t="n"/>
      <c r="AQ924" s="1361">
        <f>-AQ1367</f>
        <v/>
      </c>
      <c r="AR924" s="1361">
        <f>-AR1367</f>
        <v/>
      </c>
      <c r="AS924" s="1361">
        <f>-AS1367</f>
        <v/>
      </c>
      <c r="AT924" s="1379">
        <f>-AT1367</f>
        <v/>
      </c>
      <c r="AU924" s="1361">
        <f>-AU1367</f>
        <v/>
      </c>
      <c r="AV924" s="1361">
        <f>-AV1367</f>
        <v/>
      </c>
      <c r="AW924" s="1361">
        <f>-AW1367</f>
        <v/>
      </c>
      <c r="AX924" s="1361">
        <f>-AX1367</f>
        <v/>
      </c>
      <c r="AY924" s="1379">
        <f>-AY1367</f>
        <v/>
      </c>
      <c r="AZ924" s="1361">
        <f>-AZ1367</f>
        <v/>
      </c>
      <c r="BA924" s="1361">
        <f>-BA1367</f>
        <v/>
      </c>
      <c r="BB924" s="1361">
        <f>-BB1367</f>
        <v/>
      </c>
      <c r="BC924" s="1361">
        <f>-BC1367</f>
        <v/>
      </c>
      <c r="BD924" s="1379">
        <f>-BD1367</f>
        <v/>
      </c>
      <c r="BE924" s="1361">
        <f>-BE1367</f>
        <v/>
      </c>
      <c r="BF924" s="1361">
        <f>-BF1367</f>
        <v/>
      </c>
      <c r="BG924" s="1361">
        <f>-BG1367</f>
        <v/>
      </c>
      <c r="BH924" s="1361">
        <f>-BH1367</f>
        <v/>
      </c>
      <c r="BI924" s="1379">
        <f>-BI1367</f>
        <v/>
      </c>
      <c r="BJ924" s="1361">
        <f>-BJ1367</f>
        <v/>
      </c>
      <c r="BK924" s="1361">
        <f>-BK1367</f>
        <v/>
      </c>
      <c r="BL924" s="1361">
        <f>-BL1367</f>
        <v/>
      </c>
      <c r="BM924" s="1361">
        <f>-BM1367</f>
        <v/>
      </c>
      <c r="BN924" s="1379">
        <f>-BN1367</f>
        <v/>
      </c>
      <c r="BO924" s="1361">
        <f>-BO1367</f>
        <v/>
      </c>
      <c r="BP924" s="1361">
        <f>-BP1367</f>
        <v/>
      </c>
      <c r="BQ924" s="1363">
        <f>-BQ1367</f>
        <v/>
      </c>
      <c r="BR924" s="1361" t="n"/>
      <c r="BS924" s="1379" t="n"/>
      <c r="BT924" s="1361" t="n"/>
      <c r="BU924" s="1361" t="n"/>
      <c r="BV924" s="1361" t="n"/>
      <c r="BW924" s="1361" t="n"/>
      <c r="BX924" s="1379" t="n"/>
      <c r="BY924" s="1379" t="n"/>
      <c r="BZ924" s="1379" t="n"/>
      <c r="CA924" s="1379" t="n"/>
      <c r="CB924" s="1361" t="n"/>
    </row>
    <row r="925" hidden="1" outlineLevel="3" ht="15" customFormat="1" customHeight="1" s="1359">
      <c r="A925" s="1478" t="inlineStr">
        <is>
          <t>Forward annual capex guidance - high, mm</t>
        </is>
      </c>
      <c r="B925" s="1514" t="n"/>
      <c r="C925" s="1455" t="n"/>
      <c r="D925" s="1455" t="n"/>
      <c r="E925" s="1455" t="n"/>
      <c r="F925" s="1455" t="n"/>
      <c r="G925" s="1456" t="n"/>
      <c r="H925" s="1456" t="n"/>
      <c r="I925" s="1456" t="n"/>
      <c r="J925" s="1456" t="n"/>
      <c r="K925" s="1455" t="n"/>
      <c r="L925" s="1456" t="n"/>
      <c r="M925" s="1456" t="n"/>
      <c r="N925" s="1456" t="n"/>
      <c r="O925" s="1456" t="n"/>
      <c r="P925" s="1455" t="n"/>
      <c r="Q925" s="1456" t="n"/>
      <c r="R925" s="1456" t="n"/>
      <c r="S925" s="1456" t="n"/>
      <c r="T925" s="1456" t="n"/>
      <c r="U925" s="1455" t="n"/>
      <c r="V925" s="1456" t="n"/>
      <c r="W925" s="1456" t="n"/>
      <c r="X925" s="1456" t="n"/>
      <c r="Y925" s="1456" t="n"/>
      <c r="Z925" s="1455" t="n"/>
      <c r="AA925" s="1456" t="n"/>
      <c r="AB925" s="1456" t="n"/>
      <c r="AC925" s="1456" t="n"/>
      <c r="AD925" s="1456" t="n"/>
      <c r="AE925" s="1455" t="n"/>
      <c r="AF925" s="1456" t="n"/>
      <c r="AG925" s="1456" t="n"/>
      <c r="AH925" s="1456" t="n"/>
      <c r="AI925" s="1456" t="n"/>
      <c r="AJ925" s="1455" t="n"/>
      <c r="AK925" s="1456" t="n"/>
      <c r="AL925" s="1456" t="n"/>
      <c r="AM925" s="1456" t="n"/>
      <c r="AN925" s="1456" t="n"/>
      <c r="AO925" s="1455" t="n"/>
      <c r="AP925" s="1456" t="n"/>
      <c r="AQ925" s="1456">
        <f>-AQ1368</f>
        <v/>
      </c>
      <c r="AR925" s="1456">
        <f>-AR1368</f>
        <v/>
      </c>
      <c r="AS925" s="1456">
        <f>-AS1368</f>
        <v/>
      </c>
      <c r="AT925" s="1455">
        <f>-AT1368</f>
        <v/>
      </c>
      <c r="AU925" s="1456">
        <f>-AU1368</f>
        <v/>
      </c>
      <c r="AV925" s="1456">
        <f>-AV1368</f>
        <v/>
      </c>
      <c r="AW925" s="1456">
        <f>-AW1368</f>
        <v/>
      </c>
      <c r="AX925" s="1456">
        <f>-AX1368</f>
        <v/>
      </c>
      <c r="AY925" s="1455">
        <f>-AY1368</f>
        <v/>
      </c>
      <c r="AZ925" s="1456">
        <f>-AZ1368</f>
        <v/>
      </c>
      <c r="BA925" s="1456">
        <f>-BA1368</f>
        <v/>
      </c>
      <c r="BB925" s="1456">
        <f>-BB1368</f>
        <v/>
      </c>
      <c r="BC925" s="1456">
        <f>-BC1368</f>
        <v/>
      </c>
      <c r="BD925" s="1455">
        <f>-BD1368</f>
        <v/>
      </c>
      <c r="BE925" s="1456">
        <f>-BE1368</f>
        <v/>
      </c>
      <c r="BF925" s="1456">
        <f>-BF1368</f>
        <v/>
      </c>
      <c r="BG925" s="1456">
        <f>-BG1368</f>
        <v/>
      </c>
      <c r="BH925" s="1456">
        <f>-BH1368</f>
        <v/>
      </c>
      <c r="BI925" s="1455">
        <f>-BI1368</f>
        <v/>
      </c>
      <c r="BJ925" s="1456">
        <f>-BJ1368</f>
        <v/>
      </c>
      <c r="BK925" s="1456">
        <f>-BK1368</f>
        <v/>
      </c>
      <c r="BL925" s="1456">
        <f>-BL1368</f>
        <v/>
      </c>
      <c r="BM925" s="1456">
        <f>-BM1368</f>
        <v/>
      </c>
      <c r="BN925" s="1455">
        <f>-BN1368</f>
        <v/>
      </c>
      <c r="BO925" s="1456">
        <f>-BO1368</f>
        <v/>
      </c>
      <c r="BP925" s="1456">
        <f>-BP1368</f>
        <v/>
      </c>
      <c r="BQ925" s="1457">
        <f>-BQ1368</f>
        <v/>
      </c>
      <c r="BR925" s="1456" t="n"/>
      <c r="BS925" s="1455" t="n"/>
      <c r="BT925" s="1456" t="n"/>
      <c r="BU925" s="1456" t="n"/>
      <c r="BV925" s="1456" t="n"/>
      <c r="BW925" s="1456" t="n"/>
      <c r="BX925" s="1455" t="n"/>
      <c r="BY925" s="1455" t="n"/>
      <c r="BZ925" s="1455" t="n"/>
      <c r="CA925" s="1455" t="n"/>
      <c r="CB925" s="1361" t="n"/>
    </row>
    <row r="926" hidden="1" outlineLevel="2" collapsed="1" ht="15" customFormat="1" customHeight="1" s="1359">
      <c r="A926" s="1447" t="inlineStr">
        <is>
          <t>Forward annual capex guidance - midpoint, mm</t>
        </is>
      </c>
      <c r="B926" s="1517" t="n"/>
      <c r="C926" s="1449">
        <f>IFERROR(AVERAGE(C924,C925),"")</f>
        <v/>
      </c>
      <c r="D926" s="1449">
        <f>IFERROR(AVERAGE(D924,D925),"")</f>
        <v/>
      </c>
      <c r="E926" s="1449">
        <f>IFERROR(AVERAGE(E924,E925),"")</f>
        <v/>
      </c>
      <c r="F926" s="1449">
        <f>IFERROR(AVERAGE(F924,F925),"")</f>
        <v/>
      </c>
      <c r="G926" s="1450">
        <f>IFERROR(AVERAGE(G924,G925),"")</f>
        <v/>
      </c>
      <c r="H926" s="1450">
        <f>IFERROR(AVERAGE(H924,H925),"")</f>
        <v/>
      </c>
      <c r="I926" s="1450">
        <f>IFERROR(AVERAGE(I924,I925),"")</f>
        <v/>
      </c>
      <c r="J926" s="1450">
        <f>IFERROR(AVERAGE(J924,J925),"")</f>
        <v/>
      </c>
      <c r="K926" s="1449">
        <f>IFERROR(AVERAGE(K924,K925),"")</f>
        <v/>
      </c>
      <c r="L926" s="1450">
        <f>IFERROR(AVERAGE(L924,L925),"")</f>
        <v/>
      </c>
      <c r="M926" s="1450">
        <f>IFERROR(AVERAGE(M924,M925),"")</f>
        <v/>
      </c>
      <c r="N926" s="1450">
        <f>IFERROR(AVERAGE(N924,N925),"")</f>
        <v/>
      </c>
      <c r="O926" s="1450">
        <f>IFERROR(AVERAGE(O924,O925),"")</f>
        <v/>
      </c>
      <c r="P926" s="1449">
        <f>IFERROR(AVERAGE(P924,P925),"")</f>
        <v/>
      </c>
      <c r="Q926" s="1450">
        <f>IFERROR(AVERAGE(Q924,Q925),"")</f>
        <v/>
      </c>
      <c r="R926" s="1450">
        <f>IFERROR(AVERAGE(R924,R925),"")</f>
        <v/>
      </c>
      <c r="S926" s="1450">
        <f>IFERROR(AVERAGE(S924,S925),"")</f>
        <v/>
      </c>
      <c r="T926" s="1450">
        <f>IFERROR(AVERAGE(T924,T925),"")</f>
        <v/>
      </c>
      <c r="U926" s="1449">
        <f>IFERROR(AVERAGE(U924,U925),"")</f>
        <v/>
      </c>
      <c r="V926" s="1450">
        <f>IFERROR(AVERAGE(V924,V925),"")</f>
        <v/>
      </c>
      <c r="W926" s="1450">
        <f>IFERROR(AVERAGE(W924,W925),"")</f>
        <v/>
      </c>
      <c r="X926" s="1450">
        <f>IFERROR(AVERAGE(X924,X925),"")</f>
        <v/>
      </c>
      <c r="Y926" s="1450">
        <f>IFERROR(AVERAGE(Y924,Y925),"")</f>
        <v/>
      </c>
      <c r="Z926" s="1449">
        <f>IFERROR(AVERAGE(Z924,Z925),"")</f>
        <v/>
      </c>
      <c r="AA926" s="1450">
        <f>IFERROR(AVERAGE(AA924,AA925),"")</f>
        <v/>
      </c>
      <c r="AB926" s="1450">
        <f>IFERROR(AVERAGE(AB924,AB925),"")</f>
        <v/>
      </c>
      <c r="AC926" s="1450">
        <f>IFERROR(AVERAGE(AC924,AC925),"")</f>
        <v/>
      </c>
      <c r="AD926" s="1450">
        <f>IFERROR(AVERAGE(AD924,AD925),"")</f>
        <v/>
      </c>
      <c r="AE926" s="1449">
        <f>IFERROR(AVERAGE(AE924,AE925),"")</f>
        <v/>
      </c>
      <c r="AF926" s="1450">
        <f>IFERROR(AVERAGE(AF924,AF925),"")</f>
        <v/>
      </c>
      <c r="AG926" s="1450">
        <f>IFERROR(AVERAGE(AG924,AG925),"")</f>
        <v/>
      </c>
      <c r="AH926" s="1450">
        <f>IFERROR(AVERAGE(AH924,AH925),"")</f>
        <v/>
      </c>
      <c r="AI926" s="1450">
        <f>IFERROR(AVERAGE(AI924,AI925),"")</f>
        <v/>
      </c>
      <c r="AJ926" s="1449">
        <f>IFERROR(AVERAGE(AJ924,AJ925),"")</f>
        <v/>
      </c>
      <c r="AK926" s="1450">
        <f>IFERROR(AVERAGE(AK924,AK925),"")</f>
        <v/>
      </c>
      <c r="AL926" s="1450">
        <f>IFERROR(AVERAGE(AL924,AL925),"")</f>
        <v/>
      </c>
      <c r="AM926" s="1450">
        <f>IFERROR(AVERAGE(AM924,AM925),"")</f>
        <v/>
      </c>
      <c r="AN926" s="1450">
        <f>IFERROR(AVERAGE(AN924,AN925),"")</f>
        <v/>
      </c>
      <c r="AO926" s="1449">
        <f>IFERROR(AVERAGE(AO924,AO925),"")</f>
        <v/>
      </c>
      <c r="AP926" s="1450">
        <f>IFERROR(AVERAGE(AP924,AP925),"")</f>
        <v/>
      </c>
      <c r="AQ926" s="1450">
        <f>IFERROR(AVERAGE(AQ924,AQ925),"")</f>
        <v/>
      </c>
      <c r="AR926" s="1450">
        <f>IFERROR(AVERAGE(AR924,AR925),"")</f>
        <v/>
      </c>
      <c r="AS926" s="1450">
        <f>IFERROR(AVERAGE(AS924,AS925),"")</f>
        <v/>
      </c>
      <c r="AT926" s="1449">
        <f>IFERROR(AVERAGE(AT924,AT925),"")</f>
        <v/>
      </c>
      <c r="AU926" s="1450">
        <f>IFERROR(AVERAGE(AU924,AU925),"")</f>
        <v/>
      </c>
      <c r="AV926" s="1450">
        <f>IFERROR(AVERAGE(AV924,AV925),"")</f>
        <v/>
      </c>
      <c r="AW926" s="1450">
        <f>IFERROR(AVERAGE(AW924,AW925),"")</f>
        <v/>
      </c>
      <c r="AX926" s="1450">
        <f>IFERROR(AVERAGE(AX924,AX925),"")</f>
        <v/>
      </c>
      <c r="AY926" s="1449">
        <f>IFERROR(AVERAGE(AY924,AY925),"")</f>
        <v/>
      </c>
      <c r="AZ926" s="1450">
        <f>IFERROR(AVERAGE(AZ924,AZ925),"")</f>
        <v/>
      </c>
      <c r="BA926" s="1450">
        <f>IFERROR(AVERAGE(BA924,BA925),"")</f>
        <v/>
      </c>
      <c r="BB926" s="1450">
        <f>IFERROR(AVERAGE(BB924,BB925),"")</f>
        <v/>
      </c>
      <c r="BC926" s="1450">
        <f>IFERROR(AVERAGE(BC924,BC925),"")</f>
        <v/>
      </c>
      <c r="BD926" s="1449">
        <f>IFERROR(AVERAGE(BD924,BD925),"")</f>
        <v/>
      </c>
      <c r="BE926" s="1450">
        <f>IFERROR(AVERAGE(BE924,BE925),"")</f>
        <v/>
      </c>
      <c r="BF926" s="1450">
        <f>IFERROR(AVERAGE(BF924,BF925),"")</f>
        <v/>
      </c>
      <c r="BG926" s="1450">
        <f>IFERROR(AVERAGE(BG924,BG925),"")</f>
        <v/>
      </c>
      <c r="BH926" s="1450">
        <f>IFERROR(AVERAGE(BH924,BH925),"")</f>
        <v/>
      </c>
      <c r="BI926" s="1449">
        <f>IFERROR(AVERAGE(BI924,BI925),"")</f>
        <v/>
      </c>
      <c r="BJ926" s="1450">
        <f>IFERROR(AVERAGE(BJ924,BJ925),"")</f>
        <v/>
      </c>
      <c r="BK926" s="1450">
        <f>IFERROR(AVERAGE(BK924,BK925),"")</f>
        <v/>
      </c>
      <c r="BL926" s="1450">
        <f>IFERROR(AVERAGE(BL924,BL925),"")</f>
        <v/>
      </c>
      <c r="BM926" s="1450">
        <f>IFERROR(AVERAGE(BM924,BM925),"")</f>
        <v/>
      </c>
      <c r="BN926" s="1449">
        <f>IFERROR(AVERAGE(BN924,BN925),"")</f>
        <v/>
      </c>
      <c r="BO926" s="1450">
        <f>IFERROR(AVERAGE(BO924,BO925),"")</f>
        <v/>
      </c>
      <c r="BP926" s="1450">
        <f>IFERROR(AVERAGE(BP924,BP925),"")</f>
        <v/>
      </c>
      <c r="BQ926" s="1451">
        <f>IFERROR(AVERAGE(BQ924,BQ925),"")</f>
        <v/>
      </c>
      <c r="BR926" s="1450" t="n"/>
      <c r="BS926" s="1449" t="n"/>
      <c r="BT926" s="1450" t="n"/>
      <c r="BU926" s="1450" t="n"/>
      <c r="BV926" s="1450" t="n"/>
      <c r="BW926" s="1450" t="n"/>
      <c r="BX926" s="1449" t="n"/>
      <c r="BY926" s="1449" t="n"/>
      <c r="BZ926" s="1449" t="n"/>
      <c r="CA926" s="1449" t="n"/>
      <c r="CB926" s="1361" t="n"/>
    </row>
    <row r="927" hidden="1" outlineLevel="2" ht="15" customFormat="1" customHeight="1" s="1359">
      <c r="A927" s="1474" t="inlineStr">
        <is>
          <t>Forward annual capex guidance variance, mm</t>
        </is>
      </c>
      <c r="B927" s="1512" t="n"/>
      <c r="C927" s="1379" t="n"/>
      <c r="D927" s="1379" t="n"/>
      <c r="E927" s="1379" t="n"/>
      <c r="F927" s="1379" t="n"/>
      <c r="G927" s="1361" t="n"/>
      <c r="H927" s="1361" t="n"/>
      <c r="I927" s="1361" t="n"/>
      <c r="J927" s="1361" t="n"/>
      <c r="K927" s="1379" t="n"/>
      <c r="L927" s="1361" t="n"/>
      <c r="M927" s="1361" t="n"/>
      <c r="N927" s="1361" t="n"/>
      <c r="O927" s="1361" t="n"/>
      <c r="P927" s="1379" t="n"/>
      <c r="Q927" s="1361" t="n"/>
      <c r="R927" s="1361" t="n"/>
      <c r="S927" s="1361" t="n"/>
      <c r="T927" s="1361" t="n"/>
      <c r="U927" s="1379" t="n"/>
      <c r="V927" s="1361" t="n"/>
      <c r="W927" s="1361" t="n"/>
      <c r="X927" s="1361" t="n"/>
      <c r="Y927" s="1361" t="n"/>
      <c r="Z927" s="1379" t="n"/>
      <c r="AA927" s="1361" t="n"/>
      <c r="AB927" s="1361" t="n"/>
      <c r="AC927" s="1361" t="n"/>
      <c r="AD927" s="1361" t="n"/>
      <c r="AE927" s="1379" t="n"/>
      <c r="AF927" s="1361" t="n"/>
      <c r="AG927" s="1361" t="n"/>
      <c r="AH927" s="1361" t="n"/>
      <c r="AI927" s="1361" t="n"/>
      <c r="AJ927" s="1379" t="n"/>
      <c r="AK927" s="1361" t="n"/>
      <c r="AL927" s="1361" t="n"/>
      <c r="AM927" s="1361" t="n"/>
      <c r="AN927" s="1361" t="n"/>
      <c r="AO927" s="1379" t="n"/>
      <c r="AP927" s="1361" t="n"/>
      <c r="AQ927" s="1361">
        <f>IFERROR(ABS(AQ925-AQ924),"")</f>
        <v/>
      </c>
      <c r="AR927" s="1361">
        <f>IFERROR(ABS(AR925-AR924),"")</f>
        <v/>
      </c>
      <c r="AS927" s="1361">
        <f>IFERROR(ABS(AS925-AS924),"")</f>
        <v/>
      </c>
      <c r="AT927" s="1379">
        <f>IFERROR(ABS(AT925-AT924),"")</f>
        <v/>
      </c>
      <c r="AU927" s="1361">
        <f>IFERROR(ABS(AU925-AU924),"")</f>
        <v/>
      </c>
      <c r="AV927" s="1361">
        <f>IFERROR(ABS(AV925-AV924),"")</f>
        <v/>
      </c>
      <c r="AW927" s="1361">
        <f>IFERROR(ABS(AW925-AW924),"")</f>
        <v/>
      </c>
      <c r="AX927" s="1361">
        <f>IFERROR(ABS(AX925-AX924),"")</f>
        <v/>
      </c>
      <c r="AY927" s="1379">
        <f>IFERROR(ABS(AY925-AY924),"")</f>
        <v/>
      </c>
      <c r="AZ927" s="1361">
        <f>IFERROR(ABS(AZ925-AZ924),"")</f>
        <v/>
      </c>
      <c r="BA927" s="1361">
        <f>IFERROR(ABS(BA925-BA924),"")</f>
        <v/>
      </c>
      <c r="BB927" s="1361">
        <f>IFERROR(ABS(BB925-BB924),"")</f>
        <v/>
      </c>
      <c r="BC927" s="1361">
        <f>IFERROR(ABS(BC925-BC924),"")</f>
        <v/>
      </c>
      <c r="BD927" s="1379">
        <f>IFERROR(ABS(BD925-BD924),"")</f>
        <v/>
      </c>
      <c r="BE927" s="1361">
        <f>IFERROR(ABS(BE925-BE924),"")</f>
        <v/>
      </c>
      <c r="BF927" s="1361">
        <f>IFERROR(ABS(BF925-BF924),"")</f>
        <v/>
      </c>
      <c r="BG927" s="1361">
        <f>IFERROR(ABS(BG925-BG924),"")</f>
        <v/>
      </c>
      <c r="BH927" s="1361">
        <f>IFERROR(ABS(BH925-BH924),"")</f>
        <v/>
      </c>
      <c r="BI927" s="1379">
        <f>IFERROR(ABS(BI925-BI924),"")</f>
        <v/>
      </c>
      <c r="BJ927" s="1361">
        <f>IFERROR(ABS(BJ925-BJ924),"")</f>
        <v/>
      </c>
      <c r="BK927" s="1361">
        <f>IFERROR(ABS(BK925-BK924),"")</f>
        <v/>
      </c>
      <c r="BL927" s="1361">
        <f>IFERROR(ABS(BL925-BL924),"")</f>
        <v/>
      </c>
      <c r="BM927" s="1361">
        <f>IFERROR(ABS(BM925-BM924),"")</f>
        <v/>
      </c>
      <c r="BN927" s="1379">
        <f>IFERROR(ABS(BN925-BN924),"")</f>
        <v/>
      </c>
      <c r="BO927" s="1361">
        <f>IFERROR(ABS(BO925-BO924),"")</f>
        <v/>
      </c>
      <c r="BP927" s="1361">
        <f>IFERROR(ABS(BP925-BP924),"")</f>
        <v/>
      </c>
      <c r="BQ927" s="1363">
        <f>IFERROR(ABS(BQ925-BQ924),"")</f>
        <v/>
      </c>
      <c r="BR927" s="1361" t="n"/>
      <c r="BS927" s="1379" t="n"/>
      <c r="BT927" s="1361" t="n"/>
      <c r="BU927" s="1361" t="n"/>
      <c r="BV927" s="1361" t="n"/>
      <c r="BW927" s="1361" t="n"/>
      <c r="BX927" s="1379" t="n"/>
      <c r="BY927" s="1379" t="n"/>
      <c r="BZ927" s="1379" t="n"/>
      <c r="CA927" s="1379" t="n"/>
      <c r="CB927" s="1361" t="n"/>
    </row>
    <row r="928" hidden="1" outlineLevel="2" ht="15" customFormat="1" customHeight="1" s="1359">
      <c r="A928" s="1486" t="inlineStr">
        <is>
          <t>Forward annual capex guidance variance (+/-), %</t>
        </is>
      </c>
      <c r="B928" s="1512" t="n"/>
      <c r="C928" s="1463">
        <f>IFERROR(ABS((C925-C926)/C926),"")</f>
        <v/>
      </c>
      <c r="D928" s="1463">
        <f>IFERROR(ABS((D925-D926)/D926),"")</f>
        <v/>
      </c>
      <c r="E928" s="1463">
        <f>IFERROR(ABS((E925-E926)/E926),"")</f>
        <v/>
      </c>
      <c r="F928" s="1463">
        <f>IFERROR(ABS((F925-F926)/F926),"")</f>
        <v/>
      </c>
      <c r="G928" s="1466">
        <f>IFERROR(ABS((G925-G926)/G926),"")</f>
        <v/>
      </c>
      <c r="H928" s="1466">
        <f>IFERROR(ABS((H925-H926)/H926),"")</f>
        <v/>
      </c>
      <c r="I928" s="1466">
        <f>IFERROR(ABS((I925-I926)/I926),"")</f>
        <v/>
      </c>
      <c r="J928" s="1466">
        <f>IFERROR(ABS((J925-J926)/J926),"")</f>
        <v/>
      </c>
      <c r="K928" s="1463">
        <f>IFERROR(ABS((K925-K926)/K926),"")</f>
        <v/>
      </c>
      <c r="L928" s="1466">
        <f>IFERROR(ABS((L925-L926)/L926),"")</f>
        <v/>
      </c>
      <c r="M928" s="1466">
        <f>IFERROR(ABS((M925-M926)/M926),"")</f>
        <v/>
      </c>
      <c r="N928" s="1466">
        <f>IFERROR(ABS((N925-N926)/N926),"")</f>
        <v/>
      </c>
      <c r="O928" s="1466">
        <f>IFERROR(ABS((O925-O926)/O926),"")</f>
        <v/>
      </c>
      <c r="P928" s="1463">
        <f>IFERROR(ABS((P925-P926)/P926),"")</f>
        <v/>
      </c>
      <c r="Q928" s="1466">
        <f>IFERROR(ABS((Q925-Q926)/Q926),"")</f>
        <v/>
      </c>
      <c r="R928" s="1466">
        <f>IFERROR(ABS((R925-R926)/R926),"")</f>
        <v/>
      </c>
      <c r="S928" s="1466">
        <f>IFERROR(ABS((S925-S926)/S926),"")</f>
        <v/>
      </c>
      <c r="T928" s="1466">
        <f>IFERROR(ABS((T925-T926)/T926),"")</f>
        <v/>
      </c>
      <c r="U928" s="1463">
        <f>IFERROR(ABS((U925-U926)/U926),"")</f>
        <v/>
      </c>
      <c r="V928" s="1466">
        <f>IFERROR(ABS((V925-V926)/V926),"")</f>
        <v/>
      </c>
      <c r="W928" s="1466">
        <f>IFERROR(ABS((W925-W926)/W926),"")</f>
        <v/>
      </c>
      <c r="X928" s="1466">
        <f>IFERROR(ABS((X925-X926)/X926),"")</f>
        <v/>
      </c>
      <c r="Y928" s="1466">
        <f>IFERROR(ABS((Y925-Y926)/Y926),"")</f>
        <v/>
      </c>
      <c r="Z928" s="1463">
        <f>IFERROR(ABS((Z925-Z926)/Z926),"")</f>
        <v/>
      </c>
      <c r="AA928" s="1466">
        <f>IFERROR(ABS((AA925-AA926)/AA926),"")</f>
        <v/>
      </c>
      <c r="AB928" s="1466">
        <f>IFERROR(ABS((AB925-AB926)/AB926),"")</f>
        <v/>
      </c>
      <c r="AC928" s="1466">
        <f>IFERROR(ABS((AC925-AC926)/AC926),"")</f>
        <v/>
      </c>
      <c r="AD928" s="1466">
        <f>IFERROR(ABS((AD925-AD926)/AD926),"")</f>
        <v/>
      </c>
      <c r="AE928" s="1463">
        <f>IFERROR(ABS((AE925-AE926)/AE926),"")</f>
        <v/>
      </c>
      <c r="AF928" s="1466">
        <f>IFERROR(ABS((AF925-AF926)/AF926),"")</f>
        <v/>
      </c>
      <c r="AG928" s="1466">
        <f>IFERROR(ABS((AG925-AG926)/AG926),"")</f>
        <v/>
      </c>
      <c r="AH928" s="1466">
        <f>IFERROR(ABS((AH925-AH926)/AH926),"")</f>
        <v/>
      </c>
      <c r="AI928" s="1466">
        <f>IFERROR(ABS((AI925-AI926)/AI926),"")</f>
        <v/>
      </c>
      <c r="AJ928" s="1463">
        <f>IFERROR(ABS((AJ925-AJ926)/AJ926),"")</f>
        <v/>
      </c>
      <c r="AK928" s="1466">
        <f>IFERROR(ABS((AK925-AK926)/AK926),"")</f>
        <v/>
      </c>
      <c r="AL928" s="1466">
        <f>IFERROR(ABS((AL925-AL926)/AL926),"")</f>
        <v/>
      </c>
      <c r="AM928" s="1466">
        <f>IFERROR(ABS((AM925-AM926)/AM926),"")</f>
        <v/>
      </c>
      <c r="AN928" s="1466">
        <f>IFERROR(ABS((AN925-AN926)/AN926),"")</f>
        <v/>
      </c>
      <c r="AO928" s="1463">
        <f>IFERROR(ABS((AO925-AO926)/AO926),"")</f>
        <v/>
      </c>
      <c r="AP928" s="1466">
        <f>IFERROR(ABS((AP925-AP926)/AP926),"")</f>
        <v/>
      </c>
      <c r="AQ928" s="1466">
        <f>IFERROR(ABS((AQ925-AQ926)/AQ926),"")</f>
        <v/>
      </c>
      <c r="AR928" s="1466">
        <f>IFERROR(ABS((AR925-AR926)/AR926),"")</f>
        <v/>
      </c>
      <c r="AS928" s="1466">
        <f>IFERROR(ABS((AS925-AS926)/AS926),"")</f>
        <v/>
      </c>
      <c r="AT928" s="1463">
        <f>IFERROR(ABS((AT925-AT926)/AT926),"")</f>
        <v/>
      </c>
      <c r="AU928" s="1466">
        <f>IFERROR(ABS((AU925-AU926)/AU926),"")</f>
        <v/>
      </c>
      <c r="AV928" s="1466">
        <f>IFERROR(ABS((AV925-AV926)/AV926),"")</f>
        <v/>
      </c>
      <c r="AW928" s="1466">
        <f>IFERROR(ABS((AW925-AW926)/AW926),"")</f>
        <v/>
      </c>
      <c r="AX928" s="1466">
        <f>IFERROR(ABS((AX925-AX926)/AX926),"")</f>
        <v/>
      </c>
      <c r="AY928" s="1463">
        <f>IFERROR(ABS((AY925-AY926)/AY926),"")</f>
        <v/>
      </c>
      <c r="AZ928" s="1466">
        <f>IFERROR(ABS((AZ925-AZ926)/AZ926),"")</f>
        <v/>
      </c>
      <c r="BA928" s="1466">
        <f>IFERROR(ABS((BA925-BA926)/BA926),"")</f>
        <v/>
      </c>
      <c r="BB928" s="1466">
        <f>IFERROR(ABS((BB925-BB926)/BB926),"")</f>
        <v/>
      </c>
      <c r="BC928" s="1466">
        <f>IFERROR(ABS((BC925-BC926)/BC926),"")</f>
        <v/>
      </c>
      <c r="BD928" s="1463">
        <f>IFERROR(ABS((BD925-BD926)/BD926),"")</f>
        <v/>
      </c>
      <c r="BE928" s="1466">
        <f>IFERROR(ABS((BE925-BE926)/BE926),"")</f>
        <v/>
      </c>
      <c r="BF928" s="1466">
        <f>IFERROR(ABS((BF925-BF926)/BF926),"")</f>
        <v/>
      </c>
      <c r="BG928" s="1466">
        <f>IFERROR(ABS((BG925-BG926)/BG926),"")</f>
        <v/>
      </c>
      <c r="BH928" s="1466">
        <f>IFERROR(ABS((BH925-BH926)/BH926),"")</f>
        <v/>
      </c>
      <c r="BI928" s="1463">
        <f>IFERROR(ABS((BI925-BI926)/BI926),"")</f>
        <v/>
      </c>
      <c r="BJ928" s="1466">
        <f>IFERROR(ABS((BJ925-BJ926)/BJ926),"")</f>
        <v/>
      </c>
      <c r="BK928" s="1466">
        <f>IFERROR(ABS((BK925-BK926)/BK926),"")</f>
        <v/>
      </c>
      <c r="BL928" s="1466">
        <f>IFERROR(ABS((BL925-BL926)/BL926),"")</f>
        <v/>
      </c>
      <c r="BM928" s="1466">
        <f>IFERROR(ABS((BM925-BM926)/BM926),"")</f>
        <v/>
      </c>
      <c r="BN928" s="1463">
        <f>IFERROR(ABS((BN925-BN926)/BN926),"")</f>
        <v/>
      </c>
      <c r="BO928" s="1466">
        <f>IFERROR(ABS((BO925-BO926)/BO926),"")</f>
        <v/>
      </c>
      <c r="BP928" s="1466">
        <f>IFERROR(ABS((BP925-BP926)/BP926),"")</f>
        <v/>
      </c>
      <c r="BQ928" s="1491">
        <f>IFERROR(ABS((BQ925-BQ926)/BQ926),"")</f>
        <v/>
      </c>
      <c r="BR928" s="1466" t="n"/>
      <c r="BS928" s="1463" t="n"/>
      <c r="BT928" s="1466" t="n"/>
      <c r="BU928" s="1466" t="n"/>
      <c r="BV928" s="1466" t="n"/>
      <c r="BW928" s="1466" t="n"/>
      <c r="BX928" s="1463" t="n"/>
      <c r="BY928" s="1463" t="n"/>
      <c r="BZ928" s="1463" t="n"/>
      <c r="CA928" s="1463" t="n"/>
      <c r="CB928" s="1361" t="n"/>
    </row>
    <row r="929" hidden="1" outlineLevel="1" collapsed="1" ht="15" customFormat="1" customHeight="1" s="1359">
      <c r="A929" s="545" t="n"/>
      <c r="B929" s="1512" t="n"/>
      <c r="C929" s="1379" t="n"/>
      <c r="D929" s="1379" t="n"/>
      <c r="E929" s="1379" t="n"/>
      <c r="F929" s="1379" t="n"/>
      <c r="G929" s="1361" t="n"/>
      <c r="H929" s="1361" t="n"/>
      <c r="I929" s="1361" t="n"/>
      <c r="J929" s="1361" t="n"/>
      <c r="K929" s="1379" t="n"/>
      <c r="L929" s="1361" t="n"/>
      <c r="M929" s="1361" t="n"/>
      <c r="N929" s="1361" t="n"/>
      <c r="O929" s="1361" t="n"/>
      <c r="P929" s="1379" t="n"/>
      <c r="Q929" s="1361" t="n"/>
      <c r="R929" s="1361" t="n"/>
      <c r="S929" s="1361" t="n"/>
      <c r="T929" s="1361" t="n"/>
      <c r="U929" s="1379" t="n"/>
      <c r="V929" s="1361" t="n"/>
      <c r="W929" s="1361" t="n"/>
      <c r="X929" s="1361" t="n"/>
      <c r="Y929" s="1361" t="n"/>
      <c r="Z929" s="1379" t="n"/>
      <c r="AA929" s="1361" t="n"/>
      <c r="AB929" s="1361" t="n"/>
      <c r="AC929" s="1361" t="n"/>
      <c r="AD929" s="1361" t="n"/>
      <c r="AE929" s="1379" t="n"/>
      <c r="AF929" s="1361" t="n"/>
      <c r="AG929" s="1361" t="n"/>
      <c r="AH929" s="1361" t="n"/>
      <c r="AI929" s="1361" t="n"/>
      <c r="AJ929" s="1379" t="n"/>
      <c r="AK929" s="1361" t="n"/>
      <c r="AL929" s="1361" t="n"/>
      <c r="AM929" s="1361" t="n"/>
      <c r="AN929" s="1361" t="n"/>
      <c r="AO929" s="1379" t="n"/>
      <c r="AP929" s="1361" t="n"/>
      <c r="AQ929" s="1361" t="n"/>
      <c r="AR929" s="1361" t="n"/>
      <c r="AS929" s="1361" t="n"/>
      <c r="AT929" s="1379" t="n"/>
      <c r="AU929" s="1361" t="n"/>
      <c r="AV929" s="1361" t="n"/>
      <c r="AW929" s="1361" t="n"/>
      <c r="AX929" s="1361" t="n"/>
      <c r="AY929" s="1379" t="n"/>
      <c r="AZ929" s="1361" t="n"/>
      <c r="BA929" s="1361" t="n"/>
      <c r="BB929" s="1361" t="n"/>
      <c r="BC929" s="1361" t="n"/>
      <c r="BD929" s="1379" t="n"/>
      <c r="BE929" s="1361" t="n"/>
      <c r="BF929" s="1361" t="n"/>
      <c r="BG929" s="1361" t="n"/>
      <c r="BH929" s="1361" t="n"/>
      <c r="BI929" s="1379" t="n"/>
      <c r="BJ929" s="1361" t="n"/>
      <c r="BK929" s="1361" t="n"/>
      <c r="BL929" s="1361" t="n"/>
      <c r="BM929" s="1361" t="n"/>
      <c r="BN929" s="1379" t="n"/>
      <c r="BO929" s="1361" t="n"/>
      <c r="BP929" s="1361" t="n"/>
      <c r="BQ929" s="1363" t="n"/>
      <c r="BR929" s="1361" t="n"/>
      <c r="BS929" s="1379" t="n"/>
      <c r="BT929" s="1361" t="n"/>
      <c r="BU929" s="1361" t="n"/>
      <c r="BV929" s="1361" t="n"/>
      <c r="BW929" s="1361" t="n"/>
      <c r="BX929" s="1379" t="n"/>
      <c r="BY929" s="1379" t="n"/>
      <c r="BZ929" s="1379" t="n"/>
      <c r="CA929" s="1379" t="n"/>
      <c r="CB929" s="1361" t="n"/>
    </row>
    <row r="930" collapsed="1" ht="15" customFormat="1" customHeight="1" s="1359">
      <c r="A930" s="1361" t="n"/>
      <c r="B930" s="1512" t="n"/>
      <c r="C930" s="1379" t="n"/>
      <c r="D930" s="1379" t="n"/>
      <c r="E930" s="1379" t="n"/>
      <c r="F930" s="1379" t="n"/>
      <c r="G930" s="1361" t="n"/>
      <c r="H930" s="1361" t="n"/>
      <c r="I930" s="1361" t="n"/>
      <c r="J930" s="1361" t="n"/>
      <c r="K930" s="1379" t="n"/>
      <c r="L930" s="1361" t="n"/>
      <c r="M930" s="1361" t="n"/>
      <c r="N930" s="1361" t="n"/>
      <c r="O930" s="1361" t="n"/>
      <c r="P930" s="1379" t="n"/>
      <c r="Q930" s="1361" t="n"/>
      <c r="R930" s="1361" t="n"/>
      <c r="S930" s="1361" t="n"/>
      <c r="T930" s="1361" t="n"/>
      <c r="U930" s="1379" t="n"/>
      <c r="V930" s="1361" t="n"/>
      <c r="W930" s="1361" t="n"/>
      <c r="X930" s="1361" t="n"/>
      <c r="Y930" s="1361" t="n"/>
      <c r="Z930" s="1379" t="n"/>
      <c r="AA930" s="1361" t="n"/>
      <c r="AB930" s="1361" t="n"/>
      <c r="AC930" s="1361" t="n"/>
      <c r="AD930" s="1361" t="n"/>
      <c r="AE930" s="1379" t="n"/>
      <c r="AF930" s="1361" t="n"/>
      <c r="AG930" s="1361" t="n"/>
      <c r="AH930" s="1361" t="n"/>
      <c r="AI930" s="1361" t="n"/>
      <c r="AJ930" s="1379" t="n"/>
      <c r="AK930" s="1361" t="n"/>
      <c r="AL930" s="1361" t="n"/>
      <c r="AM930" s="1361" t="n"/>
      <c r="AN930" s="1361" t="n"/>
      <c r="AO930" s="1379" t="n"/>
      <c r="AP930" s="1361" t="n"/>
      <c r="AQ930" s="1361" t="n"/>
      <c r="AR930" s="1361" t="n"/>
      <c r="AS930" s="1361" t="n"/>
      <c r="AT930" s="1379" t="n"/>
      <c r="AU930" s="1361" t="n"/>
      <c r="AV930" s="1361" t="n"/>
      <c r="AW930" s="1361" t="n"/>
      <c r="AX930" s="1361" t="n"/>
      <c r="AY930" s="1379" t="n"/>
      <c r="AZ930" s="1361" t="n"/>
      <c r="BA930" s="1361" t="n"/>
      <c r="BB930" s="1361" t="n"/>
      <c r="BC930" s="1361" t="n"/>
      <c r="BD930" s="1379" t="n"/>
      <c r="BE930" s="1361" t="n"/>
      <c r="BF930" s="1361" t="n"/>
      <c r="BG930" s="1361" t="n"/>
      <c r="BH930" s="1361" t="n"/>
      <c r="BI930" s="1379" t="n"/>
      <c r="BJ930" s="1361" t="n"/>
      <c r="BK930" s="1361" t="n"/>
      <c r="BL930" s="1361" t="n"/>
      <c r="BM930" s="1361" t="n"/>
      <c r="BN930" s="1379" t="n"/>
      <c r="BO930" s="1361" t="n"/>
      <c r="BP930" s="1361" t="n"/>
      <c r="BQ930" s="1363" t="n"/>
      <c r="BR930" s="1361" t="n"/>
      <c r="BS930" s="1379" t="n"/>
      <c r="BT930" s="1361" t="n"/>
      <c r="BU930" s="1361" t="n"/>
      <c r="BV930" s="1361" t="n"/>
      <c r="BW930" s="1361" t="n"/>
      <c r="BX930" s="1379" t="n"/>
      <c r="BY930" s="1379" t="n"/>
      <c r="BZ930" s="1379" t="n"/>
      <c r="CA930" s="1379" t="n"/>
      <c r="CB930" s="1364" t="n"/>
    </row>
    <row r="931" ht="14.4" customFormat="1" customHeight="1" s="1372">
      <c r="A931" s="1373" t="inlineStr">
        <is>
          <t>Cash Flow Summary</t>
        </is>
      </c>
      <c r="B931" s="1373" t="n"/>
      <c r="C931" s="1373" t="n"/>
      <c r="D931" s="1373" t="n"/>
      <c r="E931" s="1373" t="n"/>
      <c r="F931" s="1373" t="n"/>
      <c r="G931" s="1373" t="n"/>
      <c r="H931" s="1373" t="n"/>
      <c r="I931" s="1373" t="n"/>
      <c r="J931" s="1373" t="n"/>
      <c r="K931" s="1373" t="n"/>
      <c r="L931" s="1373" t="n"/>
      <c r="M931" s="1373" t="n"/>
      <c r="N931" s="1373" t="n"/>
      <c r="O931" s="1373" t="n"/>
      <c r="P931" s="1373" t="n"/>
      <c r="Q931" s="1373" t="n"/>
      <c r="R931" s="1373" t="n"/>
      <c r="S931" s="1373" t="n"/>
      <c r="T931" s="1373" t="n"/>
      <c r="U931" s="1373" t="n"/>
      <c r="V931" s="1373" t="n"/>
      <c r="W931" s="1373" t="n"/>
      <c r="X931" s="1373" t="n"/>
      <c r="Y931" s="1373" t="n"/>
      <c r="Z931" s="1373" t="n"/>
      <c r="AA931" s="1373" t="n"/>
      <c r="AB931" s="1373" t="n"/>
      <c r="AC931" s="1373" t="n"/>
      <c r="AD931" s="1373" t="n"/>
      <c r="AE931" s="1373" t="n"/>
      <c r="AF931" s="1373" t="n"/>
      <c r="AG931" s="1373" t="n"/>
      <c r="AH931" s="1373" t="n"/>
      <c r="AI931" s="1373" t="n"/>
      <c r="AJ931" s="1373" t="n"/>
      <c r="AK931" s="1373" t="n"/>
      <c r="AL931" s="1373" t="n"/>
      <c r="AM931" s="1373" t="n"/>
      <c r="AN931" s="1373" t="n"/>
      <c r="AO931" s="1373" t="n"/>
      <c r="AP931" s="1373" t="n"/>
      <c r="AQ931" s="1373" t="n"/>
      <c r="AR931" s="1373" t="n"/>
      <c r="AS931" s="1373" t="n"/>
      <c r="AT931" s="1373" t="n"/>
      <c r="AU931" s="1373" t="n"/>
      <c r="AV931" s="1373" t="n"/>
      <c r="AW931" s="1373" t="n"/>
      <c r="AX931" s="1373" t="n"/>
      <c r="AY931" s="1373" t="n"/>
      <c r="AZ931" s="1373" t="n"/>
      <c r="BA931" s="1373" t="n"/>
      <c r="BB931" s="1373" t="n"/>
      <c r="BC931" s="1373" t="n"/>
      <c r="BD931" s="1373" t="n"/>
      <c r="BE931" s="1373" t="n"/>
      <c r="BF931" s="1373" t="n"/>
      <c r="BG931" s="1373" t="n"/>
      <c r="BH931" s="1373" t="n"/>
      <c r="BI931" s="1373" t="n"/>
      <c r="BJ931" s="1373" t="n"/>
      <c r="BK931" s="1373" t="n"/>
      <c r="BL931" s="1373" t="n"/>
      <c r="BM931" s="1373" t="n"/>
      <c r="BN931" s="1373" t="n"/>
      <c r="BO931" s="1373" t="n"/>
      <c r="BP931" s="1373" t="n"/>
      <c r="BQ931" s="1374" t="n"/>
      <c r="BR931" s="1373" t="n"/>
      <c r="BS931" s="1373" t="n"/>
      <c r="BT931" s="1373" t="n"/>
      <c r="BU931" s="1373" t="n"/>
      <c r="BV931" s="1373" t="n"/>
      <c r="BW931" s="1373" t="n"/>
      <c r="BX931" s="1373" t="n"/>
      <c r="BY931" s="1373" t="n"/>
      <c r="BZ931" s="1373" t="n"/>
      <c r="CA931" s="1373" t="n"/>
      <c r="CB931" s="1375" t="n"/>
    </row>
    <row r="932" hidden="1" outlineLevel="1" ht="14.4" customFormat="1" customHeight="1" s="1359">
      <c r="A932" s="1364" t="inlineStr">
        <is>
          <t>Operating Cash Flow before WC</t>
        </is>
      </c>
      <c r="B932" s="1512" t="n"/>
      <c r="C932" s="1378">
        <f>C1101</f>
        <v/>
      </c>
      <c r="D932" s="1378">
        <f>D1101</f>
        <v/>
      </c>
      <c r="E932" s="1378">
        <f>E1101</f>
        <v/>
      </c>
      <c r="F932" s="1378">
        <f>F1101</f>
        <v/>
      </c>
      <c r="G932" s="1364">
        <f>G1101</f>
        <v/>
      </c>
      <c r="H932" s="1364">
        <f>H1101</f>
        <v/>
      </c>
      <c r="I932" s="1364">
        <f>I1101</f>
        <v/>
      </c>
      <c r="J932" s="1364">
        <f>J1101</f>
        <v/>
      </c>
      <c r="K932" s="1378">
        <f>K1101</f>
        <v/>
      </c>
      <c r="L932" s="1364">
        <f>L1101</f>
        <v/>
      </c>
      <c r="M932" s="1364">
        <f>M1101</f>
        <v/>
      </c>
      <c r="N932" s="1364">
        <f>N1101</f>
        <v/>
      </c>
      <c r="O932" s="1364">
        <f>O1101</f>
        <v/>
      </c>
      <c r="P932" s="1378">
        <f>P1101</f>
        <v/>
      </c>
      <c r="Q932" s="1364">
        <f>Q1101</f>
        <v/>
      </c>
      <c r="R932" s="1364">
        <f>R1101</f>
        <v/>
      </c>
      <c r="S932" s="1364">
        <f>S1101</f>
        <v/>
      </c>
      <c r="T932" s="1364">
        <f>T1101</f>
        <v/>
      </c>
      <c r="U932" s="1378">
        <f>U1101</f>
        <v/>
      </c>
      <c r="V932" s="1364">
        <f>V1101</f>
        <v/>
      </c>
      <c r="W932" s="1364">
        <f>W1101</f>
        <v/>
      </c>
      <c r="X932" s="1364">
        <f>X1101</f>
        <v/>
      </c>
      <c r="Y932" s="1364">
        <f>Y1101</f>
        <v/>
      </c>
      <c r="Z932" s="1378">
        <f>Z1101</f>
        <v/>
      </c>
      <c r="AA932" s="1364">
        <f>AA1101</f>
        <v/>
      </c>
      <c r="AB932" s="1364">
        <f>AB1101</f>
        <v/>
      </c>
      <c r="AC932" s="1364">
        <f>AC1101</f>
        <v/>
      </c>
      <c r="AD932" s="1364">
        <f>AD1101</f>
        <v/>
      </c>
      <c r="AE932" s="1378">
        <f>AE1101</f>
        <v/>
      </c>
      <c r="AF932" s="1364">
        <f>AF1101</f>
        <v/>
      </c>
      <c r="AG932" s="1364">
        <f>AG1101</f>
        <v/>
      </c>
      <c r="AH932" s="1364">
        <f>AH1101</f>
        <v/>
      </c>
      <c r="AI932" s="1364">
        <f>AI1101</f>
        <v/>
      </c>
      <c r="AJ932" s="1378">
        <f>AJ1101</f>
        <v/>
      </c>
      <c r="AK932" s="1364">
        <f>AK1101</f>
        <v/>
      </c>
      <c r="AL932" s="1364">
        <f>AL1101</f>
        <v/>
      </c>
      <c r="AM932" s="1364">
        <f>AM1101</f>
        <v/>
      </c>
      <c r="AN932" s="1364">
        <f>AN1101</f>
        <v/>
      </c>
      <c r="AO932" s="1378">
        <f>AO1101</f>
        <v/>
      </c>
      <c r="AP932" s="1364">
        <f>AP1101</f>
        <v/>
      </c>
      <c r="AQ932" s="1364">
        <f>AQ1101</f>
        <v/>
      </c>
      <c r="AR932" s="1364">
        <f>AR1101</f>
        <v/>
      </c>
      <c r="AS932" s="1364">
        <f>AS1101</f>
        <v/>
      </c>
      <c r="AT932" s="1378">
        <f>AT1101</f>
        <v/>
      </c>
      <c r="AU932" s="1364">
        <f>AU1101</f>
        <v/>
      </c>
      <c r="AV932" s="1364">
        <f>AV1101</f>
        <v/>
      </c>
      <c r="AW932" s="1364">
        <f>AW1101</f>
        <v/>
      </c>
      <c r="AX932" s="1364">
        <f>AX1101</f>
        <v/>
      </c>
      <c r="AY932" s="1378">
        <f>AY1101</f>
        <v/>
      </c>
      <c r="AZ932" s="1364">
        <f>AZ1101</f>
        <v/>
      </c>
      <c r="BA932" s="1364">
        <f>BA1101</f>
        <v/>
      </c>
      <c r="BB932" s="1364">
        <f>BB1101</f>
        <v/>
      </c>
      <c r="BC932" s="1364">
        <f>BC1101</f>
        <v/>
      </c>
      <c r="BD932" s="1378">
        <f>BD1101</f>
        <v/>
      </c>
      <c r="BE932" s="1364">
        <f>BE1101</f>
        <v/>
      </c>
      <c r="BF932" s="1364">
        <f>BF1101</f>
        <v/>
      </c>
      <c r="BG932" s="1364">
        <f>BG1101</f>
        <v/>
      </c>
      <c r="BH932" s="1364">
        <f>BH1101</f>
        <v/>
      </c>
      <c r="BI932" s="1378">
        <f>BI1101</f>
        <v/>
      </c>
      <c r="BJ932" s="1364">
        <f>BJ1101</f>
        <v/>
      </c>
      <c r="BK932" s="1364">
        <f>BK1101</f>
        <v/>
      </c>
      <c r="BL932" s="1364">
        <f>BL1101</f>
        <v/>
      </c>
      <c r="BM932" s="1364">
        <f>BM1101</f>
        <v/>
      </c>
      <c r="BN932" s="1378">
        <f>BN1101</f>
        <v/>
      </c>
      <c r="BO932" s="1364">
        <f>BO1101</f>
        <v/>
      </c>
      <c r="BP932" s="1364">
        <f>BP1101</f>
        <v/>
      </c>
      <c r="BQ932" s="1395">
        <f>BQ1101</f>
        <v/>
      </c>
      <c r="BR932" s="1361">
        <f>BR1101</f>
        <v/>
      </c>
      <c r="BS932" s="1379">
        <f>BS1101</f>
        <v/>
      </c>
      <c r="BT932" s="1361">
        <f>BT1101</f>
        <v/>
      </c>
      <c r="BU932" s="1361">
        <f>BU1101</f>
        <v/>
      </c>
      <c r="BV932" s="1361">
        <f>BV1101</f>
        <v/>
      </c>
      <c r="BW932" s="1361">
        <f>BW1101</f>
        <v/>
      </c>
      <c r="BX932" s="1379">
        <f>BX1101</f>
        <v/>
      </c>
      <c r="BY932" s="1379">
        <f>BY1101</f>
        <v/>
      </c>
      <c r="BZ932" s="1379">
        <f>BZ1101</f>
        <v/>
      </c>
      <c r="CA932" s="1379">
        <f>CA1101</f>
        <v/>
      </c>
      <c r="CB932" s="1364" t="n"/>
    </row>
    <row r="933" hidden="1" outlineLevel="1" ht="14.4" customFormat="1" customHeight="1" s="1359">
      <c r="A933" s="1478" t="inlineStr">
        <is>
          <t>Change in Working Capital</t>
        </is>
      </c>
      <c r="B933" s="1514" t="n"/>
      <c r="C933" s="1455">
        <f>C934-C932</f>
        <v/>
      </c>
      <c r="D933" s="1455">
        <f>D934-D932</f>
        <v/>
      </c>
      <c r="E933" s="1455">
        <f>E934-E932</f>
        <v/>
      </c>
      <c r="F933" s="1455">
        <f>F934-F932</f>
        <v/>
      </c>
      <c r="G933" s="1456">
        <f>G934-G932</f>
        <v/>
      </c>
      <c r="H933" s="1456">
        <f>H934-H932</f>
        <v/>
      </c>
      <c r="I933" s="1456">
        <f>I934-I932</f>
        <v/>
      </c>
      <c r="J933" s="1456">
        <f>J934-J932</f>
        <v/>
      </c>
      <c r="K933" s="1455">
        <f>K934-K932</f>
        <v/>
      </c>
      <c r="L933" s="1456">
        <f>L934-L932</f>
        <v/>
      </c>
      <c r="M933" s="1456">
        <f>M934-M932</f>
        <v/>
      </c>
      <c r="N933" s="1456">
        <f>N934-N932</f>
        <v/>
      </c>
      <c r="O933" s="1456">
        <f>O934-O932</f>
        <v/>
      </c>
      <c r="P933" s="1455">
        <f>P934-P932</f>
        <v/>
      </c>
      <c r="Q933" s="1456">
        <f>Q934-Q932</f>
        <v/>
      </c>
      <c r="R933" s="1456">
        <f>R934-R932</f>
        <v/>
      </c>
      <c r="S933" s="1456">
        <f>S934-S932</f>
        <v/>
      </c>
      <c r="T933" s="1456">
        <f>T934-T932</f>
        <v/>
      </c>
      <c r="U933" s="1455">
        <f>U934-U932</f>
        <v/>
      </c>
      <c r="V933" s="1456">
        <f>V934-V932</f>
        <v/>
      </c>
      <c r="W933" s="1456">
        <f>W934-W932</f>
        <v/>
      </c>
      <c r="X933" s="1456">
        <f>X934-X932</f>
        <v/>
      </c>
      <c r="Y933" s="1456">
        <f>Y934-Y932</f>
        <v/>
      </c>
      <c r="Z933" s="1455">
        <f>Z934-Z932</f>
        <v/>
      </c>
      <c r="AA933" s="1456">
        <f>AA934-AA932</f>
        <v/>
      </c>
      <c r="AB933" s="1456">
        <f>AB934-AB932</f>
        <v/>
      </c>
      <c r="AC933" s="1456">
        <f>AC934-AC932</f>
        <v/>
      </c>
      <c r="AD933" s="1456">
        <f>AD934-AD932</f>
        <v/>
      </c>
      <c r="AE933" s="1455">
        <f>AE934-AE932</f>
        <v/>
      </c>
      <c r="AF933" s="1456">
        <f>AF934-AF932</f>
        <v/>
      </c>
      <c r="AG933" s="1456">
        <f>AG934-AG932</f>
        <v/>
      </c>
      <c r="AH933" s="1456">
        <f>AH934-AH932</f>
        <v/>
      </c>
      <c r="AI933" s="1456">
        <f>AI934-AI932</f>
        <v/>
      </c>
      <c r="AJ933" s="1455">
        <f>AJ934-AJ932</f>
        <v/>
      </c>
      <c r="AK933" s="1456">
        <f>AK934-AK932</f>
        <v/>
      </c>
      <c r="AL933" s="1456">
        <f>AL934-AL932</f>
        <v/>
      </c>
      <c r="AM933" s="1456">
        <f>AM934-AM932</f>
        <v/>
      </c>
      <c r="AN933" s="1456">
        <f>AN934-AN932</f>
        <v/>
      </c>
      <c r="AO933" s="1455">
        <f>AO934-AO932</f>
        <v/>
      </c>
      <c r="AP933" s="1456">
        <f>AP934-AP932</f>
        <v/>
      </c>
      <c r="AQ933" s="1456">
        <f>AQ934-AQ932</f>
        <v/>
      </c>
      <c r="AR933" s="1456">
        <f>AR934-AR932</f>
        <v/>
      </c>
      <c r="AS933" s="1456">
        <f>AS934-AS932</f>
        <v/>
      </c>
      <c r="AT933" s="1455">
        <f>AT934-AT932</f>
        <v/>
      </c>
      <c r="AU933" s="1456">
        <f>AU934-AU932</f>
        <v/>
      </c>
      <c r="AV933" s="1456">
        <f>AV934-AV932</f>
        <v/>
      </c>
      <c r="AW933" s="1456">
        <f>AW934-AW932</f>
        <v/>
      </c>
      <c r="AX933" s="1456">
        <f>AX934-AX932</f>
        <v/>
      </c>
      <c r="AY933" s="1455">
        <f>AY934-AY932</f>
        <v/>
      </c>
      <c r="AZ933" s="1456">
        <f>AZ934-AZ932</f>
        <v/>
      </c>
      <c r="BA933" s="1456">
        <f>BA934-BA932</f>
        <v/>
      </c>
      <c r="BB933" s="1456">
        <f>BB934-BB932</f>
        <v/>
      </c>
      <c r="BC933" s="1456">
        <f>BC934-BC932</f>
        <v/>
      </c>
      <c r="BD933" s="1455">
        <f>BD934-BD932</f>
        <v/>
      </c>
      <c r="BE933" s="1456">
        <f>BE934-BE932</f>
        <v/>
      </c>
      <c r="BF933" s="1456">
        <f>BF934-BF932</f>
        <v/>
      </c>
      <c r="BG933" s="1456">
        <f>BG934-BG932</f>
        <v/>
      </c>
      <c r="BH933" s="1456">
        <f>BH934-BH932</f>
        <v/>
      </c>
      <c r="BI933" s="1455">
        <f>BI934-BI932</f>
        <v/>
      </c>
      <c r="BJ933" s="1456">
        <f>BJ934-BJ932</f>
        <v/>
      </c>
      <c r="BK933" s="1456">
        <f>BK934-BK932</f>
        <v/>
      </c>
      <c r="BL933" s="1456">
        <f>BL934-BL932</f>
        <v/>
      </c>
      <c r="BM933" s="1456">
        <f>BM934-BM932</f>
        <v/>
      </c>
      <c r="BN933" s="1455">
        <f>BN934-BN932</f>
        <v/>
      </c>
      <c r="BO933" s="1456">
        <f>BO934-BO932</f>
        <v/>
      </c>
      <c r="BP933" s="1456">
        <f>BP934-BP932</f>
        <v/>
      </c>
      <c r="BQ933" s="1457">
        <f>BQ934-BQ932</f>
        <v/>
      </c>
      <c r="BR933" s="1456">
        <f>BR934-BR932</f>
        <v/>
      </c>
      <c r="BS933" s="1455">
        <f>BS934-BS932</f>
        <v/>
      </c>
      <c r="BT933" s="1456">
        <f>BT934-BT932</f>
        <v/>
      </c>
      <c r="BU933" s="1456">
        <f>BU934-BU932</f>
        <v/>
      </c>
      <c r="BV933" s="1456">
        <f>BV934-BV932</f>
        <v/>
      </c>
      <c r="BW933" s="1456">
        <f>BW934-BW932</f>
        <v/>
      </c>
      <c r="BX933" s="1455">
        <f>BX934-BX932</f>
        <v/>
      </c>
      <c r="BY933" s="1455">
        <f>BY934-BY932</f>
        <v/>
      </c>
      <c r="BZ933" s="1455">
        <f>BZ934-BZ932</f>
        <v/>
      </c>
      <c r="CA933" s="1455">
        <f>CA934-CA932</f>
        <v/>
      </c>
      <c r="CB933" s="1364" t="n"/>
    </row>
    <row r="934" collapsed="1" ht="14.4" customFormat="1" customHeight="1" s="1359">
      <c r="A934" s="1447" t="inlineStr">
        <is>
          <t>Operating Cash Flow after WC</t>
        </is>
      </c>
      <c r="B934" s="1517" t="n"/>
      <c r="C934" s="1449">
        <f>C1110</f>
        <v/>
      </c>
      <c r="D934" s="1449">
        <f>D1110</f>
        <v/>
      </c>
      <c r="E934" s="1449">
        <f>E1110</f>
        <v/>
      </c>
      <c r="F934" s="1449">
        <f>F1110</f>
        <v/>
      </c>
      <c r="G934" s="1450">
        <f>G1110</f>
        <v/>
      </c>
      <c r="H934" s="1450">
        <f>H1110</f>
        <v/>
      </c>
      <c r="I934" s="1450">
        <f>I1110</f>
        <v/>
      </c>
      <c r="J934" s="1450">
        <f>J1110</f>
        <v/>
      </c>
      <c r="K934" s="1449">
        <f>K1110</f>
        <v/>
      </c>
      <c r="L934" s="1450">
        <f>L1110</f>
        <v/>
      </c>
      <c r="M934" s="1450">
        <f>M1110</f>
        <v/>
      </c>
      <c r="N934" s="1450">
        <f>N1110</f>
        <v/>
      </c>
      <c r="O934" s="1450">
        <f>O1110</f>
        <v/>
      </c>
      <c r="P934" s="1449">
        <f>P1110</f>
        <v/>
      </c>
      <c r="Q934" s="1450">
        <f>Q1110</f>
        <v/>
      </c>
      <c r="R934" s="1450">
        <f>R1110</f>
        <v/>
      </c>
      <c r="S934" s="1450">
        <f>S1110</f>
        <v/>
      </c>
      <c r="T934" s="1450">
        <f>T1110</f>
        <v/>
      </c>
      <c r="U934" s="1449">
        <f>U1110</f>
        <v/>
      </c>
      <c r="V934" s="1450">
        <f>V1110</f>
        <v/>
      </c>
      <c r="W934" s="1450">
        <f>W1110</f>
        <v/>
      </c>
      <c r="X934" s="1450">
        <f>X1110</f>
        <v/>
      </c>
      <c r="Y934" s="1450">
        <f>Y1110</f>
        <v/>
      </c>
      <c r="Z934" s="1449">
        <f>Z1110</f>
        <v/>
      </c>
      <c r="AA934" s="1450">
        <f>AA1110</f>
        <v/>
      </c>
      <c r="AB934" s="1450">
        <f>AB1110</f>
        <v/>
      </c>
      <c r="AC934" s="1450">
        <f>AC1110</f>
        <v/>
      </c>
      <c r="AD934" s="1450">
        <f>AD1110</f>
        <v/>
      </c>
      <c r="AE934" s="1449">
        <f>AE1110</f>
        <v/>
      </c>
      <c r="AF934" s="1450">
        <f>AF1110</f>
        <v/>
      </c>
      <c r="AG934" s="1450">
        <f>AG1110</f>
        <v/>
      </c>
      <c r="AH934" s="1450">
        <f>AH1110</f>
        <v/>
      </c>
      <c r="AI934" s="1450">
        <f>AI1110</f>
        <v/>
      </c>
      <c r="AJ934" s="1449">
        <f>AJ1110</f>
        <v/>
      </c>
      <c r="AK934" s="1450">
        <f>AK1110</f>
        <v/>
      </c>
      <c r="AL934" s="1450">
        <f>AL1110</f>
        <v/>
      </c>
      <c r="AM934" s="1450">
        <f>AM1110</f>
        <v/>
      </c>
      <c r="AN934" s="1450">
        <f>AN1110</f>
        <v/>
      </c>
      <c r="AO934" s="1449">
        <f>AO1110</f>
        <v/>
      </c>
      <c r="AP934" s="1450">
        <f>AP1110</f>
        <v/>
      </c>
      <c r="AQ934" s="1450">
        <f>AQ1110</f>
        <v/>
      </c>
      <c r="AR934" s="1450">
        <f>AR1110</f>
        <v/>
      </c>
      <c r="AS934" s="1450">
        <f>AS1110</f>
        <v/>
      </c>
      <c r="AT934" s="1449">
        <f>AT1110</f>
        <v/>
      </c>
      <c r="AU934" s="1450">
        <f>AU1110</f>
        <v/>
      </c>
      <c r="AV934" s="1450">
        <f>AV1110</f>
        <v/>
      </c>
      <c r="AW934" s="1450">
        <f>AW1110</f>
        <v/>
      </c>
      <c r="AX934" s="1450">
        <f>AX1110</f>
        <v/>
      </c>
      <c r="AY934" s="1449">
        <f>AY1110</f>
        <v/>
      </c>
      <c r="AZ934" s="1450">
        <f>AZ1110</f>
        <v/>
      </c>
      <c r="BA934" s="1450">
        <f>BA1110</f>
        <v/>
      </c>
      <c r="BB934" s="1450">
        <f>BB1110</f>
        <v/>
      </c>
      <c r="BC934" s="1450">
        <f>BC1110</f>
        <v/>
      </c>
      <c r="BD934" s="1449">
        <f>BD1110</f>
        <v/>
      </c>
      <c r="BE934" s="1450">
        <f>BE1110</f>
        <v/>
      </c>
      <c r="BF934" s="1450">
        <f>BF1110</f>
        <v/>
      </c>
      <c r="BG934" s="1450">
        <f>BG1110</f>
        <v/>
      </c>
      <c r="BH934" s="1450">
        <f>BH1110</f>
        <v/>
      </c>
      <c r="BI934" s="1449">
        <f>BI1110</f>
        <v/>
      </c>
      <c r="BJ934" s="1450">
        <f>BJ1110</f>
        <v/>
      </c>
      <c r="BK934" s="1450">
        <f>BK1110</f>
        <v/>
      </c>
      <c r="BL934" s="1450">
        <f>BL1110</f>
        <v/>
      </c>
      <c r="BM934" s="1450">
        <f>BM1110</f>
        <v/>
      </c>
      <c r="BN934" s="1449">
        <f>BN1110</f>
        <v/>
      </c>
      <c r="BO934" s="1450">
        <f>BO1110</f>
        <v/>
      </c>
      <c r="BP934" s="1450">
        <f>BP1110</f>
        <v/>
      </c>
      <c r="BQ934" s="1451">
        <f>BQ1110</f>
        <v/>
      </c>
      <c r="BR934" s="1450">
        <f>BR1110</f>
        <v/>
      </c>
      <c r="BS934" s="1449">
        <f>BS1110</f>
        <v/>
      </c>
      <c r="BT934" s="1450">
        <f>BT1110</f>
        <v/>
      </c>
      <c r="BU934" s="1450">
        <f>BU1110</f>
        <v/>
      </c>
      <c r="BV934" s="1450">
        <f>BV1110</f>
        <v/>
      </c>
      <c r="BW934" s="1450">
        <f>BW1110</f>
        <v/>
      </c>
      <c r="BX934" s="1449">
        <f>BX1110</f>
        <v/>
      </c>
      <c r="BY934" s="1449">
        <f>BY1110</f>
        <v/>
      </c>
      <c r="BZ934" s="1449">
        <f>BZ1110</f>
        <v/>
      </c>
      <c r="CA934" s="1449">
        <f>CA1110</f>
        <v/>
      </c>
      <c r="CB934" s="1364" t="n"/>
    </row>
    <row r="935" hidden="1" outlineLevel="1" ht="14.4" customFormat="1" customHeight="1" s="1828">
      <c r="A935" s="1829" t="inlineStr">
        <is>
          <t>Cash Flow Per Diluted Share before WC</t>
        </is>
      </c>
      <c r="B935" s="1664" t="n"/>
      <c r="C935" s="1830">
        <f>C932/C521</f>
        <v/>
      </c>
      <c r="D935" s="1830">
        <f>D932/D521</f>
        <v/>
      </c>
      <c r="E935" s="1831">
        <f>E932/E521</f>
        <v/>
      </c>
      <c r="F935" s="1831">
        <f>F932/F521</f>
        <v/>
      </c>
      <c r="G935" s="1832">
        <f>G932/G521</f>
        <v/>
      </c>
      <c r="H935" s="1832">
        <f>H932/H521</f>
        <v/>
      </c>
      <c r="I935" s="1832">
        <f>I932/I521</f>
        <v/>
      </c>
      <c r="J935" s="1832">
        <f>J932/J521</f>
        <v/>
      </c>
      <c r="K935" s="1831">
        <f>K932/K521</f>
        <v/>
      </c>
      <c r="L935" s="1832">
        <f>L932/L521</f>
        <v/>
      </c>
      <c r="M935" s="1832">
        <f>M932/M521</f>
        <v/>
      </c>
      <c r="N935" s="1832">
        <f>N932/N521</f>
        <v/>
      </c>
      <c r="O935" s="1832">
        <f>O932/O521</f>
        <v/>
      </c>
      <c r="P935" s="1831">
        <f>P932/P521</f>
        <v/>
      </c>
      <c r="Q935" s="1832">
        <f>Q932/Q521</f>
        <v/>
      </c>
      <c r="R935" s="1832">
        <f>R932/R521</f>
        <v/>
      </c>
      <c r="S935" s="1832">
        <f>S932/S521</f>
        <v/>
      </c>
      <c r="T935" s="1832">
        <f>T932/T521</f>
        <v/>
      </c>
      <c r="U935" s="1831">
        <f>U932/U521</f>
        <v/>
      </c>
      <c r="V935" s="1832">
        <f>V932/V521</f>
        <v/>
      </c>
      <c r="W935" s="1832">
        <f>W932/W521</f>
        <v/>
      </c>
      <c r="X935" s="1832">
        <f>X932/X521</f>
        <v/>
      </c>
      <c r="Y935" s="1832">
        <f>Y932/Y521</f>
        <v/>
      </c>
      <c r="Z935" s="1831">
        <f>Z932/Z521</f>
        <v/>
      </c>
      <c r="AA935" s="1832">
        <f>AA932/AA521</f>
        <v/>
      </c>
      <c r="AB935" s="1832">
        <f>AB932/AB521</f>
        <v/>
      </c>
      <c r="AC935" s="1832">
        <f>AC932/AC521</f>
        <v/>
      </c>
      <c r="AD935" s="1832">
        <f>AD932/AD521</f>
        <v/>
      </c>
      <c r="AE935" s="1831">
        <f>AE932/AE521</f>
        <v/>
      </c>
      <c r="AF935" s="1832">
        <f>AF932/AF521</f>
        <v/>
      </c>
      <c r="AG935" s="1832">
        <f>AG932/AG521</f>
        <v/>
      </c>
      <c r="AH935" s="1832">
        <f>AH932/AH521</f>
        <v/>
      </c>
      <c r="AI935" s="1832">
        <f>AI932/AI521</f>
        <v/>
      </c>
      <c r="AJ935" s="1831">
        <f>AJ932/AJ521</f>
        <v/>
      </c>
      <c r="AK935" s="1832">
        <f>AK932/AK521</f>
        <v/>
      </c>
      <c r="AL935" s="1832">
        <f>AL932/AL521</f>
        <v/>
      </c>
      <c r="AM935" s="1832">
        <f>AM932/AM521</f>
        <v/>
      </c>
      <c r="AN935" s="1832">
        <f>AN932/AN521</f>
        <v/>
      </c>
      <c r="AO935" s="1831">
        <f>AO932/AO521</f>
        <v/>
      </c>
      <c r="AP935" s="1832">
        <f>AP932/AP521</f>
        <v/>
      </c>
      <c r="AQ935" s="1832">
        <f>AQ932/AQ521</f>
        <v/>
      </c>
      <c r="AR935" s="1832">
        <f>AR932/AR521</f>
        <v/>
      </c>
      <c r="AS935" s="1832">
        <f>AS932/AS521</f>
        <v/>
      </c>
      <c r="AT935" s="1831">
        <f>AT932/AT521</f>
        <v/>
      </c>
      <c r="AU935" s="1832">
        <f>AU932/AU521</f>
        <v/>
      </c>
      <c r="AV935" s="1832">
        <f>AV932/AV521</f>
        <v/>
      </c>
      <c r="AW935" s="1832">
        <f>AW932/AW521</f>
        <v/>
      </c>
      <c r="AX935" s="1832">
        <f>AX932/AX521</f>
        <v/>
      </c>
      <c r="AY935" s="1831">
        <f>AY932/AY521</f>
        <v/>
      </c>
      <c r="AZ935" s="1832">
        <f>AZ932/AZ521</f>
        <v/>
      </c>
      <c r="BA935" s="1832">
        <f>BA932/BA521</f>
        <v/>
      </c>
      <c r="BB935" s="1832">
        <f>BB932/BB521</f>
        <v/>
      </c>
      <c r="BC935" s="1832">
        <f>BC932/BC521</f>
        <v/>
      </c>
      <c r="BD935" s="1831">
        <f>BD932/BD521</f>
        <v/>
      </c>
      <c r="BE935" s="1832">
        <f>BE932/BE521</f>
        <v/>
      </c>
      <c r="BF935" s="1832">
        <f>BF932/BF521</f>
        <v/>
      </c>
      <c r="BG935" s="1832">
        <f>BG932/BG521</f>
        <v/>
      </c>
      <c r="BH935" s="1832">
        <f>BH932/BH521</f>
        <v/>
      </c>
      <c r="BI935" s="1831">
        <f>BI932/BI521</f>
        <v/>
      </c>
      <c r="BJ935" s="1832">
        <f>BJ932/BJ521</f>
        <v/>
      </c>
      <c r="BK935" s="1832">
        <f>BK932/BK521</f>
        <v/>
      </c>
      <c r="BL935" s="1832">
        <f>BL932/BL521</f>
        <v/>
      </c>
      <c r="BM935" s="1832">
        <f>BM932/BM521</f>
        <v/>
      </c>
      <c r="BN935" s="1831">
        <f>BN932/BN521</f>
        <v/>
      </c>
      <c r="BO935" s="1832">
        <f>BO932/BO521</f>
        <v/>
      </c>
      <c r="BP935" s="1832">
        <f>BP932/BP521</f>
        <v/>
      </c>
      <c r="BQ935" s="1833">
        <f>BQ932/BQ521</f>
        <v/>
      </c>
      <c r="BR935" s="1832">
        <f>BR932/BR521</f>
        <v/>
      </c>
      <c r="BS935" s="1831">
        <f>BS932/BS521</f>
        <v/>
      </c>
      <c r="BT935" s="1832">
        <f>BT932/BT521</f>
        <v/>
      </c>
      <c r="BU935" s="1832">
        <f>BU932/BU521</f>
        <v/>
      </c>
      <c r="BV935" s="1832">
        <f>BV932/BV521</f>
        <v/>
      </c>
      <c r="BW935" s="1832">
        <f>BW932/BW521</f>
        <v/>
      </c>
      <c r="BX935" s="1831">
        <f>BX932/BX521</f>
        <v/>
      </c>
      <c r="BY935" s="1831">
        <f>BY932/BY521</f>
        <v/>
      </c>
      <c r="BZ935" s="1831">
        <f>BZ932/BZ521</f>
        <v/>
      </c>
      <c r="CA935" s="1831">
        <f>CA932/CA521</f>
        <v/>
      </c>
      <c r="CB935" s="1666" t="n"/>
    </row>
    <row r="936" collapsed="1" ht="14.4" customFormat="1" customHeight="1" s="1828">
      <c r="A936" s="1829" t="inlineStr">
        <is>
          <t>Cash Flow Per Diluted Share</t>
        </is>
      </c>
      <c r="B936" s="1664" t="n"/>
      <c r="C936" s="1830">
        <f>C934/C521</f>
        <v/>
      </c>
      <c r="D936" s="1830">
        <f>D934/D521</f>
        <v/>
      </c>
      <c r="E936" s="1831">
        <f>E934/E521</f>
        <v/>
      </c>
      <c r="F936" s="1831">
        <f>F934/F521</f>
        <v/>
      </c>
      <c r="G936" s="1832">
        <f>G934/G521</f>
        <v/>
      </c>
      <c r="H936" s="1832">
        <f>H934/H521</f>
        <v/>
      </c>
      <c r="I936" s="1832">
        <f>I934/I521</f>
        <v/>
      </c>
      <c r="J936" s="1832">
        <f>J934/J521</f>
        <v/>
      </c>
      <c r="K936" s="1831">
        <f>K934/K521</f>
        <v/>
      </c>
      <c r="L936" s="1832">
        <f>L934/L521</f>
        <v/>
      </c>
      <c r="M936" s="1832">
        <f>M934/M521</f>
        <v/>
      </c>
      <c r="N936" s="1832">
        <f>N934/N521</f>
        <v/>
      </c>
      <c r="O936" s="1832">
        <f>O934/O521</f>
        <v/>
      </c>
      <c r="P936" s="1831">
        <f>P934/P521</f>
        <v/>
      </c>
      <c r="Q936" s="1832">
        <f>Q934/Q521</f>
        <v/>
      </c>
      <c r="R936" s="1832">
        <f>R934/R521</f>
        <v/>
      </c>
      <c r="S936" s="1832">
        <f>S934/S521</f>
        <v/>
      </c>
      <c r="T936" s="1832">
        <f>T934/T521</f>
        <v/>
      </c>
      <c r="U936" s="1831">
        <f>U934/U521</f>
        <v/>
      </c>
      <c r="V936" s="1832">
        <f>V934/V521</f>
        <v/>
      </c>
      <c r="W936" s="1832">
        <f>W934/W521</f>
        <v/>
      </c>
      <c r="X936" s="1832">
        <f>X934/X521</f>
        <v/>
      </c>
      <c r="Y936" s="1832">
        <f>Y934/Y521</f>
        <v/>
      </c>
      <c r="Z936" s="1831">
        <f>Z934/Z521</f>
        <v/>
      </c>
      <c r="AA936" s="1832">
        <f>AA934/AA521</f>
        <v/>
      </c>
      <c r="AB936" s="1832">
        <f>AB934/AB521</f>
        <v/>
      </c>
      <c r="AC936" s="1832">
        <f>AC934/AC521</f>
        <v/>
      </c>
      <c r="AD936" s="1832">
        <f>AD934/AD521</f>
        <v/>
      </c>
      <c r="AE936" s="1831">
        <f>AE934/AE521</f>
        <v/>
      </c>
      <c r="AF936" s="1832">
        <f>AF934/AF521</f>
        <v/>
      </c>
      <c r="AG936" s="1832">
        <f>AG934/AG521</f>
        <v/>
      </c>
      <c r="AH936" s="1832">
        <f>AH934/AH521</f>
        <v/>
      </c>
      <c r="AI936" s="1832">
        <f>AI934/AI521</f>
        <v/>
      </c>
      <c r="AJ936" s="1831">
        <f>AJ934/AJ521</f>
        <v/>
      </c>
      <c r="AK936" s="1832">
        <f>AK934/AK521</f>
        <v/>
      </c>
      <c r="AL936" s="1832">
        <f>AL934/AL521</f>
        <v/>
      </c>
      <c r="AM936" s="1832">
        <f>AM934/AM521</f>
        <v/>
      </c>
      <c r="AN936" s="1832">
        <f>AN934/AN521</f>
        <v/>
      </c>
      <c r="AO936" s="1831">
        <f>AO934/AO521</f>
        <v/>
      </c>
      <c r="AP936" s="1832">
        <f>AP934/AP521</f>
        <v/>
      </c>
      <c r="AQ936" s="1832">
        <f>AQ934/AQ521</f>
        <v/>
      </c>
      <c r="AR936" s="1832">
        <f>AR934/AR521</f>
        <v/>
      </c>
      <c r="AS936" s="1832">
        <f>AS934/AS521</f>
        <v/>
      </c>
      <c r="AT936" s="1831">
        <f>AT934/AT521</f>
        <v/>
      </c>
      <c r="AU936" s="1832">
        <f>AU934/AU521</f>
        <v/>
      </c>
      <c r="AV936" s="1832">
        <f>AV934/AV521</f>
        <v/>
      </c>
      <c r="AW936" s="1832">
        <f>AW934/AW521</f>
        <v/>
      </c>
      <c r="AX936" s="1832">
        <f>AX934/AX521</f>
        <v/>
      </c>
      <c r="AY936" s="1831">
        <f>AY934/AY521</f>
        <v/>
      </c>
      <c r="AZ936" s="1832">
        <f>AZ934/AZ521</f>
        <v/>
      </c>
      <c r="BA936" s="1832">
        <f>BA934/BA521</f>
        <v/>
      </c>
      <c r="BB936" s="1832">
        <f>BB934/BB521</f>
        <v/>
      </c>
      <c r="BC936" s="1832">
        <f>BC934/BC521</f>
        <v/>
      </c>
      <c r="BD936" s="1831">
        <f>BD934/BD521</f>
        <v/>
      </c>
      <c r="BE936" s="1832">
        <f>BE934/BE521</f>
        <v/>
      </c>
      <c r="BF936" s="1832">
        <f>BF934/BF521</f>
        <v/>
      </c>
      <c r="BG936" s="1832">
        <f>BG934/BG521</f>
        <v/>
      </c>
      <c r="BH936" s="1832">
        <f>BH934/BH521</f>
        <v/>
      </c>
      <c r="BI936" s="1831">
        <f>BI934/BI521</f>
        <v/>
      </c>
      <c r="BJ936" s="1832">
        <f>BJ934/BJ521</f>
        <v/>
      </c>
      <c r="BK936" s="1832">
        <f>BK934/BK521</f>
        <v/>
      </c>
      <c r="BL936" s="1832">
        <f>BL934/BL521</f>
        <v/>
      </c>
      <c r="BM936" s="1832">
        <f>BM934/BM521</f>
        <v/>
      </c>
      <c r="BN936" s="1831">
        <f>BN934/BN521</f>
        <v/>
      </c>
      <c r="BO936" s="1832">
        <f>BO934/BO521</f>
        <v/>
      </c>
      <c r="BP936" s="1832">
        <f>BP934/BP521</f>
        <v/>
      </c>
      <c r="BQ936" s="1833">
        <f>BQ934/BQ521</f>
        <v/>
      </c>
      <c r="BR936" s="1832">
        <f>BR934/BR521</f>
        <v/>
      </c>
      <c r="BS936" s="1831">
        <f>BS934/BS521</f>
        <v/>
      </c>
      <c r="BT936" s="1832">
        <f>BT934/BT521</f>
        <v/>
      </c>
      <c r="BU936" s="1832">
        <f>BU934/BU521</f>
        <v/>
      </c>
      <c r="BV936" s="1832">
        <f>BV934/BV521</f>
        <v/>
      </c>
      <c r="BW936" s="1832">
        <f>BW934/BW521</f>
        <v/>
      </c>
      <c r="BX936" s="1831">
        <f>BX934/BX521</f>
        <v/>
      </c>
      <c r="BY936" s="1831">
        <f>BY934/BY521</f>
        <v/>
      </c>
      <c r="BZ936" s="1831">
        <f>BZ934/BZ521</f>
        <v/>
      </c>
      <c r="CA936" s="1831">
        <f>CA934/CA521</f>
        <v/>
      </c>
      <c r="CB936" s="1666" t="n"/>
    </row>
    <row r="937" ht="14.4" customFormat="1" customHeight="1" s="1673">
      <c r="A937" s="1674" t="inlineStr">
        <is>
          <t>Consensus Estimates - Cash Flow Per Diluted Share</t>
        </is>
      </c>
      <c r="B937" s="1675" t="n"/>
      <c r="C937" s="1676" t="n"/>
      <c r="D937" s="1676" t="n"/>
      <c r="E937" s="1676" t="n"/>
      <c r="F937" s="1676" t="n"/>
      <c r="G937" s="1677" t="n"/>
      <c r="H937" s="1677" t="n"/>
      <c r="I937" s="1677" t="n"/>
      <c r="J937" s="1677" t="n"/>
      <c r="K937" s="1676" t="n"/>
      <c r="L937" s="1677" t="n"/>
      <c r="M937" s="1677" t="n"/>
      <c r="N937" s="1677" t="n"/>
      <c r="O937" s="1677" t="n"/>
      <c r="P937" s="1676" t="n"/>
      <c r="Q937" s="1677" t="n"/>
      <c r="R937" s="1677" t="n"/>
      <c r="S937" s="1677" t="n"/>
      <c r="T937" s="1677" t="n"/>
      <c r="U937" s="1676" t="n"/>
      <c r="V937" s="1677" t="n"/>
      <c r="W937" s="1834" t="n"/>
      <c r="X937" s="1834" t="n"/>
      <c r="Y937" s="1834" t="n"/>
      <c r="Z937" s="1679" t="n"/>
      <c r="AA937" s="1677" t="n"/>
      <c r="AB937" s="1834" t="n"/>
      <c r="AC937" s="1834" t="n"/>
      <c r="AD937" s="1834" t="n"/>
      <c r="AE937" s="1679" t="n"/>
      <c r="AF937" s="1677" t="n"/>
      <c r="AG937" s="1834" t="n"/>
      <c r="AH937" s="1834" t="n"/>
      <c r="AI937" s="1834" t="n"/>
      <c r="AJ937" s="1679" t="n"/>
      <c r="AK937" s="1677" t="n"/>
      <c r="AL937" s="1834" t="n"/>
      <c r="AM937" s="1834" t="n"/>
      <c r="AN937" s="1834" t="n"/>
      <c r="AO937" s="1679" t="n"/>
      <c r="AP937" s="1677" t="n"/>
      <c r="AQ937" s="1834" t="n"/>
      <c r="AR937" s="1834" t="n"/>
      <c r="AS937" s="1834" t="n"/>
      <c r="AT937" s="1679" t="n"/>
      <c r="AU937" s="1677" t="n"/>
      <c r="AV937" s="1834" t="n"/>
      <c r="AW937" s="1834" t="n"/>
      <c r="AX937" s="1834" t="n"/>
      <c r="AY937" s="1679" t="n"/>
      <c r="AZ937" s="1677" t="n"/>
      <c r="BA937" s="1834" t="n"/>
      <c r="BB937" s="1834" t="n"/>
      <c r="BC937" s="1834" t="n"/>
      <c r="BD937" s="1679" t="n"/>
      <c r="BE937" s="1677" t="n"/>
      <c r="BF937" s="1834" t="n"/>
      <c r="BG937" s="1834" t="n"/>
      <c r="BH937" s="1834" t="n"/>
      <c r="BI937" s="1679" t="n"/>
      <c r="BJ937" s="1677" t="n"/>
      <c r="BK937" s="1834" t="n"/>
      <c r="BL937" s="1834" t="n"/>
      <c r="BM937" s="1834" t="n"/>
      <c r="BN937" s="1679" t="n"/>
      <c r="BO937" s="1677" t="n"/>
      <c r="BP937" s="1834" t="n"/>
      <c r="BQ937" s="1835" t="n"/>
      <c r="BR937" s="1681">
        <f>IFERROR(VLOOKUP($A937,tb_ConsensusEstimate,MATCH(BR$5,OFFSET(tb_ConsensusEstimate,0,0,1,COLUMNS(tb_ConsensusEstimate)),0),FALSE),"-")</f>
        <v/>
      </c>
      <c r="BS937" s="1836">
        <f>IFERROR(VLOOKUP($A937,tb_ConsensusEstimate,MATCH(BS$5,OFFSET(tb_ConsensusEstimate,0,0,1,COLUMNS(tb_ConsensusEstimate)),0),FALSE),"-")</f>
        <v/>
      </c>
      <c r="BT937" s="1681">
        <f>IFERROR(VLOOKUP($A937,tb_ConsensusEstimate,MATCH(BT$5,OFFSET(tb_ConsensusEstimate,0,0,1,COLUMNS(tb_ConsensusEstimate)),0),FALSE),"-")</f>
        <v/>
      </c>
      <c r="BU937" s="1681">
        <f>IFERROR(VLOOKUP($A937,tb_ConsensusEstimate,MATCH(BU$5,OFFSET(tb_ConsensusEstimate,0,0,1,COLUMNS(tb_ConsensusEstimate)),0),FALSE),"-")</f>
        <v/>
      </c>
      <c r="BV937" s="1681">
        <f>IFERROR(VLOOKUP($A937,tb_ConsensusEstimate,MATCH(BV$5,OFFSET(tb_ConsensusEstimate,0,0,1,COLUMNS(tb_ConsensusEstimate)),0),FALSE),"-")</f>
        <v/>
      </c>
      <c r="BW937" s="1681">
        <f>IFERROR(VLOOKUP($A937,tb_ConsensusEstimate,MATCH(BW$5,OFFSET(tb_ConsensusEstimate,0,0,1,COLUMNS(tb_ConsensusEstimate)),0),FALSE),"-")</f>
        <v/>
      </c>
      <c r="BX937" s="1836">
        <f>IFERROR(VLOOKUP($A937,tb_ConsensusEstimate,MATCH(BX$5,OFFSET(tb_ConsensusEstimate,0,0,1,COLUMNS(tb_ConsensusEstimate)),0),FALSE),"-")</f>
        <v/>
      </c>
      <c r="BY937" s="1836">
        <f>IFERROR(VLOOKUP($A937,tb_ConsensusEstimate,MATCH(BY5,OFFSET(tb_ConsensusEstimate,0,0,1,COLUMNS(tb_ConsensusEstimate)),0),FALSE),"-")</f>
        <v/>
      </c>
      <c r="BZ937" s="1836">
        <f>IFERROR(VLOOKUP($A937,tb_ConsensusEstimate,MATCH(BZ5,OFFSET(tb_ConsensusEstimate,0,0,1,COLUMNS(tb_ConsensusEstimate)),0),FALSE),"-")</f>
        <v/>
      </c>
      <c r="CA937" s="1836">
        <f>IFERROR(VLOOKUP($A937,tb_ConsensusEstimate,MATCH(CA5,OFFSET(tb_ConsensusEstimate,0,0,1,COLUMNS(tb_ConsensusEstimate)),0),FALSE),"-")</f>
        <v/>
      </c>
      <c r="CB937" s="1677" t="n"/>
    </row>
    <row r="938" ht="14.4" customFormat="1" customHeight="1" s="1372">
      <c r="A938" s="1837" t="inlineStr">
        <is>
          <t>Capex</t>
        </is>
      </c>
      <c r="B938" s="1517" t="n"/>
      <c r="C938" s="1458">
        <f>C1122+C1124+C1123</f>
        <v/>
      </c>
      <c r="D938" s="1458">
        <f>D1122+D1124+D1123</f>
        <v/>
      </c>
      <c r="E938" s="1458">
        <f>E1122+E1124+E1123</f>
        <v/>
      </c>
      <c r="F938" s="1458">
        <f>F1122+F1124+F1123</f>
        <v/>
      </c>
      <c r="G938" s="1375">
        <f>G1122+G1124+G1123</f>
        <v/>
      </c>
      <c r="H938" s="1375">
        <f>H1122+H1124+H1123</f>
        <v/>
      </c>
      <c r="I938" s="1375">
        <f>I1122+I1124+I1123</f>
        <v/>
      </c>
      <c r="J938" s="1375">
        <f>J1122+J1124+J1123</f>
        <v/>
      </c>
      <c r="K938" s="1458">
        <f>K1122+K1124+K1123</f>
        <v/>
      </c>
      <c r="L938" s="1375">
        <f>L1122+L1124+L1123</f>
        <v/>
      </c>
      <c r="M938" s="1375">
        <f>M1122+M1124+M1123</f>
        <v/>
      </c>
      <c r="N938" s="1375">
        <f>N1122+N1124+N1123</f>
        <v/>
      </c>
      <c r="O938" s="1375">
        <f>O1122+O1124+O1123</f>
        <v/>
      </c>
      <c r="P938" s="1458">
        <f>P1122+P1124+P1123</f>
        <v/>
      </c>
      <c r="Q938" s="1375">
        <f>Q1122+Q1124+Q1123</f>
        <v/>
      </c>
      <c r="R938" s="1375">
        <f>R1122+R1124+R1123</f>
        <v/>
      </c>
      <c r="S938" s="1375">
        <f>S1122+S1124+S1123</f>
        <v/>
      </c>
      <c r="T938" s="1375">
        <f>T1122+T1124+T1123</f>
        <v/>
      </c>
      <c r="U938" s="1458">
        <f>U1122+U1124+U1123</f>
        <v/>
      </c>
      <c r="V938" s="1375">
        <f>V1122+V1124+V1123</f>
        <v/>
      </c>
      <c r="W938" s="1375">
        <f>W1122+W1124+W1123</f>
        <v/>
      </c>
      <c r="X938" s="1375">
        <f>X1122+X1124+X1123</f>
        <v/>
      </c>
      <c r="Y938" s="1375">
        <f>Y1122+Y1124+Y1123</f>
        <v/>
      </c>
      <c r="Z938" s="1458">
        <f>Z1122+Z1124+Z1123</f>
        <v/>
      </c>
      <c r="AA938" s="1375">
        <f>AA1122+AA1124+AA1123</f>
        <v/>
      </c>
      <c r="AB938" s="1375">
        <f>AB1122+AB1124+AB1123</f>
        <v/>
      </c>
      <c r="AC938" s="1375">
        <f>AC1122+AC1124+AC1123</f>
        <v/>
      </c>
      <c r="AD938" s="1375">
        <f>AD1122+AD1124+AD1123</f>
        <v/>
      </c>
      <c r="AE938" s="1458">
        <f>AE1122+AE1124+AE1123</f>
        <v/>
      </c>
      <c r="AF938" s="1375">
        <f>AF1122+AF1124+AF1123</f>
        <v/>
      </c>
      <c r="AG938" s="1375">
        <f>AG1122+AG1124+AG1123</f>
        <v/>
      </c>
      <c r="AH938" s="1375">
        <f>AH1122+AH1124+AH1123</f>
        <v/>
      </c>
      <c r="AI938" s="1375">
        <f>AI1122+AI1124+AI1123</f>
        <v/>
      </c>
      <c r="AJ938" s="1458">
        <f>AJ1122+AJ1124+AJ1123</f>
        <v/>
      </c>
      <c r="AK938" s="1375">
        <f>AK1122+AK1124+AK1123</f>
        <v/>
      </c>
      <c r="AL938" s="1375">
        <f>AL1122+AL1124+AL1123</f>
        <v/>
      </c>
      <c r="AM938" s="1375">
        <f>AM1122+AM1124+AM1123</f>
        <v/>
      </c>
      <c r="AN938" s="1375">
        <f>AN1122+AN1124+AN1123</f>
        <v/>
      </c>
      <c r="AO938" s="1458">
        <f>AO1122+AO1124+AO1123</f>
        <v/>
      </c>
      <c r="AP938" s="1375">
        <f>AP1122+AP1124+AP1123</f>
        <v/>
      </c>
      <c r="AQ938" s="1375">
        <f>AQ1122+AQ1124+AQ1123</f>
        <v/>
      </c>
      <c r="AR938" s="1375">
        <f>AR1122+AR1124+AR1123</f>
        <v/>
      </c>
      <c r="AS938" s="1375">
        <f>AS1122+AS1124+AS1123</f>
        <v/>
      </c>
      <c r="AT938" s="1458">
        <f>AT1122+AT1124+AT1123</f>
        <v/>
      </c>
      <c r="AU938" s="1375">
        <f>AU1122+AU1124+AU1123</f>
        <v/>
      </c>
      <c r="AV938" s="1375">
        <f>AV1122+AV1124+AV1123</f>
        <v/>
      </c>
      <c r="AW938" s="1375">
        <f>AW1122+AW1124+AW1123</f>
        <v/>
      </c>
      <c r="AX938" s="1375">
        <f>AX1122+AX1124+AX1123</f>
        <v/>
      </c>
      <c r="AY938" s="1458">
        <f>AY1122+AY1124+AY1123</f>
        <v/>
      </c>
      <c r="AZ938" s="1375">
        <f>AZ1122+AZ1124+AZ1123</f>
        <v/>
      </c>
      <c r="BA938" s="1375">
        <f>BA1122+BA1124+BA1123</f>
        <v/>
      </c>
      <c r="BB938" s="1375">
        <f>BB1122+BB1124+BB1123</f>
        <v/>
      </c>
      <c r="BC938" s="1375">
        <f>BC1122+BC1124+BC1123</f>
        <v/>
      </c>
      <c r="BD938" s="1458">
        <f>BD1122+BD1124+BD1123</f>
        <v/>
      </c>
      <c r="BE938" s="1375">
        <f>BE1122+BE1124+BE1123</f>
        <v/>
      </c>
      <c r="BF938" s="1375">
        <f>BF1122+BF1124+BF1123</f>
        <v/>
      </c>
      <c r="BG938" s="1375">
        <f>BG1122+BG1124+BG1123</f>
        <v/>
      </c>
      <c r="BH938" s="1375">
        <f>BH1122+BH1124+BH1123</f>
        <v/>
      </c>
      <c r="BI938" s="1458">
        <f>BI1122+BI1124+BI1123</f>
        <v/>
      </c>
      <c r="BJ938" s="1375">
        <f>BJ1122+BJ1124+BJ1123</f>
        <v/>
      </c>
      <c r="BK938" s="1375">
        <f>BK1122+BK1124+BK1123</f>
        <v/>
      </c>
      <c r="BL938" s="1375">
        <f>BL1122+BL1124+BL1123</f>
        <v/>
      </c>
      <c r="BM938" s="1375">
        <f>BM1122+BM1124+BM1123</f>
        <v/>
      </c>
      <c r="BN938" s="1458">
        <f>BN1122+BN1124+BN1123</f>
        <v/>
      </c>
      <c r="BO938" s="1375">
        <f>BO1122+BO1124+BO1123</f>
        <v/>
      </c>
      <c r="BP938" s="1375">
        <f>BP1122+BP1124+BP1123</f>
        <v/>
      </c>
      <c r="BQ938" s="1459">
        <f>BQ1122+BQ1124+BQ1123</f>
        <v/>
      </c>
      <c r="BR938" s="1838" t="n">
        <v>-50</v>
      </c>
      <c r="BS938" s="1449">
        <f>BS1122+BS1124+BS1123</f>
        <v/>
      </c>
      <c r="BT938" s="1838" t="n">
        <v>-37.5</v>
      </c>
      <c r="BU938" s="1838" t="n">
        <v>-37.5</v>
      </c>
      <c r="BV938" s="1838" t="n">
        <v>-37.5</v>
      </c>
      <c r="BW938" s="1838" t="n">
        <v>-37.5</v>
      </c>
      <c r="BX938" s="1449">
        <f>BX1122+BX1124+BX1123</f>
        <v/>
      </c>
      <c r="BY938" s="1839" t="n">
        <v>-150</v>
      </c>
      <c r="BZ938" s="1839" t="n">
        <v>-150</v>
      </c>
      <c r="CA938" s="1839" t="n">
        <v>-150</v>
      </c>
      <c r="CB938" s="1375" t="n"/>
    </row>
    <row r="939" ht="14.4" customFormat="1" customHeight="1" s="1588">
      <c r="A939" s="1589">
        <f>CONCATENATE("Consensus Estimates - ",IFERROR(LEFT(A938,FIND("(",A938)-1),A938))</f>
        <v/>
      </c>
      <c r="B939" s="1590" t="n"/>
      <c r="C939" s="1409" t="n"/>
      <c r="D939" s="1409" t="n"/>
      <c r="E939" s="1409" t="n"/>
      <c r="F939" s="1409" t="n"/>
      <c r="G939" s="1410" t="n"/>
      <c r="H939" s="1410" t="n"/>
      <c r="I939" s="1410" t="n"/>
      <c r="J939" s="1410" t="n"/>
      <c r="K939" s="1409" t="n"/>
      <c r="L939" s="1410" t="n"/>
      <c r="M939" s="1410" t="n"/>
      <c r="N939" s="1410" t="n"/>
      <c r="O939" s="1410" t="n"/>
      <c r="P939" s="1409" t="n"/>
      <c r="Q939" s="1410" t="n"/>
      <c r="R939" s="1410" t="n"/>
      <c r="S939" s="1410" t="n"/>
      <c r="T939" s="1410" t="n"/>
      <c r="U939" s="1409" t="n"/>
      <c r="V939" s="1410" t="n"/>
      <c r="W939" s="1591" t="n"/>
      <c r="X939" s="1591" t="n"/>
      <c r="Y939" s="1591" t="n"/>
      <c r="Z939" s="1413" t="n"/>
      <c r="AA939" s="1410" t="n"/>
      <c r="AB939" s="1591" t="n"/>
      <c r="AC939" s="1591" t="n"/>
      <c r="AD939" s="1591" t="n"/>
      <c r="AE939" s="1413" t="n"/>
      <c r="AF939" s="1410" t="n"/>
      <c r="AG939" s="1591" t="n"/>
      <c r="AH939" s="1591" t="n"/>
      <c r="AI939" s="1591" t="n"/>
      <c r="AJ939" s="1413" t="n"/>
      <c r="AK939" s="1410" t="n"/>
      <c r="AL939" s="1591" t="n"/>
      <c r="AM939" s="1591" t="n"/>
      <c r="AN939" s="1591" t="n"/>
      <c r="AO939" s="1413" t="n"/>
      <c r="AP939" s="1410" t="n"/>
      <c r="AQ939" s="1591" t="n"/>
      <c r="AR939" s="1591" t="n"/>
      <c r="AS939" s="1591" t="n"/>
      <c r="AT939" s="1413" t="n"/>
      <c r="AU939" s="1410" t="n"/>
      <c r="AV939" s="1591" t="n"/>
      <c r="AW939" s="1591" t="n"/>
      <c r="AX939" s="1591" t="n"/>
      <c r="AY939" s="1413" t="n"/>
      <c r="AZ939" s="1410" t="n"/>
      <c r="BA939" s="1591" t="n"/>
      <c r="BB939" s="1591" t="n"/>
      <c r="BC939" s="1591" t="n"/>
      <c r="BD939" s="1413" t="n"/>
      <c r="BE939" s="1410" t="n"/>
      <c r="BF939" s="1591" t="n"/>
      <c r="BG939" s="1591" t="n"/>
      <c r="BH939" s="1591" t="n"/>
      <c r="BI939" s="1413" t="n"/>
      <c r="BJ939" s="1410" t="n"/>
      <c r="BK939" s="1591" t="n"/>
      <c r="BL939" s="1591" t="n"/>
      <c r="BM939" s="1591" t="n"/>
      <c r="BN939" s="1413" t="n"/>
      <c r="BO939" s="1410" t="n"/>
      <c r="BP939" s="1591" t="n"/>
      <c r="BQ939" s="1592" t="n"/>
      <c r="BR939" s="1412">
        <f>IFERROR(VLOOKUP($A939,tb_ConsensusEstimate,MATCH(BR$5,OFFSET(tb_ConsensusEstimate,0,0,1,COLUMNS(tb_ConsensusEstimate)),0),FALSE),"-")</f>
        <v/>
      </c>
      <c r="BS939" s="1840">
        <f>IFERROR(VLOOKUP($A939,tb_ConsensusEstimate,MATCH(BS$5,OFFSET(tb_ConsensusEstimate,0,0,1,COLUMNS(tb_ConsensusEstimate)),0),FALSE),"-")</f>
        <v/>
      </c>
      <c r="BT939" s="1412">
        <f>IFERROR(VLOOKUP($A939,tb_ConsensusEstimate,MATCH(BT$5,OFFSET(tb_ConsensusEstimate,0,0,1,COLUMNS(tb_ConsensusEstimate)),0),FALSE),"-")</f>
        <v/>
      </c>
      <c r="BU939" s="1412">
        <f>IFERROR(VLOOKUP($A939,tb_ConsensusEstimate,MATCH(BU$5,OFFSET(tb_ConsensusEstimate,0,0,1,COLUMNS(tb_ConsensusEstimate)),0),FALSE),"-")</f>
        <v/>
      </c>
      <c r="BV939" s="1412">
        <f>IFERROR(VLOOKUP($A939,tb_ConsensusEstimate,MATCH(BV$5,OFFSET(tb_ConsensusEstimate,0,0,1,COLUMNS(tb_ConsensusEstimate)),0),FALSE),"-")</f>
        <v/>
      </c>
      <c r="BW939" s="1412">
        <f>IFERROR(VLOOKUP($A939,tb_ConsensusEstimate,MATCH(BW$5,OFFSET(tb_ConsensusEstimate,0,0,1,COLUMNS(tb_ConsensusEstimate)),0),FALSE),"-")</f>
        <v/>
      </c>
      <c r="BX939" s="1840">
        <f>IFERROR(VLOOKUP($A939,tb_ConsensusEstimate,MATCH(BX$5,OFFSET(tb_ConsensusEstimate,0,0,1,COLUMNS(tb_ConsensusEstimate)),0),FALSE),"-")</f>
        <v/>
      </c>
      <c r="BY939" s="1840">
        <f>IFERROR(VLOOKUP($A939,tb_ConsensusEstimate,MATCH(BY5,OFFSET(tb_ConsensusEstimate,0,0,1,COLUMNS(tb_ConsensusEstimate)),0),FALSE),"-")</f>
        <v/>
      </c>
      <c r="BZ939" s="1840">
        <f>IFERROR(VLOOKUP($A939,tb_ConsensusEstimate,MATCH(BZ5,OFFSET(tb_ConsensusEstimate,0,0,1,COLUMNS(tb_ConsensusEstimate)),0),FALSE),"-")</f>
        <v/>
      </c>
      <c r="CA939" s="1840">
        <f>IFERROR(VLOOKUP($A939,tb_ConsensusEstimate,MATCH(CA5,OFFSET(tb_ConsensusEstimate,0,0,1,COLUMNS(tb_ConsensusEstimate)),0),FALSE),"-")</f>
        <v/>
      </c>
      <c r="CB939" s="1410" t="n"/>
    </row>
    <row r="940" ht="14.4" customFormat="1" customHeight="1" s="1588">
      <c r="A940" s="1589">
        <f>CONCATENATE("Guidance - ",IFERROR(LEFT(A938,FIND("(",A938)-1),A938))</f>
        <v/>
      </c>
      <c r="B940" s="1590" t="n"/>
      <c r="C940" s="1409" t="n"/>
      <c r="D940" s="1409" t="n"/>
      <c r="E940" s="1409" t="n"/>
      <c r="F940" s="1409" t="n"/>
      <c r="G940" s="1410" t="n"/>
      <c r="H940" s="1410" t="n"/>
      <c r="I940" s="1410" t="n"/>
      <c r="J940" s="1410" t="n"/>
      <c r="K940" s="1409" t="n"/>
      <c r="L940" s="1410" t="n"/>
      <c r="M940" s="1410" t="n"/>
      <c r="N940" s="1410" t="n"/>
      <c r="O940" s="1410" t="n"/>
      <c r="P940" s="1409" t="n"/>
      <c r="Q940" s="1410" t="n"/>
      <c r="R940" s="1410" t="n"/>
      <c r="S940" s="1410" t="n"/>
      <c r="T940" s="1410" t="n"/>
      <c r="U940" s="1409" t="n"/>
      <c r="V940" s="1410" t="n"/>
      <c r="W940" s="1591" t="n"/>
      <c r="X940" s="1591" t="n"/>
      <c r="Y940" s="1591" t="n"/>
      <c r="Z940" s="1413" t="n"/>
      <c r="AA940" s="1410" t="n"/>
      <c r="AB940" s="1591" t="n"/>
      <c r="AC940" s="1591" t="n"/>
      <c r="AD940" s="1591" t="n"/>
      <c r="AE940" s="1413" t="n"/>
      <c r="AF940" s="1410" t="n"/>
      <c r="AG940" s="1591" t="n"/>
      <c r="AH940" s="1591" t="n"/>
      <c r="AI940" s="1591" t="n"/>
      <c r="AJ940" s="1413" t="n"/>
      <c r="AK940" s="1410" t="n"/>
      <c r="AL940" s="1591" t="n"/>
      <c r="AM940" s="1591" t="n"/>
      <c r="AN940" s="1591" t="n"/>
      <c r="AO940" s="1413" t="n"/>
      <c r="AP940" s="1410" t="n"/>
      <c r="AQ940" s="1591" t="n"/>
      <c r="AR940" s="1591" t="n"/>
      <c r="AS940" s="1591">
        <f>IFERROR(-AS899,"N/A")</f>
        <v/>
      </c>
      <c r="AT940" s="1413">
        <f>IFERROR(-AT899,"N/A")</f>
        <v/>
      </c>
      <c r="AU940" s="1410" t="n"/>
      <c r="AV940" s="1591" t="n"/>
      <c r="AW940" s="1591" t="n"/>
      <c r="AX940" s="1591">
        <f>IFERROR(-AX899,"N/A")</f>
        <v/>
      </c>
      <c r="AY940" s="1413">
        <f>IFERROR(-AY899,"N/A")</f>
        <v/>
      </c>
      <c r="AZ940" s="1410" t="n"/>
      <c r="BA940" s="1591" t="n"/>
      <c r="BB940" s="1591" t="n"/>
      <c r="BC940" s="1591">
        <f>IFERROR(-BC899,"N/A")</f>
        <v/>
      </c>
      <c r="BD940" s="1413">
        <f>IFERROR(-BD899,"N/A")</f>
        <v/>
      </c>
      <c r="BE940" s="1410" t="n"/>
      <c r="BF940" s="1591" t="n"/>
      <c r="BG940" s="1591" t="n"/>
      <c r="BH940" s="1591">
        <f>IFERROR(-BH899,"N/A")</f>
        <v/>
      </c>
      <c r="BI940" s="1413">
        <f>IFERROR(-BI899,"N/A")</f>
        <v/>
      </c>
      <c r="BJ940" s="1410" t="n"/>
      <c r="BK940" s="1591" t="n"/>
      <c r="BL940" s="1591" t="n"/>
      <c r="BM940" s="1591">
        <f>IFERROR(-BM899,"N/A")</f>
        <v/>
      </c>
      <c r="BN940" s="1413">
        <f>IFERROR(-BN899,"N/A")</f>
        <v/>
      </c>
      <c r="BO940" s="1410" t="n"/>
      <c r="BP940" s="1591" t="n"/>
      <c r="BQ940" s="1592" t="n"/>
      <c r="BR940" s="1412">
        <f>IFERROR(-BR899,"N/A")</f>
        <v/>
      </c>
      <c r="BS940" s="1840">
        <f>IFERROR(-BS899,"N/A")</f>
        <v/>
      </c>
      <c r="BT940" s="1412">
        <f>IFERROR(-BT899,"N/A")</f>
        <v/>
      </c>
      <c r="BU940" s="1412">
        <f>IFERROR(-BU899,"N/A")</f>
        <v/>
      </c>
      <c r="BV940" s="1412">
        <f>IFERROR(-BV899,"N/A")</f>
        <v/>
      </c>
      <c r="BW940" s="1412">
        <f>IFERROR(-BW899,"N/A")</f>
        <v/>
      </c>
      <c r="BX940" s="1840">
        <f>IFERROR(-BX899,"N/A")</f>
        <v/>
      </c>
      <c r="BY940" s="1840">
        <f>IFERROR(-BY899,"N/A")</f>
        <v/>
      </c>
      <c r="BZ940" s="1840">
        <f>IFERROR(-BZ899,"N/A")</f>
        <v/>
      </c>
      <c r="CA940" s="1840">
        <f>IFERROR(-CA899,"N/A")</f>
        <v/>
      </c>
      <c r="CB940" s="1410" t="n"/>
    </row>
    <row r="941" ht="14.4" customFormat="1" customHeight="1" s="1359">
      <c r="A941" s="1364" t="inlineStr">
        <is>
          <t>Acquisitions</t>
        </is>
      </c>
      <c r="B941" s="1512" t="n"/>
      <c r="C941" s="1378">
        <f>C1126</f>
        <v/>
      </c>
      <c r="D941" s="1378">
        <f>D1126</f>
        <v/>
      </c>
      <c r="E941" s="1378">
        <f>E1126</f>
        <v/>
      </c>
      <c r="F941" s="1378">
        <f>F1126</f>
        <v/>
      </c>
      <c r="G941" s="1364">
        <f>G1126</f>
        <v/>
      </c>
      <c r="H941" s="1364">
        <f>H1126</f>
        <v/>
      </c>
      <c r="I941" s="1364">
        <f>I1126</f>
        <v/>
      </c>
      <c r="J941" s="1364">
        <f>J1126</f>
        <v/>
      </c>
      <c r="K941" s="1378">
        <f>K1126</f>
        <v/>
      </c>
      <c r="L941" s="1364">
        <f>L1126</f>
        <v/>
      </c>
      <c r="M941" s="1364">
        <f>M1126</f>
        <v/>
      </c>
      <c r="N941" s="1364">
        <f>N1126</f>
        <v/>
      </c>
      <c r="O941" s="1364">
        <f>O1126</f>
        <v/>
      </c>
      <c r="P941" s="1378">
        <f>P1126</f>
        <v/>
      </c>
      <c r="Q941" s="1364">
        <f>Q1126</f>
        <v/>
      </c>
      <c r="R941" s="1364">
        <f>R1126</f>
        <v/>
      </c>
      <c r="S941" s="1364">
        <f>S1126</f>
        <v/>
      </c>
      <c r="T941" s="1364">
        <f>T1126</f>
        <v/>
      </c>
      <c r="U941" s="1378">
        <f>U1126</f>
        <v/>
      </c>
      <c r="V941" s="1364">
        <f>V1126</f>
        <v/>
      </c>
      <c r="W941" s="1364">
        <f>W1126</f>
        <v/>
      </c>
      <c r="X941" s="1364">
        <f>X1126</f>
        <v/>
      </c>
      <c r="Y941" s="1364">
        <f>Y1126</f>
        <v/>
      </c>
      <c r="Z941" s="1378">
        <f>Z1126</f>
        <v/>
      </c>
      <c r="AA941" s="1364">
        <f>AA1126</f>
        <v/>
      </c>
      <c r="AB941" s="1364">
        <f>AB1126</f>
        <v/>
      </c>
      <c r="AC941" s="1364">
        <f>AC1126</f>
        <v/>
      </c>
      <c r="AD941" s="1364">
        <f>AD1126</f>
        <v/>
      </c>
      <c r="AE941" s="1378">
        <f>AE1126</f>
        <v/>
      </c>
      <c r="AF941" s="1364">
        <f>AF1126</f>
        <v/>
      </c>
      <c r="AG941" s="1364">
        <f>AG1126</f>
        <v/>
      </c>
      <c r="AH941" s="1364">
        <f>AH1126</f>
        <v/>
      </c>
      <c r="AI941" s="1364">
        <f>AI1126</f>
        <v/>
      </c>
      <c r="AJ941" s="1378">
        <f>AJ1126</f>
        <v/>
      </c>
      <c r="AK941" s="1364">
        <f>AK1126</f>
        <v/>
      </c>
      <c r="AL941" s="1364">
        <f>AL1126</f>
        <v/>
      </c>
      <c r="AM941" s="1364">
        <f>AM1126</f>
        <v/>
      </c>
      <c r="AN941" s="1364">
        <f>AN1126</f>
        <v/>
      </c>
      <c r="AO941" s="1378">
        <f>AO1126</f>
        <v/>
      </c>
      <c r="AP941" s="1364">
        <f>AP1126</f>
        <v/>
      </c>
      <c r="AQ941" s="1364">
        <f>AQ1126</f>
        <v/>
      </c>
      <c r="AR941" s="1364">
        <f>AR1126</f>
        <v/>
      </c>
      <c r="AS941" s="1364">
        <f>AS1126</f>
        <v/>
      </c>
      <c r="AT941" s="1378">
        <f>AT1126</f>
        <v/>
      </c>
      <c r="AU941" s="1364">
        <f>AU1126</f>
        <v/>
      </c>
      <c r="AV941" s="1364">
        <f>AV1126</f>
        <v/>
      </c>
      <c r="AW941" s="1364">
        <f>AW1126</f>
        <v/>
      </c>
      <c r="AX941" s="1364">
        <f>AX1126</f>
        <v/>
      </c>
      <c r="AY941" s="1378">
        <f>AY1126</f>
        <v/>
      </c>
      <c r="AZ941" s="1364">
        <f>AZ1126</f>
        <v/>
      </c>
      <c r="BA941" s="1364">
        <f>BA1126</f>
        <v/>
      </c>
      <c r="BB941" s="1364">
        <f>BB1126</f>
        <v/>
      </c>
      <c r="BC941" s="1364">
        <f>BC1126</f>
        <v/>
      </c>
      <c r="BD941" s="1378">
        <f>BD1126</f>
        <v/>
      </c>
      <c r="BE941" s="1364">
        <f>BE1126</f>
        <v/>
      </c>
      <c r="BF941" s="1364">
        <f>BF1126</f>
        <v/>
      </c>
      <c r="BG941" s="1364">
        <f>BG1126</f>
        <v/>
      </c>
      <c r="BH941" s="1364">
        <f>BH1126</f>
        <v/>
      </c>
      <c r="BI941" s="1378">
        <f>BI1126</f>
        <v/>
      </c>
      <c r="BJ941" s="1364">
        <f>BJ1126</f>
        <v/>
      </c>
      <c r="BK941" s="1364">
        <f>BK1126</f>
        <v/>
      </c>
      <c r="BL941" s="1364">
        <f>BL1126</f>
        <v/>
      </c>
      <c r="BM941" s="1364">
        <f>BM1126</f>
        <v/>
      </c>
      <c r="BN941" s="1378">
        <f>BN1126</f>
        <v/>
      </c>
      <c r="BO941" s="1364">
        <f>BO1126</f>
        <v/>
      </c>
      <c r="BP941" s="1364">
        <f>BP1126</f>
        <v/>
      </c>
      <c r="BQ941" s="1395">
        <f>BQ1126</f>
        <v/>
      </c>
      <c r="BR941" s="1493" t="n">
        <v>0</v>
      </c>
      <c r="BS941" s="1379">
        <f>BS1126</f>
        <v/>
      </c>
      <c r="BT941" s="1493" t="n">
        <v>0</v>
      </c>
      <c r="BU941" s="1493" t="n">
        <v>0</v>
      </c>
      <c r="BV941" s="1493" t="n">
        <v>0</v>
      </c>
      <c r="BW941" s="1493" t="n">
        <v>0</v>
      </c>
      <c r="BX941" s="1379">
        <f>BX1126</f>
        <v/>
      </c>
      <c r="BY941" s="1494" t="n">
        <v>0</v>
      </c>
      <c r="BZ941" s="1494" t="n">
        <v>0</v>
      </c>
      <c r="CA941" s="1494" t="n">
        <v>0</v>
      </c>
      <c r="CB941" s="1364" t="n"/>
    </row>
    <row r="942" ht="14.4" customFormat="1" customHeight="1" s="1359">
      <c r="A942" s="1364" t="inlineStr">
        <is>
          <t>Divestiture</t>
        </is>
      </c>
      <c r="B942" s="1512" t="n"/>
      <c r="C942" s="1378">
        <f>C1118+C1121</f>
        <v/>
      </c>
      <c r="D942" s="1378">
        <f>D1118+D1121</f>
        <v/>
      </c>
      <c r="E942" s="1378">
        <f>E1118+E1121</f>
        <v/>
      </c>
      <c r="F942" s="1378">
        <f>F1118+F1121</f>
        <v/>
      </c>
      <c r="G942" s="1364">
        <f>G1118+G1121</f>
        <v/>
      </c>
      <c r="H942" s="1364">
        <f>H1118+H1121</f>
        <v/>
      </c>
      <c r="I942" s="1364">
        <f>I1118+I1121</f>
        <v/>
      </c>
      <c r="J942" s="1364">
        <f>J1118+J1121</f>
        <v/>
      </c>
      <c r="K942" s="1378">
        <f>K1118+K1121</f>
        <v/>
      </c>
      <c r="L942" s="1364">
        <f>L1118+L1121</f>
        <v/>
      </c>
      <c r="M942" s="1364">
        <f>M1118+M1121</f>
        <v/>
      </c>
      <c r="N942" s="1364">
        <f>N1118+N1121</f>
        <v/>
      </c>
      <c r="O942" s="1364">
        <f>O1118+O1121</f>
        <v/>
      </c>
      <c r="P942" s="1378">
        <f>P1118+P1121</f>
        <v/>
      </c>
      <c r="Q942" s="1364">
        <f>Q1118+Q1121</f>
        <v/>
      </c>
      <c r="R942" s="1364">
        <f>R1118+R1121</f>
        <v/>
      </c>
      <c r="S942" s="1364">
        <f>S1118+S1121</f>
        <v/>
      </c>
      <c r="T942" s="1364">
        <f>T1118+T1121</f>
        <v/>
      </c>
      <c r="U942" s="1378">
        <f>U1118+U1121</f>
        <v/>
      </c>
      <c r="V942" s="1364">
        <f>V1118+V1121</f>
        <v/>
      </c>
      <c r="W942" s="1364">
        <f>W1118+W1121</f>
        <v/>
      </c>
      <c r="X942" s="1364">
        <f>X1118+X1121</f>
        <v/>
      </c>
      <c r="Y942" s="1364">
        <f>Y1118+Y1121</f>
        <v/>
      </c>
      <c r="Z942" s="1378">
        <f>Z1118+Z1121</f>
        <v/>
      </c>
      <c r="AA942" s="1364">
        <f>AA1118+AA1121</f>
        <v/>
      </c>
      <c r="AB942" s="1364">
        <f>AB1118+AB1121</f>
        <v/>
      </c>
      <c r="AC942" s="1364">
        <f>AC1118+AC1121</f>
        <v/>
      </c>
      <c r="AD942" s="1364">
        <f>AD1118+AD1121</f>
        <v/>
      </c>
      <c r="AE942" s="1378">
        <f>AE1118+AE1121</f>
        <v/>
      </c>
      <c r="AF942" s="1364">
        <f>AF1118+AF1121</f>
        <v/>
      </c>
      <c r="AG942" s="1364">
        <f>AG1118+AG1121</f>
        <v/>
      </c>
      <c r="AH942" s="1364">
        <f>AH1118+AH1121</f>
        <v/>
      </c>
      <c r="AI942" s="1364">
        <f>AI1118+AI1121</f>
        <v/>
      </c>
      <c r="AJ942" s="1378">
        <f>AJ1118+AJ1121</f>
        <v/>
      </c>
      <c r="AK942" s="1364">
        <f>AK1118+AK1121</f>
        <v/>
      </c>
      <c r="AL942" s="1364">
        <f>AL1118+AL1121</f>
        <v/>
      </c>
      <c r="AM942" s="1364">
        <f>AM1118+AM1121</f>
        <v/>
      </c>
      <c r="AN942" s="1364">
        <f>AN1118+AN1121</f>
        <v/>
      </c>
      <c r="AO942" s="1378">
        <f>AO1118+AO1121</f>
        <v/>
      </c>
      <c r="AP942" s="1364">
        <f>AP1118+AP1121</f>
        <v/>
      </c>
      <c r="AQ942" s="1364">
        <f>AQ1118+AQ1121</f>
        <v/>
      </c>
      <c r="AR942" s="1364">
        <f>AR1118+AR1121</f>
        <v/>
      </c>
      <c r="AS942" s="1364">
        <f>AS1118+AS1121</f>
        <v/>
      </c>
      <c r="AT942" s="1378">
        <f>AT1118+AT1121</f>
        <v/>
      </c>
      <c r="AU942" s="1364">
        <f>AU1118+AU1121</f>
        <v/>
      </c>
      <c r="AV942" s="1364">
        <f>AV1118+AV1121</f>
        <v/>
      </c>
      <c r="AW942" s="1364">
        <f>AW1118+AW1121</f>
        <v/>
      </c>
      <c r="AX942" s="1364">
        <f>AX1118+AX1121</f>
        <v/>
      </c>
      <c r="AY942" s="1378">
        <f>AY1118+AY1121</f>
        <v/>
      </c>
      <c r="AZ942" s="1364">
        <f>AZ1118+AZ1121</f>
        <v/>
      </c>
      <c r="BA942" s="1364">
        <f>BA1118+BA1121</f>
        <v/>
      </c>
      <c r="BB942" s="1364">
        <f>BB1118+BB1121</f>
        <v/>
      </c>
      <c r="BC942" s="1364">
        <f>BC1118+BC1121</f>
        <v/>
      </c>
      <c r="BD942" s="1378">
        <f>BD1118+BD1121</f>
        <v/>
      </c>
      <c r="BE942" s="1364">
        <f>BE1118+BE1121</f>
        <v/>
      </c>
      <c r="BF942" s="1364">
        <f>BF1118+BF1121</f>
        <v/>
      </c>
      <c r="BG942" s="1364">
        <f>BG1118+BG1121</f>
        <v/>
      </c>
      <c r="BH942" s="1364">
        <f>BH1118+BH1121</f>
        <v/>
      </c>
      <c r="BI942" s="1378">
        <f>BI1118+BI1121</f>
        <v/>
      </c>
      <c r="BJ942" s="1364">
        <f>BJ1118+BJ1121</f>
        <v/>
      </c>
      <c r="BK942" s="1364">
        <f>BK1118+BK1121</f>
        <v/>
      </c>
      <c r="BL942" s="1364">
        <f>BL1118+BL1121</f>
        <v/>
      </c>
      <c r="BM942" s="1364">
        <f>BM1118+BM1121</f>
        <v/>
      </c>
      <c r="BN942" s="1378">
        <f>BN1118+BN1121</f>
        <v/>
      </c>
      <c r="BO942" s="1364">
        <f>BO1118+BO1121</f>
        <v/>
      </c>
      <c r="BP942" s="1364">
        <f>BP1118+BP1121</f>
        <v/>
      </c>
      <c r="BQ942" s="1395">
        <f>BQ1118+BQ1121</f>
        <v/>
      </c>
      <c r="BR942" s="1493" t="n">
        <v>0</v>
      </c>
      <c r="BS942" s="1379">
        <f>BS1118+BS1121</f>
        <v/>
      </c>
      <c r="BT942" s="1493" t="n">
        <v>0</v>
      </c>
      <c r="BU942" s="1493" t="n">
        <v>0</v>
      </c>
      <c r="BV942" s="1493" t="n">
        <v>0</v>
      </c>
      <c r="BW942" s="1493" t="n">
        <v>0</v>
      </c>
      <c r="BX942" s="1379">
        <f>BX1118+BX1121</f>
        <v/>
      </c>
      <c r="BY942" s="1494" t="n">
        <v>0</v>
      </c>
      <c r="BZ942" s="1494" t="n">
        <v>0</v>
      </c>
      <c r="CA942" s="1494" t="n">
        <v>0</v>
      </c>
      <c r="CB942" s="1364" t="n"/>
    </row>
    <row r="943" ht="14.4" customFormat="1" customHeight="1" s="1359">
      <c r="A943" s="1364" t="inlineStr">
        <is>
          <t>Dividend Paid</t>
        </is>
      </c>
      <c r="B943" s="1512" t="n"/>
      <c r="C943" s="1378">
        <f>C1148</f>
        <v/>
      </c>
      <c r="D943" s="1378">
        <f>D1148</f>
        <v/>
      </c>
      <c r="E943" s="1378">
        <f>E1148</f>
        <v/>
      </c>
      <c r="F943" s="1378">
        <f>F1148</f>
        <v/>
      </c>
      <c r="G943" s="1364">
        <f>G1148</f>
        <v/>
      </c>
      <c r="H943" s="1364">
        <f>H1148</f>
        <v/>
      </c>
      <c r="I943" s="1364">
        <f>I1148</f>
        <v/>
      </c>
      <c r="J943" s="1364">
        <f>J1148</f>
        <v/>
      </c>
      <c r="K943" s="1378">
        <f>K1148</f>
        <v/>
      </c>
      <c r="L943" s="1364">
        <f>L1148</f>
        <v/>
      </c>
      <c r="M943" s="1364">
        <f>M1148</f>
        <v/>
      </c>
      <c r="N943" s="1364">
        <f>N1148</f>
        <v/>
      </c>
      <c r="O943" s="1364">
        <f>O1148</f>
        <v/>
      </c>
      <c r="P943" s="1378">
        <f>P1148</f>
        <v/>
      </c>
      <c r="Q943" s="1364">
        <f>Q1148</f>
        <v/>
      </c>
      <c r="R943" s="1364">
        <f>R1148</f>
        <v/>
      </c>
      <c r="S943" s="1364">
        <f>S1148</f>
        <v/>
      </c>
      <c r="T943" s="1364">
        <f>T1148</f>
        <v/>
      </c>
      <c r="U943" s="1378">
        <f>U1148</f>
        <v/>
      </c>
      <c r="V943" s="1364">
        <f>V1148</f>
        <v/>
      </c>
      <c r="W943" s="1364">
        <f>W1148</f>
        <v/>
      </c>
      <c r="X943" s="1364">
        <f>X1148</f>
        <v/>
      </c>
      <c r="Y943" s="1364">
        <f>Y1148</f>
        <v/>
      </c>
      <c r="Z943" s="1378">
        <f>Z1148</f>
        <v/>
      </c>
      <c r="AA943" s="1364">
        <f>AA1148</f>
        <v/>
      </c>
      <c r="AB943" s="1364">
        <f>AB1148</f>
        <v/>
      </c>
      <c r="AC943" s="1364">
        <f>AC1148</f>
        <v/>
      </c>
      <c r="AD943" s="1364">
        <f>AD1148</f>
        <v/>
      </c>
      <c r="AE943" s="1378">
        <f>AE1148</f>
        <v/>
      </c>
      <c r="AF943" s="1364">
        <f>AF1148</f>
        <v/>
      </c>
      <c r="AG943" s="1364">
        <f>AG1148</f>
        <v/>
      </c>
      <c r="AH943" s="1364">
        <f>AH1148</f>
        <v/>
      </c>
      <c r="AI943" s="1364">
        <f>AI1148</f>
        <v/>
      </c>
      <c r="AJ943" s="1378">
        <f>AJ1148</f>
        <v/>
      </c>
      <c r="AK943" s="1364">
        <f>AK1148</f>
        <v/>
      </c>
      <c r="AL943" s="1364">
        <f>AL1148</f>
        <v/>
      </c>
      <c r="AM943" s="1364">
        <f>AM1148</f>
        <v/>
      </c>
      <c r="AN943" s="1364">
        <f>AN1148</f>
        <v/>
      </c>
      <c r="AO943" s="1378">
        <f>AO1148</f>
        <v/>
      </c>
      <c r="AP943" s="1364">
        <f>AP1148</f>
        <v/>
      </c>
      <c r="AQ943" s="1364">
        <f>AQ1148</f>
        <v/>
      </c>
      <c r="AR943" s="1364">
        <f>AR1148</f>
        <v/>
      </c>
      <c r="AS943" s="1364">
        <f>AS1148</f>
        <v/>
      </c>
      <c r="AT943" s="1378">
        <f>AT1148</f>
        <v/>
      </c>
      <c r="AU943" s="1364">
        <f>AU1148</f>
        <v/>
      </c>
      <c r="AV943" s="1364">
        <f>AV1148</f>
        <v/>
      </c>
      <c r="AW943" s="1364">
        <f>AW1148</f>
        <v/>
      </c>
      <c r="AX943" s="1364">
        <f>AX1148</f>
        <v/>
      </c>
      <c r="AY943" s="1378">
        <f>AY1148</f>
        <v/>
      </c>
      <c r="AZ943" s="1364">
        <f>AZ1148</f>
        <v/>
      </c>
      <c r="BA943" s="1364">
        <f>BA1148</f>
        <v/>
      </c>
      <c r="BB943" s="1364">
        <f>BB1148</f>
        <v/>
      </c>
      <c r="BC943" s="1364">
        <f>BC1148</f>
        <v/>
      </c>
      <c r="BD943" s="1378">
        <f>BD1148</f>
        <v/>
      </c>
      <c r="BE943" s="1364">
        <f>BE1148</f>
        <v/>
      </c>
      <c r="BF943" s="1364">
        <f>BF1148</f>
        <v/>
      </c>
      <c r="BG943" s="1364">
        <f>BG1148</f>
        <v/>
      </c>
      <c r="BH943" s="1364">
        <f>BH1148</f>
        <v/>
      </c>
      <c r="BI943" s="1378">
        <f>BI1148</f>
        <v/>
      </c>
      <c r="BJ943" s="1364">
        <f>BJ1148</f>
        <v/>
      </c>
      <c r="BK943" s="1364">
        <f>BK1148</f>
        <v/>
      </c>
      <c r="BL943" s="1364">
        <f>BL1148</f>
        <v/>
      </c>
      <c r="BM943" s="1364">
        <f>BM1148</f>
        <v/>
      </c>
      <c r="BN943" s="1378">
        <f>BN1148</f>
        <v/>
      </c>
      <c r="BO943" s="1364">
        <f>BO1148</f>
        <v/>
      </c>
      <c r="BP943" s="1364">
        <f>BP1148</f>
        <v/>
      </c>
      <c r="BQ943" s="1395">
        <f>BQ1148</f>
        <v/>
      </c>
      <c r="BR943" s="1361">
        <f>BR944*-BR520</f>
        <v/>
      </c>
      <c r="BS943" s="1379">
        <f>BS1148</f>
        <v/>
      </c>
      <c r="BT943" s="1361">
        <f>BT944*-BT520</f>
        <v/>
      </c>
      <c r="BU943" s="1361">
        <f>BU944*-BU520</f>
        <v/>
      </c>
      <c r="BV943" s="1361">
        <f>BV944*-BV520</f>
        <v/>
      </c>
      <c r="BW943" s="1361">
        <f>BW944*-BW520</f>
        <v/>
      </c>
      <c r="BX943" s="1379">
        <f>BX1148</f>
        <v/>
      </c>
      <c r="BY943" s="1379">
        <f>BY944*-BY520</f>
        <v/>
      </c>
      <c r="BZ943" s="1379">
        <f>BZ944*-BZ520</f>
        <v/>
      </c>
      <c r="CA943" s="1379">
        <f>CA944*-CA520</f>
        <v/>
      </c>
      <c r="CB943" s="1364" t="n"/>
    </row>
    <row r="944" ht="14.4" customFormat="1" customHeight="1" s="1841">
      <c r="A944" s="1842" t="inlineStr">
        <is>
          <t>Dividend Per Share</t>
        </is>
      </c>
      <c r="B944" s="1843" t="n"/>
      <c r="C944" s="1844" t="n">
        <v>0</v>
      </c>
      <c r="D944" s="1844" t="n">
        <v>0</v>
      </c>
      <c r="E944" s="1844" t="n">
        <v>0</v>
      </c>
      <c r="F944" s="1844" t="n">
        <v>0</v>
      </c>
      <c r="G944" s="1845" t="n">
        <v>0</v>
      </c>
      <c r="H944" s="1845" t="n">
        <v>0</v>
      </c>
      <c r="I944" s="1845" t="n">
        <v>0</v>
      </c>
      <c r="J944" s="1845" t="n">
        <v>0</v>
      </c>
      <c r="K944" s="1846">
        <f>SUM(G944,H944,I944,J944)</f>
        <v/>
      </c>
      <c r="L944" s="1845" t="n">
        <v>0</v>
      </c>
      <c r="M944" s="1845" t="n">
        <v>0</v>
      </c>
      <c r="N944" s="1845" t="n">
        <v>0</v>
      </c>
      <c r="O944" s="1845" t="n">
        <v>0</v>
      </c>
      <c r="P944" s="1846">
        <f>SUM(L944,M944,N944,O944)</f>
        <v/>
      </c>
      <c r="Q944" s="1845" t="n">
        <v>0</v>
      </c>
      <c r="R944" s="1845" t="n">
        <v>0</v>
      </c>
      <c r="S944" s="1845" t="n">
        <v>0</v>
      </c>
      <c r="T944" s="1845" t="n">
        <v>0</v>
      </c>
      <c r="U944" s="1846">
        <f>SUM(Q944,R944,S944,T944)</f>
        <v/>
      </c>
      <c r="V944" s="1845" t="n">
        <v>0</v>
      </c>
      <c r="W944" s="1845" t="n">
        <v>0</v>
      </c>
      <c r="X944" s="1845" t="n">
        <v>0</v>
      </c>
      <c r="Y944" s="1845" t="n">
        <v>0</v>
      </c>
      <c r="Z944" s="1846">
        <f>SUM(V944,W944,X944,Y944)</f>
        <v/>
      </c>
      <c r="AA944" s="1845" t="n">
        <v>0</v>
      </c>
      <c r="AB944" s="1845" t="n">
        <v>0</v>
      </c>
      <c r="AC944" s="1845" t="n">
        <v>0</v>
      </c>
      <c r="AD944" s="1845" t="n">
        <v>0</v>
      </c>
      <c r="AE944" s="1846">
        <f>SUM(AA944,AB944,AC944,AD944)</f>
        <v/>
      </c>
      <c r="AF944" s="1845" t="n">
        <v>0</v>
      </c>
      <c r="AG944" s="1845" t="n">
        <v>0</v>
      </c>
      <c r="AH944" s="1845" t="n">
        <v>0</v>
      </c>
      <c r="AI944" s="1845" t="n">
        <v>0</v>
      </c>
      <c r="AJ944" s="1846">
        <f>SUM(AF944,AG944,AH944,AI944)</f>
        <v/>
      </c>
      <c r="AK944" s="1845" t="n">
        <v>0</v>
      </c>
      <c r="AL944" s="1845" t="n">
        <v>0</v>
      </c>
      <c r="AM944" s="1845" t="n">
        <v>0</v>
      </c>
      <c r="AN944" s="1845" t="n">
        <v>0</v>
      </c>
      <c r="AO944" s="1846">
        <f>SUM(AK944,AL944,AM944,AN944)</f>
        <v/>
      </c>
      <c r="AP944" s="1845" t="n">
        <v>0</v>
      </c>
      <c r="AQ944" s="1845" t="n">
        <v>0</v>
      </c>
      <c r="AR944" s="1845" t="n">
        <v>0</v>
      </c>
      <c r="AS944" s="1845" t="n">
        <v>0</v>
      </c>
      <c r="AT944" s="1846">
        <f>SUM(AP944,AQ944,AR944,AS944)</f>
        <v/>
      </c>
      <c r="AU944" s="1845" t="n">
        <v>0</v>
      </c>
      <c r="AV944" s="1845" t="n">
        <v>0</v>
      </c>
      <c r="AW944" s="1845" t="n">
        <v>0</v>
      </c>
      <c r="AX944" s="1845" t="n">
        <v>0</v>
      </c>
      <c r="AY944" s="1846">
        <f>SUM(AU944,AV944,AW944,AX944)</f>
        <v/>
      </c>
      <c r="AZ944" s="1845" t="n">
        <v>0</v>
      </c>
      <c r="BA944" s="1845" t="n">
        <v>0</v>
      </c>
      <c r="BB944" s="1845" t="n">
        <v>0</v>
      </c>
      <c r="BC944" s="1845" t="n">
        <v>0</v>
      </c>
      <c r="BD944" s="1846">
        <f>SUM(AZ944,BA944,BB944,BC944)</f>
        <v/>
      </c>
      <c r="BE944" s="1845" t="n">
        <v>0</v>
      </c>
      <c r="BF944" s="1845" t="n">
        <v>0</v>
      </c>
      <c r="BG944" s="1845" t="n">
        <v>0</v>
      </c>
      <c r="BH944" s="1845" t="n">
        <v>0</v>
      </c>
      <c r="BI944" s="1846">
        <f>SUM(BE944,BF944,BG944,BH944)</f>
        <v/>
      </c>
      <c r="BJ944" s="1845" t="n">
        <v>0</v>
      </c>
      <c r="BK944" s="1845" t="n">
        <v>0</v>
      </c>
      <c r="BL944" s="1845" t="n">
        <v>0</v>
      </c>
      <c r="BM944" s="1845" t="n">
        <v>0</v>
      </c>
      <c r="BN944" s="1846">
        <f>SUM(BJ944,BK944,BL944,BM944)</f>
        <v/>
      </c>
      <c r="BO944" s="1845" t="n">
        <v>0</v>
      </c>
      <c r="BP944" s="1845" t="n">
        <v>0</v>
      </c>
      <c r="BQ944" s="1847" t="n">
        <v>0</v>
      </c>
      <c r="BR944" s="1845" t="n">
        <v>0</v>
      </c>
      <c r="BS944" s="1848">
        <f>SUM(BO944,BP944,BQ944,BR944)</f>
        <v/>
      </c>
      <c r="BT944" s="1845" t="n">
        <v>0</v>
      </c>
      <c r="BU944" s="1845" t="n">
        <v>0</v>
      </c>
      <c r="BV944" s="1845" t="n">
        <v>0</v>
      </c>
      <c r="BW944" s="1845" t="n">
        <v>0</v>
      </c>
      <c r="BX944" s="1848">
        <f>SUM(BT944,BU944,BV944,BW944)</f>
        <v/>
      </c>
      <c r="BY944" s="1844" t="n">
        <v>0</v>
      </c>
      <c r="BZ944" s="1844" t="n">
        <v>0</v>
      </c>
      <c r="CA944" s="1844" t="n">
        <v>0</v>
      </c>
      <c r="CB944" s="1849" t="n"/>
    </row>
    <row r="945" ht="14.4" customFormat="1" customHeight="1" s="1841">
      <c r="A945" s="1850" t="n"/>
      <c r="B945" s="1843" t="n"/>
      <c r="C945" s="1848" t="n"/>
      <c r="D945" s="1848" t="n"/>
      <c r="E945" s="1848" t="n"/>
      <c r="F945" s="1848" t="n"/>
      <c r="G945" s="1851" t="n"/>
      <c r="H945" s="1851" t="n"/>
      <c r="I945" s="1851" t="n"/>
      <c r="J945" s="1851" t="n"/>
      <c r="K945" s="1848" t="n"/>
      <c r="L945" s="1851" t="n"/>
      <c r="M945" s="1851" t="n"/>
      <c r="N945" s="1851" t="n"/>
      <c r="O945" s="1851" t="n"/>
      <c r="P945" s="1848" t="n"/>
      <c r="Q945" s="1851" t="n"/>
      <c r="R945" s="1851" t="n"/>
      <c r="S945" s="1851" t="n"/>
      <c r="T945" s="1851" t="n"/>
      <c r="U945" s="1848" t="n"/>
      <c r="V945" s="1851" t="n"/>
      <c r="W945" s="1851" t="n"/>
      <c r="X945" s="1851" t="n"/>
      <c r="Y945" s="1851" t="n"/>
      <c r="Z945" s="1848" t="n"/>
      <c r="AA945" s="1851" t="n"/>
      <c r="AB945" s="1851" t="n"/>
      <c r="AC945" s="1851" t="n"/>
      <c r="AD945" s="1851" t="n"/>
      <c r="AE945" s="1848" t="n"/>
      <c r="AF945" s="1851" t="n"/>
      <c r="AG945" s="1851" t="n"/>
      <c r="AH945" s="1851" t="n"/>
      <c r="AI945" s="1851" t="n"/>
      <c r="AJ945" s="1848" t="n"/>
      <c r="AK945" s="1851" t="n"/>
      <c r="AL945" s="1851" t="n"/>
      <c r="AM945" s="1851" t="n"/>
      <c r="AN945" s="1851" t="n"/>
      <c r="AO945" s="1848" t="n"/>
      <c r="AP945" s="1851" t="n"/>
      <c r="AQ945" s="1851" t="n"/>
      <c r="AR945" s="1851" t="n"/>
      <c r="AS945" s="1851" t="n"/>
      <c r="AT945" s="1848" t="n"/>
      <c r="AU945" s="1851" t="n"/>
      <c r="AV945" s="1851" t="n"/>
      <c r="AW945" s="1851" t="n"/>
      <c r="AX945" s="1851" t="n"/>
      <c r="AY945" s="1848" t="n"/>
      <c r="AZ945" s="1851" t="n"/>
      <c r="BA945" s="1851" t="n"/>
      <c r="BB945" s="1851" t="n"/>
      <c r="BC945" s="1851" t="n"/>
      <c r="BD945" s="1848" t="n"/>
      <c r="BE945" s="1851" t="n"/>
      <c r="BF945" s="1851" t="n"/>
      <c r="BG945" s="1851" t="n"/>
      <c r="BH945" s="1851" t="n"/>
      <c r="BI945" s="1848" t="n"/>
      <c r="BJ945" s="1851" t="n"/>
      <c r="BK945" s="1851" t="n"/>
      <c r="BL945" s="1851" t="n"/>
      <c r="BM945" s="1851" t="n"/>
      <c r="BN945" s="1848" t="n"/>
      <c r="BO945" s="1851" t="n"/>
      <c r="BP945" s="1851" t="n"/>
      <c r="BQ945" s="1852" t="n"/>
      <c r="BR945" s="1851" t="n"/>
      <c r="BS945" s="1848" t="n"/>
      <c r="BT945" s="1851" t="n"/>
      <c r="BU945" s="1851" t="n"/>
      <c r="BV945" s="1851" t="n"/>
      <c r="BW945" s="1851" t="n"/>
      <c r="BX945" s="1848" t="n"/>
      <c r="BY945" s="1848" t="n"/>
      <c r="BZ945" s="1848" t="n"/>
      <c r="CA945" s="1848" t="n"/>
      <c r="CB945" s="1849" t="n"/>
    </row>
    <row r="946" ht="14.4" customFormat="1" customHeight="1" s="1841">
      <c r="A946" s="1853" t="inlineStr">
        <is>
          <t>Convertible Notes Issuance (Repayment)</t>
        </is>
      </c>
      <c r="B946" s="1843" t="n"/>
      <c r="C946" s="1554" t="n"/>
      <c r="D946" s="1554" t="n"/>
      <c r="E946" s="1554" t="n"/>
      <c r="F946" s="1554" t="n"/>
      <c r="G946" s="1553" t="n"/>
      <c r="H946" s="1553" t="n"/>
      <c r="I946" s="1553" t="n"/>
      <c r="J946" s="1553" t="n"/>
      <c r="K946" s="1554" t="n"/>
      <c r="L946" s="1553" t="n"/>
      <c r="M946" s="1553" t="n"/>
      <c r="N946" s="1553" t="n"/>
      <c r="O946" s="1553" t="n"/>
      <c r="P946" s="1554" t="n"/>
      <c r="Q946" s="1553" t="n"/>
      <c r="R946" s="1553" t="n"/>
      <c r="S946" s="1553" t="n"/>
      <c r="T946" s="1553" t="n"/>
      <c r="U946" s="1554" t="n"/>
      <c r="V946" s="1553" t="n"/>
      <c r="W946" s="1553" t="n"/>
      <c r="X946" s="1553" t="n"/>
      <c r="Y946" s="1553" t="n"/>
      <c r="Z946" s="1554" t="n"/>
      <c r="AA946" s="1553" t="n"/>
      <c r="AB946" s="1553" t="n"/>
      <c r="AC946" s="1553" t="n"/>
      <c r="AD946" s="1553" t="n"/>
      <c r="AE946" s="1554" t="n"/>
      <c r="AF946" s="1553" t="n"/>
      <c r="AG946" s="1553" t="n"/>
      <c r="AH946" s="1553" t="n"/>
      <c r="AI946" s="1553" t="n"/>
      <c r="AJ946" s="1554" t="n"/>
      <c r="AK946" s="1553" t="n"/>
      <c r="AL946" s="1553" t="n"/>
      <c r="AM946" s="1553" t="n"/>
      <c r="AN946" s="1553" t="n"/>
      <c r="AO946" s="1554" t="n"/>
      <c r="AP946" s="1553" t="n"/>
      <c r="AQ946" s="1553" t="n"/>
      <c r="AR946" s="1553" t="n"/>
      <c r="AS946" s="1553" t="n"/>
      <c r="AT946" s="1554" t="n"/>
      <c r="AU946" s="1553" t="n"/>
      <c r="AV946" s="1553" t="n"/>
      <c r="AW946" s="1553" t="n"/>
      <c r="AX946" s="1553" t="n"/>
      <c r="AY946" s="1554" t="n"/>
      <c r="AZ946" s="1553" t="n"/>
      <c r="BA946" s="1553" t="n"/>
      <c r="BB946" s="1553" t="n"/>
      <c r="BC946" s="1553" t="n"/>
      <c r="BD946" s="1554" t="n"/>
      <c r="BE946" s="1553" t="n"/>
      <c r="BF946" s="1553" t="n"/>
      <c r="BG946" s="1553" t="n"/>
      <c r="BH946" s="1553" t="n"/>
      <c r="BI946" s="1554" t="n"/>
      <c r="BJ946" s="1553" t="n"/>
      <c r="BK946" s="1553" t="n"/>
      <c r="BL946" s="1553" t="n"/>
      <c r="BM946" s="1553" t="n"/>
      <c r="BN946" s="1554" t="n"/>
      <c r="BO946" s="1553" t="n"/>
      <c r="BP946" s="1553" t="n"/>
      <c r="BQ946" s="1556" t="n"/>
      <c r="BR946" s="1553">
        <f>BR1139+BR1134</f>
        <v/>
      </c>
      <c r="BS946" s="1554">
        <f>IF(OR(ISBLANK(BO946),ISBLANK(BP946),ISBLANK(BQ946),ISBLANK(BR946)),"n/a",SUM(BO946,BP946,BQ946,BR946))</f>
        <v/>
      </c>
      <c r="BT946" s="1553">
        <f>BT1139+BT1134</f>
        <v/>
      </c>
      <c r="BU946" s="1553">
        <f>BU1139+BU1134</f>
        <v/>
      </c>
      <c r="BV946" s="1553">
        <f>BV1139+BV1134</f>
        <v/>
      </c>
      <c r="BW946" s="1553">
        <f>BW1139+BW1134</f>
        <v/>
      </c>
      <c r="BX946" s="1554">
        <f>IF(OR(ISBLANK(BT946),ISBLANK(BU946),ISBLANK(BV946),ISBLANK(BW946)),"n/a",SUM(BT946,BU946,BV946,BW946))</f>
        <v/>
      </c>
      <c r="BY946" s="1554">
        <f>BY1139+BY1134</f>
        <v/>
      </c>
      <c r="BZ946" s="1554">
        <f>BZ1139+BZ1134</f>
        <v/>
      </c>
      <c r="CA946" s="1554">
        <f>CA1139+CA1134</f>
        <v/>
      </c>
      <c r="CB946" s="1851" t="n"/>
    </row>
    <row r="947" ht="14.4" customFormat="1" customHeight="1" s="1841">
      <c r="A947" s="1853" t="inlineStr">
        <is>
          <t>Non-Convertible Notes Issuance (Repayment)</t>
        </is>
      </c>
      <c r="B947" s="1843" t="n"/>
      <c r="C947" s="1554" t="n"/>
      <c r="D947" s="1554" t="n"/>
      <c r="E947" s="1554" t="n"/>
      <c r="F947" s="1554" t="n"/>
      <c r="G947" s="1553" t="n"/>
      <c r="H947" s="1553" t="n"/>
      <c r="I947" s="1553" t="n"/>
      <c r="J947" s="1553" t="n"/>
      <c r="K947" s="1554" t="n"/>
      <c r="L947" s="1553" t="n"/>
      <c r="M947" s="1553" t="n"/>
      <c r="N947" s="1553" t="n"/>
      <c r="O947" s="1553" t="n"/>
      <c r="P947" s="1554" t="n"/>
      <c r="Q947" s="1553" t="n"/>
      <c r="R947" s="1553" t="n"/>
      <c r="S947" s="1553" t="n"/>
      <c r="T947" s="1553" t="n"/>
      <c r="U947" s="1554" t="n"/>
      <c r="V947" s="1553" t="n"/>
      <c r="W947" s="1553" t="n"/>
      <c r="X947" s="1553" t="n"/>
      <c r="Y947" s="1553" t="n"/>
      <c r="Z947" s="1554" t="n"/>
      <c r="AA947" s="1553" t="n"/>
      <c r="AB947" s="1553" t="n"/>
      <c r="AC947" s="1553" t="n"/>
      <c r="AD947" s="1553" t="n"/>
      <c r="AE947" s="1554" t="n"/>
      <c r="AF947" s="1553" t="n"/>
      <c r="AG947" s="1553" t="n"/>
      <c r="AH947" s="1553" t="n"/>
      <c r="AI947" s="1553" t="n"/>
      <c r="AJ947" s="1554" t="n"/>
      <c r="AK947" s="1553" t="n"/>
      <c r="AL947" s="1553" t="n"/>
      <c r="AM947" s="1553" t="n"/>
      <c r="AN947" s="1553" t="n"/>
      <c r="AO947" s="1554" t="n"/>
      <c r="AP947" s="1553" t="n"/>
      <c r="AQ947" s="1553" t="n"/>
      <c r="AR947" s="1553" t="n"/>
      <c r="AS947" s="1553" t="n"/>
      <c r="AT947" s="1554" t="n"/>
      <c r="AU947" s="1553" t="n"/>
      <c r="AV947" s="1553" t="n"/>
      <c r="AW947" s="1553" t="n"/>
      <c r="AX947" s="1553" t="n"/>
      <c r="AY947" s="1554" t="n"/>
      <c r="AZ947" s="1553" t="n"/>
      <c r="BA947" s="1553" t="n"/>
      <c r="BB947" s="1553" t="n"/>
      <c r="BC947" s="1553" t="n"/>
      <c r="BD947" s="1554" t="n"/>
      <c r="BE947" s="1553" t="n"/>
      <c r="BF947" s="1553" t="n"/>
      <c r="BG947" s="1553" t="n"/>
      <c r="BH947" s="1553" t="n"/>
      <c r="BI947" s="1554" t="n"/>
      <c r="BJ947" s="1553" t="n"/>
      <c r="BK947" s="1553" t="n"/>
      <c r="BL947" s="1553" t="n"/>
      <c r="BM947" s="1553" t="n"/>
      <c r="BN947" s="1554" t="n"/>
      <c r="BO947" s="1553" t="n"/>
      <c r="BP947" s="1553" t="n"/>
      <c r="BQ947" s="1556" t="n"/>
      <c r="BR947" s="1555" t="n">
        <v>0</v>
      </c>
      <c r="BS947" s="1554">
        <f>IF(OR(ISBLANK(BO947),ISBLANK(BP947),ISBLANK(BQ947),ISBLANK(BR947)),"n/a",SUM(BO947,BP947,BQ947,BR947))</f>
        <v/>
      </c>
      <c r="BT947" s="1555" t="n">
        <v>0</v>
      </c>
      <c r="BU947" s="1555" t="n">
        <v>0</v>
      </c>
      <c r="BV947" s="1555" t="n">
        <v>0</v>
      </c>
      <c r="BW947" s="1555" t="n">
        <v>0</v>
      </c>
      <c r="BX947" s="1554">
        <f>IF(OR(ISBLANK(BT947),ISBLANK(BU947),ISBLANK(BV947),ISBLANK(BW947)),"n/a",SUM(BT947,BU947,BV947,BW947))</f>
        <v/>
      </c>
      <c r="BY947" s="1854" t="n">
        <v>0</v>
      </c>
      <c r="BZ947" s="1854" t="n">
        <v>0</v>
      </c>
      <c r="CA947" s="1854" t="n">
        <v>0</v>
      </c>
      <c r="CB947" s="1851" t="n"/>
    </row>
    <row r="948" ht="14.4" customFormat="1" customHeight="1" s="1841">
      <c r="A948" s="1855" t="inlineStr">
        <is>
          <t>Net Debt Issuance (Repayment)</t>
        </is>
      </c>
      <c r="B948" s="1856" t="n"/>
      <c r="C948" s="1698">
        <f>C1130+C1131+C1132+C1133+C1134+C1135+C1136+C1137</f>
        <v/>
      </c>
      <c r="D948" s="1698">
        <f>D1130+D1131+D1132+D1133+D1134+D1135+D1136+D1137</f>
        <v/>
      </c>
      <c r="E948" s="1698">
        <f>E1130+E1131+E1132+E1133+E1134+E1135+E1136+E1137</f>
        <v/>
      </c>
      <c r="F948" s="1698">
        <f>F1130+F1131+F1132+F1133+F1134+F1135+F1136+F1137</f>
        <v/>
      </c>
      <c r="G948" s="1693">
        <f>G1130+G1131+G1132+G1133+G1134+G1135+G1136+G1137</f>
        <v/>
      </c>
      <c r="H948" s="1693">
        <f>H1130+H1131+H1132+H1133+H1134+H1135+H1136+H1137</f>
        <v/>
      </c>
      <c r="I948" s="1693">
        <f>I1130+I1131+I1132+I1133+I1134+I1135+I1136+I1137</f>
        <v/>
      </c>
      <c r="J948" s="1693">
        <f>J1130+J1131+J1132+J1133+J1134+J1135+J1136+J1137</f>
        <v/>
      </c>
      <c r="K948" s="1698">
        <f>K1130+K1131+K1132+K1133+K1134+K1135+K1136+K1137</f>
        <v/>
      </c>
      <c r="L948" s="1693">
        <f>L1130+L1131+L1132+L1133+L1134+L1135+L1136+L1137</f>
        <v/>
      </c>
      <c r="M948" s="1693">
        <f>M1130+M1131+M1132+M1133+M1134+M1135+M1136+M1137</f>
        <v/>
      </c>
      <c r="N948" s="1693">
        <f>N1130+N1131+N1132+N1133+N1134+N1135+N1136+N1137</f>
        <v/>
      </c>
      <c r="O948" s="1693">
        <f>O1130+O1131+O1132+O1133+O1134+O1135+O1136+O1137</f>
        <v/>
      </c>
      <c r="P948" s="1698">
        <f>P1130+P1131+P1132+P1133+P1134+P1135+P1136+P1137</f>
        <v/>
      </c>
      <c r="Q948" s="1693">
        <f>Q1130+Q1131+Q1132+Q1133+Q1134+Q1135+Q1136+Q1137</f>
        <v/>
      </c>
      <c r="R948" s="1693">
        <f>R1130+R1131+R1132+R1133+R1134+R1135+R1136+R1137</f>
        <v/>
      </c>
      <c r="S948" s="1693">
        <f>S1130+S1131+S1132+S1133+S1134+S1135+S1136+S1137</f>
        <v/>
      </c>
      <c r="T948" s="1693">
        <f>T1130+T1131+T1132+T1133+T1134+T1135+T1136+T1137</f>
        <v/>
      </c>
      <c r="U948" s="1698">
        <f>U1130+U1131+U1132+U1133+U1134+U1135+U1136+U1137</f>
        <v/>
      </c>
      <c r="V948" s="1693">
        <f>V1130+V1131+V1132+V1133+V1134+V1135+V1136+V1137</f>
        <v/>
      </c>
      <c r="W948" s="1693">
        <f>W1130+W1131+W1132+W1133+W1134+W1135+W1136+W1137</f>
        <v/>
      </c>
      <c r="X948" s="1693">
        <f>X1130+X1131+X1132+X1133+X1134+X1135+X1136+X1137</f>
        <v/>
      </c>
      <c r="Y948" s="1693">
        <f>Y1130+Y1131+Y1132+Y1133+Y1134+Y1135+Y1136+Y1137</f>
        <v/>
      </c>
      <c r="Z948" s="1698">
        <f>Z1130+Z1131+Z1132+Z1133+Z1134+Z1135+Z1136+Z1137</f>
        <v/>
      </c>
      <c r="AA948" s="1693">
        <f>AA1130+AA1131+AA1132+AA1133+AA1134+AA1135+AA1136+AA1137</f>
        <v/>
      </c>
      <c r="AB948" s="1693">
        <f>AB1130+AB1131+AB1132+AB1133+AB1134+AB1135+AB1136+AB1137</f>
        <v/>
      </c>
      <c r="AC948" s="1693">
        <f>AC1130+AC1131+AC1132+AC1133+AC1134+AC1135+AC1136+AC1137</f>
        <v/>
      </c>
      <c r="AD948" s="1693">
        <f>AD1130+AD1131+AD1132+AD1133+AD1134+AD1135+AD1136+AD1137</f>
        <v/>
      </c>
      <c r="AE948" s="1698">
        <f>AE1130+AE1131+AE1132+AE1133+AE1134+AE1135+AE1136+AE1137</f>
        <v/>
      </c>
      <c r="AF948" s="1693">
        <f>AF1130+AF1131+AF1132+AF1133+AF1134+AF1135+AF1136+AF1137</f>
        <v/>
      </c>
      <c r="AG948" s="1693">
        <f>AG1130+AG1131+AG1132+AG1133+AG1134+AG1135+AG1136+AG1137</f>
        <v/>
      </c>
      <c r="AH948" s="1693">
        <f>AH1130+AH1131+AH1132+AH1133+AH1134+AH1135+AH1136+AH1137</f>
        <v/>
      </c>
      <c r="AI948" s="1693">
        <f>AI1130+AI1131+AI1132+AI1133+AI1134+AI1135+AI1136+AI1137</f>
        <v/>
      </c>
      <c r="AJ948" s="1698">
        <f>AJ1130+AJ1131+AJ1132+AJ1133+AJ1134+AJ1135+AJ1136+AJ1137</f>
        <v/>
      </c>
      <c r="AK948" s="1693">
        <f>AK1130+AK1131+AK1132+AK1133+AK1134+AK1135+AK1136+AK1137</f>
        <v/>
      </c>
      <c r="AL948" s="1693">
        <f>AL1130+AL1131+AL1132+AL1133+AL1134+AL1135+AL1136+AL1137</f>
        <v/>
      </c>
      <c r="AM948" s="1693">
        <f>AM1130+AM1131+AM1132+AM1133+AM1134+AM1135+AM1136+AM1137</f>
        <v/>
      </c>
      <c r="AN948" s="1693">
        <f>AN1130+AN1131+AN1132+AN1133+AN1134+AN1135+AN1136+AN1137</f>
        <v/>
      </c>
      <c r="AO948" s="1698">
        <f>AO1130+AO1131+AO1132+AO1133+AO1134+AO1135+AO1136+AO1137</f>
        <v/>
      </c>
      <c r="AP948" s="1693">
        <f>AP1130+AP1131+AP1132+AP1133+AP1134+AP1135+AP1136+AP1137</f>
        <v/>
      </c>
      <c r="AQ948" s="1693">
        <f>AQ1130+AQ1131+AQ1132+AQ1133+AQ1134+AQ1135+AQ1136+AQ1137</f>
        <v/>
      </c>
      <c r="AR948" s="1693">
        <f>AR1130+AR1131+AR1132+AR1133+AR1134+AR1135+AR1136+AR1137</f>
        <v/>
      </c>
      <c r="AS948" s="1693">
        <f>AS1130+AS1131+AS1132+AS1133+AS1134+AS1135+AS1136+AS1137</f>
        <v/>
      </c>
      <c r="AT948" s="1698">
        <f>AT1130+AT1131+AT1132+AT1133+AT1134+AT1135+AT1136+AT1137</f>
        <v/>
      </c>
      <c r="AU948" s="1693">
        <f>AU1130+AU1131+AU1132+AU1133+AU1134+AU1135+AU1136+AU1137</f>
        <v/>
      </c>
      <c r="AV948" s="1693">
        <f>AV1130+AV1131+AV1132+AV1133+AV1134+AV1135+AV1136+AV1137</f>
        <v/>
      </c>
      <c r="AW948" s="1693">
        <f>AW1130+AW1131+AW1132+AW1133+AW1134+AW1135+AW1136+AW1137</f>
        <v/>
      </c>
      <c r="AX948" s="1693">
        <f>AX1130+AX1131+AX1132+AX1133+AX1134+AX1135+AX1136+AX1137</f>
        <v/>
      </c>
      <c r="AY948" s="1698">
        <f>AY1130+AY1131+AY1132+AY1133+AY1134+AY1135+AY1136+AY1137</f>
        <v/>
      </c>
      <c r="AZ948" s="1693">
        <f>AZ1130+AZ1131+AZ1132+AZ1133+AZ1134+AZ1135+AZ1136+AZ1137</f>
        <v/>
      </c>
      <c r="BA948" s="1693">
        <f>BA1130+BA1131+BA1132+BA1133+BA1134+BA1135+BA1136+BA1137</f>
        <v/>
      </c>
      <c r="BB948" s="1693">
        <f>BB1130+BB1131+BB1132+BB1133+BB1134+BB1135+BB1136+BB1137</f>
        <v/>
      </c>
      <c r="BC948" s="1693">
        <f>BC1130+BC1131+BC1132+BC1133+BC1134+BC1135+BC1136+BC1137</f>
        <v/>
      </c>
      <c r="BD948" s="1698">
        <f>BD1130+BD1131+BD1132+BD1133+BD1134+BD1135+BD1136+BD1137</f>
        <v/>
      </c>
      <c r="BE948" s="1693">
        <f>BE1130+BE1131+BE1132+BE1133+BE1134+BE1135+BE1136+BE1137</f>
        <v/>
      </c>
      <c r="BF948" s="1693">
        <f>BF1130+BF1131+BF1132+BF1133+BF1134+BF1135+BF1136+BF1137</f>
        <v/>
      </c>
      <c r="BG948" s="1693">
        <f>BG1130+BG1131+BG1132+BG1133+BG1134+BG1135+BG1136+BG1137</f>
        <v/>
      </c>
      <c r="BH948" s="1693">
        <f>BH1130+BH1131+BH1132+BH1133+BH1134+BH1135+BH1136+BH1137</f>
        <v/>
      </c>
      <c r="BI948" s="1698">
        <f>BI1130+BI1131+BI1132+BI1133+BI1134+BI1135+BI1136+BI1137</f>
        <v/>
      </c>
      <c r="BJ948" s="1693">
        <f>BJ1130+BJ1131+BJ1132+BJ1133+BJ1134+BJ1135+BJ1136+BJ1137</f>
        <v/>
      </c>
      <c r="BK948" s="1693">
        <f>BK1130+BK1131+BK1132+BK1133+BK1134+BK1135+BK1136+BK1137</f>
        <v/>
      </c>
      <c r="BL948" s="1693">
        <f>BL1130+BL1131+BL1132+BL1133+BL1134+BL1135+BL1136+BL1137</f>
        <v/>
      </c>
      <c r="BM948" s="1693">
        <f>BM1130+BM1131+BM1132+BM1133+BM1134+BM1135+BM1136+BM1137</f>
        <v/>
      </c>
      <c r="BN948" s="1698">
        <f>BN1130+BN1131+BN1132+BN1133+BN1134+BN1135+BN1136+BN1137</f>
        <v/>
      </c>
      <c r="BO948" s="1693">
        <f>BO1130+BO1131+BO1132+BO1133+BO1134+BO1135+BO1136+BO1137</f>
        <v/>
      </c>
      <c r="BP948" s="1693">
        <f>BP1130+BP1131+BP1132+BP1133+BP1134+BP1135+BP1136+BP1137</f>
        <v/>
      </c>
      <c r="BQ948" s="1733">
        <f>BQ1130+BQ1131+BQ1132+BQ1133+BQ1134+BQ1135+BQ1136+BQ1137</f>
        <v/>
      </c>
      <c r="BR948" s="1693">
        <f>SUM(BR946:BR947)</f>
        <v/>
      </c>
      <c r="BS948" s="1698">
        <f>BS1130+BS1131+BS1132+BS1133+BS1134+BS1135+BS1136+BS1137</f>
        <v/>
      </c>
      <c r="BT948" s="1693">
        <f>SUM(BT946:BT947)</f>
        <v/>
      </c>
      <c r="BU948" s="1693">
        <f>SUM(BU946:BU947)</f>
        <v/>
      </c>
      <c r="BV948" s="1693">
        <f>SUM(BV946:BV947)</f>
        <v/>
      </c>
      <c r="BW948" s="1693">
        <f>SUM(BW946:BW947)</f>
        <v/>
      </c>
      <c r="BX948" s="1698">
        <f>BX1130+BX1131+BX1132+BX1133+BX1134+BX1135+BX1136+BX1137</f>
        <v/>
      </c>
      <c r="BY948" s="1698">
        <f>SUM(BY946:BY947)</f>
        <v/>
      </c>
      <c r="BZ948" s="1698">
        <f>SUM(BZ946:BZ947)</f>
        <v/>
      </c>
      <c r="CA948" s="1698">
        <f>SUM(CA946:CA947)</f>
        <v/>
      </c>
      <c r="CB948" s="1851" t="n"/>
    </row>
    <row r="949" ht="14.4" customFormat="1" customHeight="1" s="1841">
      <c r="A949" s="1842" t="inlineStr">
        <is>
          <t>Net Share Issuance (Buybacks)</t>
        </is>
      </c>
      <c r="B949" s="1843" t="n"/>
      <c r="C949" s="1378">
        <f>C1141+C1144+C1145+C1146</f>
        <v/>
      </c>
      <c r="D949" s="1378">
        <f>D1141+D1144+D1145+D1146</f>
        <v/>
      </c>
      <c r="E949" s="1378">
        <f>E1141+E1144+E1145+E1146</f>
        <v/>
      </c>
      <c r="F949" s="1378">
        <f>F1141+F1144+F1145+F1146</f>
        <v/>
      </c>
      <c r="G949" s="1364">
        <f>G1141+G1144+G1145+G1146</f>
        <v/>
      </c>
      <c r="H949" s="1364">
        <f>H1141+H1144+H1145+H1146</f>
        <v/>
      </c>
      <c r="I949" s="1364">
        <f>I1141+I1144+I1145+I1146</f>
        <v/>
      </c>
      <c r="J949" s="1364">
        <f>J1141+J1144+J1145+J1146</f>
        <v/>
      </c>
      <c r="K949" s="1378">
        <f>K1141+K1144+K1145+K1146</f>
        <v/>
      </c>
      <c r="L949" s="1364">
        <f>L1141+L1144+L1145+L1146</f>
        <v/>
      </c>
      <c r="M949" s="1364">
        <f>M1141+M1144+M1145+M1146</f>
        <v/>
      </c>
      <c r="N949" s="1364">
        <f>N1141+N1144+N1145+N1146</f>
        <v/>
      </c>
      <c r="O949" s="1364">
        <f>O1141+O1144+O1145+O1146</f>
        <v/>
      </c>
      <c r="P949" s="1378">
        <f>P1141+P1144+P1145+P1146</f>
        <v/>
      </c>
      <c r="Q949" s="1364">
        <f>Q1141+Q1144+Q1145+Q1146</f>
        <v/>
      </c>
      <c r="R949" s="1364">
        <f>R1141+R1144+R1145+R1146</f>
        <v/>
      </c>
      <c r="S949" s="1364">
        <f>S1141+S1144+S1145+S1146</f>
        <v/>
      </c>
      <c r="T949" s="1364">
        <f>T1141+T1144+T1145+T1146</f>
        <v/>
      </c>
      <c r="U949" s="1378">
        <f>U1141+U1144+U1145+U1146</f>
        <v/>
      </c>
      <c r="V949" s="1364">
        <f>V1141+V1144+V1145+V1146</f>
        <v/>
      </c>
      <c r="W949" s="1364">
        <f>W1141+W1144+W1145+W1146</f>
        <v/>
      </c>
      <c r="X949" s="1364">
        <f>X1141+X1144+X1145+X1146</f>
        <v/>
      </c>
      <c r="Y949" s="1364">
        <f>Y1141+Y1144+Y1145+Y1146</f>
        <v/>
      </c>
      <c r="Z949" s="1378">
        <f>Z1141+Z1144+Z1145+Z1146</f>
        <v/>
      </c>
      <c r="AA949" s="1364">
        <f>AA1141+AA1144+AA1145+AA1146</f>
        <v/>
      </c>
      <c r="AB949" s="1364">
        <f>AB1141+AB1144+AB1145+AB1146</f>
        <v/>
      </c>
      <c r="AC949" s="1364">
        <f>AC1141+AC1144+AC1145+AC1146</f>
        <v/>
      </c>
      <c r="AD949" s="1364">
        <f>AD1141+AD1144+AD1145+AD1146</f>
        <v/>
      </c>
      <c r="AE949" s="1378">
        <f>AE1141+AE1144+AE1145+AE1146</f>
        <v/>
      </c>
      <c r="AF949" s="1364">
        <f>AF1141+AF1144+AF1145+AF1146</f>
        <v/>
      </c>
      <c r="AG949" s="1364">
        <f>AG1141+AG1144+AG1145+AG1146</f>
        <v/>
      </c>
      <c r="AH949" s="1364">
        <f>AH1141+AH1144+AH1145+AH1146</f>
        <v/>
      </c>
      <c r="AI949" s="1364">
        <f>AI1141+AI1144+AI1145+AI1146</f>
        <v/>
      </c>
      <c r="AJ949" s="1378">
        <f>AJ1141+AJ1144+AJ1145+AJ1146</f>
        <v/>
      </c>
      <c r="AK949" s="1364">
        <f>AK1141+AK1144+AK1145+AK1146</f>
        <v/>
      </c>
      <c r="AL949" s="1364">
        <f>AL1141+AL1144+AL1145+AL1146</f>
        <v/>
      </c>
      <c r="AM949" s="1364">
        <f>AM1141+AM1144+AM1145+AM1146</f>
        <v/>
      </c>
      <c r="AN949" s="1364">
        <f>AN1141+AN1144+AN1145+AN1146</f>
        <v/>
      </c>
      <c r="AO949" s="1378">
        <f>AO1141+AO1144+AO1145+AO1146</f>
        <v/>
      </c>
      <c r="AP949" s="1364">
        <f>AP1141+AP1144+AP1145+AP1146</f>
        <v/>
      </c>
      <c r="AQ949" s="1364">
        <f>AQ1141+AQ1144+AQ1145+AQ1146</f>
        <v/>
      </c>
      <c r="AR949" s="1364">
        <f>AR1141+AR1144+AR1145+AR1146</f>
        <v/>
      </c>
      <c r="AS949" s="1364">
        <f>AS1141+AS1144+AS1145+AS1146</f>
        <v/>
      </c>
      <c r="AT949" s="1378">
        <f>AT1141+AT1144+AT1145+AT1146</f>
        <v/>
      </c>
      <c r="AU949" s="1364">
        <f>AU1141+AU1144+AU1145+AU1146</f>
        <v/>
      </c>
      <c r="AV949" s="1364">
        <f>AV1141+AV1144+AV1145+AV1146</f>
        <v/>
      </c>
      <c r="AW949" s="1364">
        <f>AW1141+AW1144+AW1145+AW1146</f>
        <v/>
      </c>
      <c r="AX949" s="1364">
        <f>AX1141+AX1144+AX1145+AX1146</f>
        <v/>
      </c>
      <c r="AY949" s="1378">
        <f>AY1141+AY1144+AY1145+AY1146</f>
        <v/>
      </c>
      <c r="AZ949" s="1364">
        <f>AZ1141+AZ1144+AZ1145+AZ1146</f>
        <v/>
      </c>
      <c r="BA949" s="1364">
        <f>BA1141+BA1144+BA1145+BA1146</f>
        <v/>
      </c>
      <c r="BB949" s="1364">
        <f>BB1141+BB1144+BB1145+BB1146</f>
        <v/>
      </c>
      <c r="BC949" s="1364">
        <f>BC1141+BC1144+BC1145+BC1146</f>
        <v/>
      </c>
      <c r="BD949" s="1378">
        <f>BD1141+BD1144+BD1145+BD1146</f>
        <v/>
      </c>
      <c r="BE949" s="1364">
        <f>BE1141+BE1144+BE1145+BE1146</f>
        <v/>
      </c>
      <c r="BF949" s="1364">
        <f>BF1141+BF1144+BF1145+BF1146</f>
        <v/>
      </c>
      <c r="BG949" s="1364">
        <f>BG1141+BG1144+BG1145+BG1146</f>
        <v/>
      </c>
      <c r="BH949" s="1364">
        <f>BH1141+BH1144+BH1145+BH1146</f>
        <v/>
      </c>
      <c r="BI949" s="1378">
        <f>BI1141+BI1144+BI1145+BI1146</f>
        <v/>
      </c>
      <c r="BJ949" s="1364">
        <f>BJ1141+BJ1144+BJ1145+BJ1146</f>
        <v/>
      </c>
      <c r="BK949" s="1364">
        <f>BK1141+BK1144+BK1145+BK1146</f>
        <v/>
      </c>
      <c r="BL949" s="1364">
        <f>BL1141+BL1144+BL1145+BL1146</f>
        <v/>
      </c>
      <c r="BM949" s="1364">
        <f>BM1141+BM1144+BM1145+BM1146</f>
        <v/>
      </c>
      <c r="BN949" s="1378">
        <f>BN1141+BN1144+BN1145+BN1146</f>
        <v/>
      </c>
      <c r="BO949" s="1364">
        <f>BO1141+BO1144+BO1145+BO1146</f>
        <v/>
      </c>
      <c r="BP949" s="1364">
        <f>BP1141+BP1144+BP1145+BP1146</f>
        <v/>
      </c>
      <c r="BQ949" s="1395">
        <f>BQ1141+BQ1144+BQ1145+BQ1146</f>
        <v/>
      </c>
      <c r="BR949" s="1493" t="n">
        <v>-200</v>
      </c>
      <c r="BS949" s="1379">
        <f>BS1141+BS1144+BS1145+BS1146</f>
        <v/>
      </c>
      <c r="BT949" s="1493" t="n">
        <v>0</v>
      </c>
      <c r="BU949" s="1493" t="n">
        <v>0</v>
      </c>
      <c r="BV949" s="1493" t="n">
        <v>0</v>
      </c>
      <c r="BW949" s="1493" t="n">
        <v>0</v>
      </c>
      <c r="BX949" s="1379">
        <f>BX1141+BX1144+BX1145+BX1146</f>
        <v/>
      </c>
      <c r="BY949" s="1494" t="n">
        <v>0</v>
      </c>
      <c r="BZ949" s="1494" t="n">
        <v>0</v>
      </c>
      <c r="CA949" s="1494" t="n">
        <v>0</v>
      </c>
      <c r="CB949" s="1849" t="n"/>
    </row>
    <row r="950" ht="14.4" customFormat="1" customHeight="1" s="1841">
      <c r="A950" s="1857" t="inlineStr">
        <is>
          <t>Estimated Share Price for Issuance/Buybacks, USD</t>
        </is>
      </c>
      <c r="B950" s="1858" t="n"/>
      <c r="C950" s="1859" t="n"/>
      <c r="D950" s="1859" t="n"/>
      <c r="E950" s="1859" t="n"/>
      <c r="F950" s="1859" t="n"/>
      <c r="G950" s="1860" t="n"/>
      <c r="H950" s="1860" t="n"/>
      <c r="I950" s="1860" t="n"/>
      <c r="J950" s="1860" t="n"/>
      <c r="K950" s="1859" t="n"/>
      <c r="L950" s="1860" t="n"/>
      <c r="M950" s="1860" t="n"/>
      <c r="N950" s="1860" t="n"/>
      <c r="O950" s="1860" t="n"/>
      <c r="P950" s="1859" t="n"/>
      <c r="Q950" s="1860" t="n"/>
      <c r="R950" s="1860" t="n"/>
      <c r="S950" s="1860" t="n"/>
      <c r="T950" s="1860" t="n"/>
      <c r="U950" s="1859" t="n"/>
      <c r="V950" s="1860" t="n"/>
      <c r="W950" s="1860" t="n"/>
      <c r="X950" s="1860" t="n"/>
      <c r="Y950" s="1860" t="n"/>
      <c r="Z950" s="1859" t="n"/>
      <c r="AA950" s="1860" t="n"/>
      <c r="AB950" s="1860" t="n"/>
      <c r="AC950" s="1860" t="n"/>
      <c r="AD950" s="1860" t="n"/>
      <c r="AE950" s="1859" t="n"/>
      <c r="AF950" s="1860" t="n"/>
      <c r="AG950" s="1860" t="n"/>
      <c r="AH950" s="1860" t="n"/>
      <c r="AI950" s="1860" t="n"/>
      <c r="AJ950" s="1859" t="n"/>
      <c r="AK950" s="1860" t="n"/>
      <c r="AL950" s="1860" t="n"/>
      <c r="AM950" s="1860" t="n"/>
      <c r="AN950" s="1860" t="n"/>
      <c r="AO950" s="1859" t="n"/>
      <c r="AP950" s="1860" t="n"/>
      <c r="AQ950" s="1860" t="n"/>
      <c r="AR950" s="1860" t="n"/>
      <c r="AS950" s="1860" t="n"/>
      <c r="AT950" s="1859" t="n"/>
      <c r="AU950" s="1860" t="n"/>
      <c r="AV950" s="1860" t="n"/>
      <c r="AW950" s="1860" t="n"/>
      <c r="AX950" s="1860" t="n"/>
      <c r="AY950" s="1859" t="n"/>
      <c r="AZ950" s="1860" t="n"/>
      <c r="BA950" s="1860" t="n"/>
      <c r="BB950" s="1860" t="n"/>
      <c r="BC950" s="1860" t="n"/>
      <c r="BD950" s="1859" t="n"/>
      <c r="BE950" s="1860" t="n"/>
      <c r="BF950" s="1860" t="n"/>
      <c r="BG950" s="1860" t="n"/>
      <c r="BH950" s="1860" t="n"/>
      <c r="BI950" s="1859" t="n"/>
      <c r="BJ950" s="1860" t="n"/>
      <c r="BK950" s="1860" t="n"/>
      <c r="BL950" s="1860" t="n"/>
      <c r="BM950" s="1860" t="n"/>
      <c r="BN950" s="1859" t="n"/>
      <c r="BO950" s="1860" t="n"/>
      <c r="BP950" s="1860" t="n"/>
      <c r="BQ950" s="1861" t="n"/>
      <c r="BR950" s="1862" t="n">
        <v>339</v>
      </c>
      <c r="BS950" s="1859">
        <f>AVERAGE(BO950,BP950,BQ950,BR950)</f>
        <v/>
      </c>
      <c r="BT950" s="1862" t="n">
        <v>373</v>
      </c>
      <c r="BU950" s="1862" t="n">
        <v>373</v>
      </c>
      <c r="BV950" s="1862" t="n">
        <v>373</v>
      </c>
      <c r="BW950" s="1862" t="n">
        <v>373</v>
      </c>
      <c r="BX950" s="1859">
        <f>AVERAGE(BT950,BU950,BV950,BW950)</f>
        <v/>
      </c>
      <c r="BY950" s="1863" t="n">
        <v>410</v>
      </c>
      <c r="BZ950" s="1863" t="n">
        <v>451</v>
      </c>
      <c r="CA950" s="1863" t="n">
        <v>496</v>
      </c>
      <c r="CB950" s="1849" t="n"/>
    </row>
    <row r="951" ht="14.4" customFormat="1" customHeight="1" s="1407">
      <c r="A951" s="1589" t="n"/>
      <c r="B951" s="1590" t="n"/>
      <c r="C951" s="1409" t="n"/>
      <c r="D951" s="1409" t="n"/>
      <c r="E951" s="1409" t="n"/>
      <c r="F951" s="1409" t="n"/>
      <c r="G951" s="1410" t="n"/>
      <c r="H951" s="1410" t="n"/>
      <c r="I951" s="1410" t="n"/>
      <c r="J951" s="1410" t="n"/>
      <c r="K951" s="1409" t="n"/>
      <c r="L951" s="1410" t="n"/>
      <c r="M951" s="1410" t="n"/>
      <c r="N951" s="1410" t="n"/>
      <c r="O951" s="1410" t="n"/>
      <c r="P951" s="1409" t="n"/>
      <c r="Q951" s="1410" t="n"/>
      <c r="R951" s="1410" t="n"/>
      <c r="S951" s="1410" t="n"/>
      <c r="T951" s="1410" t="n"/>
      <c r="U951" s="1409" t="n"/>
      <c r="V951" s="1410" t="n"/>
      <c r="W951" s="1410" t="n"/>
      <c r="X951" s="1410" t="n"/>
      <c r="Y951" s="1410" t="n"/>
      <c r="Z951" s="1409" t="n"/>
      <c r="AA951" s="1410" t="n"/>
      <c r="AB951" s="1410" t="n"/>
      <c r="AC951" s="1410" t="n"/>
      <c r="AD951" s="1410" t="n"/>
      <c r="AE951" s="1409" t="n"/>
      <c r="AF951" s="1410" t="n"/>
      <c r="AG951" s="1410" t="n"/>
      <c r="AH951" s="1410" t="n"/>
      <c r="AI951" s="1410" t="n"/>
      <c r="AJ951" s="1409" t="n"/>
      <c r="AK951" s="1410" t="n"/>
      <c r="AL951" s="1410" t="n"/>
      <c r="AM951" s="1410" t="n"/>
      <c r="AN951" s="1410" t="n"/>
      <c r="AO951" s="1409" t="n"/>
      <c r="AP951" s="1410" t="n"/>
      <c r="AQ951" s="1410" t="n"/>
      <c r="AR951" s="1410" t="n"/>
      <c r="AS951" s="1410" t="n"/>
      <c r="AT951" s="1409" t="n"/>
      <c r="AU951" s="1410" t="n"/>
      <c r="AV951" s="1410" t="n"/>
      <c r="AW951" s="1410" t="n"/>
      <c r="AX951" s="1410" t="n"/>
      <c r="AY951" s="1409" t="n"/>
      <c r="AZ951" s="1410" t="n"/>
      <c r="BA951" s="1410" t="n"/>
      <c r="BB951" s="1410" t="n"/>
      <c r="BC951" s="1410" t="n"/>
      <c r="BD951" s="1409" t="n"/>
      <c r="BE951" s="1410" t="n"/>
      <c r="BF951" s="1410" t="n"/>
      <c r="BG951" s="1410" t="n"/>
      <c r="BH951" s="1410" t="n"/>
      <c r="BI951" s="1409" t="n"/>
      <c r="BJ951" s="1410" t="n"/>
      <c r="BK951" s="1410" t="n"/>
      <c r="BL951" s="1410" t="n"/>
      <c r="BM951" s="1410" t="n"/>
      <c r="BN951" s="1409" t="n"/>
      <c r="BO951" s="1410" t="n"/>
      <c r="BP951" s="1410" t="n"/>
      <c r="BQ951" s="1411" t="n"/>
      <c r="BR951" s="1410" t="n"/>
      <c r="BS951" s="1409" t="n"/>
      <c r="BT951" s="1410" t="n"/>
      <c r="BU951" s="1410" t="n"/>
      <c r="BV951" s="1410" t="n"/>
      <c r="BW951" s="1410" t="n"/>
      <c r="BX951" s="1409" t="n"/>
      <c r="BY951" s="1409" t="n"/>
      <c r="BZ951" s="1409" t="n"/>
      <c r="CA951" s="1409" t="n"/>
      <c r="CB951" s="1414" t="n"/>
    </row>
    <row r="952" hidden="1" outlineLevel="1" ht="14.4" customFormat="1" customHeight="1" s="1359">
      <c r="A952" s="1361" t="inlineStr">
        <is>
          <t>FCF (before WC), Pre Div</t>
        </is>
      </c>
      <c r="B952" s="1512" t="n"/>
      <c r="C952" s="1379">
        <f>C932+C938</f>
        <v/>
      </c>
      <c r="D952" s="1379">
        <f>D932+D938</f>
        <v/>
      </c>
      <c r="E952" s="1379">
        <f>E932+E938</f>
        <v/>
      </c>
      <c r="F952" s="1379">
        <f>F932+F938</f>
        <v/>
      </c>
      <c r="G952" s="1361">
        <f>G932+G938</f>
        <v/>
      </c>
      <c r="H952" s="1361">
        <f>H932+H938</f>
        <v/>
      </c>
      <c r="I952" s="1361">
        <f>I932+I938</f>
        <v/>
      </c>
      <c r="J952" s="1361">
        <f>J932+J938</f>
        <v/>
      </c>
      <c r="K952" s="1379">
        <f>K932+K938</f>
        <v/>
      </c>
      <c r="L952" s="1361">
        <f>L932+L938</f>
        <v/>
      </c>
      <c r="M952" s="1361">
        <f>M932+M938</f>
        <v/>
      </c>
      <c r="N952" s="1361">
        <f>N932+N938</f>
        <v/>
      </c>
      <c r="O952" s="1361">
        <f>O932+O938</f>
        <v/>
      </c>
      <c r="P952" s="1379">
        <f>P932+P938</f>
        <v/>
      </c>
      <c r="Q952" s="1361">
        <f>Q932+Q938</f>
        <v/>
      </c>
      <c r="R952" s="1361">
        <f>R932+R938</f>
        <v/>
      </c>
      <c r="S952" s="1361">
        <f>S932+S938</f>
        <v/>
      </c>
      <c r="T952" s="1361">
        <f>T932+T938</f>
        <v/>
      </c>
      <c r="U952" s="1379">
        <f>U932+U938</f>
        <v/>
      </c>
      <c r="V952" s="1361">
        <f>V932+V938</f>
        <v/>
      </c>
      <c r="W952" s="1361">
        <f>W932+W938</f>
        <v/>
      </c>
      <c r="X952" s="1361">
        <f>X932+X938</f>
        <v/>
      </c>
      <c r="Y952" s="1361">
        <f>Y932+Y938</f>
        <v/>
      </c>
      <c r="Z952" s="1379">
        <f>Z932+Z938</f>
        <v/>
      </c>
      <c r="AA952" s="1361">
        <f>AA932+AA938</f>
        <v/>
      </c>
      <c r="AB952" s="1361">
        <f>AB932+AB938</f>
        <v/>
      </c>
      <c r="AC952" s="1361">
        <f>AC932+AC938</f>
        <v/>
      </c>
      <c r="AD952" s="1361">
        <f>AD932+AD938</f>
        <v/>
      </c>
      <c r="AE952" s="1379">
        <f>AE932+AE938</f>
        <v/>
      </c>
      <c r="AF952" s="1361">
        <f>AF932+AF938</f>
        <v/>
      </c>
      <c r="AG952" s="1361">
        <f>AG932+AG938</f>
        <v/>
      </c>
      <c r="AH952" s="1361">
        <f>AH932+AH938</f>
        <v/>
      </c>
      <c r="AI952" s="1361">
        <f>AI932+AI938</f>
        <v/>
      </c>
      <c r="AJ952" s="1379">
        <f>AJ932+AJ938</f>
        <v/>
      </c>
      <c r="AK952" s="1361">
        <f>AK932+AK938</f>
        <v/>
      </c>
      <c r="AL952" s="1361">
        <f>AL932+AL938</f>
        <v/>
      </c>
      <c r="AM952" s="1361">
        <f>AM932+AM938</f>
        <v/>
      </c>
      <c r="AN952" s="1361">
        <f>AN932+AN938</f>
        <v/>
      </c>
      <c r="AO952" s="1379">
        <f>AO932+AO938</f>
        <v/>
      </c>
      <c r="AP952" s="1361">
        <f>AP932+AP938</f>
        <v/>
      </c>
      <c r="AQ952" s="1361">
        <f>AQ932+AQ938</f>
        <v/>
      </c>
      <c r="AR952" s="1361">
        <f>AR932+AR938</f>
        <v/>
      </c>
      <c r="AS952" s="1361">
        <f>AS932+AS938</f>
        <v/>
      </c>
      <c r="AT952" s="1379">
        <f>AT932+AT938</f>
        <v/>
      </c>
      <c r="AU952" s="1361">
        <f>AU932+AU938</f>
        <v/>
      </c>
      <c r="AV952" s="1361">
        <f>AV932+AV938</f>
        <v/>
      </c>
      <c r="AW952" s="1361">
        <f>AW932+AW938</f>
        <v/>
      </c>
      <c r="AX952" s="1361">
        <f>AX932+AX938</f>
        <v/>
      </c>
      <c r="AY952" s="1379">
        <f>AY932+AY938</f>
        <v/>
      </c>
      <c r="AZ952" s="1361">
        <f>AZ932+AZ938</f>
        <v/>
      </c>
      <c r="BA952" s="1361">
        <f>BA932+BA938</f>
        <v/>
      </c>
      <c r="BB952" s="1361">
        <f>BB932+BB938</f>
        <v/>
      </c>
      <c r="BC952" s="1361">
        <f>BC932+BC938</f>
        <v/>
      </c>
      <c r="BD952" s="1379">
        <f>BD932+BD938</f>
        <v/>
      </c>
      <c r="BE952" s="1361">
        <f>BE932+BE938</f>
        <v/>
      </c>
      <c r="BF952" s="1361">
        <f>BF932+BF938</f>
        <v/>
      </c>
      <c r="BG952" s="1361">
        <f>BG932+BG938</f>
        <v/>
      </c>
      <c r="BH952" s="1361">
        <f>BH932+BH938</f>
        <v/>
      </c>
      <c r="BI952" s="1379">
        <f>BI932+BI938</f>
        <v/>
      </c>
      <c r="BJ952" s="1361">
        <f>BJ932+BJ938</f>
        <v/>
      </c>
      <c r="BK952" s="1361">
        <f>BK932+BK938</f>
        <v/>
      </c>
      <c r="BL952" s="1361">
        <f>BL932+BL938</f>
        <v/>
      </c>
      <c r="BM952" s="1361">
        <f>BM932+BM938</f>
        <v/>
      </c>
      <c r="BN952" s="1379">
        <f>BN932+BN938</f>
        <v/>
      </c>
      <c r="BO952" s="1361">
        <f>BO932+BO938</f>
        <v/>
      </c>
      <c r="BP952" s="1361">
        <f>BP932+BP938</f>
        <v/>
      </c>
      <c r="BQ952" s="1363">
        <f>BQ932+BQ938</f>
        <v/>
      </c>
      <c r="BR952" s="1361">
        <f>BR932+BR938</f>
        <v/>
      </c>
      <c r="BS952" s="1379">
        <f>BS932+BS938</f>
        <v/>
      </c>
      <c r="BT952" s="1361">
        <f>BT932+BT938</f>
        <v/>
      </c>
      <c r="BU952" s="1361">
        <f>BU932+BU938</f>
        <v/>
      </c>
      <c r="BV952" s="1361">
        <f>BV932+BV938</f>
        <v/>
      </c>
      <c r="BW952" s="1361">
        <f>BW932+BW938</f>
        <v/>
      </c>
      <c r="BX952" s="1379">
        <f>BX932+BX938</f>
        <v/>
      </c>
      <c r="BY952" s="1379">
        <f>BY932+BY938</f>
        <v/>
      </c>
      <c r="BZ952" s="1379">
        <f>BZ932+BZ938</f>
        <v/>
      </c>
      <c r="CA952" s="1379">
        <f>CA932+CA938</f>
        <v/>
      </c>
      <c r="CB952" s="1361" t="n"/>
    </row>
    <row r="953" hidden="1" outlineLevel="1" ht="14.4" customFormat="1" customHeight="1" s="1359">
      <c r="A953" s="1361" t="inlineStr">
        <is>
          <t>FCF (before WC), Post Div, Pre A/D</t>
        </is>
      </c>
      <c r="B953" s="1512" t="n"/>
      <c r="C953" s="1379">
        <f>C952+C943</f>
        <v/>
      </c>
      <c r="D953" s="1379">
        <f>D952+D943</f>
        <v/>
      </c>
      <c r="E953" s="1379">
        <f>E952+E943</f>
        <v/>
      </c>
      <c r="F953" s="1379">
        <f>F952+F943</f>
        <v/>
      </c>
      <c r="G953" s="1361">
        <f>G952+G943</f>
        <v/>
      </c>
      <c r="H953" s="1361">
        <f>H952+H943</f>
        <v/>
      </c>
      <c r="I953" s="1361">
        <f>I952+I943</f>
        <v/>
      </c>
      <c r="J953" s="1361">
        <f>J952+J943</f>
        <v/>
      </c>
      <c r="K953" s="1379">
        <f>K952+K943</f>
        <v/>
      </c>
      <c r="L953" s="1361">
        <f>L952+L943</f>
        <v/>
      </c>
      <c r="M953" s="1361">
        <f>M952+M943</f>
        <v/>
      </c>
      <c r="N953" s="1361">
        <f>N952+N943</f>
        <v/>
      </c>
      <c r="O953" s="1361">
        <f>O952+O943</f>
        <v/>
      </c>
      <c r="P953" s="1379">
        <f>P952+P943</f>
        <v/>
      </c>
      <c r="Q953" s="1361">
        <f>Q952+Q943</f>
        <v/>
      </c>
      <c r="R953" s="1361">
        <f>R952+R943</f>
        <v/>
      </c>
      <c r="S953" s="1361">
        <f>S952+S943</f>
        <v/>
      </c>
      <c r="T953" s="1361">
        <f>T952+T943</f>
        <v/>
      </c>
      <c r="U953" s="1379">
        <f>U952+U943</f>
        <v/>
      </c>
      <c r="V953" s="1361">
        <f>V952+V943</f>
        <v/>
      </c>
      <c r="W953" s="1361">
        <f>W952+W943</f>
        <v/>
      </c>
      <c r="X953" s="1361">
        <f>X952+X943</f>
        <v/>
      </c>
      <c r="Y953" s="1361">
        <f>Y952+Y943</f>
        <v/>
      </c>
      <c r="Z953" s="1379">
        <f>Z952+Z943</f>
        <v/>
      </c>
      <c r="AA953" s="1361">
        <f>AA952+AA943</f>
        <v/>
      </c>
      <c r="AB953" s="1361">
        <f>AB952+AB943</f>
        <v/>
      </c>
      <c r="AC953" s="1361">
        <f>AC952+AC943</f>
        <v/>
      </c>
      <c r="AD953" s="1361">
        <f>AD952+AD943</f>
        <v/>
      </c>
      <c r="AE953" s="1379">
        <f>AE952+AE943</f>
        <v/>
      </c>
      <c r="AF953" s="1361">
        <f>AF952+AF943</f>
        <v/>
      </c>
      <c r="AG953" s="1361">
        <f>AG952+AG943</f>
        <v/>
      </c>
      <c r="AH953" s="1361">
        <f>AH952+AH943</f>
        <v/>
      </c>
      <c r="AI953" s="1361">
        <f>AI952+AI943</f>
        <v/>
      </c>
      <c r="AJ953" s="1379">
        <f>AJ952+AJ943</f>
        <v/>
      </c>
      <c r="AK953" s="1361">
        <f>AK952+AK943</f>
        <v/>
      </c>
      <c r="AL953" s="1361">
        <f>AL952+AL943</f>
        <v/>
      </c>
      <c r="AM953" s="1361">
        <f>AM952+AM943</f>
        <v/>
      </c>
      <c r="AN953" s="1361">
        <f>AN952+AN943</f>
        <v/>
      </c>
      <c r="AO953" s="1379">
        <f>AO952+AO943</f>
        <v/>
      </c>
      <c r="AP953" s="1361">
        <f>AP952+AP943</f>
        <v/>
      </c>
      <c r="AQ953" s="1361">
        <f>AQ952+AQ943</f>
        <v/>
      </c>
      <c r="AR953" s="1361">
        <f>AR952+AR943</f>
        <v/>
      </c>
      <c r="AS953" s="1361">
        <f>AS952+AS943</f>
        <v/>
      </c>
      <c r="AT953" s="1379">
        <f>AT952+AT943</f>
        <v/>
      </c>
      <c r="AU953" s="1361">
        <f>AU952+AU943</f>
        <v/>
      </c>
      <c r="AV953" s="1361">
        <f>AV952+AV943</f>
        <v/>
      </c>
      <c r="AW953" s="1361">
        <f>AW952+AW943</f>
        <v/>
      </c>
      <c r="AX953" s="1361">
        <f>AX952+AX943</f>
        <v/>
      </c>
      <c r="AY953" s="1379">
        <f>AY952+AY943</f>
        <v/>
      </c>
      <c r="AZ953" s="1361">
        <f>AZ952+AZ943</f>
        <v/>
      </c>
      <c r="BA953" s="1361">
        <f>BA952+BA943</f>
        <v/>
      </c>
      <c r="BB953" s="1361">
        <f>BB952+BB943</f>
        <v/>
      </c>
      <c r="BC953" s="1361">
        <f>BC952+BC943</f>
        <v/>
      </c>
      <c r="BD953" s="1379">
        <f>BD952+BD943</f>
        <v/>
      </c>
      <c r="BE953" s="1361">
        <f>BE952+BE943</f>
        <v/>
      </c>
      <c r="BF953" s="1361">
        <f>BF952+BF943</f>
        <v/>
      </c>
      <c r="BG953" s="1361">
        <f>BG952+BG943</f>
        <v/>
      </c>
      <c r="BH953" s="1361">
        <f>BH952+BH943</f>
        <v/>
      </c>
      <c r="BI953" s="1379">
        <f>BI952+BI943</f>
        <v/>
      </c>
      <c r="BJ953" s="1361">
        <f>BJ952+BJ943</f>
        <v/>
      </c>
      <c r="BK953" s="1361">
        <f>BK952+BK943</f>
        <v/>
      </c>
      <c r="BL953" s="1361">
        <f>BL952+BL943</f>
        <v/>
      </c>
      <c r="BM953" s="1361">
        <f>BM952+BM943</f>
        <v/>
      </c>
      <c r="BN953" s="1379">
        <f>BN952+BN943</f>
        <v/>
      </c>
      <c r="BO953" s="1361">
        <f>BO952+BO943</f>
        <v/>
      </c>
      <c r="BP953" s="1361">
        <f>BP952+BP943</f>
        <v/>
      </c>
      <c r="BQ953" s="1363">
        <f>BQ952+BQ943</f>
        <v/>
      </c>
      <c r="BR953" s="1361">
        <f>BR952+BR943</f>
        <v/>
      </c>
      <c r="BS953" s="1379">
        <f>BS952+BS943</f>
        <v/>
      </c>
      <c r="BT953" s="1361">
        <f>BT952+BT943</f>
        <v/>
      </c>
      <c r="BU953" s="1361">
        <f>BU952+BU943</f>
        <v/>
      </c>
      <c r="BV953" s="1361">
        <f>BV952+BV943</f>
        <v/>
      </c>
      <c r="BW953" s="1361">
        <f>BW952+BW943</f>
        <v/>
      </c>
      <c r="BX953" s="1379">
        <f>BX952+BX943</f>
        <v/>
      </c>
      <c r="BY953" s="1379">
        <f>BY952+BY943</f>
        <v/>
      </c>
      <c r="BZ953" s="1379">
        <f>BZ952+BZ943</f>
        <v/>
      </c>
      <c r="CA953" s="1379">
        <f>CA952+CA943</f>
        <v/>
      </c>
      <c r="CB953" s="1361" t="n"/>
    </row>
    <row r="954" hidden="1" outlineLevel="1" ht="14.4" customFormat="1" customHeight="1" s="1359">
      <c r="A954" s="1361" t="inlineStr">
        <is>
          <t>FCF (before WC), Post Div, Post A/D</t>
        </is>
      </c>
      <c r="B954" s="1512" t="n"/>
      <c r="C954" s="1379">
        <f>C953+C941+C942</f>
        <v/>
      </c>
      <c r="D954" s="1379">
        <f>D953+D941+D942</f>
        <v/>
      </c>
      <c r="E954" s="1379">
        <f>E953+E941+E942</f>
        <v/>
      </c>
      <c r="F954" s="1379">
        <f>F953+F941+F942</f>
        <v/>
      </c>
      <c r="G954" s="1361">
        <f>G953+G941+G942</f>
        <v/>
      </c>
      <c r="H954" s="1361">
        <f>H953+H941+H942</f>
        <v/>
      </c>
      <c r="I954" s="1361">
        <f>I953+I941+I942</f>
        <v/>
      </c>
      <c r="J954" s="1361">
        <f>J953+J941+J942</f>
        <v/>
      </c>
      <c r="K954" s="1379">
        <f>K953+K941+K942</f>
        <v/>
      </c>
      <c r="L954" s="1361">
        <f>L953+L941+L942</f>
        <v/>
      </c>
      <c r="M954" s="1361">
        <f>M953+M941+M942</f>
        <v/>
      </c>
      <c r="N954" s="1361">
        <f>N953+N941+N942</f>
        <v/>
      </c>
      <c r="O954" s="1361">
        <f>O953+O941+O942</f>
        <v/>
      </c>
      <c r="P954" s="1379">
        <f>P953+P941+P942</f>
        <v/>
      </c>
      <c r="Q954" s="1361">
        <f>Q953+Q941+Q942</f>
        <v/>
      </c>
      <c r="R954" s="1361">
        <f>R953+R941+R942</f>
        <v/>
      </c>
      <c r="S954" s="1361">
        <f>S953+S941+S942</f>
        <v/>
      </c>
      <c r="T954" s="1361">
        <f>T953+T941+T942</f>
        <v/>
      </c>
      <c r="U954" s="1379">
        <f>U953+U941+U942</f>
        <v/>
      </c>
      <c r="V954" s="1361">
        <f>V953+V941+V942</f>
        <v/>
      </c>
      <c r="W954" s="1361">
        <f>W953+W941+W942</f>
        <v/>
      </c>
      <c r="X954" s="1361">
        <f>X953+X941+X942</f>
        <v/>
      </c>
      <c r="Y954" s="1361">
        <f>Y953+Y941+Y942</f>
        <v/>
      </c>
      <c r="Z954" s="1379">
        <f>Z953+Z941+Z942</f>
        <v/>
      </c>
      <c r="AA954" s="1361">
        <f>AA953+AA941+AA942</f>
        <v/>
      </c>
      <c r="AB954" s="1361">
        <f>AB953+AB941+AB942</f>
        <v/>
      </c>
      <c r="AC954" s="1361">
        <f>AC953+AC941+AC942</f>
        <v/>
      </c>
      <c r="AD954" s="1361">
        <f>AD953+AD941+AD942</f>
        <v/>
      </c>
      <c r="AE954" s="1379">
        <f>AE953+AE941+AE942</f>
        <v/>
      </c>
      <c r="AF954" s="1361">
        <f>AF953+AF941+AF942</f>
        <v/>
      </c>
      <c r="AG954" s="1361">
        <f>AG953+AG941+AG942</f>
        <v/>
      </c>
      <c r="AH954" s="1361">
        <f>AH953+AH941+AH942</f>
        <v/>
      </c>
      <c r="AI954" s="1361">
        <f>AI953+AI941+AI942</f>
        <v/>
      </c>
      <c r="AJ954" s="1379">
        <f>AJ953+AJ941+AJ942</f>
        <v/>
      </c>
      <c r="AK954" s="1361">
        <f>AK953+AK941+AK942</f>
        <v/>
      </c>
      <c r="AL954" s="1361">
        <f>AL953+AL941+AL942</f>
        <v/>
      </c>
      <c r="AM954" s="1361">
        <f>AM953+AM941+AM942</f>
        <v/>
      </c>
      <c r="AN954" s="1361">
        <f>AN953+AN941+AN942</f>
        <v/>
      </c>
      <c r="AO954" s="1379">
        <f>AO953+AO941+AO942</f>
        <v/>
      </c>
      <c r="AP954" s="1361">
        <f>AP953+AP941+AP942</f>
        <v/>
      </c>
      <c r="AQ954" s="1361">
        <f>AQ953+AQ941+AQ942</f>
        <v/>
      </c>
      <c r="AR954" s="1361">
        <f>AR953+AR941+AR942</f>
        <v/>
      </c>
      <c r="AS954" s="1361">
        <f>AS953+AS941+AS942</f>
        <v/>
      </c>
      <c r="AT954" s="1379">
        <f>AT953+AT941+AT942</f>
        <v/>
      </c>
      <c r="AU954" s="1361">
        <f>AU953+AU941+AU942</f>
        <v/>
      </c>
      <c r="AV954" s="1361">
        <f>AV953+AV941+AV942</f>
        <v/>
      </c>
      <c r="AW954" s="1361">
        <f>AW953+AW941+AW942</f>
        <v/>
      </c>
      <c r="AX954" s="1361">
        <f>AX953+AX941+AX942</f>
        <v/>
      </c>
      <c r="AY954" s="1379">
        <f>AY953+AY941+AY942</f>
        <v/>
      </c>
      <c r="AZ954" s="1361">
        <f>AZ953+AZ941+AZ942</f>
        <v/>
      </c>
      <c r="BA954" s="1361">
        <f>BA953+BA941+BA942</f>
        <v/>
      </c>
      <c r="BB954" s="1361">
        <f>BB953+BB941+BB942</f>
        <v/>
      </c>
      <c r="BC954" s="1361">
        <f>BC953+BC941+BC942</f>
        <v/>
      </c>
      <c r="BD954" s="1379">
        <f>BD953+BD941+BD942</f>
        <v/>
      </c>
      <c r="BE954" s="1361">
        <f>BE953+BE941+BE942</f>
        <v/>
      </c>
      <c r="BF954" s="1361">
        <f>BF953+BF941+BF942</f>
        <v/>
      </c>
      <c r="BG954" s="1361">
        <f>BG953+BG941+BG942</f>
        <v/>
      </c>
      <c r="BH954" s="1361">
        <f>BH953+BH941+BH942</f>
        <v/>
      </c>
      <c r="BI954" s="1379">
        <f>BI953+BI941+BI942</f>
        <v/>
      </c>
      <c r="BJ954" s="1361">
        <f>BJ953+BJ941+BJ942</f>
        <v/>
      </c>
      <c r="BK954" s="1361">
        <f>BK953+BK941+BK942</f>
        <v/>
      </c>
      <c r="BL954" s="1361">
        <f>BL953+BL941+BL942</f>
        <v/>
      </c>
      <c r="BM954" s="1361">
        <f>BM953+BM941+BM942</f>
        <v/>
      </c>
      <c r="BN954" s="1379">
        <f>BN953+BN941+BN942</f>
        <v/>
      </c>
      <c r="BO954" s="1361">
        <f>BO953+BO941+BO942</f>
        <v/>
      </c>
      <c r="BP954" s="1361">
        <f>BP953+BP941+BP942</f>
        <v/>
      </c>
      <c r="BQ954" s="1363">
        <f>BQ953+BQ941+BQ942</f>
        <v/>
      </c>
      <c r="BR954" s="1361">
        <f>BR953+BR941+BR942</f>
        <v/>
      </c>
      <c r="BS954" s="1379">
        <f>BS953+BS941+BS942</f>
        <v/>
      </c>
      <c r="BT954" s="1361">
        <f>BT953+BT941+BT942</f>
        <v/>
      </c>
      <c r="BU954" s="1361">
        <f>BU953+BU941+BU942</f>
        <v/>
      </c>
      <c r="BV954" s="1361">
        <f>BV953+BV941+BV942</f>
        <v/>
      </c>
      <c r="BW954" s="1361">
        <f>BW953+BW941+BW942</f>
        <v/>
      </c>
      <c r="BX954" s="1379">
        <f>BX953+BX941+BX942</f>
        <v/>
      </c>
      <c r="BY954" s="1379">
        <f>BY953+BY941+BY942</f>
        <v/>
      </c>
      <c r="BZ954" s="1379">
        <f>BZ953+BZ941+BZ942</f>
        <v/>
      </c>
      <c r="CA954" s="1379">
        <f>CA953+CA941+CA942</f>
        <v/>
      </c>
      <c r="CB954" s="1361" t="n"/>
    </row>
    <row r="955" hidden="1" outlineLevel="1" ht="14.4" customFormat="1" customHeight="1" s="1359">
      <c r="A955" s="1450" t="inlineStr">
        <is>
          <t>FCF (before WC), Post Div, Debt, Buyback, A/D</t>
        </is>
      </c>
      <c r="B955" s="1517" t="n"/>
      <c r="C955" s="1449">
        <f>C954+C948+C949</f>
        <v/>
      </c>
      <c r="D955" s="1449">
        <f>D954+D948+D949</f>
        <v/>
      </c>
      <c r="E955" s="1449">
        <f>E954+E948+E949</f>
        <v/>
      </c>
      <c r="F955" s="1449">
        <f>F954+F948+F949</f>
        <v/>
      </c>
      <c r="G955" s="1450">
        <f>G954+G948+G949</f>
        <v/>
      </c>
      <c r="H955" s="1450">
        <f>H954+H948+H949</f>
        <v/>
      </c>
      <c r="I955" s="1450">
        <f>I954+I948+I949</f>
        <v/>
      </c>
      <c r="J955" s="1450">
        <f>J954+J948+J949</f>
        <v/>
      </c>
      <c r="K955" s="1449">
        <f>K954+K948+K949</f>
        <v/>
      </c>
      <c r="L955" s="1450">
        <f>L954+L948+L949</f>
        <v/>
      </c>
      <c r="M955" s="1450">
        <f>M954+M948+M949</f>
        <v/>
      </c>
      <c r="N955" s="1450">
        <f>N954+N948+N949</f>
        <v/>
      </c>
      <c r="O955" s="1450">
        <f>O954+O948+O949</f>
        <v/>
      </c>
      <c r="P955" s="1449">
        <f>P954+P948+P949</f>
        <v/>
      </c>
      <c r="Q955" s="1450">
        <f>Q954+Q948+Q949</f>
        <v/>
      </c>
      <c r="R955" s="1450">
        <f>R954+R948+R949</f>
        <v/>
      </c>
      <c r="S955" s="1450">
        <f>S954+S948+S949</f>
        <v/>
      </c>
      <c r="T955" s="1450">
        <f>T954+T948+T949</f>
        <v/>
      </c>
      <c r="U955" s="1449">
        <f>U954+U948+U949</f>
        <v/>
      </c>
      <c r="V955" s="1450">
        <f>V954+V948+V949</f>
        <v/>
      </c>
      <c r="W955" s="1450">
        <f>W954+W948+W949</f>
        <v/>
      </c>
      <c r="X955" s="1450">
        <f>X954+X948+X949</f>
        <v/>
      </c>
      <c r="Y955" s="1450">
        <f>Y954+Y948+Y949</f>
        <v/>
      </c>
      <c r="Z955" s="1449">
        <f>Z954+Z948+Z949</f>
        <v/>
      </c>
      <c r="AA955" s="1450">
        <f>AA954+AA948+AA949</f>
        <v/>
      </c>
      <c r="AB955" s="1450">
        <f>AB954+AB948+AB949</f>
        <v/>
      </c>
      <c r="AC955" s="1450">
        <f>AC954+AC948+AC949</f>
        <v/>
      </c>
      <c r="AD955" s="1450">
        <f>AD954+AD948+AD949</f>
        <v/>
      </c>
      <c r="AE955" s="1449">
        <f>AE954+AE948+AE949</f>
        <v/>
      </c>
      <c r="AF955" s="1450">
        <f>AF954+AF948+AF949</f>
        <v/>
      </c>
      <c r="AG955" s="1450">
        <f>AG954+AG948+AG949</f>
        <v/>
      </c>
      <c r="AH955" s="1450">
        <f>AH954+AH948+AH949</f>
        <v/>
      </c>
      <c r="AI955" s="1450">
        <f>AI954+AI948+AI949</f>
        <v/>
      </c>
      <c r="AJ955" s="1449">
        <f>AJ954+AJ948+AJ949</f>
        <v/>
      </c>
      <c r="AK955" s="1450">
        <f>AK954+AK948+AK949</f>
        <v/>
      </c>
      <c r="AL955" s="1450">
        <f>AL954+AL948+AL949</f>
        <v/>
      </c>
      <c r="AM955" s="1450">
        <f>AM954+AM948+AM949</f>
        <v/>
      </c>
      <c r="AN955" s="1450">
        <f>AN954+AN948+AN949</f>
        <v/>
      </c>
      <c r="AO955" s="1449">
        <f>AO954+AO948+AO949</f>
        <v/>
      </c>
      <c r="AP955" s="1450">
        <f>AP954+AP948+AP949</f>
        <v/>
      </c>
      <c r="AQ955" s="1450">
        <f>AQ954+AQ948+AQ949</f>
        <v/>
      </c>
      <c r="AR955" s="1450">
        <f>AR954+AR948+AR949</f>
        <v/>
      </c>
      <c r="AS955" s="1450">
        <f>AS954+AS948+AS949</f>
        <v/>
      </c>
      <c r="AT955" s="1449">
        <f>AT954+AT948+AT949</f>
        <v/>
      </c>
      <c r="AU955" s="1450">
        <f>AU954+AU948+AU949</f>
        <v/>
      </c>
      <c r="AV955" s="1450">
        <f>AV954+AV948+AV949</f>
        <v/>
      </c>
      <c r="AW955" s="1450">
        <f>AW954+AW948+AW949</f>
        <v/>
      </c>
      <c r="AX955" s="1450">
        <f>AX954+AX948+AX949</f>
        <v/>
      </c>
      <c r="AY955" s="1449">
        <f>AY954+AY948+AY949</f>
        <v/>
      </c>
      <c r="AZ955" s="1450">
        <f>AZ954+AZ948+AZ949</f>
        <v/>
      </c>
      <c r="BA955" s="1450">
        <f>BA954+BA948+BA949</f>
        <v/>
      </c>
      <c r="BB955" s="1450">
        <f>BB954+BB948+BB949</f>
        <v/>
      </c>
      <c r="BC955" s="1450">
        <f>BC954+BC948+BC949</f>
        <v/>
      </c>
      <c r="BD955" s="1449">
        <f>BD954+BD948+BD949</f>
        <v/>
      </c>
      <c r="BE955" s="1450">
        <f>BE954+BE948+BE949</f>
        <v/>
      </c>
      <c r="BF955" s="1450">
        <f>BF954+BF948+BF949</f>
        <v/>
      </c>
      <c r="BG955" s="1450">
        <f>BG954+BG948+BG949</f>
        <v/>
      </c>
      <c r="BH955" s="1450">
        <f>BH954+BH948+BH949</f>
        <v/>
      </c>
      <c r="BI955" s="1449">
        <f>BI954+BI948+BI949</f>
        <v/>
      </c>
      <c r="BJ955" s="1450">
        <f>BJ954+BJ948+BJ949</f>
        <v/>
      </c>
      <c r="BK955" s="1450">
        <f>BK954+BK948+BK949</f>
        <v/>
      </c>
      <c r="BL955" s="1450">
        <f>BL954+BL948+BL949</f>
        <v/>
      </c>
      <c r="BM955" s="1450">
        <f>BM954+BM948+BM949</f>
        <v/>
      </c>
      <c r="BN955" s="1449">
        <f>BN954+BN948+BN949</f>
        <v/>
      </c>
      <c r="BO955" s="1450">
        <f>BO954+BO948+BO949</f>
        <v/>
      </c>
      <c r="BP955" s="1450">
        <f>BP954+BP948+BP949</f>
        <v/>
      </c>
      <c r="BQ955" s="1451">
        <f>BQ954+BQ948+BQ949</f>
        <v/>
      </c>
      <c r="BR955" s="1450">
        <f>BR954+BR948+BR949</f>
        <v/>
      </c>
      <c r="BS955" s="1449">
        <f>BS954+BS948+BS949</f>
        <v/>
      </c>
      <c r="BT955" s="1450">
        <f>BT954+BT948+BT949</f>
        <v/>
      </c>
      <c r="BU955" s="1450">
        <f>BU954+BU948+BU949</f>
        <v/>
      </c>
      <c r="BV955" s="1450">
        <f>BV954+BV948+BV949</f>
        <v/>
      </c>
      <c r="BW955" s="1450">
        <f>BW954+BW948+BW949</f>
        <v/>
      </c>
      <c r="BX955" s="1449">
        <f>BX954+BX948+BX949</f>
        <v/>
      </c>
      <c r="BY955" s="1449">
        <f>BY954+BY948+BY949</f>
        <v/>
      </c>
      <c r="BZ955" s="1449">
        <f>BZ954+BZ948+BZ949</f>
        <v/>
      </c>
      <c r="CA955" s="1449">
        <f>CA954+CA948+CA949</f>
        <v/>
      </c>
      <c r="CB955" s="1361" t="n"/>
    </row>
    <row r="956" collapsed="1" ht="14.4" customFormat="1" customHeight="1" s="1359">
      <c r="A956" s="1361" t="inlineStr">
        <is>
          <t>FCF, Pre Div</t>
        </is>
      </c>
      <c r="B956" s="1512" t="n"/>
      <c r="C956" s="1379">
        <f>C934+C938</f>
        <v/>
      </c>
      <c r="D956" s="1379">
        <f>D934+D938</f>
        <v/>
      </c>
      <c r="E956" s="1379">
        <f>E934+E938</f>
        <v/>
      </c>
      <c r="F956" s="1379">
        <f>F934+F938</f>
        <v/>
      </c>
      <c r="G956" s="1361">
        <f>G934+G938</f>
        <v/>
      </c>
      <c r="H956" s="1361">
        <f>H934+H938</f>
        <v/>
      </c>
      <c r="I956" s="1361">
        <f>I934+I938</f>
        <v/>
      </c>
      <c r="J956" s="1361">
        <f>J934+J938</f>
        <v/>
      </c>
      <c r="K956" s="1379">
        <f>K934+K938</f>
        <v/>
      </c>
      <c r="L956" s="1361">
        <f>L934+L938</f>
        <v/>
      </c>
      <c r="M956" s="1361">
        <f>M934+M938</f>
        <v/>
      </c>
      <c r="N956" s="1361">
        <f>N934+N938</f>
        <v/>
      </c>
      <c r="O956" s="1361">
        <f>O934+O938</f>
        <v/>
      </c>
      <c r="P956" s="1379">
        <f>P934+P938</f>
        <v/>
      </c>
      <c r="Q956" s="1361">
        <f>Q934+Q938</f>
        <v/>
      </c>
      <c r="R956" s="1361">
        <f>R934+R938</f>
        <v/>
      </c>
      <c r="S956" s="1361">
        <f>S934+S938</f>
        <v/>
      </c>
      <c r="T956" s="1361">
        <f>T934+T938</f>
        <v/>
      </c>
      <c r="U956" s="1379">
        <f>U934+U938</f>
        <v/>
      </c>
      <c r="V956" s="1361">
        <f>V934+V938</f>
        <v/>
      </c>
      <c r="W956" s="1361">
        <f>W934+W938</f>
        <v/>
      </c>
      <c r="X956" s="1361">
        <f>X934+X938</f>
        <v/>
      </c>
      <c r="Y956" s="1361">
        <f>Y934+Y938</f>
        <v/>
      </c>
      <c r="Z956" s="1379">
        <f>Z934+Z938</f>
        <v/>
      </c>
      <c r="AA956" s="1361">
        <f>AA934+AA938</f>
        <v/>
      </c>
      <c r="AB956" s="1361">
        <f>AB934+AB938</f>
        <v/>
      </c>
      <c r="AC956" s="1361">
        <f>AC934+AC938</f>
        <v/>
      </c>
      <c r="AD956" s="1361">
        <f>AD934+AD938</f>
        <v/>
      </c>
      <c r="AE956" s="1379">
        <f>AE934+AE938</f>
        <v/>
      </c>
      <c r="AF956" s="1361">
        <f>AF934+AF938</f>
        <v/>
      </c>
      <c r="AG956" s="1361">
        <f>AG934+AG938</f>
        <v/>
      </c>
      <c r="AH956" s="1361">
        <f>AH934+AH938</f>
        <v/>
      </c>
      <c r="AI956" s="1361">
        <f>AI934+AI938</f>
        <v/>
      </c>
      <c r="AJ956" s="1379">
        <f>AJ934+AJ938</f>
        <v/>
      </c>
      <c r="AK956" s="1361">
        <f>AK934+AK938</f>
        <v/>
      </c>
      <c r="AL956" s="1361">
        <f>AL934+AL938</f>
        <v/>
      </c>
      <c r="AM956" s="1361">
        <f>AM934+AM938</f>
        <v/>
      </c>
      <c r="AN956" s="1361">
        <f>AN934+AN938</f>
        <v/>
      </c>
      <c r="AO956" s="1379">
        <f>AO934+AO938</f>
        <v/>
      </c>
      <c r="AP956" s="1361">
        <f>AP934+AP938</f>
        <v/>
      </c>
      <c r="AQ956" s="1361">
        <f>AQ934+AQ938</f>
        <v/>
      </c>
      <c r="AR956" s="1361">
        <f>AR934+AR938</f>
        <v/>
      </c>
      <c r="AS956" s="1361">
        <f>AS934+AS938</f>
        <v/>
      </c>
      <c r="AT956" s="1379">
        <f>AT934+AT938</f>
        <v/>
      </c>
      <c r="AU956" s="1361">
        <f>AU934+AU938</f>
        <v/>
      </c>
      <c r="AV956" s="1361">
        <f>AV934+AV938</f>
        <v/>
      </c>
      <c r="AW956" s="1361">
        <f>AW934+AW938</f>
        <v/>
      </c>
      <c r="AX956" s="1361">
        <f>AX934+AX938</f>
        <v/>
      </c>
      <c r="AY956" s="1379">
        <f>AY934+AY938</f>
        <v/>
      </c>
      <c r="AZ956" s="1361">
        <f>AZ934+AZ938</f>
        <v/>
      </c>
      <c r="BA956" s="1361">
        <f>BA934+BA938</f>
        <v/>
      </c>
      <c r="BB956" s="1361">
        <f>BB934+BB938</f>
        <v/>
      </c>
      <c r="BC956" s="1361">
        <f>BC934+BC938</f>
        <v/>
      </c>
      <c r="BD956" s="1379">
        <f>BD934+BD938</f>
        <v/>
      </c>
      <c r="BE956" s="1361">
        <f>BE934+BE938</f>
        <v/>
      </c>
      <c r="BF956" s="1361">
        <f>BF934+BF938</f>
        <v/>
      </c>
      <c r="BG956" s="1361">
        <f>BG934+BG938</f>
        <v/>
      </c>
      <c r="BH956" s="1361">
        <f>BH934+BH938</f>
        <v/>
      </c>
      <c r="BI956" s="1379">
        <f>BI934+BI938</f>
        <v/>
      </c>
      <c r="BJ956" s="1361">
        <f>BJ934+BJ938</f>
        <v/>
      </c>
      <c r="BK956" s="1361">
        <f>BK934+BK938</f>
        <v/>
      </c>
      <c r="BL956" s="1361">
        <f>BL934+BL938</f>
        <v/>
      </c>
      <c r="BM956" s="1361">
        <f>BM934+BM938</f>
        <v/>
      </c>
      <c r="BN956" s="1379">
        <f>BN934+BN938</f>
        <v/>
      </c>
      <c r="BO956" s="1361">
        <f>BO934+BO938</f>
        <v/>
      </c>
      <c r="BP956" s="1361">
        <f>BP934+BP938</f>
        <v/>
      </c>
      <c r="BQ956" s="1363">
        <f>BQ934+BQ938</f>
        <v/>
      </c>
      <c r="BR956" s="1361">
        <f>BR934+BR938</f>
        <v/>
      </c>
      <c r="BS956" s="1379">
        <f>BS934+BS938</f>
        <v/>
      </c>
      <c r="BT956" s="1361">
        <f>BT934+BT938</f>
        <v/>
      </c>
      <c r="BU956" s="1361">
        <f>BU934+BU938</f>
        <v/>
      </c>
      <c r="BV956" s="1361">
        <f>BV934+BV938</f>
        <v/>
      </c>
      <c r="BW956" s="1361">
        <f>BW934+BW938</f>
        <v/>
      </c>
      <c r="BX956" s="1379">
        <f>BX934+BX938</f>
        <v/>
      </c>
      <c r="BY956" s="1379">
        <f>BY934+BY938</f>
        <v/>
      </c>
      <c r="BZ956" s="1379">
        <f>BZ934+BZ938</f>
        <v/>
      </c>
      <c r="CA956" s="1379">
        <f>CA934+CA938</f>
        <v/>
      </c>
      <c r="CB956" s="1361" t="n"/>
    </row>
    <row r="957" ht="14.4" customFormat="1" customHeight="1" s="1359">
      <c r="A957" s="1361" t="inlineStr">
        <is>
          <t>FCF, Post Div, Pre A/D</t>
        </is>
      </c>
      <c r="B957" s="1512" t="n"/>
      <c r="C957" s="1379">
        <f>C956+C943</f>
        <v/>
      </c>
      <c r="D957" s="1379">
        <f>D956+D943</f>
        <v/>
      </c>
      <c r="E957" s="1379">
        <f>E956+E943</f>
        <v/>
      </c>
      <c r="F957" s="1379">
        <f>F956+F943</f>
        <v/>
      </c>
      <c r="G957" s="1361">
        <f>G956+G943</f>
        <v/>
      </c>
      <c r="H957" s="1361">
        <f>H956+H943</f>
        <v/>
      </c>
      <c r="I957" s="1361">
        <f>I956+I943</f>
        <v/>
      </c>
      <c r="J957" s="1361">
        <f>J956+J943</f>
        <v/>
      </c>
      <c r="K957" s="1379">
        <f>K956+K943</f>
        <v/>
      </c>
      <c r="L957" s="1361">
        <f>L956+L943</f>
        <v/>
      </c>
      <c r="M957" s="1361">
        <f>M956+M943</f>
        <v/>
      </c>
      <c r="N957" s="1361">
        <f>N956+N943</f>
        <v/>
      </c>
      <c r="O957" s="1361">
        <f>O956+O943</f>
        <v/>
      </c>
      <c r="P957" s="1379">
        <f>P956+P943</f>
        <v/>
      </c>
      <c r="Q957" s="1361">
        <f>Q956+Q943</f>
        <v/>
      </c>
      <c r="R957" s="1361">
        <f>R956+R943</f>
        <v/>
      </c>
      <c r="S957" s="1361">
        <f>S956+S943</f>
        <v/>
      </c>
      <c r="T957" s="1361">
        <f>T956+T943</f>
        <v/>
      </c>
      <c r="U957" s="1379">
        <f>U956+U943</f>
        <v/>
      </c>
      <c r="V957" s="1361">
        <f>V956+V943</f>
        <v/>
      </c>
      <c r="W957" s="1361">
        <f>W956+W943</f>
        <v/>
      </c>
      <c r="X957" s="1361">
        <f>X956+X943</f>
        <v/>
      </c>
      <c r="Y957" s="1361">
        <f>Y956+Y943</f>
        <v/>
      </c>
      <c r="Z957" s="1379">
        <f>Z956+Z943</f>
        <v/>
      </c>
      <c r="AA957" s="1361">
        <f>AA956+AA943</f>
        <v/>
      </c>
      <c r="AB957" s="1361">
        <f>AB956+AB943</f>
        <v/>
      </c>
      <c r="AC957" s="1361">
        <f>AC956+AC943</f>
        <v/>
      </c>
      <c r="AD957" s="1361">
        <f>AD956+AD943</f>
        <v/>
      </c>
      <c r="AE957" s="1379">
        <f>AE956+AE943</f>
        <v/>
      </c>
      <c r="AF957" s="1361">
        <f>AF956+AF943</f>
        <v/>
      </c>
      <c r="AG957" s="1361">
        <f>AG956+AG943</f>
        <v/>
      </c>
      <c r="AH957" s="1361">
        <f>AH956+AH943</f>
        <v/>
      </c>
      <c r="AI957" s="1361">
        <f>AI956+AI943</f>
        <v/>
      </c>
      <c r="AJ957" s="1379">
        <f>AJ956+AJ943</f>
        <v/>
      </c>
      <c r="AK957" s="1361">
        <f>AK956+AK943</f>
        <v/>
      </c>
      <c r="AL957" s="1361">
        <f>AL956+AL943</f>
        <v/>
      </c>
      <c r="AM957" s="1361">
        <f>AM956+AM943</f>
        <v/>
      </c>
      <c r="AN957" s="1361">
        <f>AN956+AN943</f>
        <v/>
      </c>
      <c r="AO957" s="1379">
        <f>AO956+AO943</f>
        <v/>
      </c>
      <c r="AP957" s="1361">
        <f>AP956+AP943</f>
        <v/>
      </c>
      <c r="AQ957" s="1361">
        <f>AQ956+AQ943</f>
        <v/>
      </c>
      <c r="AR957" s="1361">
        <f>AR956+AR943</f>
        <v/>
      </c>
      <c r="AS957" s="1361">
        <f>AS956+AS943</f>
        <v/>
      </c>
      <c r="AT957" s="1379">
        <f>AT956+AT943</f>
        <v/>
      </c>
      <c r="AU957" s="1361">
        <f>AU956+AU943</f>
        <v/>
      </c>
      <c r="AV957" s="1361">
        <f>AV956+AV943</f>
        <v/>
      </c>
      <c r="AW957" s="1361">
        <f>AW956+AW943</f>
        <v/>
      </c>
      <c r="AX957" s="1361">
        <f>AX956+AX943</f>
        <v/>
      </c>
      <c r="AY957" s="1379">
        <f>AY956+AY943</f>
        <v/>
      </c>
      <c r="AZ957" s="1361">
        <f>AZ956+AZ943</f>
        <v/>
      </c>
      <c r="BA957" s="1361">
        <f>BA956+BA943</f>
        <v/>
      </c>
      <c r="BB957" s="1361">
        <f>BB956+BB943</f>
        <v/>
      </c>
      <c r="BC957" s="1361">
        <f>BC956+BC943</f>
        <v/>
      </c>
      <c r="BD957" s="1379">
        <f>BD956+BD943</f>
        <v/>
      </c>
      <c r="BE957" s="1361">
        <f>BE956+BE943</f>
        <v/>
      </c>
      <c r="BF957" s="1361">
        <f>BF956+BF943</f>
        <v/>
      </c>
      <c r="BG957" s="1361">
        <f>BG956+BG943</f>
        <v/>
      </c>
      <c r="BH957" s="1361">
        <f>BH956+BH943</f>
        <v/>
      </c>
      <c r="BI957" s="1379">
        <f>BI956+BI943</f>
        <v/>
      </c>
      <c r="BJ957" s="1361">
        <f>BJ956+BJ943</f>
        <v/>
      </c>
      <c r="BK957" s="1361">
        <f>BK956+BK943</f>
        <v/>
      </c>
      <c r="BL957" s="1361">
        <f>BL956+BL943</f>
        <v/>
      </c>
      <c r="BM957" s="1361">
        <f>BM956+BM943</f>
        <v/>
      </c>
      <c r="BN957" s="1379">
        <f>BN956+BN943</f>
        <v/>
      </c>
      <c r="BO957" s="1361">
        <f>BO956+BO943</f>
        <v/>
      </c>
      <c r="BP957" s="1361">
        <f>BP956+BP943</f>
        <v/>
      </c>
      <c r="BQ957" s="1363">
        <f>BQ956+BQ943</f>
        <v/>
      </c>
      <c r="BR957" s="1361">
        <f>BR956+BR943</f>
        <v/>
      </c>
      <c r="BS957" s="1379">
        <f>BS956+BS943</f>
        <v/>
      </c>
      <c r="BT957" s="1361">
        <f>BT956+BT943</f>
        <v/>
      </c>
      <c r="BU957" s="1361">
        <f>BU956+BU943</f>
        <v/>
      </c>
      <c r="BV957" s="1361">
        <f>BV956+BV943</f>
        <v/>
      </c>
      <c r="BW957" s="1361">
        <f>BW956+BW943</f>
        <v/>
      </c>
      <c r="BX957" s="1379">
        <f>BX956+BX943</f>
        <v/>
      </c>
      <c r="BY957" s="1379">
        <f>BY956+BY943</f>
        <v/>
      </c>
      <c r="BZ957" s="1379">
        <f>BZ956+BZ943</f>
        <v/>
      </c>
      <c r="CA957" s="1379">
        <f>CA956+CA943</f>
        <v/>
      </c>
      <c r="CB957" s="1361" t="n"/>
    </row>
    <row r="958" ht="14.4" customFormat="1" customHeight="1" s="1359">
      <c r="A958" s="1361" t="inlineStr">
        <is>
          <t>FCF, Post Div, Post A/D</t>
        </is>
      </c>
      <c r="B958" s="1512" t="n"/>
      <c r="C958" s="1379">
        <f>C957+C941+C942</f>
        <v/>
      </c>
      <c r="D958" s="1379">
        <f>D957+D941+D942</f>
        <v/>
      </c>
      <c r="E958" s="1379">
        <f>E957+E941+E942</f>
        <v/>
      </c>
      <c r="F958" s="1379">
        <f>F957+F941+F942</f>
        <v/>
      </c>
      <c r="G958" s="1361">
        <f>G957+G941+G942</f>
        <v/>
      </c>
      <c r="H958" s="1361">
        <f>H957+H941+H942</f>
        <v/>
      </c>
      <c r="I958" s="1361">
        <f>I957+I941+I942</f>
        <v/>
      </c>
      <c r="J958" s="1361">
        <f>J957+J941+J942</f>
        <v/>
      </c>
      <c r="K958" s="1379">
        <f>K957+K941+K942</f>
        <v/>
      </c>
      <c r="L958" s="1361">
        <f>L957+L941+L942</f>
        <v/>
      </c>
      <c r="M958" s="1361">
        <f>M957+M941+M942</f>
        <v/>
      </c>
      <c r="N958" s="1361">
        <f>N957+N941+N942</f>
        <v/>
      </c>
      <c r="O958" s="1361">
        <f>O957+O941+O942</f>
        <v/>
      </c>
      <c r="P958" s="1379">
        <f>P957+P941+P942</f>
        <v/>
      </c>
      <c r="Q958" s="1361">
        <f>Q957+Q941+Q942</f>
        <v/>
      </c>
      <c r="R958" s="1361">
        <f>R957+R941+R942</f>
        <v/>
      </c>
      <c r="S958" s="1361">
        <f>S957+S941+S942</f>
        <v/>
      </c>
      <c r="T958" s="1361">
        <f>T957+T941+T942</f>
        <v/>
      </c>
      <c r="U958" s="1379">
        <f>U957+U941+U942</f>
        <v/>
      </c>
      <c r="V958" s="1361">
        <f>V957+V941+V942</f>
        <v/>
      </c>
      <c r="W958" s="1361">
        <f>W957+W941+W942</f>
        <v/>
      </c>
      <c r="X958" s="1361">
        <f>X957+X941+X942</f>
        <v/>
      </c>
      <c r="Y958" s="1361">
        <f>Y957+Y941+Y942</f>
        <v/>
      </c>
      <c r="Z958" s="1379">
        <f>Z957+Z941+Z942</f>
        <v/>
      </c>
      <c r="AA958" s="1361">
        <f>AA957+AA941+AA942</f>
        <v/>
      </c>
      <c r="AB958" s="1361">
        <f>AB957+AB941+AB942</f>
        <v/>
      </c>
      <c r="AC958" s="1361">
        <f>AC957+AC941+AC942</f>
        <v/>
      </c>
      <c r="AD958" s="1361">
        <f>AD957+AD941+AD942</f>
        <v/>
      </c>
      <c r="AE958" s="1379">
        <f>AE957+AE941+AE942</f>
        <v/>
      </c>
      <c r="AF958" s="1361">
        <f>AF957+AF941+AF942</f>
        <v/>
      </c>
      <c r="AG958" s="1361">
        <f>AG957+AG941+AG942</f>
        <v/>
      </c>
      <c r="AH958" s="1361">
        <f>AH957+AH941+AH942</f>
        <v/>
      </c>
      <c r="AI958" s="1361">
        <f>AI957+AI941+AI942</f>
        <v/>
      </c>
      <c r="AJ958" s="1379">
        <f>AJ957+AJ941+AJ942</f>
        <v/>
      </c>
      <c r="AK958" s="1361">
        <f>AK957+AK941+AK942</f>
        <v/>
      </c>
      <c r="AL958" s="1361">
        <f>AL957+AL941+AL942</f>
        <v/>
      </c>
      <c r="AM958" s="1361">
        <f>AM957+AM941+AM942</f>
        <v/>
      </c>
      <c r="AN958" s="1361">
        <f>AN957+AN941+AN942</f>
        <v/>
      </c>
      <c r="AO958" s="1379">
        <f>AO957+AO941+AO942</f>
        <v/>
      </c>
      <c r="AP958" s="1361">
        <f>AP957+AP941+AP942</f>
        <v/>
      </c>
      <c r="AQ958" s="1361">
        <f>AQ957+AQ941+AQ942</f>
        <v/>
      </c>
      <c r="AR958" s="1361">
        <f>AR957+AR941+AR942</f>
        <v/>
      </c>
      <c r="AS958" s="1361">
        <f>AS957+AS941+AS942</f>
        <v/>
      </c>
      <c r="AT958" s="1379">
        <f>AT957+AT941+AT942</f>
        <v/>
      </c>
      <c r="AU958" s="1361">
        <f>AU957+AU941+AU942</f>
        <v/>
      </c>
      <c r="AV958" s="1361">
        <f>AV957+AV941+AV942</f>
        <v/>
      </c>
      <c r="AW958" s="1361">
        <f>AW957+AW941+AW942</f>
        <v/>
      </c>
      <c r="AX958" s="1361">
        <f>AX957+AX941+AX942</f>
        <v/>
      </c>
      <c r="AY958" s="1379">
        <f>AY957+AY941+AY942</f>
        <v/>
      </c>
      <c r="AZ958" s="1361">
        <f>AZ957+AZ941+AZ942</f>
        <v/>
      </c>
      <c r="BA958" s="1361">
        <f>BA957+BA941+BA942</f>
        <v/>
      </c>
      <c r="BB958" s="1361">
        <f>BB957+BB941+BB942</f>
        <v/>
      </c>
      <c r="BC958" s="1361">
        <f>BC957+BC941+BC942</f>
        <v/>
      </c>
      <c r="BD958" s="1379">
        <f>BD957+BD941+BD942</f>
        <v/>
      </c>
      <c r="BE958" s="1361">
        <f>BE957+BE941+BE942</f>
        <v/>
      </c>
      <c r="BF958" s="1361">
        <f>BF957+BF941+BF942</f>
        <v/>
      </c>
      <c r="BG958" s="1361">
        <f>BG957+BG941+BG942</f>
        <v/>
      </c>
      <c r="BH958" s="1361">
        <f>BH957+BH941+BH942</f>
        <v/>
      </c>
      <c r="BI958" s="1379">
        <f>BI957+BI941+BI942</f>
        <v/>
      </c>
      <c r="BJ958" s="1361">
        <f>BJ957+BJ941+BJ942</f>
        <v/>
      </c>
      <c r="BK958" s="1361">
        <f>BK957+BK941+BK942</f>
        <v/>
      </c>
      <c r="BL958" s="1361">
        <f>BL957+BL941+BL942</f>
        <v/>
      </c>
      <c r="BM958" s="1361">
        <f>BM957+BM941+BM942</f>
        <v/>
      </c>
      <c r="BN958" s="1379">
        <f>BN957+BN941+BN942</f>
        <v/>
      </c>
      <c r="BO958" s="1361">
        <f>BO957+BO941+BO942</f>
        <v/>
      </c>
      <c r="BP958" s="1361">
        <f>BP957+BP941+BP942</f>
        <v/>
      </c>
      <c r="BQ958" s="1363">
        <f>BQ957+BQ941+BQ942</f>
        <v/>
      </c>
      <c r="BR958" s="1361">
        <f>BR957+BR941+BR942</f>
        <v/>
      </c>
      <c r="BS958" s="1379">
        <f>BS957+BS941+BS942</f>
        <v/>
      </c>
      <c r="BT958" s="1361">
        <f>BT957+BT941+BT942</f>
        <v/>
      </c>
      <c r="BU958" s="1361">
        <f>BU957+BU941+BU942</f>
        <v/>
      </c>
      <c r="BV958" s="1361">
        <f>BV957+BV941+BV942</f>
        <v/>
      </c>
      <c r="BW958" s="1361">
        <f>BW957+BW941+BW942</f>
        <v/>
      </c>
      <c r="BX958" s="1379">
        <f>BX957+BX941+BX942</f>
        <v/>
      </c>
      <c r="BY958" s="1379">
        <f>BY957+BY941+BY942</f>
        <v/>
      </c>
      <c r="BZ958" s="1379">
        <f>BZ957+BZ941+BZ942</f>
        <v/>
      </c>
      <c r="CA958" s="1379">
        <f>CA957+CA941+CA942</f>
        <v/>
      </c>
      <c r="CB958" s="1361" t="n"/>
    </row>
    <row r="959" ht="14.4" customFormat="1" customHeight="1" s="1359">
      <c r="A959" s="1450" t="inlineStr">
        <is>
          <t>FCF, Post Div, Debt, Buyback, A/D</t>
        </is>
      </c>
      <c r="B959" s="1517" t="n"/>
      <c r="C959" s="1449">
        <f>C958+C948+C949</f>
        <v/>
      </c>
      <c r="D959" s="1449">
        <f>D958+D948+D949</f>
        <v/>
      </c>
      <c r="E959" s="1449">
        <f>E958+E948+E949</f>
        <v/>
      </c>
      <c r="F959" s="1449">
        <f>F958+F948+F949</f>
        <v/>
      </c>
      <c r="G959" s="1450">
        <f>G958+G948+G949</f>
        <v/>
      </c>
      <c r="H959" s="1450">
        <f>H958+H948+H949</f>
        <v/>
      </c>
      <c r="I959" s="1450">
        <f>I958+I948+I949</f>
        <v/>
      </c>
      <c r="J959" s="1450">
        <f>J958+J948+J949</f>
        <v/>
      </c>
      <c r="K959" s="1449">
        <f>K958+K948+K949</f>
        <v/>
      </c>
      <c r="L959" s="1450">
        <f>L958+L948+L949</f>
        <v/>
      </c>
      <c r="M959" s="1450">
        <f>M958+M948+M949</f>
        <v/>
      </c>
      <c r="N959" s="1450">
        <f>N958+N948+N949</f>
        <v/>
      </c>
      <c r="O959" s="1450">
        <f>O958+O948+O949</f>
        <v/>
      </c>
      <c r="P959" s="1449">
        <f>P958+P948+P949</f>
        <v/>
      </c>
      <c r="Q959" s="1450">
        <f>Q958+Q948+Q949</f>
        <v/>
      </c>
      <c r="R959" s="1450">
        <f>R958+R948+R949</f>
        <v/>
      </c>
      <c r="S959" s="1450">
        <f>S958+S948+S949</f>
        <v/>
      </c>
      <c r="T959" s="1450">
        <f>T958+T948+T949</f>
        <v/>
      </c>
      <c r="U959" s="1449">
        <f>U958+U948+U949</f>
        <v/>
      </c>
      <c r="V959" s="1450">
        <f>V958+V948+V949</f>
        <v/>
      </c>
      <c r="W959" s="1450">
        <f>W958+W948+W949</f>
        <v/>
      </c>
      <c r="X959" s="1450">
        <f>X958+X948+X949</f>
        <v/>
      </c>
      <c r="Y959" s="1450">
        <f>Y958+Y948+Y949</f>
        <v/>
      </c>
      <c r="Z959" s="1449">
        <f>Z958+Z948+Z949</f>
        <v/>
      </c>
      <c r="AA959" s="1450">
        <f>AA958+AA948+AA949</f>
        <v/>
      </c>
      <c r="AB959" s="1450">
        <f>AB958+AB948+AB949</f>
        <v/>
      </c>
      <c r="AC959" s="1450">
        <f>AC958+AC948+AC949</f>
        <v/>
      </c>
      <c r="AD959" s="1450">
        <f>AD958+AD948+AD949</f>
        <v/>
      </c>
      <c r="AE959" s="1449">
        <f>AE958+AE948+AE949</f>
        <v/>
      </c>
      <c r="AF959" s="1450">
        <f>AF958+AF948+AF949</f>
        <v/>
      </c>
      <c r="AG959" s="1450">
        <f>AG958+AG948+AG949</f>
        <v/>
      </c>
      <c r="AH959" s="1450">
        <f>AH958+AH948+AH949</f>
        <v/>
      </c>
      <c r="AI959" s="1450">
        <f>AI958+AI948+AI949</f>
        <v/>
      </c>
      <c r="AJ959" s="1449">
        <f>AJ958+AJ948+AJ949</f>
        <v/>
      </c>
      <c r="AK959" s="1450">
        <f>AK958+AK948+AK949</f>
        <v/>
      </c>
      <c r="AL959" s="1450">
        <f>AL958+AL948+AL949</f>
        <v/>
      </c>
      <c r="AM959" s="1450">
        <f>AM958+AM948+AM949</f>
        <v/>
      </c>
      <c r="AN959" s="1450">
        <f>AN958+AN948+AN949</f>
        <v/>
      </c>
      <c r="AO959" s="1449">
        <f>AO958+AO948+AO949</f>
        <v/>
      </c>
      <c r="AP959" s="1450">
        <f>AP958+AP948+AP949</f>
        <v/>
      </c>
      <c r="AQ959" s="1450">
        <f>AQ958+AQ948+AQ949</f>
        <v/>
      </c>
      <c r="AR959" s="1450">
        <f>AR958+AR948+AR949</f>
        <v/>
      </c>
      <c r="AS959" s="1450">
        <f>AS958+AS948+AS949</f>
        <v/>
      </c>
      <c r="AT959" s="1449">
        <f>AT958+AT948+AT949</f>
        <v/>
      </c>
      <c r="AU959" s="1450">
        <f>AU958+AU948+AU949</f>
        <v/>
      </c>
      <c r="AV959" s="1450">
        <f>AV958+AV948+AV949</f>
        <v/>
      </c>
      <c r="AW959" s="1450">
        <f>AW958+AW948+AW949</f>
        <v/>
      </c>
      <c r="AX959" s="1450">
        <f>AX958+AX948+AX949</f>
        <v/>
      </c>
      <c r="AY959" s="1449">
        <f>AY958+AY948+AY949</f>
        <v/>
      </c>
      <c r="AZ959" s="1450">
        <f>AZ958+AZ948+AZ949</f>
        <v/>
      </c>
      <c r="BA959" s="1450">
        <f>BA958+BA948+BA949</f>
        <v/>
      </c>
      <c r="BB959" s="1450">
        <f>BB958+BB948+BB949</f>
        <v/>
      </c>
      <c r="BC959" s="1450">
        <f>BC958+BC948+BC949</f>
        <v/>
      </c>
      <c r="BD959" s="1449">
        <f>BD958+BD948+BD949</f>
        <v/>
      </c>
      <c r="BE959" s="1450">
        <f>BE958+BE948+BE949</f>
        <v/>
      </c>
      <c r="BF959" s="1450">
        <f>BF958+BF948+BF949</f>
        <v/>
      </c>
      <c r="BG959" s="1450">
        <f>BG958+BG948+BG949</f>
        <v/>
      </c>
      <c r="BH959" s="1450">
        <f>BH958+BH948+BH949</f>
        <v/>
      </c>
      <c r="BI959" s="1449">
        <f>BI958+BI948+BI949</f>
        <v/>
      </c>
      <c r="BJ959" s="1450">
        <f>BJ958+BJ948+BJ949</f>
        <v/>
      </c>
      <c r="BK959" s="1450">
        <f>BK958+BK948+BK949</f>
        <v/>
      </c>
      <c r="BL959" s="1450">
        <f>BL958+BL948+BL949</f>
        <v/>
      </c>
      <c r="BM959" s="1450">
        <f>BM958+BM948+BM949</f>
        <v/>
      </c>
      <c r="BN959" s="1449">
        <f>BN958+BN948+BN949</f>
        <v/>
      </c>
      <c r="BO959" s="1450">
        <f>BO958+BO948+BO949</f>
        <v/>
      </c>
      <c r="BP959" s="1450">
        <f>BP958+BP948+BP949</f>
        <v/>
      </c>
      <c r="BQ959" s="1451">
        <f>BQ958+BQ948+BQ949</f>
        <v/>
      </c>
      <c r="BR959" s="1450">
        <f>BR958+BR948+BR949</f>
        <v/>
      </c>
      <c r="BS959" s="1449">
        <f>BS958+BS948+BS949</f>
        <v/>
      </c>
      <c r="BT959" s="1450">
        <f>BT958+BT948+BT949</f>
        <v/>
      </c>
      <c r="BU959" s="1450">
        <f>BU958+BU948+BU949</f>
        <v/>
      </c>
      <c r="BV959" s="1450">
        <f>BV958+BV948+BV949</f>
        <v/>
      </c>
      <c r="BW959" s="1450">
        <f>BW958+BW948+BW949</f>
        <v/>
      </c>
      <c r="BX959" s="1449">
        <f>BX958+BX948+BX949</f>
        <v/>
      </c>
      <c r="BY959" s="1449">
        <f>BY958+BY948+BY949</f>
        <v/>
      </c>
      <c r="BZ959" s="1449">
        <f>BZ958+BZ948+BZ949</f>
        <v/>
      </c>
      <c r="CA959" s="1449">
        <f>CA958+CA948+CA949</f>
        <v/>
      </c>
      <c r="CB959" s="1361" t="n"/>
    </row>
    <row r="960" ht="14.4" customFormat="1" customHeight="1" s="1359">
      <c r="A960" s="1361" t="n"/>
      <c r="B960" s="1512" t="n"/>
      <c r="C960" s="1379" t="n"/>
      <c r="D960" s="1379" t="n"/>
      <c r="E960" s="1379" t="n"/>
      <c r="F960" s="1379" t="n"/>
      <c r="G960" s="1361" t="n"/>
      <c r="H960" s="1361" t="n"/>
      <c r="I960" s="1361" t="n"/>
      <c r="J960" s="1361" t="n"/>
      <c r="K960" s="1379" t="n"/>
      <c r="L960" s="1361" t="n"/>
      <c r="M960" s="1361" t="n"/>
      <c r="N960" s="1361" t="n"/>
      <c r="O960" s="1361" t="n"/>
      <c r="P960" s="1379" t="n"/>
      <c r="Q960" s="1361" t="n"/>
      <c r="R960" s="1361" t="n"/>
      <c r="S960" s="1361" t="n"/>
      <c r="T960" s="1361" t="n"/>
      <c r="U960" s="1379" t="n"/>
      <c r="V960" s="1361" t="n"/>
      <c r="W960" s="1361" t="n"/>
      <c r="X960" s="1361" t="n"/>
      <c r="Y960" s="1361" t="n"/>
      <c r="Z960" s="1379" t="n"/>
      <c r="AA960" s="1361" t="n"/>
      <c r="AB960" s="1361" t="n"/>
      <c r="AC960" s="1361" t="n"/>
      <c r="AD960" s="1361" t="n"/>
      <c r="AE960" s="1379" t="n"/>
      <c r="AF960" s="1361" t="n"/>
      <c r="AG960" s="1361" t="n"/>
      <c r="AH960" s="1361" t="n"/>
      <c r="AI960" s="1361" t="n"/>
      <c r="AJ960" s="1379" t="n"/>
      <c r="AK960" s="1361" t="n"/>
      <c r="AL960" s="1361" t="n"/>
      <c r="AM960" s="1361" t="n"/>
      <c r="AN960" s="1361" t="n"/>
      <c r="AO960" s="1379" t="n"/>
      <c r="AP960" s="1361" t="n"/>
      <c r="AQ960" s="1361" t="n"/>
      <c r="AR960" s="1361" t="n"/>
      <c r="AS960" s="1361" t="n"/>
      <c r="AT960" s="1379" t="n"/>
      <c r="AU960" s="1361" t="n"/>
      <c r="AV960" s="1361" t="n"/>
      <c r="AW960" s="1361" t="n"/>
      <c r="AX960" s="1361" t="n"/>
      <c r="AY960" s="1379" t="n"/>
      <c r="AZ960" s="1361" t="n"/>
      <c r="BA960" s="1361" t="n"/>
      <c r="BB960" s="1361" t="n"/>
      <c r="BC960" s="1361" t="n"/>
      <c r="BD960" s="1379" t="n"/>
      <c r="BE960" s="1361" t="n"/>
      <c r="BF960" s="1361" t="n"/>
      <c r="BG960" s="1361" t="n"/>
      <c r="BH960" s="1361" t="n"/>
      <c r="BI960" s="1379" t="n"/>
      <c r="BJ960" s="1361" t="n"/>
      <c r="BK960" s="1361" t="n"/>
      <c r="BL960" s="1361" t="n"/>
      <c r="BM960" s="1361" t="n"/>
      <c r="BN960" s="1379" t="n"/>
      <c r="BO960" s="1361" t="n"/>
      <c r="BP960" s="1361" t="n"/>
      <c r="BQ960" s="1363" t="n"/>
      <c r="BR960" s="1361" t="n"/>
      <c r="BS960" s="1379" t="n"/>
      <c r="BT960" s="1361" t="n"/>
      <c r="BU960" s="1361" t="n"/>
      <c r="BV960" s="1361" t="n"/>
      <c r="BW960" s="1361" t="n"/>
      <c r="BX960" s="1379" t="n"/>
      <c r="BY960" s="1379" t="n"/>
      <c r="BZ960" s="1379" t="n"/>
      <c r="CA960" s="1379" t="n"/>
      <c r="CB960" s="1364" t="n"/>
    </row>
    <row r="961" ht="14.4" customFormat="1" customHeight="1" s="1372">
      <c r="A961" s="1373" t="inlineStr">
        <is>
          <t>Balance Sheet Summary</t>
        </is>
      </c>
      <c r="B961" s="1373" t="n"/>
      <c r="C961" s="1373" t="n"/>
      <c r="D961" s="1373" t="n"/>
      <c r="E961" s="1373" t="n"/>
      <c r="F961" s="1373" t="n"/>
      <c r="G961" s="1373" t="n"/>
      <c r="H961" s="1373" t="n"/>
      <c r="I961" s="1373" t="n"/>
      <c r="J961" s="1373" t="n"/>
      <c r="K961" s="1373" t="n"/>
      <c r="L961" s="1373" t="n"/>
      <c r="M961" s="1373" t="n"/>
      <c r="N961" s="1373" t="n"/>
      <c r="O961" s="1373" t="n"/>
      <c r="P961" s="1373" t="n"/>
      <c r="Q961" s="1373" t="n"/>
      <c r="R961" s="1373" t="n"/>
      <c r="S961" s="1373" t="n"/>
      <c r="T961" s="1373" t="n"/>
      <c r="U961" s="1373" t="n"/>
      <c r="V961" s="1373" t="n"/>
      <c r="W961" s="1373" t="n"/>
      <c r="X961" s="1373" t="n"/>
      <c r="Y961" s="1373" t="n"/>
      <c r="Z961" s="1373" t="n"/>
      <c r="AA961" s="1373" t="n"/>
      <c r="AB961" s="1373" t="n"/>
      <c r="AC961" s="1373" t="n"/>
      <c r="AD961" s="1373" t="n"/>
      <c r="AE961" s="1373" t="n"/>
      <c r="AF961" s="1373" t="n"/>
      <c r="AG961" s="1373" t="n"/>
      <c r="AH961" s="1373" t="n"/>
      <c r="AI961" s="1373" t="n"/>
      <c r="AJ961" s="1373" t="n"/>
      <c r="AK961" s="1373" t="n"/>
      <c r="AL961" s="1373" t="n"/>
      <c r="AM961" s="1373" t="n"/>
      <c r="AN961" s="1373" t="n"/>
      <c r="AO961" s="1373" t="n"/>
      <c r="AP961" s="1373" t="n"/>
      <c r="AQ961" s="1373" t="n"/>
      <c r="AR961" s="1373" t="n"/>
      <c r="AS961" s="1373" t="n"/>
      <c r="AT961" s="1373" t="n"/>
      <c r="AU961" s="1373" t="n"/>
      <c r="AV961" s="1373" t="n"/>
      <c r="AW961" s="1373" t="n"/>
      <c r="AX961" s="1373" t="n"/>
      <c r="AY961" s="1373" t="n"/>
      <c r="AZ961" s="1373" t="n"/>
      <c r="BA961" s="1373" t="n"/>
      <c r="BB961" s="1373" t="n"/>
      <c r="BC961" s="1373" t="n"/>
      <c r="BD961" s="1373" t="n"/>
      <c r="BE961" s="1373" t="n"/>
      <c r="BF961" s="1373" t="n"/>
      <c r="BG961" s="1373" t="n"/>
      <c r="BH961" s="1373" t="n"/>
      <c r="BI961" s="1373" t="n"/>
      <c r="BJ961" s="1373" t="n"/>
      <c r="BK961" s="1373" t="n"/>
      <c r="BL961" s="1373" t="n"/>
      <c r="BM961" s="1373" t="n"/>
      <c r="BN961" s="1373" t="n"/>
      <c r="BO961" s="1373" t="n"/>
      <c r="BP961" s="1373" t="n"/>
      <c r="BQ961" s="1374" t="n"/>
      <c r="BR961" s="1373" t="n"/>
      <c r="BS961" s="1373" t="n"/>
      <c r="BT961" s="1373" t="n"/>
      <c r="BU961" s="1373" t="n"/>
      <c r="BV961" s="1373" t="n"/>
      <c r="BW961" s="1373" t="n"/>
      <c r="BX961" s="1373" t="n"/>
      <c r="BY961" s="1373" t="n"/>
      <c r="BZ961" s="1373" t="n"/>
      <c r="CA961" s="1373" t="n"/>
      <c r="CB961" s="1375" t="n"/>
    </row>
    <row r="962" ht="14.4" customFormat="1" customHeight="1" s="1359">
      <c r="A962" s="1364" t="inlineStr">
        <is>
          <t>Cash</t>
        </is>
      </c>
      <c r="B962" s="1512" t="n"/>
      <c r="C962" s="1378">
        <f>C1205+C1206</f>
        <v/>
      </c>
      <c r="D962" s="1378">
        <f>D1205+D1206</f>
        <v/>
      </c>
      <c r="E962" s="1378">
        <f>E1205+E1206</f>
        <v/>
      </c>
      <c r="F962" s="1378">
        <f>F1205+F1206</f>
        <v/>
      </c>
      <c r="G962" s="1364">
        <f>G1205+G1206</f>
        <v/>
      </c>
      <c r="H962" s="1364">
        <f>H1205+H1206</f>
        <v/>
      </c>
      <c r="I962" s="1364">
        <f>I1205+I1206</f>
        <v/>
      </c>
      <c r="J962" s="1364">
        <f>J1205+J1206</f>
        <v/>
      </c>
      <c r="K962" s="1378">
        <f>K1205+K1206</f>
        <v/>
      </c>
      <c r="L962" s="1364">
        <f>L1205+L1206</f>
        <v/>
      </c>
      <c r="M962" s="1364">
        <f>M1205+M1206</f>
        <v/>
      </c>
      <c r="N962" s="1364">
        <f>N1205+N1206</f>
        <v/>
      </c>
      <c r="O962" s="1364">
        <f>O1205+O1206</f>
        <v/>
      </c>
      <c r="P962" s="1378">
        <f>P1205+P1206</f>
        <v/>
      </c>
      <c r="Q962" s="1364">
        <f>Q1205+Q1206</f>
        <v/>
      </c>
      <c r="R962" s="1364">
        <f>R1205+R1206</f>
        <v/>
      </c>
      <c r="S962" s="1364">
        <f>S1205+S1206</f>
        <v/>
      </c>
      <c r="T962" s="1364">
        <f>T1205+T1206</f>
        <v/>
      </c>
      <c r="U962" s="1378">
        <f>U1205+U1206</f>
        <v/>
      </c>
      <c r="V962" s="1364">
        <f>V1205+V1206</f>
        <v/>
      </c>
      <c r="W962" s="1364">
        <f>W1205+W1206</f>
        <v/>
      </c>
      <c r="X962" s="1364">
        <f>X1205+X1206</f>
        <v/>
      </c>
      <c r="Y962" s="1361">
        <f>Y1205+Y1206</f>
        <v/>
      </c>
      <c r="Z962" s="1379">
        <f>Z1205+Z1206</f>
        <v/>
      </c>
      <c r="AA962" s="1364">
        <f>AA1205+AA1206</f>
        <v/>
      </c>
      <c r="AB962" s="1364">
        <f>AB1205+AB1206</f>
        <v/>
      </c>
      <c r="AC962" s="1364">
        <f>AC1205+AC1206</f>
        <v/>
      </c>
      <c r="AD962" s="1361">
        <f>AD1205+AD1206</f>
        <v/>
      </c>
      <c r="AE962" s="1379">
        <f>AE1205+AE1206</f>
        <v/>
      </c>
      <c r="AF962" s="1364">
        <f>AF1205+AF1206</f>
        <v/>
      </c>
      <c r="AG962" s="1364">
        <f>AG1205+AG1206</f>
        <v/>
      </c>
      <c r="AH962" s="1364">
        <f>AH1205+AH1206</f>
        <v/>
      </c>
      <c r="AI962" s="1361">
        <f>AI1205+AI1206</f>
        <v/>
      </c>
      <c r="AJ962" s="1379">
        <f>AJ1205+AJ1206</f>
        <v/>
      </c>
      <c r="AK962" s="1364">
        <f>AK1205+AK1206</f>
        <v/>
      </c>
      <c r="AL962" s="1364">
        <f>AL1205+AL1206</f>
        <v/>
      </c>
      <c r="AM962" s="1364">
        <f>AM1205+AM1206</f>
        <v/>
      </c>
      <c r="AN962" s="1361">
        <f>AN1205+AN1206</f>
        <v/>
      </c>
      <c r="AO962" s="1379">
        <f>AO1205+AO1206</f>
        <v/>
      </c>
      <c r="AP962" s="1364">
        <f>AP1205+AP1206</f>
        <v/>
      </c>
      <c r="AQ962" s="1364">
        <f>AQ1205+AQ1206</f>
        <v/>
      </c>
      <c r="AR962" s="1364">
        <f>AR1205+AR1206</f>
        <v/>
      </c>
      <c r="AS962" s="1361">
        <f>AS1205+AS1206</f>
        <v/>
      </c>
      <c r="AT962" s="1379">
        <f>AT1205+AT1206</f>
        <v/>
      </c>
      <c r="AU962" s="1364">
        <f>AU1205+AU1206</f>
        <v/>
      </c>
      <c r="AV962" s="1364">
        <f>AV1205+AV1206</f>
        <v/>
      </c>
      <c r="AW962" s="1364">
        <f>AW1205+AW1206</f>
        <v/>
      </c>
      <c r="AX962" s="1361">
        <f>AX1205+AX1206</f>
        <v/>
      </c>
      <c r="AY962" s="1379">
        <f>AY1205+AY1206</f>
        <v/>
      </c>
      <c r="AZ962" s="1364">
        <f>AZ1205+AZ1206</f>
        <v/>
      </c>
      <c r="BA962" s="1364">
        <f>BA1205+BA1206</f>
        <v/>
      </c>
      <c r="BB962" s="1364">
        <f>BB1205+BB1206</f>
        <v/>
      </c>
      <c r="BC962" s="1361">
        <f>BC1205+BC1206</f>
        <v/>
      </c>
      <c r="BD962" s="1379">
        <f>BD1205+BD1206</f>
        <v/>
      </c>
      <c r="BE962" s="1364">
        <f>BE1205+BE1206</f>
        <v/>
      </c>
      <c r="BF962" s="1364">
        <f>BF1205+BF1206</f>
        <v/>
      </c>
      <c r="BG962" s="1364">
        <f>BG1205+BG1206</f>
        <v/>
      </c>
      <c r="BH962" s="1361">
        <f>BH1205+BH1206</f>
        <v/>
      </c>
      <c r="BI962" s="1379">
        <f>BI1205+BI1206</f>
        <v/>
      </c>
      <c r="BJ962" s="1364">
        <f>BJ1205+BJ1206</f>
        <v/>
      </c>
      <c r="BK962" s="1364">
        <f>BK1205+BK1206</f>
        <v/>
      </c>
      <c r="BL962" s="1364">
        <f>BL1205+BL1206</f>
        <v/>
      </c>
      <c r="BM962" s="1361">
        <f>BM1205+BM1206</f>
        <v/>
      </c>
      <c r="BN962" s="1379">
        <f>BN1205+BN1206</f>
        <v/>
      </c>
      <c r="BO962" s="1364">
        <f>BO1205+BO1206</f>
        <v/>
      </c>
      <c r="BP962" s="1364">
        <f>BP1205+BP1206</f>
        <v/>
      </c>
      <c r="BQ962" s="1395">
        <f>BQ1205+BQ1206</f>
        <v/>
      </c>
      <c r="BR962" s="1361">
        <f>BR1205+BR1206</f>
        <v/>
      </c>
      <c r="BS962" s="1379">
        <f>BS1205+BS1206</f>
        <v/>
      </c>
      <c r="BT962" s="1361">
        <f>BT1205+BT1206</f>
        <v/>
      </c>
      <c r="BU962" s="1361">
        <f>BU1205+BU1206</f>
        <v/>
      </c>
      <c r="BV962" s="1361">
        <f>BV1205+BV1206</f>
        <v/>
      </c>
      <c r="BW962" s="1361">
        <f>BW1205+BW1206</f>
        <v/>
      </c>
      <c r="BX962" s="1379">
        <f>BX1205+BX1206</f>
        <v/>
      </c>
      <c r="BY962" s="1379">
        <f>BY1205+BY1206</f>
        <v/>
      </c>
      <c r="BZ962" s="1379">
        <f>BZ1205+BZ1206</f>
        <v/>
      </c>
      <c r="CA962" s="1379">
        <f>CA1205+CA1206</f>
        <v/>
      </c>
      <c r="CB962" s="1364" t="n"/>
    </row>
    <row r="963" ht="14.4" customFormat="1" customHeight="1" s="1359">
      <c r="A963" s="1474" t="inlineStr">
        <is>
          <t>ST Debt</t>
        </is>
      </c>
      <c r="B963" s="1512" t="n"/>
      <c r="C963" s="1379">
        <f>C1225+C1226+C1228+C1229</f>
        <v/>
      </c>
      <c r="D963" s="1379">
        <f>D1225+D1226+D1228+D1229</f>
        <v/>
      </c>
      <c r="E963" s="1379">
        <f>E1225+E1226+E1228+E1229</f>
        <v/>
      </c>
      <c r="F963" s="1379">
        <f>F1225+F1226+F1228+F1229</f>
        <v/>
      </c>
      <c r="G963" s="1361">
        <f>G1225+G1226+G1228+G1229</f>
        <v/>
      </c>
      <c r="H963" s="1361">
        <f>H1225+H1226+H1228+H1229</f>
        <v/>
      </c>
      <c r="I963" s="1361">
        <f>I1225+I1226+I1228+I1229</f>
        <v/>
      </c>
      <c r="J963" s="1361">
        <f>J1225+J1226+J1228+J1229</f>
        <v/>
      </c>
      <c r="K963" s="1379">
        <f>K1225+K1226+K1228+K1229</f>
        <v/>
      </c>
      <c r="L963" s="1361">
        <f>L1225+L1226+L1228+L1229</f>
        <v/>
      </c>
      <c r="M963" s="1361">
        <f>M1225+M1226+M1228+M1229</f>
        <v/>
      </c>
      <c r="N963" s="1361">
        <f>N1225+N1226+N1228+N1229</f>
        <v/>
      </c>
      <c r="O963" s="1361">
        <f>O1225+O1226+O1228+O1229</f>
        <v/>
      </c>
      <c r="P963" s="1379">
        <f>P1225+P1226+P1228+P1229</f>
        <v/>
      </c>
      <c r="Q963" s="1361">
        <f>Q1225+Q1226+Q1228+Q1229</f>
        <v/>
      </c>
      <c r="R963" s="1361">
        <f>R1225+R1226+R1228+R1229</f>
        <v/>
      </c>
      <c r="S963" s="1361">
        <f>S1225+S1226+S1228+S1229</f>
        <v/>
      </c>
      <c r="T963" s="1361">
        <f>T1225+T1226+T1228+T1229</f>
        <v/>
      </c>
      <c r="U963" s="1379">
        <f>U1225+U1226+U1228+U1229</f>
        <v/>
      </c>
      <c r="V963" s="1361">
        <f>V1225+V1226+V1228+V1229</f>
        <v/>
      </c>
      <c r="W963" s="1361">
        <f>W1225+W1226+W1228+W1229</f>
        <v/>
      </c>
      <c r="X963" s="1361">
        <f>X1225+X1226+X1228+X1229</f>
        <v/>
      </c>
      <c r="Y963" s="1361">
        <f>Y1225+Y1226+Y1228+Y1229</f>
        <v/>
      </c>
      <c r="Z963" s="1379">
        <f>Z1225+Z1226+Z1228+Z1229</f>
        <v/>
      </c>
      <c r="AA963" s="1361">
        <f>AA1225+AA1226+AA1228+AA1229</f>
        <v/>
      </c>
      <c r="AB963" s="1361">
        <f>AB1225+AB1226+AB1228+AB1229</f>
        <v/>
      </c>
      <c r="AC963" s="1361">
        <f>AC1225+AC1226+AC1228+AC1229</f>
        <v/>
      </c>
      <c r="AD963" s="1361">
        <f>AD1225+AD1226+AD1228+AD1229</f>
        <v/>
      </c>
      <c r="AE963" s="1379">
        <f>AE1225+AE1226+AE1228+AE1229</f>
        <v/>
      </c>
      <c r="AF963" s="1361">
        <f>AF1225+AF1226+AF1228+AF1229</f>
        <v/>
      </c>
      <c r="AG963" s="1361">
        <f>AG1225+AG1226+AG1228+AG1229</f>
        <v/>
      </c>
      <c r="AH963" s="1361">
        <f>AH1225+AH1226+AH1228+AH1229</f>
        <v/>
      </c>
      <c r="AI963" s="1361">
        <f>AI1225+AI1226+AI1228+AI1229</f>
        <v/>
      </c>
      <c r="AJ963" s="1379">
        <f>AJ1225+AJ1226+AJ1228+AJ1229</f>
        <v/>
      </c>
      <c r="AK963" s="1361">
        <f>AK1225+AK1226+AK1228+AK1229</f>
        <v/>
      </c>
      <c r="AL963" s="1361">
        <f>AL1225+AL1226+AL1228+AL1229</f>
        <v/>
      </c>
      <c r="AM963" s="1361">
        <f>AM1225+AM1226+AM1228+AM1229</f>
        <v/>
      </c>
      <c r="AN963" s="1361">
        <f>AN1225+AN1226+AN1228+AN1229</f>
        <v/>
      </c>
      <c r="AO963" s="1379">
        <f>AO1225+AO1226+AO1228+AO1229</f>
        <v/>
      </c>
      <c r="AP963" s="1361">
        <f>AP1225+AP1226+AP1228+AP1229</f>
        <v/>
      </c>
      <c r="AQ963" s="1361">
        <f>AQ1225+AQ1226+AQ1228+AQ1229</f>
        <v/>
      </c>
      <c r="AR963" s="1361">
        <f>AR1225+AR1226+AR1228+AR1229</f>
        <v/>
      </c>
      <c r="AS963" s="1361">
        <f>AS1225+AS1226+AS1228+AS1229</f>
        <v/>
      </c>
      <c r="AT963" s="1379">
        <f>AT1225+AT1226+AT1228+AT1229</f>
        <v/>
      </c>
      <c r="AU963" s="1361">
        <f>AU1225+AU1226+AU1228+AU1229</f>
        <v/>
      </c>
      <c r="AV963" s="1361">
        <f>AV1225+AV1226+AV1228+AV1229</f>
        <v/>
      </c>
      <c r="AW963" s="1361">
        <f>AW1225+AW1226+AW1228+AW1229</f>
        <v/>
      </c>
      <c r="AX963" s="1361">
        <f>AX1225+AX1226+AX1228+AX1229</f>
        <v/>
      </c>
      <c r="AY963" s="1379">
        <f>AY1225+AY1226+AY1228+AY1229</f>
        <v/>
      </c>
      <c r="AZ963" s="1361">
        <f>AZ1225+AZ1226+AZ1228+AZ1229</f>
        <v/>
      </c>
      <c r="BA963" s="1361">
        <f>BA1225+BA1226+BA1228+BA1229</f>
        <v/>
      </c>
      <c r="BB963" s="1361">
        <f>BB1225+BB1226+BB1228+BB1229</f>
        <v/>
      </c>
      <c r="BC963" s="1361">
        <f>BC1225+BC1226+BC1228+BC1229</f>
        <v/>
      </c>
      <c r="BD963" s="1379">
        <f>BD1225+BD1226+BD1228+BD1229</f>
        <v/>
      </c>
      <c r="BE963" s="1361">
        <f>BE1225+BE1226+BE1228+BE1229</f>
        <v/>
      </c>
      <c r="BF963" s="1361">
        <f>BF1225+BF1226+BF1228+BF1229</f>
        <v/>
      </c>
      <c r="BG963" s="1361">
        <f>BG1225+BG1226+BG1228+BG1229</f>
        <v/>
      </c>
      <c r="BH963" s="1361">
        <f>BH1225+BH1226+BH1228+BH1229</f>
        <v/>
      </c>
      <c r="BI963" s="1379">
        <f>BI1225+BI1226+BI1228+BI1229</f>
        <v/>
      </c>
      <c r="BJ963" s="1361">
        <f>BJ1225+BJ1226+BJ1228+BJ1229</f>
        <v/>
      </c>
      <c r="BK963" s="1361">
        <f>BK1225+BK1226+BK1228+BK1229</f>
        <v/>
      </c>
      <c r="BL963" s="1361">
        <f>BL1225+BL1226+BL1228+BL1229</f>
        <v/>
      </c>
      <c r="BM963" s="1361">
        <f>BM1225+BM1226+BM1228+BM1229</f>
        <v/>
      </c>
      <c r="BN963" s="1379">
        <f>BN1225+BN1226+BN1228+BN1229</f>
        <v/>
      </c>
      <c r="BO963" s="1361">
        <f>BO1225+BO1226+BO1228+BO1229</f>
        <v/>
      </c>
      <c r="BP963" s="1361">
        <f>BP1225+BP1226+BP1228+BP1229</f>
        <v/>
      </c>
      <c r="BQ963" s="1363">
        <f>BQ1225+BQ1226+BQ1228+BQ1229</f>
        <v/>
      </c>
      <c r="BR963" s="1361">
        <f>BR1225+BR1226+BR1228+BR1229</f>
        <v/>
      </c>
      <c r="BS963" s="1379">
        <f>BS1225+BS1226+BS1228+BS1229</f>
        <v/>
      </c>
      <c r="BT963" s="1361">
        <f>BT1225+BT1226+BT1228+BT1229</f>
        <v/>
      </c>
      <c r="BU963" s="1361">
        <f>BU1225+BU1226+BU1228+BU1229</f>
        <v/>
      </c>
      <c r="BV963" s="1361">
        <f>BV1225+BV1226+BV1228+BV1229</f>
        <v/>
      </c>
      <c r="BW963" s="1361">
        <f>BW1225+BW1226+BW1228+BW1229</f>
        <v/>
      </c>
      <c r="BX963" s="1379">
        <f>BX1225+BX1226+BX1228+BX1229</f>
        <v/>
      </c>
      <c r="BY963" s="1379">
        <f>BY1225+BY1226+BY1228+BY1229</f>
        <v/>
      </c>
      <c r="BZ963" s="1379">
        <f>BZ1225+BZ1226+BZ1228+BZ1229</f>
        <v/>
      </c>
      <c r="CA963" s="1379">
        <f>CA1225+CA1226+CA1228+CA1229</f>
        <v/>
      </c>
      <c r="CB963" s="1361" t="n"/>
    </row>
    <row r="964" ht="14.4" customFormat="1" customHeight="1" s="1359">
      <c r="A964" s="1474" t="inlineStr">
        <is>
          <t>LT Debt</t>
        </is>
      </c>
      <c r="B964" s="1512" t="n"/>
      <c r="C964" s="1379">
        <f>C1236+C1238+C1237</f>
        <v/>
      </c>
      <c r="D964" s="1379">
        <f>D1236+D1238+D1237</f>
        <v/>
      </c>
      <c r="E964" s="1379">
        <f>E1236+E1238+E1237</f>
        <v/>
      </c>
      <c r="F964" s="1379">
        <f>F1236+F1238+F1237</f>
        <v/>
      </c>
      <c r="G964" s="1361">
        <f>G1236+G1238+G1237</f>
        <v/>
      </c>
      <c r="H964" s="1361">
        <f>H1236+H1238+H1237</f>
        <v/>
      </c>
      <c r="I964" s="1361">
        <f>I1236+I1238+I1237</f>
        <v/>
      </c>
      <c r="J964" s="1361">
        <f>J1236+J1238+J1237</f>
        <v/>
      </c>
      <c r="K964" s="1379">
        <f>K1236+K1238+K1237</f>
        <v/>
      </c>
      <c r="L964" s="1361">
        <f>L1236+L1238+L1237</f>
        <v/>
      </c>
      <c r="M964" s="1361">
        <f>M1236+M1238+M1237</f>
        <v/>
      </c>
      <c r="N964" s="1361">
        <f>N1236+N1238+N1237</f>
        <v/>
      </c>
      <c r="O964" s="1361">
        <f>O1236+O1238+O1237</f>
        <v/>
      </c>
      <c r="P964" s="1379">
        <f>P1236+P1238+P1237</f>
        <v/>
      </c>
      <c r="Q964" s="1361">
        <f>Q1236+Q1238+Q1237</f>
        <v/>
      </c>
      <c r="R964" s="1361">
        <f>R1236+R1238+R1237</f>
        <v/>
      </c>
      <c r="S964" s="1361">
        <f>S1236+S1238+S1237</f>
        <v/>
      </c>
      <c r="T964" s="1361">
        <f>T1236+T1238+T1237</f>
        <v/>
      </c>
      <c r="U964" s="1379">
        <f>U1236+U1238+U1237</f>
        <v/>
      </c>
      <c r="V964" s="1361">
        <f>V1236+V1238+V1237</f>
        <v/>
      </c>
      <c r="W964" s="1361">
        <f>W1236+W1238+W1237</f>
        <v/>
      </c>
      <c r="X964" s="1361">
        <f>X1236+X1238+X1237</f>
        <v/>
      </c>
      <c r="Y964" s="1361">
        <f>Y1236+Y1238+Y1237</f>
        <v/>
      </c>
      <c r="Z964" s="1379">
        <f>Z1236+Z1238+Z1237</f>
        <v/>
      </c>
      <c r="AA964" s="1361">
        <f>AA1236+AA1238+AA1237</f>
        <v/>
      </c>
      <c r="AB964" s="1361">
        <f>AB1236+AB1238+AB1237</f>
        <v/>
      </c>
      <c r="AC964" s="1361">
        <f>AC1236+AC1238+AC1237</f>
        <v/>
      </c>
      <c r="AD964" s="1361">
        <f>AD1236+AD1238+AD1237</f>
        <v/>
      </c>
      <c r="AE964" s="1379">
        <f>AE1236+AE1238+AE1237</f>
        <v/>
      </c>
      <c r="AF964" s="1361">
        <f>AF1236+AF1238+AF1237</f>
        <v/>
      </c>
      <c r="AG964" s="1361">
        <f>AG1236+AG1238+AG1237</f>
        <v/>
      </c>
      <c r="AH964" s="1361">
        <f>AH1236+AH1238+AH1237</f>
        <v/>
      </c>
      <c r="AI964" s="1361">
        <f>AI1236+AI1238+AI1237</f>
        <v/>
      </c>
      <c r="AJ964" s="1379">
        <f>AJ1236+AJ1238+AJ1237</f>
        <v/>
      </c>
      <c r="AK964" s="1361">
        <f>AK1236+AK1238+AK1237</f>
        <v/>
      </c>
      <c r="AL964" s="1361">
        <f>AL1236+AL1238+AL1237</f>
        <v/>
      </c>
      <c r="AM964" s="1361">
        <f>AM1236+AM1238+AM1237</f>
        <v/>
      </c>
      <c r="AN964" s="1361">
        <f>AN1236+AN1238+AN1237</f>
        <v/>
      </c>
      <c r="AO964" s="1379">
        <f>AO1236+AO1238+AO1237</f>
        <v/>
      </c>
      <c r="AP964" s="1361">
        <f>AP1236+AP1238+AP1237</f>
        <v/>
      </c>
      <c r="AQ964" s="1361">
        <f>AQ1236+AQ1238+AQ1237</f>
        <v/>
      </c>
      <c r="AR964" s="1361">
        <f>AR1236+AR1238+AR1237</f>
        <v/>
      </c>
      <c r="AS964" s="1361">
        <f>AS1236+AS1238+AS1237</f>
        <v/>
      </c>
      <c r="AT964" s="1379">
        <f>AT1236+AT1238+AT1237</f>
        <v/>
      </c>
      <c r="AU964" s="1361">
        <f>AU1236+AU1238+AU1237</f>
        <v/>
      </c>
      <c r="AV964" s="1361">
        <f>AV1236+AV1238+AV1237</f>
        <v/>
      </c>
      <c r="AW964" s="1361">
        <f>AW1236+AW1238+AW1237</f>
        <v/>
      </c>
      <c r="AX964" s="1361">
        <f>AX1236+AX1238+AX1237</f>
        <v/>
      </c>
      <c r="AY964" s="1379">
        <f>AY1236+AY1238+AY1237</f>
        <v/>
      </c>
      <c r="AZ964" s="1361">
        <f>AZ1236+AZ1238+AZ1237</f>
        <v/>
      </c>
      <c r="BA964" s="1361">
        <f>BA1236+BA1238+BA1237</f>
        <v/>
      </c>
      <c r="BB964" s="1361">
        <f>BB1236+BB1238+BB1237</f>
        <v/>
      </c>
      <c r="BC964" s="1361">
        <f>BC1236+BC1238+BC1237</f>
        <v/>
      </c>
      <c r="BD964" s="1379">
        <f>BD1236+BD1238+BD1237</f>
        <v/>
      </c>
      <c r="BE964" s="1361">
        <f>BE1236+BE1238+BE1237</f>
        <v/>
      </c>
      <c r="BF964" s="1361">
        <f>BF1236+BF1238+BF1237</f>
        <v/>
      </c>
      <c r="BG964" s="1361">
        <f>BG1236+BG1238+BG1237</f>
        <v/>
      </c>
      <c r="BH964" s="1361">
        <f>BH1236+BH1238+BH1237</f>
        <v/>
      </c>
      <c r="BI964" s="1379">
        <f>BI1236+BI1238+BI1237</f>
        <v/>
      </c>
      <c r="BJ964" s="1361">
        <f>BJ1236+BJ1238+BJ1237</f>
        <v/>
      </c>
      <c r="BK964" s="1361">
        <f>BK1236+BK1238+BK1237</f>
        <v/>
      </c>
      <c r="BL964" s="1361">
        <f>BL1236+BL1238+BL1237</f>
        <v/>
      </c>
      <c r="BM964" s="1361">
        <f>BM1236+BM1238+BM1237</f>
        <v/>
      </c>
      <c r="BN964" s="1379">
        <f>BN1236+BN1238+BN1237</f>
        <v/>
      </c>
      <c r="BO964" s="1361">
        <f>BO1236+BO1238+BO1237</f>
        <v/>
      </c>
      <c r="BP964" s="1361">
        <f>BP1236+BP1238+BP1237</f>
        <v/>
      </c>
      <c r="BQ964" s="1363">
        <f>BQ1236+BQ1238+BQ1237</f>
        <v/>
      </c>
      <c r="BR964" s="1361">
        <f>BR1236+BR1238+BR1237</f>
        <v/>
      </c>
      <c r="BS964" s="1379">
        <f>BS1236+BS1238+BS1237</f>
        <v/>
      </c>
      <c r="BT964" s="1361">
        <f>BT1236+BT1238+BT1237</f>
        <v/>
      </c>
      <c r="BU964" s="1361">
        <f>BU1236+BU1238+BU1237</f>
        <v/>
      </c>
      <c r="BV964" s="1361">
        <f>BV1236+BV1238+BV1237</f>
        <v/>
      </c>
      <c r="BW964" s="1361">
        <f>BW1236+BW1238+BW1237</f>
        <v/>
      </c>
      <c r="BX964" s="1379">
        <f>BX1236+BX1238+BX1237</f>
        <v/>
      </c>
      <c r="BY964" s="1379">
        <f>BY1236+BY1238+BY1237</f>
        <v/>
      </c>
      <c r="BZ964" s="1379">
        <f>BZ1236+BZ1238+BZ1237</f>
        <v/>
      </c>
      <c r="CA964" s="1379">
        <f>CA1236+CA1238+CA1237</f>
        <v/>
      </c>
      <c r="CB964" s="1361" t="n"/>
    </row>
    <row r="965" ht="14.4" customFormat="1" customHeight="1" s="1359">
      <c r="A965" s="1693" t="inlineStr">
        <is>
          <t>Debt</t>
        </is>
      </c>
      <c r="B965" s="1694" t="n"/>
      <c r="C965" s="1698">
        <f>C1225+C1226+C1228+C1236+C1238+C1229+C1237</f>
        <v/>
      </c>
      <c r="D965" s="1698">
        <f>D1225+D1226+D1228+D1236+D1238+D1229+D1237</f>
        <v/>
      </c>
      <c r="E965" s="1698">
        <f>E1225+E1226+E1228+E1236+E1238+E1229+E1237</f>
        <v/>
      </c>
      <c r="F965" s="1698">
        <f>F1225+F1226+F1228+F1236+F1238+F1229+F1237</f>
        <v/>
      </c>
      <c r="G965" s="1693">
        <f>G1225+G1226+G1228+G1236+G1238+G1229+G1237</f>
        <v/>
      </c>
      <c r="H965" s="1693">
        <f>H1225+H1226+H1228+H1236+H1238+H1229+H1237</f>
        <v/>
      </c>
      <c r="I965" s="1693">
        <f>I1225+I1226+I1228+I1236+I1238+I1229+I1237</f>
        <v/>
      </c>
      <c r="J965" s="1693">
        <f>J1225+J1226+J1228+J1236+J1238+J1229+J1237</f>
        <v/>
      </c>
      <c r="K965" s="1698">
        <f>K1225+K1226+K1228+K1236+K1238+K1229+K1237</f>
        <v/>
      </c>
      <c r="L965" s="1693">
        <f>L1225+L1226+L1228+L1236+L1238+L1229+L1237</f>
        <v/>
      </c>
      <c r="M965" s="1693">
        <f>M1225+M1226+M1228+M1236+M1238+M1229+M1237</f>
        <v/>
      </c>
      <c r="N965" s="1693">
        <f>N1225+N1226+N1228+N1236+N1238+N1229+N1237</f>
        <v/>
      </c>
      <c r="O965" s="1693">
        <f>O1225+O1226+O1228+O1236+O1238+O1229+O1237</f>
        <v/>
      </c>
      <c r="P965" s="1698">
        <f>P1225+P1226+P1228+P1236+P1238+P1229+P1237</f>
        <v/>
      </c>
      <c r="Q965" s="1693">
        <f>Q1225+Q1226+Q1228+Q1236+Q1238+Q1229+Q1237</f>
        <v/>
      </c>
      <c r="R965" s="1693">
        <f>R1225+R1226+R1228+R1236+R1238+R1229+R1237</f>
        <v/>
      </c>
      <c r="S965" s="1693">
        <f>S1225+S1226+S1228+S1236+S1238+S1229+S1237</f>
        <v/>
      </c>
      <c r="T965" s="1693">
        <f>T1225+T1226+T1228+T1236+T1238+T1229+T1237</f>
        <v/>
      </c>
      <c r="U965" s="1698">
        <f>U1225+U1226+U1228+U1236+U1238+U1229+U1237</f>
        <v/>
      </c>
      <c r="V965" s="1693">
        <f>V1225+V1226+V1228+V1236+V1238+V1229+V1237</f>
        <v/>
      </c>
      <c r="W965" s="1693">
        <f>W1225+W1226+W1228+W1236+W1238+W1229+W1237</f>
        <v/>
      </c>
      <c r="X965" s="1693">
        <f>X1225+X1226+X1228+X1236+X1238+X1229+X1237</f>
        <v/>
      </c>
      <c r="Y965" s="1693">
        <f>Y1225+Y1226+Y1228+Y1236+Y1238+Y1229+Y1237</f>
        <v/>
      </c>
      <c r="Z965" s="1698">
        <f>Z1225+Z1226+Z1228+Z1236+Z1238+Z1229+Z1237</f>
        <v/>
      </c>
      <c r="AA965" s="1693">
        <f>AA1225+AA1226+AA1228+AA1236+AA1238+AA1229+AA1237</f>
        <v/>
      </c>
      <c r="AB965" s="1693">
        <f>AB1225+AB1226+AB1228+AB1236+AB1238+AB1229+AB1237</f>
        <v/>
      </c>
      <c r="AC965" s="1693">
        <f>AC1225+AC1226+AC1228+AC1236+AC1238+AC1229+AC1237</f>
        <v/>
      </c>
      <c r="AD965" s="1693">
        <f>AD1225+AD1226+AD1228+AD1236+AD1238+AD1229+AD1237</f>
        <v/>
      </c>
      <c r="AE965" s="1698">
        <f>AE1225+AE1226+AE1228+AE1236+AE1238+AE1229+AE1237</f>
        <v/>
      </c>
      <c r="AF965" s="1693">
        <f>AF1225+AF1226+AF1228+AF1236+AF1238+AF1229+AF1237</f>
        <v/>
      </c>
      <c r="AG965" s="1693">
        <f>AG1225+AG1226+AG1228+AG1236+AG1238+AG1229+AG1237</f>
        <v/>
      </c>
      <c r="AH965" s="1693">
        <f>AH1225+AH1226+AH1228+AH1236+AH1238+AH1229+AH1237</f>
        <v/>
      </c>
      <c r="AI965" s="1693">
        <f>AI1225+AI1226+AI1228+AI1236+AI1238+AI1229+AI1237</f>
        <v/>
      </c>
      <c r="AJ965" s="1698">
        <f>AJ1225+AJ1226+AJ1228+AJ1236+AJ1238+AJ1229+AJ1237</f>
        <v/>
      </c>
      <c r="AK965" s="1693">
        <f>AK1225+AK1226+AK1228+AK1236+AK1238+AK1229+AK1237</f>
        <v/>
      </c>
      <c r="AL965" s="1693">
        <f>AL1225+AL1226+AL1228+AL1236+AL1238+AL1229+AL1237</f>
        <v/>
      </c>
      <c r="AM965" s="1693">
        <f>AM1225+AM1226+AM1228+AM1236+AM1238+AM1229+AM1237</f>
        <v/>
      </c>
      <c r="AN965" s="1693">
        <f>AN1225+AN1226+AN1228+AN1236+AN1238+AN1229+AN1237</f>
        <v/>
      </c>
      <c r="AO965" s="1698">
        <f>AO1225+AO1226+AO1228+AO1236+AO1238+AO1229+AO1237</f>
        <v/>
      </c>
      <c r="AP965" s="1693">
        <f>AP1225+AP1226+AP1228+AP1236+AP1238+AP1229+AP1237</f>
        <v/>
      </c>
      <c r="AQ965" s="1693">
        <f>AQ1225+AQ1226+AQ1228+AQ1236+AQ1238+AQ1229+AQ1237</f>
        <v/>
      </c>
      <c r="AR965" s="1693">
        <f>AR1225+AR1226+AR1228+AR1236+AR1238+AR1229+AR1237</f>
        <v/>
      </c>
      <c r="AS965" s="1693">
        <f>AS1225+AS1226+AS1228+AS1236+AS1238+AS1229+AS1237</f>
        <v/>
      </c>
      <c r="AT965" s="1698">
        <f>AT1225+AT1226+AT1228+AT1236+AT1238+AT1229+AT1237</f>
        <v/>
      </c>
      <c r="AU965" s="1693">
        <f>AU1225+AU1226+AU1228+AU1236+AU1238+AU1229+AU1237</f>
        <v/>
      </c>
      <c r="AV965" s="1693">
        <f>AV1225+AV1226+AV1228+AV1236+AV1238+AV1229+AV1237</f>
        <v/>
      </c>
      <c r="AW965" s="1693">
        <f>AW1225+AW1226+AW1228+AW1236+AW1238+AW1229+AW1237</f>
        <v/>
      </c>
      <c r="AX965" s="1693">
        <f>AX1225+AX1226+AX1228+AX1236+AX1238+AX1229+AX1237</f>
        <v/>
      </c>
      <c r="AY965" s="1698">
        <f>AY1225+AY1226+AY1228+AY1236+AY1238+AY1229+AY1237</f>
        <v/>
      </c>
      <c r="AZ965" s="1693">
        <f>AZ1225+AZ1226+AZ1228+AZ1236+AZ1238+AZ1229+AZ1237</f>
        <v/>
      </c>
      <c r="BA965" s="1693">
        <f>BA1225+BA1226+BA1228+BA1236+BA1238+BA1229+BA1237</f>
        <v/>
      </c>
      <c r="BB965" s="1693">
        <f>BB1225+BB1226+BB1228+BB1236+BB1238+BB1229+BB1237</f>
        <v/>
      </c>
      <c r="BC965" s="1693">
        <f>BC1225+BC1226+BC1228+BC1236+BC1238+BC1229+BC1237</f>
        <v/>
      </c>
      <c r="BD965" s="1698">
        <f>BD1225+BD1226+BD1228+BD1236+BD1238+BD1229+BD1237</f>
        <v/>
      </c>
      <c r="BE965" s="1693">
        <f>BE1225+BE1226+BE1228+BE1236+BE1238+BE1229+BE1237</f>
        <v/>
      </c>
      <c r="BF965" s="1693">
        <f>BF1225+BF1226+BF1228+BF1236+BF1238+BF1229+BF1237</f>
        <v/>
      </c>
      <c r="BG965" s="1693">
        <f>BG1225+BG1226+BG1228+BG1236+BG1238+BG1229+BG1237</f>
        <v/>
      </c>
      <c r="BH965" s="1693">
        <f>BH1225+BH1226+BH1228+BH1236+BH1238+BH1229+BH1237</f>
        <v/>
      </c>
      <c r="BI965" s="1698">
        <f>BI1225+BI1226+BI1228+BI1236+BI1238+BI1229+BI1237</f>
        <v/>
      </c>
      <c r="BJ965" s="1693">
        <f>BJ1225+BJ1226+BJ1228+BJ1236+BJ1238+BJ1229+BJ1237</f>
        <v/>
      </c>
      <c r="BK965" s="1693">
        <f>BK1225+BK1226+BK1228+BK1236+BK1238+BK1229+BK1237</f>
        <v/>
      </c>
      <c r="BL965" s="1693">
        <f>BL1225+BL1226+BL1228+BL1236+BL1238+BL1229+BL1237</f>
        <v/>
      </c>
      <c r="BM965" s="1693">
        <f>BM1225+BM1226+BM1228+BM1236+BM1238+BM1229+BM1237</f>
        <v/>
      </c>
      <c r="BN965" s="1698">
        <f>BN1225+BN1226+BN1228+BN1236+BN1238+BN1229+BN1237</f>
        <v/>
      </c>
      <c r="BO965" s="1693">
        <f>BO1225+BO1226+BO1228+BO1236+BO1238+BO1229+BO1237</f>
        <v/>
      </c>
      <c r="BP965" s="1693">
        <f>BP1225+BP1226+BP1228+BP1236+BP1238+BP1229+BP1237</f>
        <v/>
      </c>
      <c r="BQ965" s="1733">
        <f>BQ1225+BQ1226+BQ1228+BQ1236+BQ1238+BQ1229+BQ1237</f>
        <v/>
      </c>
      <c r="BR965" s="1693">
        <f>BR1225+BR1226+BR1228+BR1236+BR1238+BR1229+BR1237</f>
        <v/>
      </c>
      <c r="BS965" s="1698">
        <f>BS1225+BS1226+BS1228+BS1236+BS1238+BS1229+BS1237</f>
        <v/>
      </c>
      <c r="BT965" s="1693">
        <f>BT1225+BT1226+BT1228+BT1236+BT1238+BT1229+BT1237</f>
        <v/>
      </c>
      <c r="BU965" s="1693">
        <f>BU1225+BU1226+BU1228+BU1236+BU1238+BU1229+BU1237</f>
        <v/>
      </c>
      <c r="BV965" s="1693">
        <f>BV1225+BV1226+BV1228+BV1236+BV1238+BV1229+BV1237</f>
        <v/>
      </c>
      <c r="BW965" s="1693">
        <f>BW1225+BW1226+BW1228+BW1236+BW1238+BW1229+BW1237</f>
        <v/>
      </c>
      <c r="BX965" s="1698">
        <f>BX1225+BX1226+BX1228+BX1236+BX1238+BX1229+BX1237</f>
        <v/>
      </c>
      <c r="BY965" s="1698">
        <f>BY1225+BY1226+BY1228+BY1236+BY1238+BY1229+BY1237</f>
        <v/>
      </c>
      <c r="BZ965" s="1698">
        <f>BZ1225+BZ1226+BZ1228+BZ1236+BZ1238+BZ1229+BZ1237</f>
        <v/>
      </c>
      <c r="CA965" s="1698">
        <f>CA1225+CA1226+CA1228+CA1236+CA1238+CA1229+CA1237</f>
        <v/>
      </c>
      <c r="CB965" s="1361" t="n"/>
    </row>
    <row r="966" ht="14.4" customFormat="1" customHeight="1" s="1359">
      <c r="A966" s="1364" t="inlineStr">
        <is>
          <t>Operating Lease Liabilities</t>
        </is>
      </c>
      <c r="B966" s="1512" t="n"/>
      <c r="C966" s="1378">
        <f>C1239</f>
        <v/>
      </c>
      <c r="D966" s="1378">
        <f>D1239</f>
        <v/>
      </c>
      <c r="E966" s="1378">
        <f>E1239</f>
        <v/>
      </c>
      <c r="F966" s="1378">
        <f>F1239</f>
        <v/>
      </c>
      <c r="G966" s="1364">
        <f>G1239</f>
        <v/>
      </c>
      <c r="H966" s="1364">
        <f>H1239</f>
        <v/>
      </c>
      <c r="I966" s="1364">
        <f>I1239</f>
        <v/>
      </c>
      <c r="J966" s="1364">
        <f>J1239</f>
        <v/>
      </c>
      <c r="K966" s="1378">
        <f>K1239</f>
        <v/>
      </c>
      <c r="L966" s="1364">
        <f>L1239</f>
        <v/>
      </c>
      <c r="M966" s="1364">
        <f>M1239</f>
        <v/>
      </c>
      <c r="N966" s="1364">
        <f>N1239</f>
        <v/>
      </c>
      <c r="O966" s="1364">
        <f>O1239</f>
        <v/>
      </c>
      <c r="P966" s="1378">
        <f>P1239</f>
        <v/>
      </c>
      <c r="Q966" s="1364">
        <f>Q1239</f>
        <v/>
      </c>
      <c r="R966" s="1364">
        <f>R1239</f>
        <v/>
      </c>
      <c r="S966" s="1364">
        <f>S1239</f>
        <v/>
      </c>
      <c r="T966" s="1364">
        <f>T1239</f>
        <v/>
      </c>
      <c r="U966" s="1378">
        <f>U1239</f>
        <v/>
      </c>
      <c r="V966" s="1364">
        <f>V1239</f>
        <v/>
      </c>
      <c r="W966" s="1364">
        <f>W1239</f>
        <v/>
      </c>
      <c r="X966" s="1364">
        <f>X1239</f>
        <v/>
      </c>
      <c r="Y966" s="1361">
        <f>Y1239</f>
        <v/>
      </c>
      <c r="Z966" s="1379">
        <f>Z1239</f>
        <v/>
      </c>
      <c r="AA966" s="1364">
        <f>AA1239</f>
        <v/>
      </c>
      <c r="AB966" s="1364">
        <f>AB1239</f>
        <v/>
      </c>
      <c r="AC966" s="1364">
        <f>AC1239</f>
        <v/>
      </c>
      <c r="AD966" s="1361">
        <f>AD1239</f>
        <v/>
      </c>
      <c r="AE966" s="1379">
        <f>AE1239</f>
        <v/>
      </c>
      <c r="AF966" s="1364">
        <f>AF1239</f>
        <v/>
      </c>
      <c r="AG966" s="1364">
        <f>AG1239</f>
        <v/>
      </c>
      <c r="AH966" s="1364">
        <f>AH1239</f>
        <v/>
      </c>
      <c r="AI966" s="1361">
        <f>AI1239</f>
        <v/>
      </c>
      <c r="AJ966" s="1379">
        <f>AJ1239</f>
        <v/>
      </c>
      <c r="AK966" s="1364">
        <f>AK1239</f>
        <v/>
      </c>
      <c r="AL966" s="1364">
        <f>AL1239</f>
        <v/>
      </c>
      <c r="AM966" s="1364">
        <f>AM1239</f>
        <v/>
      </c>
      <c r="AN966" s="1361">
        <f>AN1239</f>
        <v/>
      </c>
      <c r="AO966" s="1379">
        <f>AO1239</f>
        <v/>
      </c>
      <c r="AP966" s="1364">
        <f>AP1239</f>
        <v/>
      </c>
      <c r="AQ966" s="1364">
        <f>AQ1239</f>
        <v/>
      </c>
      <c r="AR966" s="1364">
        <f>AR1239</f>
        <v/>
      </c>
      <c r="AS966" s="1361">
        <f>AS1239</f>
        <v/>
      </c>
      <c r="AT966" s="1379">
        <f>AT1239</f>
        <v/>
      </c>
      <c r="AU966" s="1364">
        <f>AU1239</f>
        <v/>
      </c>
      <c r="AV966" s="1364">
        <f>AV1239</f>
        <v/>
      </c>
      <c r="AW966" s="1364">
        <f>AW1239</f>
        <v/>
      </c>
      <c r="AX966" s="1361">
        <f>AX1239</f>
        <v/>
      </c>
      <c r="AY966" s="1379">
        <f>AY1239</f>
        <v/>
      </c>
      <c r="AZ966" s="1364">
        <f>AZ1239</f>
        <v/>
      </c>
      <c r="BA966" s="1364">
        <f>BA1239</f>
        <v/>
      </c>
      <c r="BB966" s="1364">
        <f>BB1239</f>
        <v/>
      </c>
      <c r="BC966" s="1361">
        <f>BC1239</f>
        <v/>
      </c>
      <c r="BD966" s="1379">
        <f>BD1239</f>
        <v/>
      </c>
      <c r="BE966" s="1364">
        <f>BE1239</f>
        <v/>
      </c>
      <c r="BF966" s="1364">
        <f>BF1239</f>
        <v/>
      </c>
      <c r="BG966" s="1364">
        <f>BG1239</f>
        <v/>
      </c>
      <c r="BH966" s="1361">
        <f>BH1239</f>
        <v/>
      </c>
      <c r="BI966" s="1379">
        <f>BI1239</f>
        <v/>
      </c>
      <c r="BJ966" s="1364">
        <f>BJ1239</f>
        <v/>
      </c>
      <c r="BK966" s="1364">
        <f>BK1239</f>
        <v/>
      </c>
      <c r="BL966" s="1364">
        <f>BL1239</f>
        <v/>
      </c>
      <c r="BM966" s="1361">
        <f>BM1239</f>
        <v/>
      </c>
      <c r="BN966" s="1379">
        <f>BN1239</f>
        <v/>
      </c>
      <c r="BO966" s="1364">
        <f>BO1239</f>
        <v/>
      </c>
      <c r="BP966" s="1364">
        <f>BP1239</f>
        <v/>
      </c>
      <c r="BQ966" s="1395">
        <f>BQ1239</f>
        <v/>
      </c>
      <c r="BR966" s="1361">
        <f>BR1239</f>
        <v/>
      </c>
      <c r="BS966" s="1379">
        <f>BS1239</f>
        <v/>
      </c>
      <c r="BT966" s="1361">
        <f>BT1239</f>
        <v/>
      </c>
      <c r="BU966" s="1361">
        <f>BU1239</f>
        <v/>
      </c>
      <c r="BV966" s="1361">
        <f>BV1239</f>
        <v/>
      </c>
      <c r="BW966" s="1361">
        <f>BW1239</f>
        <v/>
      </c>
      <c r="BX966" s="1379">
        <f>BX1239</f>
        <v/>
      </c>
      <c r="BY966" s="1379">
        <f>BY1239</f>
        <v/>
      </c>
      <c r="BZ966" s="1379">
        <f>BZ1239</f>
        <v/>
      </c>
      <c r="CA966" s="1379">
        <f>CA1239</f>
        <v/>
      </c>
      <c r="CB966" s="1364" t="n"/>
    </row>
    <row r="967" ht="14.4" customFormat="1" customHeight="1" s="1359">
      <c r="A967" s="1364" t="inlineStr">
        <is>
          <t>Net Debt</t>
        </is>
      </c>
      <c r="B967" s="1512" t="n"/>
      <c r="C967" s="1378">
        <f>C965-C962+C966</f>
        <v/>
      </c>
      <c r="D967" s="1378">
        <f>D965-D962+D966</f>
        <v/>
      </c>
      <c r="E967" s="1378">
        <f>E965-E962+E966</f>
        <v/>
      </c>
      <c r="F967" s="1378">
        <f>F965-F962+F966</f>
        <v/>
      </c>
      <c r="G967" s="1364">
        <f>G965-G962+G966</f>
        <v/>
      </c>
      <c r="H967" s="1364">
        <f>H965-H962+H966</f>
        <v/>
      </c>
      <c r="I967" s="1364">
        <f>I965-I962+I966</f>
        <v/>
      </c>
      <c r="J967" s="1364">
        <f>J965-J962+J966</f>
        <v/>
      </c>
      <c r="K967" s="1378">
        <f>K965-K962+K966</f>
        <v/>
      </c>
      <c r="L967" s="1364">
        <f>L965-L962+L966</f>
        <v/>
      </c>
      <c r="M967" s="1364">
        <f>M965-M962+M966</f>
        <v/>
      </c>
      <c r="N967" s="1364">
        <f>N965-N962+N966</f>
        <v/>
      </c>
      <c r="O967" s="1364">
        <f>O965-O962+O966</f>
        <v/>
      </c>
      <c r="P967" s="1378">
        <f>P965-P962+P966</f>
        <v/>
      </c>
      <c r="Q967" s="1364">
        <f>Q965-Q962+Q966</f>
        <v/>
      </c>
      <c r="R967" s="1364">
        <f>R965-R962+R966</f>
        <v/>
      </c>
      <c r="S967" s="1364">
        <f>S965-S962+S966</f>
        <v/>
      </c>
      <c r="T967" s="1364">
        <f>T965-T962+T966</f>
        <v/>
      </c>
      <c r="U967" s="1378">
        <f>U965-U962+U966</f>
        <v/>
      </c>
      <c r="V967" s="1364">
        <f>V965-V962+V966</f>
        <v/>
      </c>
      <c r="W967" s="1364">
        <f>W965-W962+W966</f>
        <v/>
      </c>
      <c r="X967" s="1364">
        <f>X965-X962+X966</f>
        <v/>
      </c>
      <c r="Y967" s="1361">
        <f>Y965-Y962+Y966</f>
        <v/>
      </c>
      <c r="Z967" s="1379">
        <f>Z965-Z962+Z966</f>
        <v/>
      </c>
      <c r="AA967" s="1364">
        <f>AA965-AA962+AA966</f>
        <v/>
      </c>
      <c r="AB967" s="1364">
        <f>AB965-AB962+AB966</f>
        <v/>
      </c>
      <c r="AC967" s="1364">
        <f>AC965-AC962+AC966</f>
        <v/>
      </c>
      <c r="AD967" s="1361">
        <f>AD965-AD962+AD966</f>
        <v/>
      </c>
      <c r="AE967" s="1379">
        <f>AE965-AE962+AE966</f>
        <v/>
      </c>
      <c r="AF967" s="1364">
        <f>AF965-AF962+AF966</f>
        <v/>
      </c>
      <c r="AG967" s="1364">
        <f>AG965-AG962+AG966</f>
        <v/>
      </c>
      <c r="AH967" s="1364">
        <f>AH965-AH962+AH966</f>
        <v/>
      </c>
      <c r="AI967" s="1361">
        <f>AI965-AI962+AI966</f>
        <v/>
      </c>
      <c r="AJ967" s="1379">
        <f>AJ965-AJ962+AJ966</f>
        <v/>
      </c>
      <c r="AK967" s="1364">
        <f>AK965-AK962+AK966</f>
        <v/>
      </c>
      <c r="AL967" s="1364">
        <f>AL965-AL962+AL966</f>
        <v/>
      </c>
      <c r="AM967" s="1364">
        <f>AM965-AM962+AM966</f>
        <v/>
      </c>
      <c r="AN967" s="1361">
        <f>AN965-AN962+AN966</f>
        <v/>
      </c>
      <c r="AO967" s="1379">
        <f>AO965-AO962+AO966</f>
        <v/>
      </c>
      <c r="AP967" s="1364">
        <f>AP965-AP962+AP966</f>
        <v/>
      </c>
      <c r="AQ967" s="1364">
        <f>AQ965-AQ962+AQ966</f>
        <v/>
      </c>
      <c r="AR967" s="1364">
        <f>AR965-AR962+AR966</f>
        <v/>
      </c>
      <c r="AS967" s="1361">
        <f>AS965-AS962+AS966</f>
        <v/>
      </c>
      <c r="AT967" s="1379">
        <f>AT965-AT962+AT966</f>
        <v/>
      </c>
      <c r="AU967" s="1364">
        <f>AU965-AU962+AU966</f>
        <v/>
      </c>
      <c r="AV967" s="1364">
        <f>AV965-AV962+AV966</f>
        <v/>
      </c>
      <c r="AW967" s="1364">
        <f>AW965-AW962+AW966</f>
        <v/>
      </c>
      <c r="AX967" s="1361">
        <f>AX965-AX962+AX966</f>
        <v/>
      </c>
      <c r="AY967" s="1379">
        <f>AY965-AY962+AY966</f>
        <v/>
      </c>
      <c r="AZ967" s="1364">
        <f>AZ965-AZ962+AZ966</f>
        <v/>
      </c>
      <c r="BA967" s="1364">
        <f>BA965-BA962+BA966</f>
        <v/>
      </c>
      <c r="BB967" s="1364">
        <f>BB965-BB962+BB966</f>
        <v/>
      </c>
      <c r="BC967" s="1361">
        <f>BC965-BC962+BC966</f>
        <v/>
      </c>
      <c r="BD967" s="1379">
        <f>BD965-BD962+BD966</f>
        <v/>
      </c>
      <c r="BE967" s="1364">
        <f>BE965-BE962+BE966</f>
        <v/>
      </c>
      <c r="BF967" s="1364">
        <f>BF965-BF962+BF966</f>
        <v/>
      </c>
      <c r="BG967" s="1364">
        <f>BG965-BG962+BG966</f>
        <v/>
      </c>
      <c r="BH967" s="1361">
        <f>BH965-BH962+BH966</f>
        <v/>
      </c>
      <c r="BI967" s="1379">
        <f>BI965-BI962+BI966</f>
        <v/>
      </c>
      <c r="BJ967" s="1364">
        <f>BJ965-BJ962+BJ966</f>
        <v/>
      </c>
      <c r="BK967" s="1364">
        <f>BK965-BK962+BK966</f>
        <v/>
      </c>
      <c r="BL967" s="1364">
        <f>BL965-BL962+BL966</f>
        <v/>
      </c>
      <c r="BM967" s="1361">
        <f>BM965-BM962+BM966</f>
        <v/>
      </c>
      <c r="BN967" s="1379">
        <f>BN965-BN962+BN966</f>
        <v/>
      </c>
      <c r="BO967" s="1364">
        <f>BO965-BO962+BO966</f>
        <v/>
      </c>
      <c r="BP967" s="1364">
        <f>BP965-BP962+BP966</f>
        <v/>
      </c>
      <c r="BQ967" s="1395">
        <f>BQ965-BQ962+BQ966</f>
        <v/>
      </c>
      <c r="BR967" s="1361">
        <f>BR965-BR962+BR966</f>
        <v/>
      </c>
      <c r="BS967" s="1379">
        <f>BS965-BS962+BS966</f>
        <v/>
      </c>
      <c r="BT967" s="1361">
        <f>BT965-BT962+BT966</f>
        <v/>
      </c>
      <c r="BU967" s="1361">
        <f>BU965-BU962+BU966</f>
        <v/>
      </c>
      <c r="BV967" s="1361">
        <f>BV965-BV962+BV966</f>
        <v/>
      </c>
      <c r="BW967" s="1361">
        <f>BW965-BW962+BW966</f>
        <v/>
      </c>
      <c r="BX967" s="1379">
        <f>BX965-BX962+BX966</f>
        <v/>
      </c>
      <c r="BY967" s="1379">
        <f>BY965-BY962+BY966</f>
        <v/>
      </c>
      <c r="BZ967" s="1379">
        <f>BZ965-BZ962+BZ966</f>
        <v/>
      </c>
      <c r="CA967" s="1379">
        <f>CA965-CA962+CA966</f>
        <v/>
      </c>
      <c r="CB967" s="1364" t="n"/>
    </row>
    <row r="968" ht="14.4" customFormat="1" customHeight="1" s="1359">
      <c r="A968" s="1361" t="n"/>
      <c r="B968" s="1512" t="n"/>
      <c r="C968" s="1379" t="n"/>
      <c r="D968" s="1379" t="n"/>
      <c r="E968" s="1379" t="n"/>
      <c r="F968" s="1379" t="n"/>
      <c r="G968" s="1361" t="n"/>
      <c r="H968" s="1361" t="n"/>
      <c r="I968" s="1361" t="n"/>
      <c r="J968" s="1361" t="n"/>
      <c r="K968" s="1379" t="n"/>
      <c r="L968" s="1361" t="n"/>
      <c r="M968" s="1361" t="n"/>
      <c r="N968" s="1361" t="n"/>
      <c r="O968" s="1361" t="n"/>
      <c r="P968" s="1379" t="n"/>
      <c r="Q968" s="1361" t="n"/>
      <c r="R968" s="1361" t="n"/>
      <c r="S968" s="1361" t="n"/>
      <c r="T968" s="1361" t="n"/>
      <c r="U968" s="1379" t="n"/>
      <c r="V968" s="1361" t="n"/>
      <c r="W968" s="1361" t="n"/>
      <c r="X968" s="1361" t="n"/>
      <c r="Y968" s="1361" t="n"/>
      <c r="Z968" s="1379" t="n"/>
      <c r="AA968" s="1361" t="n"/>
      <c r="AB968" s="1361" t="n"/>
      <c r="AC968" s="1361" t="n"/>
      <c r="AD968" s="1361" t="n"/>
      <c r="AE968" s="1379" t="n"/>
      <c r="AF968" s="1361" t="n"/>
      <c r="AG968" s="1361" t="n"/>
      <c r="AH968" s="1361" t="n"/>
      <c r="AI968" s="1361" t="n"/>
      <c r="AJ968" s="1379" t="n"/>
      <c r="AK968" s="1361" t="n"/>
      <c r="AL968" s="1361" t="n"/>
      <c r="AM968" s="1361" t="n"/>
      <c r="AN968" s="1361" t="n"/>
      <c r="AO968" s="1379" t="n"/>
      <c r="AP968" s="1361" t="n"/>
      <c r="AQ968" s="1361" t="n"/>
      <c r="AR968" s="1361" t="n"/>
      <c r="AS968" s="1361" t="n"/>
      <c r="AT968" s="1379" t="n"/>
      <c r="AU968" s="1361" t="n"/>
      <c r="AV968" s="1361" t="n"/>
      <c r="AW968" s="1361" t="n"/>
      <c r="AX968" s="1361" t="n"/>
      <c r="AY968" s="1379" t="n"/>
      <c r="AZ968" s="1361" t="n"/>
      <c r="BA968" s="1361" t="n"/>
      <c r="BB968" s="1361" t="n"/>
      <c r="BC968" s="1361" t="n"/>
      <c r="BD968" s="1379" t="n"/>
      <c r="BE968" s="1361" t="n"/>
      <c r="BF968" s="1361" t="n"/>
      <c r="BG968" s="1361" t="n"/>
      <c r="BH968" s="1361" t="n"/>
      <c r="BI968" s="1379" t="n"/>
      <c r="BJ968" s="1361" t="n"/>
      <c r="BK968" s="1361" t="n"/>
      <c r="BL968" s="1361" t="n"/>
      <c r="BM968" s="1361" t="n"/>
      <c r="BN968" s="1379" t="n"/>
      <c r="BO968" s="1361" t="n"/>
      <c r="BP968" s="1361" t="n"/>
      <c r="BQ968" s="1363" t="n"/>
      <c r="BR968" s="1361" t="n"/>
      <c r="BS968" s="1379" t="n"/>
      <c r="BT968" s="1361" t="n"/>
      <c r="BU968" s="1361" t="n"/>
      <c r="BV968" s="1361" t="n"/>
      <c r="BW968" s="1361" t="n"/>
      <c r="BX968" s="1379" t="n"/>
      <c r="BY968" s="1379" t="n"/>
      <c r="BZ968" s="1379" t="n"/>
      <c r="CA968" s="1379" t="n"/>
      <c r="CB968" s="1364" t="n"/>
    </row>
    <row r="969" ht="14.4" customFormat="1" customHeight="1" s="1359">
      <c r="A969" s="1364" t="inlineStr">
        <is>
          <t>Interest Expense</t>
        </is>
      </c>
      <c r="B969" s="1512" t="n"/>
      <c r="C969" s="1864">
        <f>C486</f>
        <v/>
      </c>
      <c r="D969" s="1864">
        <f>D486</f>
        <v/>
      </c>
      <c r="E969" s="1864">
        <f>E486</f>
        <v/>
      </c>
      <c r="F969" s="1864">
        <f>F486</f>
        <v/>
      </c>
      <c r="G969" s="1865">
        <f>G486</f>
        <v/>
      </c>
      <c r="H969" s="1865">
        <f>H486</f>
        <v/>
      </c>
      <c r="I969" s="1865">
        <f>I486</f>
        <v/>
      </c>
      <c r="J969" s="1865">
        <f>J486</f>
        <v/>
      </c>
      <c r="K969" s="1864">
        <f>K486</f>
        <v/>
      </c>
      <c r="L969" s="1865">
        <f>L486</f>
        <v/>
      </c>
      <c r="M969" s="1865">
        <f>M486</f>
        <v/>
      </c>
      <c r="N969" s="1865">
        <f>N486</f>
        <v/>
      </c>
      <c r="O969" s="1865">
        <f>O486</f>
        <v/>
      </c>
      <c r="P969" s="1864">
        <f>P486</f>
        <v/>
      </c>
      <c r="Q969" s="1865">
        <f>Q486</f>
        <v/>
      </c>
      <c r="R969" s="1865">
        <f>R486</f>
        <v/>
      </c>
      <c r="S969" s="1865">
        <f>S486</f>
        <v/>
      </c>
      <c r="T969" s="1865">
        <f>T486</f>
        <v/>
      </c>
      <c r="U969" s="1864">
        <f>U486</f>
        <v/>
      </c>
      <c r="V969" s="1865">
        <f>V486</f>
        <v/>
      </c>
      <c r="W969" s="1865">
        <f>W486</f>
        <v/>
      </c>
      <c r="X969" s="1865">
        <f>X486</f>
        <v/>
      </c>
      <c r="Y969" s="1553">
        <f>Y486</f>
        <v/>
      </c>
      <c r="Z969" s="1554">
        <f>Z486</f>
        <v/>
      </c>
      <c r="AA969" s="1865">
        <f>AA486</f>
        <v/>
      </c>
      <c r="AB969" s="1865">
        <f>AB486</f>
        <v/>
      </c>
      <c r="AC969" s="1865">
        <f>AC486</f>
        <v/>
      </c>
      <c r="AD969" s="1553">
        <f>AD486</f>
        <v/>
      </c>
      <c r="AE969" s="1554">
        <f>AE486</f>
        <v/>
      </c>
      <c r="AF969" s="1865">
        <f>AF486</f>
        <v/>
      </c>
      <c r="AG969" s="1865">
        <f>AG486</f>
        <v/>
      </c>
      <c r="AH969" s="1865">
        <f>AH486</f>
        <v/>
      </c>
      <c r="AI969" s="1553">
        <f>AI486</f>
        <v/>
      </c>
      <c r="AJ969" s="1554">
        <f>AJ486</f>
        <v/>
      </c>
      <c r="AK969" s="1865">
        <f>AK486</f>
        <v/>
      </c>
      <c r="AL969" s="1865">
        <f>AL486</f>
        <v/>
      </c>
      <c r="AM969" s="1865">
        <f>AM486</f>
        <v/>
      </c>
      <c r="AN969" s="1553">
        <f>AN486</f>
        <v/>
      </c>
      <c r="AO969" s="1554">
        <f>AO486</f>
        <v/>
      </c>
      <c r="AP969" s="1865">
        <f>AP486</f>
        <v/>
      </c>
      <c r="AQ969" s="1865">
        <f>AQ486</f>
        <v/>
      </c>
      <c r="AR969" s="1865">
        <f>AR486</f>
        <v/>
      </c>
      <c r="AS969" s="1553">
        <f>AS486</f>
        <v/>
      </c>
      <c r="AT969" s="1554">
        <f>AT486</f>
        <v/>
      </c>
      <c r="AU969" s="1865">
        <f>AU486</f>
        <v/>
      </c>
      <c r="AV969" s="1865">
        <f>AV486</f>
        <v/>
      </c>
      <c r="AW969" s="1865">
        <f>AW486</f>
        <v/>
      </c>
      <c r="AX969" s="1553">
        <f>AX486</f>
        <v/>
      </c>
      <c r="AY969" s="1554">
        <f>AY486</f>
        <v/>
      </c>
      <c r="AZ969" s="1865">
        <f>AZ486</f>
        <v/>
      </c>
      <c r="BA969" s="1865">
        <f>BA486</f>
        <v/>
      </c>
      <c r="BB969" s="1865">
        <f>BB486</f>
        <v/>
      </c>
      <c r="BC969" s="1553">
        <f>BC486</f>
        <v/>
      </c>
      <c r="BD969" s="1554">
        <f>BD486</f>
        <v/>
      </c>
      <c r="BE969" s="1865">
        <f>BE486</f>
        <v/>
      </c>
      <c r="BF969" s="1865">
        <f>BF486</f>
        <v/>
      </c>
      <c r="BG969" s="1865">
        <f>BG486</f>
        <v/>
      </c>
      <c r="BH969" s="1553">
        <f>BH486</f>
        <v/>
      </c>
      <c r="BI969" s="1554">
        <f>BI486</f>
        <v/>
      </c>
      <c r="BJ969" s="1865">
        <f>BJ486</f>
        <v/>
      </c>
      <c r="BK969" s="1865">
        <f>BK486</f>
        <v/>
      </c>
      <c r="BL969" s="1865">
        <f>BL486</f>
        <v/>
      </c>
      <c r="BM969" s="1553">
        <f>BM486</f>
        <v/>
      </c>
      <c r="BN969" s="1554">
        <f>BN486</f>
        <v/>
      </c>
      <c r="BO969" s="1865">
        <f>BO486</f>
        <v/>
      </c>
      <c r="BP969" s="1865">
        <f>BP486</f>
        <v/>
      </c>
      <c r="BQ969" s="1866">
        <f>BQ486</f>
        <v/>
      </c>
      <c r="BR969" s="1553">
        <f>MAX(0,BR970*AVERAGE(BQ965,BR965)*BR3/BS3)</f>
        <v/>
      </c>
      <c r="BS969" s="1554">
        <f>IF(OR(ISBLANK(BO969),ISBLANK(BP969),ISBLANK(BQ969),ISBLANK(BR969)),"n/a",SUM(BO969,BP969,BQ969,BR969))</f>
        <v/>
      </c>
      <c r="BT969" s="1553">
        <f>MAX(0,BT970*AVERAGE(BS965,BT965)*BT3/BX3)</f>
        <v/>
      </c>
      <c r="BU969" s="1553">
        <f>MAX(0,BU970*AVERAGE(BT965,BU965)*BU3/BX3)</f>
        <v/>
      </c>
      <c r="BV969" s="1553">
        <f>MAX(0,BV970*AVERAGE(BU965,BV965)*BV3/BX3)</f>
        <v/>
      </c>
      <c r="BW969" s="1553">
        <f>MAX(0,BW970*AVERAGE(BV965,BW965)*BW3/BX3)</f>
        <v/>
      </c>
      <c r="BX969" s="1554">
        <f>IF(OR(ISBLANK(BT969),ISBLANK(BU969),ISBLANK(BV969),ISBLANK(BW969)),"n/a",SUM(BT969,BU969,BV969,BW969))</f>
        <v/>
      </c>
      <c r="BY969" s="1554">
        <f>MAX(0,BY970*AVERAGE(BX965,BY965))</f>
        <v/>
      </c>
      <c r="BZ969" s="1554">
        <f>MAX(0,BZ970*AVERAGE(BY965,BZ965))</f>
        <v/>
      </c>
      <c r="CA969" s="1554">
        <f>MAX(0,CA970*AVERAGE(BZ965,CA965))</f>
        <v/>
      </c>
      <c r="CB969" s="1364" t="n"/>
    </row>
    <row r="970" ht="14.4" customFormat="1" customHeight="1" s="1359">
      <c r="A970" s="1375" t="inlineStr">
        <is>
          <t>Effective Interest Rate on Debt</t>
        </is>
      </c>
      <c r="B970" s="1517" t="n"/>
      <c r="C970" s="1867" t="n"/>
      <c r="D970" s="1868">
        <f>IFERROR(D969/AVERAGE(C965,D965),"n/a")</f>
        <v/>
      </c>
      <c r="E970" s="1868">
        <f>IFERROR(E969/AVERAGE(D965,E965),"n/a")</f>
        <v/>
      </c>
      <c r="F970" s="1868">
        <f>IFERROR(F969/AVERAGE(E965,F965),"n/a")</f>
        <v/>
      </c>
      <c r="G970" s="1869">
        <f>IFERROR(G969/AVERAGE(F965,G965)*K3/G3,"n/a")</f>
        <v/>
      </c>
      <c r="H970" s="1869">
        <f>IFERROR(H969/AVERAGE(G965,H965)*K3/H3,"n/a")</f>
        <v/>
      </c>
      <c r="I970" s="1869">
        <f>IFERROR(I969/AVERAGE(H965,I965)*K3/I3,"n/a")</f>
        <v/>
      </c>
      <c r="J970" s="1869">
        <f>IFERROR(J969/AVERAGE(I965,J965)*K3/J3,"n/a")</f>
        <v/>
      </c>
      <c r="K970" s="1868">
        <f>IFERROR(K969/AVERAGE(G965,H965,I965,J965),"n/a")</f>
        <v/>
      </c>
      <c r="L970" s="1869">
        <f>IFERROR(L969/AVERAGE(K965,L965)*P3/L3,"n/a")</f>
        <v/>
      </c>
      <c r="M970" s="1869">
        <f>IFERROR(M969/AVERAGE(L965,M965)*P3/M3,"n/a")</f>
        <v/>
      </c>
      <c r="N970" s="1869">
        <f>IFERROR(N969/AVERAGE(M965,N965)*P3/N3,"n/a")</f>
        <v/>
      </c>
      <c r="O970" s="1869">
        <f>IFERROR(O969/AVERAGE(N965,O965)*P3/O3,"n/a")</f>
        <v/>
      </c>
      <c r="P970" s="1868">
        <f>IFERROR(P969/AVERAGE(L965,M965,N965,O965),"n/a")</f>
        <v/>
      </c>
      <c r="Q970" s="1869">
        <f>IFERROR(Q969/AVERAGE(P965,Q965)*U3/Q3,"n/a")</f>
        <v/>
      </c>
      <c r="R970" s="1869">
        <f>IFERROR(R969/AVERAGE(Q965,R965)*U3/R3,"n/a")</f>
        <v/>
      </c>
      <c r="S970" s="1869">
        <f>IFERROR(S969/AVERAGE(R965,S965)*U3/S3,"n/a")</f>
        <v/>
      </c>
      <c r="T970" s="1869">
        <f>IFERROR(T969/AVERAGE(S965,T965)*U3/T3,"n/a")</f>
        <v/>
      </c>
      <c r="U970" s="1868">
        <f>IFERROR(U969/AVERAGE(Q965,R965,S965,T965),"n/a")</f>
        <v/>
      </c>
      <c r="V970" s="1869">
        <f>IFERROR(V969/AVERAGE(U965,V965)*Z3/V3,"n/a")</f>
        <v/>
      </c>
      <c r="W970" s="1869">
        <f>IFERROR(W969/AVERAGE(V965,W965)*Z3/W3,"n/a")</f>
        <v/>
      </c>
      <c r="X970" s="1869">
        <f>IFERROR(X969/AVERAGE(W965,X965)*Z3/X3,"n/a")</f>
        <v/>
      </c>
      <c r="Y970" s="1870">
        <f>IFERROR(Y969/AVERAGE(X965,Y965)*Z3/Y3,"n/a")</f>
        <v/>
      </c>
      <c r="Z970" s="1867">
        <f>IFERROR(Z969/AVERAGE(V965,W965,X965,Y965),"n/a")</f>
        <v/>
      </c>
      <c r="AA970" s="1869">
        <f>IFERROR(AA969/AVERAGE(Z965,AA965)*AE3/AA3,"n/a")</f>
        <v/>
      </c>
      <c r="AB970" s="1869">
        <f>IFERROR(AB969/AVERAGE(AA965,AB965)*AE3/AB3,"n/a")</f>
        <v/>
      </c>
      <c r="AC970" s="1869">
        <f>IFERROR(AC969/AVERAGE(AB965,AC965)*AE3/AC3,"n/a")</f>
        <v/>
      </c>
      <c r="AD970" s="1870">
        <f>IFERROR(AD969/AVERAGE(AC965,AD965)*AE3/AD3,"n/a")</f>
        <v/>
      </c>
      <c r="AE970" s="1867">
        <f>IFERROR(AE969/AVERAGE(AA965,AB965,AC965,AD965),"n/a")</f>
        <v/>
      </c>
      <c r="AF970" s="1869">
        <f>IFERROR(AF969/AVERAGE(AE965,AF965)*AJ3/AF3,"n/a")</f>
        <v/>
      </c>
      <c r="AG970" s="1869">
        <f>IFERROR(AG969/AVERAGE(AF965,AG965)*AJ3/AG3,"n/a")</f>
        <v/>
      </c>
      <c r="AH970" s="1869">
        <f>IFERROR(AH969/AVERAGE(AG965,AH965)*AJ3/AH3,"n/a")</f>
        <v/>
      </c>
      <c r="AI970" s="1870">
        <f>IFERROR(AI969/AVERAGE(AH965,AI965)*AJ3/AI3,"n/a")</f>
        <v/>
      </c>
      <c r="AJ970" s="1867">
        <f>IFERROR(AJ969/AVERAGE(AF965,AG965,AH965,AI965),"n/a")</f>
        <v/>
      </c>
      <c r="AK970" s="1869">
        <f>IFERROR(AK969/AVERAGE(AJ965,AK965)*AO3/AK3,"n/a")</f>
        <v/>
      </c>
      <c r="AL970" s="1869">
        <f>IFERROR(AL969/AVERAGE(AK965,AL965)*AO3/AL3,"n/a")</f>
        <v/>
      </c>
      <c r="AM970" s="1869">
        <f>IFERROR(AM969/AVERAGE(AL965,AM965)*AO3/AM3,"n/a")</f>
        <v/>
      </c>
      <c r="AN970" s="1870">
        <f>IFERROR(AN969/AVERAGE(AM965,AN965)*AO3/AN3,"n/a")</f>
        <v/>
      </c>
      <c r="AO970" s="1867">
        <f>IFERROR(AO969/AVERAGE(AK965,AL965,AM965,AN965),"n/a")</f>
        <v/>
      </c>
      <c r="AP970" s="1869">
        <f>IFERROR(AP969/AVERAGE(AO965,AP965)*AT3/AP3,"n/a")</f>
        <v/>
      </c>
      <c r="AQ970" s="1869">
        <f>IFERROR(AQ969/AVERAGE(AP965,AQ965)*AT3/AQ3,"n/a")</f>
        <v/>
      </c>
      <c r="AR970" s="1869">
        <f>IFERROR(AR969/AVERAGE(AQ965,AR965)*AT3/AR3,"n/a")</f>
        <v/>
      </c>
      <c r="AS970" s="1870">
        <f>IFERROR(AS969/AVERAGE(AR965,AS965)*AT3/AS3,"n/a")</f>
        <v/>
      </c>
      <c r="AT970" s="1867">
        <f>IFERROR(AT969/AVERAGE(AP965,AQ965,AR965,AS965),"n/a")</f>
        <v/>
      </c>
      <c r="AU970" s="1869">
        <f>IFERROR(AU969/AVERAGE(AT965,AU965)*AY3/AU3,"n/a")</f>
        <v/>
      </c>
      <c r="AV970" s="1869">
        <f>IFERROR(AV969/AVERAGE(AU965,AV965)*AY3/AV3,"n/a")</f>
        <v/>
      </c>
      <c r="AW970" s="1869">
        <f>IFERROR(AW969/AVERAGE(AV965,AW965)*AY3/AW3,"n/a")</f>
        <v/>
      </c>
      <c r="AX970" s="1870">
        <f>IFERROR(AX969/AVERAGE(AW965,AX965)*AY3/AX3,"n/a")</f>
        <v/>
      </c>
      <c r="AY970" s="1867">
        <f>IFERROR(AY969/AVERAGE(AU965,AV965,AW965,AX965),"n/a")</f>
        <v/>
      </c>
      <c r="AZ970" s="1869">
        <f>IFERROR(AZ969/AVERAGE(AY965,AZ965)*BD3/AZ3,"n/a")</f>
        <v/>
      </c>
      <c r="BA970" s="1869">
        <f>IFERROR(BA969/AVERAGE(AZ965,BA965)*BD3/BA3,"n/a")</f>
        <v/>
      </c>
      <c r="BB970" s="1869">
        <f>IFERROR(BB969/AVERAGE(BA965,BB965)*BD3/BB3,"n/a")</f>
        <v/>
      </c>
      <c r="BC970" s="1870">
        <f>IFERROR(BC969/AVERAGE(BB965,BC965)*BD3/BC3,"n/a")</f>
        <v/>
      </c>
      <c r="BD970" s="1867">
        <f>IFERROR(BD969/AVERAGE(AZ965,BA965,BB965,BC965),"n/a")</f>
        <v/>
      </c>
      <c r="BE970" s="1869">
        <f>IFERROR(BE969/AVERAGE(BD965,BE965)*BI3/BE3,"n/a")</f>
        <v/>
      </c>
      <c r="BF970" s="1869">
        <f>IFERROR(BF969/AVERAGE(BE965,BF965)*BI3/BF3,"n/a")</f>
        <v/>
      </c>
      <c r="BG970" s="1869">
        <f>IFERROR(BG969/AVERAGE(BF965,BG965)*BI3/BG3,"n/a")</f>
        <v/>
      </c>
      <c r="BH970" s="1870">
        <f>IFERROR(BH969/AVERAGE(BG965,BH965)*BI3/BH3,"n/a")</f>
        <v/>
      </c>
      <c r="BI970" s="1867">
        <f>IFERROR(BI969/AVERAGE(BE965,BF965,BG965,BH965),"n/a")</f>
        <v/>
      </c>
      <c r="BJ970" s="1869">
        <f>IFERROR(BJ969/AVERAGE(BI965,BJ965)*BN3/BJ3,"n/a")</f>
        <v/>
      </c>
      <c r="BK970" s="1869">
        <f>IFERROR(BK969/AVERAGE(BJ965,BK965)*BN3/BK3,"n/a")</f>
        <v/>
      </c>
      <c r="BL970" s="1869">
        <f>IFERROR(BL969/AVERAGE(BK965,BL965)*BN3/BL3,"n/a")</f>
        <v/>
      </c>
      <c r="BM970" s="1870">
        <f>IFERROR(BM969/AVERAGE(BL965,BM965)*BN3/BM3,"n/a")</f>
        <v/>
      </c>
      <c r="BN970" s="1867">
        <f>IFERROR(BN969/AVERAGE(BJ965,BK965,BL965,BM965),"n/a")</f>
        <v/>
      </c>
      <c r="BO970" s="1869">
        <f>IFERROR(BO969/AVERAGE(BN965,BO965)*BS3/BO3,"n/a")</f>
        <v/>
      </c>
      <c r="BP970" s="1869">
        <f>IFERROR(BP969/AVERAGE(BO965,BP965)*BS3/BP3,"n/a")</f>
        <v/>
      </c>
      <c r="BQ970" s="1871">
        <f>IFERROR(BQ969/AVERAGE(BP965,BQ965)*BS3/BQ3,"n/a")</f>
        <v/>
      </c>
      <c r="BR970" s="1872" t="n">
        <v>0.045</v>
      </c>
      <c r="BS970" s="1867">
        <f>IFERROR(BS969/AVERAGE(BO965,BP965,BQ965,BR965),"n/a")</f>
        <v/>
      </c>
      <c r="BT970" s="1872" t="n">
        <v>0.045</v>
      </c>
      <c r="BU970" s="1872" t="n">
        <v>0.045</v>
      </c>
      <c r="BV970" s="1872" t="n">
        <v>0.045</v>
      </c>
      <c r="BW970" s="1872" t="n">
        <v>0.045</v>
      </c>
      <c r="BX970" s="1867">
        <f>IFERROR(BX969/AVERAGE(BT965,BU965,BV965,BW965),"n/a")</f>
        <v/>
      </c>
      <c r="BY970" s="1873" t="n">
        <v>0.045</v>
      </c>
      <c r="BZ970" s="1873" t="n">
        <v>0.045</v>
      </c>
      <c r="CA970" s="1873" t="n">
        <v>0.045</v>
      </c>
      <c r="CB970" s="1364" t="n"/>
    </row>
    <row r="971" ht="14.4" customFormat="1" customHeight="1" s="1359">
      <c r="A971" s="1361" t="inlineStr">
        <is>
          <t>Interest Income</t>
        </is>
      </c>
      <c r="B971" s="1512" t="n"/>
      <c r="C971" s="1554">
        <f>-C487</f>
        <v/>
      </c>
      <c r="D971" s="1554">
        <f>-D487</f>
        <v/>
      </c>
      <c r="E971" s="1554">
        <f>-E487</f>
        <v/>
      </c>
      <c r="F971" s="1554">
        <f>-F487</f>
        <v/>
      </c>
      <c r="G971" s="1553">
        <f>-G487</f>
        <v/>
      </c>
      <c r="H971" s="1553">
        <f>-H487</f>
        <v/>
      </c>
      <c r="I971" s="1553">
        <f>-I487</f>
        <v/>
      </c>
      <c r="J971" s="1553">
        <f>-J487</f>
        <v/>
      </c>
      <c r="K971" s="1554">
        <f>-K487</f>
        <v/>
      </c>
      <c r="L971" s="1553">
        <f>-L487</f>
        <v/>
      </c>
      <c r="M971" s="1553">
        <f>-M487</f>
        <v/>
      </c>
      <c r="N971" s="1553">
        <f>-N487</f>
        <v/>
      </c>
      <c r="O971" s="1553">
        <f>-O487</f>
        <v/>
      </c>
      <c r="P971" s="1554">
        <f>-P487</f>
        <v/>
      </c>
      <c r="Q971" s="1553">
        <f>-Q487</f>
        <v/>
      </c>
      <c r="R971" s="1553">
        <f>-R487</f>
        <v/>
      </c>
      <c r="S971" s="1553">
        <f>-S487</f>
        <v/>
      </c>
      <c r="T971" s="1553">
        <f>-T487</f>
        <v/>
      </c>
      <c r="U971" s="1554">
        <f>-U487</f>
        <v/>
      </c>
      <c r="V971" s="1553">
        <f>-V487</f>
        <v/>
      </c>
      <c r="W971" s="1553">
        <f>-W487</f>
        <v/>
      </c>
      <c r="X971" s="1553">
        <f>-X487</f>
        <v/>
      </c>
      <c r="Y971" s="1553">
        <f>-Y487</f>
        <v/>
      </c>
      <c r="Z971" s="1554">
        <f>-Z487</f>
        <v/>
      </c>
      <c r="AA971" s="1553">
        <f>-AA487</f>
        <v/>
      </c>
      <c r="AB971" s="1553">
        <f>-AB487</f>
        <v/>
      </c>
      <c r="AC971" s="1553">
        <f>-AC487</f>
        <v/>
      </c>
      <c r="AD971" s="1553">
        <f>-AD487</f>
        <v/>
      </c>
      <c r="AE971" s="1554">
        <f>-AE487</f>
        <v/>
      </c>
      <c r="AF971" s="1553">
        <f>-AF487</f>
        <v/>
      </c>
      <c r="AG971" s="1553">
        <f>-AG487</f>
        <v/>
      </c>
      <c r="AH971" s="1553">
        <f>-AH487</f>
        <v/>
      </c>
      <c r="AI971" s="1553">
        <f>-AI487</f>
        <v/>
      </c>
      <c r="AJ971" s="1554">
        <f>-AJ487</f>
        <v/>
      </c>
      <c r="AK971" s="1553">
        <f>-AK487</f>
        <v/>
      </c>
      <c r="AL971" s="1553">
        <f>-AL487</f>
        <v/>
      </c>
      <c r="AM971" s="1553">
        <f>-AM487</f>
        <v/>
      </c>
      <c r="AN971" s="1553">
        <f>-AN487</f>
        <v/>
      </c>
      <c r="AO971" s="1554">
        <f>-AO487</f>
        <v/>
      </c>
      <c r="AP971" s="1553">
        <f>-AP487</f>
        <v/>
      </c>
      <c r="AQ971" s="1553">
        <f>-AQ487</f>
        <v/>
      </c>
      <c r="AR971" s="1553">
        <f>-AR487</f>
        <v/>
      </c>
      <c r="AS971" s="1553">
        <f>-AS487</f>
        <v/>
      </c>
      <c r="AT971" s="1554">
        <f>-AT487</f>
        <v/>
      </c>
      <c r="AU971" s="1553">
        <f>-AU487</f>
        <v/>
      </c>
      <c r="AV971" s="1553">
        <f>-AV487</f>
        <v/>
      </c>
      <c r="AW971" s="1553">
        <f>-AW487</f>
        <v/>
      </c>
      <c r="AX971" s="1553">
        <f>-AX487</f>
        <v/>
      </c>
      <c r="AY971" s="1554">
        <f>-AY487</f>
        <v/>
      </c>
      <c r="AZ971" s="1553">
        <f>-AZ487</f>
        <v/>
      </c>
      <c r="BA971" s="1553">
        <f>-BA487</f>
        <v/>
      </c>
      <c r="BB971" s="1553">
        <f>-BB487</f>
        <v/>
      </c>
      <c r="BC971" s="1553">
        <f>-BC487</f>
        <v/>
      </c>
      <c r="BD971" s="1554">
        <f>-BD487</f>
        <v/>
      </c>
      <c r="BE971" s="1553">
        <f>-BE487</f>
        <v/>
      </c>
      <c r="BF971" s="1553">
        <f>-BF487</f>
        <v/>
      </c>
      <c r="BG971" s="1553">
        <f>-BG487</f>
        <v/>
      </c>
      <c r="BH971" s="1553">
        <f>-BH487</f>
        <v/>
      </c>
      <c r="BI971" s="1554">
        <f>-BI487</f>
        <v/>
      </c>
      <c r="BJ971" s="1553">
        <f>-BJ487</f>
        <v/>
      </c>
      <c r="BK971" s="1553">
        <f>-BK487</f>
        <v/>
      </c>
      <c r="BL971" s="1553">
        <f>-BL487</f>
        <v/>
      </c>
      <c r="BM971" s="1553">
        <f>-BM487</f>
        <v/>
      </c>
      <c r="BN971" s="1554">
        <f>-BN487</f>
        <v/>
      </c>
      <c r="BO971" s="1553">
        <f>-BO487</f>
        <v/>
      </c>
      <c r="BP971" s="1553">
        <f>-BP487</f>
        <v/>
      </c>
      <c r="BQ971" s="1556">
        <f>-BQ487</f>
        <v/>
      </c>
      <c r="BR971" s="1553">
        <f>MAX(0,BR972*BQ962*BR3/BS3)</f>
        <v/>
      </c>
      <c r="BS971" s="1554">
        <f>IF(OR(ISBLANK(BO971),ISBLANK(BP971),ISBLANK(BQ971),ISBLANK(BR971)),"n/a",SUM(BO971,BP971,BQ971,BR971))</f>
        <v/>
      </c>
      <c r="BT971" s="1553">
        <f>MAX(0,BT972*BS962*BT3/BX3)</f>
        <v/>
      </c>
      <c r="BU971" s="1553">
        <f>MAX(0,BU972*BT962*BU3/BX3)</f>
        <v/>
      </c>
      <c r="BV971" s="1553">
        <f>MAX(0,BV972*BU962*BV3/BX3)</f>
        <v/>
      </c>
      <c r="BW971" s="1553">
        <f>MAX(0,BW972*BV962*BW3/BX3)</f>
        <v/>
      </c>
      <c r="BX971" s="1554">
        <f>IF(OR(ISBLANK(BT971),ISBLANK(BU971),ISBLANK(BV971),ISBLANK(BW971)),"n/a",SUM(BT971,BU971,BV971,BW971))</f>
        <v/>
      </c>
      <c r="BY971" s="1554">
        <f>MAX(0,BY972*BX962)</f>
        <v/>
      </c>
      <c r="BZ971" s="1554">
        <f>MAX(0,BZ972*BY962)</f>
        <v/>
      </c>
      <c r="CA971" s="1554">
        <f>MAX(0,CA972*BZ962)</f>
        <v/>
      </c>
      <c r="CB971" s="1364" t="n"/>
    </row>
    <row r="972" ht="14.4" customFormat="1" customHeight="1" s="1359">
      <c r="A972" s="1450" t="inlineStr">
        <is>
          <t>Effective Interest Rate on Cash</t>
        </is>
      </c>
      <c r="B972" s="1517" t="n"/>
      <c r="C972" s="1867" t="n"/>
      <c r="D972" s="1867">
        <f>IFERROR(D971/AVERAGE(C962,D962),"n/a")</f>
        <v/>
      </c>
      <c r="E972" s="1867">
        <f>IFERROR(E971/AVERAGE(D962,E962),"n/a")</f>
        <v/>
      </c>
      <c r="F972" s="1867">
        <f>IFERROR(F971/AVERAGE(E962,F962),"n/a")</f>
        <v/>
      </c>
      <c r="G972" s="1870">
        <f>IFERROR(G971/AVERAGE(F962,G962)*K3/G3,"n/a")</f>
        <v/>
      </c>
      <c r="H972" s="1870">
        <f>IFERROR(H971/AVERAGE(G962,H962)*K3/H3,"n/a")</f>
        <v/>
      </c>
      <c r="I972" s="1870">
        <f>IFERROR(I971/AVERAGE(H962,I962)*K3/I3,"n/a")</f>
        <v/>
      </c>
      <c r="J972" s="1870">
        <f>IFERROR(J971/AVERAGE(I962,J962)*K3/J3,"n/a")</f>
        <v/>
      </c>
      <c r="K972" s="1867">
        <f>IFERROR(K971/AVERAGE(G962,H962,I962,J962),"n/a")</f>
        <v/>
      </c>
      <c r="L972" s="1870">
        <f>IFERROR(L971/AVERAGE(K962,L962)*P3/L3,"n/a")</f>
        <v/>
      </c>
      <c r="M972" s="1870">
        <f>IFERROR(M971/AVERAGE(L962,M962)*P3/M3,"n/a")</f>
        <v/>
      </c>
      <c r="N972" s="1870">
        <f>IFERROR(N971/AVERAGE(M962,N962)*P3/N3,"n/a")</f>
        <v/>
      </c>
      <c r="O972" s="1870">
        <f>IFERROR(O971/AVERAGE(N962,O962)*P3/O3,"n/a")</f>
        <v/>
      </c>
      <c r="P972" s="1867">
        <f>IFERROR(P971/AVERAGE(L962,M962,N962,O962),"n/a")</f>
        <v/>
      </c>
      <c r="Q972" s="1870">
        <f>IFERROR(Q971/AVERAGE(P962,Q962)*U3/Q3,"n/a")</f>
        <v/>
      </c>
      <c r="R972" s="1870">
        <f>IFERROR(R971/AVERAGE(Q962,R962)*U3/R3,"n/a")</f>
        <v/>
      </c>
      <c r="S972" s="1870">
        <f>IFERROR(S971/AVERAGE(R962,S962)*U3/S3,"n/a")</f>
        <v/>
      </c>
      <c r="T972" s="1870">
        <f>IFERROR(T971/AVERAGE(S962,T962)*U3/T3,"n/a")</f>
        <v/>
      </c>
      <c r="U972" s="1867">
        <f>IFERROR(U971/AVERAGE(Q962,R962,S962,T962),"n/a")</f>
        <v/>
      </c>
      <c r="V972" s="1870">
        <f>IFERROR(V971/AVERAGE(U962,V962)*Z3/V3,"n/a")</f>
        <v/>
      </c>
      <c r="W972" s="1870">
        <f>IFERROR(W971/AVERAGE(V962,W962)*Z3/W3,"n/a")</f>
        <v/>
      </c>
      <c r="X972" s="1870">
        <f>IFERROR(X971/AVERAGE(W962,X962)*Z3/X3,"n/a")</f>
        <v/>
      </c>
      <c r="Y972" s="1870">
        <f>IFERROR(Y971/AVERAGE(X962,Y962)*Z3/Y3,"n/a")</f>
        <v/>
      </c>
      <c r="Z972" s="1867">
        <f>IFERROR(Z971/AVERAGE(V962,W962,X962,Y962),"n/a")</f>
        <v/>
      </c>
      <c r="AA972" s="1870">
        <f>IFERROR(AA971/AVERAGE(Z962,AA962)*AE3/AA3,"n/a")</f>
        <v/>
      </c>
      <c r="AB972" s="1870">
        <f>IFERROR(AB971/AVERAGE(AA962,AB962)*AE3/AB3,"n/a")</f>
        <v/>
      </c>
      <c r="AC972" s="1870">
        <f>IFERROR(AC971/AVERAGE(AB962,AC962)*AE3/AC3,"n/a")</f>
        <v/>
      </c>
      <c r="AD972" s="1870">
        <f>IFERROR(AD971/AVERAGE(AC962,AD962)*AE3/AD3,"n/a")</f>
        <v/>
      </c>
      <c r="AE972" s="1867">
        <f>IFERROR(AE971/AVERAGE(AA962,AB962,AC962,AD962),"n/a")</f>
        <v/>
      </c>
      <c r="AF972" s="1870">
        <f>IFERROR(AF971/AVERAGE(AE962,AF962)*AJ3/AF3,"n/a")</f>
        <v/>
      </c>
      <c r="AG972" s="1870">
        <f>IFERROR(AG971/AVERAGE(AF962,AG962)*AJ3/AG3,"n/a")</f>
        <v/>
      </c>
      <c r="AH972" s="1870">
        <f>IFERROR(AH971/AVERAGE(AG962,AH962)*AJ3/AH3,"n/a")</f>
        <v/>
      </c>
      <c r="AI972" s="1870">
        <f>IFERROR(AI971/AVERAGE(AH962,AI962)*AJ3/AI3,"n/a")</f>
        <v/>
      </c>
      <c r="AJ972" s="1867">
        <f>IFERROR(AJ971/AVERAGE(AF962,AG962,AH962,AI962),"n/a")</f>
        <v/>
      </c>
      <c r="AK972" s="1870">
        <f>IFERROR(AK971/AVERAGE(AJ962,AK962)*AO3/AK3,"n/a")</f>
        <v/>
      </c>
      <c r="AL972" s="1870">
        <f>IFERROR(AL971/AVERAGE(AK962,AL962)*AO3/AL3,"n/a")</f>
        <v/>
      </c>
      <c r="AM972" s="1870">
        <f>IFERROR(AM971/AVERAGE(AL962,AM962)*AO3/AM3,"n/a")</f>
        <v/>
      </c>
      <c r="AN972" s="1870">
        <f>IFERROR(AN971/AVERAGE(AM962,AN962)*AO3/AN3,"n/a")</f>
        <v/>
      </c>
      <c r="AO972" s="1867">
        <f>IFERROR(AO971/AVERAGE(AK962,AL962,AM962,AN962),"n/a")</f>
        <v/>
      </c>
      <c r="AP972" s="1870">
        <f>IFERROR(AP971/AVERAGE(AO962,AP962)*AT3/AP3,"n/a")</f>
        <v/>
      </c>
      <c r="AQ972" s="1870">
        <f>IFERROR(AQ971/AVERAGE(AP962,AQ962)*AT3/AQ3,"n/a")</f>
        <v/>
      </c>
      <c r="AR972" s="1870">
        <f>IFERROR(AR971/AVERAGE(AQ962,AR962)*AT3/AR3,"n/a")</f>
        <v/>
      </c>
      <c r="AS972" s="1870">
        <f>IFERROR(AS971/AVERAGE(AR962,AS962)*AT3/AS3,"n/a")</f>
        <v/>
      </c>
      <c r="AT972" s="1867">
        <f>IFERROR(AT971/AVERAGE(AP962,AQ962,AR962,AS962),"n/a")</f>
        <v/>
      </c>
      <c r="AU972" s="1870">
        <f>IFERROR(AU971/AVERAGE(AT962,AU962)*AY3/AU3,"n/a")</f>
        <v/>
      </c>
      <c r="AV972" s="1870">
        <f>IFERROR(AV971/AVERAGE(AU962,AV962)*AY3/AV3,"n/a")</f>
        <v/>
      </c>
      <c r="AW972" s="1870">
        <f>IFERROR(AW971/AVERAGE(AV962,AW962)*AY3/AW3,"n/a")</f>
        <v/>
      </c>
      <c r="AX972" s="1870">
        <f>IFERROR(AX971/AVERAGE(AW962,AX962)*AY3/AX3,"n/a")</f>
        <v/>
      </c>
      <c r="AY972" s="1867">
        <f>IFERROR(AY971/AVERAGE(AU962,AV962,AW962,AX962),"n/a")</f>
        <v/>
      </c>
      <c r="AZ972" s="1870">
        <f>IFERROR(AZ971/AVERAGE(AY962,AZ962)*BD3/AZ3,"n/a")</f>
        <v/>
      </c>
      <c r="BA972" s="1870">
        <f>IFERROR(BA971/AVERAGE(AZ962,BA962)*BD3/BA3,"n/a")</f>
        <v/>
      </c>
      <c r="BB972" s="1870">
        <f>IFERROR(BB971/AVERAGE(BA962,BB962)*BD3/BB3,"n/a")</f>
        <v/>
      </c>
      <c r="BC972" s="1870">
        <f>IFERROR(BC971/AVERAGE(BB962,BC962)*BD3/BC3,"n/a")</f>
        <v/>
      </c>
      <c r="BD972" s="1867">
        <f>IFERROR(BD971/AVERAGE(AZ962,BA962,BB962,BC962),"n/a")</f>
        <v/>
      </c>
      <c r="BE972" s="1870">
        <f>IFERROR(BE971/AVERAGE(BD962,BE962)*BI3/BE3,"n/a")</f>
        <v/>
      </c>
      <c r="BF972" s="1870">
        <f>IFERROR(BF971/AVERAGE(BE962,BF962)*BI3/BF3,"n/a")</f>
        <v/>
      </c>
      <c r="BG972" s="1870">
        <f>IFERROR(BG971/AVERAGE(BF962,BG962)*BI3/BG3,"n/a")</f>
        <v/>
      </c>
      <c r="BH972" s="1870">
        <f>IFERROR(BH971/AVERAGE(BG962,BH962)*BI3/BH3,"n/a")</f>
        <v/>
      </c>
      <c r="BI972" s="1867">
        <f>IFERROR(BI971/AVERAGE(BE962,BF962,BG962,BH962),"n/a")</f>
        <v/>
      </c>
      <c r="BJ972" s="1870">
        <f>IFERROR(BJ971/AVERAGE(BI962,BJ962)*BN3/BJ3,"n/a")</f>
        <v/>
      </c>
      <c r="BK972" s="1870">
        <f>IFERROR(BK971/AVERAGE(BJ962,BK962)*BN3/BK3,"n/a")</f>
        <v/>
      </c>
      <c r="BL972" s="1870">
        <f>IFERROR(BL971/AVERAGE(BK962,BL962)*BN3/BL3,"n/a")</f>
        <v/>
      </c>
      <c r="BM972" s="1870">
        <f>IFERROR(BM971/AVERAGE(BL962,BM962)*BN3/BM3,"n/a")</f>
        <v/>
      </c>
      <c r="BN972" s="1867">
        <f>IFERROR(BN971/AVERAGE(BJ962,BK962,BL962,BM962),"n/a")</f>
        <v/>
      </c>
      <c r="BO972" s="1870">
        <f>IFERROR(BO971/AVERAGE(BN962,BO962)*BS3/BO3,"n/a")</f>
        <v/>
      </c>
      <c r="BP972" s="1870">
        <f>IFERROR(BP971/AVERAGE(BO962,BP962)*BS3/BP3,"n/a")</f>
        <v/>
      </c>
      <c r="BQ972" s="1874">
        <f>IFERROR(BQ971/AVERAGE(BP962,BQ962)*BS3/BQ3,"n/a")</f>
        <v/>
      </c>
      <c r="BR972" s="1872" t="n">
        <v>0</v>
      </c>
      <c r="BS972" s="1867">
        <f>IFERROR(BS971/AVERAGE(BO962,BP962,BQ962,BR962),"n/a")</f>
        <v/>
      </c>
      <c r="BT972" s="1872" t="n">
        <v>0</v>
      </c>
      <c r="BU972" s="1872" t="n">
        <v>0</v>
      </c>
      <c r="BV972" s="1872" t="n">
        <v>0</v>
      </c>
      <c r="BW972" s="1872" t="n">
        <v>0</v>
      </c>
      <c r="BX972" s="1867">
        <f>IFERROR(BX971/AVERAGE(BT962,BU962,BV962,BW962),"n/a")</f>
        <v/>
      </c>
      <c r="BY972" s="1873" t="n">
        <v>0</v>
      </c>
      <c r="BZ972" s="1873" t="n">
        <v>0</v>
      </c>
      <c r="CA972" s="1873" t="n">
        <v>0</v>
      </c>
      <c r="CB972" s="1364" t="n"/>
    </row>
    <row r="973" hidden="1" outlineLevel="1" ht="14.4" customFormat="1" customHeight="1" s="1359">
      <c r="A973" s="1361" t="inlineStr">
        <is>
          <t>Net Interest Expense (Income)</t>
        </is>
      </c>
      <c r="B973" s="1512" t="n"/>
      <c r="C973" s="1554">
        <f>IFERROR(C969-C971,"n/a")</f>
        <v/>
      </c>
      <c r="D973" s="1554">
        <f>IFERROR(D969-D971,"n/a")</f>
        <v/>
      </c>
      <c r="E973" s="1554">
        <f>IFERROR(E969-E971,"n/a")</f>
        <v/>
      </c>
      <c r="F973" s="1554">
        <f>IFERROR(F969-F971,"n/a")</f>
        <v/>
      </c>
      <c r="G973" s="1553">
        <f>IFERROR(G969-G971,"n/a")</f>
        <v/>
      </c>
      <c r="H973" s="1553">
        <f>IFERROR(H969-H971,"n/a")</f>
        <v/>
      </c>
      <c r="I973" s="1553">
        <f>IFERROR(I969-I971,"n/a")</f>
        <v/>
      </c>
      <c r="J973" s="1553">
        <f>IFERROR(J969-J971,"n/a")</f>
        <v/>
      </c>
      <c r="K973" s="1554">
        <f>IFERROR(K969-K971,"n/a")</f>
        <v/>
      </c>
      <c r="L973" s="1553">
        <f>IFERROR(L969-L971,"n/a")</f>
        <v/>
      </c>
      <c r="M973" s="1553">
        <f>IFERROR(M969-M971,"n/a")</f>
        <v/>
      </c>
      <c r="N973" s="1553">
        <f>IFERROR(N969-N971,"n/a")</f>
        <v/>
      </c>
      <c r="O973" s="1553">
        <f>IFERROR(O969-O971,"n/a")</f>
        <v/>
      </c>
      <c r="P973" s="1554">
        <f>IFERROR(P969-P971,"n/a")</f>
        <v/>
      </c>
      <c r="Q973" s="1553">
        <f>IFERROR(Q969-Q971,"n/a")</f>
        <v/>
      </c>
      <c r="R973" s="1553">
        <f>IFERROR(R969-R971,"n/a")</f>
        <v/>
      </c>
      <c r="S973" s="1553">
        <f>IFERROR(S969-S971,"n/a")</f>
        <v/>
      </c>
      <c r="T973" s="1553">
        <f>IFERROR(T969-T971,"n/a")</f>
        <v/>
      </c>
      <c r="U973" s="1554">
        <f>IFERROR(U969-U971,"n/a")</f>
        <v/>
      </c>
      <c r="V973" s="1553">
        <f>IFERROR(V969-V971,"n/a")</f>
        <v/>
      </c>
      <c r="W973" s="1553">
        <f>IFERROR(W969-W971,"n/a")</f>
        <v/>
      </c>
      <c r="X973" s="1553">
        <f>IFERROR(X969-X971,"n/a")</f>
        <v/>
      </c>
      <c r="Y973" s="1553">
        <f>IFERROR(Y969-Y971,"n/a")</f>
        <v/>
      </c>
      <c r="Z973" s="1554">
        <f>IFERROR(Z969-Z971,"n/a")</f>
        <v/>
      </c>
      <c r="AA973" s="1553">
        <f>IFERROR(AA969-AA971,"n/a")</f>
        <v/>
      </c>
      <c r="AB973" s="1553">
        <f>IFERROR(AB969-AB971,"n/a")</f>
        <v/>
      </c>
      <c r="AC973" s="1553">
        <f>IFERROR(AC969-AC971,"n/a")</f>
        <v/>
      </c>
      <c r="AD973" s="1553">
        <f>IFERROR(AD969-AD971,"n/a")</f>
        <v/>
      </c>
      <c r="AE973" s="1554">
        <f>IFERROR(AE969-AE971,"n/a")</f>
        <v/>
      </c>
      <c r="AF973" s="1553">
        <f>IFERROR(AF969-AF971,"n/a")</f>
        <v/>
      </c>
      <c r="AG973" s="1553">
        <f>IFERROR(AG969-AG971,"n/a")</f>
        <v/>
      </c>
      <c r="AH973" s="1553">
        <f>IFERROR(AH969-AH971,"n/a")</f>
        <v/>
      </c>
      <c r="AI973" s="1553">
        <f>IFERROR(AI969-AI971,"n/a")</f>
        <v/>
      </c>
      <c r="AJ973" s="1554">
        <f>IFERROR(AJ969-AJ971,"n/a")</f>
        <v/>
      </c>
      <c r="AK973" s="1553">
        <f>IFERROR(AK969-AK971,"n/a")</f>
        <v/>
      </c>
      <c r="AL973" s="1553">
        <f>IFERROR(AL969-AL971,"n/a")</f>
        <v/>
      </c>
      <c r="AM973" s="1553">
        <f>IFERROR(AM969-AM971,"n/a")</f>
        <v/>
      </c>
      <c r="AN973" s="1553">
        <f>IFERROR(AN969-AN971,"n/a")</f>
        <v/>
      </c>
      <c r="AO973" s="1554">
        <f>IFERROR(AO969-AO971,"n/a")</f>
        <v/>
      </c>
      <c r="AP973" s="1553">
        <f>IFERROR(AP969-AP971,"n/a")</f>
        <v/>
      </c>
      <c r="AQ973" s="1553">
        <f>IFERROR(AQ969-AQ971,"n/a")</f>
        <v/>
      </c>
      <c r="AR973" s="1553">
        <f>IFERROR(AR969-AR971,"n/a")</f>
        <v/>
      </c>
      <c r="AS973" s="1553">
        <f>IFERROR(AS969-AS971,"n/a")</f>
        <v/>
      </c>
      <c r="AT973" s="1554">
        <f>IFERROR(AT969-AT971,"n/a")</f>
        <v/>
      </c>
      <c r="AU973" s="1553">
        <f>IFERROR(AU969-AU971,"n/a")</f>
        <v/>
      </c>
      <c r="AV973" s="1553">
        <f>IFERROR(AV969-AV971,"n/a")</f>
        <v/>
      </c>
      <c r="AW973" s="1553">
        <f>IFERROR(AW969-AW971,"n/a")</f>
        <v/>
      </c>
      <c r="AX973" s="1553">
        <f>IFERROR(AX969-AX971,"n/a")</f>
        <v/>
      </c>
      <c r="AY973" s="1554">
        <f>IFERROR(AY969-AY971,"n/a")</f>
        <v/>
      </c>
      <c r="AZ973" s="1553">
        <f>IFERROR(AZ969-AZ971,"n/a")</f>
        <v/>
      </c>
      <c r="BA973" s="1553">
        <f>IFERROR(BA969-BA971,"n/a")</f>
        <v/>
      </c>
      <c r="BB973" s="1553">
        <f>IFERROR(BB969-BB971,"n/a")</f>
        <v/>
      </c>
      <c r="BC973" s="1553">
        <f>IFERROR(BC969-BC971,"n/a")</f>
        <v/>
      </c>
      <c r="BD973" s="1554">
        <f>IFERROR(BD969-BD971,"n/a")</f>
        <v/>
      </c>
      <c r="BE973" s="1553">
        <f>IFERROR(BE969-BE971,"n/a")</f>
        <v/>
      </c>
      <c r="BF973" s="1553">
        <f>IFERROR(BF969-BF971,"n/a")</f>
        <v/>
      </c>
      <c r="BG973" s="1553">
        <f>IFERROR(BG969-BG971,"n/a")</f>
        <v/>
      </c>
      <c r="BH973" s="1553">
        <f>IFERROR(BH969-BH971,"n/a")</f>
        <v/>
      </c>
      <c r="BI973" s="1554">
        <f>IFERROR(BI969-BI971,"n/a")</f>
        <v/>
      </c>
      <c r="BJ973" s="1553">
        <f>IFERROR(BJ969-BJ971,"n/a")</f>
        <v/>
      </c>
      <c r="BK973" s="1553">
        <f>IFERROR(BK969-BK971,"n/a")</f>
        <v/>
      </c>
      <c r="BL973" s="1553">
        <f>IFERROR(BL969-BL971,"n/a")</f>
        <v/>
      </c>
      <c r="BM973" s="1553">
        <f>IFERROR(BM969-BM971,"n/a")</f>
        <v/>
      </c>
      <c r="BN973" s="1554">
        <f>IFERROR(BN969-BN971,"n/a")</f>
        <v/>
      </c>
      <c r="BO973" s="1553">
        <f>IFERROR(BO969-BO971,"n/a")</f>
        <v/>
      </c>
      <c r="BP973" s="1553">
        <f>IFERROR(BP969-BP971,"n/a")</f>
        <v/>
      </c>
      <c r="BQ973" s="1556">
        <f>IFERROR(BQ969-BQ971,"n/a")</f>
        <v/>
      </c>
      <c r="BR973" s="1553">
        <f>IFERROR(BR969-BR971,"n/a")</f>
        <v/>
      </c>
      <c r="BS973" s="1554">
        <f>SUM(BO973,BP973,BQ973,BR973)</f>
        <v/>
      </c>
      <c r="BT973" s="1553">
        <f>IFERROR(BT969-BT971,"n/a")</f>
        <v/>
      </c>
      <c r="BU973" s="1553">
        <f>IFERROR(BU969-BU971,"n/a")</f>
        <v/>
      </c>
      <c r="BV973" s="1553">
        <f>IFERROR(BV969-BV971,"n/a")</f>
        <v/>
      </c>
      <c r="BW973" s="1553">
        <f>IFERROR(BW969-BW971,"n/a")</f>
        <v/>
      </c>
      <c r="BX973" s="1554">
        <f>SUM(BT973,BU973,BV973,BW973)</f>
        <v/>
      </c>
      <c r="BY973" s="1554">
        <f>IFERROR(BY969-BY971,"n/a")</f>
        <v/>
      </c>
      <c r="BZ973" s="1554">
        <f>IFERROR(BZ969-BZ971,"n/a")</f>
        <v/>
      </c>
      <c r="CA973" s="1554">
        <f>IFERROR(CA969-CA971,"n/a")</f>
        <v/>
      </c>
      <c r="CB973" s="1364" t="n"/>
    </row>
    <row r="974" hidden="1" outlineLevel="1" ht="14.4" customFormat="1" customHeight="1" s="1359">
      <c r="A974" s="1450" t="inlineStr">
        <is>
          <t>Effective Net Interest Rate on Debt</t>
        </is>
      </c>
      <c r="B974" s="1517" t="n"/>
      <c r="C974" s="1867" t="n"/>
      <c r="D974" s="1867">
        <f>IFERROR(IF(D973/AVERAGE(C965,D965)&lt;0,"n/a",D973/AVERAGE(C965,D965)),"n/a")</f>
        <v/>
      </c>
      <c r="E974" s="1867">
        <f>IFERROR(IF(E973/AVERAGE(D965,E965)&lt;0,"n/a",E973/AVERAGE(D965,E965)),"n/a")</f>
        <v/>
      </c>
      <c r="F974" s="1867">
        <f>IFERROR(IF(F973/AVERAGE(E965,F965)&lt;0,"n/a",F973/AVERAGE(E965,F965)),"n/a")</f>
        <v/>
      </c>
      <c r="G974" s="1870">
        <f>IFERROR(IF(G973/AVERAGE(F965,G965)&lt;0,"n/a",G973/AVERAGE(F965,G965)*K3/G3),"n/a")</f>
        <v/>
      </c>
      <c r="H974" s="1870">
        <f>IFERROR(IF(H973/AVERAGE(G965,H965)&lt;0,"n/a",H973/AVERAGE(G965,H965)*K3/H3),"n/a")</f>
        <v/>
      </c>
      <c r="I974" s="1870">
        <f>IFERROR(IF(I973/AVERAGE(H965,I965)&lt;0,"n/a",I973/AVERAGE(H965,I965)*K3/I3),"n/a")</f>
        <v/>
      </c>
      <c r="J974" s="1870">
        <f>IFERROR(IF(J973/AVERAGE(I965,J965)&lt;0,"n/a",J973/AVERAGE(I965,J965)*K3/J3),"n/a")</f>
        <v/>
      </c>
      <c r="K974" s="1867">
        <f>IFERROR(IF(K973/AVERAGE(G965,H965,I965,J965)&lt;0,"n/a",K973/AVERAGE(G965,H965,I965,J965)),"n/a")</f>
        <v/>
      </c>
      <c r="L974" s="1870">
        <f>IFERROR(IF(L973/AVERAGE(K965,L965)&lt;0,"n/a",L973/AVERAGE(K965,L965)*P3/L3),"n/a")</f>
        <v/>
      </c>
      <c r="M974" s="1870">
        <f>IFERROR(IF(M973/AVERAGE(L965,M965)&lt;0,"n/a",M973/AVERAGE(L965,M965)*P3/M3),"n/a")</f>
        <v/>
      </c>
      <c r="N974" s="1870">
        <f>IFERROR(IF(N973/AVERAGE(M965,N965)&lt;0,"n/a",N973/AVERAGE(M965,N965)*P3/N3),"n/a")</f>
        <v/>
      </c>
      <c r="O974" s="1870">
        <f>IFERROR(IF(O973/AVERAGE(N965,O965)&lt;0,"n/a",O973/AVERAGE(N965,O965)*P3/O3),"n/a")</f>
        <v/>
      </c>
      <c r="P974" s="1867">
        <f>IFERROR(IF(P973/AVERAGE(L965,M965,N965,O965)&lt;0,"n/a",P973/AVERAGE(L965,M965,N965,O965)),"n/a")</f>
        <v/>
      </c>
      <c r="Q974" s="1870">
        <f>IFERROR(IF(Q973/AVERAGE(P965,Q965)&lt;0,"n/a",Q973/AVERAGE(P965,Q965)*U3/Q3),"n/a")</f>
        <v/>
      </c>
      <c r="R974" s="1870">
        <f>IFERROR(IF(R973/AVERAGE(Q965,R965)&lt;0,"n/a",R973/AVERAGE(Q965,R965)*U3/R3),"n/a")</f>
        <v/>
      </c>
      <c r="S974" s="1870">
        <f>IFERROR(IF(S973/AVERAGE(R965,S965)&lt;0,"n/a",S973/AVERAGE(R965,S965)*U3/S3),"n/a")</f>
        <v/>
      </c>
      <c r="T974" s="1870">
        <f>IFERROR(IF(T973/AVERAGE(S965,T965)&lt;0,"n/a",T973/AVERAGE(S965,T965)*U3/T3),"n/a")</f>
        <v/>
      </c>
      <c r="U974" s="1867">
        <f>IFERROR(IF(U973/AVERAGE(Q965,R965,S965,T965)&lt;0,"n/a",U973/AVERAGE(Q965,R965,S965,T965)),"n/a")</f>
        <v/>
      </c>
      <c r="V974" s="1870">
        <f>IFERROR(IF(V973/AVERAGE(U965,V965)&lt;0,"n/a",V973/AVERAGE(U965,V965)*Z3/V3),"n/a")</f>
        <v/>
      </c>
      <c r="W974" s="1870">
        <f>IFERROR(IF(W973/AVERAGE(V965,W965)&lt;0,"n/a",W973/AVERAGE(V965,W965)*Z3/W3),"n/a")</f>
        <v/>
      </c>
      <c r="X974" s="1870">
        <f>IFERROR(IF(X973/AVERAGE(W965,X965)&lt;0,"n/a",X973/AVERAGE(W965,X965)*Z3/X3),"n/a")</f>
        <v/>
      </c>
      <c r="Y974" s="1870">
        <f>IFERROR(IF(Y973/AVERAGE(X965,Y965)&lt;0,"n/a",Y973/AVERAGE(X965,Y965)*Z3/Y3),"n/a")</f>
        <v/>
      </c>
      <c r="Z974" s="1867">
        <f>IFERROR(IF(Z973/AVERAGE(V965,W965,X965,Y965)&lt;0,"n/a",Z973/AVERAGE(V965,W965,X965,Y965)),"n/a")</f>
        <v/>
      </c>
      <c r="AA974" s="1870">
        <f>IFERROR(IF(AA973/AVERAGE(Z965,AA965)&lt;0,"n/a",AA973/AVERAGE(Z965,AA965)*AE3/AA3),"n/a")</f>
        <v/>
      </c>
      <c r="AB974" s="1870">
        <f>IFERROR(IF(AB973/AVERAGE(AA965,AB965)&lt;0,"n/a",AB973/AVERAGE(AA965,AB965)*AE3/AB3),"n/a")</f>
        <v/>
      </c>
      <c r="AC974" s="1870">
        <f>IFERROR(IF(AC973/AVERAGE(AB965,AC965)&lt;0,"n/a",AC973/AVERAGE(AB965,AC965)*AE3/AC3),"n/a")</f>
        <v/>
      </c>
      <c r="AD974" s="1870">
        <f>IFERROR(IF(AD973/AVERAGE(AC965,AD965)&lt;0,"n/a",AD973/AVERAGE(AC965,AD965)*AE3/AD3),"n/a")</f>
        <v/>
      </c>
      <c r="AE974" s="1867">
        <f>IFERROR(IF(AE973/AVERAGE(AA965,AB965,AC965,AD965)&lt;0,"n/a",AE973/AVERAGE(AA965,AB965,AC965,AD965)),"n/a")</f>
        <v/>
      </c>
      <c r="AF974" s="1870">
        <f>IFERROR(IF(AF973/AVERAGE(AE965,AF965)&lt;0,"n/a",AF973/AVERAGE(AE965,AF965)*AJ3/AF3),"n/a")</f>
        <v/>
      </c>
      <c r="AG974" s="1870">
        <f>IFERROR(IF(AG973/AVERAGE(AF965,AG965)&lt;0,"n/a",AG973/AVERAGE(AF965,AG965)*AJ3/AG3),"n/a")</f>
        <v/>
      </c>
      <c r="AH974" s="1870">
        <f>IFERROR(IF(AH973/AVERAGE(AG965,AH965)&lt;0,"n/a",AH973/AVERAGE(AG965,AH965)*AJ3/AH3),"n/a")</f>
        <v/>
      </c>
      <c r="AI974" s="1870">
        <f>IFERROR(IF(AI973/AVERAGE(AH965,AI965)&lt;0,"n/a",AI973/AVERAGE(AH965,AI965)*AJ3/AI3),"n/a")</f>
        <v/>
      </c>
      <c r="AJ974" s="1867">
        <f>IFERROR(IF(AJ973/AVERAGE(AF965,AG965,AH965,AI965)&lt;0,"n/a",AJ973/AVERAGE(AF965,AG965,AH965,AI965)),"n/a")</f>
        <v/>
      </c>
      <c r="AK974" s="1870">
        <f>IFERROR(IF(AK973/AVERAGE(AJ965,AK965)&lt;0,"n/a",AK973/AVERAGE(AJ965,AK965)*AO3/AK3),"n/a")</f>
        <v/>
      </c>
      <c r="AL974" s="1870">
        <f>IFERROR(IF(AL973/AVERAGE(AK965,AL965)&lt;0,"n/a",AL973/AVERAGE(AK965,AL965)*AO3/AL3),"n/a")</f>
        <v/>
      </c>
      <c r="AM974" s="1870">
        <f>IFERROR(IF(AM973/AVERAGE(AL965,AM965)&lt;0,"n/a",AM973/AVERAGE(AL965,AM965)*AO3/AM3),"n/a")</f>
        <v/>
      </c>
      <c r="AN974" s="1870">
        <f>IFERROR(IF(AN973/AVERAGE(AM965,AN965)&lt;0,"n/a",AN973/AVERAGE(AM965,AN965)*AO3/AN3),"n/a")</f>
        <v/>
      </c>
      <c r="AO974" s="1867">
        <f>IFERROR(IF(AO973/AVERAGE(AK965,AL965,AM965,AN965)&lt;0,"n/a",AO973/AVERAGE(AK965,AL965,AM965,AN965)),"n/a")</f>
        <v/>
      </c>
      <c r="AP974" s="1870">
        <f>IFERROR(IF(AP973/AVERAGE(AO965,AP965)&lt;0,"n/a",AP973/AVERAGE(AO965,AP965)*AT3/AP3),"n/a")</f>
        <v/>
      </c>
      <c r="AQ974" s="1870">
        <f>IFERROR(IF(AQ973/AVERAGE(AP965,AQ965)&lt;0,"n/a",AQ973/AVERAGE(AP965,AQ965)*AT3/AQ3),"n/a")</f>
        <v/>
      </c>
      <c r="AR974" s="1870">
        <f>IFERROR(IF(AR973/AVERAGE(AQ965,AR965)&lt;0,"n/a",AR973/AVERAGE(AQ965,AR965)*AT3/AR3),"n/a")</f>
        <v/>
      </c>
      <c r="AS974" s="1870">
        <f>IFERROR(IF(AS973/AVERAGE(AR965,AS965)&lt;0,"n/a",AS973/AVERAGE(AR965,AS965)*AT3/AS3),"n/a")</f>
        <v/>
      </c>
      <c r="AT974" s="1867">
        <f>IFERROR(IF(AT973/AVERAGE(AP965,AQ965,AR965,AS965)&lt;0,"n/a",AT973/AVERAGE(AP965,AQ965,AR965,AS965)),"n/a")</f>
        <v/>
      </c>
      <c r="AU974" s="1870">
        <f>IFERROR(IF(AU973/AVERAGE(AT965,AU965)&lt;0,"n/a",AU973/AVERAGE(AT965,AU965)*AY3/AU3),"n/a")</f>
        <v/>
      </c>
      <c r="AV974" s="1870">
        <f>IFERROR(IF(AV973/AVERAGE(AU965,AV965)&lt;0,"n/a",AV973/AVERAGE(AU965,AV965)*AY3/AV3),"n/a")</f>
        <v/>
      </c>
      <c r="AW974" s="1870">
        <f>IFERROR(IF(AW973/AVERAGE(AV965,AW965)&lt;0,"n/a",AW973/AVERAGE(AV965,AW965)*AY3/AW3),"n/a")</f>
        <v/>
      </c>
      <c r="AX974" s="1870">
        <f>IFERROR(IF(AX973/AVERAGE(AW965,AX965)&lt;0,"n/a",AX973/AVERAGE(AW965,AX965)*AY3/AX3),"n/a")</f>
        <v/>
      </c>
      <c r="AY974" s="1867">
        <f>IFERROR(IF(AY973/AVERAGE(AU965,AV965,AW965,AX965)&lt;0,"n/a",AY973/AVERAGE(AU965,AV965,AW965,AX965)),"n/a")</f>
        <v/>
      </c>
      <c r="AZ974" s="1870">
        <f>IFERROR(IF(AZ973/AVERAGE(AY965,AZ965)&lt;0,"n/a",AZ973/AVERAGE(AY965,AZ965)*BD3/AZ3),"n/a")</f>
        <v/>
      </c>
      <c r="BA974" s="1870">
        <f>IFERROR(IF(BA973/AVERAGE(AZ965,BA965)&lt;0,"n/a",BA973/AVERAGE(AZ965,BA965)*BD3/BA3),"n/a")</f>
        <v/>
      </c>
      <c r="BB974" s="1870">
        <f>IFERROR(IF(BB973/AVERAGE(BA965,BB965)&lt;0,"n/a",BB973/AVERAGE(BA965,BB965)*BD3/BB3),"n/a")</f>
        <v/>
      </c>
      <c r="BC974" s="1870">
        <f>IFERROR(IF(BC973/AVERAGE(BB965,BC965)&lt;0,"n/a",BC973/AVERAGE(BB965,BC965)*BD3/BC3),"n/a")</f>
        <v/>
      </c>
      <c r="BD974" s="1867">
        <f>IFERROR(IF(BD973/AVERAGE(AZ965,BA965,BB965,BC965)&lt;0,"n/a",BD973/AVERAGE(AZ965,BA965,BB965,BC965)),"n/a")</f>
        <v/>
      </c>
      <c r="BE974" s="1870">
        <f>IFERROR(IF(BE973/AVERAGE(BD965,BE965)&lt;0,"n/a",BE973/AVERAGE(BD965,BE965)*BI3/BE3),"n/a")</f>
        <v/>
      </c>
      <c r="BF974" s="1870">
        <f>IFERROR(IF(BF973/AVERAGE(BE965,BF965)&lt;0,"n/a",BF973/AVERAGE(BE965,BF965)*BI3/BF3),"n/a")</f>
        <v/>
      </c>
      <c r="BG974" s="1870">
        <f>IFERROR(IF(BG973/AVERAGE(BF965,BG965)&lt;0,"n/a",BG973/AVERAGE(BF965,BG965)*BI3/BG3),"n/a")</f>
        <v/>
      </c>
      <c r="BH974" s="1870">
        <f>IFERROR(IF(BH973/AVERAGE(BG965,BH965)&lt;0,"n/a",BH973/AVERAGE(BG965,BH965)*BI3/BH3),"n/a")</f>
        <v/>
      </c>
      <c r="BI974" s="1867">
        <f>IFERROR(IF(BI973/AVERAGE(BE965,BF965,BG965,BH965)&lt;0,"n/a",BI973/AVERAGE(BE965,BF965,BG965,BH965)),"n/a")</f>
        <v/>
      </c>
      <c r="BJ974" s="1870">
        <f>IFERROR(IF(BJ973/AVERAGE(BI965,BJ965)&lt;0,"n/a",BJ973/AVERAGE(BI965,BJ965)*BN3/BJ3),"n/a")</f>
        <v/>
      </c>
      <c r="BK974" s="1870">
        <f>IFERROR(IF(BK973/AVERAGE(BJ965,BK965)&lt;0,"n/a",BK973/AVERAGE(BJ965,BK965)*BN3/BK3),"n/a")</f>
        <v/>
      </c>
      <c r="BL974" s="1870">
        <f>IFERROR(IF(BL973/AVERAGE(BK965,BL965)&lt;0,"n/a",BL973/AVERAGE(BK965,BL965)*BN3/BL3),"n/a")</f>
        <v/>
      </c>
      <c r="BM974" s="1870">
        <f>IFERROR(IF(BM973/AVERAGE(BL965,BM965)&lt;0,"n/a",BM973/AVERAGE(BL965,BM965)*BN3/BM3),"n/a")</f>
        <v/>
      </c>
      <c r="BN974" s="1867">
        <f>IFERROR(IF(BN973/AVERAGE(BJ965,BK965,BL965,BM965)&lt;0,"n/a",BN973/AVERAGE(BJ965,BK965,BL965,BM965)),"n/a")</f>
        <v/>
      </c>
      <c r="BO974" s="1870">
        <f>IFERROR(IF(BO973/AVERAGE(BN965,BO965)&lt;0,"n/a",BO973/AVERAGE(BN965,BO965)*BS3/BO3),"n/a")</f>
        <v/>
      </c>
      <c r="BP974" s="1870">
        <f>IFERROR(IF(BP973/AVERAGE(BO965,BP965)&lt;0,"n/a",BP973/AVERAGE(BO965,BP965)*BS3/BP3),"n/a")</f>
        <v/>
      </c>
      <c r="BQ974" s="1874">
        <f>IFERROR(IF(BQ973/AVERAGE(BP965,BQ965)&lt;0,"n/a",BQ973/AVERAGE(BP965,BQ965)*BS3/BQ3),"n/a")</f>
        <v/>
      </c>
      <c r="BR974" s="1870">
        <f>IFERROR(IF(BR973/AVERAGE(BQ965,BR965)&lt;0,"n/a",BR973/AVERAGE(BQ965,BR965)*BS3/BR3),"n/a")</f>
        <v/>
      </c>
      <c r="BS974" s="1867">
        <f>IFERROR(IF(BS973/AVERAGE(BO965,BP965,BQ965,BR965)&lt;0,"n/a",BS973/AVERAGE(BO965,BP965,BQ965,BR965)),"n/a")</f>
        <v/>
      </c>
      <c r="BT974" s="1870">
        <f>IFERROR(IF(BT973/AVERAGE(BS965,BT965)&lt;0,"n/a",BT973/AVERAGE(BS965,BT965)*BX3/BT3),"n/a")</f>
        <v/>
      </c>
      <c r="BU974" s="1870">
        <f>IFERROR(IF(BU973/AVERAGE(BT965,BU965)&lt;0,"n/a",BU973/AVERAGE(BT965,BU965)*BX3/BU3),"n/a")</f>
        <v/>
      </c>
      <c r="BV974" s="1870">
        <f>IFERROR(IF(BV973/AVERAGE(BU965,BV965)&lt;0,"n/a",BV973/AVERAGE(BU965,BV965)*BX3/BV3),"n/a")</f>
        <v/>
      </c>
      <c r="BW974" s="1870">
        <f>IFERROR(IF(BW973/AVERAGE(BV965,BW965)&lt;0,"n/a",BW973/AVERAGE(BV965,BW965)*BX3/BW3),"n/a")</f>
        <v/>
      </c>
      <c r="BX974" s="1867">
        <f>IFERROR(IF(BX973/AVERAGE(BT965,BU965,BV965,BW965)&lt;0,"n/a",BX973/AVERAGE(BT965,BU965,BV965,BW965)),"n/a")</f>
        <v/>
      </c>
      <c r="BY974" s="1867">
        <f>IFERROR(IF(BY973/AVERAGE(BX965,BY965)&lt;0,"n/a",BY973/AVERAGE(BX965,BY965)),"n/a")</f>
        <v/>
      </c>
      <c r="BZ974" s="1867">
        <f>IFERROR(IF(BZ973/AVERAGE(BY965,BZ965)&lt;0,"n/a",BZ973/AVERAGE(BY965,BZ965)),"n/a")</f>
        <v/>
      </c>
      <c r="CA974" s="1867">
        <f>IFERROR(IF(CA973/AVERAGE(BZ965,CA965)&lt;0,"n/a",CA973/AVERAGE(BZ965,CA965)),"n/a")</f>
        <v/>
      </c>
      <c r="CB974" s="1364" t="n"/>
    </row>
    <row r="975" collapsed="1" ht="14.4" customFormat="1" customHeight="1" s="1359">
      <c r="A975" s="1450" t="n"/>
      <c r="B975" s="1517" t="n"/>
      <c r="C975" s="1867" t="n"/>
      <c r="D975" s="1867" t="n"/>
      <c r="E975" s="1867" t="n"/>
      <c r="F975" s="1867" t="n"/>
      <c r="G975" s="1870" t="n"/>
      <c r="H975" s="1870" t="n"/>
      <c r="I975" s="1870" t="n"/>
      <c r="J975" s="1870" t="n"/>
      <c r="K975" s="1867" t="n"/>
      <c r="L975" s="1870" t="n"/>
      <c r="M975" s="1870" t="n"/>
      <c r="N975" s="1870" t="n"/>
      <c r="O975" s="1870" t="n"/>
      <c r="P975" s="1867" t="n"/>
      <c r="Q975" s="1870" t="n"/>
      <c r="R975" s="1870" t="n"/>
      <c r="S975" s="1870" t="n"/>
      <c r="T975" s="1870" t="n"/>
      <c r="U975" s="1867" t="n"/>
      <c r="V975" s="1870" t="n"/>
      <c r="W975" s="1870" t="n"/>
      <c r="X975" s="1870" t="n"/>
      <c r="Y975" s="1870" t="n"/>
      <c r="Z975" s="1867" t="n"/>
      <c r="AA975" s="1870" t="n"/>
      <c r="AB975" s="1870" t="n"/>
      <c r="AC975" s="1870" t="n"/>
      <c r="AD975" s="1870" t="n"/>
      <c r="AE975" s="1867" t="n"/>
      <c r="AF975" s="1870" t="n"/>
      <c r="AG975" s="1870" t="n"/>
      <c r="AH975" s="1870" t="n"/>
      <c r="AI975" s="1870" t="n"/>
      <c r="AJ975" s="1867" t="n"/>
      <c r="AK975" s="1870" t="n"/>
      <c r="AL975" s="1870" t="n"/>
      <c r="AM975" s="1870" t="n"/>
      <c r="AN975" s="1870" t="n"/>
      <c r="AO975" s="1867" t="n"/>
      <c r="AP975" s="1870" t="n"/>
      <c r="AQ975" s="1870" t="n"/>
      <c r="AR975" s="1870" t="n"/>
      <c r="AS975" s="1870" t="n"/>
      <c r="AT975" s="1867" t="n"/>
      <c r="AU975" s="1870" t="n"/>
      <c r="AV975" s="1870" t="n"/>
      <c r="AW975" s="1870" t="n"/>
      <c r="AX975" s="1870" t="n"/>
      <c r="AY975" s="1867" t="n"/>
      <c r="AZ975" s="1870" t="n"/>
      <c r="BA975" s="1870" t="n"/>
      <c r="BB975" s="1870" t="n"/>
      <c r="BC975" s="1870" t="n"/>
      <c r="BD975" s="1867" t="n"/>
      <c r="BE975" s="1870" t="n"/>
      <c r="BF975" s="1870" t="n"/>
      <c r="BG975" s="1870" t="n"/>
      <c r="BH975" s="1870" t="n"/>
      <c r="BI975" s="1867" t="n"/>
      <c r="BJ975" s="1870" t="n"/>
      <c r="BK975" s="1870" t="n"/>
      <c r="BL975" s="1870" t="n"/>
      <c r="BM975" s="1870" t="n"/>
      <c r="BN975" s="1867" t="n"/>
      <c r="BO975" s="1870" t="n"/>
      <c r="BP975" s="1870" t="n"/>
      <c r="BQ975" s="1874" t="n"/>
      <c r="BR975" s="1870" t="n"/>
      <c r="BS975" s="1867" t="n"/>
      <c r="BT975" s="1870" t="n"/>
      <c r="BU975" s="1870" t="n"/>
      <c r="BV975" s="1870" t="n"/>
      <c r="BW975" s="1870" t="n"/>
      <c r="BX975" s="1867" t="n"/>
      <c r="BY975" s="1867" t="n"/>
      <c r="BZ975" s="1867" t="n"/>
      <c r="CA975" s="1867" t="n"/>
      <c r="CB975" s="1364" t="n"/>
    </row>
    <row r="976" ht="14.4" customFormat="1" customHeight="1" s="1359">
      <c r="A976" s="1450" t="inlineStr">
        <is>
          <t>EBITDA / Net Interest Expense</t>
        </is>
      </c>
      <c r="B976" s="1517" t="n"/>
      <c r="C976" s="1875">
        <f>IFERROR(IF(OR(C483&lt;0,C973&lt;0),"n/a",C483/C973),"n/a")</f>
        <v/>
      </c>
      <c r="D976" s="1875">
        <f>IFERROR(IF(OR(D483&lt;0,D973&lt;0),"n/a",D483/D973),"n/a")</f>
        <v/>
      </c>
      <c r="E976" s="1875">
        <f>IFERROR(IF(OR(E483&lt;0,E973&lt;0),"n/a",E483/E973),"n/a")</f>
        <v/>
      </c>
      <c r="F976" s="1875">
        <f>IFERROR(IF(OR(F483&lt;0,F973&lt;0),"n/a",F483/F973),"n/a")</f>
        <v/>
      </c>
      <c r="G976" s="1876">
        <f>IFERROR(IF(OR(G483&lt;0,G973&lt;0),"n/a",G483/G973),"n/a")</f>
        <v/>
      </c>
      <c r="H976" s="1876">
        <f>IFERROR(IF(OR(H483&lt;0,H973&lt;0),"n/a",H483/H973),"n/a")</f>
        <v/>
      </c>
      <c r="I976" s="1876">
        <f>IFERROR(IF(OR(I483&lt;0,I973&lt;0),"n/a",I483/I973),"n/a")</f>
        <v/>
      </c>
      <c r="J976" s="1876">
        <f>IFERROR(IF(OR(J483&lt;0,J973&lt;0),"n/a",J483/J973),"n/a")</f>
        <v/>
      </c>
      <c r="K976" s="1875">
        <f>IFERROR(IF(OR(K483&lt;0,K973&lt;0),"n/a",K483/K973),"n/a")</f>
        <v/>
      </c>
      <c r="L976" s="1876">
        <f>IFERROR(IF(OR(L483&lt;0,L973&lt;0),"n/a",L483/L973),"n/a")</f>
        <v/>
      </c>
      <c r="M976" s="1876">
        <f>IFERROR(IF(OR(M483&lt;0,M973&lt;0),"n/a",M483/M973),"n/a")</f>
        <v/>
      </c>
      <c r="N976" s="1876">
        <f>IFERROR(IF(OR(N483&lt;0,N973&lt;0),"n/a",N483/N973),"n/a")</f>
        <v/>
      </c>
      <c r="O976" s="1876">
        <f>IFERROR(IF(OR(O483&lt;0,O973&lt;0),"n/a",O483/O973),"n/a")</f>
        <v/>
      </c>
      <c r="P976" s="1875">
        <f>IFERROR(IF(OR(P483&lt;0,P973&lt;0),"n/a",P483/P973),"n/a")</f>
        <v/>
      </c>
      <c r="Q976" s="1876">
        <f>IFERROR(IF(OR(Q483&lt;0,Q973&lt;0),"n/a",Q483/Q973),"n/a")</f>
        <v/>
      </c>
      <c r="R976" s="1876">
        <f>IFERROR(IF(OR(R483&lt;0,R973&lt;0),"n/a",R483/R973),"n/a")</f>
        <v/>
      </c>
      <c r="S976" s="1876">
        <f>IFERROR(IF(OR(S483&lt;0,S973&lt;0),"n/a",S483/S973),"n/a")</f>
        <v/>
      </c>
      <c r="T976" s="1876">
        <f>IFERROR(IF(OR(T483&lt;0,T973&lt;0),"n/a",T483/T973),"n/a")</f>
        <v/>
      </c>
      <c r="U976" s="1875">
        <f>IFERROR(IF(OR(U483&lt;0,U973&lt;0),"n/a",U483/U973),"n/a")</f>
        <v/>
      </c>
      <c r="V976" s="1876">
        <f>IFERROR(IF(OR(V483&lt;0,V973&lt;0),"n/a",V483/V973),"n/a")</f>
        <v/>
      </c>
      <c r="W976" s="1876">
        <f>IFERROR(IF(OR(W483&lt;0,W973&lt;0),"n/a",W483/W973),"n/a")</f>
        <v/>
      </c>
      <c r="X976" s="1876">
        <f>IFERROR(IF(OR(X483&lt;0,X973&lt;0),"n/a",X483/X973),"n/a")</f>
        <v/>
      </c>
      <c r="Y976" s="1876">
        <f>IFERROR(IF(OR(Y483&lt;0,Y973&lt;0),"n/a",Y483/Y973),"n/a")</f>
        <v/>
      </c>
      <c r="Z976" s="1875">
        <f>IFERROR(IF(OR(Z483&lt;0,Z973&lt;0),"n/a",Z483/Z973),"n/a")</f>
        <v/>
      </c>
      <c r="AA976" s="1876">
        <f>IFERROR(IF(OR(AA483&lt;0,AA973&lt;0),"n/a",AA483/AA973),"n/a")</f>
        <v/>
      </c>
      <c r="AB976" s="1876">
        <f>IFERROR(IF(OR(AB483&lt;0,AB973&lt;0),"n/a",AB483/AB973),"n/a")</f>
        <v/>
      </c>
      <c r="AC976" s="1876">
        <f>IFERROR(IF(OR(AC483&lt;0,AC973&lt;0),"n/a",AC483/AC973),"n/a")</f>
        <v/>
      </c>
      <c r="AD976" s="1876">
        <f>IFERROR(IF(OR(AD483&lt;0,AD973&lt;0),"n/a",AD483/AD973),"n/a")</f>
        <v/>
      </c>
      <c r="AE976" s="1875">
        <f>IFERROR(IF(OR(AE483&lt;0,AE973&lt;0),"n/a",AE483/AE973),"n/a")</f>
        <v/>
      </c>
      <c r="AF976" s="1876">
        <f>IFERROR(IF(OR(AF483&lt;0,AF973&lt;0),"n/a",AF483/AF973),"n/a")</f>
        <v/>
      </c>
      <c r="AG976" s="1876">
        <f>IFERROR(IF(OR(AG483&lt;0,AG973&lt;0),"n/a",AG483/AG973),"n/a")</f>
        <v/>
      </c>
      <c r="AH976" s="1876">
        <f>IFERROR(IF(OR(AH483&lt;0,AH973&lt;0),"n/a",AH483/AH973),"n/a")</f>
        <v/>
      </c>
      <c r="AI976" s="1876">
        <f>IFERROR(IF(OR(AI483&lt;0,AI973&lt;0),"n/a",AI483/AI973),"n/a")</f>
        <v/>
      </c>
      <c r="AJ976" s="1875">
        <f>IFERROR(IF(OR(AJ483&lt;0,AJ973&lt;0),"n/a",AJ483/AJ973),"n/a")</f>
        <v/>
      </c>
      <c r="AK976" s="1876">
        <f>IFERROR(IF(OR(AK483&lt;0,AK973&lt;0),"n/a",AK483/AK973),"n/a")</f>
        <v/>
      </c>
      <c r="AL976" s="1876">
        <f>IFERROR(IF(OR(AL483&lt;0,AL973&lt;0),"n/a",AL483/AL973),"n/a")</f>
        <v/>
      </c>
      <c r="AM976" s="1876">
        <f>IFERROR(IF(OR(AM483&lt;0,AM973&lt;0),"n/a",AM483/AM973),"n/a")</f>
        <v/>
      </c>
      <c r="AN976" s="1876">
        <f>IFERROR(IF(OR(AN483&lt;0,AN973&lt;0),"n/a",AN483/AN973),"n/a")</f>
        <v/>
      </c>
      <c r="AO976" s="1875">
        <f>IFERROR(IF(OR(AO483&lt;0,AO973&lt;0),"n/a",AO483/AO973),"n/a")</f>
        <v/>
      </c>
      <c r="AP976" s="1876">
        <f>IFERROR(IF(OR(AP483&lt;0,AP973&lt;0),"n/a",AP483/AP973),"n/a")</f>
        <v/>
      </c>
      <c r="AQ976" s="1876">
        <f>IFERROR(IF(OR(AQ483&lt;0,AQ973&lt;0),"n/a",AQ483/AQ973),"n/a")</f>
        <v/>
      </c>
      <c r="AR976" s="1876">
        <f>IFERROR(IF(OR(AR483&lt;0,AR973&lt;0),"n/a",AR483/AR973),"n/a")</f>
        <v/>
      </c>
      <c r="AS976" s="1876">
        <f>IFERROR(IF(OR(AS483&lt;0,AS973&lt;0),"n/a",AS483/AS973),"n/a")</f>
        <v/>
      </c>
      <c r="AT976" s="1875">
        <f>IFERROR(IF(OR(AT483&lt;0,AT973&lt;0),"n/a",AT483/AT973),"n/a")</f>
        <v/>
      </c>
      <c r="AU976" s="1876">
        <f>IFERROR(IF(OR(AU483&lt;0,AU973&lt;0),"n/a",AU483/AU973),"n/a")</f>
        <v/>
      </c>
      <c r="AV976" s="1876">
        <f>IFERROR(IF(OR(AV483&lt;0,AV973&lt;0),"n/a",AV483/AV973),"n/a")</f>
        <v/>
      </c>
      <c r="AW976" s="1876">
        <f>IFERROR(IF(OR(AW483&lt;0,AW973&lt;0),"n/a",AW483/AW973),"n/a")</f>
        <v/>
      </c>
      <c r="AX976" s="1876">
        <f>IFERROR(IF(OR(AX483&lt;0,AX973&lt;0),"n/a",AX483/AX973),"n/a")</f>
        <v/>
      </c>
      <c r="AY976" s="1875">
        <f>IFERROR(IF(OR(AY483&lt;0,AY973&lt;0),"n/a",AY483/AY973),"n/a")</f>
        <v/>
      </c>
      <c r="AZ976" s="1876">
        <f>IFERROR(IF(OR(AZ483&lt;0,AZ973&lt;0),"n/a",AZ483/AZ973),"n/a")</f>
        <v/>
      </c>
      <c r="BA976" s="1876">
        <f>IFERROR(IF(OR(BA483&lt;0,BA973&lt;0),"n/a",BA483/BA973),"n/a")</f>
        <v/>
      </c>
      <c r="BB976" s="1876">
        <f>IFERROR(IF(OR(BB483&lt;0,BB973&lt;0),"n/a",BB483/BB973),"n/a")</f>
        <v/>
      </c>
      <c r="BC976" s="1876">
        <f>IFERROR(IF(OR(BC483&lt;0,BC973&lt;0),"n/a",BC483/BC973),"n/a")</f>
        <v/>
      </c>
      <c r="BD976" s="1875">
        <f>IFERROR(IF(OR(BD483&lt;0,BD973&lt;0),"n/a",BD483/BD973),"n/a")</f>
        <v/>
      </c>
      <c r="BE976" s="1876">
        <f>IFERROR(IF(OR(BE483&lt;0,BE973&lt;0),"n/a",BE483/BE973),"n/a")</f>
        <v/>
      </c>
      <c r="BF976" s="1876">
        <f>IFERROR(IF(OR(BF483&lt;0,BF973&lt;0),"n/a",BF483/BF973),"n/a")</f>
        <v/>
      </c>
      <c r="BG976" s="1876">
        <f>IFERROR(IF(OR(BG483&lt;0,BG973&lt;0),"n/a",BG483/BG973),"n/a")</f>
        <v/>
      </c>
      <c r="BH976" s="1876">
        <f>IFERROR(IF(OR(BH483&lt;0,BH973&lt;0),"n/a",BH483/BH973),"n/a")</f>
        <v/>
      </c>
      <c r="BI976" s="1875">
        <f>IFERROR(IF(OR(BI483&lt;0,BI973&lt;0),"n/a",BI483/BI973),"n/a")</f>
        <v/>
      </c>
      <c r="BJ976" s="1876">
        <f>IFERROR(IF(OR(BJ483&lt;0,BJ973&lt;0),"n/a",BJ483/BJ973),"n/a")</f>
        <v/>
      </c>
      <c r="BK976" s="1876">
        <f>IFERROR(IF(OR(BK483&lt;0,BK973&lt;0),"n/a",BK483/BK973),"n/a")</f>
        <v/>
      </c>
      <c r="BL976" s="1876">
        <f>IFERROR(IF(OR(BL483&lt;0,BL973&lt;0),"n/a",BL483/BL973),"n/a")</f>
        <v/>
      </c>
      <c r="BM976" s="1876">
        <f>IFERROR(IF(OR(BM483&lt;0,BM973&lt;0),"n/a",BM483/BM973),"n/a")</f>
        <v/>
      </c>
      <c r="BN976" s="1875">
        <f>IFERROR(IF(OR(BN483&lt;0,BN973&lt;0),"n/a",BN483/BN973),"n/a")</f>
        <v/>
      </c>
      <c r="BO976" s="1876">
        <f>IFERROR(IF(OR(BO483&lt;0,BO973&lt;0),"n/a",BO483/BO973),"n/a")</f>
        <v/>
      </c>
      <c r="BP976" s="1876">
        <f>IFERROR(IF(OR(BP483&lt;0,BP973&lt;0),"n/a",BP483/BP973),"n/a")</f>
        <v/>
      </c>
      <c r="BQ976" s="1877">
        <f>IFERROR(IF(OR(BQ483&lt;0,BQ973&lt;0),"n/a",BQ483/BQ973),"n/a")</f>
        <v/>
      </c>
      <c r="BR976" s="1876">
        <f>IFERROR(IF(OR(BR483&lt;0,BR973&lt;0),"n/a",BR483/BR973),"n/a")</f>
        <v/>
      </c>
      <c r="BS976" s="1875">
        <f>IFERROR(IF(OR(BS483&lt;0,BS973&lt;0),"n/a",BS483/BS973),"n/a")</f>
        <v/>
      </c>
      <c r="BT976" s="1876">
        <f>IFERROR(IF(OR(BT483&lt;0,BT973&lt;0),"n/a",BT483/BT973),"n/a")</f>
        <v/>
      </c>
      <c r="BU976" s="1876">
        <f>IFERROR(IF(OR(BU483&lt;0,BU973&lt;0),"n/a",BU483/BU973),"n/a")</f>
        <v/>
      </c>
      <c r="BV976" s="1876">
        <f>IFERROR(IF(OR(BV483&lt;0,BV973&lt;0),"n/a",BV483/BV973),"n/a")</f>
        <v/>
      </c>
      <c r="BW976" s="1876">
        <f>IFERROR(IF(OR(BW483&lt;0,BW973&lt;0),"n/a",BW483/BW973),"n/a")</f>
        <v/>
      </c>
      <c r="BX976" s="1875">
        <f>IFERROR(IF(OR(BX483&lt;0,BX973&lt;0),"n/a",BX483/BX973),"n/a")</f>
        <v/>
      </c>
      <c r="BY976" s="1875">
        <f>IFERROR(IF(OR(BY483&lt;0,BY973&lt;0),"n/a",BY483/BY973),"n/a")</f>
        <v/>
      </c>
      <c r="BZ976" s="1875">
        <f>IFERROR(IF(OR(BZ483&lt;0,BZ973&lt;0),"n/a",BZ483/BZ973),"n/a")</f>
        <v/>
      </c>
      <c r="CA976" s="1875">
        <f>IFERROR(IF(OR(CA483&lt;0,CA973&lt;0),"n/a",CA483/CA973),"n/a")</f>
        <v/>
      </c>
      <c r="CB976" s="1364" t="n"/>
    </row>
    <row r="977" ht="14.4" customFormat="1" customHeight="1" s="1878">
      <c r="A977" s="1879" t="inlineStr">
        <is>
          <t>Net Debt / EBITDA</t>
        </is>
      </c>
      <c r="B977" s="1880" t="n"/>
      <c r="C977" s="1881">
        <f>IF(C967&lt;0,"n/a",C967/C483)</f>
        <v/>
      </c>
      <c r="D977" s="1881">
        <f>IF(D967&lt;0,"n/a",D967/D483)</f>
        <v/>
      </c>
      <c r="E977" s="1881">
        <f>IF(E967&lt;0,"n/a",E967/E483)</f>
        <v/>
      </c>
      <c r="F977" s="1881">
        <f>IF(F967&lt;0,"n/a",F967/F483)</f>
        <v/>
      </c>
      <c r="G977" s="1876" t="n"/>
      <c r="H977" s="1876" t="n"/>
      <c r="I977" s="1876" t="n"/>
      <c r="J977" s="1876" t="n"/>
      <c r="K977" s="1881">
        <f>IF(K967&lt;0,"n/a",K967/K483)</f>
        <v/>
      </c>
      <c r="L977" s="1876" t="n"/>
      <c r="M977" s="1876" t="n"/>
      <c r="N977" s="1876" t="n"/>
      <c r="O977" s="1876" t="n"/>
      <c r="P977" s="1881">
        <f>IF(P967&lt;0,"n/a",P967/P483)</f>
        <v/>
      </c>
      <c r="Q977" s="1876" t="n"/>
      <c r="R977" s="1876" t="n"/>
      <c r="S977" s="1876" t="n"/>
      <c r="T977" s="1876" t="n"/>
      <c r="U977" s="1881">
        <f>IF(U967&lt;0,"n/a",U967/U483)</f>
        <v/>
      </c>
      <c r="V977" s="1876" t="n"/>
      <c r="W977" s="1882" t="n"/>
      <c r="X977" s="1882" t="n"/>
      <c r="Y977" s="1882" t="n"/>
      <c r="Z977" s="1881">
        <f>IF(Z967&lt;0,"n/a",Z967/Z483)</f>
        <v/>
      </c>
      <c r="AA977" s="1882" t="n"/>
      <c r="AB977" s="1882" t="n"/>
      <c r="AC977" s="1882" t="n"/>
      <c r="AD977" s="1882" t="n"/>
      <c r="AE977" s="1881">
        <f>IF(AE967&lt;0,"n/a",AE967/AE483)</f>
        <v/>
      </c>
      <c r="AF977" s="1882" t="n"/>
      <c r="AG977" s="1882" t="n"/>
      <c r="AH977" s="1882" t="n"/>
      <c r="AI977" s="1882" t="n"/>
      <c r="AJ977" s="1881">
        <f>IF(AJ967&lt;0,"n/a",AJ967/AJ483)</f>
        <v/>
      </c>
      <c r="AK977" s="1882" t="n"/>
      <c r="AL977" s="1882" t="n"/>
      <c r="AM977" s="1882" t="n"/>
      <c r="AN977" s="1882" t="n"/>
      <c r="AO977" s="1881">
        <f>IF(AO967&lt;0,"n/a",AO967/AO483)</f>
        <v/>
      </c>
      <c r="AP977" s="1882" t="n"/>
      <c r="AQ977" s="1882" t="n"/>
      <c r="AR977" s="1882" t="n"/>
      <c r="AS977" s="1882" t="n"/>
      <c r="AT977" s="1881">
        <f>IF(AT967&lt;0,"n/a",AT967/AT483)</f>
        <v/>
      </c>
      <c r="AU977" s="1882" t="n"/>
      <c r="AV977" s="1882" t="n"/>
      <c r="AW977" s="1882" t="n"/>
      <c r="AX977" s="1882" t="n"/>
      <c r="AY977" s="1881">
        <f>IF(AY967&lt;0,"n/a",AY967/AY483)</f>
        <v/>
      </c>
      <c r="AZ977" s="1882" t="n"/>
      <c r="BA977" s="1882" t="n"/>
      <c r="BB977" s="1882" t="n"/>
      <c r="BC977" s="1882" t="n"/>
      <c r="BD977" s="1881">
        <f>IF(BD967&lt;0,"n/a",BD967/BD483)</f>
        <v/>
      </c>
      <c r="BE977" s="1882" t="n"/>
      <c r="BF977" s="1882" t="n"/>
      <c r="BG977" s="1882" t="n"/>
      <c r="BH977" s="1882" t="n"/>
      <c r="BI977" s="1881">
        <f>IF(BI967&lt;0,"n/a",BI967/BI483)</f>
        <v/>
      </c>
      <c r="BJ977" s="1882" t="n"/>
      <c r="BK977" s="1882" t="n"/>
      <c r="BL977" s="1882" t="n"/>
      <c r="BM977" s="1882" t="n"/>
      <c r="BN977" s="1881">
        <f>IF(BN967&lt;0,"n/a",BN967/BN483)</f>
        <v/>
      </c>
      <c r="BO977" s="1882" t="n"/>
      <c r="BP977" s="1882" t="n"/>
      <c r="BQ977" s="1883" t="n"/>
      <c r="BR977" s="1882" t="n"/>
      <c r="BS977" s="1875">
        <f>IF(BS967&lt;0,"n/a",BS967/BS483)</f>
        <v/>
      </c>
      <c r="BT977" s="1882" t="n"/>
      <c r="BU977" s="1882" t="n"/>
      <c r="BV977" s="1882" t="n"/>
      <c r="BW977" s="1882" t="n"/>
      <c r="BX977" s="1875">
        <f>IF(BX967&lt;0,"n/a",BX967/BX483)</f>
        <v/>
      </c>
      <c r="BY977" s="1875">
        <f>IF(BY967&lt;0,"n/a",BY967/BY483)</f>
        <v/>
      </c>
      <c r="BZ977" s="1875">
        <f>IF(BZ967&lt;0,"n/a",BZ967/BZ483)</f>
        <v/>
      </c>
      <c r="CA977" s="1875">
        <f>IF(CA967&lt;0,"n/a",CA967/CA483)</f>
        <v/>
      </c>
      <c r="CB977" s="1884" t="n"/>
    </row>
    <row r="978" ht="14.4" customFormat="1" customHeight="1" s="1878">
      <c r="A978" s="1879" t="inlineStr">
        <is>
          <t>Net Debt / Cash Flow</t>
        </is>
      </c>
      <c r="B978" s="1880" t="n"/>
      <c r="C978" s="1881">
        <f>IF(C967&lt;0,"n/a",C967/C934)</f>
        <v/>
      </c>
      <c r="D978" s="1881">
        <f>IF(D967&lt;0,"n/a",D967/D934)</f>
        <v/>
      </c>
      <c r="E978" s="1881">
        <f>IF(E967&lt;0,"n/a",E967/E934)</f>
        <v/>
      </c>
      <c r="F978" s="1881">
        <f>IF(F967&lt;0,"n/a",F967/F934)</f>
        <v/>
      </c>
      <c r="G978" s="1876" t="n"/>
      <c r="H978" s="1876" t="n"/>
      <c r="I978" s="1876" t="n"/>
      <c r="J978" s="1876" t="n"/>
      <c r="K978" s="1881">
        <f>IF(K967&lt;0,"n/a",K967/K934)</f>
        <v/>
      </c>
      <c r="L978" s="1876" t="n"/>
      <c r="M978" s="1876" t="n"/>
      <c r="N978" s="1876" t="n"/>
      <c r="O978" s="1876" t="n"/>
      <c r="P978" s="1881">
        <f>IF(P967&lt;0,"n/a",P967/P934)</f>
        <v/>
      </c>
      <c r="Q978" s="1876" t="n"/>
      <c r="R978" s="1876" t="n"/>
      <c r="S978" s="1876" t="n"/>
      <c r="T978" s="1876" t="n"/>
      <c r="U978" s="1881">
        <f>IF(U967&lt;0,"n/a",U967/U934)</f>
        <v/>
      </c>
      <c r="V978" s="1876" t="n"/>
      <c r="W978" s="1882" t="n"/>
      <c r="X978" s="1882" t="n"/>
      <c r="Y978" s="1882" t="n"/>
      <c r="Z978" s="1875">
        <f>IF(Z967&lt;0,"n/a",Z967/Z934)</f>
        <v/>
      </c>
      <c r="AA978" s="1882" t="n"/>
      <c r="AB978" s="1882" t="n"/>
      <c r="AC978" s="1882" t="n"/>
      <c r="AD978" s="1882" t="n"/>
      <c r="AE978" s="1875">
        <f>IF(AE967&lt;0,"n/a",AE967/AE934)</f>
        <v/>
      </c>
      <c r="AF978" s="1882" t="n"/>
      <c r="AG978" s="1882" t="n"/>
      <c r="AH978" s="1882" t="n"/>
      <c r="AI978" s="1882" t="n"/>
      <c r="AJ978" s="1875">
        <f>IF(AJ967&lt;0,"n/a",AJ967/AJ934)</f>
        <v/>
      </c>
      <c r="AK978" s="1882" t="n"/>
      <c r="AL978" s="1882" t="n"/>
      <c r="AM978" s="1882" t="n"/>
      <c r="AN978" s="1882" t="n"/>
      <c r="AO978" s="1875">
        <f>IF(AO967&lt;0,"n/a",AO967/AO934)</f>
        <v/>
      </c>
      <c r="AP978" s="1882" t="n"/>
      <c r="AQ978" s="1882" t="n"/>
      <c r="AR978" s="1882" t="n"/>
      <c r="AS978" s="1882" t="n"/>
      <c r="AT978" s="1875">
        <f>IF(AT967&lt;0,"n/a",AT967/AT934)</f>
        <v/>
      </c>
      <c r="AU978" s="1882" t="n"/>
      <c r="AV978" s="1882" t="n"/>
      <c r="AW978" s="1882" t="n"/>
      <c r="AX978" s="1882" t="n"/>
      <c r="AY978" s="1875">
        <f>IF(AY967&lt;0,"n/a",AY967/AY934)</f>
        <v/>
      </c>
      <c r="AZ978" s="1882" t="n"/>
      <c r="BA978" s="1882" t="n"/>
      <c r="BB978" s="1882" t="n"/>
      <c r="BC978" s="1882" t="n"/>
      <c r="BD978" s="1875">
        <f>IF(BD967&lt;0,"n/a",BD967/BD934)</f>
        <v/>
      </c>
      <c r="BE978" s="1882" t="n"/>
      <c r="BF978" s="1882" t="n"/>
      <c r="BG978" s="1882" t="n"/>
      <c r="BH978" s="1882" t="n"/>
      <c r="BI978" s="1875">
        <f>IF(BI967&lt;0,"n/a",BI967/BI934)</f>
        <v/>
      </c>
      <c r="BJ978" s="1882" t="n"/>
      <c r="BK978" s="1882" t="n"/>
      <c r="BL978" s="1882" t="n"/>
      <c r="BM978" s="1882" t="n"/>
      <c r="BN978" s="1875">
        <f>IF(BN967&lt;0,"n/a",BN967/BN934)</f>
        <v/>
      </c>
      <c r="BO978" s="1882" t="n"/>
      <c r="BP978" s="1882" t="n"/>
      <c r="BQ978" s="1883" t="n"/>
      <c r="BR978" s="1882" t="n"/>
      <c r="BS978" s="1875">
        <f>IF(BS967&lt;0,"n/a",BS967/BS934)</f>
        <v/>
      </c>
      <c r="BT978" s="1882" t="n"/>
      <c r="BU978" s="1882" t="n"/>
      <c r="BV978" s="1882" t="n"/>
      <c r="BW978" s="1882" t="n"/>
      <c r="BX978" s="1875">
        <f>IF(BX967&lt;0,"n/a",BX967/BX934)</f>
        <v/>
      </c>
      <c r="BY978" s="1875">
        <f>IF(BY967&lt;0,"n/a",BY967/BY934)</f>
        <v/>
      </c>
      <c r="BZ978" s="1875">
        <f>IF(BZ967&lt;0,"n/a",BZ967/BZ934)</f>
        <v/>
      </c>
      <c r="CA978" s="1875">
        <f>IF(CA967&lt;0,"n/a",CA967/CA934)</f>
        <v/>
      </c>
      <c r="CB978" s="1884" t="n"/>
    </row>
    <row r="979" ht="14.4" customHeight="1" s="972">
      <c r="A979" s="298" t="n"/>
      <c r="B979" s="298" t="n"/>
      <c r="C979" s="1226" t="n"/>
      <c r="D979" s="1226" t="n"/>
      <c r="E979" s="1226" t="n"/>
      <c r="F979" s="1226" t="n"/>
      <c r="G979" s="275" t="n"/>
      <c r="H979" s="275" t="n"/>
      <c r="I979" s="275" t="n"/>
      <c r="J979" s="275" t="n"/>
      <c r="K979" s="1226" t="n"/>
      <c r="L979" s="275" t="n"/>
      <c r="M979" s="275" t="n"/>
      <c r="N979" s="275" t="n"/>
      <c r="O979" s="275" t="n"/>
      <c r="P979" s="1226" t="n"/>
      <c r="Q979" s="275" t="n"/>
      <c r="R979" s="275" t="n"/>
      <c r="S979" s="275" t="n"/>
      <c r="T979" s="275" t="n"/>
      <c r="U979" s="1226" t="n"/>
      <c r="V979" s="275" t="n"/>
      <c r="W979" s="275" t="n"/>
      <c r="X979" s="275" t="n"/>
      <c r="Y979" s="275" t="n"/>
      <c r="Z979" s="1226" t="n"/>
      <c r="AA979" s="275" t="n"/>
      <c r="AB979" s="275" t="n"/>
      <c r="AC979" s="275" t="n"/>
      <c r="AD979" s="275" t="n"/>
      <c r="AE979" s="1226" t="n"/>
      <c r="AF979" s="275" t="n"/>
      <c r="AG979" s="275" t="n"/>
      <c r="AH979" s="275" t="n"/>
      <c r="AI979" s="275" t="n"/>
      <c r="AJ979" s="1226" t="n"/>
      <c r="AK979" s="275" t="n"/>
      <c r="AL979" s="275" t="n"/>
      <c r="AM979" s="275" t="n"/>
      <c r="AN979" s="275" t="n"/>
      <c r="AO979" s="1226" t="n"/>
      <c r="AP979" s="275" t="n"/>
      <c r="AQ979" s="275" t="n"/>
      <c r="AR979" s="275" t="n"/>
      <c r="AS979" s="275" t="n"/>
      <c r="AT979" s="1226" t="n"/>
      <c r="AU979" s="275" t="n"/>
      <c r="AV979" s="275" t="n"/>
      <c r="AW979" s="275" t="n"/>
      <c r="AX979" s="275" t="n"/>
      <c r="AY979" s="1226" t="n"/>
      <c r="AZ979" s="275" t="n"/>
      <c r="BA979" s="275" t="n"/>
      <c r="BB979" s="275" t="n"/>
      <c r="BC979" s="275" t="n"/>
      <c r="BD979" s="1226" t="n"/>
      <c r="BE979" s="275" t="n"/>
      <c r="BF979" s="275" t="n"/>
      <c r="BG979" s="275" t="n"/>
      <c r="BH979" s="275" t="n"/>
      <c r="BI979" s="1226" t="n"/>
      <c r="BJ979" s="275" t="n"/>
      <c r="BK979" s="275" t="n"/>
      <c r="BL979" s="275" t="n"/>
      <c r="BM979" s="275" t="n"/>
      <c r="BN979" s="1226" t="n"/>
      <c r="BO979" s="275" t="n"/>
      <c r="BP979" s="275" t="n"/>
      <c r="BQ979" s="328" t="n"/>
      <c r="BR979" s="275" t="n"/>
      <c r="BS979" s="1226" t="n"/>
      <c r="BT979" s="275" t="n"/>
      <c r="BU979" s="275" t="n"/>
      <c r="BV979" s="275" t="n"/>
      <c r="BW979" s="275" t="n"/>
      <c r="BX979" s="1226" t="n"/>
      <c r="BY979" s="1226" t="n"/>
      <c r="BZ979" s="1226" t="n"/>
      <c r="CA979" s="1226" t="n"/>
      <c r="CB979" s="177" t="n"/>
    </row>
    <row r="980" ht="14.4" customFormat="1" customHeight="1" s="1372">
      <c r="A980" s="1373" t="inlineStr">
        <is>
          <t>Valuation</t>
        </is>
      </c>
      <c r="B980" s="1373" t="n"/>
      <c r="C980" s="1373" t="n"/>
      <c r="D980" s="1373" t="n"/>
      <c r="E980" s="1373" t="n"/>
      <c r="F980" s="1373" t="n"/>
      <c r="G980" s="1373" t="n"/>
      <c r="H980" s="1373" t="n"/>
      <c r="I980" s="1373" t="n"/>
      <c r="J980" s="1373" t="n"/>
      <c r="K980" s="1373" t="n"/>
      <c r="L980" s="1373" t="n"/>
      <c r="M980" s="1373" t="n"/>
      <c r="N980" s="1373" t="n"/>
      <c r="O980" s="1373" t="n"/>
      <c r="P980" s="1373" t="n"/>
      <c r="Q980" s="1373" t="n"/>
      <c r="R980" s="1373" t="n"/>
      <c r="S980" s="1373" t="n"/>
      <c r="T980" s="1373" t="n"/>
      <c r="U980" s="1373" t="n"/>
      <c r="V980" s="1373" t="n"/>
      <c r="W980" s="1373" t="n"/>
      <c r="X980" s="1373" t="n"/>
      <c r="Y980" s="1373" t="n"/>
      <c r="Z980" s="1373" t="n"/>
      <c r="AA980" s="1373" t="n"/>
      <c r="AB980" s="1373" t="n"/>
      <c r="AC980" s="1373" t="n"/>
      <c r="AD980" s="1373" t="n"/>
      <c r="AE980" s="1373" t="n"/>
      <c r="AF980" s="1373" t="n"/>
      <c r="AG980" s="1373" t="n"/>
      <c r="AH980" s="1373" t="n"/>
      <c r="AI980" s="1373" t="n"/>
      <c r="AJ980" s="1373" t="n"/>
      <c r="AK980" s="1373" t="n"/>
      <c r="AL980" s="1373" t="n"/>
      <c r="AM980" s="1373" t="n"/>
      <c r="AN980" s="1373" t="n"/>
      <c r="AO980" s="1373" t="n"/>
      <c r="AP980" s="1373" t="n"/>
      <c r="AQ980" s="1373" t="n"/>
      <c r="AR980" s="1373" t="n"/>
      <c r="AS980" s="1373" t="n"/>
      <c r="AT980" s="1373" t="n"/>
      <c r="AU980" s="1373" t="n"/>
      <c r="AV980" s="1373" t="n"/>
      <c r="AW980" s="1373" t="n"/>
      <c r="AX980" s="1373" t="n"/>
      <c r="AY980" s="1373" t="n"/>
      <c r="AZ980" s="1373" t="n"/>
      <c r="BA980" s="1373" t="n"/>
      <c r="BB980" s="1373" t="n"/>
      <c r="BC980" s="1373" t="n"/>
      <c r="BD980" s="1373" t="n"/>
      <c r="BE980" s="1373" t="n"/>
      <c r="BF980" s="1373" t="n"/>
      <c r="BG980" s="1373" t="n"/>
      <c r="BH980" s="1373" t="n"/>
      <c r="BI980" s="1373" t="n"/>
      <c r="BJ980" s="1373" t="n"/>
      <c r="BK980" s="1373" t="n"/>
      <c r="BL980" s="1373" t="n"/>
      <c r="BM980" s="1373" t="n"/>
      <c r="BN980" s="1373" t="n"/>
      <c r="BO980" s="1373" t="n"/>
      <c r="BP980" s="1373" t="n"/>
      <c r="BQ980" s="1374" t="n"/>
      <c r="BR980" s="1373" t="n"/>
      <c r="BS980" s="1373" t="n"/>
      <c r="BT980" s="1373" t="n"/>
      <c r="BU980" s="1373" t="n"/>
      <c r="BV980" s="1373" t="n"/>
      <c r="BW980" s="1373" t="n"/>
      <c r="BX980" s="1373" t="n"/>
      <c r="BY980" s="1373" t="n"/>
      <c r="BZ980" s="1373" t="n"/>
      <c r="CA980" s="1373" t="n"/>
      <c r="CB980" s="1375" t="n"/>
    </row>
    <row r="981" ht="14.4" customFormat="1" customHeight="1" s="1885">
      <c r="A981" s="1886">
        <f>"Stock Price (Reporting Cur.) - "&amp;MO.ValuationToggle&amp;", "&amp;MO.ReportCurrency</f>
        <v/>
      </c>
      <c r="B981" s="1887" t="inlineStr">
        <is>
          <t>EoP</t>
        </is>
      </c>
      <c r="C981" s="1888">
        <f>IF(MO.ValuationToggle="EoP",INDEX(MO_VA_StockPrice_TradingCurrency,1,COLUMN())/INDEX(MO_VA_FX_EoP,1,COLUMN()),INDEX(MO_VA_StockPrice_TradingCurrency,1,COLUMN())/INDEX(MO_VA_FX_Average,1,COLUMN()))</f>
        <v/>
      </c>
      <c r="D981" s="1888">
        <f>IF(MO.ValuationToggle="EoP",INDEX(MO_VA_StockPrice_TradingCurrency,1,COLUMN())/INDEX(MO_VA_FX_EoP,1,COLUMN()),INDEX(MO_VA_StockPrice_TradingCurrency,1,COLUMN())/INDEX(MO_VA_FX_Average,1,COLUMN()))</f>
        <v/>
      </c>
      <c r="E981" s="1888">
        <f>IF(MO.ValuationToggle="EoP",INDEX(MO_VA_StockPrice_TradingCurrency,1,COLUMN())/INDEX(MO_VA_FX_EoP,1,COLUMN()),INDEX(MO_VA_StockPrice_TradingCurrency,1,COLUMN())/INDEX(MO_VA_FX_Average,1,COLUMN()))</f>
        <v/>
      </c>
      <c r="F981" s="1888">
        <f>IF(MO.ValuationToggle="EoP",INDEX(MO_VA_StockPrice_TradingCurrency,1,COLUMN())/INDEX(MO_VA_FX_EoP,1,COLUMN()),INDEX(MO_VA_StockPrice_TradingCurrency,1,COLUMN())/INDEX(MO_VA_FX_Average,1,COLUMN()))</f>
        <v/>
      </c>
      <c r="G981" s="1889">
        <f>IF(MO.ValuationToggle="EoP",INDEX(MO_VA_StockPrice_TradingCurrency,1,COLUMN())/INDEX(MO_VA_FX_EoP,1,COLUMN()),INDEX(MO_VA_StockPrice_TradingCurrency,1,COLUMN())/INDEX(MO_VA_FX_Average,1,COLUMN()))</f>
        <v/>
      </c>
      <c r="H981" s="1889">
        <f>IF(MO.ValuationToggle="EoP",INDEX(MO_VA_StockPrice_TradingCurrency,1,COLUMN())/INDEX(MO_VA_FX_EoP,1,COLUMN()),INDEX(MO_VA_StockPrice_TradingCurrency,1,COLUMN())/INDEX(MO_VA_FX_Average,1,COLUMN()))</f>
        <v/>
      </c>
      <c r="I981" s="1889">
        <f>IF(MO.ValuationToggle="EoP",INDEX(MO_VA_StockPrice_TradingCurrency,1,COLUMN())/INDEX(MO_VA_FX_EoP,1,COLUMN()),INDEX(MO_VA_StockPrice_TradingCurrency,1,COLUMN())/INDEX(MO_VA_FX_Average,1,COLUMN()))</f>
        <v/>
      </c>
      <c r="J981" s="1889">
        <f>IF(MO.ValuationToggle="EoP",INDEX(MO_VA_StockPrice_TradingCurrency,1,COLUMN())/INDEX(MO_VA_FX_EoP,1,COLUMN()),INDEX(MO_VA_StockPrice_TradingCurrency,1,COLUMN())/INDEX(MO_VA_FX_Average,1,COLUMN()))</f>
        <v/>
      </c>
      <c r="K981" s="1888">
        <f>IF(MO.ValuationToggle="EoP",INDEX(MO_VA_StockPrice_TradingCurrency,1,COLUMN())/INDEX(MO_VA_FX_EoP,1,COLUMN()),INDEX(MO_VA_StockPrice_TradingCurrency,1,COLUMN())/INDEX(MO_VA_FX_Average,1,COLUMN()))</f>
        <v/>
      </c>
      <c r="L981" s="1889">
        <f>IF(MO.ValuationToggle="EoP",INDEX(MO_VA_StockPrice_TradingCurrency,1,COLUMN())/INDEX(MO_VA_FX_EoP,1,COLUMN()),INDEX(MO_VA_StockPrice_TradingCurrency,1,COLUMN())/INDEX(MO_VA_FX_Average,1,COLUMN()))</f>
        <v/>
      </c>
      <c r="M981" s="1889">
        <f>IF(MO.ValuationToggle="EoP",INDEX(MO_VA_StockPrice_TradingCurrency,1,COLUMN())/INDEX(MO_VA_FX_EoP,1,COLUMN()),INDEX(MO_VA_StockPrice_TradingCurrency,1,COLUMN())/INDEX(MO_VA_FX_Average,1,COLUMN()))</f>
        <v/>
      </c>
      <c r="N981" s="1889">
        <f>IF(MO.ValuationToggle="EoP",INDEX(MO_VA_StockPrice_TradingCurrency,1,COLUMN())/INDEX(MO_VA_FX_EoP,1,COLUMN()),INDEX(MO_VA_StockPrice_TradingCurrency,1,COLUMN())/INDEX(MO_VA_FX_Average,1,COLUMN()))</f>
        <v/>
      </c>
      <c r="O981" s="1889">
        <f>IF(MO.ValuationToggle="EoP",INDEX(MO_VA_StockPrice_TradingCurrency,1,COLUMN())/INDEX(MO_VA_FX_EoP,1,COLUMN()),INDEX(MO_VA_StockPrice_TradingCurrency,1,COLUMN())/INDEX(MO_VA_FX_Average,1,COLUMN()))</f>
        <v/>
      </c>
      <c r="P981" s="1888">
        <f>IF(MO.ValuationToggle="EoP",INDEX(MO_VA_StockPrice_TradingCurrency,1,COLUMN())/INDEX(MO_VA_FX_EoP,1,COLUMN()),INDEX(MO_VA_StockPrice_TradingCurrency,1,COLUMN())/INDEX(MO_VA_FX_Average,1,COLUMN()))</f>
        <v/>
      </c>
      <c r="Q981" s="1889">
        <f>IF(MO.ValuationToggle="EoP",INDEX(MO_VA_StockPrice_TradingCurrency,1,COLUMN())/INDEX(MO_VA_FX_EoP,1,COLUMN()),INDEX(MO_VA_StockPrice_TradingCurrency,1,COLUMN())/INDEX(MO_VA_FX_Average,1,COLUMN()))</f>
        <v/>
      </c>
      <c r="R981" s="1889">
        <f>IF(MO.ValuationToggle="EoP",INDEX(MO_VA_StockPrice_TradingCurrency,1,COLUMN())/INDEX(MO_VA_FX_EoP,1,COLUMN()),INDEX(MO_VA_StockPrice_TradingCurrency,1,COLUMN())/INDEX(MO_VA_FX_Average,1,COLUMN()))</f>
        <v/>
      </c>
      <c r="S981" s="1889">
        <f>IF(MO.ValuationToggle="EoP",INDEX(MO_VA_StockPrice_TradingCurrency,1,COLUMN())/INDEX(MO_VA_FX_EoP,1,COLUMN()),INDEX(MO_VA_StockPrice_TradingCurrency,1,COLUMN())/INDEX(MO_VA_FX_Average,1,COLUMN()))</f>
        <v/>
      </c>
      <c r="T981" s="1889">
        <f>IF(MO.ValuationToggle="EoP",INDEX(MO_VA_StockPrice_TradingCurrency,1,COLUMN())/INDEX(MO_VA_FX_EoP,1,COLUMN()),INDEX(MO_VA_StockPrice_TradingCurrency,1,COLUMN())/INDEX(MO_VA_FX_Average,1,COLUMN()))</f>
        <v/>
      </c>
      <c r="U981" s="1888">
        <f>IF(MO.ValuationToggle="EoP",INDEX(MO_VA_StockPrice_TradingCurrency,1,COLUMN())/INDEX(MO_VA_FX_EoP,1,COLUMN()),INDEX(MO_VA_StockPrice_TradingCurrency,1,COLUMN())/INDEX(MO_VA_FX_Average,1,COLUMN()))</f>
        <v/>
      </c>
      <c r="V981" s="1889">
        <f>IF(MO.ValuationToggle="EoP",INDEX(MO_VA_StockPrice_TradingCurrency,1,COLUMN())/INDEX(MO_VA_FX_EoP,1,COLUMN()),INDEX(MO_VA_StockPrice_TradingCurrency,1,COLUMN())/INDEX(MO_VA_FX_Average,1,COLUMN()))</f>
        <v/>
      </c>
      <c r="W981" s="1889">
        <f>IF(MO.ValuationToggle="EoP",INDEX(MO_VA_StockPrice_TradingCurrency,1,COLUMN())/INDEX(MO_VA_FX_EoP,1,COLUMN()),INDEX(MO_VA_StockPrice_TradingCurrency,1,COLUMN())/INDEX(MO_VA_FX_Average,1,COLUMN()))</f>
        <v/>
      </c>
      <c r="X981" s="1889">
        <f>IF(MO.ValuationToggle="EoP",INDEX(MO_VA_StockPrice_TradingCurrency,1,COLUMN())/INDEX(MO_VA_FX_EoP,1,COLUMN()),INDEX(MO_VA_StockPrice_TradingCurrency,1,COLUMN())/INDEX(MO_VA_FX_Average,1,COLUMN()))</f>
        <v/>
      </c>
      <c r="Y981" s="1889">
        <f>IF(MO.ValuationToggle="EoP",INDEX(MO_VA_StockPrice_TradingCurrency,1,COLUMN())/INDEX(MO_VA_FX_EoP,1,COLUMN()),INDEX(MO_VA_StockPrice_TradingCurrency,1,COLUMN())/INDEX(MO_VA_FX_Average,1,COLUMN()))</f>
        <v/>
      </c>
      <c r="Z981" s="1859">
        <f>IF(MO.ValuationToggle="EoP",INDEX(MO_VA_StockPrice_TradingCurrency,1,COLUMN())/INDEX(MO_VA_FX_EoP,1,COLUMN()),INDEX(MO_VA_StockPrice_TradingCurrency,1,COLUMN())/INDEX(MO_VA_FX_Average,1,COLUMN()))</f>
        <v/>
      </c>
      <c r="AA981" s="1889">
        <f>IF(MO.ValuationToggle="EoP",INDEX(MO_VA_StockPrice_TradingCurrency,1,COLUMN())/INDEX(MO_VA_FX_EoP,1,COLUMN()),INDEX(MO_VA_StockPrice_TradingCurrency,1,COLUMN())/INDEX(MO_VA_FX_Average,1,COLUMN()))</f>
        <v/>
      </c>
      <c r="AB981" s="1889">
        <f>IF(MO.ValuationToggle="EoP",INDEX(MO_VA_StockPrice_TradingCurrency,1,COLUMN())/INDEX(MO_VA_FX_EoP,1,COLUMN()),INDEX(MO_VA_StockPrice_TradingCurrency,1,COLUMN())/INDEX(MO_VA_FX_Average,1,COLUMN()))</f>
        <v/>
      </c>
      <c r="AC981" s="1889">
        <f>IF(MO.ValuationToggle="EoP",INDEX(MO_VA_StockPrice_TradingCurrency,1,COLUMN())/INDEX(MO_VA_FX_EoP,1,COLUMN()),INDEX(MO_VA_StockPrice_TradingCurrency,1,COLUMN())/INDEX(MO_VA_FX_Average,1,COLUMN()))</f>
        <v/>
      </c>
      <c r="AD981" s="1889">
        <f>IF(MO.ValuationToggle="EoP",INDEX(MO_VA_StockPrice_TradingCurrency,1,COLUMN())/INDEX(MO_VA_FX_EoP,1,COLUMN()),INDEX(MO_VA_StockPrice_TradingCurrency,1,COLUMN())/INDEX(MO_VA_FX_Average,1,COLUMN()))</f>
        <v/>
      </c>
      <c r="AE981" s="1859">
        <f>IF(MO.ValuationToggle="EoP",INDEX(MO_VA_StockPrice_TradingCurrency,1,COLUMN())/INDEX(MO_VA_FX_EoP,1,COLUMN()),INDEX(MO_VA_StockPrice_TradingCurrency,1,COLUMN())/INDEX(MO_VA_FX_Average,1,COLUMN()))</f>
        <v/>
      </c>
      <c r="AF981" s="1889">
        <f>IF(MO.ValuationToggle="EoP",INDEX(MO_VA_StockPrice_TradingCurrency,1,COLUMN())/INDEX(MO_VA_FX_EoP,1,COLUMN()),INDEX(MO_VA_StockPrice_TradingCurrency,1,COLUMN())/INDEX(MO_VA_FX_Average,1,COLUMN()))</f>
        <v/>
      </c>
      <c r="AG981" s="1889">
        <f>IF(MO.ValuationToggle="EoP",INDEX(MO_VA_StockPrice_TradingCurrency,1,COLUMN())/INDEX(MO_VA_FX_EoP,1,COLUMN()),INDEX(MO_VA_StockPrice_TradingCurrency,1,COLUMN())/INDEX(MO_VA_FX_Average,1,COLUMN()))</f>
        <v/>
      </c>
      <c r="AH981" s="1889">
        <f>IF(MO.ValuationToggle="EoP",INDEX(MO_VA_StockPrice_TradingCurrency,1,COLUMN())/INDEX(MO_VA_FX_EoP,1,COLUMN()),INDEX(MO_VA_StockPrice_TradingCurrency,1,COLUMN())/INDEX(MO_VA_FX_Average,1,COLUMN()))</f>
        <v/>
      </c>
      <c r="AI981" s="1889">
        <f>IF(MO.ValuationToggle="EoP",INDEX(MO_VA_StockPrice_TradingCurrency,1,COLUMN())/INDEX(MO_VA_FX_EoP,1,COLUMN()),INDEX(MO_VA_StockPrice_TradingCurrency,1,COLUMN())/INDEX(MO_VA_FX_Average,1,COLUMN()))</f>
        <v/>
      </c>
      <c r="AJ981" s="1859">
        <f>IF(MO.ValuationToggle="EoP",INDEX(MO_VA_StockPrice_TradingCurrency,1,COLUMN())/INDEX(MO_VA_FX_EoP,1,COLUMN()),INDEX(MO_VA_StockPrice_TradingCurrency,1,COLUMN())/INDEX(MO_VA_FX_Average,1,COLUMN()))</f>
        <v/>
      </c>
      <c r="AK981" s="1889">
        <f>IF(MO.ValuationToggle="EoP",INDEX(MO_VA_StockPrice_TradingCurrency,1,COLUMN())/INDEX(MO_VA_FX_EoP,1,COLUMN()),INDEX(MO_VA_StockPrice_TradingCurrency,1,COLUMN())/INDEX(MO_VA_FX_Average,1,COLUMN()))</f>
        <v/>
      </c>
      <c r="AL981" s="1889">
        <f>IF(MO.ValuationToggle="EoP",INDEX(MO_VA_StockPrice_TradingCurrency,1,COLUMN())/INDEX(MO_VA_FX_EoP,1,COLUMN()),INDEX(MO_VA_StockPrice_TradingCurrency,1,COLUMN())/INDEX(MO_VA_FX_Average,1,COLUMN()))</f>
        <v/>
      </c>
      <c r="AM981" s="1889">
        <f>IF(MO.ValuationToggle="EoP",INDEX(MO_VA_StockPrice_TradingCurrency,1,COLUMN())/INDEX(MO_VA_FX_EoP,1,COLUMN()),INDEX(MO_VA_StockPrice_TradingCurrency,1,COLUMN())/INDEX(MO_VA_FX_Average,1,COLUMN()))</f>
        <v/>
      </c>
      <c r="AN981" s="1889">
        <f>IF(MO.ValuationToggle="EoP",INDEX(MO_VA_StockPrice_TradingCurrency,1,COLUMN())/INDEX(MO_VA_FX_EoP,1,COLUMN()),INDEX(MO_VA_StockPrice_TradingCurrency,1,COLUMN())/INDEX(MO_VA_FX_Average,1,COLUMN()))</f>
        <v/>
      </c>
      <c r="AO981" s="1859">
        <f>IF(MO.ValuationToggle="EoP",INDEX(MO_VA_StockPrice_TradingCurrency,1,COLUMN())/INDEX(MO_VA_FX_EoP,1,COLUMN()),INDEX(MO_VA_StockPrice_TradingCurrency,1,COLUMN())/INDEX(MO_VA_FX_Average,1,COLUMN()))</f>
        <v/>
      </c>
      <c r="AP981" s="1889">
        <f>IF(MO.ValuationToggle="EoP",INDEX(MO_VA_StockPrice_TradingCurrency,1,COLUMN())/INDEX(MO_VA_FX_EoP,1,COLUMN()),INDEX(MO_VA_StockPrice_TradingCurrency,1,COLUMN())/INDEX(MO_VA_FX_Average,1,COLUMN()))</f>
        <v/>
      </c>
      <c r="AQ981" s="1889">
        <f>IF(MO.ValuationToggle="EoP",INDEX(MO_VA_StockPrice_TradingCurrency,1,COLUMN())/INDEX(MO_VA_FX_EoP,1,COLUMN()),INDEX(MO_VA_StockPrice_TradingCurrency,1,COLUMN())/INDEX(MO_VA_FX_Average,1,COLUMN()))</f>
        <v/>
      </c>
      <c r="AR981" s="1889">
        <f>IF(MO.ValuationToggle="EoP",INDEX(MO_VA_StockPrice_TradingCurrency,1,COLUMN())/INDEX(MO_VA_FX_EoP,1,COLUMN()),INDEX(MO_VA_StockPrice_TradingCurrency,1,COLUMN())/INDEX(MO_VA_FX_Average,1,COLUMN()))</f>
        <v/>
      </c>
      <c r="AS981" s="1889">
        <f>IF(MO.ValuationToggle="EoP",INDEX(MO_VA_StockPrice_TradingCurrency,1,COLUMN())/INDEX(MO_VA_FX_EoP,1,COLUMN()),INDEX(MO_VA_StockPrice_TradingCurrency,1,COLUMN())/INDEX(MO_VA_FX_Average,1,COLUMN()))</f>
        <v/>
      </c>
      <c r="AT981" s="1859">
        <f>IF(MO.ValuationToggle="EoP",INDEX(MO_VA_StockPrice_TradingCurrency,1,COLUMN())/INDEX(MO_VA_FX_EoP,1,COLUMN()),INDEX(MO_VA_StockPrice_TradingCurrency,1,COLUMN())/INDEX(MO_VA_FX_Average,1,COLUMN()))</f>
        <v/>
      </c>
      <c r="AU981" s="1889">
        <f>IF(MO.ValuationToggle="EoP",INDEX(MO_VA_StockPrice_TradingCurrency,1,COLUMN())/INDEX(MO_VA_FX_EoP,1,COLUMN()),INDEX(MO_VA_StockPrice_TradingCurrency,1,COLUMN())/INDEX(MO_VA_FX_Average,1,COLUMN()))</f>
        <v/>
      </c>
      <c r="AV981" s="1889">
        <f>IF(MO.ValuationToggle="EoP",INDEX(MO_VA_StockPrice_TradingCurrency,1,COLUMN())/INDEX(MO_VA_FX_EoP,1,COLUMN()),INDEX(MO_VA_StockPrice_TradingCurrency,1,COLUMN())/INDEX(MO_VA_FX_Average,1,COLUMN()))</f>
        <v/>
      </c>
      <c r="AW981" s="1889">
        <f>IF(MO.ValuationToggle="EoP",INDEX(MO_VA_StockPrice_TradingCurrency,1,COLUMN())/INDEX(MO_VA_FX_EoP,1,COLUMN()),INDEX(MO_VA_StockPrice_TradingCurrency,1,COLUMN())/INDEX(MO_VA_FX_Average,1,COLUMN()))</f>
        <v/>
      </c>
      <c r="AX981" s="1889">
        <f>IF(MO.ValuationToggle="EoP",INDEX(MO_VA_StockPrice_TradingCurrency,1,COLUMN())/INDEX(MO_VA_FX_EoP,1,COLUMN()),INDEX(MO_VA_StockPrice_TradingCurrency,1,COLUMN())/INDEX(MO_VA_FX_Average,1,COLUMN()))</f>
        <v/>
      </c>
      <c r="AY981" s="1859">
        <f>IF(MO.ValuationToggle="EoP",INDEX(MO_VA_StockPrice_TradingCurrency,1,COLUMN())/INDEX(MO_VA_FX_EoP,1,COLUMN()),INDEX(MO_VA_StockPrice_TradingCurrency,1,COLUMN())/INDEX(MO_VA_FX_Average,1,COLUMN()))</f>
        <v/>
      </c>
      <c r="AZ981" s="1889">
        <f>IF(MO.ValuationToggle="EoP",INDEX(MO_VA_StockPrice_TradingCurrency,1,COLUMN())/INDEX(MO_VA_FX_EoP,1,COLUMN()),INDEX(MO_VA_StockPrice_TradingCurrency,1,COLUMN())/INDEX(MO_VA_FX_Average,1,COLUMN()))</f>
        <v/>
      </c>
      <c r="BA981" s="1889">
        <f>IF(MO.ValuationToggle="EoP",INDEX(MO_VA_StockPrice_TradingCurrency,1,COLUMN())/INDEX(MO_VA_FX_EoP,1,COLUMN()),INDEX(MO_VA_StockPrice_TradingCurrency,1,COLUMN())/INDEX(MO_VA_FX_Average,1,COLUMN()))</f>
        <v/>
      </c>
      <c r="BB981" s="1889">
        <f>IF(MO.ValuationToggle="EoP",INDEX(MO_VA_StockPrice_TradingCurrency,1,COLUMN())/INDEX(MO_VA_FX_EoP,1,COLUMN()),INDEX(MO_VA_StockPrice_TradingCurrency,1,COLUMN())/INDEX(MO_VA_FX_Average,1,COLUMN()))</f>
        <v/>
      </c>
      <c r="BC981" s="1889">
        <f>IF(MO.ValuationToggle="EoP",INDEX(MO_VA_StockPrice_TradingCurrency,1,COLUMN())/INDEX(MO_VA_FX_EoP,1,COLUMN()),INDEX(MO_VA_StockPrice_TradingCurrency,1,COLUMN())/INDEX(MO_VA_FX_Average,1,COLUMN()))</f>
        <v/>
      </c>
      <c r="BD981" s="1859">
        <f>IF(MO.ValuationToggle="EoP",INDEX(MO_VA_StockPrice_TradingCurrency,1,COLUMN())/INDEX(MO_VA_FX_EoP,1,COLUMN()),INDEX(MO_VA_StockPrice_TradingCurrency,1,COLUMN())/INDEX(MO_VA_FX_Average,1,COLUMN()))</f>
        <v/>
      </c>
      <c r="BE981" s="1889">
        <f>IF(MO.ValuationToggle="EoP",INDEX(MO_VA_StockPrice_TradingCurrency,1,COLUMN())/INDEX(MO_VA_FX_EoP,1,COLUMN()),INDEX(MO_VA_StockPrice_TradingCurrency,1,COLUMN())/INDEX(MO_VA_FX_Average,1,COLUMN()))</f>
        <v/>
      </c>
      <c r="BF981" s="1889">
        <f>IF(MO.ValuationToggle="EoP",INDEX(MO_VA_StockPrice_TradingCurrency,1,COLUMN())/INDEX(MO_VA_FX_EoP,1,COLUMN()),INDEX(MO_VA_StockPrice_TradingCurrency,1,COLUMN())/INDEX(MO_VA_FX_Average,1,COLUMN()))</f>
        <v/>
      </c>
      <c r="BG981" s="1889">
        <f>IF(MO.ValuationToggle="EoP",INDEX(MO_VA_StockPrice_TradingCurrency,1,COLUMN())/INDEX(MO_VA_FX_EoP,1,COLUMN()),INDEX(MO_VA_StockPrice_TradingCurrency,1,COLUMN())/INDEX(MO_VA_FX_Average,1,COLUMN()))</f>
        <v/>
      </c>
      <c r="BH981" s="1889">
        <f>IF(MO.ValuationToggle="EoP",INDEX(MO_VA_StockPrice_TradingCurrency,1,COLUMN())/INDEX(MO_VA_FX_EoP,1,COLUMN()),INDEX(MO_VA_StockPrice_TradingCurrency,1,COLUMN())/INDEX(MO_VA_FX_Average,1,COLUMN()))</f>
        <v/>
      </c>
      <c r="BI981" s="1859">
        <f>IF(MO.ValuationToggle="EoP",INDEX(MO_VA_StockPrice_TradingCurrency,1,COLUMN())/INDEX(MO_VA_FX_EoP,1,COLUMN()),INDEX(MO_VA_StockPrice_TradingCurrency,1,COLUMN())/INDEX(MO_VA_FX_Average,1,COLUMN()))</f>
        <v/>
      </c>
      <c r="BJ981" s="1889">
        <f>IF(MO.ValuationToggle="EoP",INDEX(MO_VA_StockPrice_TradingCurrency,1,COLUMN())/INDEX(MO_VA_FX_EoP,1,COLUMN()),INDEX(MO_VA_StockPrice_TradingCurrency,1,COLUMN())/INDEX(MO_VA_FX_Average,1,COLUMN()))</f>
        <v/>
      </c>
      <c r="BK981" s="1889">
        <f>IF(MO.ValuationToggle="EoP",INDEX(MO_VA_StockPrice_TradingCurrency,1,COLUMN())/INDEX(MO_VA_FX_EoP,1,COLUMN()),INDEX(MO_VA_StockPrice_TradingCurrency,1,COLUMN())/INDEX(MO_VA_FX_Average,1,COLUMN()))</f>
        <v/>
      </c>
      <c r="BL981" s="1889">
        <f>IF(MO.ValuationToggle="EoP",INDEX(MO_VA_StockPrice_TradingCurrency,1,COLUMN())/INDEX(MO_VA_FX_EoP,1,COLUMN()),INDEX(MO_VA_StockPrice_TradingCurrency,1,COLUMN())/INDEX(MO_VA_FX_Average,1,COLUMN()))</f>
        <v/>
      </c>
      <c r="BM981" s="1889">
        <f>IF(MO.ValuationToggle="EoP",INDEX(MO_VA_StockPrice_TradingCurrency,1,COLUMN())/INDEX(MO_VA_FX_EoP,1,COLUMN()),INDEX(MO_VA_StockPrice_TradingCurrency,1,COLUMN())/INDEX(MO_VA_FX_Average,1,COLUMN()))</f>
        <v/>
      </c>
      <c r="BN981" s="1859">
        <f>IF(MO.ValuationToggle="EoP",INDEX(MO_VA_StockPrice_TradingCurrency,1,COLUMN())/INDEX(MO_VA_FX_EoP,1,COLUMN()),INDEX(MO_VA_StockPrice_TradingCurrency,1,COLUMN())/INDEX(MO_VA_FX_Average,1,COLUMN()))</f>
        <v/>
      </c>
      <c r="BO981" s="1889">
        <f>IF(MO.ValuationToggle="EoP",INDEX(MO_VA_StockPrice_TradingCurrency,1,COLUMN())/INDEX(MO_VA_FX_EoP,1,COLUMN()),INDEX(MO_VA_StockPrice_TradingCurrency,1,COLUMN())/INDEX(MO_VA_FX_Average,1,COLUMN()))</f>
        <v/>
      </c>
      <c r="BP981" s="1889">
        <f>IF(MO.ValuationToggle="EoP",INDEX(MO_VA_StockPrice_TradingCurrency,1,COLUMN())/INDEX(MO_VA_FX_EoP,1,COLUMN()),INDEX(MO_VA_StockPrice_TradingCurrency,1,COLUMN())/INDEX(MO_VA_FX_Average,1,COLUMN()))</f>
        <v/>
      </c>
      <c r="BQ981" s="1890">
        <f>IF(MO.ValuationToggle="EoP",INDEX(MO_VA_StockPrice_TradingCurrency,1,COLUMN())/INDEX(MO_VA_FX_EoP,1,COLUMN()),INDEX(MO_VA_StockPrice_TradingCurrency,1,COLUMN())/INDEX(MO_VA_FX_Average,1,COLUMN()))</f>
        <v/>
      </c>
      <c r="BR981" s="1687">
        <f>IF(MO.ValuationToggle="EoP",INDEX(MO_VA_StockPrice_TradingCurrency,1,COLUMN())/INDEX(MO_VA_FX_EoP,1,COLUMN()),INDEX(MO_VA_StockPrice_TradingCurrency,1,COLUMN())/INDEX(MO_VA_FX_Average,1,COLUMN()))</f>
        <v/>
      </c>
      <c r="BS981" s="1859">
        <f>IF(MO.ValuationToggle="EoP",INDEX(MO_VA_StockPrice_TradingCurrency,1,COLUMN())/INDEX(MO_VA_FX_EoP,1,COLUMN()),INDEX(MO_VA_StockPrice_TradingCurrency,1,COLUMN())/INDEX(MO_VA_FX_Average,1,COLUMN()))</f>
        <v/>
      </c>
      <c r="BT981" s="1687">
        <f>IF(MO.ValuationToggle="EoP",INDEX(MO_VA_StockPrice_TradingCurrency,1,COLUMN())/INDEX(MO_VA_FX_EoP,1,COLUMN()),INDEX(MO_VA_StockPrice_TradingCurrency,1,COLUMN())/INDEX(MO_VA_FX_Average,1,COLUMN()))</f>
        <v/>
      </c>
      <c r="BU981" s="1687">
        <f>IF(MO.ValuationToggle="EoP",INDEX(MO_VA_StockPrice_TradingCurrency,1,COLUMN())/INDEX(MO_VA_FX_EoP,1,COLUMN()),INDEX(MO_VA_StockPrice_TradingCurrency,1,COLUMN())/INDEX(MO_VA_FX_Average,1,COLUMN()))</f>
        <v/>
      </c>
      <c r="BV981" s="1687">
        <f>IF(MO.ValuationToggle="EoP",INDEX(MO_VA_StockPrice_TradingCurrency,1,COLUMN())/INDEX(MO_VA_FX_EoP,1,COLUMN()),INDEX(MO_VA_StockPrice_TradingCurrency,1,COLUMN())/INDEX(MO_VA_FX_Average,1,COLUMN()))</f>
        <v/>
      </c>
      <c r="BW981" s="1687">
        <f>IF(MO.ValuationToggle="EoP",INDEX(MO_VA_StockPrice_TradingCurrency,1,COLUMN())/INDEX(MO_VA_FX_EoP,1,COLUMN()),INDEX(MO_VA_StockPrice_TradingCurrency,1,COLUMN())/INDEX(MO_VA_FX_Average,1,COLUMN()))</f>
        <v/>
      </c>
      <c r="BX981" s="1859">
        <f>IF(MO.ValuationToggle="EoP",INDEX(MO_VA_StockPrice_TradingCurrency,1,COLUMN())/INDEX(MO_VA_FX_EoP,1,COLUMN()),INDEX(MO_VA_StockPrice_TradingCurrency,1,COLUMN())/INDEX(MO_VA_FX_Average,1,COLUMN()))</f>
        <v/>
      </c>
      <c r="BY981" s="1859">
        <f>IF(MO.ValuationToggle="EoP",INDEX(MO_VA_StockPrice_TradingCurrency,1,COLUMN())/INDEX(MO_VA_FX_EoP,1,COLUMN()),INDEX(MO_VA_StockPrice_TradingCurrency,1,COLUMN())/INDEX(MO_VA_FX_Average,1,COLUMN()))</f>
        <v/>
      </c>
      <c r="BZ981" s="1859">
        <f>IF(MO.ValuationToggle="EoP",INDEX(MO_VA_StockPrice_TradingCurrency,1,COLUMN())/INDEX(MO_VA_FX_EoP,1,COLUMN()),INDEX(MO_VA_StockPrice_TradingCurrency,1,COLUMN())/INDEX(MO_VA_FX_Average,1,COLUMN()))</f>
        <v/>
      </c>
      <c r="CA981" s="1859">
        <f>IF(MO.ValuationToggle="EoP",INDEX(MO_VA_StockPrice_TradingCurrency,1,COLUMN())/INDEX(MO_VA_FX_EoP,1,COLUMN()),INDEX(MO_VA_StockPrice_TradingCurrency,1,COLUMN())/INDEX(MO_VA_FX_Average,1,COLUMN()))</f>
        <v/>
      </c>
      <c r="CB981" s="1891" t="n"/>
    </row>
    <row r="982" ht="14.4" customFormat="1" customHeight="1" s="1359">
      <c r="A982" s="1364">
        <f>"Market Cap - "&amp;MO.ValuationToggle</f>
        <v/>
      </c>
      <c r="B982" s="1512" t="n"/>
      <c r="C982" s="1378">
        <f>INDEX(MO_VA_StockPrice,0,COLUMN())*(INDEX(MO_PDS_ShareCount_EoP,0,COLUMN())+INDEX(MO_PDS_ShareCount_Diluted_SBC_Treasury,0,COLUMN()))</f>
        <v/>
      </c>
      <c r="D982" s="1378">
        <f>INDEX(MO_VA_StockPrice,0,COLUMN())*(INDEX(MO_PDS_ShareCount_EoP,0,COLUMN())+INDEX(MO_PDS_ShareCount_Diluted_SBC_Treasury,0,COLUMN()))</f>
        <v/>
      </c>
      <c r="E982" s="1378">
        <f>INDEX(MO_VA_StockPrice,0,COLUMN())*(INDEX(MO_PDS_ShareCount_EoP,0,COLUMN())+INDEX(MO_PDS_ShareCount_Diluted_SBC_Treasury,0,COLUMN()))</f>
        <v/>
      </c>
      <c r="F982" s="1378">
        <f>INDEX(MO_VA_StockPrice,0,COLUMN())*(INDEX(MO_PDS_ShareCount_EoP,0,COLUMN())+INDEX(MO_PDS_ShareCount_Diluted_SBC_Treasury,0,COLUMN()))</f>
        <v/>
      </c>
      <c r="G982" s="1364">
        <f>INDEX(MO_VA_StockPrice,0,COLUMN())*(INDEX(MO_PDS_ShareCount_EoP,0,COLUMN())+INDEX(MO_PDS_ShareCount_Diluted_SBC_Treasury,0,COLUMN()))</f>
        <v/>
      </c>
      <c r="H982" s="1364">
        <f>INDEX(MO_VA_StockPrice,0,COLUMN())*(INDEX(MO_PDS_ShareCount_EoP,0,COLUMN())+INDEX(MO_PDS_ShareCount_Diluted_SBC_Treasury,0,COLUMN()))</f>
        <v/>
      </c>
      <c r="I982" s="1364">
        <f>INDEX(MO_VA_StockPrice,0,COLUMN())*(INDEX(MO_PDS_ShareCount_EoP,0,COLUMN())+INDEX(MO_PDS_ShareCount_Diluted_SBC_Treasury,0,COLUMN()))</f>
        <v/>
      </c>
      <c r="J982" s="1364">
        <f>INDEX(MO_VA_StockPrice,0,COLUMN())*(INDEX(MO_PDS_ShareCount_EoP,0,COLUMN())+INDEX(MO_PDS_ShareCount_Diluted_SBC_Treasury,0,COLUMN()))</f>
        <v/>
      </c>
      <c r="K982" s="1378">
        <f>INDEX(MO_VA_StockPrice,0,COLUMN())*(INDEX(MO_PDS_ShareCount_EoP,0,COLUMN())+INDEX(MO_PDS_ShareCount_Diluted_SBC_Treasury,0,COLUMN()))</f>
        <v/>
      </c>
      <c r="L982" s="1364">
        <f>INDEX(MO_VA_StockPrice,0,COLUMN())*(INDEX(MO_PDS_ShareCount_EoP,0,COLUMN())+INDEX(MO_PDS_ShareCount_Diluted_SBC_Treasury,0,COLUMN()))</f>
        <v/>
      </c>
      <c r="M982" s="1364">
        <f>INDEX(MO_VA_StockPrice,0,COLUMN())*(INDEX(MO_PDS_ShareCount_EoP,0,COLUMN())+INDEX(MO_PDS_ShareCount_Diluted_SBC_Treasury,0,COLUMN()))</f>
        <v/>
      </c>
      <c r="N982" s="1364">
        <f>INDEX(MO_VA_StockPrice,0,COLUMN())*(INDEX(MO_PDS_ShareCount_EoP,0,COLUMN())+INDEX(MO_PDS_ShareCount_Diluted_SBC_Treasury,0,COLUMN()))</f>
        <v/>
      </c>
      <c r="O982" s="1364">
        <f>INDEX(MO_VA_StockPrice,0,COLUMN())*(INDEX(MO_PDS_ShareCount_EoP,0,COLUMN())+INDEX(MO_PDS_ShareCount_Diluted_SBC_Treasury,0,COLUMN()))</f>
        <v/>
      </c>
      <c r="P982" s="1378">
        <f>INDEX(MO_VA_StockPrice,0,COLUMN())*(INDEX(MO_PDS_ShareCount_EoP,0,COLUMN())+INDEX(MO_PDS_ShareCount_Diluted_SBC_Treasury,0,COLUMN()))</f>
        <v/>
      </c>
      <c r="Q982" s="1364">
        <f>INDEX(MO_VA_StockPrice,0,COLUMN())*(INDEX(MO_PDS_ShareCount_EoP,0,COLUMN())+INDEX(MO_PDS_ShareCount_Diluted_SBC_Treasury,0,COLUMN()))</f>
        <v/>
      </c>
      <c r="R982" s="1364">
        <f>INDEX(MO_VA_StockPrice,0,COLUMN())*(INDEX(MO_PDS_ShareCount_EoP,0,COLUMN())+INDEX(MO_PDS_ShareCount_Diluted_SBC_Treasury,0,COLUMN()))</f>
        <v/>
      </c>
      <c r="S982" s="1364">
        <f>INDEX(MO_VA_StockPrice,0,COLUMN())*(INDEX(MO_PDS_ShareCount_EoP,0,COLUMN())+INDEX(MO_PDS_ShareCount_Diluted_SBC_Treasury,0,COLUMN()))</f>
        <v/>
      </c>
      <c r="T982" s="1364">
        <f>INDEX(MO_VA_StockPrice,0,COLUMN())*(INDEX(MO_PDS_ShareCount_EoP,0,COLUMN())+INDEX(MO_PDS_ShareCount_Diluted_SBC_Treasury,0,COLUMN()))</f>
        <v/>
      </c>
      <c r="U982" s="1378">
        <f>INDEX(MO_VA_StockPrice,0,COLUMN())*(INDEX(MO_PDS_ShareCount_EoP,0,COLUMN())+INDEX(MO_PDS_ShareCount_Diluted_SBC_Treasury,0,COLUMN()))</f>
        <v/>
      </c>
      <c r="V982" s="1364">
        <f>INDEX(MO_VA_StockPrice,0,COLUMN())*(INDEX(MO_PDS_ShareCount_EoP,0,COLUMN())+INDEX(MO_PDS_ShareCount_Diluted_SBC_Treasury,0,COLUMN()))</f>
        <v/>
      </c>
      <c r="W982" s="1364">
        <f>INDEX(MO_VA_StockPrice,0,COLUMN())*(INDEX(MO_PDS_ShareCount_EoP,0,COLUMN())+INDEX(MO_PDS_ShareCount_Diluted_SBC_Treasury,0,COLUMN()))</f>
        <v/>
      </c>
      <c r="X982" s="1364">
        <f>INDEX(MO_VA_StockPrice,0,COLUMN())*(INDEX(MO_PDS_ShareCount_EoP,0,COLUMN())+INDEX(MO_PDS_ShareCount_Diluted_SBC_Treasury,0,COLUMN()))</f>
        <v/>
      </c>
      <c r="Y982" s="1364">
        <f>INDEX(MO_VA_StockPrice,0,COLUMN())*(INDEX(MO_PDS_ShareCount_EoP,0,COLUMN())+INDEX(MO_PDS_ShareCount_Diluted_SBC_Treasury,0,COLUMN()))</f>
        <v/>
      </c>
      <c r="Z982" s="1379">
        <f>INDEX(MO_VA_StockPrice,0,COLUMN())*(INDEX(MO_PDS_ShareCount_EoP,0,COLUMN())+INDEX(MO_PDS_ShareCount_Diluted_SBC_Treasury,0,COLUMN()))</f>
        <v/>
      </c>
      <c r="AA982" s="1364">
        <f>INDEX(MO_VA_StockPrice,0,COLUMN())*(INDEX(MO_PDS_ShareCount_EoP,0,COLUMN())+INDEX(MO_PDS_ShareCount_Diluted_SBC_Treasury,0,COLUMN()))</f>
        <v/>
      </c>
      <c r="AB982" s="1364">
        <f>INDEX(MO_VA_StockPrice,0,COLUMN())*(INDEX(MO_PDS_ShareCount_EoP,0,COLUMN())+INDEX(MO_PDS_ShareCount_Diluted_SBC_Treasury,0,COLUMN()))</f>
        <v/>
      </c>
      <c r="AC982" s="1364">
        <f>INDEX(MO_VA_StockPrice,0,COLUMN())*(INDEX(MO_PDS_ShareCount_EoP,0,COLUMN())+INDEX(MO_PDS_ShareCount_Diluted_SBC_Treasury,0,COLUMN()))</f>
        <v/>
      </c>
      <c r="AD982" s="1364">
        <f>INDEX(MO_VA_StockPrice,0,COLUMN())*(INDEX(MO_PDS_ShareCount_EoP,0,COLUMN())+INDEX(MO_PDS_ShareCount_Diluted_SBC_Treasury,0,COLUMN()))</f>
        <v/>
      </c>
      <c r="AE982" s="1379">
        <f>INDEX(MO_VA_StockPrice,0,COLUMN())*(INDEX(MO_PDS_ShareCount_EoP,0,COLUMN())+INDEX(MO_PDS_ShareCount_Diluted_SBC_Treasury,0,COLUMN()))</f>
        <v/>
      </c>
      <c r="AF982" s="1364">
        <f>INDEX(MO_VA_StockPrice,0,COLUMN())*(INDEX(MO_PDS_ShareCount_EoP,0,COLUMN())+INDEX(MO_PDS_ShareCount_Diluted_SBC_Treasury,0,COLUMN()))</f>
        <v/>
      </c>
      <c r="AG982" s="1364">
        <f>INDEX(MO_VA_StockPrice,0,COLUMN())*(INDEX(MO_PDS_ShareCount_EoP,0,COLUMN())+INDEX(MO_PDS_ShareCount_Diluted_SBC_Treasury,0,COLUMN()))</f>
        <v/>
      </c>
      <c r="AH982" s="1364">
        <f>INDEX(MO_VA_StockPrice,0,COLUMN())*(INDEX(MO_PDS_ShareCount_EoP,0,COLUMN())+INDEX(MO_PDS_ShareCount_Diluted_SBC_Treasury,0,COLUMN()))</f>
        <v/>
      </c>
      <c r="AI982" s="1364">
        <f>INDEX(MO_VA_StockPrice,0,COLUMN())*(INDEX(MO_PDS_ShareCount_EoP,0,COLUMN())+INDEX(MO_PDS_ShareCount_Diluted_SBC_Treasury,0,COLUMN()))</f>
        <v/>
      </c>
      <c r="AJ982" s="1379">
        <f>INDEX(MO_VA_StockPrice,0,COLUMN())*(INDEX(MO_PDS_ShareCount_EoP,0,COLUMN())+INDEX(MO_PDS_ShareCount_Diluted_SBC_Treasury,0,COLUMN()))</f>
        <v/>
      </c>
      <c r="AK982" s="1364">
        <f>INDEX(MO_VA_StockPrice,0,COLUMN())*(INDEX(MO_PDS_ShareCount_EoP,0,COLUMN())+INDEX(MO_PDS_ShareCount_Diluted_SBC_Treasury,0,COLUMN()))</f>
        <v/>
      </c>
      <c r="AL982" s="1364">
        <f>INDEX(MO_VA_StockPrice,0,COLUMN())*(INDEX(MO_PDS_ShareCount_EoP,0,COLUMN())+INDEX(MO_PDS_ShareCount_Diluted_SBC_Treasury,0,COLUMN()))</f>
        <v/>
      </c>
      <c r="AM982" s="1364">
        <f>INDEX(MO_VA_StockPrice,0,COLUMN())*(INDEX(MO_PDS_ShareCount_EoP,0,COLUMN())+INDEX(MO_PDS_ShareCount_Diluted_SBC_Treasury,0,COLUMN()))</f>
        <v/>
      </c>
      <c r="AN982" s="1364">
        <f>INDEX(MO_VA_StockPrice,0,COLUMN())*(INDEX(MO_PDS_ShareCount_EoP,0,COLUMN())+INDEX(MO_PDS_ShareCount_Diluted_SBC_Treasury,0,COLUMN()))</f>
        <v/>
      </c>
      <c r="AO982" s="1379">
        <f>INDEX(MO_VA_StockPrice,0,COLUMN())*(INDEX(MO_PDS_ShareCount_EoP,0,COLUMN())+INDEX(MO_PDS_ShareCount_Diluted_SBC_Treasury,0,COLUMN()))</f>
        <v/>
      </c>
      <c r="AP982" s="1364">
        <f>INDEX(MO_VA_StockPrice,0,COLUMN())*(INDEX(MO_PDS_ShareCount_EoP,0,COLUMN())+INDEX(MO_PDS_ShareCount_Diluted_SBC_Treasury,0,COLUMN()))</f>
        <v/>
      </c>
      <c r="AQ982" s="1364">
        <f>INDEX(MO_VA_StockPrice,0,COLUMN())*(INDEX(MO_PDS_ShareCount_EoP,0,COLUMN())+INDEX(MO_PDS_ShareCount_Diluted_SBC_Treasury,0,COLUMN()))</f>
        <v/>
      </c>
      <c r="AR982" s="1364">
        <f>INDEX(MO_VA_StockPrice,0,COLUMN())*(INDEX(MO_PDS_ShareCount_EoP,0,COLUMN())+INDEX(MO_PDS_ShareCount_Diluted_SBC_Treasury,0,COLUMN()))</f>
        <v/>
      </c>
      <c r="AS982" s="1364">
        <f>INDEX(MO_VA_StockPrice,0,COLUMN())*(INDEX(MO_PDS_ShareCount_EoP,0,COLUMN())+INDEX(MO_PDS_ShareCount_Diluted_SBC_Treasury,0,COLUMN()))</f>
        <v/>
      </c>
      <c r="AT982" s="1379">
        <f>INDEX(MO_VA_StockPrice,0,COLUMN())*(INDEX(MO_PDS_ShareCount_EoP,0,COLUMN())+INDEX(MO_PDS_ShareCount_Diluted_SBC_Treasury,0,COLUMN()))</f>
        <v/>
      </c>
      <c r="AU982" s="1364">
        <f>INDEX(MO_VA_StockPrice,0,COLUMN())*(INDEX(MO_PDS_ShareCount_EoP,0,COLUMN())+INDEX(MO_PDS_ShareCount_Diluted_SBC_Treasury,0,COLUMN()))</f>
        <v/>
      </c>
      <c r="AV982" s="1364">
        <f>INDEX(MO_VA_StockPrice,0,COLUMN())*(INDEX(MO_PDS_ShareCount_EoP,0,COLUMN())+INDEX(MO_PDS_ShareCount_Diluted_SBC_Treasury,0,COLUMN()))</f>
        <v/>
      </c>
      <c r="AW982" s="1364">
        <f>INDEX(MO_VA_StockPrice,0,COLUMN())*(INDEX(MO_PDS_ShareCount_EoP,0,COLUMN())+INDEX(MO_PDS_ShareCount_Diluted_SBC_Treasury,0,COLUMN()))</f>
        <v/>
      </c>
      <c r="AX982" s="1364">
        <f>INDEX(MO_VA_StockPrice,0,COLUMN())*(INDEX(MO_PDS_ShareCount_EoP,0,COLUMN())+INDEX(MO_PDS_ShareCount_Diluted_SBC_Treasury,0,COLUMN()))</f>
        <v/>
      </c>
      <c r="AY982" s="1379">
        <f>INDEX(MO_VA_StockPrice,0,COLUMN())*(INDEX(MO_PDS_ShareCount_EoP,0,COLUMN())+INDEX(MO_PDS_ShareCount_Diluted_SBC_Treasury,0,COLUMN()))</f>
        <v/>
      </c>
      <c r="AZ982" s="1364">
        <f>INDEX(MO_VA_StockPrice,0,COLUMN())*(INDEX(MO_PDS_ShareCount_EoP,0,COLUMN())+INDEX(MO_PDS_ShareCount_Diluted_SBC_Treasury,0,COLUMN()))</f>
        <v/>
      </c>
      <c r="BA982" s="1364">
        <f>INDEX(MO_VA_StockPrice,0,COLUMN())*(INDEX(MO_PDS_ShareCount_EoP,0,COLUMN())+INDEX(MO_PDS_ShareCount_Diluted_SBC_Treasury,0,COLUMN()))</f>
        <v/>
      </c>
      <c r="BB982" s="1364">
        <f>INDEX(MO_VA_StockPrice,0,COLUMN())*(INDEX(MO_PDS_ShareCount_EoP,0,COLUMN())+INDEX(MO_PDS_ShareCount_Diluted_SBC_Treasury,0,COLUMN()))</f>
        <v/>
      </c>
      <c r="BC982" s="1364">
        <f>INDEX(MO_VA_StockPrice,0,COLUMN())*(INDEX(MO_PDS_ShareCount_EoP,0,COLUMN())+INDEX(MO_PDS_ShareCount_Diluted_SBC_Treasury,0,COLUMN()))</f>
        <v/>
      </c>
      <c r="BD982" s="1379">
        <f>INDEX(MO_VA_StockPrice,0,COLUMN())*(INDEX(MO_PDS_ShareCount_EoP,0,COLUMN())+INDEX(MO_PDS_ShareCount_Diluted_SBC_Treasury,0,COLUMN()))</f>
        <v/>
      </c>
      <c r="BE982" s="1364">
        <f>INDEX(MO_VA_StockPrice,0,COLUMN())*(INDEX(MO_PDS_ShareCount_EoP,0,COLUMN())+INDEX(MO_PDS_ShareCount_Diluted_SBC_Treasury,0,COLUMN()))</f>
        <v/>
      </c>
      <c r="BF982" s="1364">
        <f>INDEX(MO_VA_StockPrice,0,COLUMN())*(INDEX(MO_PDS_ShareCount_EoP,0,COLUMN())+INDEX(MO_PDS_ShareCount_Diluted_SBC_Treasury,0,COLUMN()))</f>
        <v/>
      </c>
      <c r="BG982" s="1364">
        <f>INDEX(MO_VA_StockPrice,0,COLUMN())*(INDEX(MO_PDS_ShareCount_EoP,0,COLUMN())+INDEX(MO_PDS_ShareCount_Diluted_SBC_Treasury,0,COLUMN()))</f>
        <v/>
      </c>
      <c r="BH982" s="1364">
        <f>INDEX(MO_VA_StockPrice,0,COLUMN())*(INDEX(MO_PDS_ShareCount_EoP,0,COLUMN())+INDEX(MO_PDS_ShareCount_Diluted_SBC_Treasury,0,COLUMN()))</f>
        <v/>
      </c>
      <c r="BI982" s="1379">
        <f>INDEX(MO_VA_StockPrice,0,COLUMN())*(INDEX(MO_PDS_ShareCount_EoP,0,COLUMN())+INDEX(MO_PDS_ShareCount_Diluted_SBC_Treasury,0,COLUMN()))</f>
        <v/>
      </c>
      <c r="BJ982" s="1364">
        <f>INDEX(MO_VA_StockPrice,0,COLUMN())*(INDEX(MO_PDS_ShareCount_EoP,0,COLUMN())+INDEX(MO_PDS_ShareCount_Diluted_SBC_Treasury,0,COLUMN()))</f>
        <v/>
      </c>
      <c r="BK982" s="1364">
        <f>INDEX(MO_VA_StockPrice,0,COLUMN())*(INDEX(MO_PDS_ShareCount_EoP,0,COLUMN())+INDEX(MO_PDS_ShareCount_Diluted_SBC_Treasury,0,COLUMN()))</f>
        <v/>
      </c>
      <c r="BL982" s="1364">
        <f>INDEX(MO_VA_StockPrice,0,COLUMN())*(INDEX(MO_PDS_ShareCount_EoP,0,COLUMN())+INDEX(MO_PDS_ShareCount_Diluted_SBC_Treasury,0,COLUMN()))</f>
        <v/>
      </c>
      <c r="BM982" s="1364">
        <f>INDEX(MO_VA_StockPrice,0,COLUMN())*(INDEX(MO_PDS_ShareCount_EoP,0,COLUMN())+INDEX(MO_PDS_ShareCount_Diluted_SBC_Treasury,0,COLUMN()))</f>
        <v/>
      </c>
      <c r="BN982" s="1379">
        <f>INDEX(MO_VA_StockPrice,0,COLUMN())*(INDEX(MO_PDS_ShareCount_EoP,0,COLUMN())+INDEX(MO_PDS_ShareCount_Diluted_SBC_Treasury,0,COLUMN()))</f>
        <v/>
      </c>
      <c r="BO982" s="1364">
        <f>INDEX(MO_VA_StockPrice,0,COLUMN())*(INDEX(MO_PDS_ShareCount_EoP,0,COLUMN())+INDEX(MO_PDS_ShareCount_Diluted_SBC_Treasury,0,COLUMN()))</f>
        <v/>
      </c>
      <c r="BP982" s="1364">
        <f>INDEX(MO_VA_StockPrice,0,COLUMN())*(INDEX(MO_PDS_ShareCount_EoP,0,COLUMN())+INDEX(MO_PDS_ShareCount_Diluted_SBC_Treasury,0,COLUMN()))</f>
        <v/>
      </c>
      <c r="BQ982" s="1395">
        <f>INDEX(MO_VA_StockPrice,0,COLUMN())*(INDEX(MO_PDS_ShareCount_EoP,0,COLUMN())+INDEX(MO_PDS_ShareCount_Diluted_SBC_Treasury,0,COLUMN()))</f>
        <v/>
      </c>
      <c r="BR982" s="1361">
        <f>INDEX(MO_VA_StockPrice,0,COLUMN())*(INDEX(MO_PDS_ShareCount_EoP,0,COLUMN())+INDEX(MO_PDS_ShareCount_Diluted_SBC_Treasury,0,COLUMN()))</f>
        <v/>
      </c>
      <c r="BS982" s="1379">
        <f>INDEX(MO_VA_StockPrice,0,COLUMN())*(INDEX(MO_PDS_ShareCount_EoP,0,COLUMN())+INDEX(MO_PDS_ShareCount_Diluted_SBC_Treasury,0,COLUMN()))</f>
        <v/>
      </c>
      <c r="BT982" s="1361">
        <f>INDEX(MO_VA_StockPrice,0,COLUMN())*(INDEX(MO_PDS_ShareCount_EoP,0,COLUMN())+INDEX(MO_PDS_ShareCount_Diluted_SBC_Treasury,0,COLUMN()))</f>
        <v/>
      </c>
      <c r="BU982" s="1361">
        <f>INDEX(MO_VA_StockPrice,0,COLUMN())*(INDEX(MO_PDS_ShareCount_EoP,0,COLUMN())+INDEX(MO_PDS_ShareCount_Diluted_SBC_Treasury,0,COLUMN()))</f>
        <v/>
      </c>
      <c r="BV982" s="1361">
        <f>INDEX(MO_VA_StockPrice,0,COLUMN())*(INDEX(MO_PDS_ShareCount_EoP,0,COLUMN())+INDEX(MO_PDS_ShareCount_Diluted_SBC_Treasury,0,COLUMN()))</f>
        <v/>
      </c>
      <c r="BW982" s="1361">
        <f>INDEX(MO_VA_StockPrice,0,COLUMN())*(INDEX(MO_PDS_ShareCount_EoP,0,COLUMN())+INDEX(MO_PDS_ShareCount_Diluted_SBC_Treasury,0,COLUMN()))</f>
        <v/>
      </c>
      <c r="BX982" s="1379">
        <f>INDEX(MO_VA_StockPrice,0,COLUMN())*(INDEX(MO_PDS_ShareCount_EoP,0,COLUMN())+INDEX(MO_PDS_ShareCount_Diluted_SBC_Treasury,0,COLUMN()))</f>
        <v/>
      </c>
      <c r="BY982" s="1379">
        <f>INDEX(MO_VA_StockPrice,0,COLUMN())*(INDEX(MO_PDS_ShareCount_EoP,0,COLUMN())+INDEX(MO_PDS_ShareCount_Diluted_SBC_Treasury,0,COLUMN()))</f>
        <v/>
      </c>
      <c r="BZ982" s="1379">
        <f>INDEX(MO_VA_StockPrice,0,COLUMN())*(INDEX(MO_PDS_ShareCount_EoP,0,COLUMN())+INDEX(MO_PDS_ShareCount_Diluted_SBC_Treasury,0,COLUMN()))</f>
        <v/>
      </c>
      <c r="CA982" s="1379">
        <f>INDEX(MO_VA_StockPrice,0,COLUMN())*(INDEX(MO_PDS_ShareCount_EoP,0,COLUMN())+INDEX(MO_PDS_ShareCount_Diluted_SBC_Treasury,0,COLUMN()))</f>
        <v/>
      </c>
      <c r="CB982" s="1364" t="n"/>
    </row>
    <row r="983" ht="14.4" customFormat="1" customHeight="1" s="1359">
      <c r="A983" s="1364">
        <f>"Enterprise Value - "&amp;MO.ValuationToggle</f>
        <v/>
      </c>
      <c r="B983" s="1512" t="n"/>
      <c r="C983" s="1378">
        <f>C967+C982+C1000+C1001+C1002</f>
        <v/>
      </c>
      <c r="D983" s="1378">
        <f>D967+D982+D1000+D1001+D1002</f>
        <v/>
      </c>
      <c r="E983" s="1378">
        <f>E967+E982+E1000+E1001+E1002</f>
        <v/>
      </c>
      <c r="F983" s="1378">
        <f>F967+F982+F1000+F1001+F1002</f>
        <v/>
      </c>
      <c r="G983" s="1364">
        <f>G967+G982+G1000+G1001+G1002</f>
        <v/>
      </c>
      <c r="H983" s="1364">
        <f>H967+H982+H1000+H1001+H1002</f>
        <v/>
      </c>
      <c r="I983" s="1364">
        <f>I967+I982+I1000+I1001+I1002</f>
        <v/>
      </c>
      <c r="J983" s="1364">
        <f>J967+J982+J1000+J1001+J1002</f>
        <v/>
      </c>
      <c r="K983" s="1378">
        <f>K967+K982+K1000+K1001+K1002</f>
        <v/>
      </c>
      <c r="L983" s="1364">
        <f>L967+L982+L1000+L1001+L1002</f>
        <v/>
      </c>
      <c r="M983" s="1364">
        <f>M967+M982+M1000+M1001+M1002</f>
        <v/>
      </c>
      <c r="N983" s="1364">
        <f>N967+N982+N1000+N1001+N1002</f>
        <v/>
      </c>
      <c r="O983" s="1364">
        <f>O967+O982+O1000+O1001+O1002</f>
        <v/>
      </c>
      <c r="P983" s="1378">
        <f>P967+P982+P1000+P1001+P1002</f>
        <v/>
      </c>
      <c r="Q983" s="1364">
        <f>Q967+Q982+Q1000+Q1001+Q1002</f>
        <v/>
      </c>
      <c r="R983" s="1364">
        <f>R967+R982+R1000+R1001+R1002</f>
        <v/>
      </c>
      <c r="S983" s="1364">
        <f>S967+S982+S1000+S1001+S1002</f>
        <v/>
      </c>
      <c r="T983" s="1364">
        <f>T967+T982+T1000+T1001+T1002</f>
        <v/>
      </c>
      <c r="U983" s="1378">
        <f>U967+U982+U1000+U1001+U1002</f>
        <v/>
      </c>
      <c r="V983" s="1364">
        <f>V967+V982+V1000+V1001+V1002</f>
        <v/>
      </c>
      <c r="W983" s="1364">
        <f>W967+W982+W1000+W1001+W1002</f>
        <v/>
      </c>
      <c r="X983" s="1364">
        <f>X967+X982+X1000+X1001+X1002</f>
        <v/>
      </c>
      <c r="Y983" s="1364">
        <f>Y967+Y982+Y1000+Y1001+Y1002</f>
        <v/>
      </c>
      <c r="Z983" s="1379">
        <f>Z967+Z982+Z1000+Z1001+Z1002</f>
        <v/>
      </c>
      <c r="AA983" s="1364">
        <f>AA967+AA982+AA1000+AA1001+AA1002</f>
        <v/>
      </c>
      <c r="AB983" s="1364">
        <f>AB967+AB982+AB1000+AB1001+AB1002</f>
        <v/>
      </c>
      <c r="AC983" s="1364">
        <f>AC967+AC982+AC1000+AC1001+AC1002</f>
        <v/>
      </c>
      <c r="AD983" s="1364">
        <f>AD967+AD982+AD1000+AD1001+AD1002</f>
        <v/>
      </c>
      <c r="AE983" s="1379">
        <f>AE967+AE982+AE1000+AE1001+AE1002</f>
        <v/>
      </c>
      <c r="AF983" s="1364">
        <f>AF967+AF982+AF1000+AF1001+AF1002</f>
        <v/>
      </c>
      <c r="AG983" s="1364">
        <f>AG967+AG982+AG1000+AG1001+AG1002</f>
        <v/>
      </c>
      <c r="AH983" s="1364">
        <f>AH967+AH982+AH1000+AH1001+AH1002</f>
        <v/>
      </c>
      <c r="AI983" s="1364">
        <f>AI967+AI982+AI1000+AI1001+AI1002</f>
        <v/>
      </c>
      <c r="AJ983" s="1379">
        <f>AJ967+AJ982+AJ1000+AJ1001+AJ1002</f>
        <v/>
      </c>
      <c r="AK983" s="1364">
        <f>AK967+AK982+AK1000+AK1001+AK1002</f>
        <v/>
      </c>
      <c r="AL983" s="1364">
        <f>AL967+AL982+AL1000+AL1001+AL1002</f>
        <v/>
      </c>
      <c r="AM983" s="1364">
        <f>AM967+AM982+AM1000+AM1001+AM1002</f>
        <v/>
      </c>
      <c r="AN983" s="1364">
        <f>AN967+AN982+AN1000+AN1001+AN1002</f>
        <v/>
      </c>
      <c r="AO983" s="1379">
        <f>AO967+AO982+AO1000+AO1001+AO1002</f>
        <v/>
      </c>
      <c r="AP983" s="1364">
        <f>AP967+AP982+AP1000+AP1001+AP1002</f>
        <v/>
      </c>
      <c r="AQ983" s="1364">
        <f>AQ967+AQ982+AQ1000+AQ1001+AQ1002</f>
        <v/>
      </c>
      <c r="AR983" s="1364">
        <f>AR967+AR982+AR1000+AR1001+AR1002</f>
        <v/>
      </c>
      <c r="AS983" s="1364">
        <f>AS967+AS982+AS1000+AS1001+AS1002</f>
        <v/>
      </c>
      <c r="AT983" s="1379">
        <f>AT967+AT982+AT1000+AT1001+AT1002</f>
        <v/>
      </c>
      <c r="AU983" s="1364">
        <f>AU967+AU982+AU1000+AU1001+AU1002</f>
        <v/>
      </c>
      <c r="AV983" s="1364">
        <f>AV967+AV982+AV1000+AV1001+AV1002</f>
        <v/>
      </c>
      <c r="AW983" s="1364">
        <f>AW967+AW982+AW1000+AW1001+AW1002</f>
        <v/>
      </c>
      <c r="AX983" s="1364">
        <f>AX967+AX982+AX1000+AX1001+AX1002</f>
        <v/>
      </c>
      <c r="AY983" s="1379">
        <f>AY967+AY982+AY1000+AY1001+AY1002</f>
        <v/>
      </c>
      <c r="AZ983" s="1364">
        <f>AZ967+AZ982+AZ1000+AZ1001+AZ1002</f>
        <v/>
      </c>
      <c r="BA983" s="1364">
        <f>BA967+BA982+BA1000+BA1001+BA1002</f>
        <v/>
      </c>
      <c r="BB983" s="1364">
        <f>BB967+BB982+BB1000+BB1001+BB1002</f>
        <v/>
      </c>
      <c r="BC983" s="1364">
        <f>BC967+BC982+BC1000+BC1001+BC1002</f>
        <v/>
      </c>
      <c r="BD983" s="1379">
        <f>BD967+BD982+BD1000+BD1001+BD1002</f>
        <v/>
      </c>
      <c r="BE983" s="1364">
        <f>BE967+BE982+BE1000+BE1001+BE1002</f>
        <v/>
      </c>
      <c r="BF983" s="1364">
        <f>BF967+BF982+BF1000+BF1001+BF1002</f>
        <v/>
      </c>
      <c r="BG983" s="1364">
        <f>BG967+BG982+BG1000+BG1001+BG1002</f>
        <v/>
      </c>
      <c r="BH983" s="1364">
        <f>BH967+BH982+BH1000+BH1001+BH1002</f>
        <v/>
      </c>
      <c r="BI983" s="1379">
        <f>BI967+BI982+BI1000+BI1001+BI1002</f>
        <v/>
      </c>
      <c r="BJ983" s="1364">
        <f>BJ967+BJ982+BJ1000+BJ1001+BJ1002</f>
        <v/>
      </c>
      <c r="BK983" s="1364">
        <f>BK967+BK982+BK1000+BK1001+BK1002</f>
        <v/>
      </c>
      <c r="BL983" s="1364">
        <f>BL967+BL982+BL1000+BL1001+BL1002</f>
        <v/>
      </c>
      <c r="BM983" s="1364">
        <f>BM967+BM982+BM1000+BM1001+BM1002</f>
        <v/>
      </c>
      <c r="BN983" s="1379">
        <f>BN967+BN982+BN1000+BN1001+BN1002</f>
        <v/>
      </c>
      <c r="BO983" s="1364">
        <f>BO967+BO982+BO1000+BO1001+BO1002</f>
        <v/>
      </c>
      <c r="BP983" s="1364">
        <f>BP967+BP982+BP1000+BP1001+BP1002</f>
        <v/>
      </c>
      <c r="BQ983" s="1395">
        <f>BQ967+BQ982+BQ1000+BQ1001+BQ1002</f>
        <v/>
      </c>
      <c r="BR983" s="1361">
        <f>BR967+BR982+BR1000+BR1001+BR1002</f>
        <v/>
      </c>
      <c r="BS983" s="1379">
        <f>BS967+BS982+BS1000+BS1001+BS1002</f>
        <v/>
      </c>
      <c r="BT983" s="1361">
        <f>BT967+BT982+BT1000+BT1001+BT1002</f>
        <v/>
      </c>
      <c r="BU983" s="1361">
        <f>BU967+BU982+BU1000+BU1001+BU1002</f>
        <v/>
      </c>
      <c r="BV983" s="1361">
        <f>BV967+BV982+BV1000+BV1001+BV1002</f>
        <v/>
      </c>
      <c r="BW983" s="1361">
        <f>BW967+BW982+BW1000+BW1001+BW1002</f>
        <v/>
      </c>
      <c r="BX983" s="1379">
        <f>BX967+BX982+BX1000+BX1001+BX1002</f>
        <v/>
      </c>
      <c r="BY983" s="1379">
        <f>BY967+BY982+BY1000+BY1001+BY1002</f>
        <v/>
      </c>
      <c r="BZ983" s="1379">
        <f>BZ967+BZ982+BZ1000+BZ1001+BZ1002</f>
        <v/>
      </c>
      <c r="CA983" s="1379">
        <f>CA967+CA982+CA1000+CA1001+CA1002</f>
        <v/>
      </c>
      <c r="CB983" s="1364" t="n"/>
    </row>
    <row r="984" ht="14.4" customFormat="1" customHeight="1" s="1892">
      <c r="A984" s="1893" t="n"/>
      <c r="B984" s="1894" t="n"/>
      <c r="C984" s="1763" t="n"/>
      <c r="D984" s="1763" t="n"/>
      <c r="E984" s="1763" t="n"/>
      <c r="F984" s="1763" t="n"/>
      <c r="G984" s="1764" t="n"/>
      <c r="H984" s="1764" t="n"/>
      <c r="I984" s="1764" t="n"/>
      <c r="J984" s="1764" t="n"/>
      <c r="K984" s="1763" t="n"/>
      <c r="L984" s="1764" t="n"/>
      <c r="M984" s="1764" t="n"/>
      <c r="N984" s="1764" t="n"/>
      <c r="O984" s="1764" t="n"/>
      <c r="P984" s="1763" t="n"/>
      <c r="Q984" s="1764" t="n"/>
      <c r="R984" s="1764" t="n"/>
      <c r="S984" s="1764" t="n"/>
      <c r="T984" s="1764" t="n"/>
      <c r="U984" s="1763" t="n"/>
      <c r="V984" s="1764" t="n"/>
      <c r="W984" s="1895" t="n"/>
      <c r="X984" s="1895" t="n"/>
      <c r="Y984" s="1895" t="n"/>
      <c r="Z984" s="1763" t="n"/>
      <c r="AA984" s="1895" t="n"/>
      <c r="AB984" s="1895" t="n"/>
      <c r="AC984" s="1895" t="n"/>
      <c r="AD984" s="1895" t="n"/>
      <c r="AE984" s="1763" t="n"/>
      <c r="AF984" s="1895" t="n"/>
      <c r="AG984" s="1895" t="n"/>
      <c r="AH984" s="1895" t="n"/>
      <c r="AI984" s="1895" t="n"/>
      <c r="AJ984" s="1763" t="n"/>
      <c r="AK984" s="1895" t="n"/>
      <c r="AL984" s="1895" t="n"/>
      <c r="AM984" s="1895" t="n"/>
      <c r="AN984" s="1895" t="n"/>
      <c r="AO984" s="1763" t="n"/>
      <c r="AP984" s="1895" t="n"/>
      <c r="AQ984" s="1895" t="n"/>
      <c r="AR984" s="1895" t="n"/>
      <c r="AS984" s="1895" t="n"/>
      <c r="AT984" s="1763" t="n"/>
      <c r="AU984" s="1895" t="n"/>
      <c r="AV984" s="1895" t="n"/>
      <c r="AW984" s="1895" t="n"/>
      <c r="AX984" s="1895" t="n"/>
      <c r="AY984" s="1763" t="n"/>
      <c r="AZ984" s="1895" t="n"/>
      <c r="BA984" s="1895" t="n"/>
      <c r="BB984" s="1895" t="n"/>
      <c r="BC984" s="1895" t="n"/>
      <c r="BD984" s="1763" t="n"/>
      <c r="BE984" s="1895" t="n"/>
      <c r="BF984" s="1895" t="n"/>
      <c r="BG984" s="1895" t="n"/>
      <c r="BH984" s="1895" t="n"/>
      <c r="BI984" s="1763" t="n"/>
      <c r="BJ984" s="1895" t="n"/>
      <c r="BK984" s="1895" t="n"/>
      <c r="BL984" s="1895" t="n"/>
      <c r="BM984" s="1895" t="n"/>
      <c r="BN984" s="1763" t="n"/>
      <c r="BO984" s="1895" t="n"/>
      <c r="BP984" s="1895" t="n"/>
      <c r="BQ984" s="1896" t="n"/>
      <c r="BR984" s="1895" t="n"/>
      <c r="BS984" s="1763" t="n"/>
      <c r="BT984" s="1895" t="n"/>
      <c r="BU984" s="1895" t="n"/>
      <c r="BV984" s="1895" t="n"/>
      <c r="BW984" s="1895" t="n"/>
      <c r="BX984" s="1763" t="n"/>
      <c r="BY984" s="1763" t="n"/>
      <c r="BZ984" s="1763" t="n"/>
      <c r="CA984" s="1763" t="n"/>
      <c r="CB984" s="1897" t="n"/>
    </row>
    <row r="985" ht="14.4" customFormat="1" customHeight="1" s="1892">
      <c r="A985" s="1898">
        <f>"P/E - "&amp;MO.ValuationToggle</f>
        <v/>
      </c>
      <c r="B985" s="1894" t="n"/>
      <c r="C985" s="1899">
        <f>C981/C516</f>
        <v/>
      </c>
      <c r="D985" s="1899">
        <f>D981/D516</f>
        <v/>
      </c>
      <c r="E985" s="1899">
        <f>E981/E516</f>
        <v/>
      </c>
      <c r="F985" s="1899">
        <f>F981/F516</f>
        <v/>
      </c>
      <c r="G985" s="1764" t="n"/>
      <c r="H985" s="1764" t="n"/>
      <c r="I985" s="1764" t="n"/>
      <c r="J985" s="1764" t="n"/>
      <c r="K985" s="1899">
        <f>K981/K516</f>
        <v/>
      </c>
      <c r="L985" s="1764" t="n"/>
      <c r="M985" s="1764" t="n"/>
      <c r="N985" s="1764" t="n"/>
      <c r="O985" s="1764" t="n"/>
      <c r="P985" s="1899">
        <f>P981/P516</f>
        <v/>
      </c>
      <c r="Q985" s="1764" t="n"/>
      <c r="R985" s="1764" t="n"/>
      <c r="S985" s="1764" t="n"/>
      <c r="T985" s="1764" t="n"/>
      <c r="U985" s="1899">
        <f>U981/U516</f>
        <v/>
      </c>
      <c r="V985" s="1764" t="n"/>
      <c r="W985" s="1895" t="n"/>
      <c r="X985" s="1895" t="n"/>
      <c r="Y985" s="1895" t="n"/>
      <c r="Z985" s="1899">
        <f>Z981/Z516</f>
        <v/>
      </c>
      <c r="AA985" s="1895" t="n"/>
      <c r="AB985" s="1895" t="n"/>
      <c r="AC985" s="1895" t="n"/>
      <c r="AD985" s="1895" t="n"/>
      <c r="AE985" s="1899">
        <f>AE981/AE516</f>
        <v/>
      </c>
      <c r="AF985" s="1895" t="n"/>
      <c r="AG985" s="1895" t="n"/>
      <c r="AH985" s="1895" t="n"/>
      <c r="AI985" s="1895" t="n"/>
      <c r="AJ985" s="1899">
        <f>AJ981/AJ516</f>
        <v/>
      </c>
      <c r="AK985" s="1895" t="n"/>
      <c r="AL985" s="1895" t="n"/>
      <c r="AM985" s="1895" t="n"/>
      <c r="AN985" s="1895" t="n"/>
      <c r="AO985" s="1899">
        <f>AO981/AO516</f>
        <v/>
      </c>
      <c r="AP985" s="1895" t="n"/>
      <c r="AQ985" s="1895" t="n"/>
      <c r="AR985" s="1895" t="n"/>
      <c r="AS985" s="1895" t="n"/>
      <c r="AT985" s="1899">
        <f>AT981/AT516</f>
        <v/>
      </c>
      <c r="AU985" s="1895" t="n"/>
      <c r="AV985" s="1895" t="n"/>
      <c r="AW985" s="1895" t="n"/>
      <c r="AX985" s="1895" t="n"/>
      <c r="AY985" s="1899">
        <f>AY981/AY516</f>
        <v/>
      </c>
      <c r="AZ985" s="1895" t="n"/>
      <c r="BA985" s="1895" t="n"/>
      <c r="BB985" s="1895" t="n"/>
      <c r="BC985" s="1895" t="n"/>
      <c r="BD985" s="1899">
        <f>BD981/BD516</f>
        <v/>
      </c>
      <c r="BE985" s="1895" t="n"/>
      <c r="BF985" s="1895" t="n"/>
      <c r="BG985" s="1895" t="n"/>
      <c r="BH985" s="1895" t="n"/>
      <c r="BI985" s="1899">
        <f>BI981/BI516</f>
        <v/>
      </c>
      <c r="BJ985" s="1895" t="n"/>
      <c r="BK985" s="1895" t="n"/>
      <c r="BL985" s="1895" t="n"/>
      <c r="BM985" s="1895" t="n"/>
      <c r="BN985" s="1899">
        <f>BN981/BN516</f>
        <v/>
      </c>
      <c r="BO985" s="1895" t="n"/>
      <c r="BP985" s="1895" t="n"/>
      <c r="BQ985" s="1896" t="n"/>
      <c r="BR985" s="1895" t="n"/>
      <c r="BS985" s="1763">
        <f>BS981/BS516</f>
        <v/>
      </c>
      <c r="BT985" s="1895" t="n"/>
      <c r="BU985" s="1895" t="n"/>
      <c r="BV985" s="1895" t="n"/>
      <c r="BW985" s="1895" t="n"/>
      <c r="BX985" s="1763">
        <f>BX981/BX516</f>
        <v/>
      </c>
      <c r="BY985" s="1763">
        <f>BY981/BY516</f>
        <v/>
      </c>
      <c r="BZ985" s="1763">
        <f>BZ981/BZ516</f>
        <v/>
      </c>
      <c r="CA985" s="1763">
        <f>CA981/CA516</f>
        <v/>
      </c>
      <c r="CB985" s="1897" t="n"/>
    </row>
    <row r="986" ht="14.4" customFormat="1" customHeight="1" s="1892">
      <c r="A986" s="1898">
        <f>"EV/EBITDA - "&amp;MO.ValuationToggle</f>
        <v/>
      </c>
      <c r="B986" s="1894" t="n"/>
      <c r="C986" s="1763" t="n"/>
      <c r="D986" s="1899">
        <f>D983/D483</f>
        <v/>
      </c>
      <c r="E986" s="1899">
        <f>E983/E483</f>
        <v/>
      </c>
      <c r="F986" s="1899">
        <f>F983/F483</f>
        <v/>
      </c>
      <c r="G986" s="1764" t="n"/>
      <c r="H986" s="1764" t="n"/>
      <c r="I986" s="1764" t="n"/>
      <c r="J986" s="1764" t="n"/>
      <c r="K986" s="1899">
        <f>K983/K483</f>
        <v/>
      </c>
      <c r="L986" s="1764" t="n"/>
      <c r="M986" s="1764" t="n"/>
      <c r="N986" s="1764" t="n"/>
      <c r="O986" s="1764" t="n"/>
      <c r="P986" s="1899">
        <f>P983/P483</f>
        <v/>
      </c>
      <c r="Q986" s="1764" t="n"/>
      <c r="R986" s="1764" t="n"/>
      <c r="S986" s="1764" t="n"/>
      <c r="T986" s="1764" t="n"/>
      <c r="U986" s="1899">
        <f>U983/U483</f>
        <v/>
      </c>
      <c r="V986" s="1764" t="n"/>
      <c r="W986" s="1895" t="n"/>
      <c r="X986" s="1895" t="n"/>
      <c r="Y986" s="1895" t="n"/>
      <c r="Z986" s="1899">
        <f>Z983/Z483</f>
        <v/>
      </c>
      <c r="AA986" s="1895" t="n"/>
      <c r="AB986" s="1895" t="n"/>
      <c r="AC986" s="1895" t="n"/>
      <c r="AD986" s="1895" t="n"/>
      <c r="AE986" s="1899">
        <f>AE983/AE483</f>
        <v/>
      </c>
      <c r="AF986" s="1895" t="n"/>
      <c r="AG986" s="1895" t="n"/>
      <c r="AH986" s="1895" t="n"/>
      <c r="AI986" s="1895" t="n"/>
      <c r="AJ986" s="1899">
        <f>AJ983/AJ483</f>
        <v/>
      </c>
      <c r="AK986" s="1895" t="n"/>
      <c r="AL986" s="1895" t="n"/>
      <c r="AM986" s="1895" t="n"/>
      <c r="AN986" s="1895" t="n"/>
      <c r="AO986" s="1899">
        <f>AO983/AO483</f>
        <v/>
      </c>
      <c r="AP986" s="1895" t="n"/>
      <c r="AQ986" s="1895" t="n"/>
      <c r="AR986" s="1895" t="n"/>
      <c r="AS986" s="1895" t="n"/>
      <c r="AT986" s="1899">
        <f>AT983/AT483</f>
        <v/>
      </c>
      <c r="AU986" s="1895" t="n"/>
      <c r="AV986" s="1895" t="n"/>
      <c r="AW986" s="1895" t="n"/>
      <c r="AX986" s="1895" t="n"/>
      <c r="AY986" s="1899">
        <f>AY983/AY483</f>
        <v/>
      </c>
      <c r="AZ986" s="1895" t="n"/>
      <c r="BA986" s="1895" t="n"/>
      <c r="BB986" s="1895" t="n"/>
      <c r="BC986" s="1895" t="n"/>
      <c r="BD986" s="1899">
        <f>BD983/BD483</f>
        <v/>
      </c>
      <c r="BE986" s="1895" t="n"/>
      <c r="BF986" s="1895" t="n"/>
      <c r="BG986" s="1895" t="n"/>
      <c r="BH986" s="1895" t="n"/>
      <c r="BI986" s="1899">
        <f>BI983/BI483</f>
        <v/>
      </c>
      <c r="BJ986" s="1895" t="n"/>
      <c r="BK986" s="1895" t="n"/>
      <c r="BL986" s="1895" t="n"/>
      <c r="BM986" s="1895" t="n"/>
      <c r="BN986" s="1899">
        <f>BN983/BN483</f>
        <v/>
      </c>
      <c r="BO986" s="1895" t="n"/>
      <c r="BP986" s="1895" t="n"/>
      <c r="BQ986" s="1896" t="n"/>
      <c r="BR986" s="1895" t="n"/>
      <c r="BS986" s="1763">
        <f>BS983/BS483</f>
        <v/>
      </c>
      <c r="BT986" s="1895" t="n"/>
      <c r="BU986" s="1895" t="n"/>
      <c r="BV986" s="1895" t="n"/>
      <c r="BW986" s="1895" t="n"/>
      <c r="BX986" s="1763">
        <f>BX983/BX483</f>
        <v/>
      </c>
      <c r="BY986" s="1763">
        <f>BY983/BY483</f>
        <v/>
      </c>
      <c r="BZ986" s="1763">
        <f>BZ983/BZ483</f>
        <v/>
      </c>
      <c r="CA986" s="1763">
        <f>CA983/CA483</f>
        <v/>
      </c>
      <c r="CB986" s="1897" t="n"/>
    </row>
    <row r="987" ht="14.4" customFormat="1" customHeight="1" s="1892">
      <c r="A987" s="1898">
        <f>"P/CF - "&amp;MO.ValuationToggle</f>
        <v/>
      </c>
      <c r="B987" s="1894" t="n"/>
      <c r="C987" s="1899">
        <f>C981/C936</f>
        <v/>
      </c>
      <c r="D987" s="1899">
        <f>D981/D936</f>
        <v/>
      </c>
      <c r="E987" s="1899">
        <f>E981/E936</f>
        <v/>
      </c>
      <c r="F987" s="1899">
        <f>F981/F936</f>
        <v/>
      </c>
      <c r="G987" s="1764" t="n"/>
      <c r="H987" s="1764" t="n"/>
      <c r="I987" s="1764" t="n"/>
      <c r="J987" s="1764" t="n"/>
      <c r="K987" s="1899">
        <f>K981/K936</f>
        <v/>
      </c>
      <c r="L987" s="1764" t="n"/>
      <c r="M987" s="1764" t="n"/>
      <c r="N987" s="1764" t="n"/>
      <c r="O987" s="1764" t="n"/>
      <c r="P987" s="1899">
        <f>P981/P936</f>
        <v/>
      </c>
      <c r="Q987" s="1764" t="n"/>
      <c r="R987" s="1764" t="n"/>
      <c r="S987" s="1764" t="n"/>
      <c r="T987" s="1764" t="n"/>
      <c r="U987" s="1899">
        <f>U981/U936</f>
        <v/>
      </c>
      <c r="V987" s="1764" t="n"/>
      <c r="W987" s="1895" t="n"/>
      <c r="X987" s="1895" t="n"/>
      <c r="Y987" s="1895" t="n"/>
      <c r="Z987" s="1763">
        <f>Z981/Z936</f>
        <v/>
      </c>
      <c r="AA987" s="1895" t="n"/>
      <c r="AB987" s="1895" t="n"/>
      <c r="AC987" s="1895" t="n"/>
      <c r="AD987" s="1895" t="n"/>
      <c r="AE987" s="1763">
        <f>AE981/AE936</f>
        <v/>
      </c>
      <c r="AF987" s="1895" t="n"/>
      <c r="AG987" s="1895" t="n"/>
      <c r="AH987" s="1895" t="n"/>
      <c r="AI987" s="1895" t="n"/>
      <c r="AJ987" s="1763">
        <f>AJ981/AJ936</f>
        <v/>
      </c>
      <c r="AK987" s="1895" t="n"/>
      <c r="AL987" s="1895" t="n"/>
      <c r="AM987" s="1895" t="n"/>
      <c r="AN987" s="1895" t="n"/>
      <c r="AO987" s="1763">
        <f>AO981/AO936</f>
        <v/>
      </c>
      <c r="AP987" s="1895" t="n"/>
      <c r="AQ987" s="1895" t="n"/>
      <c r="AR987" s="1895" t="n"/>
      <c r="AS987" s="1895" t="n"/>
      <c r="AT987" s="1763">
        <f>AT981/AT936</f>
        <v/>
      </c>
      <c r="AU987" s="1895" t="n"/>
      <c r="AV987" s="1895" t="n"/>
      <c r="AW987" s="1895" t="n"/>
      <c r="AX987" s="1895" t="n"/>
      <c r="AY987" s="1763">
        <f>AY981/AY936</f>
        <v/>
      </c>
      <c r="AZ987" s="1895" t="n"/>
      <c r="BA987" s="1895" t="n"/>
      <c r="BB987" s="1895" t="n"/>
      <c r="BC987" s="1895" t="n"/>
      <c r="BD987" s="1763">
        <f>BD981/BD936</f>
        <v/>
      </c>
      <c r="BE987" s="1895" t="n"/>
      <c r="BF987" s="1895" t="n"/>
      <c r="BG987" s="1895" t="n"/>
      <c r="BH987" s="1895" t="n"/>
      <c r="BI987" s="1763">
        <f>BI981/BI936</f>
        <v/>
      </c>
      <c r="BJ987" s="1895" t="n"/>
      <c r="BK987" s="1895" t="n"/>
      <c r="BL987" s="1895" t="n"/>
      <c r="BM987" s="1895" t="n"/>
      <c r="BN987" s="1763">
        <f>BN981/BN936</f>
        <v/>
      </c>
      <c r="BO987" s="1895" t="n"/>
      <c r="BP987" s="1895" t="n"/>
      <c r="BQ987" s="1896" t="n"/>
      <c r="BR987" s="1895" t="n"/>
      <c r="BS987" s="1763">
        <f>BS981/BS936</f>
        <v/>
      </c>
      <c r="BT987" s="1895" t="n"/>
      <c r="BU987" s="1895" t="n"/>
      <c r="BV987" s="1895" t="n"/>
      <c r="BW987" s="1895" t="n"/>
      <c r="BX987" s="1763">
        <f>BX981/BX936</f>
        <v/>
      </c>
      <c r="BY987" s="1763">
        <f>BY981/BY936</f>
        <v/>
      </c>
      <c r="BZ987" s="1763">
        <f>BZ981/BZ936</f>
        <v/>
      </c>
      <c r="CA987" s="1763">
        <f>CA981/CA936</f>
        <v/>
      </c>
      <c r="CB987" s="1897" t="n"/>
    </row>
    <row r="988" ht="14.4" customFormat="1" customHeight="1" s="1460">
      <c r="A988" s="1461">
        <f>"FCF Yield % to "&amp;MO.ValuationToggle&amp;" Market Cap"</f>
        <v/>
      </c>
      <c r="B988" s="1900" t="n"/>
      <c r="C988" s="1901">
        <f>C956/C982</f>
        <v/>
      </c>
      <c r="D988" s="1901">
        <f>D956/D982</f>
        <v/>
      </c>
      <c r="E988" s="1901">
        <f>E956/E982</f>
        <v/>
      </c>
      <c r="F988" s="1901">
        <f>F956/F982</f>
        <v/>
      </c>
      <c r="G988" s="1902" t="n"/>
      <c r="H988" s="1902" t="n"/>
      <c r="I988" s="1902" t="n"/>
      <c r="J988" s="1902" t="n"/>
      <c r="K988" s="1901">
        <f>K956/K982</f>
        <v/>
      </c>
      <c r="L988" s="1902" t="n"/>
      <c r="M988" s="1902" t="n"/>
      <c r="N988" s="1902" t="n"/>
      <c r="O988" s="1902" t="n"/>
      <c r="P988" s="1901">
        <f>P956/P982</f>
        <v/>
      </c>
      <c r="Q988" s="1902" t="n"/>
      <c r="R988" s="1902" t="n"/>
      <c r="S988" s="1902" t="n"/>
      <c r="T988" s="1902" t="n"/>
      <c r="U988" s="1901">
        <f>U956/U982</f>
        <v/>
      </c>
      <c r="V988" s="1902" t="n"/>
      <c r="W988" s="1902" t="n"/>
      <c r="X988" s="1902" t="n"/>
      <c r="Y988" s="1902" t="n"/>
      <c r="Z988" s="1903">
        <f>Z956/Z982</f>
        <v/>
      </c>
      <c r="AA988" s="1902" t="n"/>
      <c r="AB988" s="1902" t="n"/>
      <c r="AC988" s="1902" t="n"/>
      <c r="AD988" s="1902" t="n"/>
      <c r="AE988" s="1903">
        <f>AE956/AE982</f>
        <v/>
      </c>
      <c r="AF988" s="1902" t="n"/>
      <c r="AG988" s="1902" t="n"/>
      <c r="AH988" s="1902" t="n"/>
      <c r="AI988" s="1902" t="n"/>
      <c r="AJ988" s="1903">
        <f>AJ956/AJ982</f>
        <v/>
      </c>
      <c r="AK988" s="1902" t="n"/>
      <c r="AL988" s="1902" t="n"/>
      <c r="AM988" s="1902" t="n"/>
      <c r="AN988" s="1902" t="n"/>
      <c r="AO988" s="1903">
        <f>AO956/AO982</f>
        <v/>
      </c>
      <c r="AP988" s="1902" t="n"/>
      <c r="AQ988" s="1902" t="n"/>
      <c r="AR988" s="1902" t="n"/>
      <c r="AS988" s="1902" t="n"/>
      <c r="AT988" s="1903">
        <f>AT956/AT982</f>
        <v/>
      </c>
      <c r="AU988" s="1902" t="n"/>
      <c r="AV988" s="1902" t="n"/>
      <c r="AW988" s="1902" t="n"/>
      <c r="AX988" s="1902" t="n"/>
      <c r="AY988" s="1903">
        <f>AY956/AY982</f>
        <v/>
      </c>
      <c r="AZ988" s="1902" t="n"/>
      <c r="BA988" s="1902" t="n"/>
      <c r="BB988" s="1902" t="n"/>
      <c r="BC988" s="1902" t="n"/>
      <c r="BD988" s="1903">
        <f>BD956/BD982</f>
        <v/>
      </c>
      <c r="BE988" s="1902" t="n"/>
      <c r="BF988" s="1902" t="n"/>
      <c r="BG988" s="1902" t="n"/>
      <c r="BH988" s="1902" t="n"/>
      <c r="BI988" s="1903">
        <f>BI956/BI982</f>
        <v/>
      </c>
      <c r="BJ988" s="1902" t="n"/>
      <c r="BK988" s="1902" t="n"/>
      <c r="BL988" s="1902" t="n"/>
      <c r="BM988" s="1902" t="n"/>
      <c r="BN988" s="1903">
        <f>BN956/BN982</f>
        <v/>
      </c>
      <c r="BO988" s="1902" t="n"/>
      <c r="BP988" s="1902" t="n"/>
      <c r="BQ988" s="1904" t="n"/>
      <c r="BR988" s="1902" t="n"/>
      <c r="BS988" s="1903">
        <f>BS956/BS982</f>
        <v/>
      </c>
      <c r="BT988" s="1902" t="n"/>
      <c r="BU988" s="1902" t="n"/>
      <c r="BV988" s="1902" t="n"/>
      <c r="BW988" s="1902" t="n"/>
      <c r="BX988" s="1903">
        <f>BX956/BX982</f>
        <v/>
      </c>
      <c r="BY988" s="1903">
        <f>BY956/BY982</f>
        <v/>
      </c>
      <c r="BZ988" s="1903">
        <f>BZ956/BZ982</f>
        <v/>
      </c>
      <c r="CA988" s="1903">
        <f>CA956/CA982</f>
        <v/>
      </c>
      <c r="CB988" s="1465" t="n"/>
    </row>
    <row r="989" ht="14.4" customFormat="1" customHeight="1" s="1460">
      <c r="A989" s="1461">
        <f>"FCF Yield % to "&amp;MO.ValuationToggle&amp;" Enterprise Value"</f>
        <v/>
      </c>
      <c r="B989" s="1900" t="n"/>
      <c r="C989" s="1901">
        <f>C956/C983</f>
        <v/>
      </c>
      <c r="D989" s="1901">
        <f>D956/D983</f>
        <v/>
      </c>
      <c r="E989" s="1901">
        <f>E956/E983</f>
        <v/>
      </c>
      <c r="F989" s="1901">
        <f>F956/F983</f>
        <v/>
      </c>
      <c r="G989" s="1902" t="n"/>
      <c r="H989" s="1902" t="n"/>
      <c r="I989" s="1902" t="n"/>
      <c r="J989" s="1902" t="n"/>
      <c r="K989" s="1901">
        <f>K956/K983</f>
        <v/>
      </c>
      <c r="L989" s="1902" t="n"/>
      <c r="M989" s="1902" t="n"/>
      <c r="N989" s="1902" t="n"/>
      <c r="O989" s="1902" t="n"/>
      <c r="P989" s="1901">
        <f>P956/P983</f>
        <v/>
      </c>
      <c r="Q989" s="1902" t="n"/>
      <c r="R989" s="1902" t="n"/>
      <c r="S989" s="1902" t="n"/>
      <c r="T989" s="1902" t="n"/>
      <c r="U989" s="1901">
        <f>U956/U983</f>
        <v/>
      </c>
      <c r="V989" s="1902" t="n"/>
      <c r="W989" s="1902" t="n"/>
      <c r="X989" s="1902" t="n"/>
      <c r="Y989" s="1902" t="n"/>
      <c r="Z989" s="1903">
        <f>Z956/Z983</f>
        <v/>
      </c>
      <c r="AA989" s="1902" t="n"/>
      <c r="AB989" s="1902" t="n"/>
      <c r="AC989" s="1902" t="n"/>
      <c r="AD989" s="1902" t="n"/>
      <c r="AE989" s="1903">
        <f>AE956/AE983</f>
        <v/>
      </c>
      <c r="AF989" s="1902" t="n"/>
      <c r="AG989" s="1902" t="n"/>
      <c r="AH989" s="1902" t="n"/>
      <c r="AI989" s="1902" t="n"/>
      <c r="AJ989" s="1903">
        <f>AJ956/AJ983</f>
        <v/>
      </c>
      <c r="AK989" s="1902" t="n"/>
      <c r="AL989" s="1902" t="n"/>
      <c r="AM989" s="1902" t="n"/>
      <c r="AN989" s="1902" t="n"/>
      <c r="AO989" s="1903">
        <f>AO956/AO983</f>
        <v/>
      </c>
      <c r="AP989" s="1902" t="n"/>
      <c r="AQ989" s="1902" t="n"/>
      <c r="AR989" s="1902" t="n"/>
      <c r="AS989" s="1902" t="n"/>
      <c r="AT989" s="1903">
        <f>AT956/AT983</f>
        <v/>
      </c>
      <c r="AU989" s="1902" t="n"/>
      <c r="AV989" s="1902" t="n"/>
      <c r="AW989" s="1902" t="n"/>
      <c r="AX989" s="1902" t="n"/>
      <c r="AY989" s="1903">
        <f>AY956/AY983</f>
        <v/>
      </c>
      <c r="AZ989" s="1902" t="n"/>
      <c r="BA989" s="1902" t="n"/>
      <c r="BB989" s="1902" t="n"/>
      <c r="BC989" s="1902" t="n"/>
      <c r="BD989" s="1903">
        <f>BD956/BD983</f>
        <v/>
      </c>
      <c r="BE989" s="1902" t="n"/>
      <c r="BF989" s="1902" t="n"/>
      <c r="BG989" s="1902" t="n"/>
      <c r="BH989" s="1902" t="n"/>
      <c r="BI989" s="1903">
        <f>BI956/BI983</f>
        <v/>
      </c>
      <c r="BJ989" s="1902" t="n"/>
      <c r="BK989" s="1902" t="n"/>
      <c r="BL989" s="1902" t="n"/>
      <c r="BM989" s="1902" t="n"/>
      <c r="BN989" s="1903">
        <f>BN956/BN983</f>
        <v/>
      </c>
      <c r="BO989" s="1902" t="n"/>
      <c r="BP989" s="1902" t="n"/>
      <c r="BQ989" s="1904" t="n"/>
      <c r="BR989" s="1902" t="n"/>
      <c r="BS989" s="1903">
        <f>BS956/BS983</f>
        <v/>
      </c>
      <c r="BT989" s="1902" t="n"/>
      <c r="BU989" s="1902" t="n"/>
      <c r="BV989" s="1902" t="n"/>
      <c r="BW989" s="1902" t="n"/>
      <c r="BX989" s="1903">
        <f>BX956/BX983</f>
        <v/>
      </c>
      <c r="BY989" s="1903">
        <f>BY956/BY983</f>
        <v/>
      </c>
      <c r="BZ989" s="1903">
        <f>BZ956/BZ983</f>
        <v/>
      </c>
      <c r="CA989" s="1903">
        <f>CA956/CA983</f>
        <v/>
      </c>
      <c r="CB989" s="1465" t="n"/>
    </row>
    <row r="990" hidden="1" outlineLevel="1" ht="14.4" customFormat="1" customHeight="1" s="1460">
      <c r="A990" s="1492" t="n"/>
      <c r="B990" s="1900" t="n"/>
      <c r="C990" s="1903" t="n"/>
      <c r="D990" s="1903" t="n"/>
      <c r="E990" s="1903" t="n"/>
      <c r="F990" s="1903" t="n"/>
      <c r="G990" s="1902" t="n"/>
      <c r="H990" s="1902" t="n"/>
      <c r="I990" s="1902" t="n"/>
      <c r="J990" s="1902" t="n"/>
      <c r="K990" s="1903" t="n"/>
      <c r="L990" s="1902" t="n"/>
      <c r="M990" s="1902" t="n"/>
      <c r="N990" s="1902" t="n"/>
      <c r="O990" s="1902" t="n"/>
      <c r="P990" s="1903" t="n"/>
      <c r="Q990" s="1902" t="n"/>
      <c r="R990" s="1902" t="n"/>
      <c r="S990" s="1902" t="n"/>
      <c r="T990" s="1902" t="n"/>
      <c r="U990" s="1903" t="n"/>
      <c r="V990" s="1902" t="n"/>
      <c r="W990" s="1902" t="n"/>
      <c r="X990" s="1902" t="n"/>
      <c r="Y990" s="1902" t="n"/>
      <c r="Z990" s="1903" t="n"/>
      <c r="AA990" s="1902" t="n"/>
      <c r="AB990" s="1902" t="n"/>
      <c r="AC990" s="1902" t="n"/>
      <c r="AD990" s="1902" t="n"/>
      <c r="AE990" s="1903" t="n"/>
      <c r="AF990" s="1902" t="n"/>
      <c r="AG990" s="1902" t="n"/>
      <c r="AH990" s="1902" t="n"/>
      <c r="AI990" s="1902" t="n"/>
      <c r="AJ990" s="1903" t="n"/>
      <c r="AK990" s="1902" t="n"/>
      <c r="AL990" s="1902" t="n"/>
      <c r="AM990" s="1902" t="n"/>
      <c r="AN990" s="1902" t="n"/>
      <c r="AO990" s="1903" t="n"/>
      <c r="AP990" s="1902" t="n"/>
      <c r="AQ990" s="1902" t="n"/>
      <c r="AR990" s="1902" t="n"/>
      <c r="AS990" s="1902" t="n"/>
      <c r="AT990" s="1903" t="n"/>
      <c r="AU990" s="1902" t="n"/>
      <c r="AV990" s="1902" t="n"/>
      <c r="AW990" s="1902" t="n"/>
      <c r="AX990" s="1902" t="n"/>
      <c r="AY990" s="1903" t="n"/>
      <c r="AZ990" s="1902" t="n"/>
      <c r="BA990" s="1902" t="n"/>
      <c r="BB990" s="1902" t="n"/>
      <c r="BC990" s="1902" t="n"/>
      <c r="BD990" s="1903" t="n"/>
      <c r="BE990" s="1902" t="n"/>
      <c r="BF990" s="1902" t="n"/>
      <c r="BG990" s="1902" t="n"/>
      <c r="BH990" s="1902" t="n"/>
      <c r="BI990" s="1903" t="n"/>
      <c r="BJ990" s="1902" t="n"/>
      <c r="BK990" s="1902" t="n"/>
      <c r="BL990" s="1902" t="n"/>
      <c r="BM990" s="1902" t="n"/>
      <c r="BN990" s="1903" t="n"/>
      <c r="BO990" s="1902" t="n"/>
      <c r="BP990" s="1902" t="n"/>
      <c r="BQ990" s="1904" t="n"/>
      <c r="BR990" s="1902" t="n"/>
      <c r="BS990" s="1903" t="n"/>
      <c r="BT990" s="1902" t="n"/>
      <c r="BU990" s="1902" t="n"/>
      <c r="BV990" s="1902" t="n"/>
      <c r="BW990" s="1902" t="n"/>
      <c r="BX990" s="1903" t="n"/>
      <c r="BY990" s="1903" t="n"/>
      <c r="BZ990" s="1903" t="n"/>
      <c r="CA990" s="1903" t="n"/>
      <c r="CB990" s="1465" t="n"/>
    </row>
    <row r="991" hidden="1" outlineLevel="1" ht="14.4" customFormat="1" customHeight="1" s="1905">
      <c r="A991" s="1906">
        <f>"Stock High, "&amp;HP.TradeCurrency</f>
        <v/>
      </c>
      <c r="B991" s="1907" t="n"/>
      <c r="C991" s="1908">
        <f>IF(INDEX(MO_SNA_IsHistoricalPeriod,1,COLUMN())=FALSE,0,INDEX(MO_SPT_StockHigh,1,COLUMN()))</f>
        <v/>
      </c>
      <c r="D991" s="1908">
        <f>IF(INDEX(MO_SNA_IsHistoricalPeriod,1,COLUMN())=FALSE,0,INDEX(MO_SPT_StockHigh,1,COLUMN()))</f>
        <v/>
      </c>
      <c r="E991" s="1908">
        <f>IF(INDEX(MO_SNA_IsHistoricalPeriod,1,COLUMN())=FALSE,0,INDEX(MO_SPT_StockHigh,1,COLUMN()))</f>
        <v/>
      </c>
      <c r="F991" s="1908">
        <f>IF(INDEX(MO_SNA_IsHistoricalPeriod,1,COLUMN())=FALSE,0,INDEX(MO_SPT_StockHigh,1,COLUMN()))</f>
        <v/>
      </c>
      <c r="G991" s="1909">
        <f>IF(INDEX(MO_SNA_IsHistoricalPeriod,1,COLUMN())=FALSE,0,INDEX(MO_SPT_StockHigh,1,COLUMN()))</f>
        <v/>
      </c>
      <c r="H991" s="1909">
        <f>IF(INDEX(MO_SNA_IsHistoricalPeriod,1,COLUMN())=FALSE,0,INDEX(MO_SPT_StockHigh,1,COLUMN()))</f>
        <v/>
      </c>
      <c r="I991" s="1909">
        <f>IF(INDEX(MO_SNA_IsHistoricalPeriod,1,COLUMN())=FALSE,0,INDEX(MO_SPT_StockHigh,1,COLUMN()))</f>
        <v/>
      </c>
      <c r="J991" s="1909">
        <f>IF(INDEX(MO_SNA_IsHistoricalPeriod,1,COLUMN())=FALSE,0,INDEX(MO_SPT_StockHigh,1,COLUMN()))</f>
        <v/>
      </c>
      <c r="K991" s="1908">
        <f>IF(INDEX(MO_SNA_IsHistoricalPeriod,1,COLUMN())=FALSE,0,INDEX(MO_SPT_StockHigh,1,COLUMN()))</f>
        <v/>
      </c>
      <c r="L991" s="1909">
        <f>IF(INDEX(MO_SNA_IsHistoricalPeriod,1,COLUMN())=FALSE,0,INDEX(MO_SPT_StockHigh,1,COLUMN()))</f>
        <v/>
      </c>
      <c r="M991" s="1909">
        <f>IF(INDEX(MO_SNA_IsHistoricalPeriod,1,COLUMN())=FALSE,0,INDEX(MO_SPT_StockHigh,1,COLUMN()))</f>
        <v/>
      </c>
      <c r="N991" s="1909">
        <f>IF(INDEX(MO_SNA_IsHistoricalPeriod,1,COLUMN())=FALSE,0,INDEX(MO_SPT_StockHigh,1,COLUMN()))</f>
        <v/>
      </c>
      <c r="O991" s="1909">
        <f>IF(INDEX(MO_SNA_IsHistoricalPeriod,1,COLUMN())=FALSE,0,INDEX(MO_SPT_StockHigh,1,COLUMN()))</f>
        <v/>
      </c>
      <c r="P991" s="1908">
        <f>IF(INDEX(MO_SNA_IsHistoricalPeriod,1,COLUMN())=FALSE,0,INDEX(MO_SPT_StockHigh,1,COLUMN()))</f>
        <v/>
      </c>
      <c r="Q991" s="1909">
        <f>IF(INDEX(MO_SNA_IsHistoricalPeriod,1,COLUMN())=FALSE,0,INDEX(MO_SPT_StockHigh,1,COLUMN()))</f>
        <v/>
      </c>
      <c r="R991" s="1909">
        <f>IF(INDEX(MO_SNA_IsHistoricalPeriod,1,COLUMN())=FALSE,0,INDEX(MO_SPT_StockHigh,1,COLUMN()))</f>
        <v/>
      </c>
      <c r="S991" s="1909">
        <f>IF(INDEX(MO_SNA_IsHistoricalPeriod,1,COLUMN())=FALSE,0,INDEX(MO_SPT_StockHigh,1,COLUMN()))</f>
        <v/>
      </c>
      <c r="T991" s="1909">
        <f>IF(INDEX(MO_SNA_IsHistoricalPeriod,1,COLUMN())=FALSE,0,INDEX(MO_SPT_StockHigh,1,COLUMN()))</f>
        <v/>
      </c>
      <c r="U991" s="1908">
        <f>IF(INDEX(MO_SNA_IsHistoricalPeriod,1,COLUMN())=FALSE,0,INDEX(MO_SPT_StockHigh,1,COLUMN()))</f>
        <v/>
      </c>
      <c r="V991" s="1909">
        <f>IF(INDEX(MO_SNA_IsHistoricalPeriod,1,COLUMN())=FALSE,0,INDEX(MO_SPT_StockHigh,1,COLUMN()))</f>
        <v/>
      </c>
      <c r="W991" s="1909">
        <f>IF(INDEX(MO_SNA_IsHistoricalPeriod,1,COLUMN())=FALSE,0,INDEX(MO_SPT_StockHigh,1,COLUMN()))</f>
        <v/>
      </c>
      <c r="X991" s="1909">
        <f>IF(INDEX(MO_SNA_IsHistoricalPeriod,1,COLUMN())=FALSE,0,INDEX(MO_SPT_StockHigh,1,COLUMN()))</f>
        <v/>
      </c>
      <c r="Y991" s="1909">
        <f>IF(INDEX(MO_SNA_IsHistoricalPeriod,1,COLUMN())=FALSE,0,INDEX(MO_SPT_StockHigh,1,COLUMN()))</f>
        <v/>
      </c>
      <c r="Z991" s="1716">
        <f>IF(INDEX(MO_SNA_IsHistoricalPeriod,1,COLUMN())=FALSE,0,INDEX(MO_SPT_StockHigh,1,COLUMN()))</f>
        <v/>
      </c>
      <c r="AA991" s="1909">
        <f>IF(INDEX(MO_SNA_IsHistoricalPeriod,1,COLUMN())=FALSE,0,INDEX(MO_SPT_StockHigh,1,COLUMN()))</f>
        <v/>
      </c>
      <c r="AB991" s="1909">
        <f>IF(INDEX(MO_SNA_IsHistoricalPeriod,1,COLUMN())=FALSE,0,INDEX(MO_SPT_StockHigh,1,COLUMN()))</f>
        <v/>
      </c>
      <c r="AC991" s="1909">
        <f>IF(INDEX(MO_SNA_IsHistoricalPeriod,1,COLUMN())=FALSE,0,INDEX(MO_SPT_StockHigh,1,COLUMN()))</f>
        <v/>
      </c>
      <c r="AD991" s="1909">
        <f>IF(INDEX(MO_SNA_IsHistoricalPeriod,1,COLUMN())=FALSE,0,INDEX(MO_SPT_StockHigh,1,COLUMN()))</f>
        <v/>
      </c>
      <c r="AE991" s="1716">
        <f>IF(INDEX(MO_SNA_IsHistoricalPeriod,1,COLUMN())=FALSE,0,INDEX(MO_SPT_StockHigh,1,COLUMN()))</f>
        <v/>
      </c>
      <c r="AF991" s="1909">
        <f>IF(INDEX(MO_SNA_IsHistoricalPeriod,1,COLUMN())=FALSE,0,INDEX(MO_SPT_StockHigh,1,COLUMN()))</f>
        <v/>
      </c>
      <c r="AG991" s="1909">
        <f>IF(INDEX(MO_SNA_IsHistoricalPeriod,1,COLUMN())=FALSE,0,INDEX(MO_SPT_StockHigh,1,COLUMN()))</f>
        <v/>
      </c>
      <c r="AH991" s="1909">
        <f>IF(INDEX(MO_SNA_IsHistoricalPeriod,1,COLUMN())=FALSE,0,INDEX(MO_SPT_StockHigh,1,COLUMN()))</f>
        <v/>
      </c>
      <c r="AI991" s="1909">
        <f>IF(INDEX(MO_SNA_IsHistoricalPeriod,1,COLUMN())=FALSE,0,INDEX(MO_SPT_StockHigh,1,COLUMN()))</f>
        <v/>
      </c>
      <c r="AJ991" s="1716">
        <f>IF(INDEX(MO_SNA_IsHistoricalPeriod,1,COLUMN())=FALSE,0,INDEX(MO_SPT_StockHigh,1,COLUMN()))</f>
        <v/>
      </c>
      <c r="AK991" s="1909">
        <f>IF(INDEX(MO_SNA_IsHistoricalPeriod,1,COLUMN())=FALSE,0,INDEX(MO_SPT_StockHigh,1,COLUMN()))</f>
        <v/>
      </c>
      <c r="AL991" s="1909">
        <f>IF(INDEX(MO_SNA_IsHistoricalPeriod,1,COLUMN())=FALSE,0,INDEX(MO_SPT_StockHigh,1,COLUMN()))</f>
        <v/>
      </c>
      <c r="AM991" s="1909">
        <f>IF(INDEX(MO_SNA_IsHistoricalPeriod,1,COLUMN())=FALSE,0,INDEX(MO_SPT_StockHigh,1,COLUMN()))</f>
        <v/>
      </c>
      <c r="AN991" s="1909">
        <f>IF(INDEX(MO_SNA_IsHistoricalPeriod,1,COLUMN())=FALSE,0,INDEX(MO_SPT_StockHigh,1,COLUMN()))</f>
        <v/>
      </c>
      <c r="AO991" s="1716">
        <f>IF(INDEX(MO_SNA_IsHistoricalPeriod,1,COLUMN())=FALSE,0,INDEX(MO_SPT_StockHigh,1,COLUMN()))</f>
        <v/>
      </c>
      <c r="AP991" s="1909">
        <f>IF(INDEX(MO_SNA_IsHistoricalPeriod,1,COLUMN())=FALSE,0,INDEX(MO_SPT_StockHigh,1,COLUMN()))</f>
        <v/>
      </c>
      <c r="AQ991" s="1909">
        <f>IF(INDEX(MO_SNA_IsHistoricalPeriod,1,COLUMN())=FALSE,0,INDEX(MO_SPT_StockHigh,1,COLUMN()))</f>
        <v/>
      </c>
      <c r="AR991" s="1909">
        <f>IF(INDEX(MO_SNA_IsHistoricalPeriod,1,COLUMN())=FALSE,0,INDEX(MO_SPT_StockHigh,1,COLUMN()))</f>
        <v/>
      </c>
      <c r="AS991" s="1909">
        <f>IF(INDEX(MO_SNA_IsHistoricalPeriod,1,COLUMN())=FALSE,0,INDEX(MO_SPT_StockHigh,1,COLUMN()))</f>
        <v/>
      </c>
      <c r="AT991" s="1716">
        <f>IF(INDEX(MO_SNA_IsHistoricalPeriod,1,COLUMN())=FALSE,0,INDEX(MO_SPT_StockHigh,1,COLUMN()))</f>
        <v/>
      </c>
      <c r="AU991" s="1909">
        <f>IF(INDEX(MO_SNA_IsHistoricalPeriod,1,COLUMN())=FALSE,0,INDEX(MO_SPT_StockHigh,1,COLUMN()))</f>
        <v/>
      </c>
      <c r="AV991" s="1909">
        <f>IF(INDEX(MO_SNA_IsHistoricalPeriod,1,COLUMN())=FALSE,0,INDEX(MO_SPT_StockHigh,1,COLUMN()))</f>
        <v/>
      </c>
      <c r="AW991" s="1909">
        <f>IF(INDEX(MO_SNA_IsHistoricalPeriod,1,COLUMN())=FALSE,0,INDEX(MO_SPT_StockHigh,1,COLUMN()))</f>
        <v/>
      </c>
      <c r="AX991" s="1909">
        <f>IF(INDEX(MO_SNA_IsHistoricalPeriod,1,COLUMN())=FALSE,0,INDEX(MO_SPT_StockHigh,1,COLUMN()))</f>
        <v/>
      </c>
      <c r="AY991" s="1716">
        <f>IF(INDEX(MO_SNA_IsHistoricalPeriod,1,COLUMN())=FALSE,0,INDEX(MO_SPT_StockHigh,1,COLUMN()))</f>
        <v/>
      </c>
      <c r="AZ991" s="1909">
        <f>IF(INDEX(MO_SNA_IsHistoricalPeriod,1,COLUMN())=FALSE,0,INDEX(MO_SPT_StockHigh,1,COLUMN()))</f>
        <v/>
      </c>
      <c r="BA991" s="1909">
        <f>IF(INDEX(MO_SNA_IsHistoricalPeriod,1,COLUMN())=FALSE,0,INDEX(MO_SPT_StockHigh,1,COLUMN()))</f>
        <v/>
      </c>
      <c r="BB991" s="1909">
        <f>IF(INDEX(MO_SNA_IsHistoricalPeriod,1,COLUMN())=FALSE,0,INDEX(MO_SPT_StockHigh,1,COLUMN()))</f>
        <v/>
      </c>
      <c r="BC991" s="1909">
        <f>IF(INDEX(MO_SNA_IsHistoricalPeriod,1,COLUMN())=FALSE,0,INDEX(MO_SPT_StockHigh,1,COLUMN()))</f>
        <v/>
      </c>
      <c r="BD991" s="1716">
        <f>IF(INDEX(MO_SNA_IsHistoricalPeriod,1,COLUMN())=FALSE,0,INDEX(MO_SPT_StockHigh,1,COLUMN()))</f>
        <v/>
      </c>
      <c r="BE991" s="1909">
        <f>IF(INDEX(MO_SNA_IsHistoricalPeriod,1,COLUMN())=FALSE,0,INDEX(MO_SPT_StockHigh,1,COLUMN()))</f>
        <v/>
      </c>
      <c r="BF991" s="1909">
        <f>IF(INDEX(MO_SNA_IsHistoricalPeriod,1,COLUMN())=FALSE,0,INDEX(MO_SPT_StockHigh,1,COLUMN()))</f>
        <v/>
      </c>
      <c r="BG991" s="1909">
        <f>IF(INDEX(MO_SNA_IsHistoricalPeriod,1,COLUMN())=FALSE,0,INDEX(MO_SPT_StockHigh,1,COLUMN()))</f>
        <v/>
      </c>
      <c r="BH991" s="1909">
        <f>IF(INDEX(MO_SNA_IsHistoricalPeriod,1,COLUMN())=FALSE,0,INDEX(MO_SPT_StockHigh,1,COLUMN()))</f>
        <v/>
      </c>
      <c r="BI991" s="1716">
        <f>IF(INDEX(MO_SNA_IsHistoricalPeriod,1,COLUMN())=FALSE,0,INDEX(MO_SPT_StockHigh,1,COLUMN()))</f>
        <v/>
      </c>
      <c r="BJ991" s="1909">
        <f>IF(INDEX(MO_SNA_IsHistoricalPeriod,1,COLUMN())=FALSE,0,INDEX(MO_SPT_StockHigh,1,COLUMN()))</f>
        <v/>
      </c>
      <c r="BK991" s="1909">
        <f>IF(INDEX(MO_SNA_IsHistoricalPeriod,1,COLUMN())=FALSE,0,INDEX(MO_SPT_StockHigh,1,COLUMN()))</f>
        <v/>
      </c>
      <c r="BL991" s="1909">
        <f>IF(INDEX(MO_SNA_IsHistoricalPeriod,1,COLUMN())=FALSE,0,INDEX(MO_SPT_StockHigh,1,COLUMN()))</f>
        <v/>
      </c>
      <c r="BM991" s="1909">
        <f>IF(INDEX(MO_SNA_IsHistoricalPeriod,1,COLUMN())=FALSE,0,INDEX(MO_SPT_StockHigh,1,COLUMN()))</f>
        <v/>
      </c>
      <c r="BN991" s="1716">
        <f>IF(INDEX(MO_SNA_IsHistoricalPeriod,1,COLUMN())=FALSE,0,INDEX(MO_SPT_StockHigh,1,COLUMN()))</f>
        <v/>
      </c>
      <c r="BO991" s="1909">
        <f>IF(INDEX(MO_SNA_IsHistoricalPeriod,1,COLUMN())=FALSE,0,INDEX(MO_SPT_StockHigh,1,COLUMN()))</f>
        <v/>
      </c>
      <c r="BP991" s="1909">
        <f>IF(INDEX(MO_SNA_IsHistoricalPeriod,1,COLUMN())=FALSE,0,INDEX(MO_SPT_StockHigh,1,COLUMN()))</f>
        <v/>
      </c>
      <c r="BQ991" s="1910">
        <f>IF(INDEX(MO_SNA_IsHistoricalPeriod,1,COLUMN())=FALSE,0,INDEX(MO_SPT_StockHigh,1,COLUMN()))</f>
        <v/>
      </c>
      <c r="BR991" s="1911">
        <f>IF(INDEX(MO_SNA_IsHistoricalPeriod,1,COLUMN())=FALSE,0,INDEX(MO_SPT_StockHigh,1,COLUMN()))</f>
        <v/>
      </c>
      <c r="BS991" s="1716">
        <f>IF(INDEX(MO_SNA_IsHistoricalPeriod,1,COLUMN())=FALSE,0,INDEX(MO_SPT_StockHigh,1,COLUMN()))</f>
        <v/>
      </c>
      <c r="BT991" s="1911">
        <f>IF(INDEX(MO_SNA_IsHistoricalPeriod,1,COLUMN())=FALSE,0,INDEX(MO_SPT_StockHigh,1,COLUMN()))</f>
        <v/>
      </c>
      <c r="BU991" s="1911">
        <f>IF(INDEX(MO_SNA_IsHistoricalPeriod,1,COLUMN())=FALSE,0,INDEX(MO_SPT_StockHigh,1,COLUMN()))</f>
        <v/>
      </c>
      <c r="BV991" s="1911">
        <f>IF(INDEX(MO_SNA_IsHistoricalPeriod,1,COLUMN())=FALSE,0,INDEX(MO_SPT_StockHigh,1,COLUMN()))</f>
        <v/>
      </c>
      <c r="BW991" s="1911">
        <f>IF(INDEX(MO_SNA_IsHistoricalPeriod,1,COLUMN())=FALSE,0,INDEX(MO_SPT_StockHigh,1,COLUMN()))</f>
        <v/>
      </c>
      <c r="BX991" s="1716">
        <f>IF(INDEX(MO_SNA_IsHistoricalPeriod,1,COLUMN())=FALSE,0,INDEX(MO_SPT_StockHigh,1,COLUMN()))</f>
        <v/>
      </c>
      <c r="BY991" s="1716">
        <f>IF(INDEX(MO_SNA_IsHistoricalPeriod,1,COLUMN())=FALSE,0,INDEX(MO_SPT_StockHigh,1,COLUMN()))</f>
        <v/>
      </c>
      <c r="BZ991" s="1716">
        <f>IF(INDEX(MO_SNA_IsHistoricalPeriod,1,COLUMN())=FALSE,0,INDEX(MO_SPT_StockHigh,1,COLUMN()))</f>
        <v/>
      </c>
      <c r="CA991" s="1716">
        <f>IF(INDEX(MO_SNA_IsHistoricalPeriod,1,COLUMN())=FALSE,0,INDEX(MO_SPT_StockHigh,1,COLUMN()))</f>
        <v/>
      </c>
      <c r="CB991" s="1718" t="n"/>
    </row>
    <row r="992" hidden="1" outlineLevel="1" ht="14.4" customFormat="1" customHeight="1" s="1905">
      <c r="A992" s="1906">
        <f>"Stock Low, "&amp;HP.TradeCurrency</f>
        <v/>
      </c>
      <c r="B992" s="1907" t="n"/>
      <c r="C992" s="1908">
        <f>IF(INDEX(MO_SNA_IsHistoricalPeriod,1,COLUMN())=FALSE,0,INDEX(MO_SPT_StockLow,1,COLUMN()))</f>
        <v/>
      </c>
      <c r="D992" s="1908">
        <f>IF(INDEX(MO_SNA_IsHistoricalPeriod,1,COLUMN())=FALSE,0,INDEX(MO_SPT_StockLow,1,COLUMN()))</f>
        <v/>
      </c>
      <c r="E992" s="1908">
        <f>IF(INDEX(MO_SNA_IsHistoricalPeriod,1,COLUMN())=FALSE,0,INDEX(MO_SPT_StockLow,1,COLUMN()))</f>
        <v/>
      </c>
      <c r="F992" s="1908">
        <f>IF(INDEX(MO_SNA_IsHistoricalPeriod,1,COLUMN())=FALSE,0,INDEX(MO_SPT_StockLow,1,COLUMN()))</f>
        <v/>
      </c>
      <c r="G992" s="1909">
        <f>IF(INDEX(MO_SNA_IsHistoricalPeriod,1,COLUMN())=FALSE,0,INDEX(MO_SPT_StockLow,1,COLUMN()))</f>
        <v/>
      </c>
      <c r="H992" s="1909">
        <f>IF(INDEX(MO_SNA_IsHistoricalPeriod,1,COLUMN())=FALSE,0,INDEX(MO_SPT_StockLow,1,COLUMN()))</f>
        <v/>
      </c>
      <c r="I992" s="1909">
        <f>IF(INDEX(MO_SNA_IsHistoricalPeriod,1,COLUMN())=FALSE,0,INDEX(MO_SPT_StockLow,1,COLUMN()))</f>
        <v/>
      </c>
      <c r="J992" s="1909">
        <f>IF(INDEX(MO_SNA_IsHistoricalPeriod,1,COLUMN())=FALSE,0,INDEX(MO_SPT_StockLow,1,COLUMN()))</f>
        <v/>
      </c>
      <c r="K992" s="1908">
        <f>IF(INDEX(MO_SNA_IsHistoricalPeriod,1,COLUMN())=FALSE,0,INDEX(MO_SPT_StockLow,1,COLUMN()))</f>
        <v/>
      </c>
      <c r="L992" s="1909">
        <f>IF(INDEX(MO_SNA_IsHistoricalPeriod,1,COLUMN())=FALSE,0,INDEX(MO_SPT_StockLow,1,COLUMN()))</f>
        <v/>
      </c>
      <c r="M992" s="1909">
        <f>IF(INDEX(MO_SNA_IsHistoricalPeriod,1,COLUMN())=FALSE,0,INDEX(MO_SPT_StockLow,1,COLUMN()))</f>
        <v/>
      </c>
      <c r="N992" s="1909">
        <f>IF(INDEX(MO_SNA_IsHistoricalPeriod,1,COLUMN())=FALSE,0,INDEX(MO_SPT_StockLow,1,COLUMN()))</f>
        <v/>
      </c>
      <c r="O992" s="1909">
        <f>IF(INDEX(MO_SNA_IsHistoricalPeriod,1,COLUMN())=FALSE,0,INDEX(MO_SPT_StockLow,1,COLUMN()))</f>
        <v/>
      </c>
      <c r="P992" s="1908">
        <f>IF(INDEX(MO_SNA_IsHistoricalPeriod,1,COLUMN())=FALSE,0,INDEX(MO_SPT_StockLow,1,COLUMN()))</f>
        <v/>
      </c>
      <c r="Q992" s="1909">
        <f>IF(INDEX(MO_SNA_IsHistoricalPeriod,1,COLUMN())=FALSE,0,INDEX(MO_SPT_StockLow,1,COLUMN()))</f>
        <v/>
      </c>
      <c r="R992" s="1909">
        <f>IF(INDEX(MO_SNA_IsHistoricalPeriod,1,COLUMN())=FALSE,0,INDEX(MO_SPT_StockLow,1,COLUMN()))</f>
        <v/>
      </c>
      <c r="S992" s="1909">
        <f>IF(INDEX(MO_SNA_IsHistoricalPeriod,1,COLUMN())=FALSE,0,INDEX(MO_SPT_StockLow,1,COLUMN()))</f>
        <v/>
      </c>
      <c r="T992" s="1909">
        <f>IF(INDEX(MO_SNA_IsHistoricalPeriod,1,COLUMN())=FALSE,0,INDEX(MO_SPT_StockLow,1,COLUMN()))</f>
        <v/>
      </c>
      <c r="U992" s="1908">
        <f>IF(INDEX(MO_SNA_IsHistoricalPeriod,1,COLUMN())=FALSE,0,INDEX(MO_SPT_StockLow,1,COLUMN()))</f>
        <v/>
      </c>
      <c r="V992" s="1909">
        <f>IF(INDEX(MO_SNA_IsHistoricalPeriod,1,COLUMN())=FALSE,0,INDEX(MO_SPT_StockLow,1,COLUMN()))</f>
        <v/>
      </c>
      <c r="W992" s="1909">
        <f>IF(INDEX(MO_SNA_IsHistoricalPeriod,1,COLUMN())=FALSE,0,INDEX(MO_SPT_StockLow,1,COLUMN()))</f>
        <v/>
      </c>
      <c r="X992" s="1909">
        <f>IF(INDEX(MO_SNA_IsHistoricalPeriod,1,COLUMN())=FALSE,0,INDEX(MO_SPT_StockLow,1,COLUMN()))</f>
        <v/>
      </c>
      <c r="Y992" s="1909">
        <f>IF(INDEX(MO_SNA_IsHistoricalPeriod,1,COLUMN())=FALSE,0,INDEX(MO_SPT_StockLow,1,COLUMN()))</f>
        <v/>
      </c>
      <c r="Z992" s="1716">
        <f>IF(INDEX(MO_SNA_IsHistoricalPeriod,1,COLUMN())=FALSE,0,INDEX(MO_SPT_StockLow,1,COLUMN()))</f>
        <v/>
      </c>
      <c r="AA992" s="1909">
        <f>IF(INDEX(MO_SNA_IsHistoricalPeriod,1,COLUMN())=FALSE,0,INDEX(MO_SPT_StockLow,1,COLUMN()))</f>
        <v/>
      </c>
      <c r="AB992" s="1909">
        <f>IF(INDEX(MO_SNA_IsHistoricalPeriod,1,COLUMN())=FALSE,0,INDEX(MO_SPT_StockLow,1,COLUMN()))</f>
        <v/>
      </c>
      <c r="AC992" s="1909">
        <f>IF(INDEX(MO_SNA_IsHistoricalPeriod,1,COLUMN())=FALSE,0,INDEX(MO_SPT_StockLow,1,COLUMN()))</f>
        <v/>
      </c>
      <c r="AD992" s="1909">
        <f>IF(INDEX(MO_SNA_IsHistoricalPeriod,1,COLUMN())=FALSE,0,INDEX(MO_SPT_StockLow,1,COLUMN()))</f>
        <v/>
      </c>
      <c r="AE992" s="1716">
        <f>IF(INDEX(MO_SNA_IsHistoricalPeriod,1,COLUMN())=FALSE,0,INDEX(MO_SPT_StockLow,1,COLUMN()))</f>
        <v/>
      </c>
      <c r="AF992" s="1909">
        <f>IF(INDEX(MO_SNA_IsHistoricalPeriod,1,COLUMN())=FALSE,0,INDEX(MO_SPT_StockLow,1,COLUMN()))</f>
        <v/>
      </c>
      <c r="AG992" s="1909">
        <f>IF(INDEX(MO_SNA_IsHistoricalPeriod,1,COLUMN())=FALSE,0,INDEX(MO_SPT_StockLow,1,COLUMN()))</f>
        <v/>
      </c>
      <c r="AH992" s="1909">
        <f>IF(INDEX(MO_SNA_IsHistoricalPeriod,1,COLUMN())=FALSE,0,INDEX(MO_SPT_StockLow,1,COLUMN()))</f>
        <v/>
      </c>
      <c r="AI992" s="1909">
        <f>IF(INDEX(MO_SNA_IsHistoricalPeriod,1,COLUMN())=FALSE,0,INDEX(MO_SPT_StockLow,1,COLUMN()))</f>
        <v/>
      </c>
      <c r="AJ992" s="1716">
        <f>IF(INDEX(MO_SNA_IsHistoricalPeriod,1,COLUMN())=FALSE,0,INDEX(MO_SPT_StockLow,1,COLUMN()))</f>
        <v/>
      </c>
      <c r="AK992" s="1909">
        <f>IF(INDEX(MO_SNA_IsHistoricalPeriod,1,COLUMN())=FALSE,0,INDEX(MO_SPT_StockLow,1,COLUMN()))</f>
        <v/>
      </c>
      <c r="AL992" s="1909">
        <f>IF(INDEX(MO_SNA_IsHistoricalPeriod,1,COLUMN())=FALSE,0,INDEX(MO_SPT_StockLow,1,COLUMN()))</f>
        <v/>
      </c>
      <c r="AM992" s="1909">
        <f>IF(INDEX(MO_SNA_IsHistoricalPeriod,1,COLUMN())=FALSE,0,INDEX(MO_SPT_StockLow,1,COLUMN()))</f>
        <v/>
      </c>
      <c r="AN992" s="1909">
        <f>IF(INDEX(MO_SNA_IsHistoricalPeriod,1,COLUMN())=FALSE,0,INDEX(MO_SPT_StockLow,1,COLUMN()))</f>
        <v/>
      </c>
      <c r="AO992" s="1716">
        <f>IF(INDEX(MO_SNA_IsHistoricalPeriod,1,COLUMN())=FALSE,0,INDEX(MO_SPT_StockLow,1,COLUMN()))</f>
        <v/>
      </c>
      <c r="AP992" s="1909">
        <f>IF(INDEX(MO_SNA_IsHistoricalPeriod,1,COLUMN())=FALSE,0,INDEX(MO_SPT_StockLow,1,COLUMN()))</f>
        <v/>
      </c>
      <c r="AQ992" s="1909">
        <f>IF(INDEX(MO_SNA_IsHistoricalPeriod,1,COLUMN())=FALSE,0,INDEX(MO_SPT_StockLow,1,COLUMN()))</f>
        <v/>
      </c>
      <c r="AR992" s="1909">
        <f>IF(INDEX(MO_SNA_IsHistoricalPeriod,1,COLUMN())=FALSE,0,INDEX(MO_SPT_StockLow,1,COLUMN()))</f>
        <v/>
      </c>
      <c r="AS992" s="1909">
        <f>IF(INDEX(MO_SNA_IsHistoricalPeriod,1,COLUMN())=FALSE,0,INDEX(MO_SPT_StockLow,1,COLUMN()))</f>
        <v/>
      </c>
      <c r="AT992" s="1716">
        <f>IF(INDEX(MO_SNA_IsHistoricalPeriod,1,COLUMN())=FALSE,0,INDEX(MO_SPT_StockLow,1,COLUMN()))</f>
        <v/>
      </c>
      <c r="AU992" s="1909">
        <f>IF(INDEX(MO_SNA_IsHistoricalPeriod,1,COLUMN())=FALSE,0,INDEX(MO_SPT_StockLow,1,COLUMN()))</f>
        <v/>
      </c>
      <c r="AV992" s="1909">
        <f>IF(INDEX(MO_SNA_IsHistoricalPeriod,1,COLUMN())=FALSE,0,INDEX(MO_SPT_StockLow,1,COLUMN()))</f>
        <v/>
      </c>
      <c r="AW992" s="1909">
        <f>IF(INDEX(MO_SNA_IsHistoricalPeriod,1,COLUMN())=FALSE,0,INDEX(MO_SPT_StockLow,1,COLUMN()))</f>
        <v/>
      </c>
      <c r="AX992" s="1909">
        <f>IF(INDEX(MO_SNA_IsHistoricalPeriod,1,COLUMN())=FALSE,0,INDEX(MO_SPT_StockLow,1,COLUMN()))</f>
        <v/>
      </c>
      <c r="AY992" s="1716">
        <f>IF(INDEX(MO_SNA_IsHistoricalPeriod,1,COLUMN())=FALSE,0,INDEX(MO_SPT_StockLow,1,COLUMN()))</f>
        <v/>
      </c>
      <c r="AZ992" s="1909">
        <f>IF(INDEX(MO_SNA_IsHistoricalPeriod,1,COLUMN())=FALSE,0,INDEX(MO_SPT_StockLow,1,COLUMN()))</f>
        <v/>
      </c>
      <c r="BA992" s="1909">
        <f>IF(INDEX(MO_SNA_IsHistoricalPeriod,1,COLUMN())=FALSE,0,INDEX(MO_SPT_StockLow,1,COLUMN()))</f>
        <v/>
      </c>
      <c r="BB992" s="1909">
        <f>IF(INDEX(MO_SNA_IsHistoricalPeriod,1,COLUMN())=FALSE,0,INDEX(MO_SPT_StockLow,1,COLUMN()))</f>
        <v/>
      </c>
      <c r="BC992" s="1909">
        <f>IF(INDEX(MO_SNA_IsHistoricalPeriod,1,COLUMN())=FALSE,0,INDEX(MO_SPT_StockLow,1,COLUMN()))</f>
        <v/>
      </c>
      <c r="BD992" s="1716">
        <f>IF(INDEX(MO_SNA_IsHistoricalPeriod,1,COLUMN())=FALSE,0,INDEX(MO_SPT_StockLow,1,COLUMN()))</f>
        <v/>
      </c>
      <c r="BE992" s="1909">
        <f>IF(INDEX(MO_SNA_IsHistoricalPeriod,1,COLUMN())=FALSE,0,INDEX(MO_SPT_StockLow,1,COLUMN()))</f>
        <v/>
      </c>
      <c r="BF992" s="1909">
        <f>IF(INDEX(MO_SNA_IsHistoricalPeriod,1,COLUMN())=FALSE,0,INDEX(MO_SPT_StockLow,1,COLUMN()))</f>
        <v/>
      </c>
      <c r="BG992" s="1909">
        <f>IF(INDEX(MO_SNA_IsHistoricalPeriod,1,COLUMN())=FALSE,0,INDEX(MO_SPT_StockLow,1,COLUMN()))</f>
        <v/>
      </c>
      <c r="BH992" s="1909">
        <f>IF(INDEX(MO_SNA_IsHistoricalPeriod,1,COLUMN())=FALSE,0,INDEX(MO_SPT_StockLow,1,COLUMN()))</f>
        <v/>
      </c>
      <c r="BI992" s="1716">
        <f>IF(INDEX(MO_SNA_IsHistoricalPeriod,1,COLUMN())=FALSE,0,INDEX(MO_SPT_StockLow,1,COLUMN()))</f>
        <v/>
      </c>
      <c r="BJ992" s="1909">
        <f>IF(INDEX(MO_SNA_IsHistoricalPeriod,1,COLUMN())=FALSE,0,INDEX(MO_SPT_StockLow,1,COLUMN()))</f>
        <v/>
      </c>
      <c r="BK992" s="1909">
        <f>IF(INDEX(MO_SNA_IsHistoricalPeriod,1,COLUMN())=FALSE,0,INDEX(MO_SPT_StockLow,1,COLUMN()))</f>
        <v/>
      </c>
      <c r="BL992" s="1909">
        <f>IF(INDEX(MO_SNA_IsHistoricalPeriod,1,COLUMN())=FALSE,0,INDEX(MO_SPT_StockLow,1,COLUMN()))</f>
        <v/>
      </c>
      <c r="BM992" s="1909">
        <f>IF(INDEX(MO_SNA_IsHistoricalPeriod,1,COLUMN())=FALSE,0,INDEX(MO_SPT_StockLow,1,COLUMN()))</f>
        <v/>
      </c>
      <c r="BN992" s="1716">
        <f>IF(INDEX(MO_SNA_IsHistoricalPeriod,1,COLUMN())=FALSE,0,INDEX(MO_SPT_StockLow,1,COLUMN()))</f>
        <v/>
      </c>
      <c r="BO992" s="1909">
        <f>IF(INDEX(MO_SNA_IsHistoricalPeriod,1,COLUMN())=FALSE,0,INDEX(MO_SPT_StockLow,1,COLUMN()))</f>
        <v/>
      </c>
      <c r="BP992" s="1909">
        <f>IF(INDEX(MO_SNA_IsHistoricalPeriod,1,COLUMN())=FALSE,0,INDEX(MO_SPT_StockLow,1,COLUMN()))</f>
        <v/>
      </c>
      <c r="BQ992" s="1910">
        <f>IF(INDEX(MO_SNA_IsHistoricalPeriod,1,COLUMN())=FALSE,0,INDEX(MO_SPT_StockLow,1,COLUMN()))</f>
        <v/>
      </c>
      <c r="BR992" s="1911">
        <f>IF(INDEX(MO_SNA_IsHistoricalPeriod,1,COLUMN())=FALSE,0,INDEX(MO_SPT_StockLow,1,COLUMN()))</f>
        <v/>
      </c>
      <c r="BS992" s="1716">
        <f>IF(INDEX(MO_SNA_IsHistoricalPeriod,1,COLUMN())=FALSE,0,INDEX(MO_SPT_StockLow,1,COLUMN()))</f>
        <v/>
      </c>
      <c r="BT992" s="1911">
        <f>IF(INDEX(MO_SNA_IsHistoricalPeriod,1,COLUMN())=FALSE,0,INDEX(MO_SPT_StockLow,1,COLUMN()))</f>
        <v/>
      </c>
      <c r="BU992" s="1911">
        <f>IF(INDEX(MO_SNA_IsHistoricalPeriod,1,COLUMN())=FALSE,0,INDEX(MO_SPT_StockLow,1,COLUMN()))</f>
        <v/>
      </c>
      <c r="BV992" s="1911">
        <f>IF(INDEX(MO_SNA_IsHistoricalPeriod,1,COLUMN())=FALSE,0,INDEX(MO_SPT_StockLow,1,COLUMN()))</f>
        <v/>
      </c>
      <c r="BW992" s="1911">
        <f>IF(INDEX(MO_SNA_IsHistoricalPeriod,1,COLUMN())=FALSE,0,INDEX(MO_SPT_StockLow,1,COLUMN()))</f>
        <v/>
      </c>
      <c r="BX992" s="1716">
        <f>IF(INDEX(MO_SNA_IsHistoricalPeriod,1,COLUMN())=FALSE,0,INDEX(MO_SPT_StockLow,1,COLUMN()))</f>
        <v/>
      </c>
      <c r="BY992" s="1716">
        <f>IF(INDEX(MO_SNA_IsHistoricalPeriod,1,COLUMN())=FALSE,0,INDEX(MO_SPT_StockLow,1,COLUMN()))</f>
        <v/>
      </c>
      <c r="BZ992" s="1716">
        <f>IF(INDEX(MO_SNA_IsHistoricalPeriod,1,COLUMN())=FALSE,0,INDEX(MO_SPT_StockLow,1,COLUMN()))</f>
        <v/>
      </c>
      <c r="CA992" s="1716">
        <f>IF(INDEX(MO_SNA_IsHistoricalPeriod,1,COLUMN())=FALSE,0,INDEX(MO_SPT_StockLow,1,COLUMN()))</f>
        <v/>
      </c>
      <c r="CB992" s="1718" t="n"/>
    </row>
    <row r="993" hidden="1" outlineLevel="1" ht="14.4" customFormat="1" customHeight="1" s="1905">
      <c r="A993" s="1906">
        <f>"Stock Average, "&amp;HP.TradeCurrency</f>
        <v/>
      </c>
      <c r="B993" s="1907" t="n"/>
      <c r="C993" s="1908">
        <f>IF(INDEX(MO_SNA_IsHistoricalPeriod,1,COLUMN())=FALSE,0,INDEX(MO_SPT_StockAverage,1,COLUMN()))</f>
        <v/>
      </c>
      <c r="D993" s="1908">
        <f>IF(INDEX(MO_SNA_IsHistoricalPeriod,1,COLUMN())=FALSE,0,INDEX(MO_SPT_StockAverage,1,COLUMN()))</f>
        <v/>
      </c>
      <c r="E993" s="1908">
        <f>IF(INDEX(MO_SNA_IsHistoricalPeriod,1,COLUMN())=FALSE,0,INDEX(MO_SPT_StockAverage,1,COLUMN()))</f>
        <v/>
      </c>
      <c r="F993" s="1908">
        <f>IF(INDEX(MO_SNA_IsHistoricalPeriod,1,COLUMN())=FALSE,0,INDEX(MO_SPT_StockAverage,1,COLUMN()))</f>
        <v/>
      </c>
      <c r="G993" s="1909">
        <f>IF(INDEX(MO_SNA_IsHistoricalPeriod,1,COLUMN())=FALSE,0,INDEX(MO_SPT_StockAverage,1,COLUMN()))</f>
        <v/>
      </c>
      <c r="H993" s="1909">
        <f>IF(INDEX(MO_SNA_IsHistoricalPeriod,1,COLUMN())=FALSE,0,INDEX(MO_SPT_StockAverage,1,COLUMN()))</f>
        <v/>
      </c>
      <c r="I993" s="1909">
        <f>IF(INDEX(MO_SNA_IsHistoricalPeriod,1,COLUMN())=FALSE,0,INDEX(MO_SPT_StockAverage,1,COLUMN()))</f>
        <v/>
      </c>
      <c r="J993" s="1909">
        <f>IF(INDEX(MO_SNA_IsHistoricalPeriod,1,COLUMN())=FALSE,0,INDEX(MO_SPT_StockAverage,1,COLUMN()))</f>
        <v/>
      </c>
      <c r="K993" s="1908">
        <f>IF(INDEX(MO_SNA_IsHistoricalPeriod,1,COLUMN())=FALSE,0,INDEX(MO_SPT_StockAverage,1,COLUMN()))</f>
        <v/>
      </c>
      <c r="L993" s="1909">
        <f>IF(INDEX(MO_SNA_IsHistoricalPeriod,1,COLUMN())=FALSE,0,INDEX(MO_SPT_StockAverage,1,COLUMN()))</f>
        <v/>
      </c>
      <c r="M993" s="1909">
        <f>IF(INDEX(MO_SNA_IsHistoricalPeriod,1,COLUMN())=FALSE,0,INDEX(MO_SPT_StockAverage,1,COLUMN()))</f>
        <v/>
      </c>
      <c r="N993" s="1909">
        <f>IF(INDEX(MO_SNA_IsHistoricalPeriod,1,COLUMN())=FALSE,0,INDEX(MO_SPT_StockAverage,1,COLUMN()))</f>
        <v/>
      </c>
      <c r="O993" s="1909">
        <f>IF(INDEX(MO_SNA_IsHistoricalPeriod,1,COLUMN())=FALSE,0,INDEX(MO_SPT_StockAverage,1,COLUMN()))</f>
        <v/>
      </c>
      <c r="P993" s="1908">
        <f>IF(INDEX(MO_SNA_IsHistoricalPeriod,1,COLUMN())=FALSE,0,INDEX(MO_SPT_StockAverage,1,COLUMN()))</f>
        <v/>
      </c>
      <c r="Q993" s="1909">
        <f>IF(INDEX(MO_SNA_IsHistoricalPeriod,1,COLUMN())=FALSE,0,INDEX(MO_SPT_StockAverage,1,COLUMN()))</f>
        <v/>
      </c>
      <c r="R993" s="1909">
        <f>IF(INDEX(MO_SNA_IsHistoricalPeriod,1,COLUMN())=FALSE,0,INDEX(MO_SPT_StockAverage,1,COLUMN()))</f>
        <v/>
      </c>
      <c r="S993" s="1909">
        <f>IF(INDEX(MO_SNA_IsHistoricalPeriod,1,COLUMN())=FALSE,0,INDEX(MO_SPT_StockAverage,1,COLUMN()))</f>
        <v/>
      </c>
      <c r="T993" s="1909">
        <f>IF(INDEX(MO_SNA_IsHistoricalPeriod,1,COLUMN())=FALSE,0,INDEX(MO_SPT_StockAverage,1,COLUMN()))</f>
        <v/>
      </c>
      <c r="U993" s="1908">
        <f>IF(INDEX(MO_SNA_IsHistoricalPeriod,1,COLUMN())=FALSE,0,INDEX(MO_SPT_StockAverage,1,COLUMN()))</f>
        <v/>
      </c>
      <c r="V993" s="1909">
        <f>IF(INDEX(MO_SNA_IsHistoricalPeriod,1,COLUMN())=FALSE,0,INDEX(MO_SPT_StockAverage,1,COLUMN()))</f>
        <v/>
      </c>
      <c r="W993" s="1909">
        <f>IF(INDEX(MO_SNA_IsHistoricalPeriod,1,COLUMN())=FALSE,0,INDEX(MO_SPT_StockAverage,1,COLUMN()))</f>
        <v/>
      </c>
      <c r="X993" s="1909">
        <f>IF(INDEX(MO_SNA_IsHistoricalPeriod,1,COLUMN())=FALSE,0,INDEX(MO_SPT_StockAverage,1,COLUMN()))</f>
        <v/>
      </c>
      <c r="Y993" s="1909">
        <f>IF(INDEX(MO_SNA_IsHistoricalPeriod,1,COLUMN())=FALSE,0,INDEX(MO_SPT_StockAverage,1,COLUMN()))</f>
        <v/>
      </c>
      <c r="Z993" s="1716">
        <f>IF(INDEX(MO_SNA_IsHistoricalPeriod,1,COLUMN())=FALSE,0,INDEX(MO_SPT_StockAverage,1,COLUMN()))</f>
        <v/>
      </c>
      <c r="AA993" s="1909">
        <f>IF(INDEX(MO_SNA_IsHistoricalPeriod,1,COLUMN())=FALSE,0,INDEX(MO_SPT_StockAverage,1,COLUMN()))</f>
        <v/>
      </c>
      <c r="AB993" s="1909">
        <f>IF(INDEX(MO_SNA_IsHistoricalPeriod,1,COLUMN())=FALSE,0,INDEX(MO_SPT_StockAverage,1,COLUMN()))</f>
        <v/>
      </c>
      <c r="AC993" s="1909">
        <f>IF(INDEX(MO_SNA_IsHistoricalPeriod,1,COLUMN())=FALSE,0,INDEX(MO_SPT_StockAverage,1,COLUMN()))</f>
        <v/>
      </c>
      <c r="AD993" s="1909">
        <f>IF(INDEX(MO_SNA_IsHistoricalPeriod,1,COLUMN())=FALSE,0,INDEX(MO_SPT_StockAverage,1,COLUMN()))</f>
        <v/>
      </c>
      <c r="AE993" s="1716">
        <f>IF(INDEX(MO_SNA_IsHistoricalPeriod,1,COLUMN())=FALSE,0,INDEX(MO_SPT_StockAverage,1,COLUMN()))</f>
        <v/>
      </c>
      <c r="AF993" s="1909">
        <f>IF(INDEX(MO_SNA_IsHistoricalPeriod,1,COLUMN())=FALSE,0,INDEX(MO_SPT_StockAverage,1,COLUMN()))</f>
        <v/>
      </c>
      <c r="AG993" s="1909">
        <f>IF(INDEX(MO_SNA_IsHistoricalPeriod,1,COLUMN())=FALSE,0,INDEX(MO_SPT_StockAverage,1,COLUMN()))</f>
        <v/>
      </c>
      <c r="AH993" s="1909">
        <f>IF(INDEX(MO_SNA_IsHistoricalPeriod,1,COLUMN())=FALSE,0,INDEX(MO_SPT_StockAverage,1,COLUMN()))</f>
        <v/>
      </c>
      <c r="AI993" s="1909">
        <f>IF(INDEX(MO_SNA_IsHistoricalPeriod,1,COLUMN())=FALSE,0,INDEX(MO_SPT_StockAverage,1,COLUMN()))</f>
        <v/>
      </c>
      <c r="AJ993" s="1716">
        <f>IF(INDEX(MO_SNA_IsHistoricalPeriod,1,COLUMN())=FALSE,0,INDEX(MO_SPT_StockAverage,1,COLUMN()))</f>
        <v/>
      </c>
      <c r="AK993" s="1909">
        <f>IF(INDEX(MO_SNA_IsHistoricalPeriod,1,COLUMN())=FALSE,0,INDEX(MO_SPT_StockAverage,1,COLUMN()))</f>
        <v/>
      </c>
      <c r="AL993" s="1909">
        <f>IF(INDEX(MO_SNA_IsHistoricalPeriod,1,COLUMN())=FALSE,0,INDEX(MO_SPT_StockAverage,1,COLUMN()))</f>
        <v/>
      </c>
      <c r="AM993" s="1909">
        <f>IF(INDEX(MO_SNA_IsHistoricalPeriod,1,COLUMN())=FALSE,0,INDEX(MO_SPT_StockAverage,1,COLUMN()))</f>
        <v/>
      </c>
      <c r="AN993" s="1909">
        <f>IF(INDEX(MO_SNA_IsHistoricalPeriod,1,COLUMN())=FALSE,0,INDEX(MO_SPT_StockAverage,1,COLUMN()))</f>
        <v/>
      </c>
      <c r="AO993" s="1716">
        <f>IF(INDEX(MO_SNA_IsHistoricalPeriod,1,COLUMN())=FALSE,0,INDEX(MO_SPT_StockAverage,1,COLUMN()))</f>
        <v/>
      </c>
      <c r="AP993" s="1909">
        <f>IF(INDEX(MO_SNA_IsHistoricalPeriod,1,COLUMN())=FALSE,0,INDEX(MO_SPT_StockAverage,1,COLUMN()))</f>
        <v/>
      </c>
      <c r="AQ993" s="1909">
        <f>IF(INDEX(MO_SNA_IsHistoricalPeriod,1,COLUMN())=FALSE,0,INDEX(MO_SPT_StockAverage,1,COLUMN()))</f>
        <v/>
      </c>
      <c r="AR993" s="1909">
        <f>IF(INDEX(MO_SNA_IsHistoricalPeriod,1,COLUMN())=FALSE,0,INDEX(MO_SPT_StockAverage,1,COLUMN()))</f>
        <v/>
      </c>
      <c r="AS993" s="1909">
        <f>IF(INDEX(MO_SNA_IsHistoricalPeriod,1,COLUMN())=FALSE,0,INDEX(MO_SPT_StockAverage,1,COLUMN()))</f>
        <v/>
      </c>
      <c r="AT993" s="1716">
        <f>IF(INDEX(MO_SNA_IsHistoricalPeriod,1,COLUMN())=FALSE,0,INDEX(MO_SPT_StockAverage,1,COLUMN()))</f>
        <v/>
      </c>
      <c r="AU993" s="1909">
        <f>IF(INDEX(MO_SNA_IsHistoricalPeriod,1,COLUMN())=FALSE,0,INDEX(MO_SPT_StockAverage,1,COLUMN()))</f>
        <v/>
      </c>
      <c r="AV993" s="1909">
        <f>IF(INDEX(MO_SNA_IsHistoricalPeriod,1,COLUMN())=FALSE,0,INDEX(MO_SPT_StockAverage,1,COLUMN()))</f>
        <v/>
      </c>
      <c r="AW993" s="1909">
        <f>IF(INDEX(MO_SNA_IsHistoricalPeriod,1,COLUMN())=FALSE,0,INDEX(MO_SPT_StockAverage,1,COLUMN()))</f>
        <v/>
      </c>
      <c r="AX993" s="1909">
        <f>IF(INDEX(MO_SNA_IsHistoricalPeriod,1,COLUMN())=FALSE,0,INDEX(MO_SPT_StockAverage,1,COLUMN()))</f>
        <v/>
      </c>
      <c r="AY993" s="1716">
        <f>IF(INDEX(MO_SNA_IsHistoricalPeriod,1,COLUMN())=FALSE,0,INDEX(MO_SPT_StockAverage,1,COLUMN()))</f>
        <v/>
      </c>
      <c r="AZ993" s="1909">
        <f>IF(INDEX(MO_SNA_IsHistoricalPeriod,1,COLUMN())=FALSE,0,INDEX(MO_SPT_StockAverage,1,COLUMN()))</f>
        <v/>
      </c>
      <c r="BA993" s="1909">
        <f>IF(INDEX(MO_SNA_IsHistoricalPeriod,1,COLUMN())=FALSE,0,INDEX(MO_SPT_StockAverage,1,COLUMN()))</f>
        <v/>
      </c>
      <c r="BB993" s="1909">
        <f>IF(INDEX(MO_SNA_IsHistoricalPeriod,1,COLUMN())=FALSE,0,INDEX(MO_SPT_StockAverage,1,COLUMN()))</f>
        <v/>
      </c>
      <c r="BC993" s="1909">
        <f>IF(INDEX(MO_SNA_IsHistoricalPeriod,1,COLUMN())=FALSE,0,INDEX(MO_SPT_StockAverage,1,COLUMN()))</f>
        <v/>
      </c>
      <c r="BD993" s="1716">
        <f>IF(INDEX(MO_SNA_IsHistoricalPeriod,1,COLUMN())=FALSE,0,INDEX(MO_SPT_StockAverage,1,COLUMN()))</f>
        <v/>
      </c>
      <c r="BE993" s="1909">
        <f>IF(INDEX(MO_SNA_IsHistoricalPeriod,1,COLUMN())=FALSE,0,INDEX(MO_SPT_StockAverage,1,COLUMN()))</f>
        <v/>
      </c>
      <c r="BF993" s="1909">
        <f>IF(INDEX(MO_SNA_IsHistoricalPeriod,1,COLUMN())=FALSE,0,INDEX(MO_SPT_StockAverage,1,COLUMN()))</f>
        <v/>
      </c>
      <c r="BG993" s="1909">
        <f>IF(INDEX(MO_SNA_IsHistoricalPeriod,1,COLUMN())=FALSE,0,INDEX(MO_SPT_StockAverage,1,COLUMN()))</f>
        <v/>
      </c>
      <c r="BH993" s="1909">
        <f>IF(INDEX(MO_SNA_IsHistoricalPeriod,1,COLUMN())=FALSE,0,INDEX(MO_SPT_StockAverage,1,COLUMN()))</f>
        <v/>
      </c>
      <c r="BI993" s="1716">
        <f>IF(INDEX(MO_SNA_IsHistoricalPeriod,1,COLUMN())=FALSE,0,INDEX(MO_SPT_StockAverage,1,COLUMN()))</f>
        <v/>
      </c>
      <c r="BJ993" s="1909">
        <f>IF(INDEX(MO_SNA_IsHistoricalPeriod,1,COLUMN())=FALSE,0,INDEX(MO_SPT_StockAverage,1,COLUMN()))</f>
        <v/>
      </c>
      <c r="BK993" s="1909">
        <f>IF(INDEX(MO_SNA_IsHistoricalPeriod,1,COLUMN())=FALSE,0,INDEX(MO_SPT_StockAverage,1,COLUMN()))</f>
        <v/>
      </c>
      <c r="BL993" s="1909">
        <f>IF(INDEX(MO_SNA_IsHistoricalPeriod,1,COLUMN())=FALSE,0,INDEX(MO_SPT_StockAverage,1,COLUMN()))</f>
        <v/>
      </c>
      <c r="BM993" s="1909">
        <f>IF(INDEX(MO_SNA_IsHistoricalPeriod,1,COLUMN())=FALSE,0,INDEX(MO_SPT_StockAverage,1,COLUMN()))</f>
        <v/>
      </c>
      <c r="BN993" s="1716">
        <f>IF(INDEX(MO_SNA_IsHistoricalPeriod,1,COLUMN())=FALSE,0,INDEX(MO_SPT_StockAverage,1,COLUMN()))</f>
        <v/>
      </c>
      <c r="BO993" s="1909">
        <f>IF(INDEX(MO_SNA_IsHistoricalPeriod,1,COLUMN())=FALSE,0,INDEX(MO_SPT_StockAverage,1,COLUMN()))</f>
        <v/>
      </c>
      <c r="BP993" s="1909">
        <f>IF(INDEX(MO_SNA_IsHistoricalPeriod,1,COLUMN())=FALSE,0,INDEX(MO_SPT_StockAverage,1,COLUMN()))</f>
        <v/>
      </c>
      <c r="BQ993" s="1910">
        <f>IF(INDEX(MO_SNA_IsHistoricalPeriod,1,COLUMN())=FALSE,0,INDEX(MO_SPT_StockAverage,1,COLUMN()))</f>
        <v/>
      </c>
      <c r="BR993" s="1911">
        <f>IF(INDEX(MO_SNA_IsHistoricalPeriod,1,COLUMN())=FALSE,0,INDEX(MO_SPT_StockAverage,1,COLUMN()))</f>
        <v/>
      </c>
      <c r="BS993" s="1716">
        <f>IF(INDEX(MO_SNA_IsHistoricalPeriod,1,COLUMN())=FALSE,0,INDEX(MO_SPT_StockAverage,1,COLUMN()))</f>
        <v/>
      </c>
      <c r="BT993" s="1911">
        <f>IF(INDEX(MO_SNA_IsHistoricalPeriod,1,COLUMN())=FALSE,0,INDEX(MO_SPT_StockAverage,1,COLUMN()))</f>
        <v/>
      </c>
      <c r="BU993" s="1911">
        <f>IF(INDEX(MO_SNA_IsHistoricalPeriod,1,COLUMN())=FALSE,0,INDEX(MO_SPT_StockAverage,1,COLUMN()))</f>
        <v/>
      </c>
      <c r="BV993" s="1911">
        <f>IF(INDEX(MO_SNA_IsHistoricalPeriod,1,COLUMN())=FALSE,0,INDEX(MO_SPT_StockAverage,1,COLUMN()))</f>
        <v/>
      </c>
      <c r="BW993" s="1911">
        <f>IF(INDEX(MO_SNA_IsHistoricalPeriod,1,COLUMN())=FALSE,0,INDEX(MO_SPT_StockAverage,1,COLUMN()))</f>
        <v/>
      </c>
      <c r="BX993" s="1716">
        <f>IF(INDEX(MO_SNA_IsHistoricalPeriod,1,COLUMN())=FALSE,0,INDEX(MO_SPT_StockAverage,1,COLUMN()))</f>
        <v/>
      </c>
      <c r="BY993" s="1716">
        <f>IF(INDEX(MO_SNA_IsHistoricalPeriod,1,COLUMN())=FALSE,0,INDEX(MO_SPT_StockAverage,1,COLUMN()))</f>
        <v/>
      </c>
      <c r="BZ993" s="1716">
        <f>IF(INDEX(MO_SNA_IsHistoricalPeriod,1,COLUMN())=FALSE,0,INDEX(MO_SPT_StockAverage,1,COLUMN()))</f>
        <v/>
      </c>
      <c r="CA993" s="1716">
        <f>IF(INDEX(MO_SNA_IsHistoricalPeriod,1,COLUMN())=FALSE,0,INDEX(MO_SPT_StockAverage,1,COLUMN()))</f>
        <v/>
      </c>
      <c r="CB993" s="1718" t="n"/>
    </row>
    <row r="994" hidden="1" outlineLevel="1" ht="14.4" customFormat="1" customHeight="1" s="1905">
      <c r="A994" s="1906">
        <f>"Stock EoP, "&amp;HP.TradeCurrency</f>
        <v/>
      </c>
      <c r="B994" s="1907" t="n"/>
      <c r="C994" s="1912">
        <f>IF(INDEX(MO_SNA_IsHistoricalPeriod,1,COLUMN())=FALSE,MO.LastPrice,INDEX(MO_SPT_StockEoP,1,COLUMN()))</f>
        <v/>
      </c>
      <c r="D994" s="1912">
        <f>IF(INDEX(MO_SNA_IsHistoricalPeriod,1,COLUMN())=FALSE,MO.LastPrice,INDEX(MO_SPT_StockEoP,1,COLUMN()))</f>
        <v/>
      </c>
      <c r="E994" s="1912">
        <f>IF(INDEX(MO_SNA_IsHistoricalPeriod,1,COLUMN())=FALSE,MO.LastPrice,INDEX(MO_SPT_StockEoP,1,COLUMN()))</f>
        <v/>
      </c>
      <c r="F994" s="1912">
        <f>IF(INDEX(MO_SNA_IsHistoricalPeriod,1,COLUMN())=FALSE,MO.LastPrice,INDEX(MO_SPT_StockEoP,1,COLUMN()))</f>
        <v/>
      </c>
      <c r="G994" s="1913">
        <f>IF(INDEX(MO_SNA_IsHistoricalPeriod,1,COLUMN())=FALSE,MO.LastPrice,INDEX(MO_SPT_StockEoP,1,COLUMN()))</f>
        <v/>
      </c>
      <c r="H994" s="1913">
        <f>IF(INDEX(MO_SNA_IsHistoricalPeriod,1,COLUMN())=FALSE,MO.LastPrice,INDEX(MO_SPT_StockEoP,1,COLUMN()))</f>
        <v/>
      </c>
      <c r="I994" s="1913">
        <f>IF(INDEX(MO_SNA_IsHistoricalPeriod,1,COLUMN())=FALSE,MO.LastPrice,INDEX(MO_SPT_StockEoP,1,COLUMN()))</f>
        <v/>
      </c>
      <c r="J994" s="1913">
        <f>IF(INDEX(MO_SNA_IsHistoricalPeriod,1,COLUMN())=FALSE,MO.LastPrice,INDEX(MO_SPT_StockEoP,1,COLUMN()))</f>
        <v/>
      </c>
      <c r="K994" s="1912">
        <f>IF(INDEX(MO_SNA_IsHistoricalPeriod,1,COLUMN())=FALSE,MO.LastPrice,INDEX(MO_SPT_StockEoP,1,COLUMN()))</f>
        <v/>
      </c>
      <c r="L994" s="1913">
        <f>IF(INDEX(MO_SNA_IsHistoricalPeriod,1,COLUMN())=FALSE,MO.LastPrice,INDEX(MO_SPT_StockEoP,1,COLUMN()))</f>
        <v/>
      </c>
      <c r="M994" s="1913">
        <f>IF(INDEX(MO_SNA_IsHistoricalPeriod,1,COLUMN())=FALSE,MO.LastPrice,INDEX(MO_SPT_StockEoP,1,COLUMN()))</f>
        <v/>
      </c>
      <c r="N994" s="1913">
        <f>IF(INDEX(MO_SNA_IsHistoricalPeriod,1,COLUMN())=FALSE,MO.LastPrice,INDEX(MO_SPT_StockEoP,1,COLUMN()))</f>
        <v/>
      </c>
      <c r="O994" s="1913">
        <f>IF(INDEX(MO_SNA_IsHistoricalPeriod,1,COLUMN())=FALSE,MO.LastPrice,INDEX(MO_SPT_StockEoP,1,COLUMN()))</f>
        <v/>
      </c>
      <c r="P994" s="1912">
        <f>IF(INDEX(MO_SNA_IsHistoricalPeriod,1,COLUMN())=FALSE,MO.LastPrice,INDEX(MO_SPT_StockEoP,1,COLUMN()))</f>
        <v/>
      </c>
      <c r="Q994" s="1913">
        <f>IF(INDEX(MO_SNA_IsHistoricalPeriod,1,COLUMN())=FALSE,MO.LastPrice,INDEX(MO_SPT_StockEoP,1,COLUMN()))</f>
        <v/>
      </c>
      <c r="R994" s="1913">
        <f>IF(INDEX(MO_SNA_IsHistoricalPeriod,1,COLUMN())=FALSE,MO.LastPrice,INDEX(MO_SPT_StockEoP,1,COLUMN()))</f>
        <v/>
      </c>
      <c r="S994" s="1913">
        <f>IF(INDEX(MO_SNA_IsHistoricalPeriod,1,COLUMN())=FALSE,MO.LastPrice,INDEX(MO_SPT_StockEoP,1,COLUMN()))</f>
        <v/>
      </c>
      <c r="T994" s="1913">
        <f>IF(INDEX(MO_SNA_IsHistoricalPeriod,1,COLUMN())=FALSE,MO.LastPrice,INDEX(MO_SPT_StockEoP,1,COLUMN()))</f>
        <v/>
      </c>
      <c r="U994" s="1912">
        <f>IF(INDEX(MO_SNA_IsHistoricalPeriod,1,COLUMN())=FALSE,MO.LastPrice,INDEX(MO_SPT_StockEoP,1,COLUMN()))</f>
        <v/>
      </c>
      <c r="V994" s="1913">
        <f>IF(INDEX(MO_SNA_IsHistoricalPeriod,1,COLUMN())=FALSE,MO.LastPrice,INDEX(MO_SPT_StockEoP,1,COLUMN()))</f>
        <v/>
      </c>
      <c r="W994" s="1913">
        <f>IF(INDEX(MO_SNA_IsHistoricalPeriod,1,COLUMN())=FALSE,MO.LastPrice,INDEX(MO_SPT_StockEoP,1,COLUMN()))</f>
        <v/>
      </c>
      <c r="X994" s="1913">
        <f>IF(INDEX(MO_SNA_IsHistoricalPeriod,1,COLUMN())=FALSE,MO.LastPrice,INDEX(MO_SPT_StockEoP,1,COLUMN()))</f>
        <v/>
      </c>
      <c r="Y994" s="1913">
        <f>IF(INDEX(MO_SNA_IsHistoricalPeriod,1,COLUMN())=FALSE,MO.LastPrice,INDEX(MO_SPT_StockEoP,1,COLUMN()))</f>
        <v/>
      </c>
      <c r="Z994" s="1914">
        <f>IF(INDEX(MO_SNA_IsHistoricalPeriod,1,COLUMN())=FALSE,MO.LastPrice,INDEX(MO_SPT_StockEoP,1,COLUMN()))</f>
        <v/>
      </c>
      <c r="AA994" s="1913">
        <f>IF(INDEX(MO_SNA_IsHistoricalPeriod,1,COLUMN())=FALSE,MO.LastPrice,INDEX(MO_SPT_StockEoP,1,COLUMN()))</f>
        <v/>
      </c>
      <c r="AB994" s="1913">
        <f>IF(INDEX(MO_SNA_IsHistoricalPeriod,1,COLUMN())=FALSE,MO.LastPrice,INDEX(MO_SPT_StockEoP,1,COLUMN()))</f>
        <v/>
      </c>
      <c r="AC994" s="1913">
        <f>IF(INDEX(MO_SNA_IsHistoricalPeriod,1,COLUMN())=FALSE,MO.LastPrice,INDEX(MO_SPT_StockEoP,1,COLUMN()))</f>
        <v/>
      </c>
      <c r="AD994" s="1913">
        <f>IF(INDEX(MO_SNA_IsHistoricalPeriod,1,COLUMN())=FALSE,MO.LastPrice,INDEX(MO_SPT_StockEoP,1,COLUMN()))</f>
        <v/>
      </c>
      <c r="AE994" s="1914">
        <f>IF(INDEX(MO_SNA_IsHistoricalPeriod,1,COLUMN())=FALSE,MO.LastPrice,INDEX(MO_SPT_StockEoP,1,COLUMN()))</f>
        <v/>
      </c>
      <c r="AF994" s="1913">
        <f>IF(INDEX(MO_SNA_IsHistoricalPeriod,1,COLUMN())=FALSE,MO.LastPrice,INDEX(MO_SPT_StockEoP,1,COLUMN()))</f>
        <v/>
      </c>
      <c r="AG994" s="1913">
        <f>IF(INDEX(MO_SNA_IsHistoricalPeriod,1,COLUMN())=FALSE,MO.LastPrice,INDEX(MO_SPT_StockEoP,1,COLUMN()))</f>
        <v/>
      </c>
      <c r="AH994" s="1913">
        <f>IF(INDEX(MO_SNA_IsHistoricalPeriod,1,COLUMN())=FALSE,MO.LastPrice,INDEX(MO_SPT_StockEoP,1,COLUMN()))</f>
        <v/>
      </c>
      <c r="AI994" s="1913">
        <f>IF(INDEX(MO_SNA_IsHistoricalPeriod,1,COLUMN())=FALSE,MO.LastPrice,INDEX(MO_SPT_StockEoP,1,COLUMN()))</f>
        <v/>
      </c>
      <c r="AJ994" s="1914">
        <f>IF(INDEX(MO_SNA_IsHistoricalPeriod,1,COLUMN())=FALSE,MO.LastPrice,INDEX(MO_SPT_StockEoP,1,COLUMN()))</f>
        <v/>
      </c>
      <c r="AK994" s="1913">
        <f>IF(INDEX(MO_SNA_IsHistoricalPeriod,1,COLUMN())=FALSE,MO.LastPrice,INDEX(MO_SPT_StockEoP,1,COLUMN()))</f>
        <v/>
      </c>
      <c r="AL994" s="1913">
        <f>IF(INDEX(MO_SNA_IsHistoricalPeriod,1,COLUMN())=FALSE,MO.LastPrice,INDEX(MO_SPT_StockEoP,1,COLUMN()))</f>
        <v/>
      </c>
      <c r="AM994" s="1913">
        <f>IF(INDEX(MO_SNA_IsHistoricalPeriod,1,COLUMN())=FALSE,MO.LastPrice,INDEX(MO_SPT_StockEoP,1,COLUMN()))</f>
        <v/>
      </c>
      <c r="AN994" s="1913">
        <f>IF(INDEX(MO_SNA_IsHistoricalPeriod,1,COLUMN())=FALSE,MO.LastPrice,INDEX(MO_SPT_StockEoP,1,COLUMN()))</f>
        <v/>
      </c>
      <c r="AO994" s="1914">
        <f>IF(INDEX(MO_SNA_IsHistoricalPeriod,1,COLUMN())=FALSE,MO.LastPrice,INDEX(MO_SPT_StockEoP,1,COLUMN()))</f>
        <v/>
      </c>
      <c r="AP994" s="1913">
        <f>IF(INDEX(MO_SNA_IsHistoricalPeriod,1,COLUMN())=FALSE,MO.LastPrice,INDEX(MO_SPT_StockEoP,1,COLUMN()))</f>
        <v/>
      </c>
      <c r="AQ994" s="1913">
        <f>IF(INDEX(MO_SNA_IsHistoricalPeriod,1,COLUMN())=FALSE,MO.LastPrice,INDEX(MO_SPT_StockEoP,1,COLUMN()))</f>
        <v/>
      </c>
      <c r="AR994" s="1913">
        <f>IF(INDEX(MO_SNA_IsHistoricalPeriod,1,COLUMN())=FALSE,MO.LastPrice,INDEX(MO_SPT_StockEoP,1,COLUMN()))</f>
        <v/>
      </c>
      <c r="AS994" s="1913">
        <f>IF(INDEX(MO_SNA_IsHistoricalPeriod,1,COLUMN())=FALSE,MO.LastPrice,INDEX(MO_SPT_StockEoP,1,COLUMN()))</f>
        <v/>
      </c>
      <c r="AT994" s="1914">
        <f>IF(INDEX(MO_SNA_IsHistoricalPeriod,1,COLUMN())=FALSE,MO.LastPrice,INDEX(MO_SPT_StockEoP,1,COLUMN()))</f>
        <v/>
      </c>
      <c r="AU994" s="1913">
        <f>IF(INDEX(MO_SNA_IsHistoricalPeriod,1,COLUMN())=FALSE,MO.LastPrice,INDEX(MO_SPT_StockEoP,1,COLUMN()))</f>
        <v/>
      </c>
      <c r="AV994" s="1913">
        <f>IF(INDEX(MO_SNA_IsHistoricalPeriod,1,COLUMN())=FALSE,MO.LastPrice,INDEX(MO_SPT_StockEoP,1,COLUMN()))</f>
        <v/>
      </c>
      <c r="AW994" s="1913">
        <f>IF(INDEX(MO_SNA_IsHistoricalPeriod,1,COLUMN())=FALSE,MO.LastPrice,INDEX(MO_SPT_StockEoP,1,COLUMN()))</f>
        <v/>
      </c>
      <c r="AX994" s="1913">
        <f>IF(INDEX(MO_SNA_IsHistoricalPeriod,1,COLUMN())=FALSE,MO.LastPrice,INDEX(MO_SPT_StockEoP,1,COLUMN()))</f>
        <v/>
      </c>
      <c r="AY994" s="1914">
        <f>IF(INDEX(MO_SNA_IsHistoricalPeriod,1,COLUMN())=FALSE,MO.LastPrice,INDEX(MO_SPT_StockEoP,1,COLUMN()))</f>
        <v/>
      </c>
      <c r="AZ994" s="1913">
        <f>IF(INDEX(MO_SNA_IsHistoricalPeriod,1,COLUMN())=FALSE,MO.LastPrice,INDEX(MO_SPT_StockEoP,1,COLUMN()))</f>
        <v/>
      </c>
      <c r="BA994" s="1913">
        <f>IF(INDEX(MO_SNA_IsHistoricalPeriod,1,COLUMN())=FALSE,MO.LastPrice,INDEX(MO_SPT_StockEoP,1,COLUMN()))</f>
        <v/>
      </c>
      <c r="BB994" s="1913">
        <f>IF(INDEX(MO_SNA_IsHistoricalPeriod,1,COLUMN())=FALSE,MO.LastPrice,INDEX(MO_SPT_StockEoP,1,COLUMN()))</f>
        <v/>
      </c>
      <c r="BC994" s="1913">
        <f>IF(INDEX(MO_SNA_IsHistoricalPeriod,1,COLUMN())=FALSE,MO.LastPrice,INDEX(MO_SPT_StockEoP,1,COLUMN()))</f>
        <v/>
      </c>
      <c r="BD994" s="1914">
        <f>IF(INDEX(MO_SNA_IsHistoricalPeriod,1,COLUMN())=FALSE,MO.LastPrice,INDEX(MO_SPT_StockEoP,1,COLUMN()))</f>
        <v/>
      </c>
      <c r="BE994" s="1913">
        <f>IF(INDEX(MO_SNA_IsHistoricalPeriod,1,COLUMN())=FALSE,MO.LastPrice,INDEX(MO_SPT_StockEoP,1,COLUMN()))</f>
        <v/>
      </c>
      <c r="BF994" s="1913">
        <f>IF(INDEX(MO_SNA_IsHistoricalPeriod,1,COLUMN())=FALSE,MO.LastPrice,INDEX(MO_SPT_StockEoP,1,COLUMN()))</f>
        <v/>
      </c>
      <c r="BG994" s="1913">
        <f>IF(INDEX(MO_SNA_IsHistoricalPeriod,1,COLUMN())=FALSE,MO.LastPrice,INDEX(MO_SPT_StockEoP,1,COLUMN()))</f>
        <v/>
      </c>
      <c r="BH994" s="1913">
        <f>IF(INDEX(MO_SNA_IsHistoricalPeriod,1,COLUMN())=FALSE,MO.LastPrice,INDEX(MO_SPT_StockEoP,1,COLUMN()))</f>
        <v/>
      </c>
      <c r="BI994" s="1914">
        <f>IF(INDEX(MO_SNA_IsHistoricalPeriod,1,COLUMN())=FALSE,MO.LastPrice,INDEX(MO_SPT_StockEoP,1,COLUMN()))</f>
        <v/>
      </c>
      <c r="BJ994" s="1913">
        <f>IF(INDEX(MO_SNA_IsHistoricalPeriod,1,COLUMN())=FALSE,MO.LastPrice,INDEX(MO_SPT_StockEoP,1,COLUMN()))</f>
        <v/>
      </c>
      <c r="BK994" s="1913">
        <f>IF(INDEX(MO_SNA_IsHistoricalPeriod,1,COLUMN())=FALSE,MO.LastPrice,INDEX(MO_SPT_StockEoP,1,COLUMN()))</f>
        <v/>
      </c>
      <c r="BL994" s="1913">
        <f>IF(INDEX(MO_SNA_IsHistoricalPeriod,1,COLUMN())=FALSE,MO.LastPrice,INDEX(MO_SPT_StockEoP,1,COLUMN()))</f>
        <v/>
      </c>
      <c r="BM994" s="1913">
        <f>IF(INDEX(MO_SNA_IsHistoricalPeriod,1,COLUMN())=FALSE,MO.LastPrice,INDEX(MO_SPT_StockEoP,1,COLUMN()))</f>
        <v/>
      </c>
      <c r="BN994" s="1914">
        <f>IF(INDEX(MO_SNA_IsHistoricalPeriod,1,COLUMN())=FALSE,MO.LastPrice,INDEX(MO_SPT_StockEoP,1,COLUMN()))</f>
        <v/>
      </c>
      <c r="BO994" s="1913">
        <f>IF(INDEX(MO_SNA_IsHistoricalPeriod,1,COLUMN())=FALSE,MO.LastPrice,INDEX(MO_SPT_StockEoP,1,COLUMN()))</f>
        <v/>
      </c>
      <c r="BP994" s="1913">
        <f>IF(INDEX(MO_SNA_IsHistoricalPeriod,1,COLUMN())=FALSE,MO.LastPrice,INDEX(MO_SPT_StockEoP,1,COLUMN()))</f>
        <v/>
      </c>
      <c r="BQ994" s="1915">
        <f>IF(INDEX(MO_SNA_IsHistoricalPeriod,1,COLUMN())=FALSE,MO.LastPrice,INDEX(MO_SPT_StockEoP,1,COLUMN()))</f>
        <v/>
      </c>
      <c r="BR994" s="1916">
        <f>IF(INDEX(MO_SNA_IsHistoricalPeriod,1,COLUMN())=FALSE,MO.LastPrice,INDEX(MO_SPT_StockEoP,1,COLUMN()))</f>
        <v/>
      </c>
      <c r="BS994" s="1914">
        <f>IF(INDEX(MO_SNA_IsHistoricalPeriod,1,COLUMN())=FALSE,MO.LastPrice,INDEX(MO_SPT_StockEoP,1,COLUMN()))</f>
        <v/>
      </c>
      <c r="BT994" s="1916">
        <f>IF(INDEX(MO_SNA_IsHistoricalPeriod,1,COLUMN())=FALSE,MO.LastPrice,INDEX(MO_SPT_StockEoP,1,COLUMN()))</f>
        <v/>
      </c>
      <c r="BU994" s="1916">
        <f>IF(INDEX(MO_SNA_IsHistoricalPeriod,1,COLUMN())=FALSE,MO.LastPrice,INDEX(MO_SPT_StockEoP,1,COLUMN()))</f>
        <v/>
      </c>
      <c r="BV994" s="1916">
        <f>IF(INDEX(MO_SNA_IsHistoricalPeriod,1,COLUMN())=FALSE,MO.LastPrice,INDEX(MO_SPT_StockEoP,1,COLUMN()))</f>
        <v/>
      </c>
      <c r="BW994" s="1916">
        <f>IF(INDEX(MO_SNA_IsHistoricalPeriod,1,COLUMN())=FALSE,MO.LastPrice,INDEX(MO_SPT_StockEoP,1,COLUMN()))</f>
        <v/>
      </c>
      <c r="BX994" s="1914">
        <f>IF(INDEX(MO_SNA_IsHistoricalPeriod,1,COLUMN())=FALSE,MO.LastPrice,INDEX(MO_SPT_StockEoP,1,COLUMN()))</f>
        <v/>
      </c>
      <c r="BY994" s="1914">
        <f>IF(INDEX(MO_SNA_IsHistoricalPeriod,1,COLUMN())=FALSE,MO.LastPrice,INDEX(MO_SPT_StockEoP,1,COLUMN()))</f>
        <v/>
      </c>
      <c r="BZ994" s="1914">
        <f>IF(INDEX(MO_SNA_IsHistoricalPeriod,1,COLUMN())=FALSE,MO.LastPrice,INDEX(MO_SPT_StockEoP,1,COLUMN()))</f>
        <v/>
      </c>
      <c r="CA994" s="1914">
        <f>IF(INDEX(MO_SNA_IsHistoricalPeriod,1,COLUMN())=FALSE,MO.LastPrice,INDEX(MO_SPT_StockEoP,1,COLUMN()))</f>
        <v/>
      </c>
      <c r="CB994" s="1718" t="n"/>
    </row>
    <row r="995" hidden="1" outlineLevel="1" ht="14.4" customFormat="1" customHeight="1" s="1917">
      <c r="A995" s="1918">
        <f>"Average FX Rate, "&amp;HP.TradeCurrency&amp;"/"&amp;MO.ReportCurrency</f>
        <v/>
      </c>
      <c r="B995" s="1919" t="n"/>
      <c r="C995" s="1920">
        <f>IF(INDEX(MO_SPT_FXAverage,1,COLUMN())=0,1,INDEX(MO_SPT_FXAverage,1,COLUMN()))</f>
        <v/>
      </c>
      <c r="D995" s="1920">
        <f>IF(INDEX(MO_SPT_FXAverage,1,COLUMN())=0,1,INDEX(MO_SPT_FXAverage,1,COLUMN()))</f>
        <v/>
      </c>
      <c r="E995" s="1920">
        <f>IF(INDEX(MO_SPT_FXAverage,1,COLUMN())=0,1,INDEX(MO_SPT_FXAverage,1,COLUMN()))</f>
        <v/>
      </c>
      <c r="F995" s="1920">
        <f>IF(INDEX(MO_SPT_FXAverage,1,COLUMN())=0,1,INDEX(MO_SPT_FXAverage,1,COLUMN()))</f>
        <v/>
      </c>
      <c r="G995" s="1921">
        <f>IF(INDEX(MO_SPT_FXAverage,1,COLUMN())=0,1,INDEX(MO_SPT_FXAverage,1,COLUMN()))</f>
        <v/>
      </c>
      <c r="H995" s="1921">
        <f>IF(INDEX(MO_SPT_FXAverage,1,COLUMN())=0,1,INDEX(MO_SPT_FXAverage,1,COLUMN()))</f>
        <v/>
      </c>
      <c r="I995" s="1921">
        <f>IF(INDEX(MO_SPT_FXAverage,1,COLUMN())=0,1,INDEX(MO_SPT_FXAverage,1,COLUMN()))</f>
        <v/>
      </c>
      <c r="J995" s="1921">
        <f>IF(INDEX(MO_SPT_FXAverage,1,COLUMN())=0,1,INDEX(MO_SPT_FXAverage,1,COLUMN()))</f>
        <v/>
      </c>
      <c r="K995" s="1920">
        <f>IF(INDEX(MO_SPT_FXAverage,1,COLUMN())=0,1,INDEX(MO_SPT_FXAverage,1,COLUMN()))</f>
        <v/>
      </c>
      <c r="L995" s="1921">
        <f>IF(INDEX(MO_SPT_FXAverage,1,COLUMN())=0,1,INDEX(MO_SPT_FXAverage,1,COLUMN()))</f>
        <v/>
      </c>
      <c r="M995" s="1921">
        <f>IF(INDEX(MO_SPT_FXAverage,1,COLUMN())=0,1,INDEX(MO_SPT_FXAverage,1,COLUMN()))</f>
        <v/>
      </c>
      <c r="N995" s="1921">
        <f>IF(INDEX(MO_SPT_FXAverage,1,COLUMN())=0,1,INDEX(MO_SPT_FXAverage,1,COLUMN()))</f>
        <v/>
      </c>
      <c r="O995" s="1921">
        <f>IF(INDEX(MO_SPT_FXAverage,1,COLUMN())=0,1,INDEX(MO_SPT_FXAverage,1,COLUMN()))</f>
        <v/>
      </c>
      <c r="P995" s="1920">
        <f>IF(INDEX(MO_SPT_FXAverage,1,COLUMN())=0,1,INDEX(MO_SPT_FXAverage,1,COLUMN()))</f>
        <v/>
      </c>
      <c r="Q995" s="1921">
        <f>IF(INDEX(MO_SPT_FXAverage,1,COLUMN())=0,1,INDEX(MO_SPT_FXAverage,1,COLUMN()))</f>
        <v/>
      </c>
      <c r="R995" s="1921">
        <f>IF(INDEX(MO_SPT_FXAverage,1,COLUMN())=0,1,INDEX(MO_SPT_FXAverage,1,COLUMN()))</f>
        <v/>
      </c>
      <c r="S995" s="1921">
        <f>IF(INDEX(MO_SPT_FXAverage,1,COLUMN())=0,1,INDEX(MO_SPT_FXAverage,1,COLUMN()))</f>
        <v/>
      </c>
      <c r="T995" s="1921">
        <f>IF(INDEX(MO_SPT_FXAverage,1,COLUMN())=0,1,INDEX(MO_SPT_FXAverage,1,COLUMN()))</f>
        <v/>
      </c>
      <c r="U995" s="1920">
        <f>IF(INDEX(MO_SPT_FXAverage,1,COLUMN())=0,1,INDEX(MO_SPT_FXAverage,1,COLUMN()))</f>
        <v/>
      </c>
      <c r="V995" s="1921">
        <f>IF(INDEX(MO_SPT_FXAverage,1,COLUMN())=0,1,INDEX(MO_SPT_FXAverage,1,COLUMN()))</f>
        <v/>
      </c>
      <c r="W995" s="1921">
        <f>IF(INDEX(MO_SPT_FXAverage,1,COLUMN())=0,1,INDEX(MO_SPT_FXAverage,1,COLUMN()))</f>
        <v/>
      </c>
      <c r="X995" s="1921">
        <f>IF(INDEX(MO_SPT_FXAverage,1,COLUMN())=0,1,INDEX(MO_SPT_FXAverage,1,COLUMN()))</f>
        <v/>
      </c>
      <c r="Y995" s="1921">
        <f>IF(INDEX(MO_SPT_FXAverage,1,COLUMN())=0,1,INDEX(MO_SPT_FXAverage,1,COLUMN()))</f>
        <v/>
      </c>
      <c r="Z995" s="1922">
        <f>IF(INDEX(MO_SPT_FXAverage,1,COLUMN())=0,1,INDEX(MO_SPT_FXAverage,1,COLUMN()))</f>
        <v/>
      </c>
      <c r="AA995" s="1921">
        <f>IF(INDEX(MO_SPT_FXAverage,1,COLUMN())=0,1,INDEX(MO_SPT_FXAverage,1,COLUMN()))</f>
        <v/>
      </c>
      <c r="AB995" s="1921">
        <f>IF(INDEX(MO_SPT_FXAverage,1,COLUMN())=0,1,INDEX(MO_SPT_FXAverage,1,COLUMN()))</f>
        <v/>
      </c>
      <c r="AC995" s="1921">
        <f>IF(INDEX(MO_SPT_FXAverage,1,COLUMN())=0,1,INDEX(MO_SPT_FXAverage,1,COLUMN()))</f>
        <v/>
      </c>
      <c r="AD995" s="1921">
        <f>IF(INDEX(MO_SPT_FXAverage,1,COLUMN())=0,1,INDEX(MO_SPT_FXAverage,1,COLUMN()))</f>
        <v/>
      </c>
      <c r="AE995" s="1922">
        <f>IF(INDEX(MO_SPT_FXAverage,1,COLUMN())=0,1,INDEX(MO_SPT_FXAverage,1,COLUMN()))</f>
        <v/>
      </c>
      <c r="AF995" s="1921">
        <f>IF(INDEX(MO_SPT_FXAverage,1,COLUMN())=0,1,INDEX(MO_SPT_FXAverage,1,COLUMN()))</f>
        <v/>
      </c>
      <c r="AG995" s="1921">
        <f>IF(INDEX(MO_SPT_FXAverage,1,COLUMN())=0,1,INDEX(MO_SPT_FXAverage,1,COLUMN()))</f>
        <v/>
      </c>
      <c r="AH995" s="1921">
        <f>IF(INDEX(MO_SPT_FXAverage,1,COLUMN())=0,1,INDEX(MO_SPT_FXAverage,1,COLUMN()))</f>
        <v/>
      </c>
      <c r="AI995" s="1921">
        <f>IF(INDEX(MO_SPT_FXAverage,1,COLUMN())=0,1,INDEX(MO_SPT_FXAverage,1,COLUMN()))</f>
        <v/>
      </c>
      <c r="AJ995" s="1922">
        <f>IF(INDEX(MO_SPT_FXAverage,1,COLUMN())=0,1,INDEX(MO_SPT_FXAverage,1,COLUMN()))</f>
        <v/>
      </c>
      <c r="AK995" s="1921">
        <f>IF(INDEX(MO_SPT_FXAverage,1,COLUMN())=0,1,INDEX(MO_SPT_FXAverage,1,COLUMN()))</f>
        <v/>
      </c>
      <c r="AL995" s="1921">
        <f>IF(INDEX(MO_SPT_FXAverage,1,COLUMN())=0,1,INDEX(MO_SPT_FXAverage,1,COLUMN()))</f>
        <v/>
      </c>
      <c r="AM995" s="1921">
        <f>IF(INDEX(MO_SPT_FXAverage,1,COLUMN())=0,1,INDEX(MO_SPT_FXAverage,1,COLUMN()))</f>
        <v/>
      </c>
      <c r="AN995" s="1921">
        <f>IF(INDEX(MO_SPT_FXAverage,1,COLUMN())=0,1,INDEX(MO_SPT_FXAverage,1,COLUMN()))</f>
        <v/>
      </c>
      <c r="AO995" s="1922">
        <f>IF(INDEX(MO_SPT_FXAverage,1,COLUMN())=0,1,INDEX(MO_SPT_FXAverage,1,COLUMN()))</f>
        <v/>
      </c>
      <c r="AP995" s="1921">
        <f>IF(INDEX(MO_SPT_FXAverage,1,COLUMN())=0,1,INDEX(MO_SPT_FXAverage,1,COLUMN()))</f>
        <v/>
      </c>
      <c r="AQ995" s="1921">
        <f>IF(INDEX(MO_SPT_FXAverage,1,COLUMN())=0,1,INDEX(MO_SPT_FXAverage,1,COLUMN()))</f>
        <v/>
      </c>
      <c r="AR995" s="1921">
        <f>IF(INDEX(MO_SPT_FXAverage,1,COLUMN())=0,1,INDEX(MO_SPT_FXAverage,1,COLUMN()))</f>
        <v/>
      </c>
      <c r="AS995" s="1921">
        <f>IF(INDEX(MO_SPT_FXAverage,1,COLUMN())=0,1,INDEX(MO_SPT_FXAverage,1,COLUMN()))</f>
        <v/>
      </c>
      <c r="AT995" s="1922">
        <f>IF(INDEX(MO_SPT_FXAverage,1,COLUMN())=0,1,INDEX(MO_SPT_FXAverage,1,COLUMN()))</f>
        <v/>
      </c>
      <c r="AU995" s="1921">
        <f>IF(INDEX(MO_SPT_FXAverage,1,COLUMN())=0,1,INDEX(MO_SPT_FXAverage,1,COLUMN()))</f>
        <v/>
      </c>
      <c r="AV995" s="1921">
        <f>IF(INDEX(MO_SPT_FXAverage,1,COLUMN())=0,1,INDEX(MO_SPT_FXAverage,1,COLUMN()))</f>
        <v/>
      </c>
      <c r="AW995" s="1921">
        <f>IF(INDEX(MO_SPT_FXAverage,1,COLUMN())=0,1,INDEX(MO_SPT_FXAverage,1,COLUMN()))</f>
        <v/>
      </c>
      <c r="AX995" s="1921">
        <f>IF(INDEX(MO_SPT_FXAverage,1,COLUMN())=0,1,INDEX(MO_SPT_FXAverage,1,COLUMN()))</f>
        <v/>
      </c>
      <c r="AY995" s="1922">
        <f>IF(INDEX(MO_SPT_FXAverage,1,COLUMN())=0,1,INDEX(MO_SPT_FXAverage,1,COLUMN()))</f>
        <v/>
      </c>
      <c r="AZ995" s="1921">
        <f>IF(INDEX(MO_SPT_FXAverage,1,COLUMN())=0,1,INDEX(MO_SPT_FXAverage,1,COLUMN()))</f>
        <v/>
      </c>
      <c r="BA995" s="1921">
        <f>IF(INDEX(MO_SPT_FXAverage,1,COLUMN())=0,1,INDEX(MO_SPT_FXAverage,1,COLUMN()))</f>
        <v/>
      </c>
      <c r="BB995" s="1921">
        <f>IF(INDEX(MO_SPT_FXAverage,1,COLUMN())=0,1,INDEX(MO_SPT_FXAverage,1,COLUMN()))</f>
        <v/>
      </c>
      <c r="BC995" s="1921">
        <f>IF(INDEX(MO_SPT_FXAverage,1,COLUMN())=0,1,INDEX(MO_SPT_FXAverage,1,COLUMN()))</f>
        <v/>
      </c>
      <c r="BD995" s="1922">
        <f>IF(INDEX(MO_SPT_FXAverage,1,COLUMN())=0,1,INDEX(MO_SPT_FXAverage,1,COLUMN()))</f>
        <v/>
      </c>
      <c r="BE995" s="1921">
        <f>IF(INDEX(MO_SPT_FXAverage,1,COLUMN())=0,1,INDEX(MO_SPT_FXAverage,1,COLUMN()))</f>
        <v/>
      </c>
      <c r="BF995" s="1921">
        <f>IF(INDEX(MO_SPT_FXAverage,1,COLUMN())=0,1,INDEX(MO_SPT_FXAverage,1,COLUMN()))</f>
        <v/>
      </c>
      <c r="BG995" s="1921">
        <f>IF(INDEX(MO_SPT_FXAverage,1,COLUMN())=0,1,INDEX(MO_SPT_FXAverage,1,COLUMN()))</f>
        <v/>
      </c>
      <c r="BH995" s="1921">
        <f>IF(INDEX(MO_SPT_FXAverage,1,COLUMN())=0,1,INDEX(MO_SPT_FXAverage,1,COLUMN()))</f>
        <v/>
      </c>
      <c r="BI995" s="1922">
        <f>IF(INDEX(MO_SPT_FXAverage,1,COLUMN())=0,1,INDEX(MO_SPT_FXAverage,1,COLUMN()))</f>
        <v/>
      </c>
      <c r="BJ995" s="1921">
        <f>IF(INDEX(MO_SPT_FXAverage,1,COLUMN())=0,1,INDEX(MO_SPT_FXAverage,1,COLUMN()))</f>
        <v/>
      </c>
      <c r="BK995" s="1921">
        <f>IF(INDEX(MO_SPT_FXAverage,1,COLUMN())=0,1,INDEX(MO_SPT_FXAverage,1,COLUMN()))</f>
        <v/>
      </c>
      <c r="BL995" s="1921">
        <f>IF(INDEX(MO_SPT_FXAverage,1,COLUMN())=0,1,INDEX(MO_SPT_FXAverage,1,COLUMN()))</f>
        <v/>
      </c>
      <c r="BM995" s="1921">
        <f>IF(INDEX(MO_SPT_FXAverage,1,COLUMN())=0,1,INDEX(MO_SPT_FXAverage,1,COLUMN()))</f>
        <v/>
      </c>
      <c r="BN995" s="1922">
        <f>IF(INDEX(MO_SPT_FXAverage,1,COLUMN())=0,1,INDEX(MO_SPT_FXAverage,1,COLUMN()))</f>
        <v/>
      </c>
      <c r="BO995" s="1921">
        <f>IF(INDEX(MO_SPT_FXAverage,1,COLUMN())=0,1,INDEX(MO_SPT_FXAverage,1,COLUMN()))</f>
        <v/>
      </c>
      <c r="BP995" s="1921">
        <f>IF(INDEX(MO_SPT_FXAverage,1,COLUMN())=0,1,INDEX(MO_SPT_FXAverage,1,COLUMN()))</f>
        <v/>
      </c>
      <c r="BQ995" s="1923">
        <f>IF(INDEX(MO_SPT_FXAverage,1,COLUMN())=0,1,INDEX(MO_SPT_FXAverage,1,COLUMN()))</f>
        <v/>
      </c>
      <c r="BR995" s="1924">
        <f>IF(INDEX(MO_SPT_FXAverage,1,COLUMN())=0,1,INDEX(MO_SPT_FXAverage,1,COLUMN()))</f>
        <v/>
      </c>
      <c r="BS995" s="1922">
        <f>IF(INDEX(MO_SPT_FXAverage,1,COLUMN())=0,1,INDEX(MO_SPT_FXAverage,1,COLUMN()))</f>
        <v/>
      </c>
      <c r="BT995" s="1924">
        <f>IF(INDEX(MO_SPT_FXAverage,1,COLUMN())=0,1,INDEX(MO_SPT_FXAverage,1,COLUMN()))</f>
        <v/>
      </c>
      <c r="BU995" s="1924">
        <f>IF(INDEX(MO_SPT_FXAverage,1,COLUMN())=0,1,INDEX(MO_SPT_FXAverage,1,COLUMN()))</f>
        <v/>
      </c>
      <c r="BV995" s="1924">
        <f>IF(INDEX(MO_SPT_FXAverage,1,COLUMN())=0,1,INDEX(MO_SPT_FXAverage,1,COLUMN()))</f>
        <v/>
      </c>
      <c r="BW995" s="1924">
        <f>IF(INDEX(MO_SPT_FXAverage,1,COLUMN())=0,1,INDEX(MO_SPT_FXAverage,1,COLUMN()))</f>
        <v/>
      </c>
      <c r="BX995" s="1922">
        <f>IF(INDEX(MO_SPT_FXAverage,1,COLUMN())=0,1,INDEX(MO_SPT_FXAverage,1,COLUMN()))</f>
        <v/>
      </c>
      <c r="BY995" s="1922">
        <f>IF(INDEX(MO_SPT_FXAverage,1,COLUMN())=0,1,INDEX(MO_SPT_FXAverage,1,COLUMN()))</f>
        <v/>
      </c>
      <c r="BZ995" s="1922">
        <f>IF(INDEX(MO_SPT_FXAverage,1,COLUMN())=0,1,INDEX(MO_SPT_FXAverage,1,COLUMN()))</f>
        <v/>
      </c>
      <c r="CA995" s="1922">
        <f>IF(INDEX(MO_SPT_FXAverage,1,COLUMN())=0,1,INDEX(MO_SPT_FXAverage,1,COLUMN()))</f>
        <v/>
      </c>
      <c r="CB995" s="1925" t="n"/>
    </row>
    <row r="996" hidden="1" outlineLevel="1" ht="14.4" customFormat="1" customHeight="1" s="1917">
      <c r="A996" s="1918">
        <f>"EoP FX Rate, "&amp;HP.TradeCurrency&amp;"/"&amp;MO.ReportCurrency</f>
        <v/>
      </c>
      <c r="B996" s="1919" t="n"/>
      <c r="C996" s="1920">
        <f>IF(INDEX(MO_SNA_IsHistoricalPeriod,1,COLUMN())=FALSE,HP.MRFX,INDEX(MO_SPT_FXEoP,1,COLUMN()))</f>
        <v/>
      </c>
      <c r="D996" s="1920">
        <f>IF(INDEX(MO_SNA_IsHistoricalPeriod,1,COLUMN())=FALSE,HP.MRFX,INDEX(MO_SPT_FXEoP,1,COLUMN()))</f>
        <v/>
      </c>
      <c r="E996" s="1920">
        <f>IF(INDEX(MO_SNA_IsHistoricalPeriod,1,COLUMN())=FALSE,HP.MRFX,INDEX(MO_SPT_FXEoP,1,COLUMN()))</f>
        <v/>
      </c>
      <c r="F996" s="1920">
        <f>IF(INDEX(MO_SNA_IsHistoricalPeriod,1,COLUMN())=FALSE,HP.MRFX,INDEX(MO_SPT_FXEoP,1,COLUMN()))</f>
        <v/>
      </c>
      <c r="G996" s="1921">
        <f>IF(INDEX(MO_SNA_IsHistoricalPeriod,1,COLUMN())=FALSE,HP.MRFX,INDEX(MO_SPT_FXEoP,1,COLUMN()))</f>
        <v/>
      </c>
      <c r="H996" s="1921">
        <f>IF(INDEX(MO_SNA_IsHistoricalPeriod,1,COLUMN())=FALSE,HP.MRFX,INDEX(MO_SPT_FXEoP,1,COLUMN()))</f>
        <v/>
      </c>
      <c r="I996" s="1921">
        <f>IF(INDEX(MO_SNA_IsHistoricalPeriod,1,COLUMN())=FALSE,HP.MRFX,INDEX(MO_SPT_FXEoP,1,COLUMN()))</f>
        <v/>
      </c>
      <c r="J996" s="1921">
        <f>IF(INDEX(MO_SNA_IsHistoricalPeriod,1,COLUMN())=FALSE,HP.MRFX,INDEX(MO_SPT_FXEoP,1,COLUMN()))</f>
        <v/>
      </c>
      <c r="K996" s="1920">
        <f>IF(INDEX(MO_SNA_IsHistoricalPeriod,1,COLUMN())=FALSE,HP.MRFX,INDEX(MO_SPT_FXEoP,1,COLUMN()))</f>
        <v/>
      </c>
      <c r="L996" s="1921">
        <f>IF(INDEX(MO_SNA_IsHistoricalPeriod,1,COLUMN())=FALSE,HP.MRFX,INDEX(MO_SPT_FXEoP,1,COLUMN()))</f>
        <v/>
      </c>
      <c r="M996" s="1921">
        <f>IF(INDEX(MO_SNA_IsHistoricalPeriod,1,COLUMN())=FALSE,HP.MRFX,INDEX(MO_SPT_FXEoP,1,COLUMN()))</f>
        <v/>
      </c>
      <c r="N996" s="1921">
        <f>IF(INDEX(MO_SNA_IsHistoricalPeriod,1,COLUMN())=FALSE,HP.MRFX,INDEX(MO_SPT_FXEoP,1,COLUMN()))</f>
        <v/>
      </c>
      <c r="O996" s="1921">
        <f>IF(INDEX(MO_SNA_IsHistoricalPeriod,1,COLUMN())=FALSE,HP.MRFX,INDEX(MO_SPT_FXEoP,1,COLUMN()))</f>
        <v/>
      </c>
      <c r="P996" s="1920">
        <f>IF(INDEX(MO_SNA_IsHistoricalPeriod,1,COLUMN())=FALSE,HP.MRFX,INDEX(MO_SPT_FXEoP,1,COLUMN()))</f>
        <v/>
      </c>
      <c r="Q996" s="1921">
        <f>IF(INDEX(MO_SNA_IsHistoricalPeriod,1,COLUMN())=FALSE,HP.MRFX,INDEX(MO_SPT_FXEoP,1,COLUMN()))</f>
        <v/>
      </c>
      <c r="R996" s="1921">
        <f>IF(INDEX(MO_SNA_IsHistoricalPeriod,1,COLUMN())=FALSE,HP.MRFX,INDEX(MO_SPT_FXEoP,1,COLUMN()))</f>
        <v/>
      </c>
      <c r="S996" s="1921">
        <f>IF(INDEX(MO_SNA_IsHistoricalPeriod,1,COLUMN())=FALSE,HP.MRFX,INDEX(MO_SPT_FXEoP,1,COLUMN()))</f>
        <v/>
      </c>
      <c r="T996" s="1921">
        <f>IF(INDEX(MO_SNA_IsHistoricalPeriod,1,COLUMN())=FALSE,HP.MRFX,INDEX(MO_SPT_FXEoP,1,COLUMN()))</f>
        <v/>
      </c>
      <c r="U996" s="1920">
        <f>IF(INDEX(MO_SNA_IsHistoricalPeriod,1,COLUMN())=FALSE,HP.MRFX,INDEX(MO_SPT_FXEoP,1,COLUMN()))</f>
        <v/>
      </c>
      <c r="V996" s="1921">
        <f>IF(INDEX(MO_SNA_IsHistoricalPeriod,1,COLUMN())=FALSE,HP.MRFX,INDEX(MO_SPT_FXEoP,1,COLUMN()))</f>
        <v/>
      </c>
      <c r="W996" s="1921">
        <f>IF(INDEX(MO_SNA_IsHistoricalPeriod,1,COLUMN())=FALSE,HP.MRFX,INDEX(MO_SPT_FXEoP,1,COLUMN()))</f>
        <v/>
      </c>
      <c r="X996" s="1921">
        <f>IF(INDEX(MO_SNA_IsHistoricalPeriod,1,COLUMN())=FALSE,HP.MRFX,INDEX(MO_SPT_FXEoP,1,COLUMN()))</f>
        <v/>
      </c>
      <c r="Y996" s="1921">
        <f>IF(INDEX(MO_SNA_IsHistoricalPeriod,1,COLUMN())=FALSE,HP.MRFX,INDEX(MO_SPT_FXEoP,1,COLUMN()))</f>
        <v/>
      </c>
      <c r="Z996" s="1922">
        <f>IF(INDEX(MO_SNA_IsHistoricalPeriod,1,COLUMN())=FALSE,HP.MRFX,INDEX(MO_SPT_FXEoP,1,COLUMN()))</f>
        <v/>
      </c>
      <c r="AA996" s="1921">
        <f>IF(INDEX(MO_SNA_IsHistoricalPeriod,1,COLUMN())=FALSE,HP.MRFX,INDEX(MO_SPT_FXEoP,1,COLUMN()))</f>
        <v/>
      </c>
      <c r="AB996" s="1921">
        <f>IF(INDEX(MO_SNA_IsHistoricalPeriod,1,COLUMN())=FALSE,HP.MRFX,INDEX(MO_SPT_FXEoP,1,COLUMN()))</f>
        <v/>
      </c>
      <c r="AC996" s="1921">
        <f>IF(INDEX(MO_SNA_IsHistoricalPeriod,1,COLUMN())=FALSE,HP.MRFX,INDEX(MO_SPT_FXEoP,1,COLUMN()))</f>
        <v/>
      </c>
      <c r="AD996" s="1921">
        <f>IF(INDEX(MO_SNA_IsHistoricalPeriod,1,COLUMN())=FALSE,HP.MRFX,INDEX(MO_SPT_FXEoP,1,COLUMN()))</f>
        <v/>
      </c>
      <c r="AE996" s="1922">
        <f>IF(INDEX(MO_SNA_IsHistoricalPeriod,1,COLUMN())=FALSE,HP.MRFX,INDEX(MO_SPT_FXEoP,1,COLUMN()))</f>
        <v/>
      </c>
      <c r="AF996" s="1921">
        <f>IF(INDEX(MO_SNA_IsHistoricalPeriod,1,COLUMN())=FALSE,HP.MRFX,INDEX(MO_SPT_FXEoP,1,COLUMN()))</f>
        <v/>
      </c>
      <c r="AG996" s="1921">
        <f>IF(INDEX(MO_SNA_IsHistoricalPeriod,1,COLUMN())=FALSE,HP.MRFX,INDEX(MO_SPT_FXEoP,1,COLUMN()))</f>
        <v/>
      </c>
      <c r="AH996" s="1921">
        <f>IF(INDEX(MO_SNA_IsHistoricalPeriod,1,COLUMN())=FALSE,HP.MRFX,INDEX(MO_SPT_FXEoP,1,COLUMN()))</f>
        <v/>
      </c>
      <c r="AI996" s="1921">
        <f>IF(INDEX(MO_SNA_IsHistoricalPeriod,1,COLUMN())=FALSE,HP.MRFX,INDEX(MO_SPT_FXEoP,1,COLUMN()))</f>
        <v/>
      </c>
      <c r="AJ996" s="1922">
        <f>IF(INDEX(MO_SNA_IsHistoricalPeriod,1,COLUMN())=FALSE,HP.MRFX,INDEX(MO_SPT_FXEoP,1,COLUMN()))</f>
        <v/>
      </c>
      <c r="AK996" s="1921">
        <f>IF(INDEX(MO_SNA_IsHistoricalPeriod,1,COLUMN())=FALSE,HP.MRFX,INDEX(MO_SPT_FXEoP,1,COLUMN()))</f>
        <v/>
      </c>
      <c r="AL996" s="1921">
        <f>IF(INDEX(MO_SNA_IsHistoricalPeriod,1,COLUMN())=FALSE,HP.MRFX,INDEX(MO_SPT_FXEoP,1,COLUMN()))</f>
        <v/>
      </c>
      <c r="AM996" s="1921">
        <f>IF(INDEX(MO_SNA_IsHistoricalPeriod,1,COLUMN())=FALSE,HP.MRFX,INDEX(MO_SPT_FXEoP,1,COLUMN()))</f>
        <v/>
      </c>
      <c r="AN996" s="1921">
        <f>IF(INDEX(MO_SNA_IsHistoricalPeriod,1,COLUMN())=FALSE,HP.MRFX,INDEX(MO_SPT_FXEoP,1,COLUMN()))</f>
        <v/>
      </c>
      <c r="AO996" s="1922">
        <f>IF(INDEX(MO_SNA_IsHistoricalPeriod,1,COLUMN())=FALSE,HP.MRFX,INDEX(MO_SPT_FXEoP,1,COLUMN()))</f>
        <v/>
      </c>
      <c r="AP996" s="1921">
        <f>IF(INDEX(MO_SNA_IsHistoricalPeriod,1,COLUMN())=FALSE,HP.MRFX,INDEX(MO_SPT_FXEoP,1,COLUMN()))</f>
        <v/>
      </c>
      <c r="AQ996" s="1921">
        <f>IF(INDEX(MO_SNA_IsHistoricalPeriod,1,COLUMN())=FALSE,HP.MRFX,INDEX(MO_SPT_FXEoP,1,COLUMN()))</f>
        <v/>
      </c>
      <c r="AR996" s="1921">
        <f>IF(INDEX(MO_SNA_IsHistoricalPeriod,1,COLUMN())=FALSE,HP.MRFX,INDEX(MO_SPT_FXEoP,1,COLUMN()))</f>
        <v/>
      </c>
      <c r="AS996" s="1921">
        <f>IF(INDEX(MO_SNA_IsHistoricalPeriod,1,COLUMN())=FALSE,HP.MRFX,INDEX(MO_SPT_FXEoP,1,COLUMN()))</f>
        <v/>
      </c>
      <c r="AT996" s="1922">
        <f>IF(INDEX(MO_SNA_IsHistoricalPeriod,1,COLUMN())=FALSE,HP.MRFX,INDEX(MO_SPT_FXEoP,1,COLUMN()))</f>
        <v/>
      </c>
      <c r="AU996" s="1921">
        <f>IF(INDEX(MO_SNA_IsHistoricalPeriod,1,COLUMN())=FALSE,HP.MRFX,INDEX(MO_SPT_FXEoP,1,COLUMN()))</f>
        <v/>
      </c>
      <c r="AV996" s="1921">
        <f>IF(INDEX(MO_SNA_IsHistoricalPeriod,1,COLUMN())=FALSE,HP.MRFX,INDEX(MO_SPT_FXEoP,1,COLUMN()))</f>
        <v/>
      </c>
      <c r="AW996" s="1921">
        <f>IF(INDEX(MO_SNA_IsHistoricalPeriod,1,COLUMN())=FALSE,HP.MRFX,INDEX(MO_SPT_FXEoP,1,COLUMN()))</f>
        <v/>
      </c>
      <c r="AX996" s="1921">
        <f>IF(INDEX(MO_SNA_IsHistoricalPeriod,1,COLUMN())=FALSE,HP.MRFX,INDEX(MO_SPT_FXEoP,1,COLUMN()))</f>
        <v/>
      </c>
      <c r="AY996" s="1922">
        <f>IF(INDEX(MO_SNA_IsHistoricalPeriod,1,COLUMN())=FALSE,HP.MRFX,INDEX(MO_SPT_FXEoP,1,COLUMN()))</f>
        <v/>
      </c>
      <c r="AZ996" s="1921">
        <f>IF(INDEX(MO_SNA_IsHistoricalPeriod,1,COLUMN())=FALSE,HP.MRFX,INDEX(MO_SPT_FXEoP,1,COLUMN()))</f>
        <v/>
      </c>
      <c r="BA996" s="1921">
        <f>IF(INDEX(MO_SNA_IsHistoricalPeriod,1,COLUMN())=FALSE,HP.MRFX,INDEX(MO_SPT_FXEoP,1,COLUMN()))</f>
        <v/>
      </c>
      <c r="BB996" s="1921">
        <f>IF(INDEX(MO_SNA_IsHistoricalPeriod,1,COLUMN())=FALSE,HP.MRFX,INDEX(MO_SPT_FXEoP,1,COLUMN()))</f>
        <v/>
      </c>
      <c r="BC996" s="1921">
        <f>IF(INDEX(MO_SNA_IsHistoricalPeriod,1,COLUMN())=FALSE,HP.MRFX,INDEX(MO_SPT_FXEoP,1,COLUMN()))</f>
        <v/>
      </c>
      <c r="BD996" s="1922">
        <f>IF(INDEX(MO_SNA_IsHistoricalPeriod,1,COLUMN())=FALSE,HP.MRFX,INDEX(MO_SPT_FXEoP,1,COLUMN()))</f>
        <v/>
      </c>
      <c r="BE996" s="1921">
        <f>IF(INDEX(MO_SNA_IsHistoricalPeriod,1,COLUMN())=FALSE,HP.MRFX,INDEX(MO_SPT_FXEoP,1,COLUMN()))</f>
        <v/>
      </c>
      <c r="BF996" s="1921">
        <f>IF(INDEX(MO_SNA_IsHistoricalPeriod,1,COLUMN())=FALSE,HP.MRFX,INDEX(MO_SPT_FXEoP,1,COLUMN()))</f>
        <v/>
      </c>
      <c r="BG996" s="1921">
        <f>IF(INDEX(MO_SNA_IsHistoricalPeriod,1,COLUMN())=FALSE,HP.MRFX,INDEX(MO_SPT_FXEoP,1,COLUMN()))</f>
        <v/>
      </c>
      <c r="BH996" s="1921">
        <f>IF(INDEX(MO_SNA_IsHistoricalPeriod,1,COLUMN())=FALSE,HP.MRFX,INDEX(MO_SPT_FXEoP,1,COLUMN()))</f>
        <v/>
      </c>
      <c r="BI996" s="1922">
        <f>IF(INDEX(MO_SNA_IsHistoricalPeriod,1,COLUMN())=FALSE,HP.MRFX,INDEX(MO_SPT_FXEoP,1,COLUMN()))</f>
        <v/>
      </c>
      <c r="BJ996" s="1921">
        <f>IF(INDEX(MO_SNA_IsHistoricalPeriod,1,COLUMN())=FALSE,HP.MRFX,INDEX(MO_SPT_FXEoP,1,COLUMN()))</f>
        <v/>
      </c>
      <c r="BK996" s="1921">
        <f>IF(INDEX(MO_SNA_IsHistoricalPeriod,1,COLUMN())=FALSE,HP.MRFX,INDEX(MO_SPT_FXEoP,1,COLUMN()))</f>
        <v/>
      </c>
      <c r="BL996" s="1921">
        <f>IF(INDEX(MO_SNA_IsHistoricalPeriod,1,COLUMN())=FALSE,HP.MRFX,INDEX(MO_SPT_FXEoP,1,COLUMN()))</f>
        <v/>
      </c>
      <c r="BM996" s="1921">
        <f>IF(INDEX(MO_SNA_IsHistoricalPeriod,1,COLUMN())=FALSE,HP.MRFX,INDEX(MO_SPT_FXEoP,1,COLUMN()))</f>
        <v/>
      </c>
      <c r="BN996" s="1922">
        <f>IF(INDEX(MO_SNA_IsHistoricalPeriod,1,COLUMN())=FALSE,HP.MRFX,INDEX(MO_SPT_FXEoP,1,COLUMN()))</f>
        <v/>
      </c>
      <c r="BO996" s="1921">
        <f>IF(INDEX(MO_SNA_IsHistoricalPeriod,1,COLUMN())=FALSE,HP.MRFX,INDEX(MO_SPT_FXEoP,1,COLUMN()))</f>
        <v/>
      </c>
      <c r="BP996" s="1921">
        <f>IF(INDEX(MO_SNA_IsHistoricalPeriod,1,COLUMN())=FALSE,HP.MRFX,INDEX(MO_SPT_FXEoP,1,COLUMN()))</f>
        <v/>
      </c>
      <c r="BQ996" s="1923">
        <f>IF(INDEX(MO_SNA_IsHistoricalPeriod,1,COLUMN())=FALSE,HP.MRFX,INDEX(MO_SPT_FXEoP,1,COLUMN()))</f>
        <v/>
      </c>
      <c r="BR996" s="1924">
        <f>IF(INDEX(MO_SNA_IsHistoricalPeriod,1,COLUMN())=FALSE,HP.MRFX,INDEX(MO_SPT_FXEoP,1,COLUMN()))</f>
        <v/>
      </c>
      <c r="BS996" s="1922">
        <f>IF(INDEX(MO_SNA_IsHistoricalPeriod,1,COLUMN())=FALSE,HP.MRFX,INDEX(MO_SPT_FXEoP,1,COLUMN()))</f>
        <v/>
      </c>
      <c r="BT996" s="1924">
        <f>IF(INDEX(MO_SNA_IsHistoricalPeriod,1,COLUMN())=FALSE,HP.MRFX,INDEX(MO_SPT_FXEoP,1,COLUMN()))</f>
        <v/>
      </c>
      <c r="BU996" s="1924">
        <f>IF(INDEX(MO_SNA_IsHistoricalPeriod,1,COLUMN())=FALSE,HP.MRFX,INDEX(MO_SPT_FXEoP,1,COLUMN()))</f>
        <v/>
      </c>
      <c r="BV996" s="1924">
        <f>IF(INDEX(MO_SNA_IsHistoricalPeriod,1,COLUMN())=FALSE,HP.MRFX,INDEX(MO_SPT_FXEoP,1,COLUMN()))</f>
        <v/>
      </c>
      <c r="BW996" s="1924">
        <f>IF(INDEX(MO_SNA_IsHistoricalPeriod,1,COLUMN())=FALSE,HP.MRFX,INDEX(MO_SPT_FXEoP,1,COLUMN()))</f>
        <v/>
      </c>
      <c r="BX996" s="1922">
        <f>IF(INDEX(MO_SNA_IsHistoricalPeriod,1,COLUMN())=FALSE,HP.MRFX,INDEX(MO_SPT_FXEoP,1,COLUMN()))</f>
        <v/>
      </c>
      <c r="BY996" s="1922">
        <f>IF(INDEX(MO_SNA_IsHistoricalPeriod,1,COLUMN())=FALSE,HP.MRFX,INDEX(MO_SPT_FXEoP,1,COLUMN()))</f>
        <v/>
      </c>
      <c r="BZ996" s="1922">
        <f>IF(INDEX(MO_SNA_IsHistoricalPeriod,1,COLUMN())=FALSE,HP.MRFX,INDEX(MO_SPT_FXEoP,1,COLUMN()))</f>
        <v/>
      </c>
      <c r="CA996" s="1922">
        <f>IF(INDEX(MO_SNA_IsHistoricalPeriod,1,COLUMN())=FALSE,HP.MRFX,INDEX(MO_SPT_FXEoP,1,COLUMN()))</f>
        <v/>
      </c>
      <c r="CB996" s="1925" t="n"/>
    </row>
    <row r="997" hidden="1" outlineLevel="1" ht="14.4" customFormat="1" customHeight="1" s="1905">
      <c r="A997" s="1906">
        <f>"Stock Price (Trading Cur.) - "&amp;MO.ValuationToggle&amp;", "&amp;HP.TradeCurrency</f>
        <v/>
      </c>
      <c r="B997" s="1907" t="n"/>
      <c r="C997" s="1908">
        <f>IF(INDEX(MO_SNA_IsHistoricalPeriod,1,COLUMN())=FALSE,MO.LastPrice,CHOOSE(VLOOKUP(MO.ValuationToggle,tb_ValuationToggle,COLUMNS(tb_ValuationToggle),FALSE),C991,C992,C993,C994))</f>
        <v/>
      </c>
      <c r="D997" s="1908">
        <f>IF(INDEX(MO_SNA_IsHistoricalPeriod,1,COLUMN())=FALSE,MO.LastPrice,CHOOSE(VLOOKUP(MO.ValuationToggle,tb_ValuationToggle,COLUMNS(tb_ValuationToggle),FALSE),D991,D992,D993,D994))</f>
        <v/>
      </c>
      <c r="E997" s="1908">
        <f>IF(INDEX(MO_SNA_IsHistoricalPeriod,1,COLUMN())=FALSE,MO.LastPrice,CHOOSE(VLOOKUP(MO.ValuationToggle,tb_ValuationToggle,COLUMNS(tb_ValuationToggle),FALSE),E991,E992,E993,E994))</f>
        <v/>
      </c>
      <c r="F997" s="1908">
        <f>IF(INDEX(MO_SNA_IsHistoricalPeriod,1,COLUMN())=FALSE,MO.LastPrice,CHOOSE(VLOOKUP(MO.ValuationToggle,tb_ValuationToggle,COLUMNS(tb_ValuationToggle),FALSE),F991,F992,F993,F994))</f>
        <v/>
      </c>
      <c r="G997" s="1909">
        <f>IF(INDEX(MO_SNA_IsHistoricalPeriod,1,COLUMN())=FALSE,MO.LastPrice,CHOOSE(VLOOKUP(MO.ValuationToggle,tb_ValuationToggle,COLUMNS(tb_ValuationToggle),FALSE),G991,G992,G993,G994))</f>
        <v/>
      </c>
      <c r="H997" s="1909">
        <f>IF(INDEX(MO_SNA_IsHistoricalPeriod,1,COLUMN())=FALSE,MO.LastPrice,CHOOSE(VLOOKUP(MO.ValuationToggle,tb_ValuationToggle,COLUMNS(tb_ValuationToggle),FALSE),H991,H992,H993,H994))</f>
        <v/>
      </c>
      <c r="I997" s="1909">
        <f>IF(INDEX(MO_SNA_IsHistoricalPeriod,1,COLUMN())=FALSE,MO.LastPrice,CHOOSE(VLOOKUP(MO.ValuationToggle,tb_ValuationToggle,COLUMNS(tb_ValuationToggle),FALSE),I991,I992,I993,I994))</f>
        <v/>
      </c>
      <c r="J997" s="1909">
        <f>IF(INDEX(MO_SNA_IsHistoricalPeriod,1,COLUMN())=FALSE,MO.LastPrice,CHOOSE(VLOOKUP(MO.ValuationToggle,tb_ValuationToggle,COLUMNS(tb_ValuationToggle),FALSE),J991,J992,J993,J994))</f>
        <v/>
      </c>
      <c r="K997" s="1908">
        <f>IF(INDEX(MO_SNA_IsHistoricalPeriod,1,COLUMN())=FALSE,MO.LastPrice,CHOOSE(VLOOKUP(MO.ValuationToggle,tb_ValuationToggle,COLUMNS(tb_ValuationToggle),FALSE),K991,K992,K993,K994))</f>
        <v/>
      </c>
      <c r="L997" s="1909">
        <f>IF(INDEX(MO_SNA_IsHistoricalPeriod,1,COLUMN())=FALSE,MO.LastPrice,CHOOSE(VLOOKUP(MO.ValuationToggle,tb_ValuationToggle,COLUMNS(tb_ValuationToggle),FALSE),L991,L992,L993,L994))</f>
        <v/>
      </c>
      <c r="M997" s="1909">
        <f>IF(INDEX(MO_SNA_IsHistoricalPeriod,1,COLUMN())=FALSE,MO.LastPrice,CHOOSE(VLOOKUP(MO.ValuationToggle,tb_ValuationToggle,COLUMNS(tb_ValuationToggle),FALSE),M991,M992,M993,M994))</f>
        <v/>
      </c>
      <c r="N997" s="1909">
        <f>IF(INDEX(MO_SNA_IsHistoricalPeriod,1,COLUMN())=FALSE,MO.LastPrice,CHOOSE(VLOOKUP(MO.ValuationToggle,tb_ValuationToggle,COLUMNS(tb_ValuationToggle),FALSE),N991,N992,N993,N994))</f>
        <v/>
      </c>
      <c r="O997" s="1909">
        <f>IF(INDEX(MO_SNA_IsHistoricalPeriod,1,COLUMN())=FALSE,MO.LastPrice,CHOOSE(VLOOKUP(MO.ValuationToggle,tb_ValuationToggle,COLUMNS(tb_ValuationToggle),FALSE),O991,O992,O993,O994))</f>
        <v/>
      </c>
      <c r="P997" s="1908">
        <f>IF(INDEX(MO_SNA_IsHistoricalPeriod,1,COLUMN())=FALSE,MO.LastPrice,CHOOSE(VLOOKUP(MO.ValuationToggle,tb_ValuationToggle,COLUMNS(tb_ValuationToggle),FALSE),P991,P992,P993,P994))</f>
        <v/>
      </c>
      <c r="Q997" s="1909">
        <f>IF(INDEX(MO_SNA_IsHistoricalPeriod,1,COLUMN())=FALSE,MO.LastPrice,CHOOSE(VLOOKUP(MO.ValuationToggle,tb_ValuationToggle,COLUMNS(tb_ValuationToggle),FALSE),Q991,Q992,Q993,Q994))</f>
        <v/>
      </c>
      <c r="R997" s="1909">
        <f>IF(INDEX(MO_SNA_IsHistoricalPeriod,1,COLUMN())=FALSE,MO.LastPrice,CHOOSE(VLOOKUP(MO.ValuationToggle,tb_ValuationToggle,COLUMNS(tb_ValuationToggle),FALSE),R991,R992,R993,R994))</f>
        <v/>
      </c>
      <c r="S997" s="1909">
        <f>IF(INDEX(MO_SNA_IsHistoricalPeriod,1,COLUMN())=FALSE,MO.LastPrice,CHOOSE(VLOOKUP(MO.ValuationToggle,tb_ValuationToggle,COLUMNS(tb_ValuationToggle),FALSE),S991,S992,S993,S994))</f>
        <v/>
      </c>
      <c r="T997" s="1909">
        <f>IF(INDEX(MO_SNA_IsHistoricalPeriod,1,COLUMN())=FALSE,MO.LastPrice,CHOOSE(VLOOKUP(MO.ValuationToggle,tb_ValuationToggle,COLUMNS(tb_ValuationToggle),FALSE),T991,T992,T993,T994))</f>
        <v/>
      </c>
      <c r="U997" s="1908">
        <f>IF(INDEX(MO_SNA_IsHistoricalPeriod,1,COLUMN())=FALSE,MO.LastPrice,CHOOSE(VLOOKUP(MO.ValuationToggle,tb_ValuationToggle,COLUMNS(tb_ValuationToggle),FALSE),U991,U992,U993,U994))</f>
        <v/>
      </c>
      <c r="V997" s="1909">
        <f>IF(INDEX(MO_SNA_IsHistoricalPeriod,1,COLUMN())=FALSE,MO.LastPrice,CHOOSE(VLOOKUP(MO.ValuationToggle,tb_ValuationToggle,COLUMNS(tb_ValuationToggle),FALSE),V991,V992,V993,V994))</f>
        <v/>
      </c>
      <c r="W997" s="1909">
        <f>IF(INDEX(MO_SNA_IsHistoricalPeriod,1,COLUMN())=FALSE,MO.LastPrice,CHOOSE(VLOOKUP(MO.ValuationToggle,tb_ValuationToggle,COLUMNS(tb_ValuationToggle),FALSE),W991,W992,W993,W994))</f>
        <v/>
      </c>
      <c r="X997" s="1909">
        <f>IF(INDEX(MO_SNA_IsHistoricalPeriod,1,COLUMN())=FALSE,MO.LastPrice,CHOOSE(VLOOKUP(MO.ValuationToggle,tb_ValuationToggle,COLUMNS(tb_ValuationToggle),FALSE),X991,X992,X993,X994))</f>
        <v/>
      </c>
      <c r="Y997" s="1909">
        <f>IF(INDEX(MO_SNA_IsHistoricalPeriod,1,COLUMN())=FALSE,MO.LastPrice,CHOOSE(VLOOKUP(MO.ValuationToggle,tb_ValuationToggle,COLUMNS(tb_ValuationToggle),FALSE),Y991,Y992,Y993,Y994))</f>
        <v/>
      </c>
      <c r="Z997" s="1716">
        <f>IF(INDEX(MO_SNA_IsHistoricalPeriod,1,COLUMN())=FALSE,MO.LastPrice,CHOOSE(VLOOKUP(MO.ValuationToggle,tb_ValuationToggle,COLUMNS(tb_ValuationToggle),FALSE),Z991,Z992,Z993,Z994))</f>
        <v/>
      </c>
      <c r="AA997" s="1909">
        <f>IF(INDEX(MO_SNA_IsHistoricalPeriod,1,COLUMN())=FALSE,MO.LastPrice,CHOOSE(VLOOKUP(MO.ValuationToggle,tb_ValuationToggle,COLUMNS(tb_ValuationToggle),FALSE),AA991,AA992,AA993,AA994))</f>
        <v/>
      </c>
      <c r="AB997" s="1909">
        <f>IF(INDEX(MO_SNA_IsHistoricalPeriod,1,COLUMN())=FALSE,MO.LastPrice,CHOOSE(VLOOKUP(MO.ValuationToggle,tb_ValuationToggle,COLUMNS(tb_ValuationToggle),FALSE),AB991,AB992,AB993,AB994))</f>
        <v/>
      </c>
      <c r="AC997" s="1909">
        <f>IF(INDEX(MO_SNA_IsHistoricalPeriod,1,COLUMN())=FALSE,MO.LastPrice,CHOOSE(VLOOKUP(MO.ValuationToggle,tb_ValuationToggle,COLUMNS(tb_ValuationToggle),FALSE),AC991,AC992,AC993,AC994))</f>
        <v/>
      </c>
      <c r="AD997" s="1909">
        <f>IF(INDEX(MO_SNA_IsHistoricalPeriod,1,COLUMN())=FALSE,MO.LastPrice,CHOOSE(VLOOKUP(MO.ValuationToggle,tb_ValuationToggle,COLUMNS(tb_ValuationToggle),FALSE),AD991,AD992,AD993,AD994))</f>
        <v/>
      </c>
      <c r="AE997" s="1716">
        <f>IF(INDEX(MO_SNA_IsHistoricalPeriod,1,COLUMN())=FALSE,MO.LastPrice,CHOOSE(VLOOKUP(MO.ValuationToggle,tb_ValuationToggle,COLUMNS(tb_ValuationToggle),FALSE),AE991,AE992,AE993,AE994))</f>
        <v/>
      </c>
      <c r="AF997" s="1909">
        <f>IF(INDEX(MO_SNA_IsHistoricalPeriod,1,COLUMN())=FALSE,MO.LastPrice,CHOOSE(VLOOKUP(MO.ValuationToggle,tb_ValuationToggle,COLUMNS(tb_ValuationToggle),FALSE),AF991,AF992,AF993,AF994))</f>
        <v/>
      </c>
      <c r="AG997" s="1909">
        <f>IF(INDEX(MO_SNA_IsHistoricalPeriod,1,COLUMN())=FALSE,MO.LastPrice,CHOOSE(VLOOKUP(MO.ValuationToggle,tb_ValuationToggle,COLUMNS(tb_ValuationToggle),FALSE),AG991,AG992,AG993,AG994))</f>
        <v/>
      </c>
      <c r="AH997" s="1909">
        <f>IF(INDEX(MO_SNA_IsHistoricalPeriod,1,COLUMN())=FALSE,MO.LastPrice,CHOOSE(VLOOKUP(MO.ValuationToggle,tb_ValuationToggle,COLUMNS(tb_ValuationToggle),FALSE),AH991,AH992,AH993,AH994))</f>
        <v/>
      </c>
      <c r="AI997" s="1909">
        <f>IF(INDEX(MO_SNA_IsHistoricalPeriod,1,COLUMN())=FALSE,MO.LastPrice,CHOOSE(VLOOKUP(MO.ValuationToggle,tb_ValuationToggle,COLUMNS(tb_ValuationToggle),FALSE),AI991,AI992,AI993,AI994))</f>
        <v/>
      </c>
      <c r="AJ997" s="1716">
        <f>IF(INDEX(MO_SNA_IsHistoricalPeriod,1,COLUMN())=FALSE,MO.LastPrice,CHOOSE(VLOOKUP(MO.ValuationToggle,tb_ValuationToggle,COLUMNS(tb_ValuationToggle),FALSE),AJ991,AJ992,AJ993,AJ994))</f>
        <v/>
      </c>
      <c r="AK997" s="1909">
        <f>IF(INDEX(MO_SNA_IsHistoricalPeriod,1,COLUMN())=FALSE,MO.LastPrice,CHOOSE(VLOOKUP(MO.ValuationToggle,tb_ValuationToggle,COLUMNS(tb_ValuationToggle),FALSE),AK991,AK992,AK993,AK994))</f>
        <v/>
      </c>
      <c r="AL997" s="1909">
        <f>IF(INDEX(MO_SNA_IsHistoricalPeriod,1,COLUMN())=FALSE,MO.LastPrice,CHOOSE(VLOOKUP(MO.ValuationToggle,tb_ValuationToggle,COLUMNS(tb_ValuationToggle),FALSE),AL991,AL992,AL993,AL994))</f>
        <v/>
      </c>
      <c r="AM997" s="1909">
        <f>IF(INDEX(MO_SNA_IsHistoricalPeriod,1,COLUMN())=FALSE,MO.LastPrice,CHOOSE(VLOOKUP(MO.ValuationToggle,tb_ValuationToggle,COLUMNS(tb_ValuationToggle),FALSE),AM991,AM992,AM993,AM994))</f>
        <v/>
      </c>
      <c r="AN997" s="1909">
        <f>IF(INDEX(MO_SNA_IsHistoricalPeriod,1,COLUMN())=FALSE,MO.LastPrice,CHOOSE(VLOOKUP(MO.ValuationToggle,tb_ValuationToggle,COLUMNS(tb_ValuationToggle),FALSE),AN991,AN992,AN993,AN994))</f>
        <v/>
      </c>
      <c r="AO997" s="1716">
        <f>IF(INDEX(MO_SNA_IsHistoricalPeriod,1,COLUMN())=FALSE,MO.LastPrice,CHOOSE(VLOOKUP(MO.ValuationToggle,tb_ValuationToggle,COLUMNS(tb_ValuationToggle),FALSE),AO991,AO992,AO993,AO994))</f>
        <v/>
      </c>
      <c r="AP997" s="1909">
        <f>IF(INDEX(MO_SNA_IsHistoricalPeriod,1,COLUMN())=FALSE,MO.LastPrice,CHOOSE(VLOOKUP(MO.ValuationToggle,tb_ValuationToggle,COLUMNS(tb_ValuationToggle),FALSE),AP991,AP992,AP993,AP994))</f>
        <v/>
      </c>
      <c r="AQ997" s="1909">
        <f>IF(INDEX(MO_SNA_IsHistoricalPeriod,1,COLUMN())=FALSE,MO.LastPrice,CHOOSE(VLOOKUP(MO.ValuationToggle,tb_ValuationToggle,COLUMNS(tb_ValuationToggle),FALSE),AQ991,AQ992,AQ993,AQ994))</f>
        <v/>
      </c>
      <c r="AR997" s="1909">
        <f>IF(INDEX(MO_SNA_IsHistoricalPeriod,1,COLUMN())=FALSE,MO.LastPrice,CHOOSE(VLOOKUP(MO.ValuationToggle,tb_ValuationToggle,COLUMNS(tb_ValuationToggle),FALSE),AR991,AR992,AR993,AR994))</f>
        <v/>
      </c>
      <c r="AS997" s="1909">
        <f>IF(INDEX(MO_SNA_IsHistoricalPeriod,1,COLUMN())=FALSE,MO.LastPrice,CHOOSE(VLOOKUP(MO.ValuationToggle,tb_ValuationToggle,COLUMNS(tb_ValuationToggle),FALSE),AS991,AS992,AS993,AS994))</f>
        <v/>
      </c>
      <c r="AT997" s="1716">
        <f>IF(INDEX(MO_SNA_IsHistoricalPeriod,1,COLUMN())=FALSE,MO.LastPrice,CHOOSE(VLOOKUP(MO.ValuationToggle,tb_ValuationToggle,COLUMNS(tb_ValuationToggle),FALSE),AT991,AT992,AT993,AT994))</f>
        <v/>
      </c>
      <c r="AU997" s="1909">
        <f>IF(INDEX(MO_SNA_IsHistoricalPeriod,1,COLUMN())=FALSE,MO.LastPrice,CHOOSE(VLOOKUP(MO.ValuationToggle,tb_ValuationToggle,COLUMNS(tb_ValuationToggle),FALSE),AU991,AU992,AU993,AU994))</f>
        <v/>
      </c>
      <c r="AV997" s="1909">
        <f>IF(INDEX(MO_SNA_IsHistoricalPeriod,1,COLUMN())=FALSE,MO.LastPrice,CHOOSE(VLOOKUP(MO.ValuationToggle,tb_ValuationToggle,COLUMNS(tb_ValuationToggle),FALSE),AV991,AV992,AV993,AV994))</f>
        <v/>
      </c>
      <c r="AW997" s="1909">
        <f>IF(INDEX(MO_SNA_IsHistoricalPeriod,1,COLUMN())=FALSE,MO.LastPrice,CHOOSE(VLOOKUP(MO.ValuationToggle,tb_ValuationToggle,COLUMNS(tb_ValuationToggle),FALSE),AW991,AW992,AW993,AW994))</f>
        <v/>
      </c>
      <c r="AX997" s="1909">
        <f>IF(INDEX(MO_SNA_IsHistoricalPeriod,1,COLUMN())=FALSE,MO.LastPrice,CHOOSE(VLOOKUP(MO.ValuationToggle,tb_ValuationToggle,COLUMNS(tb_ValuationToggle),FALSE),AX991,AX992,AX993,AX994))</f>
        <v/>
      </c>
      <c r="AY997" s="1716">
        <f>IF(INDEX(MO_SNA_IsHistoricalPeriod,1,COLUMN())=FALSE,MO.LastPrice,CHOOSE(VLOOKUP(MO.ValuationToggle,tb_ValuationToggle,COLUMNS(tb_ValuationToggle),FALSE),AY991,AY992,AY993,AY994))</f>
        <v/>
      </c>
      <c r="AZ997" s="1909">
        <f>IF(INDEX(MO_SNA_IsHistoricalPeriod,1,COLUMN())=FALSE,MO.LastPrice,CHOOSE(VLOOKUP(MO.ValuationToggle,tb_ValuationToggle,COLUMNS(tb_ValuationToggle),FALSE),AZ991,AZ992,AZ993,AZ994))</f>
        <v/>
      </c>
      <c r="BA997" s="1909">
        <f>IF(INDEX(MO_SNA_IsHistoricalPeriod,1,COLUMN())=FALSE,MO.LastPrice,CHOOSE(VLOOKUP(MO.ValuationToggle,tb_ValuationToggle,COLUMNS(tb_ValuationToggle),FALSE),BA991,BA992,BA993,BA994))</f>
        <v/>
      </c>
      <c r="BB997" s="1909">
        <f>IF(INDEX(MO_SNA_IsHistoricalPeriod,1,COLUMN())=FALSE,MO.LastPrice,CHOOSE(VLOOKUP(MO.ValuationToggle,tb_ValuationToggle,COLUMNS(tb_ValuationToggle),FALSE),BB991,BB992,BB993,BB994))</f>
        <v/>
      </c>
      <c r="BC997" s="1909">
        <f>IF(INDEX(MO_SNA_IsHistoricalPeriod,1,COLUMN())=FALSE,MO.LastPrice,CHOOSE(VLOOKUP(MO.ValuationToggle,tb_ValuationToggle,COLUMNS(tb_ValuationToggle),FALSE),BC991,BC992,BC993,BC994))</f>
        <v/>
      </c>
      <c r="BD997" s="1716">
        <f>IF(INDEX(MO_SNA_IsHistoricalPeriod,1,COLUMN())=FALSE,MO.LastPrice,CHOOSE(VLOOKUP(MO.ValuationToggle,tb_ValuationToggle,COLUMNS(tb_ValuationToggle),FALSE),BD991,BD992,BD993,BD994))</f>
        <v/>
      </c>
      <c r="BE997" s="1909">
        <f>IF(INDEX(MO_SNA_IsHistoricalPeriod,1,COLUMN())=FALSE,MO.LastPrice,CHOOSE(VLOOKUP(MO.ValuationToggle,tb_ValuationToggle,COLUMNS(tb_ValuationToggle),FALSE),BE991,BE992,BE993,BE994))</f>
        <v/>
      </c>
      <c r="BF997" s="1909">
        <f>IF(INDEX(MO_SNA_IsHistoricalPeriod,1,COLUMN())=FALSE,MO.LastPrice,CHOOSE(VLOOKUP(MO.ValuationToggle,tb_ValuationToggle,COLUMNS(tb_ValuationToggle),FALSE),BF991,BF992,BF993,BF994))</f>
        <v/>
      </c>
      <c r="BG997" s="1909">
        <f>IF(INDEX(MO_SNA_IsHistoricalPeriod,1,COLUMN())=FALSE,MO.LastPrice,CHOOSE(VLOOKUP(MO.ValuationToggle,tb_ValuationToggle,COLUMNS(tb_ValuationToggle),FALSE),BG991,BG992,BG993,BG994))</f>
        <v/>
      </c>
      <c r="BH997" s="1909">
        <f>IF(INDEX(MO_SNA_IsHistoricalPeriod,1,COLUMN())=FALSE,MO.LastPrice,CHOOSE(VLOOKUP(MO.ValuationToggle,tb_ValuationToggle,COLUMNS(tb_ValuationToggle),FALSE),BH991,BH992,BH993,BH994))</f>
        <v/>
      </c>
      <c r="BI997" s="1716">
        <f>IF(INDEX(MO_SNA_IsHistoricalPeriod,1,COLUMN())=FALSE,MO.LastPrice,CHOOSE(VLOOKUP(MO.ValuationToggle,tb_ValuationToggle,COLUMNS(tb_ValuationToggle),FALSE),BI991,BI992,BI993,BI994))</f>
        <v/>
      </c>
      <c r="BJ997" s="1909">
        <f>IF(INDEX(MO_SNA_IsHistoricalPeriod,1,COLUMN())=FALSE,MO.LastPrice,CHOOSE(VLOOKUP(MO.ValuationToggle,tb_ValuationToggle,COLUMNS(tb_ValuationToggle),FALSE),BJ991,BJ992,BJ993,BJ994))</f>
        <v/>
      </c>
      <c r="BK997" s="1909">
        <f>IF(INDEX(MO_SNA_IsHistoricalPeriod,1,COLUMN())=FALSE,MO.LastPrice,CHOOSE(VLOOKUP(MO.ValuationToggle,tb_ValuationToggle,COLUMNS(tb_ValuationToggle),FALSE),BK991,BK992,BK993,BK994))</f>
        <v/>
      </c>
      <c r="BL997" s="1909">
        <f>IF(INDEX(MO_SNA_IsHistoricalPeriod,1,COLUMN())=FALSE,MO.LastPrice,CHOOSE(VLOOKUP(MO.ValuationToggle,tb_ValuationToggle,COLUMNS(tb_ValuationToggle),FALSE),BL991,BL992,BL993,BL994))</f>
        <v/>
      </c>
      <c r="BM997" s="1909">
        <f>IF(INDEX(MO_SNA_IsHistoricalPeriod,1,COLUMN())=FALSE,MO.LastPrice,CHOOSE(VLOOKUP(MO.ValuationToggle,tb_ValuationToggle,COLUMNS(tb_ValuationToggle),FALSE),BM991,BM992,BM993,BM994))</f>
        <v/>
      </c>
      <c r="BN997" s="1716">
        <f>IF(INDEX(MO_SNA_IsHistoricalPeriod,1,COLUMN())=FALSE,MO.LastPrice,CHOOSE(VLOOKUP(MO.ValuationToggle,tb_ValuationToggle,COLUMNS(tb_ValuationToggle),FALSE),BN991,BN992,BN993,BN994))</f>
        <v/>
      </c>
      <c r="BO997" s="1909">
        <f>IF(INDEX(MO_SNA_IsHistoricalPeriod,1,COLUMN())=FALSE,MO.LastPrice,CHOOSE(VLOOKUP(MO.ValuationToggle,tb_ValuationToggle,COLUMNS(tb_ValuationToggle),FALSE),BO991,BO992,BO993,BO994))</f>
        <v/>
      </c>
      <c r="BP997" s="1909">
        <f>IF(INDEX(MO_SNA_IsHistoricalPeriod,1,COLUMN())=FALSE,MO.LastPrice,CHOOSE(VLOOKUP(MO.ValuationToggle,tb_ValuationToggle,COLUMNS(tb_ValuationToggle),FALSE),BP991,BP992,BP993,BP994))</f>
        <v/>
      </c>
      <c r="BQ997" s="1910">
        <f>IF(INDEX(MO_SNA_IsHistoricalPeriod,1,COLUMN())=FALSE,MO.LastPrice,CHOOSE(VLOOKUP(MO.ValuationToggle,tb_ValuationToggle,COLUMNS(tb_ValuationToggle),FALSE),BQ991,BQ992,BQ993,BQ994))</f>
        <v/>
      </c>
      <c r="BR997" s="1911">
        <f>IF(INDEX(MO_SNA_IsHistoricalPeriod,1,COLUMN())=FALSE,MO.LastPrice,CHOOSE(VLOOKUP(MO.ValuationToggle,tb_ValuationToggle,COLUMNS(tb_ValuationToggle),FALSE),BR991,BR992,BR993,BR994))</f>
        <v/>
      </c>
      <c r="BS997" s="1716">
        <f>IF(INDEX(MO_SNA_IsHistoricalPeriod,1,COLUMN())=FALSE,MO.LastPrice,CHOOSE(VLOOKUP(MO.ValuationToggle,tb_ValuationToggle,COLUMNS(tb_ValuationToggle),FALSE),BS991,BS992,BS993,BS994))</f>
        <v/>
      </c>
      <c r="BT997" s="1911">
        <f>IF(INDEX(MO_SNA_IsHistoricalPeriod,1,COLUMN())=FALSE,MO.LastPrice,CHOOSE(VLOOKUP(MO.ValuationToggle,tb_ValuationToggle,COLUMNS(tb_ValuationToggle),FALSE),BT991,BT992,BT993,BT994))</f>
        <v/>
      </c>
      <c r="BU997" s="1911">
        <f>IF(INDEX(MO_SNA_IsHistoricalPeriod,1,COLUMN())=FALSE,MO.LastPrice,CHOOSE(VLOOKUP(MO.ValuationToggle,tb_ValuationToggle,COLUMNS(tb_ValuationToggle),FALSE),BU991,BU992,BU993,BU994))</f>
        <v/>
      </c>
      <c r="BV997" s="1911">
        <f>IF(INDEX(MO_SNA_IsHistoricalPeriod,1,COLUMN())=FALSE,MO.LastPrice,CHOOSE(VLOOKUP(MO.ValuationToggle,tb_ValuationToggle,COLUMNS(tb_ValuationToggle),FALSE),BV991,BV992,BV993,BV994))</f>
        <v/>
      </c>
      <c r="BW997" s="1911">
        <f>IF(INDEX(MO_SNA_IsHistoricalPeriod,1,COLUMN())=FALSE,MO.LastPrice,CHOOSE(VLOOKUP(MO.ValuationToggle,tb_ValuationToggle,COLUMNS(tb_ValuationToggle),FALSE),BW991,BW992,BW993,BW994))</f>
        <v/>
      </c>
      <c r="BX997" s="1716">
        <f>IF(INDEX(MO_SNA_IsHistoricalPeriod,1,COLUMN())=FALSE,MO.LastPrice,CHOOSE(VLOOKUP(MO.ValuationToggle,tb_ValuationToggle,COLUMNS(tb_ValuationToggle),FALSE),BX991,BX992,BX993,BX994))</f>
        <v/>
      </c>
      <c r="BY997" s="1716">
        <f>IF(INDEX(MO_SNA_IsHistoricalPeriod,1,COLUMN())=FALSE,MO.LastPrice,CHOOSE(VLOOKUP(MO.ValuationToggle,tb_ValuationToggle,COLUMNS(tb_ValuationToggle),FALSE),BY991,BY992,BY993,BY994))</f>
        <v/>
      </c>
      <c r="BZ997" s="1716">
        <f>IF(INDEX(MO_SNA_IsHistoricalPeriod,1,COLUMN())=FALSE,MO.LastPrice,CHOOSE(VLOOKUP(MO.ValuationToggle,tb_ValuationToggle,COLUMNS(tb_ValuationToggle),FALSE),BZ991,BZ992,BZ993,BZ994))</f>
        <v/>
      </c>
      <c r="CA997" s="1716">
        <f>IF(INDEX(MO_SNA_IsHistoricalPeriod,1,COLUMN())=FALSE,MO.LastPrice,CHOOSE(VLOOKUP(MO.ValuationToggle,tb_ValuationToggle,COLUMNS(tb_ValuationToggle),FALSE),CA991,CA992,CA993,CA994))</f>
        <v/>
      </c>
      <c r="CB997" s="1718" t="n"/>
    </row>
    <row r="998" hidden="1" outlineLevel="1" ht="14.4" customFormat="1" customHeight="1" s="1359">
      <c r="A998" s="1474" t="n"/>
      <c r="B998" s="1512" t="n"/>
      <c r="C998" s="1379" t="n"/>
      <c r="D998" s="1379" t="n"/>
      <c r="E998" s="1379" t="n"/>
      <c r="F998" s="1379" t="n"/>
      <c r="G998" s="1361" t="n"/>
      <c r="H998" s="1361" t="n"/>
      <c r="I998" s="1361" t="n"/>
      <c r="J998" s="1361" t="n"/>
      <c r="K998" s="1379" t="n"/>
      <c r="L998" s="1361" t="n"/>
      <c r="M998" s="1361" t="n"/>
      <c r="N998" s="1361" t="n"/>
      <c r="O998" s="1361" t="n"/>
      <c r="P998" s="1379" t="n"/>
      <c r="Q998" s="1361" t="n"/>
      <c r="R998" s="1361" t="n"/>
      <c r="S998" s="1361" t="n"/>
      <c r="T998" s="1361" t="n"/>
      <c r="U998" s="1379" t="n"/>
      <c r="V998" s="1361" t="n"/>
      <c r="W998" s="1361" t="n"/>
      <c r="X998" s="1361" t="n"/>
      <c r="Y998" s="1361" t="n"/>
      <c r="Z998" s="1379" t="n"/>
      <c r="AA998" s="1361" t="n"/>
      <c r="AB998" s="1361" t="n"/>
      <c r="AC998" s="1361" t="n"/>
      <c r="AD998" s="1361" t="n"/>
      <c r="AE998" s="1379" t="n"/>
      <c r="AF998" s="1361" t="n"/>
      <c r="AG998" s="1361" t="n"/>
      <c r="AH998" s="1361" t="n"/>
      <c r="AI998" s="1361" t="n"/>
      <c r="AJ998" s="1379" t="n"/>
      <c r="AK998" s="1361" t="n"/>
      <c r="AL998" s="1361" t="n"/>
      <c r="AM998" s="1361" t="n"/>
      <c r="AN998" s="1361" t="n"/>
      <c r="AO998" s="1379" t="n"/>
      <c r="AP998" s="1361" t="n"/>
      <c r="AQ998" s="1361" t="n"/>
      <c r="AR998" s="1361" t="n"/>
      <c r="AS998" s="1361" t="n"/>
      <c r="AT998" s="1379" t="n"/>
      <c r="AU998" s="1361" t="n"/>
      <c r="AV998" s="1361" t="n"/>
      <c r="AW998" s="1361" t="n"/>
      <c r="AX998" s="1361" t="n"/>
      <c r="AY998" s="1379" t="n"/>
      <c r="AZ998" s="1361" t="n"/>
      <c r="BA998" s="1361" t="n"/>
      <c r="BB998" s="1361" t="n"/>
      <c r="BC998" s="1361" t="n"/>
      <c r="BD998" s="1379" t="n"/>
      <c r="BE998" s="1361" t="n"/>
      <c r="BF998" s="1361" t="n"/>
      <c r="BG998" s="1361" t="n"/>
      <c r="BH998" s="1361" t="n"/>
      <c r="BI998" s="1379" t="n"/>
      <c r="BJ998" s="1361" t="n"/>
      <c r="BK998" s="1361" t="n"/>
      <c r="BL998" s="1361" t="n"/>
      <c r="BM998" s="1361" t="n"/>
      <c r="BN998" s="1379" t="n"/>
      <c r="BO998" s="1361" t="n"/>
      <c r="BP998" s="1361" t="n"/>
      <c r="BQ998" s="1363" t="n"/>
      <c r="BR998" s="1361" t="n"/>
      <c r="BS998" s="1379" t="n"/>
      <c r="BT998" s="1361" t="n"/>
      <c r="BU998" s="1361" t="n"/>
      <c r="BV998" s="1361" t="n"/>
      <c r="BW998" s="1361" t="n"/>
      <c r="BX998" s="1379" t="n"/>
      <c r="BY998" s="1379" t="n"/>
      <c r="BZ998" s="1379" t="n"/>
      <c r="CA998" s="1379" t="n"/>
      <c r="CB998" s="1364" t="n"/>
    </row>
    <row r="999" hidden="1" outlineLevel="1" ht="14.4" customFormat="1" customHeight="1" s="1372">
      <c r="A999" s="1926" t="inlineStr">
        <is>
          <t>Enterprise Value Components</t>
        </is>
      </c>
      <c r="B999" s="1517" t="n"/>
      <c r="C999" s="1449" t="n"/>
      <c r="D999" s="1449" t="n"/>
      <c r="E999" s="1449" t="n"/>
      <c r="F999" s="1449" t="n"/>
      <c r="G999" s="1450" t="n"/>
      <c r="H999" s="1450" t="n"/>
      <c r="I999" s="1450" t="n"/>
      <c r="J999" s="1450" t="n"/>
      <c r="K999" s="1449" t="n"/>
      <c r="L999" s="1450" t="n"/>
      <c r="M999" s="1450" t="n"/>
      <c r="N999" s="1450" t="n"/>
      <c r="O999" s="1450" t="n"/>
      <c r="P999" s="1449" t="n"/>
      <c r="Q999" s="1450" t="n"/>
      <c r="R999" s="1450" t="n"/>
      <c r="S999" s="1450" t="n"/>
      <c r="T999" s="1450" t="n"/>
      <c r="U999" s="1449" t="n"/>
      <c r="V999" s="1450" t="n"/>
      <c r="W999" s="1450" t="n"/>
      <c r="X999" s="1450" t="n"/>
      <c r="Y999" s="1450" t="n"/>
      <c r="Z999" s="1449" t="n"/>
      <c r="AA999" s="1450" t="n"/>
      <c r="AB999" s="1450" t="n"/>
      <c r="AC999" s="1450" t="n"/>
      <c r="AD999" s="1450" t="n"/>
      <c r="AE999" s="1449" t="n"/>
      <c r="AF999" s="1450" t="n"/>
      <c r="AG999" s="1450" t="n"/>
      <c r="AH999" s="1450" t="n"/>
      <c r="AI999" s="1450" t="n"/>
      <c r="AJ999" s="1449" t="n"/>
      <c r="AK999" s="1450" t="n"/>
      <c r="AL999" s="1450" t="n"/>
      <c r="AM999" s="1450" t="n"/>
      <c r="AN999" s="1450" t="n"/>
      <c r="AO999" s="1449" t="n"/>
      <c r="AP999" s="1450" t="n"/>
      <c r="AQ999" s="1450" t="n"/>
      <c r="AR999" s="1450" t="n"/>
      <c r="AS999" s="1450" t="n"/>
      <c r="AT999" s="1449" t="n"/>
      <c r="AU999" s="1450" t="n"/>
      <c r="AV999" s="1450" t="n"/>
      <c r="AW999" s="1450" t="n"/>
      <c r="AX999" s="1450" t="n"/>
      <c r="AY999" s="1449" t="n"/>
      <c r="AZ999" s="1450" t="n"/>
      <c r="BA999" s="1450" t="n"/>
      <c r="BB999" s="1450" t="n"/>
      <c r="BC999" s="1450" t="n"/>
      <c r="BD999" s="1449" t="n"/>
      <c r="BE999" s="1450" t="n"/>
      <c r="BF999" s="1450" t="n"/>
      <c r="BG999" s="1450" t="n"/>
      <c r="BH999" s="1450" t="n"/>
      <c r="BI999" s="1449" t="n"/>
      <c r="BJ999" s="1450" t="n"/>
      <c r="BK999" s="1450" t="n"/>
      <c r="BL999" s="1450" t="n"/>
      <c r="BM999" s="1450" t="n"/>
      <c r="BN999" s="1449" t="n"/>
      <c r="BO999" s="1450" t="n"/>
      <c r="BP999" s="1450" t="n"/>
      <c r="BQ999" s="1451" t="n"/>
      <c r="BR999" s="1450" t="n"/>
      <c r="BS999" s="1449" t="n"/>
      <c r="BT999" s="1450" t="n"/>
      <c r="BU999" s="1450" t="n"/>
      <c r="BV999" s="1450" t="n"/>
      <c r="BW999" s="1450" t="n"/>
      <c r="BX999" s="1449" t="n"/>
      <c r="BY999" s="1449" t="n"/>
      <c r="BZ999" s="1449" t="n"/>
      <c r="CA999" s="1449" t="n"/>
      <c r="CB999" s="1375" t="n"/>
    </row>
    <row r="1000" hidden="1" outlineLevel="1" ht="14.4" customFormat="1" customHeight="1" s="1359">
      <c r="A1000" s="1376" t="inlineStr">
        <is>
          <t>Noncontrolling Interest</t>
        </is>
      </c>
      <c r="B1000" s="1512" t="n"/>
      <c r="C1000" s="1378">
        <f>C1251</f>
        <v/>
      </c>
      <c r="D1000" s="1378">
        <f>D1251</f>
        <v/>
      </c>
      <c r="E1000" s="1378">
        <f>E1251</f>
        <v/>
      </c>
      <c r="F1000" s="1378">
        <f>F1251</f>
        <v/>
      </c>
      <c r="G1000" s="1364">
        <f>G1251</f>
        <v/>
      </c>
      <c r="H1000" s="1364">
        <f>H1251</f>
        <v/>
      </c>
      <c r="I1000" s="1364">
        <f>I1251</f>
        <v/>
      </c>
      <c r="J1000" s="1364">
        <f>J1251</f>
        <v/>
      </c>
      <c r="K1000" s="1378">
        <f>K1251</f>
        <v/>
      </c>
      <c r="L1000" s="1364">
        <f>L1251</f>
        <v/>
      </c>
      <c r="M1000" s="1364">
        <f>M1251</f>
        <v/>
      </c>
      <c r="N1000" s="1364">
        <f>N1251</f>
        <v/>
      </c>
      <c r="O1000" s="1364">
        <f>O1251</f>
        <v/>
      </c>
      <c r="P1000" s="1378">
        <f>P1251</f>
        <v/>
      </c>
      <c r="Q1000" s="1364">
        <f>Q1251</f>
        <v/>
      </c>
      <c r="R1000" s="1364">
        <f>R1251</f>
        <v/>
      </c>
      <c r="S1000" s="1364">
        <f>S1251</f>
        <v/>
      </c>
      <c r="T1000" s="1364">
        <f>T1251</f>
        <v/>
      </c>
      <c r="U1000" s="1378">
        <f>U1251</f>
        <v/>
      </c>
      <c r="V1000" s="1364">
        <f>V1251</f>
        <v/>
      </c>
      <c r="W1000" s="1364">
        <f>W1251</f>
        <v/>
      </c>
      <c r="X1000" s="1364">
        <f>X1251</f>
        <v/>
      </c>
      <c r="Y1000" s="1361">
        <f>Y1251</f>
        <v/>
      </c>
      <c r="Z1000" s="1379">
        <f>Z1251</f>
        <v/>
      </c>
      <c r="AA1000" s="1364">
        <f>AA1251</f>
        <v/>
      </c>
      <c r="AB1000" s="1364">
        <f>AB1251</f>
        <v/>
      </c>
      <c r="AC1000" s="1364">
        <f>AC1251</f>
        <v/>
      </c>
      <c r="AD1000" s="1361">
        <f>AD1251</f>
        <v/>
      </c>
      <c r="AE1000" s="1379">
        <f>AE1251</f>
        <v/>
      </c>
      <c r="AF1000" s="1364">
        <f>AF1251</f>
        <v/>
      </c>
      <c r="AG1000" s="1364">
        <f>AG1251</f>
        <v/>
      </c>
      <c r="AH1000" s="1364">
        <f>AH1251</f>
        <v/>
      </c>
      <c r="AI1000" s="1361">
        <f>AI1251</f>
        <v/>
      </c>
      <c r="AJ1000" s="1379">
        <f>AJ1251</f>
        <v/>
      </c>
      <c r="AK1000" s="1364">
        <f>AK1251</f>
        <v/>
      </c>
      <c r="AL1000" s="1364">
        <f>AL1251</f>
        <v/>
      </c>
      <c r="AM1000" s="1364">
        <f>AM1251</f>
        <v/>
      </c>
      <c r="AN1000" s="1361">
        <f>AN1251</f>
        <v/>
      </c>
      <c r="AO1000" s="1379">
        <f>AO1251</f>
        <v/>
      </c>
      <c r="AP1000" s="1364">
        <f>AP1251</f>
        <v/>
      </c>
      <c r="AQ1000" s="1364">
        <f>AQ1251</f>
        <v/>
      </c>
      <c r="AR1000" s="1364">
        <f>AR1251</f>
        <v/>
      </c>
      <c r="AS1000" s="1361">
        <f>AS1251</f>
        <v/>
      </c>
      <c r="AT1000" s="1379">
        <f>AT1251</f>
        <v/>
      </c>
      <c r="AU1000" s="1364">
        <f>AU1251</f>
        <v/>
      </c>
      <c r="AV1000" s="1364">
        <f>AV1251</f>
        <v/>
      </c>
      <c r="AW1000" s="1364">
        <f>AW1251</f>
        <v/>
      </c>
      <c r="AX1000" s="1361">
        <f>AX1251</f>
        <v/>
      </c>
      <c r="AY1000" s="1379">
        <f>AY1251</f>
        <v/>
      </c>
      <c r="AZ1000" s="1364">
        <f>AZ1251</f>
        <v/>
      </c>
      <c r="BA1000" s="1364">
        <f>BA1251</f>
        <v/>
      </c>
      <c r="BB1000" s="1364">
        <f>BB1251</f>
        <v/>
      </c>
      <c r="BC1000" s="1361">
        <f>BC1251</f>
        <v/>
      </c>
      <c r="BD1000" s="1379">
        <f>BD1251</f>
        <v/>
      </c>
      <c r="BE1000" s="1364">
        <f>BE1251</f>
        <v/>
      </c>
      <c r="BF1000" s="1364">
        <f>BF1251</f>
        <v/>
      </c>
      <c r="BG1000" s="1364">
        <f>BG1251</f>
        <v/>
      </c>
      <c r="BH1000" s="1361">
        <f>BH1251</f>
        <v/>
      </c>
      <c r="BI1000" s="1379">
        <f>BI1251</f>
        <v/>
      </c>
      <c r="BJ1000" s="1364">
        <f>BJ1251</f>
        <v/>
      </c>
      <c r="BK1000" s="1364">
        <f>BK1251</f>
        <v/>
      </c>
      <c r="BL1000" s="1364">
        <f>BL1251</f>
        <v/>
      </c>
      <c r="BM1000" s="1361">
        <f>BM1251</f>
        <v/>
      </c>
      <c r="BN1000" s="1379">
        <f>BN1251</f>
        <v/>
      </c>
      <c r="BO1000" s="1364">
        <f>BO1251</f>
        <v/>
      </c>
      <c r="BP1000" s="1364">
        <f>BP1251</f>
        <v/>
      </c>
      <c r="BQ1000" s="1395">
        <f>BQ1251</f>
        <v/>
      </c>
      <c r="BR1000" s="1361">
        <f>BR1251</f>
        <v/>
      </c>
      <c r="BS1000" s="1379">
        <f>BS1251</f>
        <v/>
      </c>
      <c r="BT1000" s="1361">
        <f>BT1251</f>
        <v/>
      </c>
      <c r="BU1000" s="1361">
        <f>BU1251</f>
        <v/>
      </c>
      <c r="BV1000" s="1361">
        <f>BV1251</f>
        <v/>
      </c>
      <c r="BW1000" s="1361">
        <f>BW1251</f>
        <v/>
      </c>
      <c r="BX1000" s="1379">
        <f>BX1251</f>
        <v/>
      </c>
      <c r="BY1000" s="1379">
        <f>BY1251</f>
        <v/>
      </c>
      <c r="BZ1000" s="1379">
        <f>BZ1251</f>
        <v/>
      </c>
      <c r="CA1000" s="1379">
        <f>CA1251</f>
        <v/>
      </c>
      <c r="CB1000" s="1364" t="n"/>
    </row>
    <row r="1001" hidden="1" outlineLevel="1" ht="14.4" customFormat="1" customHeight="1" s="1359">
      <c r="A1001" s="1376" t="inlineStr">
        <is>
          <t>Preferred Shares</t>
        </is>
      </c>
      <c r="B1001" s="1512" t="n"/>
      <c r="C1001" s="1378">
        <f>C1245</f>
        <v/>
      </c>
      <c r="D1001" s="1378">
        <f>D1245</f>
        <v/>
      </c>
      <c r="E1001" s="1378">
        <f>E1245</f>
        <v/>
      </c>
      <c r="F1001" s="1378">
        <f>F1245</f>
        <v/>
      </c>
      <c r="G1001" s="1364">
        <f>G1245</f>
        <v/>
      </c>
      <c r="H1001" s="1364">
        <f>H1245</f>
        <v/>
      </c>
      <c r="I1001" s="1364">
        <f>I1245</f>
        <v/>
      </c>
      <c r="J1001" s="1364">
        <f>J1245</f>
        <v/>
      </c>
      <c r="K1001" s="1378">
        <f>K1245</f>
        <v/>
      </c>
      <c r="L1001" s="1364">
        <f>L1245</f>
        <v/>
      </c>
      <c r="M1001" s="1364">
        <f>M1245</f>
        <v/>
      </c>
      <c r="N1001" s="1364">
        <f>N1245</f>
        <v/>
      </c>
      <c r="O1001" s="1364">
        <f>O1245</f>
        <v/>
      </c>
      <c r="P1001" s="1378">
        <f>P1245</f>
        <v/>
      </c>
      <c r="Q1001" s="1364">
        <f>Q1245</f>
        <v/>
      </c>
      <c r="R1001" s="1364">
        <f>R1245</f>
        <v/>
      </c>
      <c r="S1001" s="1364">
        <f>S1245</f>
        <v/>
      </c>
      <c r="T1001" s="1364">
        <f>T1245</f>
        <v/>
      </c>
      <c r="U1001" s="1378">
        <f>U1245</f>
        <v/>
      </c>
      <c r="V1001" s="1364">
        <f>V1245</f>
        <v/>
      </c>
      <c r="W1001" s="1364">
        <f>W1245</f>
        <v/>
      </c>
      <c r="X1001" s="1364">
        <f>X1245</f>
        <v/>
      </c>
      <c r="Y1001" s="1361">
        <f>Y1245</f>
        <v/>
      </c>
      <c r="Z1001" s="1379">
        <f>Z1245</f>
        <v/>
      </c>
      <c r="AA1001" s="1364">
        <f>AA1245</f>
        <v/>
      </c>
      <c r="AB1001" s="1364">
        <f>AB1245</f>
        <v/>
      </c>
      <c r="AC1001" s="1364">
        <f>AC1245</f>
        <v/>
      </c>
      <c r="AD1001" s="1361">
        <f>AD1245</f>
        <v/>
      </c>
      <c r="AE1001" s="1379">
        <f>AE1245</f>
        <v/>
      </c>
      <c r="AF1001" s="1364">
        <f>AF1245</f>
        <v/>
      </c>
      <c r="AG1001" s="1364">
        <f>AG1245</f>
        <v/>
      </c>
      <c r="AH1001" s="1364">
        <f>AH1245</f>
        <v/>
      </c>
      <c r="AI1001" s="1361">
        <f>AI1245</f>
        <v/>
      </c>
      <c r="AJ1001" s="1379">
        <f>AJ1245</f>
        <v/>
      </c>
      <c r="AK1001" s="1364">
        <f>AK1245</f>
        <v/>
      </c>
      <c r="AL1001" s="1364">
        <f>AL1245</f>
        <v/>
      </c>
      <c r="AM1001" s="1364">
        <f>AM1245</f>
        <v/>
      </c>
      <c r="AN1001" s="1361">
        <f>AN1245</f>
        <v/>
      </c>
      <c r="AO1001" s="1379">
        <f>AO1245</f>
        <v/>
      </c>
      <c r="AP1001" s="1364">
        <f>AP1245</f>
        <v/>
      </c>
      <c r="AQ1001" s="1364">
        <f>AQ1245</f>
        <v/>
      </c>
      <c r="AR1001" s="1364">
        <f>AR1245</f>
        <v/>
      </c>
      <c r="AS1001" s="1361">
        <f>AS1245</f>
        <v/>
      </c>
      <c r="AT1001" s="1379">
        <f>AT1245</f>
        <v/>
      </c>
      <c r="AU1001" s="1364">
        <f>AU1245</f>
        <v/>
      </c>
      <c r="AV1001" s="1364">
        <f>AV1245</f>
        <v/>
      </c>
      <c r="AW1001" s="1364">
        <f>AW1245</f>
        <v/>
      </c>
      <c r="AX1001" s="1361">
        <f>AX1245</f>
        <v/>
      </c>
      <c r="AY1001" s="1379">
        <f>AY1245</f>
        <v/>
      </c>
      <c r="AZ1001" s="1364">
        <f>AZ1245</f>
        <v/>
      </c>
      <c r="BA1001" s="1364">
        <f>BA1245</f>
        <v/>
      </c>
      <c r="BB1001" s="1364">
        <f>BB1245</f>
        <v/>
      </c>
      <c r="BC1001" s="1361">
        <f>BC1245</f>
        <v/>
      </c>
      <c r="BD1001" s="1379">
        <f>BD1245</f>
        <v/>
      </c>
      <c r="BE1001" s="1364">
        <f>BE1245</f>
        <v/>
      </c>
      <c r="BF1001" s="1364">
        <f>BF1245</f>
        <v/>
      </c>
      <c r="BG1001" s="1364">
        <f>BG1245</f>
        <v/>
      </c>
      <c r="BH1001" s="1361">
        <f>BH1245</f>
        <v/>
      </c>
      <c r="BI1001" s="1379">
        <f>BI1245</f>
        <v/>
      </c>
      <c r="BJ1001" s="1364">
        <f>BJ1245</f>
        <v/>
      </c>
      <c r="BK1001" s="1364">
        <f>BK1245</f>
        <v/>
      </c>
      <c r="BL1001" s="1364">
        <f>BL1245</f>
        <v/>
      </c>
      <c r="BM1001" s="1361">
        <f>BM1245</f>
        <v/>
      </c>
      <c r="BN1001" s="1379">
        <f>BN1245</f>
        <v/>
      </c>
      <c r="BO1001" s="1364">
        <f>BO1245</f>
        <v/>
      </c>
      <c r="BP1001" s="1364">
        <f>BP1245</f>
        <v/>
      </c>
      <c r="BQ1001" s="1395">
        <f>BQ1245</f>
        <v/>
      </c>
      <c r="BR1001" s="1361">
        <f>BR1245</f>
        <v/>
      </c>
      <c r="BS1001" s="1379">
        <f>BS1245</f>
        <v/>
      </c>
      <c r="BT1001" s="1361">
        <f>BT1245</f>
        <v/>
      </c>
      <c r="BU1001" s="1361">
        <f>BU1245</f>
        <v/>
      </c>
      <c r="BV1001" s="1361">
        <f>BV1245</f>
        <v/>
      </c>
      <c r="BW1001" s="1361">
        <f>BW1245</f>
        <v/>
      </c>
      <c r="BX1001" s="1379">
        <f>BX1245</f>
        <v/>
      </c>
      <c r="BY1001" s="1379">
        <f>BY1245</f>
        <v/>
      </c>
      <c r="BZ1001" s="1379">
        <f>BZ1245</f>
        <v/>
      </c>
      <c r="CA1001" s="1379">
        <f>CA1245</f>
        <v/>
      </c>
      <c r="CB1001" s="1364" t="n"/>
    </row>
    <row r="1002" hidden="1" outlineLevel="1" ht="14.4" customFormat="1" customHeight="1" s="1359">
      <c r="A1002" s="1376" t="inlineStr">
        <is>
          <t>Other EV Components</t>
        </is>
      </c>
      <c r="B1002" s="1512" t="n"/>
      <c r="C1002" s="1379" t="n"/>
      <c r="D1002" s="1379" t="n"/>
      <c r="E1002" s="1379" t="n"/>
      <c r="F1002" s="1379" t="n"/>
      <c r="G1002" s="1361" t="n"/>
      <c r="H1002" s="1361" t="n"/>
      <c r="I1002" s="1361" t="n"/>
      <c r="J1002" s="1361" t="n"/>
      <c r="K1002" s="1379" t="n"/>
      <c r="L1002" s="1361" t="n"/>
      <c r="M1002" s="1361" t="n"/>
      <c r="N1002" s="1361" t="n"/>
      <c r="O1002" s="1361" t="n"/>
      <c r="P1002" s="1379" t="n"/>
      <c r="Q1002" s="1361" t="n"/>
      <c r="R1002" s="1361" t="n"/>
      <c r="S1002" s="1361" t="n"/>
      <c r="T1002" s="1361" t="n"/>
      <c r="U1002" s="1379" t="n"/>
      <c r="V1002" s="1361" t="n"/>
      <c r="W1002" s="1361" t="n"/>
      <c r="X1002" s="1361" t="n"/>
      <c r="Y1002" s="1361" t="n"/>
      <c r="Z1002" s="1379" t="n"/>
      <c r="AA1002" s="1361" t="n"/>
      <c r="AB1002" s="1361" t="n"/>
      <c r="AC1002" s="1361" t="n"/>
      <c r="AD1002" s="1361" t="n"/>
      <c r="AE1002" s="1379" t="n"/>
      <c r="AF1002" s="1361" t="n"/>
      <c r="AG1002" s="1361" t="n"/>
      <c r="AH1002" s="1361" t="n"/>
      <c r="AI1002" s="1361" t="n"/>
      <c r="AJ1002" s="1379" t="n"/>
      <c r="AK1002" s="1361" t="n"/>
      <c r="AL1002" s="1361" t="n"/>
      <c r="AM1002" s="1361" t="n"/>
      <c r="AN1002" s="1361" t="n"/>
      <c r="AO1002" s="1379" t="n"/>
      <c r="AP1002" s="1361" t="n"/>
      <c r="AQ1002" s="1361" t="n"/>
      <c r="AR1002" s="1361" t="n"/>
      <c r="AS1002" s="1361" t="n"/>
      <c r="AT1002" s="1379" t="n"/>
      <c r="AU1002" s="1361" t="n"/>
      <c r="AV1002" s="1361" t="n"/>
      <c r="AW1002" s="1361" t="n"/>
      <c r="AX1002" s="1361" t="n"/>
      <c r="AY1002" s="1379" t="n"/>
      <c r="AZ1002" s="1361" t="n"/>
      <c r="BA1002" s="1361" t="n"/>
      <c r="BB1002" s="1361" t="n"/>
      <c r="BC1002" s="1361" t="n"/>
      <c r="BD1002" s="1379" t="n"/>
      <c r="BE1002" s="1361" t="n"/>
      <c r="BF1002" s="1361" t="n"/>
      <c r="BG1002" s="1361" t="n"/>
      <c r="BH1002" s="1361" t="n"/>
      <c r="BI1002" s="1379" t="n"/>
      <c r="BJ1002" s="1361" t="n"/>
      <c r="BK1002" s="1361" t="n"/>
      <c r="BL1002" s="1361" t="n"/>
      <c r="BM1002" s="1361" t="n"/>
      <c r="BN1002" s="1379" t="n"/>
      <c r="BO1002" s="1361" t="n"/>
      <c r="BP1002" s="1361" t="n"/>
      <c r="BQ1002" s="1363" t="n"/>
      <c r="BR1002" s="1361" t="n"/>
      <c r="BS1002" s="1379" t="n"/>
      <c r="BT1002" s="1361" t="n"/>
      <c r="BU1002" s="1361" t="n"/>
      <c r="BV1002" s="1361" t="n"/>
      <c r="BW1002" s="1361" t="n"/>
      <c r="BX1002" s="1379" t="n"/>
      <c r="BY1002" s="1379" t="n"/>
      <c r="BZ1002" s="1379" t="n"/>
      <c r="CA1002" s="1379" t="n"/>
      <c r="CB1002" s="1364" t="n"/>
    </row>
    <row r="1003" collapsed="1" ht="14.4" customFormat="1" customHeight="1" s="1359">
      <c r="A1003" s="1508" t="n"/>
      <c r="B1003" s="1512" t="n"/>
      <c r="C1003" s="1379" t="n"/>
      <c r="D1003" s="1379" t="n"/>
      <c r="E1003" s="1379" t="n"/>
      <c r="F1003" s="1379" t="n"/>
      <c r="G1003" s="1361" t="n"/>
      <c r="H1003" s="1361" t="n"/>
      <c r="I1003" s="1361" t="n"/>
      <c r="J1003" s="1361" t="n"/>
      <c r="K1003" s="1379" t="n"/>
      <c r="L1003" s="1361" t="n"/>
      <c r="M1003" s="1361" t="n"/>
      <c r="N1003" s="1361" t="n"/>
      <c r="O1003" s="1361" t="n"/>
      <c r="P1003" s="1379" t="n"/>
      <c r="Q1003" s="1361" t="n"/>
      <c r="R1003" s="1361" t="n"/>
      <c r="S1003" s="1361" t="n"/>
      <c r="T1003" s="1361" t="n"/>
      <c r="U1003" s="1379" t="n"/>
      <c r="V1003" s="1361" t="n"/>
      <c r="W1003" s="1361" t="n"/>
      <c r="X1003" s="1361" t="n"/>
      <c r="Y1003" s="1361" t="n"/>
      <c r="Z1003" s="1379" t="n"/>
      <c r="AA1003" s="1361" t="n"/>
      <c r="AB1003" s="1361" t="n"/>
      <c r="AC1003" s="1361" t="n"/>
      <c r="AD1003" s="1361" t="n"/>
      <c r="AE1003" s="1379" t="n"/>
      <c r="AF1003" s="1361" t="n"/>
      <c r="AG1003" s="1361" t="n"/>
      <c r="AH1003" s="1361" t="n"/>
      <c r="AI1003" s="1361" t="n"/>
      <c r="AJ1003" s="1379" t="n"/>
      <c r="AK1003" s="1361" t="n"/>
      <c r="AL1003" s="1361" t="n"/>
      <c r="AM1003" s="1361" t="n"/>
      <c r="AN1003" s="1361" t="n"/>
      <c r="AO1003" s="1379" t="n"/>
      <c r="AP1003" s="1361" t="n"/>
      <c r="AQ1003" s="1361" t="n"/>
      <c r="AR1003" s="1361" t="n"/>
      <c r="AS1003" s="1361" t="n"/>
      <c r="AT1003" s="1379" t="n"/>
      <c r="AU1003" s="1361" t="n"/>
      <c r="AV1003" s="1361" t="n"/>
      <c r="AW1003" s="1361" t="n"/>
      <c r="AX1003" s="1361" t="n"/>
      <c r="AY1003" s="1379" t="n"/>
      <c r="AZ1003" s="1361" t="n"/>
      <c r="BA1003" s="1361" t="n"/>
      <c r="BB1003" s="1361" t="n"/>
      <c r="BC1003" s="1361" t="n"/>
      <c r="BD1003" s="1379" t="n"/>
      <c r="BE1003" s="1361" t="n"/>
      <c r="BF1003" s="1361" t="n"/>
      <c r="BG1003" s="1361" t="n"/>
      <c r="BH1003" s="1361" t="n"/>
      <c r="BI1003" s="1379" t="n"/>
      <c r="BJ1003" s="1361" t="n"/>
      <c r="BK1003" s="1361" t="n"/>
      <c r="BL1003" s="1361" t="n"/>
      <c r="BM1003" s="1361" t="n"/>
      <c r="BN1003" s="1379" t="n"/>
      <c r="BO1003" s="1361" t="n"/>
      <c r="BP1003" s="1361" t="n"/>
      <c r="BQ1003" s="1363" t="n"/>
      <c r="BR1003" s="1361" t="n"/>
      <c r="BS1003" s="1379" t="n"/>
      <c r="BT1003" s="1361" t="n"/>
      <c r="BU1003" s="1361" t="n"/>
      <c r="BV1003" s="1361" t="n"/>
      <c r="BW1003" s="1361" t="n"/>
      <c r="BX1003" s="1379" t="n"/>
      <c r="BY1003" s="1379" t="n"/>
      <c r="BZ1003" s="1379" t="n"/>
      <c r="CA1003" s="1379" t="n"/>
      <c r="CB1003" s="1364" t="n"/>
    </row>
    <row r="1004" ht="14.4" customFormat="1" customHeight="1" s="1372">
      <c r="A1004" s="1373" t="inlineStr">
        <is>
          <t>Cumulative Cash Flow Statement</t>
        </is>
      </c>
      <c r="B1004" s="1373" t="n"/>
      <c r="C1004" s="1373" t="n"/>
      <c r="D1004" s="1373" t="n"/>
      <c r="E1004" s="1373" t="n"/>
      <c r="F1004" s="1373" t="n"/>
      <c r="G1004" s="1373" t="n"/>
      <c r="H1004" s="1373" t="n"/>
      <c r="I1004" s="1373" t="n"/>
      <c r="J1004" s="1373" t="n"/>
      <c r="K1004" s="1373" t="n"/>
      <c r="L1004" s="1373" t="n"/>
      <c r="M1004" s="1373" t="n"/>
      <c r="N1004" s="1373" t="n"/>
      <c r="O1004" s="1373" t="n"/>
      <c r="P1004" s="1373" t="n"/>
      <c r="Q1004" s="1373" t="n"/>
      <c r="R1004" s="1373" t="n"/>
      <c r="S1004" s="1373" t="n"/>
      <c r="T1004" s="1373" t="n"/>
      <c r="U1004" s="1373" t="n"/>
      <c r="V1004" s="1373" t="n"/>
      <c r="W1004" s="1373" t="n"/>
      <c r="X1004" s="1373" t="n"/>
      <c r="Y1004" s="1373" t="n"/>
      <c r="Z1004" s="1373" t="n"/>
      <c r="AA1004" s="1373" t="n"/>
      <c r="AB1004" s="1373" t="n"/>
      <c r="AC1004" s="1373" t="n"/>
      <c r="AD1004" s="1373" t="n"/>
      <c r="AE1004" s="1373" t="n"/>
      <c r="AF1004" s="1373" t="n"/>
      <c r="AG1004" s="1373" t="n"/>
      <c r="AH1004" s="1373" t="n"/>
      <c r="AI1004" s="1373" t="n"/>
      <c r="AJ1004" s="1373" t="n"/>
      <c r="AK1004" s="1373" t="n"/>
      <c r="AL1004" s="1373" t="n"/>
      <c r="AM1004" s="1373" t="n"/>
      <c r="AN1004" s="1373" t="n"/>
      <c r="AO1004" s="1373" t="n"/>
      <c r="AP1004" s="1373" t="n"/>
      <c r="AQ1004" s="1373" t="n"/>
      <c r="AR1004" s="1373" t="n"/>
      <c r="AS1004" s="1373" t="n"/>
      <c r="AT1004" s="1373" t="n"/>
      <c r="AU1004" s="1373" t="n"/>
      <c r="AV1004" s="1373" t="n"/>
      <c r="AW1004" s="1373" t="n"/>
      <c r="AX1004" s="1373" t="n"/>
      <c r="AY1004" s="1373" t="n"/>
      <c r="AZ1004" s="1373" t="n"/>
      <c r="BA1004" s="1373" t="n"/>
      <c r="BB1004" s="1373" t="n"/>
      <c r="BC1004" s="1373" t="n"/>
      <c r="BD1004" s="1373" t="n"/>
      <c r="BE1004" s="1373" t="n"/>
      <c r="BF1004" s="1373" t="n"/>
      <c r="BG1004" s="1373" t="n"/>
      <c r="BH1004" s="1373" t="n"/>
      <c r="BI1004" s="1373" t="n"/>
      <c r="BJ1004" s="1373" t="n"/>
      <c r="BK1004" s="1373" t="n"/>
      <c r="BL1004" s="1373" t="n"/>
      <c r="BM1004" s="1373" t="n"/>
      <c r="BN1004" s="1373" t="n"/>
      <c r="BO1004" s="1373" t="n"/>
      <c r="BP1004" s="1373" t="n"/>
      <c r="BQ1004" s="1374" t="n"/>
      <c r="BR1004" s="1373" t="n"/>
      <c r="BS1004" s="1373" t="n"/>
      <c r="BT1004" s="1373" t="n"/>
      <c r="BU1004" s="1373" t="n"/>
      <c r="BV1004" s="1373" t="n"/>
      <c r="BW1004" s="1373" t="n"/>
      <c r="BX1004" s="1373" t="n"/>
      <c r="BY1004" s="1373" t="n"/>
      <c r="BZ1004" s="1373" t="n"/>
      <c r="CA1004" s="1373" t="n"/>
      <c r="CB1004" s="1375" t="n"/>
    </row>
    <row r="1005" hidden="1" outlineLevel="1" ht="14.4" customFormat="1" customHeight="1" s="1372">
      <c r="A1005" s="1452" t="inlineStr">
        <is>
          <t>CFO</t>
        </is>
      </c>
      <c r="B1005" s="1517" t="n"/>
      <c r="C1005" s="1449" t="n"/>
      <c r="D1005" s="1449" t="n"/>
      <c r="E1005" s="1449" t="n"/>
      <c r="F1005" s="1449" t="n"/>
      <c r="G1005" s="1450" t="n"/>
      <c r="H1005" s="1450" t="n"/>
      <c r="I1005" s="1450" t="n"/>
      <c r="J1005" s="1450" t="n"/>
      <c r="K1005" s="1449" t="n"/>
      <c r="L1005" s="1450" t="n"/>
      <c r="M1005" s="1450" t="n"/>
      <c r="N1005" s="1450" t="n"/>
      <c r="O1005" s="1450" t="n"/>
      <c r="P1005" s="1449" t="n"/>
      <c r="Q1005" s="1450" t="n"/>
      <c r="R1005" s="1450" t="n"/>
      <c r="S1005" s="1450" t="n"/>
      <c r="T1005" s="1450" t="n"/>
      <c r="U1005" s="1449" t="n"/>
      <c r="V1005" s="1450" t="n"/>
      <c r="W1005" s="1450" t="n"/>
      <c r="X1005" s="1450" t="n"/>
      <c r="Y1005" s="1450" t="n"/>
      <c r="Z1005" s="1449" t="n"/>
      <c r="AA1005" s="1450" t="n"/>
      <c r="AB1005" s="1450" t="n"/>
      <c r="AC1005" s="1450" t="n"/>
      <c r="AD1005" s="1450" t="n"/>
      <c r="AE1005" s="1449" t="n"/>
      <c r="AF1005" s="1450" t="n"/>
      <c r="AG1005" s="1450" t="n"/>
      <c r="AH1005" s="1450" t="n"/>
      <c r="AI1005" s="1450" t="n"/>
      <c r="AJ1005" s="1449" t="n"/>
      <c r="AK1005" s="1450" t="n"/>
      <c r="AL1005" s="1450" t="n"/>
      <c r="AM1005" s="1450" t="n"/>
      <c r="AN1005" s="1450" t="n"/>
      <c r="AO1005" s="1449" t="n"/>
      <c r="AP1005" s="1450" t="n"/>
      <c r="AQ1005" s="1450" t="n"/>
      <c r="AR1005" s="1450" t="n"/>
      <c r="AS1005" s="1450" t="n"/>
      <c r="AT1005" s="1449" t="n"/>
      <c r="AU1005" s="1450" t="n"/>
      <c r="AV1005" s="1450" t="n"/>
      <c r="AW1005" s="1450" t="n"/>
      <c r="AX1005" s="1450" t="n"/>
      <c r="AY1005" s="1449" t="n"/>
      <c r="AZ1005" s="1450" t="n"/>
      <c r="BA1005" s="1450" t="n"/>
      <c r="BB1005" s="1450" t="n"/>
      <c r="BC1005" s="1450" t="n"/>
      <c r="BD1005" s="1449" t="n"/>
      <c r="BE1005" s="1450" t="n"/>
      <c r="BF1005" s="1450" t="n"/>
      <c r="BG1005" s="1450" t="n"/>
      <c r="BH1005" s="1450" t="n"/>
      <c r="BI1005" s="1449" t="n"/>
      <c r="BJ1005" s="1450" t="n"/>
      <c r="BK1005" s="1450" t="n"/>
      <c r="BL1005" s="1450" t="n"/>
      <c r="BM1005" s="1450" t="n"/>
      <c r="BN1005" s="1449" t="n"/>
      <c r="BO1005" s="1450" t="n"/>
      <c r="BP1005" s="1450" t="n"/>
      <c r="BQ1005" s="1451" t="n"/>
      <c r="BR1005" s="1450" t="n"/>
      <c r="BS1005" s="1449" t="n"/>
      <c r="BT1005" s="1450" t="n"/>
      <c r="BU1005" s="1450" t="n"/>
      <c r="BV1005" s="1450" t="n"/>
      <c r="BW1005" s="1450" t="n"/>
      <c r="BX1005" s="1449" t="n"/>
      <c r="BY1005" s="1449" t="n"/>
      <c r="BZ1005" s="1449" t="n"/>
      <c r="CA1005" s="1449" t="n"/>
      <c r="CB1005" s="1375" t="n"/>
    </row>
    <row r="1006" hidden="1" outlineLevel="1" ht="14.4" customFormat="1" customHeight="1" s="1359">
      <c r="A1006" s="1394" t="inlineStr">
        <is>
          <t>Net income</t>
        </is>
      </c>
      <c r="B1006" s="1512" t="n"/>
      <c r="C1006" s="1494" t="n">
        <v>-149.871</v>
      </c>
      <c r="D1006" s="1494" t="n">
        <v>126.538</v>
      </c>
      <c r="E1006" s="1494" t="n">
        <v>72.229</v>
      </c>
      <c r="F1006" s="1494" t="n">
        <v>439.948</v>
      </c>
      <c r="G1006" s="1493" t="n">
        <v>78.60899999999999</v>
      </c>
      <c r="H1006" s="1493" t="n">
        <v>88.038</v>
      </c>
      <c r="I1006" s="1493" t="n">
        <v>126.538</v>
      </c>
      <c r="J1006" s="1493" t="n">
        <v>164.243</v>
      </c>
      <c r="K1006" s="1494" t="n">
        <v>164.243</v>
      </c>
      <c r="L1006" s="1493" t="n">
        <v>33.07</v>
      </c>
      <c r="M1006" s="1493" t="n">
        <v>56.333</v>
      </c>
      <c r="N1006" s="1493" t="n">
        <v>93.86799999999999</v>
      </c>
      <c r="O1006" s="1493" t="n">
        <v>158.898</v>
      </c>
      <c r="P1006" s="1494" t="n">
        <v>158.898</v>
      </c>
      <c r="Q1006" s="1493" t="n">
        <v>36.259</v>
      </c>
      <c r="R1006" s="1493" t="n">
        <v>94.419</v>
      </c>
      <c r="S1006" s="1493" t="n">
        <v>172.043</v>
      </c>
      <c r="T1006" s="1493" t="n">
        <v>252.417</v>
      </c>
      <c r="U1006" s="1494" t="n">
        <v>252.417</v>
      </c>
      <c r="V1006" s="1493" t="n">
        <v>50.562</v>
      </c>
      <c r="W1006" s="1493" t="n">
        <v>99.89700000000001</v>
      </c>
      <c r="X1006" s="1493" t="n">
        <v>164.609</v>
      </c>
      <c r="Y1006" s="1361">
        <f>Z1006</f>
        <v/>
      </c>
      <c r="Z1006" s="1494" t="n">
        <v>203.086</v>
      </c>
      <c r="AA1006" s="1493" t="n">
        <v>68.259</v>
      </c>
      <c r="AB1006" s="1493" t="n">
        <v>137.386</v>
      </c>
      <c r="AC1006" s="1493" t="n">
        <v>218.543</v>
      </c>
      <c r="AD1006" s="1361">
        <f>AE1006</f>
        <v/>
      </c>
      <c r="AE1006" s="1494" t="n">
        <v>204.101</v>
      </c>
      <c r="AF1006" s="1493" t="n">
        <v>72.88500000000001</v>
      </c>
      <c r="AG1006" s="1493" t="n">
        <v>148.034</v>
      </c>
      <c r="AH1006" s="1493" t="n">
        <v>247.352</v>
      </c>
      <c r="AI1006" s="1361">
        <f>AJ1006</f>
        <v/>
      </c>
      <c r="AJ1006" s="1494" t="n">
        <v>345.777</v>
      </c>
      <c r="AK1006" s="1493" t="n">
        <v>120.555</v>
      </c>
      <c r="AL1006" s="1493" t="n">
        <v>227.79</v>
      </c>
      <c r="AM1006" s="1493" t="n">
        <v>329.304</v>
      </c>
      <c r="AN1006" s="1361">
        <f>AO1006</f>
        <v/>
      </c>
      <c r="AO1006" s="1494" t="n">
        <v>988.979</v>
      </c>
      <c r="AP1006" s="1493" t="n">
        <v>123.988</v>
      </c>
      <c r="AQ1006" s="1493" t="n">
        <v>255.276</v>
      </c>
      <c r="AR1006" s="1493" t="n">
        <v>416.906</v>
      </c>
      <c r="AS1006" s="1361">
        <f>AT1006</f>
        <v/>
      </c>
      <c r="AT1006" s="1494" t="n">
        <v>590.644</v>
      </c>
      <c r="AU1006" s="1493" t="n">
        <v>187.169</v>
      </c>
      <c r="AV1006" s="1493" t="n">
        <v>343.069</v>
      </c>
      <c r="AW1006" s="1493" t="n">
        <v>519.376</v>
      </c>
      <c r="AX1006" s="1361">
        <f>AY1006</f>
        <v/>
      </c>
      <c r="AY1006" s="1494" t="n">
        <v>695.955</v>
      </c>
      <c r="AZ1006" s="1493" t="n">
        <v>235.335</v>
      </c>
      <c r="BA1006" s="1493" t="n">
        <v>422.255</v>
      </c>
      <c r="BB1006" s="1493" t="n">
        <v>608.5599999999999</v>
      </c>
      <c r="BC1006" s="1361">
        <f>BD1006</f>
        <v/>
      </c>
      <c r="BD1006" s="1494" t="n">
        <v>848.952</v>
      </c>
      <c r="BE1006" s="1493" t="n">
        <v>241.804</v>
      </c>
      <c r="BF1006" s="1493" t="n">
        <v>462.924</v>
      </c>
      <c r="BG1006" s="1493" t="n">
        <v>717.245</v>
      </c>
      <c r="BH1006" s="1361">
        <f>BI1006</f>
        <v/>
      </c>
      <c r="BI1006" s="1494" t="n">
        <v>1041.144</v>
      </c>
      <c r="BJ1006" s="1493" t="n">
        <v>247.643</v>
      </c>
      <c r="BK1006" s="1493" t="n">
        <v>477.163</v>
      </c>
      <c r="BL1006" s="1493" t="n">
        <v>715.274</v>
      </c>
      <c r="BM1006" s="1361">
        <f>BN1006</f>
        <v/>
      </c>
      <c r="BN1006" s="1494" t="n">
        <v>1055.484</v>
      </c>
      <c r="BO1006" s="1493" t="n">
        <v>273.579</v>
      </c>
      <c r="BP1006" s="1493" t="n">
        <v>433.63</v>
      </c>
      <c r="BQ1006" s="1502" t="n">
        <v>720.752</v>
      </c>
      <c r="BR1006" s="1361" t="n"/>
      <c r="BS1006" s="1379" t="n"/>
      <c r="BT1006" s="1361" t="n"/>
      <c r="BU1006" s="1361" t="n"/>
      <c r="BV1006" s="1361" t="n"/>
      <c r="BW1006" s="1361" t="n"/>
      <c r="BX1006" s="1379" t="n"/>
      <c r="BY1006" s="1379" t="n"/>
      <c r="BZ1006" s="1379" t="n"/>
      <c r="CA1006" s="1379" t="n"/>
      <c r="CB1006" s="1364" t="n"/>
    </row>
    <row r="1007" hidden="1" outlineLevel="1" ht="14.4" customFormat="1" customHeight="1" s="1359">
      <c r="A1007" s="1394" t="inlineStr">
        <is>
          <t>Depreciation and amortization</t>
        </is>
      </c>
      <c r="B1007" s="1512" t="n"/>
      <c r="C1007" s="1494" t="n">
        <v>93.139</v>
      </c>
      <c r="D1007" s="1494" t="n">
        <v>88.33499999999999</v>
      </c>
      <c r="E1007" s="1494" t="n">
        <v>91.648</v>
      </c>
      <c r="F1007" s="1494" t="n">
        <v>89.217</v>
      </c>
      <c r="G1007" s="1493" t="n">
        <v>21.682</v>
      </c>
      <c r="H1007" s="1493" t="n">
        <v>46.977</v>
      </c>
      <c r="I1007" s="1493" t="n">
        <v>72.681</v>
      </c>
      <c r="J1007" s="1493" t="n">
        <v>98.30800000000001</v>
      </c>
      <c r="K1007" s="1494" t="n">
        <v>98.30800000000001</v>
      </c>
      <c r="L1007" s="1493" t="n">
        <v>26.017</v>
      </c>
      <c r="M1007" s="1493" t="n">
        <v>53.609</v>
      </c>
      <c r="N1007" s="1493" t="n">
        <v>84.29600000000001</v>
      </c>
      <c r="O1007" s="1493" t="n">
        <v>115.634</v>
      </c>
      <c r="P1007" s="1494" t="n">
        <v>115.634</v>
      </c>
      <c r="Q1007" s="1493" t="n">
        <v>29.433</v>
      </c>
      <c r="R1007" s="1493" t="n">
        <v>58.963</v>
      </c>
      <c r="S1007" s="1493" t="n">
        <v>88.006</v>
      </c>
      <c r="T1007" s="1493" t="n">
        <v>118.165</v>
      </c>
      <c r="U1007" s="1494" t="n">
        <v>118.165</v>
      </c>
      <c r="V1007" s="1493" t="n">
        <v>31.231</v>
      </c>
      <c r="W1007" s="1493" t="n">
        <v>62.759</v>
      </c>
      <c r="X1007" s="1493" t="n">
        <v>89.726</v>
      </c>
      <c r="Y1007" s="1361">
        <f>Z1007</f>
        <v/>
      </c>
      <c r="Z1007" s="1494" t="n">
        <v>119.588</v>
      </c>
      <c r="AA1007" s="1493" t="n">
        <v>28.894</v>
      </c>
      <c r="AB1007" s="1493" t="n">
        <v>58.304</v>
      </c>
      <c r="AC1007" s="1493" t="n">
        <v>86.605</v>
      </c>
      <c r="AD1007" s="1361">
        <f>AE1007</f>
        <v/>
      </c>
      <c r="AE1007" s="1494" t="n">
        <v>115.524</v>
      </c>
      <c r="AF1007" s="1493" t="n">
        <v>29.389</v>
      </c>
      <c r="AG1007" s="1493" t="n">
        <v>59.282</v>
      </c>
      <c r="AH1007" s="1493" t="n">
        <v>89.003</v>
      </c>
      <c r="AI1007" s="1361">
        <f>AJ1007</f>
        <v/>
      </c>
      <c r="AJ1007" s="1494" t="n">
        <v>118.721</v>
      </c>
      <c r="AK1007" s="1493" t="n">
        <v>29.74</v>
      </c>
      <c r="AL1007" s="1493" t="n">
        <v>61.197</v>
      </c>
      <c r="AM1007" s="1493" t="n">
        <v>91.40000000000001</v>
      </c>
      <c r="AN1007" s="1361">
        <f>AO1007</f>
        <v/>
      </c>
      <c r="AO1007" s="1494" t="n">
        <v>122.789</v>
      </c>
      <c r="AP1007" s="1493" t="n">
        <v>33.321</v>
      </c>
      <c r="AQ1007" s="1493" t="n">
        <v>69.902</v>
      </c>
      <c r="AR1007" s="1493" t="n">
        <v>107.019</v>
      </c>
      <c r="AS1007" s="1361">
        <f>AT1007</f>
        <v/>
      </c>
      <c r="AT1007" s="1494" t="n">
        <v>145.653</v>
      </c>
      <c r="AU1007" s="1493" t="n">
        <v>36.218</v>
      </c>
      <c r="AV1007" s="1493" t="n">
        <v>71.79900000000001</v>
      </c>
      <c r="AW1007" s="1493" t="n">
        <v>106.962</v>
      </c>
      <c r="AX1007" s="1361">
        <f>AY1007</f>
        <v/>
      </c>
      <c r="AY1007" s="1494" t="n">
        <v>142.308</v>
      </c>
      <c r="AZ1007" s="1493" t="n">
        <v>34.825</v>
      </c>
      <c r="BA1007" s="1493" t="n">
        <v>67.69</v>
      </c>
      <c r="BB1007" s="1493" t="n">
        <v>98.178</v>
      </c>
      <c r="BC1007" s="1361">
        <f>BD1007</f>
        <v/>
      </c>
      <c r="BD1007" s="1494" t="n">
        <v>132.088</v>
      </c>
      <c r="BE1007" s="1493" t="n">
        <v>34.4</v>
      </c>
      <c r="BF1007" s="1493" t="n">
        <v>70.432</v>
      </c>
      <c r="BG1007" s="1493" t="n">
        <v>106.783</v>
      </c>
      <c r="BH1007" s="1361">
        <f>BI1007</f>
        <v/>
      </c>
      <c r="BI1007" s="1494" t="n">
        <v>145.292</v>
      </c>
      <c r="BJ1007" s="1493" t="n">
        <v>39.556</v>
      </c>
      <c r="BK1007" s="1493" t="n">
        <v>87.202</v>
      </c>
      <c r="BL1007" s="1493" t="n">
        <v>142.252</v>
      </c>
      <c r="BM1007" s="1361">
        <f>BN1007</f>
        <v/>
      </c>
      <c r="BN1007" s="1494" t="n">
        <v>196.935</v>
      </c>
      <c r="BO1007" s="1493" t="n">
        <v>52.916</v>
      </c>
      <c r="BP1007" s="1493" t="n">
        <v>106.592</v>
      </c>
      <c r="BQ1007" s="1502" t="n">
        <v>163.269</v>
      </c>
      <c r="BR1007" s="1361" t="n"/>
      <c r="BS1007" s="1379" t="n"/>
      <c r="BT1007" s="1361" t="n"/>
      <c r="BU1007" s="1361" t="n"/>
      <c r="BV1007" s="1361" t="n"/>
      <c r="BW1007" s="1361" t="n"/>
      <c r="BX1007" s="1379" t="n"/>
      <c r="BY1007" s="1379" t="n"/>
      <c r="BZ1007" s="1379" t="n"/>
      <c r="CA1007" s="1379" t="n"/>
      <c r="CB1007" s="1364" t="n"/>
    </row>
    <row r="1008" hidden="1" outlineLevel="1" ht="14.4" customFormat="1" customHeight="1" s="1359">
      <c r="A1008" s="1394" t="inlineStr">
        <is>
          <t>Amortization of debt discount and fees</t>
        </is>
      </c>
      <c r="B1008" s="1512" t="n"/>
      <c r="C1008" s="1494" t="n">
        <v>20.912</v>
      </c>
      <c r="D1008" s="1494" t="n">
        <v>25.352</v>
      </c>
      <c r="E1008" s="1494" t="n">
        <v>29.266</v>
      </c>
      <c r="F1008" s="1494" t="n">
        <v>23.513</v>
      </c>
      <c r="G1008" s="1493" t="n">
        <v>6.281</v>
      </c>
      <c r="H1008" s="1493" t="n">
        <v>12.625</v>
      </c>
      <c r="I1008" s="1493" t="n">
        <v>19.102</v>
      </c>
      <c r="J1008" s="1493" t="n">
        <v>25.384</v>
      </c>
      <c r="K1008" s="1494" t="n">
        <v>25.384</v>
      </c>
      <c r="L1008" s="1493" t="n">
        <v>4.882</v>
      </c>
      <c r="M1008" s="1493" t="n">
        <v>9.814</v>
      </c>
      <c r="N1008" s="1493" t="n">
        <v>14.863</v>
      </c>
      <c r="O1008" s="1493" t="n">
        <v>20.529</v>
      </c>
      <c r="P1008" s="1494" t="n">
        <v>20.529</v>
      </c>
      <c r="Q1008" s="1493" t="n">
        <v>5.945</v>
      </c>
      <c r="R1008" s="1493" t="n">
        <v>8.971</v>
      </c>
      <c r="S1008" s="1493" t="n">
        <v>9.185</v>
      </c>
      <c r="T1008" s="1493" t="n">
        <v>9.401999999999999</v>
      </c>
      <c r="U1008" s="1494" t="n">
        <v>9.401999999999999</v>
      </c>
      <c r="V1008" s="1493" t="n">
        <v>0.255</v>
      </c>
      <c r="W1008" s="1493" t="n">
        <v>0.527</v>
      </c>
      <c r="X1008" s="1493" t="n">
        <v>0.792</v>
      </c>
      <c r="Y1008" s="1361">
        <f>Z1008</f>
        <v/>
      </c>
      <c r="Z1008" s="1494" t="n">
        <v>1.069</v>
      </c>
      <c r="AA1008" s="1493" t="n">
        <v>0.35</v>
      </c>
      <c r="AB1008" s="1493" t="n">
        <v>0.633</v>
      </c>
      <c r="AC1008" s="1493" t="n">
        <v>0.92</v>
      </c>
      <c r="AD1008" s="1361">
        <f>AE1008</f>
        <v/>
      </c>
      <c r="AE1008" s="1494" t="n">
        <v>1.211</v>
      </c>
      <c r="AF1008" s="1493" t="n">
        <v>0.292</v>
      </c>
      <c r="AG1008" s="1493" t="n">
        <v>0.586</v>
      </c>
      <c r="AH1008" s="1493" t="n">
        <v>0.95</v>
      </c>
      <c r="AI1008" s="1361">
        <f>AJ1008</f>
        <v/>
      </c>
      <c r="AJ1008" s="1494" t="n">
        <v>1.196</v>
      </c>
      <c r="AK1008" s="1493" t="n">
        <v>0.247</v>
      </c>
      <c r="AL1008" s="1493" t="n">
        <v>0.497</v>
      </c>
      <c r="AM1008" s="1493" t="n">
        <v>0.747</v>
      </c>
      <c r="AN1008" s="1361">
        <f>AO1008</f>
        <v/>
      </c>
      <c r="AO1008" s="1494" t="n">
        <v>1.001</v>
      </c>
      <c r="AP1008" s="1493" t="n">
        <v>0.254</v>
      </c>
      <c r="AQ1008" s="1493" t="n">
        <v>0.512</v>
      </c>
      <c r="AR1008" s="1493" t="n">
        <v>0.77</v>
      </c>
      <c r="AS1008" s="1361">
        <f>AT1008</f>
        <v/>
      </c>
      <c r="AT1008" s="1494" t="n">
        <v>1.053</v>
      </c>
      <c r="AU1008" s="1493" t="n">
        <v>0.264</v>
      </c>
      <c r="AV1008" s="1493" t="n">
        <v>0.6870000000000001</v>
      </c>
      <c r="AW1008" s="1493" t="n">
        <v>0.952</v>
      </c>
      <c r="AX1008" s="1361">
        <f>AY1008</f>
        <v/>
      </c>
      <c r="AY1008" s="1494" t="n">
        <v>1.219</v>
      </c>
      <c r="AZ1008" s="1493" t="n">
        <v>0.268</v>
      </c>
      <c r="BA1008" s="1493" t="n">
        <v>0.539</v>
      </c>
      <c r="BB1008" s="1493" t="n">
        <v>0.8100000000000001</v>
      </c>
      <c r="BC1008" s="1361">
        <f>BD1008</f>
        <v/>
      </c>
      <c r="BD1008" s="1494" t="n">
        <v>1.134</v>
      </c>
      <c r="BE1008" s="1493" t="n">
        <v>0.311</v>
      </c>
      <c r="BF1008" s="1493" t="n">
        <v>0.626</v>
      </c>
      <c r="BG1008" s="1493" t="n">
        <v>0.9419999999999999</v>
      </c>
      <c r="BH1008" s="1361">
        <f>BI1008</f>
        <v/>
      </c>
      <c r="BI1008" s="1494" t="n">
        <v>1.262</v>
      </c>
      <c r="BJ1008" s="1493" t="n">
        <v>0.32</v>
      </c>
      <c r="BK1008" s="1493" t="n">
        <v>0.6840000000000001</v>
      </c>
      <c r="BL1008" s="1493" t="n">
        <v>2.381</v>
      </c>
      <c r="BM1008" s="1361">
        <f>BN1008</f>
        <v/>
      </c>
      <c r="BN1008" s="1494" t="n">
        <v>3.473</v>
      </c>
      <c r="BO1008" s="1361" t="n"/>
      <c r="BP1008" s="1361" t="n"/>
      <c r="BQ1008" s="1363" t="n"/>
      <c r="BR1008" s="1361" t="n"/>
      <c r="BS1008" s="1379" t="n"/>
      <c r="BT1008" s="1361" t="n"/>
      <c r="BU1008" s="1361" t="n"/>
      <c r="BV1008" s="1361" t="n"/>
      <c r="BW1008" s="1361" t="n"/>
      <c r="BX1008" s="1379" t="n"/>
      <c r="BY1008" s="1379" t="n"/>
      <c r="BZ1008" s="1379" t="n"/>
      <c r="CA1008" s="1379" t="n"/>
      <c r="CB1008" s="1364" t="n"/>
    </row>
    <row r="1009" hidden="1" outlineLevel="1" ht="14.4" customFormat="1" customHeight="1" s="1359">
      <c r="A1009" s="1394" t="inlineStr">
        <is>
          <t>Loss on extinguishment of debt</t>
        </is>
      </c>
      <c r="B1009" s="1512" t="n"/>
      <c r="C1009" s="1379" t="n"/>
      <c r="D1009" s="1494" t="n">
        <v>5.705</v>
      </c>
      <c r="E1009" s="1494" t="n">
        <v>0</v>
      </c>
      <c r="F1009" s="1379" t="n"/>
      <c r="G1009" s="1361" t="n"/>
      <c r="H1009" s="1361" t="n"/>
      <c r="I1009" s="1361" t="n"/>
      <c r="J1009" s="1493" t="n">
        <v>0</v>
      </c>
      <c r="K1009" s="1379" t="n"/>
      <c r="L1009" s="1361" t="n"/>
      <c r="M1009" s="1361" t="n"/>
      <c r="N1009" s="1361" t="n"/>
      <c r="O1009" s="1493" t="n">
        <v>0</v>
      </c>
      <c r="P1009" s="1379" t="n"/>
      <c r="Q1009" s="1361" t="n"/>
      <c r="R1009" s="1361" t="n"/>
      <c r="S1009" s="1361" t="n"/>
      <c r="T1009" s="1493" t="n">
        <v>0</v>
      </c>
      <c r="U1009" s="1379" t="n"/>
      <c r="V1009" s="1361" t="n"/>
      <c r="W1009" s="1361" t="n"/>
      <c r="X1009" s="1361" t="n"/>
      <c r="Y1009" s="1361">
        <f>Z1009</f>
        <v/>
      </c>
      <c r="Z1009" s="1379" t="n"/>
      <c r="AA1009" s="1361" t="n"/>
      <c r="AB1009" s="1361" t="n"/>
      <c r="AC1009" s="1361" t="n"/>
      <c r="AD1009" s="1361">
        <f>AE1009</f>
        <v/>
      </c>
      <c r="AE1009" s="1379" t="n"/>
      <c r="AF1009" s="1361" t="n"/>
      <c r="AG1009" s="1361" t="n"/>
      <c r="AH1009" s="1361" t="n"/>
      <c r="AI1009" s="1361">
        <f>AJ1009</f>
        <v/>
      </c>
      <c r="AJ1009" s="1379" t="n"/>
      <c r="AK1009" s="1361" t="n"/>
      <c r="AL1009" s="1361" t="n"/>
      <c r="AM1009" s="1361" t="n"/>
      <c r="AN1009" s="1361">
        <f>AO1009</f>
        <v/>
      </c>
      <c r="AO1009" s="1379" t="n"/>
      <c r="AP1009" s="1361" t="n"/>
      <c r="AQ1009" s="1361" t="n"/>
      <c r="AR1009" s="1361" t="n"/>
      <c r="AS1009" s="1361">
        <f>AT1009</f>
        <v/>
      </c>
      <c r="AT1009" s="1379" t="n"/>
      <c r="AU1009" s="1361" t="n"/>
      <c r="AV1009" s="1361" t="n"/>
      <c r="AW1009" s="1361" t="n"/>
      <c r="AX1009" s="1361">
        <f>AY1009</f>
        <v/>
      </c>
      <c r="AY1009" s="1379" t="n"/>
      <c r="AZ1009" s="1361" t="n"/>
      <c r="BA1009" s="1361" t="n"/>
      <c r="BB1009" s="1361" t="n"/>
      <c r="BC1009" s="1361">
        <f>BD1009</f>
        <v/>
      </c>
      <c r="BD1009" s="1379" t="n"/>
      <c r="BE1009" s="1361" t="n"/>
      <c r="BF1009" s="1361" t="n"/>
      <c r="BG1009" s="1361" t="n"/>
      <c r="BH1009" s="1361">
        <f>BI1009</f>
        <v/>
      </c>
      <c r="BI1009" s="1379" t="n"/>
      <c r="BJ1009" s="1361" t="n"/>
      <c r="BK1009" s="1361" t="n"/>
      <c r="BL1009" s="1361" t="n"/>
      <c r="BM1009" s="1361">
        <f>BN1009</f>
        <v/>
      </c>
      <c r="BN1009" s="1379" t="n"/>
      <c r="BO1009" s="1361" t="n"/>
      <c r="BP1009" s="1361" t="n"/>
      <c r="BQ1009" s="1363" t="n"/>
      <c r="BR1009" s="1361" t="n"/>
      <c r="BS1009" s="1379" t="n"/>
      <c r="BT1009" s="1361" t="n"/>
      <c r="BU1009" s="1361" t="n"/>
      <c r="BV1009" s="1361" t="n"/>
      <c r="BW1009" s="1361" t="n"/>
      <c r="BX1009" s="1379" t="n"/>
      <c r="BY1009" s="1379" t="n"/>
      <c r="BZ1009" s="1379" t="n"/>
      <c r="CA1009" s="1379" t="n"/>
      <c r="CB1009" s="1364" t="n"/>
    </row>
    <row r="1010" hidden="1" outlineLevel="1" ht="14.4" customFormat="1" customHeight="1" s="1359">
      <c r="A1010" s="1394" t="inlineStr">
        <is>
          <t>Stock-based compensation</t>
        </is>
      </c>
      <c r="B1010" s="1512" t="n"/>
      <c r="C1010" s="1494" t="n">
        <v>54.706</v>
      </c>
      <c r="D1010" s="1494" t="n">
        <v>43.46</v>
      </c>
      <c r="E1010" s="1494" t="n">
        <v>43.588</v>
      </c>
      <c r="F1010" s="1494" t="n">
        <v>47.561</v>
      </c>
      <c r="G1010" s="1493" t="n">
        <v>13.81</v>
      </c>
      <c r="H1010" s="1493" t="n">
        <v>28.921</v>
      </c>
      <c r="I1010" s="1493" t="n">
        <v>47.487</v>
      </c>
      <c r="J1010" s="1493" t="n">
        <v>66.285</v>
      </c>
      <c r="K1010" s="1494" t="n">
        <v>66.285</v>
      </c>
      <c r="L1010" s="1493" t="n">
        <v>18.864</v>
      </c>
      <c r="M1010" s="1493" t="n">
        <v>37.941</v>
      </c>
      <c r="N1010" s="1493" t="n">
        <v>60.818</v>
      </c>
      <c r="O1010" s="1493" t="n">
        <v>83.792</v>
      </c>
      <c r="P1010" s="1494" t="n">
        <v>83.792</v>
      </c>
      <c r="Q1010" s="1493" t="n">
        <v>21.861</v>
      </c>
      <c r="R1010" s="1493" t="n">
        <v>43.564</v>
      </c>
      <c r="S1010" s="1493" t="n">
        <v>67.681</v>
      </c>
      <c r="T1010" s="1493" t="n">
        <v>92.34099999999999</v>
      </c>
      <c r="U1010" s="1494" t="n">
        <v>92.34099999999999</v>
      </c>
      <c r="V1010" s="1493" t="n">
        <v>24.632</v>
      </c>
      <c r="W1010" s="1493" t="n">
        <v>49.988</v>
      </c>
      <c r="X1010" s="1493" t="n">
        <v>79.986</v>
      </c>
      <c r="Y1010" s="1361">
        <f>Z1010</f>
        <v/>
      </c>
      <c r="Z1010" s="1494" t="n">
        <v>109.217</v>
      </c>
      <c r="AA1010" s="1493" t="n">
        <v>27.436</v>
      </c>
      <c r="AB1010" s="1493" t="n">
        <v>57.918</v>
      </c>
      <c r="AC1010" s="1493" t="n">
        <v>94.008</v>
      </c>
      <c r="AD1010" s="1361">
        <f>AE1010</f>
        <v/>
      </c>
      <c r="AE1010" s="1494" t="n">
        <v>130.023</v>
      </c>
      <c r="AF1010" s="1493" t="n">
        <v>37.901</v>
      </c>
      <c r="AG1010" s="1493" t="n">
        <v>78.857</v>
      </c>
      <c r="AH1010" s="1493" t="n">
        <v>125.121</v>
      </c>
      <c r="AI1010" s="1361">
        <f>AJ1010</f>
        <v/>
      </c>
      <c r="AJ1010" s="1494" t="n">
        <v>167.715</v>
      </c>
      <c r="AK1010" s="1493" t="n">
        <v>42.253</v>
      </c>
      <c r="AL1010" s="1493" t="n">
        <v>86.51000000000001</v>
      </c>
      <c r="AM1010" s="1493" t="n">
        <v>134.789</v>
      </c>
      <c r="AN1010" s="1361">
        <f>AO1010</f>
        <v/>
      </c>
      <c r="AO1010" s="1494" t="n">
        <v>181.547</v>
      </c>
      <c r="AP1010" s="1493" t="n">
        <v>46.482</v>
      </c>
      <c r="AQ1010" s="1493" t="n">
        <v>93.389</v>
      </c>
      <c r="AR1010" s="1493" t="n">
        <v>138.723</v>
      </c>
      <c r="AS1010" s="1361">
        <f>AT1010</f>
        <v/>
      </c>
      <c r="AT1010" s="1494" t="n">
        <v>197.268</v>
      </c>
      <c r="AU1010" s="1493" t="n">
        <v>52.596</v>
      </c>
      <c r="AV1010" s="1493" t="n">
        <v>103.114</v>
      </c>
      <c r="AW1010" s="1493" t="n">
        <v>155.86</v>
      </c>
      <c r="AX1010" s="1361">
        <f>AY1010</f>
        <v/>
      </c>
      <c r="AY1010" s="1494" t="n">
        <v>210.09</v>
      </c>
      <c r="AZ1010" s="1493" t="n">
        <v>59.469</v>
      </c>
      <c r="BA1010" s="1493" t="n">
        <v>123.739</v>
      </c>
      <c r="BB1010" s="1493" t="n">
        <v>197.19</v>
      </c>
      <c r="BC1010" s="1361">
        <f>BD1010</f>
        <v/>
      </c>
      <c r="BD1010" s="1494" t="n">
        <v>270.439</v>
      </c>
      <c r="BE1010" s="1493" t="n">
        <v>74.288</v>
      </c>
      <c r="BF1010" s="1493" t="n">
        <v>150.896</v>
      </c>
      <c r="BG1010" s="1493" t="n">
        <v>238.928</v>
      </c>
      <c r="BH1010" s="1361">
        <f>BI1010</f>
        <v/>
      </c>
      <c r="BI1010" s="1494" t="n">
        <v>325.611</v>
      </c>
      <c r="BJ1010" s="1493" t="n">
        <v>88.129</v>
      </c>
      <c r="BK1010" s="1493" t="n">
        <v>175.698</v>
      </c>
      <c r="BL1010" s="1493" t="n">
        <v>284.711</v>
      </c>
      <c r="BM1010" s="1361">
        <f>BN1010</f>
        <v/>
      </c>
      <c r="BN1010" s="1494" t="n">
        <v>391.219</v>
      </c>
      <c r="BO1010" s="1493" t="n">
        <v>107.613</v>
      </c>
      <c r="BP1010" s="1493" t="n">
        <v>225.938</v>
      </c>
      <c r="BQ1010" s="1502" t="n">
        <v>342.011</v>
      </c>
      <c r="BR1010" s="1361" t="n"/>
      <c r="BS1010" s="1379" t="n"/>
      <c r="BT1010" s="1361" t="n"/>
      <c r="BU1010" s="1361" t="n"/>
      <c r="BV1010" s="1361" t="n"/>
      <c r="BW1010" s="1361" t="n"/>
      <c r="BX1010" s="1379" t="n"/>
      <c r="BY1010" s="1379" t="n"/>
      <c r="BZ1010" s="1379" t="n"/>
      <c r="CA1010" s="1379" t="n"/>
      <c r="CB1010" s="1364" t="n"/>
    </row>
    <row r="1011" hidden="1" outlineLevel="1" ht="14.4" customFormat="1" customHeight="1" s="1359">
      <c r="A1011" s="1394" t="inlineStr">
        <is>
          <t>Loss from equity method investments</t>
        </is>
      </c>
      <c r="B1011" s="1512" t="n"/>
      <c r="C1011" s="1494" t="n">
        <v>0.481</v>
      </c>
      <c r="D1011" s="1379" t="n"/>
      <c r="E1011" s="1379" t="n"/>
      <c r="F1011" s="1379" t="n"/>
      <c r="G1011" s="1361" t="n"/>
      <c r="H1011" s="1361" t="n"/>
      <c r="I1011" s="1361" t="n"/>
      <c r="J1011" s="1493" t="n">
        <v>0</v>
      </c>
      <c r="K1011" s="1379" t="n"/>
      <c r="L1011" s="1361" t="n"/>
      <c r="M1011" s="1361" t="n"/>
      <c r="N1011" s="1361" t="n"/>
      <c r="O1011" s="1493" t="n">
        <v>0</v>
      </c>
      <c r="P1011" s="1379" t="n"/>
      <c r="Q1011" s="1361" t="n"/>
      <c r="R1011" s="1361" t="n"/>
      <c r="S1011" s="1361" t="n"/>
      <c r="T1011" s="1493" t="n">
        <v>0</v>
      </c>
      <c r="U1011" s="1379" t="n"/>
      <c r="V1011" s="1361" t="n"/>
      <c r="W1011" s="1361" t="n"/>
      <c r="X1011" s="1361" t="n"/>
      <c r="Y1011" s="1361">
        <f>Z1011</f>
        <v/>
      </c>
      <c r="Z1011" s="1379" t="n"/>
      <c r="AA1011" s="1361" t="n"/>
      <c r="AB1011" s="1361" t="n"/>
      <c r="AC1011" s="1361" t="n"/>
      <c r="AD1011" s="1361">
        <f>AE1011</f>
        <v/>
      </c>
      <c r="AE1011" s="1379" t="n"/>
      <c r="AF1011" s="1361" t="n"/>
      <c r="AG1011" s="1361" t="n"/>
      <c r="AH1011" s="1361" t="n"/>
      <c r="AI1011" s="1361">
        <f>AJ1011</f>
        <v/>
      </c>
      <c r="AJ1011" s="1379" t="n"/>
      <c r="AK1011" s="1361" t="n"/>
      <c r="AL1011" s="1361" t="n"/>
      <c r="AM1011" s="1361" t="n"/>
      <c r="AN1011" s="1361">
        <f>AO1011</f>
        <v/>
      </c>
      <c r="AO1011" s="1379" t="n"/>
      <c r="AP1011" s="1361" t="n"/>
      <c r="AQ1011" s="1361" t="n"/>
      <c r="AR1011" s="1361" t="n"/>
      <c r="AS1011" s="1361">
        <f>AT1011</f>
        <v/>
      </c>
      <c r="AT1011" s="1379" t="n"/>
      <c r="AU1011" s="1361" t="n"/>
      <c r="AV1011" s="1361" t="n"/>
      <c r="AW1011" s="1361" t="n"/>
      <c r="AX1011" s="1361">
        <f>AY1011</f>
        <v/>
      </c>
      <c r="AY1011" s="1379" t="n"/>
      <c r="AZ1011" s="1361" t="n"/>
      <c r="BA1011" s="1361" t="n"/>
      <c r="BB1011" s="1361" t="n"/>
      <c r="BC1011" s="1361">
        <f>BD1011</f>
        <v/>
      </c>
      <c r="BD1011" s="1379" t="n"/>
      <c r="BE1011" s="1361" t="n"/>
      <c r="BF1011" s="1361" t="n"/>
      <c r="BG1011" s="1361" t="n"/>
      <c r="BH1011" s="1361">
        <f>BI1011</f>
        <v/>
      </c>
      <c r="BI1011" s="1379" t="n"/>
      <c r="BJ1011" s="1361" t="n"/>
      <c r="BK1011" s="1361" t="n"/>
      <c r="BL1011" s="1361" t="n"/>
      <c r="BM1011" s="1361">
        <f>BN1011</f>
        <v/>
      </c>
      <c r="BN1011" s="1379" t="n"/>
      <c r="BO1011" s="1361" t="n"/>
      <c r="BP1011" s="1361" t="n"/>
      <c r="BQ1011" s="1363" t="n"/>
      <c r="BR1011" s="1361" t="n"/>
      <c r="BS1011" s="1379" t="n"/>
      <c r="BT1011" s="1361" t="n"/>
      <c r="BU1011" s="1361" t="n"/>
      <c r="BV1011" s="1361" t="n"/>
      <c r="BW1011" s="1361" t="n"/>
      <c r="BX1011" s="1379" t="n"/>
      <c r="BY1011" s="1379" t="n"/>
      <c r="BZ1011" s="1379" t="n"/>
      <c r="CA1011" s="1379" t="n"/>
      <c r="CB1011" s="1364" t="n"/>
    </row>
    <row r="1012" hidden="1" outlineLevel="1" ht="14.4" customFormat="1" customHeight="1" s="1359">
      <c r="A1012" s="1394" t="inlineStr">
        <is>
          <t>Gain on investments, net</t>
        </is>
      </c>
      <c r="B1012" s="1512" t="n"/>
      <c r="C1012" s="1494" t="n">
        <v>-1.292</v>
      </c>
      <c r="D1012" s="1494" t="n">
        <v>-5.984</v>
      </c>
      <c r="E1012" s="1494" t="n">
        <v>-15.737</v>
      </c>
      <c r="F1012" s="1494" t="n">
        <v>-6.32</v>
      </c>
      <c r="G1012" s="1493" t="n">
        <v>-1.006</v>
      </c>
      <c r="H1012" s="1493" t="n">
        <v>-2.477</v>
      </c>
      <c r="I1012" s="1493" t="n">
        <v>-4.035</v>
      </c>
      <c r="J1012" s="1493" t="n">
        <v>-5.311</v>
      </c>
      <c r="K1012" s="1494" t="n">
        <v>-5.311</v>
      </c>
      <c r="L1012" s="1493" t="n">
        <v>-3.651</v>
      </c>
      <c r="M1012" s="1493" t="n">
        <v>-5.128</v>
      </c>
      <c r="N1012" s="1493" t="n">
        <v>-3.202</v>
      </c>
      <c r="O1012" s="1493" t="n">
        <v>-4.707</v>
      </c>
      <c r="P1012" s="1494" t="n">
        <v>-4.707</v>
      </c>
      <c r="Q1012" s="1493" t="n">
        <v>-1.27</v>
      </c>
      <c r="R1012" s="1493" t="n">
        <v>-1.59</v>
      </c>
      <c r="S1012" s="1493" t="n">
        <v>-1.434</v>
      </c>
      <c r="T1012" s="1493" t="n">
        <v>-2.124</v>
      </c>
      <c r="U1012" s="1494" t="n">
        <v>-2.124</v>
      </c>
      <c r="V1012" s="1493" t="n">
        <v>-2.617</v>
      </c>
      <c r="W1012" s="1493" t="n">
        <v>-3.265</v>
      </c>
      <c r="X1012" s="1493" t="n">
        <v>-4.07</v>
      </c>
      <c r="Y1012" s="1361">
        <f>Z1012</f>
        <v/>
      </c>
      <c r="Z1012" s="1494" t="n">
        <v>-4.725</v>
      </c>
      <c r="AA1012" s="1493" t="n">
        <v>-1.228</v>
      </c>
      <c r="AB1012" s="1493" t="n">
        <v>-2.083</v>
      </c>
      <c r="AC1012" s="1493" t="n">
        <v>-12.502</v>
      </c>
      <c r="AD1012" s="1361">
        <f>AE1012</f>
        <v/>
      </c>
      <c r="AE1012" s="1494" t="n">
        <v>-13.869</v>
      </c>
      <c r="AF1012" s="1493" t="n">
        <v>-1.123</v>
      </c>
      <c r="AG1012" s="1493" t="n">
        <v>-2.136</v>
      </c>
      <c r="AH1012" s="1493" t="n">
        <v>-2.617</v>
      </c>
      <c r="AI1012" s="1361">
        <f>AJ1012</f>
        <v/>
      </c>
      <c r="AJ1012" s="1494" t="n">
        <v>-1.261</v>
      </c>
      <c r="AK1012" s="1493" t="n">
        <v>-2.646</v>
      </c>
      <c r="AL1012" s="1493" t="n">
        <v>0.259</v>
      </c>
      <c r="AM1012" s="1493" t="n">
        <v>2.655</v>
      </c>
      <c r="AN1012" s="1361">
        <f>AO1012</f>
        <v/>
      </c>
      <c r="AO1012" s="1494" t="n">
        <v>4.09</v>
      </c>
      <c r="AP1012" s="1493" t="n">
        <v>3.215</v>
      </c>
      <c r="AQ1012" s="1493" t="n">
        <v>4.036</v>
      </c>
      <c r="AR1012" s="1493" t="n">
        <v>5.118</v>
      </c>
      <c r="AS1012" s="1361">
        <f>AT1012</f>
        <v/>
      </c>
      <c r="AT1012" s="1494" t="n">
        <v>4.954</v>
      </c>
      <c r="AU1012" s="1493" t="n">
        <v>-1.433</v>
      </c>
      <c r="AV1012" s="1493" t="n">
        <v>-0.795</v>
      </c>
      <c r="AW1012" s="1493" t="n">
        <v>-0.33</v>
      </c>
      <c r="AX1012" s="1361">
        <f>AY1012</f>
        <v/>
      </c>
      <c r="AY1012" s="1494" t="n">
        <v>-0.58</v>
      </c>
      <c r="AZ1012" s="1493" t="n">
        <v>2.038</v>
      </c>
      <c r="BA1012" s="1493" t="n">
        <v>3.124</v>
      </c>
      <c r="BB1012" s="1493" t="n">
        <v>4.777</v>
      </c>
      <c r="BC1012" s="1361">
        <f>BD1012</f>
        <v/>
      </c>
      <c r="BD1012" s="1494" t="n">
        <v>5.425</v>
      </c>
      <c r="BE1012" s="1493" t="n">
        <v>-0.123</v>
      </c>
      <c r="BF1012" s="1493" t="n">
        <v>0.554</v>
      </c>
      <c r="BG1012" s="1493" t="n">
        <v>-12.732</v>
      </c>
      <c r="BH1012" s="1361">
        <f>BI1012</f>
        <v/>
      </c>
      <c r="BI1012" s="1494" t="n">
        <v>-34.602</v>
      </c>
      <c r="BJ1012" s="1493" t="n">
        <v>-55.394</v>
      </c>
      <c r="BK1012" s="1493" t="n">
        <v>-80.599</v>
      </c>
      <c r="BL1012" s="1493" t="n">
        <v>-64.458</v>
      </c>
      <c r="BM1012" s="1361">
        <f>BN1012</f>
        <v/>
      </c>
      <c r="BN1012" s="1494" t="n">
        <v>-49.593</v>
      </c>
      <c r="BO1012" s="1493" t="n">
        <v>1.791</v>
      </c>
      <c r="BP1012" s="1493" t="n">
        <v>-36.654</v>
      </c>
      <c r="BQ1012" s="1502" t="n">
        <v>-22.135</v>
      </c>
      <c r="BR1012" s="1361" t="n"/>
      <c r="BS1012" s="1379" t="n"/>
      <c r="BT1012" s="1361" t="n"/>
      <c r="BU1012" s="1361" t="n"/>
      <c r="BV1012" s="1361" t="n"/>
      <c r="BW1012" s="1361" t="n"/>
      <c r="BX1012" s="1379" t="n"/>
      <c r="BY1012" s="1379" t="n"/>
      <c r="BZ1012" s="1379" t="n"/>
      <c r="CA1012" s="1379" t="n"/>
      <c r="CB1012" s="1364" t="n"/>
    </row>
    <row r="1013" hidden="1" outlineLevel="1" ht="14.4" customFormat="1" customHeight="1" s="1359">
      <c r="A1013" s="1394" t="inlineStr">
        <is>
          <t>Gain on sale of property, plant and equipment</t>
        </is>
      </c>
      <c r="B1013" s="1512" t="n"/>
      <c r="C1013" s="1379" t="n"/>
      <c r="D1013" s="1379" t="n"/>
      <c r="E1013" s="1379" t="n"/>
      <c r="F1013" s="1379" t="n"/>
      <c r="G1013" s="1361" t="n"/>
      <c r="H1013" s="1361" t="n"/>
      <c r="I1013" s="1361" t="n"/>
      <c r="J1013" s="1493" t="n">
        <v>0</v>
      </c>
      <c r="K1013" s="1379" t="n"/>
      <c r="L1013" s="1361" t="n"/>
      <c r="M1013" s="1361" t="n"/>
      <c r="N1013" s="1361" t="n"/>
      <c r="O1013" s="1493" t="n">
        <v>0</v>
      </c>
      <c r="P1013" s="1379" t="n"/>
      <c r="Q1013" s="1361" t="n"/>
      <c r="R1013" s="1361" t="n"/>
      <c r="S1013" s="1361" t="n"/>
      <c r="T1013" s="1493" t="n">
        <v>0</v>
      </c>
      <c r="U1013" s="1379" t="n"/>
      <c r="V1013" s="1361" t="n"/>
      <c r="W1013" s="1361" t="n"/>
      <c r="X1013" s="1493" t="n">
        <v>-0.482</v>
      </c>
      <c r="Y1013" s="1361">
        <f>Z1013</f>
        <v/>
      </c>
      <c r="Z1013" s="1494" t="n">
        <v>-0.923</v>
      </c>
      <c r="AA1013" s="1361" t="n"/>
      <c r="AB1013" s="1361" t="n"/>
      <c r="AC1013" s="1493" t="n">
        <v>0</v>
      </c>
      <c r="AD1013" s="1361">
        <f>AE1013</f>
        <v/>
      </c>
      <c r="AE1013" s="1379" t="n"/>
      <c r="AF1013" s="1361" t="n"/>
      <c r="AG1013" s="1361" t="n"/>
      <c r="AH1013" s="1361" t="n"/>
      <c r="AI1013" s="1361">
        <f>AJ1013</f>
        <v/>
      </c>
      <c r="AJ1013" s="1379" t="n"/>
      <c r="AK1013" s="1361" t="n"/>
      <c r="AL1013" s="1361" t="n"/>
      <c r="AM1013" s="1361" t="n"/>
      <c r="AN1013" s="1361">
        <f>AO1013</f>
        <v/>
      </c>
      <c r="AO1013" s="1379" t="n"/>
      <c r="AP1013" s="1361" t="n"/>
      <c r="AQ1013" s="1361" t="n"/>
      <c r="AR1013" s="1361" t="n"/>
      <c r="AS1013" s="1361">
        <f>AT1013</f>
        <v/>
      </c>
      <c r="AT1013" s="1379" t="n"/>
      <c r="AU1013" s="1361" t="n"/>
      <c r="AV1013" s="1361" t="n"/>
      <c r="AW1013" s="1361" t="n"/>
      <c r="AX1013" s="1361">
        <f>AY1013</f>
        <v/>
      </c>
      <c r="AY1013" s="1379" t="n"/>
      <c r="AZ1013" s="1361" t="n"/>
      <c r="BA1013" s="1361" t="n"/>
      <c r="BB1013" s="1361" t="n"/>
      <c r="BC1013" s="1361">
        <f>BD1013</f>
        <v/>
      </c>
      <c r="BD1013" s="1379" t="n"/>
      <c r="BE1013" s="1361" t="n"/>
      <c r="BF1013" s="1361" t="n"/>
      <c r="BG1013" s="1361" t="n"/>
      <c r="BH1013" s="1361">
        <f>BI1013</f>
        <v/>
      </c>
      <c r="BI1013" s="1379" t="n"/>
      <c r="BJ1013" s="1361" t="n"/>
      <c r="BK1013" s="1361" t="n"/>
      <c r="BL1013" s="1361" t="n"/>
      <c r="BM1013" s="1361">
        <f>BN1013</f>
        <v/>
      </c>
      <c r="BN1013" s="1379" t="n"/>
      <c r="BO1013" s="1361" t="n"/>
      <c r="BP1013" s="1361" t="n"/>
      <c r="BQ1013" s="1363" t="n"/>
      <c r="BR1013" s="1361" t="n"/>
      <c r="BS1013" s="1379" t="n"/>
      <c r="BT1013" s="1361" t="n"/>
      <c r="BU1013" s="1361" t="n"/>
      <c r="BV1013" s="1361" t="n"/>
      <c r="BW1013" s="1361" t="n"/>
      <c r="BX1013" s="1379" t="n"/>
      <c r="BY1013" s="1379" t="n"/>
      <c r="BZ1013" s="1379" t="n"/>
      <c r="CA1013" s="1379" t="n"/>
      <c r="CB1013" s="1364" t="n"/>
    </row>
    <row r="1014" hidden="1" outlineLevel="1" ht="14.4" customFormat="1" customHeight="1" s="1359">
      <c r="A1014" s="1394" t="inlineStr">
        <is>
          <t>Write-down of investment securities</t>
        </is>
      </c>
      <c r="B1014" s="1512" t="n"/>
      <c r="C1014" s="1494" t="n">
        <v>5.207</v>
      </c>
      <c r="D1014" s="1379" t="n"/>
      <c r="E1014" s="1379" t="n"/>
      <c r="F1014" s="1379" t="n"/>
      <c r="G1014" s="1361" t="n"/>
      <c r="H1014" s="1361" t="n"/>
      <c r="I1014" s="1361" t="n"/>
      <c r="J1014" s="1493" t="n">
        <v>0</v>
      </c>
      <c r="K1014" s="1379" t="n"/>
      <c r="L1014" s="1361" t="n"/>
      <c r="M1014" s="1361" t="n"/>
      <c r="N1014" s="1361" t="n"/>
      <c r="O1014" s="1493" t="n">
        <v>0</v>
      </c>
      <c r="P1014" s="1379" t="n"/>
      <c r="Q1014" s="1361" t="n"/>
      <c r="R1014" s="1361" t="n"/>
      <c r="S1014" s="1361" t="n"/>
      <c r="T1014" s="1493" t="n">
        <v>0</v>
      </c>
      <c r="U1014" s="1379" t="n"/>
      <c r="V1014" s="1361" t="n"/>
      <c r="W1014" s="1361" t="n"/>
      <c r="X1014" s="1361" t="n"/>
      <c r="Y1014" s="1361">
        <f>Z1014</f>
        <v/>
      </c>
      <c r="Z1014" s="1379" t="n"/>
      <c r="AA1014" s="1361" t="n"/>
      <c r="AB1014" s="1361" t="n"/>
      <c r="AC1014" s="1361" t="n"/>
      <c r="AD1014" s="1361">
        <f>AE1014</f>
        <v/>
      </c>
      <c r="AE1014" s="1379" t="n"/>
      <c r="AF1014" s="1361" t="n"/>
      <c r="AG1014" s="1361" t="n"/>
      <c r="AH1014" s="1361" t="n"/>
      <c r="AI1014" s="1361">
        <f>AJ1014</f>
        <v/>
      </c>
      <c r="AJ1014" s="1379" t="n"/>
      <c r="AK1014" s="1361" t="n"/>
      <c r="AL1014" s="1361" t="n"/>
      <c r="AM1014" s="1361" t="n"/>
      <c r="AN1014" s="1361">
        <f>AO1014</f>
        <v/>
      </c>
      <c r="AO1014" s="1379" t="n"/>
      <c r="AP1014" s="1361" t="n"/>
      <c r="AQ1014" s="1361" t="n"/>
      <c r="AR1014" s="1361" t="n"/>
      <c r="AS1014" s="1361">
        <f>AT1014</f>
        <v/>
      </c>
      <c r="AT1014" s="1379" t="n"/>
      <c r="AU1014" s="1361" t="n"/>
      <c r="AV1014" s="1361" t="n"/>
      <c r="AW1014" s="1361" t="n"/>
      <c r="AX1014" s="1361">
        <f>AY1014</f>
        <v/>
      </c>
      <c r="AY1014" s="1379" t="n"/>
      <c r="AZ1014" s="1361" t="n"/>
      <c r="BA1014" s="1361" t="n"/>
      <c r="BB1014" s="1361" t="n"/>
      <c r="BC1014" s="1361">
        <f>BD1014</f>
        <v/>
      </c>
      <c r="BD1014" s="1379" t="n"/>
      <c r="BE1014" s="1361" t="n"/>
      <c r="BF1014" s="1361" t="n"/>
      <c r="BG1014" s="1361" t="n"/>
      <c r="BH1014" s="1361">
        <f>BI1014</f>
        <v/>
      </c>
      <c r="BI1014" s="1379" t="n"/>
      <c r="BJ1014" s="1361" t="n"/>
      <c r="BK1014" s="1361" t="n"/>
      <c r="BL1014" s="1361" t="n"/>
      <c r="BM1014" s="1361">
        <f>BN1014</f>
        <v/>
      </c>
      <c r="BN1014" s="1379" t="n"/>
      <c r="BO1014" s="1361" t="n"/>
      <c r="BP1014" s="1361" t="n"/>
      <c r="BQ1014" s="1363" t="n"/>
      <c r="BR1014" s="1361" t="n"/>
      <c r="BS1014" s="1379" t="n"/>
      <c r="BT1014" s="1361" t="n"/>
      <c r="BU1014" s="1361" t="n"/>
      <c r="BV1014" s="1361" t="n"/>
      <c r="BW1014" s="1361" t="n"/>
      <c r="BX1014" s="1379" t="n"/>
      <c r="BY1014" s="1379" t="n"/>
      <c r="BZ1014" s="1379" t="n"/>
      <c r="CA1014" s="1379" t="n"/>
      <c r="CB1014" s="1364" t="n"/>
    </row>
    <row r="1015" hidden="1" outlineLevel="1" ht="14.4" customFormat="1" customHeight="1" s="1359">
      <c r="A1015" s="1394" t="inlineStr">
        <is>
          <t>Non-cash restructuring and other charges</t>
        </is>
      </c>
      <c r="B1015" s="1512" t="n"/>
      <c r="C1015" s="1494" t="n">
        <v>-0.358</v>
      </c>
      <c r="D1015" s="1494" t="n">
        <v>4.086</v>
      </c>
      <c r="E1015" s="1494" t="n">
        <v>0.24</v>
      </c>
      <c r="F1015" s="1494" t="n">
        <v>0.252</v>
      </c>
      <c r="G1015" s="1361" t="n"/>
      <c r="H1015" s="1361" t="n"/>
      <c r="I1015" s="1361" t="n"/>
      <c r="J1015" s="1493" t="n">
        <v>0</v>
      </c>
      <c r="K1015" s="1379" t="n"/>
      <c r="L1015" s="1361" t="n"/>
      <c r="M1015" s="1361" t="n"/>
      <c r="N1015" s="1361" t="n"/>
      <c r="O1015" s="1493" t="n">
        <v>0</v>
      </c>
      <c r="P1015" s="1379" t="n"/>
      <c r="Q1015" s="1361" t="n"/>
      <c r="R1015" s="1361" t="n"/>
      <c r="S1015" s="1361" t="n"/>
      <c r="T1015" s="1493" t="n">
        <v>0</v>
      </c>
      <c r="U1015" s="1379" t="n"/>
      <c r="V1015" s="1361" t="n"/>
      <c r="W1015" s="1361" t="n"/>
      <c r="X1015" s="1361" t="n"/>
      <c r="Y1015" s="1361">
        <f>Z1015</f>
        <v/>
      </c>
      <c r="Z1015" s="1379" t="n"/>
      <c r="AA1015" s="1361" t="n"/>
      <c r="AB1015" s="1361" t="n"/>
      <c r="AC1015" s="1361" t="n"/>
      <c r="AD1015" s="1361">
        <f>AE1015</f>
        <v/>
      </c>
      <c r="AE1015" s="1379" t="n"/>
      <c r="AF1015" s="1361" t="n"/>
      <c r="AG1015" s="1361" t="n"/>
      <c r="AH1015" s="1361" t="n"/>
      <c r="AI1015" s="1361">
        <f>AJ1015</f>
        <v/>
      </c>
      <c r="AJ1015" s="1379" t="n"/>
      <c r="AK1015" s="1361" t="n"/>
      <c r="AL1015" s="1361" t="n"/>
      <c r="AM1015" s="1361" t="n"/>
      <c r="AN1015" s="1361">
        <f>AO1015</f>
        <v/>
      </c>
      <c r="AO1015" s="1379" t="n"/>
      <c r="AP1015" s="1361" t="n"/>
      <c r="AQ1015" s="1361" t="n"/>
      <c r="AR1015" s="1361" t="n"/>
      <c r="AS1015" s="1361">
        <f>AT1015</f>
        <v/>
      </c>
      <c r="AT1015" s="1379" t="n"/>
      <c r="AU1015" s="1361" t="n"/>
      <c r="AV1015" s="1361" t="n"/>
      <c r="AW1015" s="1361" t="n"/>
      <c r="AX1015" s="1361">
        <f>AY1015</f>
        <v/>
      </c>
      <c r="AY1015" s="1379" t="n"/>
      <c r="AZ1015" s="1361" t="n"/>
      <c r="BA1015" s="1361" t="n"/>
      <c r="BB1015" s="1361" t="n"/>
      <c r="BC1015" s="1361">
        <f>BD1015</f>
        <v/>
      </c>
      <c r="BD1015" s="1379" t="n"/>
      <c r="BE1015" s="1361" t="n"/>
      <c r="BF1015" s="1361" t="n"/>
      <c r="BG1015" s="1361" t="n"/>
      <c r="BH1015" s="1361">
        <f>BI1015</f>
        <v/>
      </c>
      <c r="BI1015" s="1379" t="n"/>
      <c r="BJ1015" s="1361" t="n"/>
      <c r="BK1015" s="1361" t="n"/>
      <c r="BL1015" s="1361" t="n"/>
      <c r="BM1015" s="1361">
        <f>BN1015</f>
        <v/>
      </c>
      <c r="BN1015" s="1379" t="n"/>
      <c r="BO1015" s="1361" t="n"/>
      <c r="BP1015" s="1361" t="n"/>
      <c r="BQ1015" s="1363" t="n"/>
      <c r="BR1015" s="1361" t="n"/>
      <c r="BS1015" s="1379" t="n"/>
      <c r="BT1015" s="1361" t="n"/>
      <c r="BU1015" s="1361" t="n"/>
      <c r="BV1015" s="1361" t="n"/>
      <c r="BW1015" s="1361" t="n"/>
      <c r="BX1015" s="1379" t="n"/>
      <c r="BY1015" s="1379" t="n"/>
      <c r="BZ1015" s="1379" t="n"/>
      <c r="CA1015" s="1379" t="n"/>
      <c r="CB1015" s="1364" t="n"/>
    </row>
    <row r="1016" hidden="1" outlineLevel="1" ht="14.4" customFormat="1" customHeight="1" s="1359">
      <c r="A1016" s="1394" t="inlineStr">
        <is>
          <t>Tax impact of convertible notes interest</t>
        </is>
      </c>
      <c r="B1016" s="1512" t="n"/>
      <c r="C1016" s="1379" t="n"/>
      <c r="D1016" s="1494" t="n">
        <v>0</v>
      </c>
      <c r="E1016" s="1494" t="n">
        <v>8.486000000000001</v>
      </c>
      <c r="F1016" s="1494" t="n">
        <v>0</v>
      </c>
      <c r="G1016" s="1361" t="n"/>
      <c r="H1016" s="1361" t="n"/>
      <c r="I1016" s="1361" t="n"/>
      <c r="J1016" s="1493" t="n">
        <v>0</v>
      </c>
      <c r="K1016" s="1379" t="n"/>
      <c r="L1016" s="1361" t="n"/>
      <c r="M1016" s="1361" t="n"/>
      <c r="N1016" s="1361" t="n"/>
      <c r="O1016" s="1493" t="n">
        <v>0</v>
      </c>
      <c r="P1016" s="1379" t="n"/>
      <c r="Q1016" s="1361" t="n"/>
      <c r="R1016" s="1361" t="n"/>
      <c r="S1016" s="1361" t="n"/>
      <c r="T1016" s="1493" t="n">
        <v>0</v>
      </c>
      <c r="U1016" s="1379" t="n"/>
      <c r="V1016" s="1361" t="n"/>
      <c r="W1016" s="1361" t="n"/>
      <c r="X1016" s="1361" t="n"/>
      <c r="Y1016" s="1361">
        <f>Z1016</f>
        <v/>
      </c>
      <c r="Z1016" s="1379" t="n"/>
      <c r="AA1016" s="1361" t="n"/>
      <c r="AB1016" s="1361" t="n"/>
      <c r="AC1016" s="1361" t="n"/>
      <c r="AD1016" s="1361">
        <f>AE1016</f>
        <v/>
      </c>
      <c r="AE1016" s="1379" t="n"/>
      <c r="AF1016" s="1361" t="n"/>
      <c r="AG1016" s="1361" t="n"/>
      <c r="AH1016" s="1361" t="n"/>
      <c r="AI1016" s="1361">
        <f>AJ1016</f>
        <v/>
      </c>
      <c r="AJ1016" s="1379" t="n"/>
      <c r="AK1016" s="1361" t="n"/>
      <c r="AL1016" s="1361" t="n"/>
      <c r="AM1016" s="1361" t="n"/>
      <c r="AN1016" s="1361">
        <f>AO1016</f>
        <v/>
      </c>
      <c r="AO1016" s="1379" t="n"/>
      <c r="AP1016" s="1361" t="n"/>
      <c r="AQ1016" s="1361" t="n"/>
      <c r="AR1016" s="1361" t="n"/>
      <c r="AS1016" s="1361">
        <f>AT1016</f>
        <v/>
      </c>
      <c r="AT1016" s="1379" t="n"/>
      <c r="AU1016" s="1361" t="n"/>
      <c r="AV1016" s="1361" t="n"/>
      <c r="AW1016" s="1361" t="n"/>
      <c r="AX1016" s="1361">
        <f>AY1016</f>
        <v/>
      </c>
      <c r="AY1016" s="1379" t="n"/>
      <c r="AZ1016" s="1361" t="n"/>
      <c r="BA1016" s="1361" t="n"/>
      <c r="BB1016" s="1361" t="n"/>
      <c r="BC1016" s="1361">
        <f>BD1016</f>
        <v/>
      </c>
      <c r="BD1016" s="1379" t="n"/>
      <c r="BE1016" s="1361" t="n"/>
      <c r="BF1016" s="1361" t="n"/>
      <c r="BG1016" s="1361" t="n"/>
      <c r="BH1016" s="1361">
        <f>BI1016</f>
        <v/>
      </c>
      <c r="BI1016" s="1379" t="n"/>
      <c r="BJ1016" s="1361" t="n"/>
      <c r="BK1016" s="1361" t="n"/>
      <c r="BL1016" s="1361" t="n"/>
      <c r="BM1016" s="1361">
        <f>BN1016</f>
        <v/>
      </c>
      <c r="BN1016" s="1379" t="n"/>
      <c r="BO1016" s="1361" t="n"/>
      <c r="BP1016" s="1361" t="n"/>
      <c r="BQ1016" s="1363" t="n"/>
      <c r="BR1016" s="1361" t="n"/>
      <c r="BS1016" s="1379" t="n"/>
      <c r="BT1016" s="1361" t="n"/>
      <c r="BU1016" s="1361" t="n"/>
      <c r="BV1016" s="1361" t="n"/>
      <c r="BW1016" s="1361" t="n"/>
      <c r="BX1016" s="1379" t="n"/>
      <c r="BY1016" s="1379" t="n"/>
      <c r="BZ1016" s="1379" t="n"/>
      <c r="CA1016" s="1379" t="n"/>
      <c r="CB1016" s="1364" t="n"/>
    </row>
    <row r="1017" hidden="1" outlineLevel="1" ht="14.4" customFormat="1" customHeight="1" s="1359">
      <c r="A1017" s="1394" t="inlineStr">
        <is>
          <t>Impairment of property, plant and equipment</t>
        </is>
      </c>
      <c r="B1017" s="1512" t="n"/>
      <c r="C1017" s="1494" t="n">
        <v>6.73</v>
      </c>
      <c r="D1017" s="1494" t="n">
        <v>0.491</v>
      </c>
      <c r="E1017" s="1494" t="n">
        <v>0</v>
      </c>
      <c r="F1017" s="1379" t="n"/>
      <c r="G1017" s="1361" t="n"/>
      <c r="H1017" s="1361" t="n"/>
      <c r="I1017" s="1361" t="n"/>
      <c r="J1017" s="1493" t="n">
        <v>0</v>
      </c>
      <c r="K1017" s="1379" t="n"/>
      <c r="L1017" s="1361" t="n"/>
      <c r="M1017" s="1361" t="n"/>
      <c r="N1017" s="1361" t="n"/>
      <c r="O1017" s="1493" t="n">
        <v>0</v>
      </c>
      <c r="P1017" s="1379" t="n"/>
      <c r="Q1017" s="1361" t="n"/>
      <c r="R1017" s="1361" t="n"/>
      <c r="S1017" s="1361" t="n"/>
      <c r="T1017" s="1493" t="n">
        <v>0</v>
      </c>
      <c r="U1017" s="1379" t="n"/>
      <c r="V1017" s="1361" t="n"/>
      <c r="W1017" s="1361" t="n"/>
      <c r="X1017" s="1361" t="n"/>
      <c r="Y1017" s="1361">
        <f>Z1017</f>
        <v/>
      </c>
      <c r="Z1017" s="1379" t="n"/>
      <c r="AA1017" s="1361" t="n"/>
      <c r="AB1017" s="1361" t="n"/>
      <c r="AC1017" s="1361" t="n"/>
      <c r="AD1017" s="1361">
        <f>AE1017</f>
        <v/>
      </c>
      <c r="AE1017" s="1379" t="n"/>
      <c r="AF1017" s="1361" t="n"/>
      <c r="AG1017" s="1361" t="n"/>
      <c r="AH1017" s="1361" t="n"/>
      <c r="AI1017" s="1361">
        <f>AJ1017</f>
        <v/>
      </c>
      <c r="AJ1017" s="1379" t="n"/>
      <c r="AK1017" s="1361" t="n"/>
      <c r="AL1017" s="1361" t="n"/>
      <c r="AM1017" s="1361" t="n"/>
      <c r="AN1017" s="1361">
        <f>AO1017</f>
        <v/>
      </c>
      <c r="AO1017" s="1379" t="n"/>
      <c r="AP1017" s="1361" t="n"/>
      <c r="AQ1017" s="1361" t="n"/>
      <c r="AR1017" s="1361" t="n"/>
      <c r="AS1017" s="1361">
        <f>AT1017</f>
        <v/>
      </c>
      <c r="AT1017" s="1379" t="n"/>
      <c r="AU1017" s="1361" t="n"/>
      <c r="AV1017" s="1361" t="n"/>
      <c r="AW1017" s="1361" t="n"/>
      <c r="AX1017" s="1361">
        <f>AY1017</f>
        <v/>
      </c>
      <c r="AY1017" s="1379" t="n"/>
      <c r="AZ1017" s="1361" t="n"/>
      <c r="BA1017" s="1361" t="n"/>
      <c r="BB1017" s="1361" t="n"/>
      <c r="BC1017" s="1361">
        <f>BD1017</f>
        <v/>
      </c>
      <c r="BD1017" s="1379" t="n"/>
      <c r="BE1017" s="1361" t="n"/>
      <c r="BF1017" s="1361" t="n"/>
      <c r="BG1017" s="1361" t="n"/>
      <c r="BH1017" s="1361">
        <f>BI1017</f>
        <v/>
      </c>
      <c r="BI1017" s="1379" t="n"/>
      <c r="BJ1017" s="1361" t="n"/>
      <c r="BK1017" s="1361" t="n"/>
      <c r="BL1017" s="1361" t="n"/>
      <c r="BM1017" s="1361">
        <f>BN1017</f>
        <v/>
      </c>
      <c r="BN1017" s="1379" t="n"/>
      <c r="BO1017" s="1361" t="n"/>
      <c r="BP1017" s="1361" t="n"/>
      <c r="BQ1017" s="1363" t="n"/>
      <c r="BR1017" s="1361" t="n"/>
      <c r="BS1017" s="1379" t="n"/>
      <c r="BT1017" s="1361" t="n"/>
      <c r="BU1017" s="1361" t="n"/>
      <c r="BV1017" s="1361" t="n"/>
      <c r="BW1017" s="1361" t="n"/>
      <c r="BX1017" s="1379" t="n"/>
      <c r="BY1017" s="1379" t="n"/>
      <c r="BZ1017" s="1379" t="n"/>
      <c r="CA1017" s="1379" t="n"/>
      <c r="CB1017" s="1364" t="n"/>
    </row>
    <row r="1018" hidden="1" outlineLevel="1" ht="14.4" customFormat="1" customHeight="1" s="1359">
      <c r="A1018" s="1394" t="inlineStr">
        <is>
          <t>Deferred income taxes</t>
        </is>
      </c>
      <c r="B1018" s="1512" t="n"/>
      <c r="C1018" s="1494" t="n">
        <v>-3.438</v>
      </c>
      <c r="D1018" s="1494" t="n">
        <v>-64.191</v>
      </c>
      <c r="E1018" s="1494" t="n">
        <v>-7.811</v>
      </c>
      <c r="F1018" s="1494" t="n">
        <v>-240.424</v>
      </c>
      <c r="G1018" s="1493" t="n">
        <v>8.695</v>
      </c>
      <c r="H1018" s="1493" t="n">
        <v>-4.413</v>
      </c>
      <c r="I1018" s="1493" t="n">
        <v>-6.425</v>
      </c>
      <c r="J1018" s="1493" t="n">
        <v>-2.366</v>
      </c>
      <c r="K1018" s="1494" t="n">
        <v>-2.366</v>
      </c>
      <c r="L1018" s="1493" t="n">
        <v>2.245</v>
      </c>
      <c r="M1018" s="1493" t="n">
        <v>4.778</v>
      </c>
      <c r="N1018" s="1493" t="n">
        <v>18.963</v>
      </c>
      <c r="O1018" s="1493" t="n">
        <v>12.478</v>
      </c>
      <c r="P1018" s="1494" t="n">
        <v>12.478</v>
      </c>
      <c r="Q1018" s="1493" t="n">
        <v>1.864</v>
      </c>
      <c r="R1018" s="1493" t="n">
        <v>7.097</v>
      </c>
      <c r="S1018" s="1493" t="n">
        <v>1.713</v>
      </c>
      <c r="T1018" s="1493" t="n">
        <v>-13.148</v>
      </c>
      <c r="U1018" s="1494" t="n">
        <v>-13.148</v>
      </c>
      <c r="V1018" s="1493" t="n">
        <v>1.623</v>
      </c>
      <c r="W1018" s="1493" t="n">
        <v>10.252</v>
      </c>
      <c r="X1018" s="1493" t="n">
        <v>8.657</v>
      </c>
      <c r="Y1018" s="1361">
        <f>Z1018</f>
        <v/>
      </c>
      <c r="Z1018" s="1494" t="n">
        <v>-4.869</v>
      </c>
      <c r="AA1018" s="1493" t="n">
        <v>1.99</v>
      </c>
      <c r="AB1018" s="1493" t="n">
        <v>4.813</v>
      </c>
      <c r="AC1018" s="1493" t="n">
        <v>0.212</v>
      </c>
      <c r="AD1018" s="1361">
        <f>AE1018</f>
        <v/>
      </c>
      <c r="AE1018" s="1494" t="n">
        <v>79.934</v>
      </c>
      <c r="AF1018" s="1493" t="n">
        <v>1.363</v>
      </c>
      <c r="AG1018" s="1493" t="n">
        <v>1.664</v>
      </c>
      <c r="AH1018" s="1493" t="n">
        <v>-3.221</v>
      </c>
      <c r="AI1018" s="1361">
        <f>AJ1018</f>
        <v/>
      </c>
      <c r="AJ1018" s="1494" t="n">
        <v>-11.676</v>
      </c>
      <c r="AK1018" s="1493" t="n">
        <v>-4.966</v>
      </c>
      <c r="AL1018" s="1493" t="n">
        <v>-8.159000000000001</v>
      </c>
      <c r="AM1018" s="1493" t="n">
        <v>-10.938</v>
      </c>
      <c r="AN1018" s="1361">
        <f>AO1018</f>
        <v/>
      </c>
      <c r="AO1018" s="1494" t="n">
        <v>-576.7380000000001</v>
      </c>
      <c r="AP1018" s="1493" t="n">
        <v>3.904</v>
      </c>
      <c r="AQ1018" s="1493" t="n">
        <v>-1.609</v>
      </c>
      <c r="AR1018" s="1493" t="n">
        <v>-18.966</v>
      </c>
      <c r="AS1018" s="1361">
        <f>AT1018</f>
        <v/>
      </c>
      <c r="AT1018" s="1494" t="n">
        <v>-26.117</v>
      </c>
      <c r="AU1018" s="1493" t="n">
        <v>2.71</v>
      </c>
      <c r="AV1018" s="1493" t="n">
        <v>1.71</v>
      </c>
      <c r="AW1018" s="1493" t="n">
        <v>-34.566</v>
      </c>
      <c r="AX1018" s="1361">
        <f>AY1018</f>
        <v/>
      </c>
      <c r="AY1018" s="1494" t="n">
        <v>-43.178</v>
      </c>
      <c r="AZ1018" s="1493" t="n">
        <v>-24.92</v>
      </c>
      <c r="BA1018" s="1493" t="n">
        <v>-41.597</v>
      </c>
      <c r="BB1018" s="1493" t="n">
        <v>-49.834</v>
      </c>
      <c r="BC1018" s="1361">
        <f>BD1018</f>
        <v/>
      </c>
      <c r="BD1018" s="1494" t="n">
        <v>-107.606</v>
      </c>
      <c r="BE1018" s="1493" t="n">
        <v>-11.64</v>
      </c>
      <c r="BF1018" s="1493" t="n">
        <v>-20.171</v>
      </c>
      <c r="BG1018" s="1493" t="n">
        <v>-23.506</v>
      </c>
      <c r="BH1018" s="1361">
        <f>BI1018</f>
        <v/>
      </c>
      <c r="BI1018" s="1494" t="n">
        <v>-36.512</v>
      </c>
      <c r="BJ1018" s="1493" t="n">
        <v>-1.523</v>
      </c>
      <c r="BK1018" s="1493" t="n">
        <v>-9.506</v>
      </c>
      <c r="BL1018" s="1493" t="n">
        <v>-5.082</v>
      </c>
      <c r="BM1018" s="1361">
        <f>BN1018</f>
        <v/>
      </c>
      <c r="BN1018" s="1494" t="n">
        <v>-128.737</v>
      </c>
      <c r="BO1018" s="1493" t="n">
        <v>-1.861</v>
      </c>
      <c r="BP1018" s="1493" t="n">
        <v>3.241</v>
      </c>
      <c r="BQ1018" s="1502" t="n">
        <v>89.756</v>
      </c>
      <c r="BR1018" s="1361" t="n"/>
      <c r="BS1018" s="1379" t="n"/>
      <c r="BT1018" s="1361" t="n"/>
      <c r="BU1018" s="1361" t="n"/>
      <c r="BV1018" s="1361" t="n"/>
      <c r="BW1018" s="1361" t="n"/>
      <c r="BX1018" s="1379" t="n"/>
      <c r="BY1018" s="1379" t="n"/>
      <c r="BZ1018" s="1379" t="n"/>
      <c r="CA1018" s="1379" t="n"/>
      <c r="CB1018" s="1364" t="n"/>
    </row>
    <row r="1019" hidden="1" outlineLevel="1" ht="14.4" customFormat="1" customHeight="1" s="1359">
      <c r="A1019" s="1394" t="inlineStr">
        <is>
          <t>Proceeds from the sale of receivables, net</t>
        </is>
      </c>
      <c r="B1019" s="1512" t="n"/>
      <c r="C1019" s="1494" t="n">
        <v>5.827</v>
      </c>
      <c r="D1019" s="1379" t="n"/>
      <c r="E1019" s="1379" t="n"/>
      <c r="F1019" s="1379" t="n"/>
      <c r="G1019" s="1361" t="n"/>
      <c r="H1019" s="1361" t="n"/>
      <c r="I1019" s="1361" t="n"/>
      <c r="J1019" s="1493" t="n">
        <v>0</v>
      </c>
      <c r="K1019" s="1379" t="n"/>
      <c r="L1019" s="1361" t="n"/>
      <c r="M1019" s="1361" t="n"/>
      <c r="N1019" s="1361" t="n"/>
      <c r="O1019" s="1493" t="n">
        <v>0</v>
      </c>
      <c r="P1019" s="1379" t="n"/>
      <c r="Q1019" s="1361" t="n"/>
      <c r="R1019" s="1361" t="n"/>
      <c r="S1019" s="1361" t="n"/>
      <c r="T1019" s="1493" t="n">
        <v>0</v>
      </c>
      <c r="U1019" s="1379" t="n"/>
      <c r="V1019" s="1361" t="n"/>
      <c r="W1019" s="1361" t="n"/>
      <c r="X1019" s="1361" t="n"/>
      <c r="Y1019" s="1361">
        <f>Z1019</f>
        <v/>
      </c>
      <c r="Z1019" s="1379" t="n"/>
      <c r="AA1019" s="1361" t="n"/>
      <c r="AB1019" s="1361" t="n"/>
      <c r="AC1019" s="1361" t="n"/>
      <c r="AD1019" s="1361">
        <f>AE1019</f>
        <v/>
      </c>
      <c r="AE1019" s="1379" t="n"/>
      <c r="AF1019" s="1361" t="n"/>
      <c r="AG1019" s="1361" t="n"/>
      <c r="AH1019" s="1361" t="n"/>
      <c r="AI1019" s="1361">
        <f>AJ1019</f>
        <v/>
      </c>
      <c r="AJ1019" s="1379" t="n"/>
      <c r="AK1019" s="1361" t="n"/>
      <c r="AL1019" s="1361" t="n"/>
      <c r="AM1019" s="1361" t="n"/>
      <c r="AN1019" s="1361">
        <f>AO1019</f>
        <v/>
      </c>
      <c r="AO1019" s="1379" t="n"/>
      <c r="AP1019" s="1361" t="n"/>
      <c r="AQ1019" s="1361" t="n"/>
      <c r="AR1019" s="1361" t="n"/>
      <c r="AS1019" s="1361">
        <f>AT1019</f>
        <v/>
      </c>
      <c r="AT1019" s="1379" t="n"/>
      <c r="AU1019" s="1361" t="n"/>
      <c r="AV1019" s="1361" t="n"/>
      <c r="AW1019" s="1361" t="n"/>
      <c r="AX1019" s="1361">
        <f>AY1019</f>
        <v/>
      </c>
      <c r="AY1019" s="1379" t="n"/>
      <c r="AZ1019" s="1361" t="n"/>
      <c r="BA1019" s="1361" t="n"/>
      <c r="BB1019" s="1361" t="n"/>
      <c r="BC1019" s="1361">
        <f>BD1019</f>
        <v/>
      </c>
      <c r="BD1019" s="1379" t="n"/>
      <c r="BE1019" s="1361" t="n"/>
      <c r="BF1019" s="1361" t="n"/>
      <c r="BG1019" s="1361" t="n"/>
      <c r="BH1019" s="1361">
        <f>BI1019</f>
        <v/>
      </c>
      <c r="BI1019" s="1379" t="n"/>
      <c r="BJ1019" s="1361" t="n"/>
      <c r="BK1019" s="1361" t="n"/>
      <c r="BL1019" s="1361" t="n"/>
      <c r="BM1019" s="1361">
        <f>BN1019</f>
        <v/>
      </c>
      <c r="BN1019" s="1379" t="n"/>
      <c r="BO1019" s="1361" t="n"/>
      <c r="BP1019" s="1361" t="n"/>
      <c r="BQ1019" s="1363" t="n"/>
      <c r="BR1019" s="1361" t="n"/>
      <c r="BS1019" s="1379" t="n"/>
      <c r="BT1019" s="1361" t="n"/>
      <c r="BU1019" s="1361" t="n"/>
      <c r="BV1019" s="1361" t="n"/>
      <c r="BW1019" s="1361" t="n"/>
      <c r="BX1019" s="1379" t="n"/>
      <c r="BY1019" s="1379" t="n"/>
      <c r="BZ1019" s="1379" t="n"/>
      <c r="CA1019" s="1379" t="n"/>
      <c r="CB1019" s="1364" t="n"/>
    </row>
    <row r="1020" hidden="1" outlineLevel="1" ht="14.4" customFormat="1" customHeight="1" s="1359">
      <c r="A1020" s="1394" t="inlineStr">
        <is>
          <t>Provisions (recoveries) for losses (gains) on receivables, net</t>
        </is>
      </c>
      <c r="B1020" s="1512" t="n"/>
      <c r="C1020" s="1494" t="n">
        <v>20.947</v>
      </c>
      <c r="D1020" s="1494" t="n">
        <v>-17.098</v>
      </c>
      <c r="E1020" s="1494" t="n">
        <v>-6.596</v>
      </c>
      <c r="F1020" s="1494" t="n">
        <v>0.215</v>
      </c>
      <c r="G1020" s="1361" t="n"/>
      <c r="H1020" s="1361" t="n"/>
      <c r="I1020" s="1361" t="n"/>
      <c r="J1020" s="1493" t="n">
        <v>0</v>
      </c>
      <c r="K1020" s="1379" t="n"/>
      <c r="L1020" s="1361" t="n"/>
      <c r="M1020" s="1361" t="n"/>
      <c r="N1020" s="1361" t="n"/>
      <c r="O1020" s="1493" t="n">
        <v>0</v>
      </c>
      <c r="P1020" s="1379" t="n"/>
      <c r="Q1020" s="1361" t="n"/>
      <c r="R1020" s="1361" t="n"/>
      <c r="S1020" s="1361" t="n"/>
      <c r="T1020" s="1493" t="n">
        <v>0</v>
      </c>
      <c r="U1020" s="1379" t="n"/>
      <c r="V1020" s="1361" t="n"/>
      <c r="W1020" s="1361" t="n"/>
      <c r="X1020" s="1361" t="n"/>
      <c r="Y1020" s="1361">
        <f>Z1020</f>
        <v/>
      </c>
      <c r="Z1020" s="1379" t="n"/>
      <c r="AA1020" s="1361" t="n"/>
      <c r="AB1020" s="1361" t="n"/>
      <c r="AC1020" s="1361" t="n"/>
      <c r="AD1020" s="1361">
        <f>AE1020</f>
        <v/>
      </c>
      <c r="AE1020" s="1379" t="n"/>
      <c r="AF1020" s="1493" t="n">
        <v>0.666</v>
      </c>
      <c r="AG1020" s="1493" t="n">
        <v>1.015</v>
      </c>
      <c r="AH1020" s="1493" t="n">
        <v>4.79</v>
      </c>
      <c r="AI1020" s="1361">
        <f>AJ1020</f>
        <v/>
      </c>
      <c r="AJ1020" s="1494" t="n">
        <v>5.102</v>
      </c>
      <c r="AK1020" s="1493" t="n">
        <v>-0.183</v>
      </c>
      <c r="AL1020" s="1493" t="n">
        <v>-0.386</v>
      </c>
      <c r="AM1020" s="1493" t="n">
        <v>-0.358</v>
      </c>
      <c r="AN1020" s="1361">
        <f>AO1020</f>
        <v/>
      </c>
      <c r="AO1020" s="1494" t="n">
        <v>0.632</v>
      </c>
      <c r="AP1020" s="1493" t="n">
        <v>-0.077</v>
      </c>
      <c r="AQ1020" s="1493" t="n">
        <v>0.922</v>
      </c>
      <c r="AR1020" s="1493" t="n">
        <v>1.087</v>
      </c>
      <c r="AS1020" s="1361">
        <f>AT1020</f>
        <v/>
      </c>
      <c r="AT1020" s="1494" t="n">
        <v>1.628</v>
      </c>
      <c r="AU1020" s="1493" t="n">
        <v>0.077</v>
      </c>
      <c r="AV1020" s="1493" t="n">
        <v>0.242</v>
      </c>
      <c r="AW1020" s="1493" t="n">
        <v>0.234</v>
      </c>
      <c r="AX1020" s="1361">
        <f>AY1020</f>
        <v/>
      </c>
      <c r="AY1020" s="1494" t="n">
        <v>0.525</v>
      </c>
      <c r="AZ1020" s="1493" t="n">
        <v>-0.344</v>
      </c>
      <c r="BA1020" s="1493" t="n">
        <v>0.133</v>
      </c>
      <c r="BB1020" s="1493" t="n">
        <v>0.471</v>
      </c>
      <c r="BC1020" s="1361">
        <f>BD1020</f>
        <v/>
      </c>
      <c r="BD1020" s="1494" t="n">
        <v>0.204</v>
      </c>
      <c r="BE1020" s="1493" t="n">
        <v>0.214</v>
      </c>
      <c r="BF1020" s="1493" t="n">
        <v>0.72</v>
      </c>
      <c r="BG1020" s="1493" t="n">
        <v>1.692</v>
      </c>
      <c r="BH1020" s="1361">
        <f>BI1020</f>
        <v/>
      </c>
      <c r="BI1020" s="1494" t="n">
        <v>3.325</v>
      </c>
      <c r="BJ1020" s="1493" t="n">
        <v>0.158</v>
      </c>
      <c r="BK1020" s="1493" t="n">
        <v>0.614</v>
      </c>
      <c r="BL1020" s="1493" t="n">
        <v>1.124</v>
      </c>
      <c r="BM1020" s="1361">
        <f>BN1020</f>
        <v/>
      </c>
      <c r="BN1020" s="1494" t="n">
        <v>2.078</v>
      </c>
      <c r="BO1020" s="1361" t="n"/>
      <c r="BP1020" s="1361" t="n"/>
      <c r="BQ1020" s="1363" t="n"/>
      <c r="BR1020" s="1361" t="n"/>
      <c r="BS1020" s="1379" t="n"/>
      <c r="BT1020" s="1361" t="n"/>
      <c r="BU1020" s="1361" t="n"/>
      <c r="BV1020" s="1361" t="n"/>
      <c r="BW1020" s="1361" t="n"/>
      <c r="BX1020" s="1379" t="n"/>
      <c r="BY1020" s="1379" t="n"/>
      <c r="BZ1020" s="1379" t="n"/>
      <c r="CA1020" s="1379" t="n"/>
      <c r="CB1020" s="1364" t="n"/>
    </row>
    <row r="1021" hidden="1" outlineLevel="1" ht="14.4" customFormat="1" customHeight="1" s="1359">
      <c r="A1021" s="1394" t="inlineStr">
        <is>
          <t>ROU asset amortization and change in operating lease liabilities</t>
        </is>
      </c>
      <c r="B1021" s="1512" t="n"/>
      <c r="C1021" s="1379" t="n"/>
      <c r="D1021" s="1379" t="n"/>
      <c r="E1021" s="1379" t="n"/>
      <c r="F1021" s="1379" t="n"/>
      <c r="G1021" s="1361" t="n"/>
      <c r="H1021" s="1361" t="n"/>
      <c r="I1021" s="1361" t="n"/>
      <c r="J1021" s="1361" t="n"/>
      <c r="K1021" s="1379" t="n"/>
      <c r="L1021" s="1361" t="n"/>
      <c r="M1021" s="1361" t="n"/>
      <c r="N1021" s="1361" t="n"/>
      <c r="O1021" s="1361" t="n"/>
      <c r="P1021" s="1379" t="n"/>
      <c r="Q1021" s="1361" t="n"/>
      <c r="R1021" s="1361" t="n"/>
      <c r="S1021" s="1361" t="n"/>
      <c r="T1021" s="1361" t="n"/>
      <c r="U1021" s="1379" t="n"/>
      <c r="V1021" s="1361" t="n"/>
      <c r="W1021" s="1361" t="n"/>
      <c r="X1021" s="1361" t="n"/>
      <c r="Y1021" s="1361" t="n"/>
      <c r="Z1021" s="1379" t="n"/>
      <c r="AA1021" s="1361" t="n"/>
      <c r="AB1021" s="1361" t="n"/>
      <c r="AC1021" s="1361" t="n"/>
      <c r="AD1021" s="1361" t="n"/>
      <c r="AE1021" s="1379" t="n"/>
      <c r="AF1021" s="1361" t="n"/>
      <c r="AG1021" s="1361" t="n"/>
      <c r="AH1021" s="1361" t="n"/>
      <c r="AI1021" s="1361" t="n"/>
      <c r="AJ1021" s="1379" t="n"/>
      <c r="AK1021" s="1361" t="n"/>
      <c r="AL1021" s="1493" t="n">
        <v>2.504</v>
      </c>
      <c r="AM1021" s="1493" t="n">
        <v>4.285</v>
      </c>
      <c r="AN1021" s="1361">
        <f>AO1021</f>
        <v/>
      </c>
      <c r="AO1021" s="1494" t="n">
        <v>0.5620000000000001</v>
      </c>
      <c r="AP1021" s="1493" t="n">
        <v>0.706</v>
      </c>
      <c r="AQ1021" s="1493" t="n">
        <v>1.502</v>
      </c>
      <c r="AR1021" s="1493" t="n">
        <v>2.064</v>
      </c>
      <c r="AS1021" s="1361">
        <f>AT1021</f>
        <v/>
      </c>
      <c r="AT1021" s="1494" t="n">
        <v>4.483</v>
      </c>
      <c r="AU1021" s="1493" t="n">
        <v>-2.136</v>
      </c>
      <c r="AV1021" s="1493" t="n">
        <v>-2.483</v>
      </c>
      <c r="AW1021" s="1493" t="n">
        <v>-2.917</v>
      </c>
      <c r="AX1021" s="1361">
        <f>AY1021</f>
        <v/>
      </c>
      <c r="AY1021" s="1494" t="n">
        <v>-11.606</v>
      </c>
      <c r="AZ1021" s="1493" t="n">
        <v>0.926</v>
      </c>
      <c r="BA1021" s="1493" t="n">
        <v>1.742</v>
      </c>
      <c r="BB1021" s="1493" t="n">
        <v>-0.883</v>
      </c>
      <c r="BC1021" s="1361">
        <f>BD1021</f>
        <v/>
      </c>
      <c r="BD1021" s="1494" t="n">
        <v>3.342</v>
      </c>
      <c r="BE1021" s="1493" t="n">
        <v>-1.392</v>
      </c>
      <c r="BF1021" s="1493" t="n">
        <v>-3.543</v>
      </c>
      <c r="BG1021" s="1493" t="n">
        <v>-2.684</v>
      </c>
      <c r="BH1021" s="1361">
        <f>BI1021</f>
        <v/>
      </c>
      <c r="BI1021" s="1494" t="n">
        <v>0.451</v>
      </c>
      <c r="BJ1021" s="1493" t="n">
        <v>-0.917</v>
      </c>
      <c r="BK1021" s="1493" t="n">
        <v>-1.41</v>
      </c>
      <c r="BL1021" s="1493" t="n">
        <v>-1.1</v>
      </c>
      <c r="BM1021" s="1361">
        <f>BN1021</f>
        <v/>
      </c>
      <c r="BN1021" s="1494" t="n">
        <v>-1.92</v>
      </c>
      <c r="BO1021" s="1493" t="n">
        <v>-1.446</v>
      </c>
      <c r="BP1021" s="1493" t="n">
        <v>2.629</v>
      </c>
      <c r="BQ1021" s="1502" t="n">
        <v>1.702</v>
      </c>
      <c r="BR1021" s="1361" t="n"/>
      <c r="BS1021" s="1379" t="n"/>
      <c r="BT1021" s="1361" t="n"/>
      <c r="BU1021" s="1361" t="n"/>
      <c r="BV1021" s="1361" t="n"/>
      <c r="BW1021" s="1361" t="n"/>
      <c r="BX1021" s="1379" t="n"/>
      <c r="BY1021" s="1379" t="n"/>
      <c r="BZ1021" s="1379" t="n"/>
      <c r="CA1021" s="1379" t="n"/>
      <c r="CB1021" s="1364" t="n"/>
    </row>
    <row r="1022" hidden="1" outlineLevel="1" ht="14.4" customFormat="1" customHeight="1" s="1359">
      <c r="A1022" s="1453" t="inlineStr">
        <is>
          <t>Other non-cash items</t>
        </is>
      </c>
      <c r="B1022" s="1514" t="n"/>
      <c r="C1022" s="1480" t="n">
        <v>-0.759</v>
      </c>
      <c r="D1022" s="1480" t="n">
        <v>1.039</v>
      </c>
      <c r="E1022" s="1480" t="n">
        <v>3.196</v>
      </c>
      <c r="F1022" s="1480" t="n">
        <v>3.063</v>
      </c>
      <c r="G1022" s="1479" t="n">
        <v>-1.007</v>
      </c>
      <c r="H1022" s="1479" t="n">
        <v>0.433</v>
      </c>
      <c r="I1022" s="1479" t="n">
        <v>2.183</v>
      </c>
      <c r="J1022" s="1479" t="n">
        <v>3.932</v>
      </c>
      <c r="K1022" s="1480" t="n">
        <v>3.932</v>
      </c>
      <c r="L1022" s="1479" t="n">
        <v>2.344</v>
      </c>
      <c r="M1022" s="1479" t="n">
        <v>3.694</v>
      </c>
      <c r="N1022" s="1479" t="n">
        <v>6.221</v>
      </c>
      <c r="O1022" s="1479" t="n">
        <v>6.854</v>
      </c>
      <c r="P1022" s="1480" t="n">
        <v>6.854</v>
      </c>
      <c r="Q1022" s="1479" t="n">
        <v>0.929</v>
      </c>
      <c r="R1022" s="1479" t="n">
        <v>1.142</v>
      </c>
      <c r="S1022" s="1479" t="n">
        <v>-0.06900000000000001</v>
      </c>
      <c r="T1022" s="1479" t="n">
        <v>0.646</v>
      </c>
      <c r="U1022" s="1480" t="n">
        <v>0.646</v>
      </c>
      <c r="V1022" s="1479" t="n">
        <v>0.209</v>
      </c>
      <c r="W1022" s="1479" t="n">
        <v>0.75</v>
      </c>
      <c r="X1022" s="1479" t="n">
        <v>1.869</v>
      </c>
      <c r="Y1022" s="1456">
        <f>Z1022</f>
        <v/>
      </c>
      <c r="Z1022" s="1480" t="n">
        <v>4.027</v>
      </c>
      <c r="AA1022" s="1479" t="n">
        <v>1.359</v>
      </c>
      <c r="AB1022" s="1479" t="n">
        <v>2.157</v>
      </c>
      <c r="AC1022" s="1479" t="n">
        <v>3.763</v>
      </c>
      <c r="AD1022" s="1456">
        <f>AE1022</f>
        <v/>
      </c>
      <c r="AE1022" s="1480" t="n">
        <v>5.068</v>
      </c>
      <c r="AF1022" s="1479" t="n">
        <v>-0.043</v>
      </c>
      <c r="AG1022" s="1479" t="n">
        <v>0.462</v>
      </c>
      <c r="AH1022" s="1479" t="n">
        <v>1.589</v>
      </c>
      <c r="AI1022" s="1456">
        <f>AJ1022</f>
        <v/>
      </c>
      <c r="AJ1022" s="1480" t="n">
        <v>1.136</v>
      </c>
      <c r="AK1022" s="1479" t="n">
        <v>0.122</v>
      </c>
      <c r="AL1022" s="1479" t="n">
        <v>0.16</v>
      </c>
      <c r="AM1022" s="1479" t="n">
        <v>0.197</v>
      </c>
      <c r="AN1022" s="1456">
        <f>AO1022</f>
        <v/>
      </c>
      <c r="AO1022" s="1480" t="n">
        <v>0.428</v>
      </c>
      <c r="AP1022" s="1479" t="n">
        <v>0.183</v>
      </c>
      <c r="AQ1022" s="1479" t="n">
        <v>0.296</v>
      </c>
      <c r="AR1022" s="1479" t="n">
        <v>0.41</v>
      </c>
      <c r="AS1022" s="1456">
        <f>AT1022</f>
        <v/>
      </c>
      <c r="AT1022" s="1480" t="n">
        <v>0.773</v>
      </c>
      <c r="AU1022" s="1479" t="n">
        <v>0.302</v>
      </c>
      <c r="AV1022" s="1479" t="n">
        <v>0.183</v>
      </c>
      <c r="AW1022" s="1479" t="n">
        <v>0.146</v>
      </c>
      <c r="AX1022" s="1456">
        <f>AY1022</f>
        <v/>
      </c>
      <c r="AY1022" s="1480" t="n">
        <v>0.427</v>
      </c>
      <c r="AZ1022" s="1479" t="n">
        <v>0.08799999999999999</v>
      </c>
      <c r="BA1022" s="1479" t="n">
        <v>0.08799999999999999</v>
      </c>
      <c r="BB1022" s="1479" t="n">
        <v>0.158</v>
      </c>
      <c r="BC1022" s="1456">
        <f>BD1022</f>
        <v/>
      </c>
      <c r="BD1022" s="1480" t="n">
        <v>0.371</v>
      </c>
      <c r="BE1022" s="1479" t="n">
        <v>0.099</v>
      </c>
      <c r="BF1022" s="1479" t="n">
        <v>1.834</v>
      </c>
      <c r="BG1022" s="1479" t="n">
        <v>1.962</v>
      </c>
      <c r="BH1022" s="1456">
        <f>BI1022</f>
        <v/>
      </c>
      <c r="BI1022" s="1480" t="n">
        <v>1.983</v>
      </c>
      <c r="BJ1022" s="1479" t="n">
        <v>0.078</v>
      </c>
      <c r="BK1022" s="1479" t="n">
        <v>0.212</v>
      </c>
      <c r="BL1022" s="1479" t="n">
        <v>0.309</v>
      </c>
      <c r="BM1022" s="1456">
        <f>BN1022</f>
        <v/>
      </c>
      <c r="BN1022" s="1480" t="n">
        <v>0.587</v>
      </c>
      <c r="BO1022" s="1479" t="n">
        <v>0.862</v>
      </c>
      <c r="BP1022" s="1479" t="n">
        <v>3.502</v>
      </c>
      <c r="BQ1022" s="1515" t="n">
        <v>4.713</v>
      </c>
      <c r="BR1022" s="1456" t="n"/>
      <c r="BS1022" s="1455" t="n"/>
      <c r="BT1022" s="1456" t="n"/>
      <c r="BU1022" s="1456" t="n"/>
      <c r="BV1022" s="1456" t="n"/>
      <c r="BW1022" s="1456" t="n"/>
      <c r="BX1022" s="1455" t="n"/>
      <c r="BY1022" s="1455" t="n"/>
      <c r="BZ1022" s="1455" t="n"/>
      <c r="CA1022" s="1455" t="n"/>
      <c r="CB1022" s="1364" t="n"/>
    </row>
    <row r="1023" hidden="1" outlineLevel="1" ht="14.4" customFormat="1" customHeight="1" s="1372">
      <c r="A1023" s="1400" t="inlineStr">
        <is>
          <t>CFO before WC</t>
        </is>
      </c>
      <c r="B1023" s="1516" t="n"/>
      <c r="C1023" s="1402">
        <f>SUM(C1006:C1022)</f>
        <v/>
      </c>
      <c r="D1023" s="1402">
        <f>SUM(D1006:D1022)</f>
        <v/>
      </c>
      <c r="E1023" s="1402">
        <f>SUM(E1006:E1022)</f>
        <v/>
      </c>
      <c r="F1023" s="1402">
        <f>SUM(F1006:F1022)</f>
        <v/>
      </c>
      <c r="G1023" s="1403">
        <f>SUM(G1006:G1022)</f>
        <v/>
      </c>
      <c r="H1023" s="1403">
        <f>SUM(H1006:H1022)</f>
        <v/>
      </c>
      <c r="I1023" s="1403">
        <f>SUM(I1006:I1022)</f>
        <v/>
      </c>
      <c r="J1023" s="1403">
        <f>SUM(J1006:J1022)</f>
        <v/>
      </c>
      <c r="K1023" s="1402">
        <f>SUM(K1006:K1022)</f>
        <v/>
      </c>
      <c r="L1023" s="1403">
        <f>SUM(L1006:L1022)</f>
        <v/>
      </c>
      <c r="M1023" s="1403">
        <f>SUM(M1006:M1022)</f>
        <v/>
      </c>
      <c r="N1023" s="1403">
        <f>SUM(N1006:N1022)</f>
        <v/>
      </c>
      <c r="O1023" s="1403">
        <f>SUM(O1006:O1022)</f>
        <v/>
      </c>
      <c r="P1023" s="1402">
        <f>SUM(P1006:P1022)</f>
        <v/>
      </c>
      <c r="Q1023" s="1403">
        <f>SUM(Q1006:Q1022)</f>
        <v/>
      </c>
      <c r="R1023" s="1403">
        <f>SUM(R1006:R1022)</f>
        <v/>
      </c>
      <c r="S1023" s="1403">
        <f>SUM(S1006:S1022)</f>
        <v/>
      </c>
      <c r="T1023" s="1403">
        <f>SUM(T1006:T1022)</f>
        <v/>
      </c>
      <c r="U1023" s="1402">
        <f>SUM(U1006:U1022)</f>
        <v/>
      </c>
      <c r="V1023" s="1403">
        <f>SUM(V1006:V1022)</f>
        <v/>
      </c>
      <c r="W1023" s="1403">
        <f>SUM(W1006:W1022)</f>
        <v/>
      </c>
      <c r="X1023" s="1403">
        <f>SUM(X1006:X1022)</f>
        <v/>
      </c>
      <c r="Y1023" s="1404">
        <f>SUM(Y1006:Y1022)</f>
        <v/>
      </c>
      <c r="Z1023" s="1405">
        <f>SUM(Z1006:Z1022)</f>
        <v/>
      </c>
      <c r="AA1023" s="1403">
        <f>SUM(AA1006:AA1022)</f>
        <v/>
      </c>
      <c r="AB1023" s="1403">
        <f>SUM(AB1006:AB1022)</f>
        <v/>
      </c>
      <c r="AC1023" s="1403">
        <f>SUM(AC1006:AC1022)</f>
        <v/>
      </c>
      <c r="AD1023" s="1404">
        <f>SUM(AD1006:AD1022)</f>
        <v/>
      </c>
      <c r="AE1023" s="1405">
        <f>SUM(AE1006:AE1022)</f>
        <v/>
      </c>
      <c r="AF1023" s="1403">
        <f>SUM(AF1006:AF1022)</f>
        <v/>
      </c>
      <c r="AG1023" s="1403">
        <f>SUM(AG1006:AG1022)</f>
        <v/>
      </c>
      <c r="AH1023" s="1403">
        <f>SUM(AH1006:AH1022)</f>
        <v/>
      </c>
      <c r="AI1023" s="1404">
        <f>SUM(AI1006:AI1022)</f>
        <v/>
      </c>
      <c r="AJ1023" s="1405">
        <f>SUM(AJ1006:AJ1022)</f>
        <v/>
      </c>
      <c r="AK1023" s="1403">
        <f>SUM(AK1006:AK1022)</f>
        <v/>
      </c>
      <c r="AL1023" s="1403">
        <f>SUM(AL1006:AL1022)</f>
        <v/>
      </c>
      <c r="AM1023" s="1403">
        <f>SUM(AM1006:AM1022)</f>
        <v/>
      </c>
      <c r="AN1023" s="1404">
        <f>SUM(AN1006:AN1022)</f>
        <v/>
      </c>
      <c r="AO1023" s="1405">
        <f>SUM(AO1006:AO1022)</f>
        <v/>
      </c>
      <c r="AP1023" s="1403">
        <f>SUM(AP1006:AP1022)</f>
        <v/>
      </c>
      <c r="AQ1023" s="1403">
        <f>SUM(AQ1006:AQ1022)</f>
        <v/>
      </c>
      <c r="AR1023" s="1403">
        <f>SUM(AR1006:AR1022)</f>
        <v/>
      </c>
      <c r="AS1023" s="1404">
        <f>SUM(AS1006:AS1022)</f>
        <v/>
      </c>
      <c r="AT1023" s="1405">
        <f>SUM(AT1006:AT1022)</f>
        <v/>
      </c>
      <c r="AU1023" s="1403">
        <f>SUM(AU1006:AU1022)</f>
        <v/>
      </c>
      <c r="AV1023" s="1403">
        <f>SUM(AV1006:AV1022)</f>
        <v/>
      </c>
      <c r="AW1023" s="1403">
        <f>SUM(AW1006:AW1022)</f>
        <v/>
      </c>
      <c r="AX1023" s="1404">
        <f>SUM(AX1006:AX1022)</f>
        <v/>
      </c>
      <c r="AY1023" s="1405">
        <f>SUM(AY1006:AY1022)</f>
        <v/>
      </c>
      <c r="AZ1023" s="1403">
        <f>SUM(AZ1006:AZ1022)</f>
        <v/>
      </c>
      <c r="BA1023" s="1403">
        <f>SUM(BA1006:BA1022)</f>
        <v/>
      </c>
      <c r="BB1023" s="1403">
        <f>SUM(BB1006:BB1022)</f>
        <v/>
      </c>
      <c r="BC1023" s="1404">
        <f>SUM(BC1006:BC1022)</f>
        <v/>
      </c>
      <c r="BD1023" s="1405">
        <f>SUM(BD1006:BD1022)</f>
        <v/>
      </c>
      <c r="BE1023" s="1403">
        <f>SUM(BE1006:BE1022)</f>
        <v/>
      </c>
      <c r="BF1023" s="1403">
        <f>SUM(BF1006:BF1022)</f>
        <v/>
      </c>
      <c r="BG1023" s="1403">
        <f>SUM(BG1006:BG1022)</f>
        <v/>
      </c>
      <c r="BH1023" s="1404">
        <f>SUM(BH1006:BH1022)</f>
        <v/>
      </c>
      <c r="BI1023" s="1405">
        <f>SUM(BI1006:BI1022)</f>
        <v/>
      </c>
      <c r="BJ1023" s="1403">
        <f>SUM(BJ1006:BJ1022)</f>
        <v/>
      </c>
      <c r="BK1023" s="1403">
        <f>SUM(BK1006:BK1022)</f>
        <v/>
      </c>
      <c r="BL1023" s="1403">
        <f>SUM(BL1006:BL1022)</f>
        <v/>
      </c>
      <c r="BM1023" s="1404">
        <f>SUM(BM1006:BM1022)</f>
        <v/>
      </c>
      <c r="BN1023" s="1405">
        <f>SUM(BN1006:BN1022)</f>
        <v/>
      </c>
      <c r="BO1023" s="1403">
        <f>SUM(BO1006:BO1022)</f>
        <v/>
      </c>
      <c r="BP1023" s="1403">
        <f>SUM(BP1006:BP1022)</f>
        <v/>
      </c>
      <c r="BQ1023" s="1406">
        <f>SUM(BQ1006:BQ1022)</f>
        <v/>
      </c>
      <c r="BR1023" s="1404" t="n"/>
      <c r="BS1023" s="1405" t="n"/>
      <c r="BT1023" s="1404" t="n"/>
      <c r="BU1023" s="1404" t="n"/>
      <c r="BV1023" s="1404" t="n"/>
      <c r="BW1023" s="1404" t="n"/>
      <c r="BX1023" s="1405" t="n"/>
      <c r="BY1023" s="1405" t="n"/>
      <c r="BZ1023" s="1405" t="n"/>
      <c r="CA1023" s="1405" t="n"/>
      <c r="CB1023" s="1375" t="n"/>
    </row>
    <row r="1024" hidden="1" outlineLevel="1" ht="14.4" customFormat="1" customHeight="1" s="1359">
      <c r="A1024" s="1394" t="inlineStr">
        <is>
          <t>Receivables</t>
        </is>
      </c>
      <c r="B1024" s="1512" t="n"/>
      <c r="C1024" s="1494" t="n">
        <v>61.966</v>
      </c>
      <c r="D1024" s="1494" t="n">
        <v>-33.459</v>
      </c>
      <c r="E1024" s="1379" t="n"/>
      <c r="F1024" s="1379" t="n"/>
      <c r="G1024" s="1361" t="n"/>
      <c r="H1024" s="1361" t="n"/>
      <c r="I1024" s="1361" t="n"/>
      <c r="J1024" s="1493" t="n">
        <v>0</v>
      </c>
      <c r="K1024" s="1379" t="n"/>
      <c r="L1024" s="1361" t="n"/>
      <c r="M1024" s="1361" t="n"/>
      <c r="N1024" s="1361" t="n"/>
      <c r="O1024" s="1493" t="n">
        <v>0</v>
      </c>
      <c r="P1024" s="1379" t="n"/>
      <c r="Q1024" s="1361" t="n"/>
      <c r="R1024" s="1361" t="n"/>
      <c r="S1024" s="1361" t="n"/>
      <c r="T1024" s="1493" t="n">
        <v>0</v>
      </c>
      <c r="U1024" s="1379" t="n"/>
      <c r="V1024" s="1493" t="n">
        <v>11.618</v>
      </c>
      <c r="W1024" s="1493" t="n">
        <v>-3.532</v>
      </c>
      <c r="X1024" s="1493" t="n">
        <v>2.873</v>
      </c>
      <c r="Y1024" s="1361">
        <f>Z1024</f>
        <v/>
      </c>
      <c r="Z1024" s="1494" t="n">
        <v>-3.299</v>
      </c>
      <c r="AA1024" s="1493" t="n">
        <v>-22.475</v>
      </c>
      <c r="AB1024" s="1493" t="n">
        <v>6.342</v>
      </c>
      <c r="AC1024" s="1493" t="n">
        <v>-8.039999999999999</v>
      </c>
      <c r="AD1024" s="1361">
        <f>AE1024</f>
        <v/>
      </c>
      <c r="AE1024" s="1494" t="n">
        <v>-28.409</v>
      </c>
      <c r="AF1024" s="1493" t="n">
        <v>-10.988</v>
      </c>
      <c r="AG1024" s="1493" t="n">
        <v>-2.606</v>
      </c>
      <c r="AH1024" s="1493" t="n">
        <v>-28.471</v>
      </c>
      <c r="AI1024" s="1361">
        <f>AJ1024</f>
        <v/>
      </c>
      <c r="AJ1024" s="1494" t="n">
        <v>-87.083</v>
      </c>
      <c r="AK1024" s="1493" t="n">
        <v>35.681</v>
      </c>
      <c r="AL1024" s="1493" t="n">
        <v>63.876</v>
      </c>
      <c r="AM1024" s="1493" t="n">
        <v>26.553</v>
      </c>
      <c r="AN1024" s="1361">
        <f>AO1024</f>
        <v/>
      </c>
      <c r="AO1024" s="1494" t="n">
        <v>-4.718</v>
      </c>
      <c r="AP1024" s="1493" t="n">
        <v>26.475</v>
      </c>
      <c r="AQ1024" s="1493" t="n">
        <v>-2.497</v>
      </c>
      <c r="AR1024" s="1493" t="n">
        <v>9.945</v>
      </c>
      <c r="AS1024" s="1361">
        <f>AT1024</f>
        <v/>
      </c>
      <c r="AT1024" s="1494" t="n">
        <v>-25.934</v>
      </c>
      <c r="AU1024" s="1493" t="n">
        <v>-45.927</v>
      </c>
      <c r="AV1024" s="1493" t="n">
        <v>-48.016</v>
      </c>
      <c r="AW1024" s="1493" t="n">
        <v>15.132</v>
      </c>
      <c r="AX1024" s="1361">
        <f>AY1024</f>
        <v/>
      </c>
      <c r="AY1024" s="1494" t="n">
        <v>2.014</v>
      </c>
      <c r="AZ1024" s="1493" t="n">
        <v>-28.426</v>
      </c>
      <c r="BA1024" s="1493" t="n">
        <v>-64.036</v>
      </c>
      <c r="BB1024" s="1493" t="n">
        <v>-57.309</v>
      </c>
      <c r="BC1024" s="1361">
        <f>BD1024</f>
        <v/>
      </c>
      <c r="BD1024" s="1494" t="n">
        <v>-138.471</v>
      </c>
      <c r="BE1024" s="1493" t="n">
        <v>-8.718999999999999</v>
      </c>
      <c r="BF1024" s="1493" t="n">
        <v>41.208</v>
      </c>
      <c r="BG1024" s="1493" t="n">
        <v>50.024</v>
      </c>
      <c r="BH1024" s="1361">
        <f>BI1024</f>
        <v/>
      </c>
      <c r="BI1024" s="1494" t="n">
        <v>-11.748</v>
      </c>
      <c r="BJ1024" s="1493" t="n">
        <v>102.991</v>
      </c>
      <c r="BK1024" s="1493" t="n">
        <v>-49.384</v>
      </c>
      <c r="BL1024" s="1493" t="n">
        <v>-44.766</v>
      </c>
      <c r="BM1024" s="1361">
        <f>BN1024</f>
        <v/>
      </c>
      <c r="BN1024" s="1494" t="n">
        <v>-180.287</v>
      </c>
      <c r="BO1024" s="1493" t="n">
        <v>102.136</v>
      </c>
      <c r="BP1024" s="1493" t="n">
        <v>-11.211</v>
      </c>
      <c r="BQ1024" s="1502" t="n">
        <v>-90.666</v>
      </c>
      <c r="BR1024" s="1361" t="n"/>
      <c r="BS1024" s="1379" t="n"/>
      <c r="BT1024" s="1361" t="n"/>
      <c r="BU1024" s="1361" t="n"/>
      <c r="BV1024" s="1361" t="n"/>
      <c r="BW1024" s="1361" t="n"/>
      <c r="BX1024" s="1379" t="n"/>
      <c r="BY1024" s="1379" t="n"/>
      <c r="BZ1024" s="1379" t="n"/>
      <c r="CA1024" s="1379" t="n"/>
      <c r="CB1024" s="1364" t="n"/>
    </row>
    <row r="1025" hidden="1" outlineLevel="1" ht="14.4" customFormat="1" customHeight="1" s="1359">
      <c r="A1025" s="1394" t="inlineStr">
        <is>
          <t>Instalment contract receivables</t>
        </is>
      </c>
      <c r="B1025" s="1512" t="n"/>
      <c r="C1025" s="1494" t="n">
        <v>114.346</v>
      </c>
      <c r="D1025" s="1494" t="n">
        <v>104.834</v>
      </c>
      <c r="E1025" s="1494" t="n">
        <v>76.785</v>
      </c>
      <c r="F1025" s="1494" t="n">
        <v>45.63</v>
      </c>
      <c r="G1025" s="1493" t="n">
        <v>23.652</v>
      </c>
      <c r="H1025" s="1493" t="n">
        <v>8.718999999999999</v>
      </c>
      <c r="I1025" s="1493" t="n">
        <v>2.192</v>
      </c>
      <c r="J1025" s="1493" t="n">
        <v>-3.609</v>
      </c>
      <c r="K1025" s="1494" t="n">
        <v>-3.609</v>
      </c>
      <c r="L1025" s="1493" t="n">
        <v>-0.108</v>
      </c>
      <c r="M1025" s="1493" t="n">
        <v>5.336</v>
      </c>
      <c r="N1025" s="1493" t="n">
        <v>-1.858</v>
      </c>
      <c r="O1025" s="1493" t="n">
        <v>-17.925</v>
      </c>
      <c r="P1025" s="1494" t="n">
        <v>-17.925</v>
      </c>
      <c r="Q1025" s="1493" t="n">
        <v>-12.45</v>
      </c>
      <c r="R1025" s="1493" t="n">
        <v>-8.077999999999999</v>
      </c>
      <c r="S1025" s="1493" t="n">
        <v>-10.1</v>
      </c>
      <c r="T1025" s="1493" t="n">
        <v>-44.732</v>
      </c>
      <c r="U1025" s="1494" t="n">
        <v>-44.732</v>
      </c>
      <c r="V1025" s="1361" t="n"/>
      <c r="W1025" s="1361" t="n"/>
      <c r="X1025" s="1361" t="n"/>
      <c r="Y1025" s="1361">
        <f>Z1025</f>
        <v/>
      </c>
      <c r="Z1025" s="1379" t="n"/>
      <c r="AA1025" s="1361" t="n"/>
      <c r="AB1025" s="1361" t="n"/>
      <c r="AC1025" s="1361" t="n"/>
      <c r="AD1025" s="1361">
        <f>AE1025</f>
        <v/>
      </c>
      <c r="AE1025" s="1379" t="n"/>
      <c r="AF1025" s="1361" t="n"/>
      <c r="AG1025" s="1361" t="n"/>
      <c r="AH1025" s="1361" t="n"/>
      <c r="AI1025" s="1361">
        <f>AJ1025</f>
        <v/>
      </c>
      <c r="AJ1025" s="1379" t="n"/>
      <c r="AK1025" s="1361" t="n"/>
      <c r="AL1025" s="1361" t="n"/>
      <c r="AM1025" s="1361" t="n"/>
      <c r="AN1025" s="1361">
        <f>AO1025</f>
        <v/>
      </c>
      <c r="AO1025" s="1379" t="n"/>
      <c r="AP1025" s="1361" t="n"/>
      <c r="AQ1025" s="1361" t="n"/>
      <c r="AR1025" s="1361" t="n"/>
      <c r="AS1025" s="1361">
        <f>AT1025</f>
        <v/>
      </c>
      <c r="AT1025" s="1379" t="n"/>
      <c r="AU1025" s="1361" t="n"/>
      <c r="AV1025" s="1361" t="n"/>
      <c r="AW1025" s="1361" t="n"/>
      <c r="AX1025" s="1361">
        <f>AY1025</f>
        <v/>
      </c>
      <c r="AY1025" s="1379" t="n"/>
      <c r="AZ1025" s="1361" t="n"/>
      <c r="BA1025" s="1361" t="n"/>
      <c r="BB1025" s="1361" t="n"/>
      <c r="BC1025" s="1361">
        <f>BD1025</f>
        <v/>
      </c>
      <c r="BD1025" s="1379" t="n"/>
      <c r="BE1025" s="1361" t="n"/>
      <c r="BF1025" s="1361" t="n"/>
      <c r="BG1025" s="1361" t="n"/>
      <c r="BH1025" s="1361">
        <f>BI1025</f>
        <v/>
      </c>
      <c r="BI1025" s="1379" t="n"/>
      <c r="BJ1025" s="1361" t="n"/>
      <c r="BK1025" s="1361" t="n"/>
      <c r="BL1025" s="1361" t="n"/>
      <c r="BM1025" s="1361">
        <f>BN1025</f>
        <v/>
      </c>
      <c r="BN1025" s="1379" t="n"/>
      <c r="BO1025" s="1361" t="n"/>
      <c r="BP1025" s="1361" t="n"/>
      <c r="BQ1025" s="1363" t="n"/>
      <c r="BR1025" s="1361" t="n"/>
      <c r="BS1025" s="1379" t="n"/>
      <c r="BT1025" s="1361" t="n"/>
      <c r="BU1025" s="1361" t="n"/>
      <c r="BV1025" s="1361" t="n"/>
      <c r="BW1025" s="1361" t="n"/>
      <c r="BX1025" s="1379" t="n"/>
      <c r="BY1025" s="1379" t="n"/>
      <c r="BZ1025" s="1379" t="n"/>
      <c r="CA1025" s="1379" t="n"/>
      <c r="CB1025" s="1364" t="n"/>
    </row>
    <row r="1026" hidden="1" outlineLevel="1" ht="14.4" customFormat="1" customHeight="1" s="1359">
      <c r="A1026" s="1394" t="inlineStr">
        <is>
          <t>Inventories</t>
        </is>
      </c>
      <c r="B1026" s="1512" t="n"/>
      <c r="C1026" s="1494" t="n">
        <v>3.896</v>
      </c>
      <c r="D1026" s="1494" t="n">
        <v>-26.528</v>
      </c>
      <c r="E1026" s="1494" t="n">
        <v>-6.82</v>
      </c>
      <c r="F1026" s="1494" t="n">
        <v>5.245</v>
      </c>
      <c r="G1026" s="1493" t="n">
        <v>-0.979</v>
      </c>
      <c r="H1026" s="1493" t="n">
        <v>-2.672</v>
      </c>
      <c r="I1026" s="1493" t="n">
        <v>-10.005</v>
      </c>
      <c r="J1026" s="1493" t="n">
        <v>-14.594</v>
      </c>
      <c r="K1026" s="1494" t="n">
        <v>-14.594</v>
      </c>
      <c r="L1026" s="1493" t="n">
        <v>-9.372999999999999</v>
      </c>
      <c r="M1026" s="1493" t="n">
        <v>-12.266</v>
      </c>
      <c r="N1026" s="1493" t="n">
        <v>-15.796</v>
      </c>
      <c r="O1026" s="1493" t="n">
        <v>-11.708</v>
      </c>
      <c r="P1026" s="1494" t="n">
        <v>-11.708</v>
      </c>
      <c r="Q1026" s="1493" t="n">
        <v>1.682</v>
      </c>
      <c r="R1026" s="1493" t="n">
        <v>-6.243</v>
      </c>
      <c r="S1026" s="1493" t="n">
        <v>-1.861</v>
      </c>
      <c r="T1026" s="1493" t="n">
        <v>-1.12</v>
      </c>
      <c r="U1026" s="1494" t="n">
        <v>-1.12</v>
      </c>
      <c r="V1026" s="1493" t="n">
        <v>-3.714</v>
      </c>
      <c r="W1026" s="1493" t="n">
        <v>-10.296</v>
      </c>
      <c r="X1026" s="1493" t="n">
        <v>-16.339</v>
      </c>
      <c r="Y1026" s="1361">
        <f>Z1026</f>
        <v/>
      </c>
      <c r="Z1026" s="1494" t="n">
        <v>4.934</v>
      </c>
      <c r="AA1026" s="1493" t="n">
        <v>6</v>
      </c>
      <c r="AB1026" s="1493" t="n">
        <v>2.535</v>
      </c>
      <c r="AC1026" s="1493" t="n">
        <v>2.282</v>
      </c>
      <c r="AD1026" s="1361">
        <f>AE1026</f>
        <v/>
      </c>
      <c r="AE1026" s="1494" t="n">
        <v>5.034</v>
      </c>
      <c r="AF1026" s="1493" t="n">
        <v>2.105</v>
      </c>
      <c r="AG1026" s="1493" t="n">
        <v>1.932</v>
      </c>
      <c r="AH1026" s="1493" t="n">
        <v>-1.455</v>
      </c>
      <c r="AI1026" s="1361">
        <f>AJ1026</f>
        <v/>
      </c>
      <c r="AJ1026" s="1494" t="n">
        <v>0.752</v>
      </c>
      <c r="AK1026" s="1493" t="n">
        <v>-10.618</v>
      </c>
      <c r="AL1026" s="1493" t="n">
        <v>-25.689</v>
      </c>
      <c r="AM1026" s="1493" t="n">
        <v>-43.781</v>
      </c>
      <c r="AN1026" s="1361">
        <f>AO1026</f>
        <v/>
      </c>
      <c r="AO1026" s="1494" t="n">
        <v>-33.024</v>
      </c>
      <c r="AP1026" s="1493" t="n">
        <v>-5.26</v>
      </c>
      <c r="AQ1026" s="1493" t="n">
        <v>11.02</v>
      </c>
      <c r="AR1026" s="1493" t="n">
        <v>6.376</v>
      </c>
      <c r="AS1026" s="1361">
        <f>AT1026</f>
        <v/>
      </c>
      <c r="AT1026" s="1494" t="n">
        <v>-25.685</v>
      </c>
      <c r="AU1026" s="1493" t="n">
        <v>-0.669</v>
      </c>
      <c r="AV1026" s="1493" t="n">
        <v>-14.527</v>
      </c>
      <c r="AW1026" s="1493" t="n">
        <v>-25.608</v>
      </c>
      <c r="AX1026" s="1361">
        <f>AY1026</f>
        <v/>
      </c>
      <c r="AY1026" s="1494" t="n">
        <v>-39.027</v>
      </c>
      <c r="AZ1026" s="1493" t="n">
        <v>4.58</v>
      </c>
      <c r="BA1026" s="1493" t="n">
        <v>0.367</v>
      </c>
      <c r="BB1026" s="1493" t="n">
        <v>-8.02</v>
      </c>
      <c r="BC1026" s="1361">
        <f>BD1026</f>
        <v/>
      </c>
      <c r="BD1026" s="1494" t="n">
        <v>-23.073</v>
      </c>
      <c r="BE1026" s="1493" t="n">
        <v>0.399</v>
      </c>
      <c r="BF1026" s="1493" t="n">
        <v>-16.981</v>
      </c>
      <c r="BG1026" s="1493" t="n">
        <v>-47.293</v>
      </c>
      <c r="BH1026" s="1361">
        <f>BI1026</f>
        <v/>
      </c>
      <c r="BI1026" s="1494" t="n">
        <v>-65.895</v>
      </c>
      <c r="BJ1026" s="1493" t="n">
        <v>-10.689</v>
      </c>
      <c r="BK1026" s="1493" t="n">
        <v>-15.978</v>
      </c>
      <c r="BL1026" s="1493" t="n">
        <v>-139.179</v>
      </c>
      <c r="BM1026" s="1361">
        <f>BN1026</f>
        <v/>
      </c>
      <c r="BN1026" s="1494" t="n">
        <v>-82.771</v>
      </c>
      <c r="BO1026" s="1493" t="n">
        <v>15.018</v>
      </c>
      <c r="BP1026" s="1493" t="n">
        <v>7.528</v>
      </c>
      <c r="BQ1026" s="1502" t="n">
        <v>-60.858</v>
      </c>
      <c r="BR1026" s="1361" t="n"/>
      <c r="BS1026" s="1379" t="n"/>
      <c r="BT1026" s="1361" t="n"/>
      <c r="BU1026" s="1361" t="n"/>
      <c r="BV1026" s="1361" t="n"/>
      <c r="BW1026" s="1361" t="n"/>
      <c r="BX1026" s="1379" t="n"/>
      <c r="BY1026" s="1379" t="n"/>
      <c r="BZ1026" s="1379" t="n"/>
      <c r="CA1026" s="1379" t="n"/>
      <c r="CB1026" s="1364" t="n"/>
    </row>
    <row r="1027" hidden="1" outlineLevel="1" ht="14.4" customFormat="1" customHeight="1" s="1359">
      <c r="A1027" s="1394" t="inlineStr">
        <is>
          <t>Prepaid expenses and other</t>
        </is>
      </c>
      <c r="B1027" s="1512" t="n"/>
      <c r="C1027" s="1494" t="n">
        <v>-1.393</v>
      </c>
      <c r="D1027" s="1494" t="n">
        <v>-22.392</v>
      </c>
      <c r="E1027" s="1494" t="n">
        <v>20.053</v>
      </c>
      <c r="F1027" s="1494" t="n">
        <v>-12.426</v>
      </c>
      <c r="G1027" s="1493" t="n">
        <v>-1.099</v>
      </c>
      <c r="H1027" s="1493" t="n">
        <v>26.516</v>
      </c>
      <c r="I1027" s="1493" t="n">
        <v>26.927</v>
      </c>
      <c r="J1027" s="1493" t="n">
        <v>30.368</v>
      </c>
      <c r="K1027" s="1494" t="n">
        <v>30.368</v>
      </c>
      <c r="L1027" s="1493" t="n">
        <v>-9.753</v>
      </c>
      <c r="M1027" s="1493" t="n">
        <v>-13.602</v>
      </c>
      <c r="N1027" s="1493" t="n">
        <v>-0.008</v>
      </c>
      <c r="O1027" s="1493" t="n">
        <v>-2.501</v>
      </c>
      <c r="P1027" s="1494" t="n">
        <v>-2.501</v>
      </c>
      <c r="Q1027" s="1493" t="n">
        <v>-10.004</v>
      </c>
      <c r="R1027" s="1493" t="n">
        <v>-8.036</v>
      </c>
      <c r="S1027" s="1493" t="n">
        <v>-12.451</v>
      </c>
      <c r="T1027" s="1493" t="n">
        <v>-1.38</v>
      </c>
      <c r="U1027" s="1494" t="n">
        <v>-1.38</v>
      </c>
      <c r="V1027" s="1493" t="n">
        <v>-10.132</v>
      </c>
      <c r="W1027" s="1493" t="n">
        <v>-8.69</v>
      </c>
      <c r="X1027" s="1493" t="n">
        <v>-12.135</v>
      </c>
      <c r="Y1027" s="1361">
        <f>Z1027</f>
        <v/>
      </c>
      <c r="Z1027" s="1494" t="n">
        <v>-6.903</v>
      </c>
      <c r="AA1027" s="1493" t="n">
        <v>-3.777</v>
      </c>
      <c r="AB1027" s="1493" t="n">
        <v>-1.557</v>
      </c>
      <c r="AC1027" s="1493" t="n">
        <v>-4.627</v>
      </c>
      <c r="AD1027" s="1361">
        <f>AE1027</f>
        <v/>
      </c>
      <c r="AE1027" s="1494" t="n">
        <v>-25.793</v>
      </c>
      <c r="AF1027" s="1493" t="n">
        <v>8.391999999999999</v>
      </c>
      <c r="AG1027" s="1493" t="n">
        <v>13.294</v>
      </c>
      <c r="AH1027" s="1493" t="n">
        <v>2.018</v>
      </c>
      <c r="AI1027" s="1361">
        <f>AJ1027</f>
        <v/>
      </c>
      <c r="AJ1027" s="1494" t="n">
        <v>-19.622</v>
      </c>
      <c r="AK1027" s="1493" t="n">
        <v>15.618</v>
      </c>
      <c r="AL1027" s="1493" t="n">
        <v>33.055</v>
      </c>
      <c r="AM1027" s="1493" t="n">
        <v>38.703</v>
      </c>
      <c r="AN1027" s="1361">
        <f>AO1027</f>
        <v/>
      </c>
      <c r="AO1027" s="1494" t="n">
        <v>-11.031</v>
      </c>
      <c r="AP1027" s="1493" t="n">
        <v>-4.964</v>
      </c>
      <c r="AQ1027" s="1493" t="n">
        <v>9.91</v>
      </c>
      <c r="AR1027" s="1493" t="n">
        <v>22.769</v>
      </c>
      <c r="AS1027" s="1361">
        <f>AT1027</f>
        <v/>
      </c>
      <c r="AT1027" s="1494" t="n">
        <v>-31.167</v>
      </c>
      <c r="AU1027" s="1493" t="n">
        <v>-3.014</v>
      </c>
      <c r="AV1027" s="1493" t="n">
        <v>7.69</v>
      </c>
      <c r="AW1027" s="1493" t="n">
        <v>36.632</v>
      </c>
      <c r="AX1027" s="1361">
        <f>AY1027</f>
        <v/>
      </c>
      <c r="AY1027" s="1494" t="n">
        <v>-34.342</v>
      </c>
      <c r="AZ1027" s="1493" t="n">
        <v>44.419</v>
      </c>
      <c r="BA1027" s="1493" t="n">
        <v>40.571</v>
      </c>
      <c r="BB1027" s="1493" t="n">
        <v>30.596</v>
      </c>
      <c r="BC1027" s="1361">
        <f>BD1027</f>
        <v/>
      </c>
      <c r="BD1027" s="1494" t="n">
        <v>-38.927</v>
      </c>
      <c r="BE1027" s="1493" t="n">
        <v>56.212</v>
      </c>
      <c r="BF1027" s="1493" t="n">
        <v>50.793</v>
      </c>
      <c r="BG1027" s="1493" t="n">
        <v>33.307</v>
      </c>
      <c r="BH1027" s="1361">
        <f>BI1027</f>
        <v/>
      </c>
      <c r="BI1027" s="1494" t="n">
        <v>39.015</v>
      </c>
      <c r="BJ1027" s="1493" t="n">
        <v>-15.073</v>
      </c>
      <c r="BK1027" s="1493" t="n">
        <v>-39.868</v>
      </c>
      <c r="BL1027" s="1493" t="n">
        <v>-114.785</v>
      </c>
      <c r="BM1027" s="1361">
        <f>BN1027</f>
        <v/>
      </c>
      <c r="BN1027" s="1494" t="n">
        <v>-81.529</v>
      </c>
      <c r="BO1027" s="1493" t="n">
        <v>10.316</v>
      </c>
      <c r="BP1027" s="1493" t="n">
        <v>-24.201</v>
      </c>
      <c r="BQ1027" s="1502" t="n">
        <v>-14.834</v>
      </c>
      <c r="BR1027" s="1361" t="n"/>
      <c r="BS1027" s="1379" t="n"/>
      <c r="BT1027" s="1361" t="n"/>
      <c r="BU1027" s="1361" t="n"/>
      <c r="BV1027" s="1361" t="n"/>
      <c r="BW1027" s="1361" t="n"/>
      <c r="BX1027" s="1379" t="n"/>
      <c r="BY1027" s="1379" t="n"/>
      <c r="BZ1027" s="1379" t="n"/>
      <c r="CA1027" s="1379" t="n"/>
      <c r="CB1027" s="1364" t="n"/>
    </row>
    <row r="1028" hidden="1" outlineLevel="1" ht="14.4" customFormat="1" customHeight="1" s="1359">
      <c r="A1028" s="1394" t="inlineStr">
        <is>
          <t>Other assets</t>
        </is>
      </c>
      <c r="B1028" s="1512" t="n"/>
      <c r="C1028" s="1494" t="n">
        <v>12.044</v>
      </c>
      <c r="D1028" s="1494" t="n">
        <v>8.603999999999999</v>
      </c>
      <c r="E1028" s="1494" t="n">
        <v>-2.22</v>
      </c>
      <c r="F1028" s="1494" t="n">
        <v>-4.902</v>
      </c>
      <c r="G1028" s="1493" t="n">
        <v>4.148</v>
      </c>
      <c r="H1028" s="1493" t="n">
        <v>-45.274</v>
      </c>
      <c r="I1028" s="1493" t="n">
        <v>-46.651</v>
      </c>
      <c r="J1028" s="1493" t="n">
        <v>-2.53</v>
      </c>
      <c r="K1028" s="1494" t="n">
        <v>-2.53</v>
      </c>
      <c r="L1028" s="1493" t="n">
        <v>3.157</v>
      </c>
      <c r="M1028" s="1493" t="n">
        <v>-1.273</v>
      </c>
      <c r="N1028" s="1493" t="n">
        <v>-38.241</v>
      </c>
      <c r="O1028" s="1493" t="n">
        <v>-42.181</v>
      </c>
      <c r="P1028" s="1494" t="n">
        <v>-42.181</v>
      </c>
      <c r="Q1028" s="1493" t="n">
        <v>3.627</v>
      </c>
      <c r="R1028" s="1493" t="n">
        <v>1.117</v>
      </c>
      <c r="S1028" s="1493" t="n">
        <v>0.3</v>
      </c>
      <c r="T1028" s="1493" t="n">
        <v>-1.558</v>
      </c>
      <c r="U1028" s="1494" t="n">
        <v>-1.558</v>
      </c>
      <c r="V1028" s="1493" t="n">
        <v>-3.595</v>
      </c>
      <c r="W1028" s="1493" t="n">
        <v>-8.709</v>
      </c>
      <c r="X1028" s="1493" t="n">
        <v>-3.822</v>
      </c>
      <c r="Y1028" s="1361">
        <f>Z1028</f>
        <v/>
      </c>
      <c r="Z1028" s="1494" t="n">
        <v>-6.566</v>
      </c>
      <c r="AA1028" s="1493" t="n">
        <v>-3.657</v>
      </c>
      <c r="AB1028" s="1493" t="n">
        <v>-8.789999999999999</v>
      </c>
      <c r="AC1028" s="1493" t="n">
        <v>-14.469</v>
      </c>
      <c r="AD1028" s="1361">
        <f>AE1028</f>
        <v/>
      </c>
      <c r="AE1028" s="1494" t="n">
        <v>-22.336</v>
      </c>
      <c r="AF1028" s="1493" t="n">
        <v>8.151999999999999</v>
      </c>
      <c r="AG1028" s="1493" t="n">
        <v>5.622</v>
      </c>
      <c r="AH1028" s="1493" t="n">
        <v>3.571</v>
      </c>
      <c r="AI1028" s="1361">
        <f>AJ1028</f>
        <v/>
      </c>
      <c r="AJ1028" s="1494" t="n">
        <v>-16.077</v>
      </c>
      <c r="AK1028" s="1493" t="n">
        <v>10.729</v>
      </c>
      <c r="AL1028" s="1493" t="n">
        <v>2.547</v>
      </c>
      <c r="AM1028" s="1493" t="n">
        <v>3.554</v>
      </c>
      <c r="AN1028" s="1361">
        <f>AO1028</f>
        <v/>
      </c>
      <c r="AO1028" s="1494" t="n">
        <v>-8.010999999999999</v>
      </c>
      <c r="AP1028" s="1493" t="n">
        <v>-8.343999999999999</v>
      </c>
      <c r="AQ1028" s="1493" t="n">
        <v>-17.687</v>
      </c>
      <c r="AR1028" s="1493" t="n">
        <v>-21.287</v>
      </c>
      <c r="AS1028" s="1361">
        <f>AT1028</f>
        <v/>
      </c>
      <c r="AT1028" s="1494" t="n">
        <v>-71.60599999999999</v>
      </c>
      <c r="AU1028" s="1493" t="n">
        <v>6.26</v>
      </c>
      <c r="AV1028" s="1493" t="n">
        <v>6.991</v>
      </c>
      <c r="AW1028" s="1493" t="n">
        <v>8.127000000000001</v>
      </c>
      <c r="AX1028" s="1361">
        <f>AY1028</f>
        <v/>
      </c>
      <c r="AY1028" s="1494" t="n">
        <v>-7.133</v>
      </c>
      <c r="AZ1028" s="1493" t="n">
        <v>11.588</v>
      </c>
      <c r="BA1028" s="1493" t="n">
        <v>14.476</v>
      </c>
      <c r="BB1028" s="1493" t="n">
        <v>17.644</v>
      </c>
      <c r="BC1028" s="1361">
        <f>BD1028</f>
        <v/>
      </c>
      <c r="BD1028" s="1494" t="n">
        <v>-0.9330000000000001</v>
      </c>
      <c r="BE1028" s="1493" t="n">
        <v>-42.084</v>
      </c>
      <c r="BF1028" s="1493" t="n">
        <v>-31.838</v>
      </c>
      <c r="BG1028" s="1493" t="n">
        <v>-26.58</v>
      </c>
      <c r="BH1028" s="1361">
        <f>BI1028</f>
        <v/>
      </c>
      <c r="BI1028" s="1494" t="n">
        <v>-45.784</v>
      </c>
      <c r="BJ1028" s="1493" t="n">
        <v>-7.535</v>
      </c>
      <c r="BK1028" s="1493" t="n">
        <v>-38.967</v>
      </c>
      <c r="BL1028" s="1493" t="n">
        <v>-8.759</v>
      </c>
      <c r="BM1028" s="1361">
        <f>BN1028</f>
        <v/>
      </c>
      <c r="BN1028" s="1494" t="n">
        <v>11.866</v>
      </c>
      <c r="BO1028" s="1493" t="n">
        <v>12.237</v>
      </c>
      <c r="BP1028" s="1493" t="n">
        <v>12.239</v>
      </c>
      <c r="BQ1028" s="1502" t="n">
        <v>5.811</v>
      </c>
      <c r="BR1028" s="1361" t="n"/>
      <c r="BS1028" s="1379" t="n"/>
      <c r="BT1028" s="1361" t="n"/>
      <c r="BU1028" s="1361" t="n"/>
      <c r="BV1028" s="1361" t="n"/>
      <c r="BW1028" s="1361" t="n"/>
      <c r="BX1028" s="1379" t="n"/>
      <c r="BY1028" s="1379" t="n"/>
      <c r="BZ1028" s="1379" t="n"/>
      <c r="CA1028" s="1379" t="n"/>
      <c r="CB1028" s="1364" t="n"/>
    </row>
    <row r="1029" hidden="1" outlineLevel="1" ht="14.4" customFormat="1" customHeight="1" s="1359">
      <c r="A1029" s="1394" t="inlineStr">
        <is>
          <t>Accounts payable and accrued liabilities</t>
        </is>
      </c>
      <c r="B1029" s="1512" t="n"/>
      <c r="C1029" s="1494" t="n">
        <v>-94.851</v>
      </c>
      <c r="D1029" s="1494" t="n">
        <v>60.281</v>
      </c>
      <c r="E1029" s="1494" t="n">
        <v>-46.95</v>
      </c>
      <c r="F1029" s="1494" t="n">
        <v>17.523</v>
      </c>
      <c r="G1029" s="1493" t="n">
        <v>-11.003</v>
      </c>
      <c r="H1029" s="1493" t="n">
        <v>10.023</v>
      </c>
      <c r="I1029" s="1493" t="n">
        <v>18.277</v>
      </c>
      <c r="J1029" s="1493" t="n">
        <v>41.727</v>
      </c>
      <c r="K1029" s="1494" t="n">
        <v>41.727</v>
      </c>
      <c r="L1029" s="1493" t="n">
        <v>-29.68</v>
      </c>
      <c r="M1029" s="1493" t="n">
        <v>-13.55</v>
      </c>
      <c r="N1029" s="1493" t="n">
        <v>-15.623</v>
      </c>
      <c r="O1029" s="1493" t="n">
        <v>3.856</v>
      </c>
      <c r="P1029" s="1494" t="n">
        <v>3.856</v>
      </c>
      <c r="Q1029" s="1493" t="n">
        <v>-44.754</v>
      </c>
      <c r="R1029" s="1493" t="n">
        <v>-20.653</v>
      </c>
      <c r="S1029" s="1493" t="n">
        <v>-28.154</v>
      </c>
      <c r="T1029" s="1493" t="n">
        <v>15.321</v>
      </c>
      <c r="U1029" s="1494" t="n">
        <v>15.321</v>
      </c>
      <c r="V1029" s="1493" t="n">
        <v>-42.557</v>
      </c>
      <c r="W1029" s="1493" t="n">
        <v>-14.012</v>
      </c>
      <c r="X1029" s="1493" t="n">
        <v>-46.585</v>
      </c>
      <c r="Y1029" s="1361">
        <f>Z1029</f>
        <v/>
      </c>
      <c r="Z1029" s="1494" t="n">
        <v>2.655</v>
      </c>
      <c r="AA1029" s="1493" t="n">
        <v>-46.159</v>
      </c>
      <c r="AB1029" s="1493" t="n">
        <v>-21.995</v>
      </c>
      <c r="AC1029" s="1493" t="n">
        <v>-41.127</v>
      </c>
      <c r="AD1029" s="1361">
        <f>AE1029</f>
        <v/>
      </c>
      <c r="AE1029" s="1494" t="n">
        <v>-25.987</v>
      </c>
      <c r="AF1029" s="1493" t="n">
        <v>-46.956</v>
      </c>
      <c r="AG1029" s="1493" t="n">
        <v>-11.832</v>
      </c>
      <c r="AH1029" s="1493" t="n">
        <v>-41.718</v>
      </c>
      <c r="AI1029" s="1361">
        <f>AJ1029</f>
        <v/>
      </c>
      <c r="AJ1029" s="1494" t="n">
        <v>1.553</v>
      </c>
      <c r="AK1029" s="1493" t="n">
        <v>-43.954</v>
      </c>
      <c r="AL1029" s="1493" t="n">
        <v>-34.67</v>
      </c>
      <c r="AM1029" s="1493" t="n">
        <v>-4.001</v>
      </c>
      <c r="AN1029" s="1361">
        <f>AO1029</f>
        <v/>
      </c>
      <c r="AO1029" s="1494" t="n">
        <v>33.915</v>
      </c>
      <c r="AP1029" s="1493" t="n">
        <v>-84.839</v>
      </c>
      <c r="AQ1029" s="1493" t="n">
        <v>-11.141</v>
      </c>
      <c r="AR1029" s="1493" t="n">
        <v>-30.455</v>
      </c>
      <c r="AS1029" s="1361">
        <f>AT1029</f>
        <v/>
      </c>
      <c r="AT1029" s="1494" t="n">
        <v>18.394</v>
      </c>
      <c r="AU1029" s="1493" t="n">
        <v>-80.76900000000001</v>
      </c>
      <c r="AV1029" s="1493" t="n">
        <v>-14.771</v>
      </c>
      <c r="AW1029" s="1493" t="n">
        <v>10.501</v>
      </c>
      <c r="AX1029" s="1361">
        <f>AY1029</f>
        <v/>
      </c>
      <c r="AY1029" s="1494" t="n">
        <v>67.35599999999999</v>
      </c>
      <c r="AZ1029" s="1493" t="n">
        <v>-58.203</v>
      </c>
      <c r="BA1029" s="1493" t="n">
        <v>17.47</v>
      </c>
      <c r="BB1029" s="1493" t="n">
        <v>24.514</v>
      </c>
      <c r="BC1029" s="1361">
        <f>BD1029</f>
        <v/>
      </c>
      <c r="BD1029" s="1494" t="n">
        <v>113.945</v>
      </c>
      <c r="BE1029" s="1493" t="n">
        <v>-117.915</v>
      </c>
      <c r="BF1029" s="1493" t="n">
        <v>-37.049</v>
      </c>
      <c r="BG1029" s="1493" t="n">
        <v>43.111</v>
      </c>
      <c r="BH1029" s="1361">
        <f>BI1029</f>
        <v/>
      </c>
      <c r="BI1029" s="1494" t="n">
        <v>5.415</v>
      </c>
      <c r="BJ1029" s="1493" t="n">
        <v>-117.291</v>
      </c>
      <c r="BK1029" s="1493" t="n">
        <v>-93.078</v>
      </c>
      <c r="BL1029" s="1493" t="n">
        <v>21.858</v>
      </c>
      <c r="BM1029" s="1361">
        <f>BN1029</f>
        <v/>
      </c>
      <c r="BN1029" s="1494" t="n">
        <v>33.676</v>
      </c>
      <c r="BO1029" s="1493" t="n">
        <v>-69.621</v>
      </c>
      <c r="BP1029" s="1493" t="n">
        <v>115.603</v>
      </c>
      <c r="BQ1029" s="1502" t="n">
        <v>-23.237</v>
      </c>
      <c r="BR1029" s="1361" t="n"/>
      <c r="BS1029" s="1379" t="n"/>
      <c r="BT1029" s="1361" t="n"/>
      <c r="BU1029" s="1361" t="n"/>
      <c r="BV1029" s="1361" t="n"/>
      <c r="BW1029" s="1361" t="n"/>
      <c r="BX1029" s="1379" t="n"/>
      <c r="BY1029" s="1379" t="n"/>
      <c r="BZ1029" s="1379" t="n"/>
      <c r="CA1029" s="1379" t="n"/>
      <c r="CB1029" s="1364" t="n"/>
    </row>
    <row r="1030" hidden="1" outlineLevel="1" ht="14.4" customFormat="1" customHeight="1" s="1359">
      <c r="A1030" s="1394" t="inlineStr">
        <is>
          <t>Deferred revenue</t>
        </is>
      </c>
      <c r="B1030" s="1512" t="n"/>
      <c r="C1030" s="1494" t="n">
        <v>-95.13500000000001</v>
      </c>
      <c r="D1030" s="1494" t="n">
        <v>62.531</v>
      </c>
      <c r="E1030" s="1494" t="n">
        <v>-13.408</v>
      </c>
      <c r="F1030" s="1494" t="n">
        <v>-69.66200000000001</v>
      </c>
      <c r="G1030" s="1493" t="n">
        <v>-16.648</v>
      </c>
      <c r="H1030" s="1493" t="n">
        <v>-24.359</v>
      </c>
      <c r="I1030" s="1493" t="n">
        <v>-5.474</v>
      </c>
      <c r="J1030" s="1493" t="n">
        <v>2.506</v>
      </c>
      <c r="K1030" s="1494" t="n">
        <v>2.506</v>
      </c>
      <c r="L1030" s="1493" t="n">
        <v>-5.508</v>
      </c>
      <c r="M1030" s="1493" t="n">
        <v>-23.74</v>
      </c>
      <c r="N1030" s="1493" t="n">
        <v>-27.231</v>
      </c>
      <c r="O1030" s="1493" t="n">
        <v>-11.86</v>
      </c>
      <c r="P1030" s="1494" t="n">
        <v>-11.86</v>
      </c>
      <c r="Q1030" s="1493" t="n">
        <v>16.812</v>
      </c>
      <c r="R1030" s="1493" t="n">
        <v>5.827</v>
      </c>
      <c r="S1030" s="1493" t="n">
        <v>-9.207000000000001</v>
      </c>
      <c r="T1030" s="1493" t="n">
        <v>-27.019</v>
      </c>
      <c r="U1030" s="1494" t="n">
        <v>-27.019</v>
      </c>
      <c r="V1030" s="1493" t="n">
        <v>30.71</v>
      </c>
      <c r="W1030" s="1493" t="n">
        <v>-7.412</v>
      </c>
      <c r="X1030" s="1493" t="n">
        <v>-10.823</v>
      </c>
      <c r="Y1030" s="1361">
        <f>Z1030</f>
        <v/>
      </c>
      <c r="Z1030" s="1494" t="n">
        <v>30.742</v>
      </c>
      <c r="AA1030" s="1493" t="n">
        <v>34.325</v>
      </c>
      <c r="AB1030" s="1493" t="n">
        <v>18.733</v>
      </c>
      <c r="AC1030" s="1493" t="n">
        <v>14.245</v>
      </c>
      <c r="AD1030" s="1361">
        <f>AE1030</f>
        <v/>
      </c>
      <c r="AE1030" s="1494" t="n">
        <v>33.614</v>
      </c>
      <c r="AF1030" s="1493" t="n">
        <v>59.854</v>
      </c>
      <c r="AG1030" s="1493" t="n">
        <v>71.667</v>
      </c>
      <c r="AH1030" s="1493" t="n">
        <v>77.37</v>
      </c>
      <c r="AI1030" s="1361">
        <f>AJ1030</f>
        <v/>
      </c>
      <c r="AJ1030" s="1494" t="n">
        <v>100.696</v>
      </c>
      <c r="AK1030" s="1493" t="n">
        <v>-4.451</v>
      </c>
      <c r="AL1030" s="1493" t="n">
        <v>19.707</v>
      </c>
      <c r="AM1030" s="1493" t="n">
        <v>-6.968</v>
      </c>
      <c r="AN1030" s="1361">
        <f>AO1030</f>
        <v/>
      </c>
      <c r="AO1030" s="1494" t="n">
        <v>27.498</v>
      </c>
      <c r="AP1030" s="1493" t="n">
        <v>86.914</v>
      </c>
      <c r="AQ1030" s="1493" t="n">
        <v>148.508</v>
      </c>
      <c r="AR1030" s="1493" t="n">
        <v>124.491</v>
      </c>
      <c r="AS1030" s="1361">
        <f>AT1030</f>
        <v/>
      </c>
      <c r="AT1030" s="1494" t="n">
        <v>110.173</v>
      </c>
      <c r="AU1030" s="1493" t="n">
        <v>59.166</v>
      </c>
      <c r="AV1030" s="1493" t="n">
        <v>127.286</v>
      </c>
      <c r="AW1030" s="1493" t="n">
        <v>84.18300000000001</v>
      </c>
      <c r="AX1030" s="1361">
        <f>AY1030</f>
        <v/>
      </c>
      <c r="AY1030" s="1494" t="n">
        <v>100.731</v>
      </c>
      <c r="AZ1030" s="1493" t="n">
        <v>56.225</v>
      </c>
      <c r="BA1030" s="1493" t="n">
        <v>80.45999999999999</v>
      </c>
      <c r="BB1030" s="1493" t="n">
        <v>113.712</v>
      </c>
      <c r="BC1030" s="1361">
        <f>BD1030</f>
        <v/>
      </c>
      <c r="BD1030" s="1494" t="n">
        <v>131.462</v>
      </c>
      <c r="BE1030" s="1493" t="n">
        <v>40.65</v>
      </c>
      <c r="BF1030" s="1493" t="n">
        <v>1.269</v>
      </c>
      <c r="BG1030" s="1493" t="n">
        <v>-14.628</v>
      </c>
      <c r="BH1030" s="1361">
        <f>BI1030</f>
        <v/>
      </c>
      <c r="BI1030" s="1494" t="n">
        <v>-21.583</v>
      </c>
      <c r="BJ1030" s="1493" t="n">
        <v>-23.941</v>
      </c>
      <c r="BK1030" s="1493" t="n">
        <v>-18.599</v>
      </c>
      <c r="BL1030" s="1493" t="n">
        <v>6.68</v>
      </c>
      <c r="BM1030" s="1361">
        <f>BN1030</f>
        <v/>
      </c>
      <c r="BN1030" s="1494" t="n">
        <v>66.47799999999999</v>
      </c>
      <c r="BO1030" s="1493" t="n">
        <v>-14.377</v>
      </c>
      <c r="BP1030" s="1493" t="n">
        <v>21.824</v>
      </c>
      <c r="BQ1030" s="1502" t="n">
        <v>44.456</v>
      </c>
      <c r="BR1030" s="1361" t="n"/>
      <c r="BS1030" s="1379" t="n"/>
      <c r="BT1030" s="1361" t="n"/>
      <c r="BU1030" s="1361" t="n"/>
      <c r="BV1030" s="1361" t="n"/>
      <c r="BW1030" s="1361" t="n"/>
      <c r="BX1030" s="1379" t="n"/>
      <c r="BY1030" s="1379" t="n"/>
      <c r="BZ1030" s="1379" t="n"/>
      <c r="CA1030" s="1379" t="n"/>
      <c r="CB1030" s="1364" t="n"/>
    </row>
    <row r="1031" hidden="1" outlineLevel="1" ht="14.4" customFormat="1" customHeight="1" s="1359">
      <c r="A1031" s="1453" t="inlineStr">
        <is>
          <t>Other long-term liabilities</t>
        </is>
      </c>
      <c r="B1031" s="1514" t="n"/>
      <c r="C1031" s="1480" t="n">
        <v>-27.467</v>
      </c>
      <c r="D1031" s="1480" t="n">
        <v>-162.461</v>
      </c>
      <c r="E1031" s="1480" t="n">
        <v>-5.607</v>
      </c>
      <c r="F1031" s="1480" t="n">
        <v>-22.439</v>
      </c>
      <c r="G1031" s="1479" t="n">
        <v>-49.799</v>
      </c>
      <c r="H1031" s="1479" t="n">
        <v>7.174</v>
      </c>
      <c r="I1031" s="1479" t="n">
        <v>5.644</v>
      </c>
      <c r="J1031" s="1479" t="n">
        <v>-36.738</v>
      </c>
      <c r="K1031" s="1480" t="n">
        <v>-36.738</v>
      </c>
      <c r="L1031" s="1479" t="n">
        <v>-4.408</v>
      </c>
      <c r="M1031" s="1479" t="n">
        <v>-4.983</v>
      </c>
      <c r="N1031" s="1479" t="n">
        <v>7.585</v>
      </c>
      <c r="O1031" s="1479" t="n">
        <v>5.563</v>
      </c>
      <c r="P1031" s="1480" t="n">
        <v>5.563</v>
      </c>
      <c r="Q1031" s="1479" t="n">
        <v>-3.246</v>
      </c>
      <c r="R1031" s="1479" t="n">
        <v>-8.058</v>
      </c>
      <c r="S1031" s="1479" t="n">
        <v>-20.303</v>
      </c>
      <c r="T1031" s="1479" t="n">
        <v>-19.011</v>
      </c>
      <c r="U1031" s="1480" t="n">
        <v>-19.011</v>
      </c>
      <c r="V1031" s="1479" t="n">
        <v>-5.034</v>
      </c>
      <c r="W1031" s="1479" t="n">
        <v>-4.7</v>
      </c>
      <c r="X1031" s="1479" t="n">
        <v>-6.239</v>
      </c>
      <c r="Y1031" s="1456">
        <f>Z1031</f>
        <v/>
      </c>
      <c r="Z1031" s="1480" t="n">
        <v>-3.154</v>
      </c>
      <c r="AA1031" s="1479" t="n">
        <v>1.113</v>
      </c>
      <c r="AB1031" s="1479" t="n">
        <v>0.174</v>
      </c>
      <c r="AC1031" s="1479" t="n">
        <v>4.071</v>
      </c>
      <c r="AD1031" s="1456">
        <f>AE1031</f>
        <v/>
      </c>
      <c r="AE1031" s="1480" t="n">
        <v>12.625</v>
      </c>
      <c r="AF1031" s="1479" t="n">
        <v>-4.242</v>
      </c>
      <c r="AG1031" s="1479" t="n">
        <v>-2.928</v>
      </c>
      <c r="AH1031" s="1479" t="n">
        <v>-1.415</v>
      </c>
      <c r="AI1031" s="1456">
        <f>AJ1031</f>
        <v/>
      </c>
      <c r="AJ1031" s="1480" t="n">
        <v>-2.178</v>
      </c>
      <c r="AK1031" s="1479" t="n">
        <v>-2.713</v>
      </c>
      <c r="AL1031" s="1479" t="n">
        <v>2.576</v>
      </c>
      <c r="AM1031" s="1479" t="n">
        <v>4.163</v>
      </c>
      <c r="AN1031" s="1456">
        <f>AO1031</f>
        <v/>
      </c>
      <c r="AO1031" s="1480" t="n">
        <v>1.681</v>
      </c>
      <c r="AP1031" s="1479" t="n">
        <v>-4.239</v>
      </c>
      <c r="AQ1031" s="1479" t="n">
        <v>0.504</v>
      </c>
      <c r="AR1031" s="1479" t="n">
        <v>4.43</v>
      </c>
      <c r="AS1031" s="1456">
        <f>AT1031</f>
        <v/>
      </c>
      <c r="AT1031" s="1480" t="n">
        <v>10.408</v>
      </c>
      <c r="AU1031" s="1479" t="n">
        <v>-2.372</v>
      </c>
      <c r="AV1031" s="1479" t="n">
        <v>6.639</v>
      </c>
      <c r="AW1031" s="1479" t="n">
        <v>10.417</v>
      </c>
      <c r="AX1031" s="1456">
        <f>AY1031</f>
        <v/>
      </c>
      <c r="AY1031" s="1480" t="n">
        <v>16.199</v>
      </c>
      <c r="AZ1031" s="1479" t="n">
        <v>-1.26</v>
      </c>
      <c r="BA1031" s="1479" t="n">
        <v>-5.872</v>
      </c>
      <c r="BB1031" s="1479" t="n">
        <v>-2.305</v>
      </c>
      <c r="BC1031" s="1456">
        <f>BD1031</f>
        <v/>
      </c>
      <c r="BD1031" s="1480" t="n">
        <v>43.542</v>
      </c>
      <c r="BE1031" s="1479" t="n">
        <v>0.897</v>
      </c>
      <c r="BF1031" s="1479" t="n">
        <v>9.497</v>
      </c>
      <c r="BG1031" s="1479" t="n">
        <v>10.514</v>
      </c>
      <c r="BH1031" s="1456">
        <f>BI1031</f>
        <v/>
      </c>
      <c r="BI1031" s="1480" t="n">
        <v>1.802</v>
      </c>
      <c r="BJ1031" s="1479" t="n">
        <v>6.72</v>
      </c>
      <c r="BK1031" s="1479" t="n">
        <v>15.013</v>
      </c>
      <c r="BL1031" s="1479" t="n">
        <v>22.732</v>
      </c>
      <c r="BM1031" s="1456">
        <f>BN1031</f>
        <v/>
      </c>
      <c r="BN1031" s="1480" t="n">
        <v>23.592</v>
      </c>
      <c r="BO1031" s="1479" t="n">
        <v>-2.142</v>
      </c>
      <c r="BP1031" s="1479" t="n">
        <v>3.964</v>
      </c>
      <c r="BQ1031" s="1515" t="n">
        <v>14.546</v>
      </c>
      <c r="BR1031" s="1456" t="n"/>
      <c r="BS1031" s="1455" t="n"/>
      <c r="BT1031" s="1456" t="n"/>
      <c r="BU1031" s="1456" t="n"/>
      <c r="BV1031" s="1456" t="n"/>
      <c r="BW1031" s="1456" t="n"/>
      <c r="BX1031" s="1455" t="n"/>
      <c r="BY1031" s="1455" t="n"/>
      <c r="BZ1031" s="1455" t="n"/>
      <c r="CA1031" s="1455" t="n"/>
      <c r="CB1031" s="1364" t="n"/>
    </row>
    <row r="1032" hidden="1" outlineLevel="1" ht="14.4" customFormat="1" customHeight="1" s="1372">
      <c r="A1032" s="1400" t="inlineStr">
        <is>
          <t>Net CFO</t>
        </is>
      </c>
      <c r="B1032" s="1516" t="n"/>
      <c r="C1032" s="1402">
        <f>SUM(C1023:C1031)</f>
        <v/>
      </c>
      <c r="D1032" s="1402">
        <f>SUM(D1023:D1031)</f>
        <v/>
      </c>
      <c r="E1032" s="1402">
        <f>SUM(E1023:E1031)</f>
        <v/>
      </c>
      <c r="F1032" s="1402">
        <f>SUM(F1023:F1031)</f>
        <v/>
      </c>
      <c r="G1032" s="1403">
        <f>SUM(G1023:G1031)</f>
        <v/>
      </c>
      <c r="H1032" s="1403">
        <f>SUM(H1023:H1031)</f>
        <v/>
      </c>
      <c r="I1032" s="1403">
        <f>SUM(I1023:I1031)</f>
        <v/>
      </c>
      <c r="J1032" s="1403">
        <f>SUM(J1023:J1031)</f>
        <v/>
      </c>
      <c r="K1032" s="1402">
        <f>SUM(K1023:K1031)</f>
        <v/>
      </c>
      <c r="L1032" s="1403">
        <f>SUM(L1023:L1031)</f>
        <v/>
      </c>
      <c r="M1032" s="1403">
        <f>SUM(M1023:M1031)</f>
        <v/>
      </c>
      <c r="N1032" s="1403">
        <f>SUM(N1023:N1031)</f>
        <v/>
      </c>
      <c r="O1032" s="1403">
        <f>SUM(O1023:O1031)</f>
        <v/>
      </c>
      <c r="P1032" s="1402">
        <f>SUM(P1023:P1031)</f>
        <v/>
      </c>
      <c r="Q1032" s="1403">
        <f>SUM(Q1023:Q1031)</f>
        <v/>
      </c>
      <c r="R1032" s="1403">
        <f>SUM(R1023:R1031)</f>
        <v/>
      </c>
      <c r="S1032" s="1403">
        <f>SUM(S1023:S1031)</f>
        <v/>
      </c>
      <c r="T1032" s="1403">
        <f>SUM(T1023:T1031)</f>
        <v/>
      </c>
      <c r="U1032" s="1402">
        <f>SUM(U1023:U1031)</f>
        <v/>
      </c>
      <c r="V1032" s="1403">
        <f>SUM(V1023:V1031)</f>
        <v/>
      </c>
      <c r="W1032" s="1403">
        <f>SUM(W1023:W1031)</f>
        <v/>
      </c>
      <c r="X1032" s="1403">
        <f>SUM(X1023:X1031)</f>
        <v/>
      </c>
      <c r="Y1032" s="1404">
        <f>SUM(Y1023:Y1031)</f>
        <v/>
      </c>
      <c r="Z1032" s="1405">
        <f>SUM(Z1023:Z1031)</f>
        <v/>
      </c>
      <c r="AA1032" s="1403">
        <f>SUM(AA1023:AA1031)</f>
        <v/>
      </c>
      <c r="AB1032" s="1403">
        <f>SUM(AB1023:AB1031)</f>
        <v/>
      </c>
      <c r="AC1032" s="1403">
        <f>SUM(AC1023:AC1031)</f>
        <v/>
      </c>
      <c r="AD1032" s="1404">
        <f>SUM(AD1023:AD1031)</f>
        <v/>
      </c>
      <c r="AE1032" s="1405">
        <f>SUM(AE1023:AE1031)</f>
        <v/>
      </c>
      <c r="AF1032" s="1403">
        <f>SUM(AF1023:AF1031)</f>
        <v/>
      </c>
      <c r="AG1032" s="1403">
        <f>SUM(AG1023:AG1031)</f>
        <v/>
      </c>
      <c r="AH1032" s="1403">
        <f>SUM(AH1023:AH1031)</f>
        <v/>
      </c>
      <c r="AI1032" s="1404">
        <f>SUM(AI1023:AI1031)</f>
        <v/>
      </c>
      <c r="AJ1032" s="1405">
        <f>SUM(AJ1023:AJ1031)</f>
        <v/>
      </c>
      <c r="AK1032" s="1403">
        <f>SUM(AK1023:AK1031)</f>
        <v/>
      </c>
      <c r="AL1032" s="1403">
        <f>SUM(AL1023:AL1031)</f>
        <v/>
      </c>
      <c r="AM1032" s="1403">
        <f>SUM(AM1023:AM1031)</f>
        <v/>
      </c>
      <c r="AN1032" s="1404">
        <f>SUM(AN1023:AN1031)</f>
        <v/>
      </c>
      <c r="AO1032" s="1405">
        <f>SUM(AO1023:AO1031)</f>
        <v/>
      </c>
      <c r="AP1032" s="1403">
        <f>SUM(AP1023:AP1031)</f>
        <v/>
      </c>
      <c r="AQ1032" s="1403">
        <f>SUM(AQ1023:AQ1031)</f>
        <v/>
      </c>
      <c r="AR1032" s="1403">
        <f>SUM(AR1023:AR1031)</f>
        <v/>
      </c>
      <c r="AS1032" s="1404">
        <f>SUM(AS1023:AS1031)</f>
        <v/>
      </c>
      <c r="AT1032" s="1405">
        <f>SUM(AT1023:AT1031)</f>
        <v/>
      </c>
      <c r="AU1032" s="1403">
        <f>SUM(AU1023:AU1031)</f>
        <v/>
      </c>
      <c r="AV1032" s="1403">
        <f>SUM(AV1023:AV1031)</f>
        <v/>
      </c>
      <c r="AW1032" s="1403">
        <f>SUM(AW1023:AW1031)</f>
        <v/>
      </c>
      <c r="AX1032" s="1404">
        <f>SUM(AX1023:AX1031)</f>
        <v/>
      </c>
      <c r="AY1032" s="1405">
        <f>SUM(AY1023:AY1031)</f>
        <v/>
      </c>
      <c r="AZ1032" s="1403">
        <f>SUM(AZ1023:AZ1031)</f>
        <v/>
      </c>
      <c r="BA1032" s="1403">
        <f>SUM(BA1023:BA1031)</f>
        <v/>
      </c>
      <c r="BB1032" s="1403">
        <f>SUM(BB1023:BB1031)</f>
        <v/>
      </c>
      <c r="BC1032" s="1404">
        <f>SUM(BC1023:BC1031)</f>
        <v/>
      </c>
      <c r="BD1032" s="1405">
        <f>SUM(BD1023:BD1031)</f>
        <v/>
      </c>
      <c r="BE1032" s="1403">
        <f>SUM(BE1023:BE1031)</f>
        <v/>
      </c>
      <c r="BF1032" s="1403">
        <f>SUM(BF1023:BF1031)</f>
        <v/>
      </c>
      <c r="BG1032" s="1403">
        <f>SUM(BG1023:BG1031)</f>
        <v/>
      </c>
      <c r="BH1032" s="1404">
        <f>SUM(BH1023:BH1031)</f>
        <v/>
      </c>
      <c r="BI1032" s="1405">
        <f>SUM(BI1023:BI1031)</f>
        <v/>
      </c>
      <c r="BJ1032" s="1403">
        <f>SUM(BJ1023:BJ1031)</f>
        <v/>
      </c>
      <c r="BK1032" s="1403">
        <f>SUM(BK1023:BK1031)</f>
        <v/>
      </c>
      <c r="BL1032" s="1403">
        <f>SUM(BL1023:BL1031)</f>
        <v/>
      </c>
      <c r="BM1032" s="1404">
        <f>SUM(BM1023:BM1031)</f>
        <v/>
      </c>
      <c r="BN1032" s="1405">
        <f>SUM(BN1023:BN1031)</f>
        <v/>
      </c>
      <c r="BO1032" s="1403">
        <f>SUM(BO1023:BO1031)</f>
        <v/>
      </c>
      <c r="BP1032" s="1403">
        <f>SUM(BP1023:BP1031)</f>
        <v/>
      </c>
      <c r="BQ1032" s="1406">
        <f>SUM(BQ1023:BQ1031)</f>
        <v/>
      </c>
      <c r="BR1032" s="1404" t="n"/>
      <c r="BS1032" s="1405" t="n"/>
      <c r="BT1032" s="1404" t="n"/>
      <c r="BU1032" s="1404" t="n"/>
      <c r="BV1032" s="1404" t="n"/>
      <c r="BW1032" s="1404" t="n"/>
      <c r="BX1032" s="1405" t="n"/>
      <c r="BY1032" s="1405" t="n"/>
      <c r="BZ1032" s="1405" t="n"/>
      <c r="CA1032" s="1405" t="n"/>
      <c r="CB1032" s="1375" t="n"/>
    </row>
    <row r="1033" hidden="1" outlineLevel="1" ht="14.4" customFormat="1" customHeight="1" s="1372">
      <c r="A1033" s="1447" t="n"/>
      <c r="B1033" s="1517" t="n"/>
      <c r="C1033" s="1449" t="n"/>
      <c r="D1033" s="1449" t="n"/>
      <c r="E1033" s="1449" t="n"/>
      <c r="F1033" s="1449" t="n"/>
      <c r="G1033" s="1450" t="n"/>
      <c r="H1033" s="1450" t="n"/>
      <c r="I1033" s="1450" t="n"/>
      <c r="J1033" s="1450" t="n"/>
      <c r="K1033" s="1449" t="n"/>
      <c r="L1033" s="1450" t="n"/>
      <c r="M1033" s="1450" t="n"/>
      <c r="N1033" s="1450" t="n"/>
      <c r="O1033" s="1450" t="n"/>
      <c r="P1033" s="1449" t="n"/>
      <c r="Q1033" s="1450" t="n"/>
      <c r="R1033" s="1450" t="n"/>
      <c r="S1033" s="1450" t="n"/>
      <c r="T1033" s="1450" t="n"/>
      <c r="U1033" s="1449" t="n"/>
      <c r="V1033" s="1450" t="n"/>
      <c r="W1033" s="1450" t="n"/>
      <c r="X1033" s="1450" t="n"/>
      <c r="Y1033" s="1450" t="n"/>
      <c r="Z1033" s="1449" t="n"/>
      <c r="AA1033" s="1450" t="n"/>
      <c r="AB1033" s="1450" t="n"/>
      <c r="AC1033" s="1450" t="n"/>
      <c r="AD1033" s="1450" t="n"/>
      <c r="AE1033" s="1449" t="n"/>
      <c r="AF1033" s="1450" t="n"/>
      <c r="AG1033" s="1450" t="n"/>
      <c r="AH1033" s="1450" t="n"/>
      <c r="AI1033" s="1450" t="n"/>
      <c r="AJ1033" s="1449" t="n"/>
      <c r="AK1033" s="1450" t="n"/>
      <c r="AL1033" s="1450" t="n"/>
      <c r="AM1033" s="1450" t="n"/>
      <c r="AN1033" s="1450" t="n"/>
      <c r="AO1033" s="1449" t="n"/>
      <c r="AP1033" s="1450" t="n"/>
      <c r="AQ1033" s="1450" t="n"/>
      <c r="AR1033" s="1450" t="n"/>
      <c r="AS1033" s="1450" t="n"/>
      <c r="AT1033" s="1449" t="n"/>
      <c r="AU1033" s="1450" t="n"/>
      <c r="AV1033" s="1450" t="n"/>
      <c r="AW1033" s="1450" t="n"/>
      <c r="AX1033" s="1450" t="n"/>
      <c r="AY1033" s="1449" t="n"/>
      <c r="AZ1033" s="1450" t="n"/>
      <c r="BA1033" s="1450" t="n"/>
      <c r="BB1033" s="1450" t="n"/>
      <c r="BC1033" s="1450" t="n"/>
      <c r="BD1033" s="1449" t="n"/>
      <c r="BE1033" s="1450" t="n"/>
      <c r="BF1033" s="1450" t="n"/>
      <c r="BG1033" s="1450" t="n"/>
      <c r="BH1033" s="1450" t="n"/>
      <c r="BI1033" s="1449" t="n"/>
      <c r="BJ1033" s="1450" t="n"/>
      <c r="BK1033" s="1450" t="n"/>
      <c r="BL1033" s="1450" t="n"/>
      <c r="BM1033" s="1450" t="n"/>
      <c r="BN1033" s="1449" t="n"/>
      <c r="BO1033" s="1450" t="n"/>
      <c r="BP1033" s="1450" t="n"/>
      <c r="BQ1033" s="1451" t="n"/>
      <c r="BR1033" s="1450" t="n"/>
      <c r="BS1033" s="1449" t="n"/>
      <c r="BT1033" s="1450" t="n"/>
      <c r="BU1033" s="1450" t="n"/>
      <c r="BV1033" s="1450" t="n"/>
      <c r="BW1033" s="1450" t="n"/>
      <c r="BX1033" s="1449" t="n"/>
      <c r="BY1033" s="1449" t="n"/>
      <c r="BZ1033" s="1449" t="n"/>
      <c r="CA1033" s="1449" t="n"/>
      <c r="CB1033" s="1375" t="n"/>
    </row>
    <row r="1034" hidden="1" outlineLevel="1" ht="14.4" customFormat="1" customHeight="1" s="1372">
      <c r="A1034" s="1452" t="inlineStr">
        <is>
          <t>CFI</t>
        </is>
      </c>
      <c r="B1034" s="1517" t="n"/>
      <c r="C1034" s="1449" t="n"/>
      <c r="D1034" s="1449" t="n"/>
      <c r="E1034" s="1449" t="n"/>
      <c r="F1034" s="1449" t="n"/>
      <c r="G1034" s="1450" t="n"/>
      <c r="H1034" s="1450" t="n"/>
      <c r="I1034" s="1450" t="n"/>
      <c r="J1034" s="1450" t="n"/>
      <c r="K1034" s="1449" t="n"/>
      <c r="L1034" s="1450" t="n"/>
      <c r="M1034" s="1450" t="n"/>
      <c r="N1034" s="1450" t="n"/>
      <c r="O1034" s="1450" t="n"/>
      <c r="P1034" s="1449" t="n"/>
      <c r="Q1034" s="1450" t="n"/>
      <c r="R1034" s="1450" t="n"/>
      <c r="S1034" s="1450" t="n"/>
      <c r="T1034" s="1450" t="n"/>
      <c r="U1034" s="1449" t="n"/>
      <c r="V1034" s="1450" t="n"/>
      <c r="W1034" s="1450" t="n"/>
      <c r="X1034" s="1450" t="n"/>
      <c r="Y1034" s="1450" t="n"/>
      <c r="Z1034" s="1449" t="n"/>
      <c r="AA1034" s="1450" t="n"/>
      <c r="AB1034" s="1450" t="n"/>
      <c r="AC1034" s="1450" t="n"/>
      <c r="AD1034" s="1450" t="n"/>
      <c r="AE1034" s="1449" t="n"/>
      <c r="AF1034" s="1450" t="n"/>
      <c r="AG1034" s="1450" t="n"/>
      <c r="AH1034" s="1450" t="n"/>
      <c r="AI1034" s="1450" t="n"/>
      <c r="AJ1034" s="1449" t="n"/>
      <c r="AK1034" s="1450" t="n"/>
      <c r="AL1034" s="1450" t="n"/>
      <c r="AM1034" s="1450" t="n"/>
      <c r="AN1034" s="1450" t="n"/>
      <c r="AO1034" s="1449" t="n"/>
      <c r="AP1034" s="1450" t="n"/>
      <c r="AQ1034" s="1450" t="n"/>
      <c r="AR1034" s="1450" t="n"/>
      <c r="AS1034" s="1450" t="n"/>
      <c r="AT1034" s="1449" t="n"/>
      <c r="AU1034" s="1450" t="n"/>
      <c r="AV1034" s="1450" t="n"/>
      <c r="AW1034" s="1450" t="n"/>
      <c r="AX1034" s="1450" t="n"/>
      <c r="AY1034" s="1449" t="n"/>
      <c r="AZ1034" s="1450" t="n"/>
      <c r="BA1034" s="1450" t="n"/>
      <c r="BB1034" s="1450" t="n"/>
      <c r="BC1034" s="1450" t="n"/>
      <c r="BD1034" s="1449" t="n"/>
      <c r="BE1034" s="1450" t="n"/>
      <c r="BF1034" s="1450" t="n"/>
      <c r="BG1034" s="1450" t="n"/>
      <c r="BH1034" s="1450" t="n"/>
      <c r="BI1034" s="1449" t="n"/>
      <c r="BJ1034" s="1450" t="n"/>
      <c r="BK1034" s="1450" t="n"/>
      <c r="BL1034" s="1450" t="n"/>
      <c r="BM1034" s="1450" t="n"/>
      <c r="BN1034" s="1449" t="n"/>
      <c r="BO1034" s="1450" t="n"/>
      <c r="BP1034" s="1450" t="n"/>
      <c r="BQ1034" s="1451" t="n"/>
      <c r="BR1034" s="1450" t="n"/>
      <c r="BS1034" s="1449" t="n"/>
      <c r="BT1034" s="1450" t="n"/>
      <c r="BU1034" s="1450" t="n"/>
      <c r="BV1034" s="1450" t="n"/>
      <c r="BW1034" s="1450" t="n"/>
      <c r="BX1034" s="1449" t="n"/>
      <c r="BY1034" s="1449" t="n"/>
      <c r="BZ1034" s="1449" t="n"/>
      <c r="CA1034" s="1449" t="n"/>
      <c r="CB1034" s="1375" t="n"/>
    </row>
    <row r="1035" hidden="1" outlineLevel="1" ht="14.4" customFormat="1" customHeight="1" s="1359">
      <c r="A1035" s="1394" t="inlineStr">
        <is>
          <t>Purchases of available-for-sale securities</t>
        </is>
      </c>
      <c r="B1035" s="1512" t="n"/>
      <c r="C1035" s="1494" t="n">
        <v>4.135</v>
      </c>
      <c r="D1035" s="1379" t="n"/>
      <c r="E1035" s="1494" t="n">
        <v>0</v>
      </c>
      <c r="F1035" s="1494" t="n">
        <v>-121.154</v>
      </c>
      <c r="G1035" s="1493" t="n">
        <v>-24.282</v>
      </c>
      <c r="H1035" s="1493" t="n">
        <v>-63.705</v>
      </c>
      <c r="I1035" s="1493" t="n">
        <v>-84</v>
      </c>
      <c r="J1035" s="1493" t="n">
        <v>-111.702</v>
      </c>
      <c r="K1035" s="1494" t="n">
        <v>-111.702</v>
      </c>
      <c r="L1035" s="1493" t="n">
        <v>-47.005</v>
      </c>
      <c r="M1035" s="1493" t="n">
        <v>-77.48999999999999</v>
      </c>
      <c r="N1035" s="1493" t="n">
        <v>-98.392</v>
      </c>
      <c r="O1035" s="1493" t="n">
        <v>-124.165</v>
      </c>
      <c r="P1035" s="1494" t="n">
        <v>-124.165</v>
      </c>
      <c r="Q1035" s="1493" t="n">
        <v>-33.161</v>
      </c>
      <c r="R1035" s="1493" t="n">
        <v>-59.516</v>
      </c>
      <c r="S1035" s="1493" t="n">
        <v>-81.3</v>
      </c>
      <c r="T1035" s="1493" t="n">
        <v>-96.53100000000001</v>
      </c>
      <c r="U1035" s="1494" t="n">
        <v>-96.53100000000001</v>
      </c>
      <c r="V1035" s="1493" t="n">
        <v>-20.525</v>
      </c>
      <c r="W1035" s="1493" t="n">
        <v>-20.525</v>
      </c>
      <c r="X1035" s="1493" t="n">
        <v>-20.525</v>
      </c>
      <c r="Y1035" s="1361">
        <f>Z1035</f>
        <v/>
      </c>
      <c r="Z1035" s="1494" t="n">
        <v>-20.525</v>
      </c>
      <c r="AA1035" s="1493" t="n">
        <v>0</v>
      </c>
      <c r="AB1035" s="1361" t="n"/>
      <c r="AC1035" s="1493" t="n">
        <v>0</v>
      </c>
      <c r="AD1035" s="1361">
        <f>AE1035</f>
        <v/>
      </c>
      <c r="AE1035" s="1379" t="n"/>
      <c r="AF1035" s="1361" t="n"/>
      <c r="AG1035" s="1361" t="n"/>
      <c r="AH1035" s="1361" t="n"/>
      <c r="AI1035" s="1361">
        <f>AJ1035</f>
        <v/>
      </c>
      <c r="AJ1035" s="1379" t="n"/>
      <c r="AK1035" s="1361" t="n"/>
      <c r="AL1035" s="1361" t="n"/>
      <c r="AM1035" s="1361" t="n"/>
      <c r="AN1035" s="1361">
        <f>AO1035</f>
        <v/>
      </c>
      <c r="AO1035" s="1379" t="n"/>
      <c r="AP1035" s="1361" t="n"/>
      <c r="AQ1035" s="1361" t="n"/>
      <c r="AR1035" s="1361" t="n"/>
      <c r="AS1035" s="1361">
        <f>AT1035</f>
        <v/>
      </c>
      <c r="AT1035" s="1379" t="n"/>
      <c r="AU1035" s="1361" t="n"/>
      <c r="AV1035" s="1361" t="n"/>
      <c r="AW1035" s="1361" t="n"/>
      <c r="AX1035" s="1361">
        <f>AY1035</f>
        <v/>
      </c>
      <c r="AY1035" s="1379" t="n"/>
      <c r="AZ1035" s="1361" t="n"/>
      <c r="BA1035" s="1361" t="n"/>
      <c r="BB1035" s="1361" t="n"/>
      <c r="BC1035" s="1361">
        <f>BD1035</f>
        <v/>
      </c>
      <c r="BD1035" s="1379" t="n"/>
      <c r="BE1035" s="1361" t="n"/>
      <c r="BF1035" s="1361" t="n"/>
      <c r="BG1035" s="1361" t="n"/>
      <c r="BH1035" s="1361" t="n"/>
      <c r="BI1035" s="1379" t="n"/>
      <c r="BJ1035" s="1361" t="n"/>
      <c r="BK1035" s="1361" t="n"/>
      <c r="BL1035" s="1361" t="n"/>
      <c r="BM1035" s="1361" t="n"/>
      <c r="BN1035" s="1379" t="n"/>
      <c r="BO1035" s="1361" t="n"/>
      <c r="BP1035" s="1361" t="n"/>
      <c r="BQ1035" s="1363" t="n"/>
      <c r="BR1035" s="1361" t="n"/>
      <c r="BS1035" s="1379" t="n"/>
      <c r="BT1035" s="1361" t="n"/>
      <c r="BU1035" s="1361" t="n"/>
      <c r="BV1035" s="1361" t="n"/>
      <c r="BW1035" s="1361" t="n"/>
      <c r="BX1035" s="1379" t="n"/>
      <c r="BY1035" s="1379" t="n"/>
      <c r="BZ1035" s="1379" t="n"/>
      <c r="CA1035" s="1379" t="n"/>
      <c r="CB1035" s="1364" t="n"/>
    </row>
    <row r="1036" hidden="1" outlineLevel="1" ht="14.4" customFormat="1" customHeight="1" s="1359">
      <c r="A1036" s="1394" t="inlineStr">
        <is>
          <t>Proceeds from the sale of available-for-sale securities</t>
        </is>
      </c>
      <c r="B1036" s="1512" t="n"/>
      <c r="C1036" s="1379" t="n"/>
      <c r="D1036" s="1379" t="n"/>
      <c r="E1036" s="1494" t="n">
        <v>9.792999999999999</v>
      </c>
      <c r="F1036" s="1494" t="n">
        <v>18.338</v>
      </c>
      <c r="G1036" s="1493" t="n">
        <v>14.985</v>
      </c>
      <c r="H1036" s="1493" t="n">
        <v>46.857</v>
      </c>
      <c r="I1036" s="1493" t="n">
        <v>59.014</v>
      </c>
      <c r="J1036" s="1493" t="n">
        <v>77.621</v>
      </c>
      <c r="K1036" s="1494" t="n">
        <v>77.621</v>
      </c>
      <c r="L1036" s="1493" t="n">
        <v>32.586</v>
      </c>
      <c r="M1036" s="1493" t="n">
        <v>54.601</v>
      </c>
      <c r="N1036" s="1493" t="n">
        <v>69.91200000000001</v>
      </c>
      <c r="O1036" s="1493" t="n">
        <v>85.384</v>
      </c>
      <c r="P1036" s="1494" t="n">
        <v>85.384</v>
      </c>
      <c r="Q1036" s="1493" t="n">
        <v>20.551</v>
      </c>
      <c r="R1036" s="1493" t="n">
        <v>37.586</v>
      </c>
      <c r="S1036" s="1493" t="n">
        <v>50.806</v>
      </c>
      <c r="T1036" s="1493" t="n">
        <v>60.949</v>
      </c>
      <c r="U1036" s="1494" t="n">
        <v>60.949</v>
      </c>
      <c r="V1036" s="1493" t="n">
        <v>1</v>
      </c>
      <c r="W1036" s="1493" t="n">
        <v>55.168</v>
      </c>
      <c r="X1036" s="1493" t="n">
        <v>55.418</v>
      </c>
      <c r="Y1036" s="1361">
        <f>Z1036</f>
        <v/>
      </c>
      <c r="Z1036" s="1494" t="n">
        <v>55.619</v>
      </c>
      <c r="AA1036" s="1493" t="n">
        <v>0.107</v>
      </c>
      <c r="AB1036" s="1493" t="n">
        <v>0.189</v>
      </c>
      <c r="AC1036" s="1493" t="n">
        <v>0.421</v>
      </c>
      <c r="AD1036" s="1361">
        <f>AE1036</f>
        <v/>
      </c>
      <c r="AE1036" s="1494" t="n">
        <v>0.833</v>
      </c>
      <c r="AF1036" s="1361" t="n"/>
      <c r="AG1036" s="1361" t="n"/>
      <c r="AH1036" s="1361" t="n"/>
      <c r="AI1036" s="1361">
        <f>AJ1036</f>
        <v/>
      </c>
      <c r="AJ1036" s="1379" t="n"/>
      <c r="AK1036" s="1361" t="n"/>
      <c r="AL1036" s="1361" t="n"/>
      <c r="AM1036" s="1361" t="n"/>
      <c r="AN1036" s="1361">
        <f>AO1036</f>
        <v/>
      </c>
      <c r="AO1036" s="1379" t="n"/>
      <c r="AP1036" s="1361" t="n"/>
      <c r="AQ1036" s="1361" t="n"/>
      <c r="AR1036" s="1361" t="n"/>
      <c r="AS1036" s="1361">
        <f>AT1036</f>
        <v/>
      </c>
      <c r="AT1036" s="1379" t="n"/>
      <c r="AU1036" s="1361" t="n"/>
      <c r="AV1036" s="1361" t="n"/>
      <c r="AW1036" s="1361" t="n"/>
      <c r="AX1036" s="1361">
        <f>AY1036</f>
        <v/>
      </c>
      <c r="AY1036" s="1379" t="n"/>
      <c r="AZ1036" s="1361" t="n"/>
      <c r="BA1036" s="1361" t="n"/>
      <c r="BB1036" s="1361" t="n"/>
      <c r="BC1036" s="1361">
        <f>BD1036</f>
        <v/>
      </c>
      <c r="BD1036" s="1379" t="n"/>
      <c r="BE1036" s="1361" t="n"/>
      <c r="BF1036" s="1361" t="n"/>
      <c r="BG1036" s="1361" t="n"/>
      <c r="BH1036" s="1361" t="n"/>
      <c r="BI1036" s="1379" t="n"/>
      <c r="BJ1036" s="1361" t="n"/>
      <c r="BK1036" s="1361" t="n"/>
      <c r="BL1036" s="1361" t="n"/>
      <c r="BM1036" s="1361" t="n"/>
      <c r="BN1036" s="1379" t="n"/>
      <c r="BO1036" s="1361" t="n"/>
      <c r="BP1036" s="1361" t="n"/>
      <c r="BQ1036" s="1363" t="n"/>
      <c r="BR1036" s="1361" t="n"/>
      <c r="BS1036" s="1379" t="n"/>
      <c r="BT1036" s="1361" t="n"/>
      <c r="BU1036" s="1361" t="n"/>
      <c r="BV1036" s="1361" t="n"/>
      <c r="BW1036" s="1361" t="n"/>
      <c r="BX1036" s="1379" t="n"/>
      <c r="BY1036" s="1379" t="n"/>
      <c r="BZ1036" s="1379" t="n"/>
      <c r="CA1036" s="1379" t="n"/>
      <c r="CB1036" s="1364" t="n"/>
    </row>
    <row r="1037" hidden="1" outlineLevel="1" ht="14.4" customFormat="1" customHeight="1" s="1359">
      <c r="A1037" s="1394" t="inlineStr">
        <is>
          <t>Proceeds from the maturity of available-for-sale securities</t>
        </is>
      </c>
      <c r="B1037" s="1512" t="n"/>
      <c r="C1037" s="1379" t="n"/>
      <c r="D1037" s="1379" t="n"/>
      <c r="E1037" s="1494" t="n">
        <v>0</v>
      </c>
      <c r="F1037" s="1494" t="n">
        <v>4.15</v>
      </c>
      <c r="G1037" s="1493" t="n">
        <v>8.699999999999999</v>
      </c>
      <c r="H1037" s="1493" t="n">
        <v>15.716</v>
      </c>
      <c r="I1037" s="1493" t="n">
        <v>30.506</v>
      </c>
      <c r="J1037" s="1493" t="n">
        <v>38.706</v>
      </c>
      <c r="K1037" s="1494" t="n">
        <v>38.706</v>
      </c>
      <c r="L1037" s="1493" t="n">
        <v>13.905</v>
      </c>
      <c r="M1037" s="1493" t="n">
        <v>23.799</v>
      </c>
      <c r="N1037" s="1493" t="n">
        <v>32.402</v>
      </c>
      <c r="O1037" s="1493" t="n">
        <v>46.612</v>
      </c>
      <c r="P1037" s="1494" t="n">
        <v>46.612</v>
      </c>
      <c r="Q1037" s="1493" t="n">
        <v>10.35</v>
      </c>
      <c r="R1037" s="1493" t="n">
        <v>15.6</v>
      </c>
      <c r="S1037" s="1493" t="n">
        <v>25.55</v>
      </c>
      <c r="T1037" s="1493" t="n">
        <v>31.316</v>
      </c>
      <c r="U1037" s="1494" t="n">
        <v>31.316</v>
      </c>
      <c r="V1037" s="1493" t="n">
        <v>19</v>
      </c>
      <c r="W1037" s="1493" t="n">
        <v>26.115</v>
      </c>
      <c r="X1037" s="1493" t="n">
        <v>52.362</v>
      </c>
      <c r="Y1037" s="1361">
        <f>Z1037</f>
        <v/>
      </c>
      <c r="Z1037" s="1494" t="n">
        <v>57.762</v>
      </c>
      <c r="AA1037" s="1361" t="n"/>
      <c r="AB1037" s="1361" t="n"/>
      <c r="AC1037" s="1361" t="n"/>
      <c r="AD1037" s="1361">
        <f>AE1037</f>
        <v/>
      </c>
      <c r="AE1037" s="1379" t="n"/>
      <c r="AF1037" s="1361" t="n"/>
      <c r="AG1037" s="1361" t="n"/>
      <c r="AH1037" s="1361" t="n"/>
      <c r="AI1037" s="1361">
        <f>AJ1037</f>
        <v/>
      </c>
      <c r="AJ1037" s="1379" t="n"/>
      <c r="AK1037" s="1361" t="n"/>
      <c r="AL1037" s="1361" t="n"/>
      <c r="AM1037" s="1361" t="n"/>
      <c r="AN1037" s="1361">
        <f>AO1037</f>
        <v/>
      </c>
      <c r="AO1037" s="1379" t="n"/>
      <c r="AP1037" s="1361" t="n"/>
      <c r="AQ1037" s="1361" t="n"/>
      <c r="AR1037" s="1361" t="n"/>
      <c r="AS1037" s="1361">
        <f>AT1037</f>
        <v/>
      </c>
      <c r="AT1037" s="1379" t="n"/>
      <c r="AU1037" s="1361" t="n"/>
      <c r="AV1037" s="1361" t="n"/>
      <c r="AW1037" s="1361" t="n"/>
      <c r="AX1037" s="1361">
        <f>AY1037</f>
        <v/>
      </c>
      <c r="AY1037" s="1379" t="n"/>
      <c r="AZ1037" s="1361" t="n"/>
      <c r="BA1037" s="1361" t="n"/>
      <c r="BB1037" s="1361" t="n"/>
      <c r="BC1037" s="1361">
        <f>BD1037</f>
        <v/>
      </c>
      <c r="BD1037" s="1379" t="n"/>
      <c r="BE1037" s="1361" t="n"/>
      <c r="BF1037" s="1361" t="n"/>
      <c r="BG1037" s="1361" t="n"/>
      <c r="BH1037" s="1361" t="n"/>
      <c r="BI1037" s="1379" t="n"/>
      <c r="BJ1037" s="1361" t="n"/>
      <c r="BK1037" s="1361" t="n"/>
      <c r="BL1037" s="1361" t="n"/>
      <c r="BM1037" s="1361" t="n"/>
      <c r="BN1037" s="1379" t="n"/>
      <c r="BO1037" s="1361" t="n"/>
      <c r="BP1037" s="1361" t="n"/>
      <c r="BQ1037" s="1363" t="n"/>
      <c r="BR1037" s="1361" t="n"/>
      <c r="BS1037" s="1379" t="n"/>
      <c r="BT1037" s="1361" t="n"/>
      <c r="BU1037" s="1361" t="n"/>
      <c r="BV1037" s="1361" t="n"/>
      <c r="BW1037" s="1361" t="n"/>
      <c r="BX1037" s="1379" t="n"/>
      <c r="BY1037" s="1379" t="n"/>
      <c r="BZ1037" s="1379" t="n"/>
      <c r="CA1037" s="1379" t="n"/>
      <c r="CB1037" s="1364" t="n"/>
    </row>
    <row r="1038" hidden="1" outlineLevel="1" ht="14.4" customFormat="1" customHeight="1" s="1359">
      <c r="A1038" s="1394" t="inlineStr">
        <is>
          <t>Proceeds from the sale of short-term investments</t>
        </is>
      </c>
      <c r="B1038" s="1512" t="n"/>
      <c r="C1038" s="1379" t="n"/>
      <c r="D1038" s="1494" t="n">
        <v>0.317</v>
      </c>
      <c r="E1038" s="1494" t="n">
        <v>0</v>
      </c>
      <c r="F1038" s="1379" t="n"/>
      <c r="G1038" s="1361" t="n"/>
      <c r="H1038" s="1361" t="n"/>
      <c r="I1038" s="1361" t="n"/>
      <c r="J1038" s="1493" t="n">
        <v>0</v>
      </c>
      <c r="K1038" s="1379" t="n"/>
      <c r="L1038" s="1361" t="n"/>
      <c r="M1038" s="1361" t="n"/>
      <c r="N1038" s="1361" t="n"/>
      <c r="O1038" s="1493" t="n">
        <v>0</v>
      </c>
      <c r="P1038" s="1379" t="n"/>
      <c r="Q1038" s="1361" t="n"/>
      <c r="R1038" s="1361" t="n"/>
      <c r="S1038" s="1361" t="n"/>
      <c r="T1038" s="1493" t="n">
        <v>0</v>
      </c>
      <c r="U1038" s="1379" t="n"/>
      <c r="V1038" s="1361" t="n"/>
      <c r="W1038" s="1361" t="n"/>
      <c r="X1038" s="1361" t="n"/>
      <c r="Y1038" s="1361">
        <f>Z1038</f>
        <v/>
      </c>
      <c r="Z1038" s="1379" t="n"/>
      <c r="AA1038" s="1361" t="n"/>
      <c r="AB1038" s="1361" t="n"/>
      <c r="AC1038" s="1361" t="n"/>
      <c r="AD1038" s="1361">
        <f>AE1038</f>
        <v/>
      </c>
      <c r="AE1038" s="1379" t="n"/>
      <c r="AF1038" s="1361" t="n"/>
      <c r="AG1038" s="1361" t="n"/>
      <c r="AH1038" s="1361" t="n"/>
      <c r="AI1038" s="1361">
        <f>AJ1038</f>
        <v/>
      </c>
      <c r="AJ1038" s="1379" t="n"/>
      <c r="AK1038" s="1361" t="n"/>
      <c r="AL1038" s="1361" t="n"/>
      <c r="AM1038" s="1361" t="n"/>
      <c r="AN1038" s="1361">
        <f>AO1038</f>
        <v/>
      </c>
      <c r="AO1038" s="1379" t="n"/>
      <c r="AP1038" s="1361" t="n"/>
      <c r="AQ1038" s="1361" t="n"/>
      <c r="AR1038" s="1361" t="n"/>
      <c r="AS1038" s="1361">
        <f>AT1038</f>
        <v/>
      </c>
      <c r="AT1038" s="1379" t="n"/>
      <c r="AU1038" s="1361" t="n"/>
      <c r="AV1038" s="1361" t="n"/>
      <c r="AW1038" s="1361" t="n"/>
      <c r="AX1038" s="1361">
        <f>AY1038</f>
        <v/>
      </c>
      <c r="AY1038" s="1379" t="n"/>
      <c r="AZ1038" s="1361" t="n"/>
      <c r="BA1038" s="1361" t="n"/>
      <c r="BB1038" s="1361" t="n"/>
      <c r="BC1038" s="1361">
        <f>BD1038</f>
        <v/>
      </c>
      <c r="BD1038" s="1379" t="n"/>
      <c r="BE1038" s="1361" t="n"/>
      <c r="BF1038" s="1361" t="n"/>
      <c r="BG1038" s="1361" t="n"/>
      <c r="BH1038" s="1361" t="n"/>
      <c r="BI1038" s="1379" t="n"/>
      <c r="BJ1038" s="1361" t="n"/>
      <c r="BK1038" s="1361" t="n"/>
      <c r="BL1038" s="1361" t="n"/>
      <c r="BM1038" s="1361" t="n"/>
      <c r="BN1038" s="1379" t="n"/>
      <c r="BO1038" s="1361" t="n"/>
      <c r="BP1038" s="1361" t="n"/>
      <c r="BQ1038" s="1363" t="n"/>
      <c r="BR1038" s="1361" t="n"/>
      <c r="BS1038" s="1379" t="n"/>
      <c r="BT1038" s="1361" t="n"/>
      <c r="BU1038" s="1361" t="n"/>
      <c r="BV1038" s="1361" t="n"/>
      <c r="BW1038" s="1361" t="n"/>
      <c r="BX1038" s="1379" t="n"/>
      <c r="BY1038" s="1379" t="n"/>
      <c r="BZ1038" s="1379" t="n"/>
      <c r="CA1038" s="1379" t="n"/>
      <c r="CB1038" s="1364" t="n"/>
    </row>
    <row r="1039" hidden="1" outlineLevel="1" ht="14.4" customFormat="1" customHeight="1" s="1359">
      <c r="A1039" s="1394" t="inlineStr">
        <is>
          <t>Proceeds from the sale of long-term investments</t>
        </is>
      </c>
      <c r="B1039" s="1512" t="n"/>
      <c r="C1039" s="1379" t="n"/>
      <c r="D1039" s="1494" t="n">
        <v>10.276</v>
      </c>
      <c r="E1039" s="1494" t="n">
        <v>9.791</v>
      </c>
      <c r="F1039" s="1494" t="n">
        <v>0.074</v>
      </c>
      <c r="G1039" s="1493" t="n">
        <v>6.102</v>
      </c>
      <c r="H1039" s="1493" t="n">
        <v>6.102</v>
      </c>
      <c r="I1039" s="1493" t="n">
        <v>6.2</v>
      </c>
      <c r="J1039" s="1493" t="n">
        <v>6.234</v>
      </c>
      <c r="K1039" s="1494" t="n">
        <v>6.234</v>
      </c>
      <c r="L1039" s="1493" t="n">
        <v>0</v>
      </c>
      <c r="M1039" s="1493" t="n">
        <v>0</v>
      </c>
      <c r="N1039" s="1493" t="n">
        <v>0</v>
      </c>
      <c r="O1039" s="1493" t="n">
        <v>1.085</v>
      </c>
      <c r="P1039" s="1494" t="n">
        <v>1.085</v>
      </c>
      <c r="Q1039" s="1493" t="n">
        <v>1.364</v>
      </c>
      <c r="R1039" s="1493" t="n">
        <v>2.293</v>
      </c>
      <c r="S1039" s="1493" t="n">
        <v>4.51</v>
      </c>
      <c r="T1039" s="1493" t="n">
        <v>4.57</v>
      </c>
      <c r="U1039" s="1494" t="n">
        <v>4.57</v>
      </c>
      <c r="V1039" s="1493" t="n">
        <v>2.583</v>
      </c>
      <c r="W1039" s="1493" t="n">
        <v>2.583</v>
      </c>
      <c r="X1039" s="1493" t="n">
        <v>2.913</v>
      </c>
      <c r="Y1039" s="1361">
        <f>Z1039</f>
        <v/>
      </c>
      <c r="Z1039" s="1494" t="n">
        <v>2.917</v>
      </c>
      <c r="AA1039" s="1361" t="n"/>
      <c r="AB1039" s="1361" t="n"/>
      <c r="AC1039" s="1493" t="n">
        <v>9.108000000000001</v>
      </c>
      <c r="AD1039" s="1361">
        <f>AE1039</f>
        <v/>
      </c>
      <c r="AE1039" s="1494" t="n">
        <v>9.108000000000001</v>
      </c>
      <c r="AF1039" s="1361" t="n"/>
      <c r="AG1039" s="1361" t="n"/>
      <c r="AH1039" s="1361" t="n"/>
      <c r="AI1039" s="1361">
        <f>AJ1039</f>
        <v/>
      </c>
      <c r="AJ1039" s="1494" t="n">
        <v>3.497</v>
      </c>
      <c r="AK1039" s="1361" t="n"/>
      <c r="AL1039" s="1361" t="n"/>
      <c r="AM1039" s="1361" t="n"/>
      <c r="AN1039" s="1361">
        <f>AO1039</f>
        <v/>
      </c>
      <c r="AO1039" s="1379" t="n"/>
      <c r="AP1039" s="1361" t="n"/>
      <c r="AQ1039" s="1361" t="n"/>
      <c r="AR1039" s="1361" t="n"/>
      <c r="AS1039" s="1361">
        <f>AT1039</f>
        <v/>
      </c>
      <c r="AT1039" s="1379" t="n"/>
      <c r="AU1039" s="1361" t="n"/>
      <c r="AV1039" s="1361" t="n"/>
      <c r="AW1039" s="1361" t="n"/>
      <c r="AX1039" s="1361">
        <f>AY1039</f>
        <v/>
      </c>
      <c r="AY1039" s="1379" t="n"/>
      <c r="AZ1039" s="1361" t="n"/>
      <c r="BA1039" s="1361" t="n"/>
      <c r="BB1039" s="1361" t="n"/>
      <c r="BC1039" s="1361">
        <f>BD1039</f>
        <v/>
      </c>
      <c r="BD1039" s="1379" t="n"/>
      <c r="BE1039" s="1361" t="n"/>
      <c r="BF1039" s="1361" t="n"/>
      <c r="BG1039" s="1361" t="n"/>
      <c r="BH1039" s="1361" t="n"/>
      <c r="BI1039" s="1379" t="n"/>
      <c r="BJ1039" s="1361" t="n"/>
      <c r="BK1039" s="1361" t="n"/>
      <c r="BL1039" s="1361" t="n"/>
      <c r="BM1039" s="1361" t="n"/>
      <c r="BN1039" s="1379" t="n"/>
      <c r="BO1039" s="1361" t="n"/>
      <c r="BP1039" s="1361" t="n"/>
      <c r="BQ1039" s="1363" t="n"/>
      <c r="BR1039" s="1361" t="n"/>
      <c r="BS1039" s="1379" t="n"/>
      <c r="BT1039" s="1361" t="n"/>
      <c r="BU1039" s="1361" t="n"/>
      <c r="BV1039" s="1361" t="n"/>
      <c r="BW1039" s="1361" t="n"/>
      <c r="BX1039" s="1379" t="n"/>
      <c r="BY1039" s="1379" t="n"/>
      <c r="BZ1039" s="1379" t="n"/>
      <c r="CA1039" s="1379" t="n"/>
      <c r="CB1039" s="1364" t="n"/>
    </row>
    <row r="1040" hidden="1" outlineLevel="1" ht="14.4" customFormat="1" customHeight="1" s="1359">
      <c r="A1040" s="1394" t="inlineStr">
        <is>
          <t>Proceeds from the sale of property, plant and equipment</t>
        </is>
      </c>
      <c r="B1040" s="1512" t="n"/>
      <c r="C1040" s="1494" t="n">
        <v>3.864</v>
      </c>
      <c r="D1040" s="1494" t="n">
        <v>0.9</v>
      </c>
      <c r="E1040" s="1494" t="n">
        <v>0</v>
      </c>
      <c r="F1040" s="1379" t="n"/>
      <c r="G1040" s="1361" t="n"/>
      <c r="H1040" s="1361" t="n"/>
      <c r="I1040" s="1361" t="n"/>
      <c r="J1040" s="1493" t="n">
        <v>0</v>
      </c>
      <c r="K1040" s="1379" t="n"/>
      <c r="L1040" s="1361" t="n"/>
      <c r="M1040" s="1361" t="n"/>
      <c r="N1040" s="1361" t="n"/>
      <c r="O1040" s="1493" t="n">
        <v>0</v>
      </c>
      <c r="P1040" s="1379" t="n"/>
      <c r="Q1040" s="1361" t="n"/>
      <c r="R1040" s="1361" t="n"/>
      <c r="S1040" s="1361" t="n"/>
      <c r="T1040" s="1493" t="n">
        <v>0</v>
      </c>
      <c r="U1040" s="1379" t="n"/>
      <c r="V1040" s="1361" t="n"/>
      <c r="W1040" s="1361" t="n"/>
      <c r="X1040" s="1493" t="n">
        <v>0.482</v>
      </c>
      <c r="Y1040" s="1361">
        <f>Z1040</f>
        <v/>
      </c>
      <c r="Z1040" s="1494" t="n">
        <v>0.923</v>
      </c>
      <c r="AA1040" s="1361" t="n"/>
      <c r="AB1040" s="1361" t="n"/>
      <c r="AC1040" s="1361" t="n"/>
      <c r="AD1040" s="1361">
        <f>AE1040</f>
        <v/>
      </c>
      <c r="AE1040" s="1379" t="n"/>
      <c r="AF1040" s="1361" t="n"/>
      <c r="AG1040" s="1361" t="n"/>
      <c r="AH1040" s="1361" t="n"/>
      <c r="AI1040" s="1361">
        <f>AJ1040</f>
        <v/>
      </c>
      <c r="AJ1040" s="1379" t="n"/>
      <c r="AK1040" s="1361" t="n"/>
      <c r="AL1040" s="1361" t="n"/>
      <c r="AM1040" s="1361" t="n"/>
      <c r="AN1040" s="1361">
        <f>AO1040</f>
        <v/>
      </c>
      <c r="AO1040" s="1379" t="n"/>
      <c r="AP1040" s="1361" t="n"/>
      <c r="AQ1040" s="1361" t="n"/>
      <c r="AR1040" s="1361" t="n"/>
      <c r="AS1040" s="1361">
        <f>AT1040</f>
        <v/>
      </c>
      <c r="AT1040" s="1379" t="n"/>
      <c r="AU1040" s="1361" t="n"/>
      <c r="AV1040" s="1361" t="n"/>
      <c r="AW1040" s="1361" t="n"/>
      <c r="AX1040" s="1361">
        <f>AY1040</f>
        <v/>
      </c>
      <c r="AY1040" s="1379" t="n"/>
      <c r="AZ1040" s="1361" t="n"/>
      <c r="BA1040" s="1361" t="n"/>
      <c r="BB1040" s="1361" t="n"/>
      <c r="BC1040" s="1361">
        <f>BD1040</f>
        <v/>
      </c>
      <c r="BD1040" s="1379" t="n"/>
      <c r="BE1040" s="1361" t="n"/>
      <c r="BF1040" s="1361" t="n"/>
      <c r="BG1040" s="1361" t="n"/>
      <c r="BH1040" s="1361" t="n"/>
      <c r="BI1040" s="1379" t="n"/>
      <c r="BJ1040" s="1361" t="n"/>
      <c r="BK1040" s="1361" t="n"/>
      <c r="BL1040" s="1361" t="n"/>
      <c r="BM1040" s="1361" t="n"/>
      <c r="BN1040" s="1379" t="n"/>
      <c r="BO1040" s="1361" t="n"/>
      <c r="BP1040" s="1361" t="n"/>
      <c r="BQ1040" s="1363" t="n"/>
      <c r="BR1040" s="1361" t="n"/>
      <c r="BS1040" s="1379" t="n"/>
      <c r="BT1040" s="1361" t="n"/>
      <c r="BU1040" s="1361" t="n"/>
      <c r="BV1040" s="1361" t="n"/>
      <c r="BW1040" s="1361" t="n"/>
      <c r="BX1040" s="1379" t="n"/>
      <c r="BY1040" s="1379" t="n"/>
      <c r="BZ1040" s="1379" t="n"/>
      <c r="CA1040" s="1379" t="n"/>
      <c r="CB1040" s="1364" t="n"/>
    </row>
    <row r="1041" hidden="1" outlineLevel="1" ht="14.4" customFormat="1" customHeight="1" s="1359">
      <c r="A1041" s="1394" t="inlineStr">
        <is>
          <t>Purchases of non-marketable investments</t>
        </is>
      </c>
      <c r="B1041" s="1512" t="n"/>
      <c r="C1041" s="1379" t="n"/>
      <c r="D1041" s="1379" t="n"/>
      <c r="E1041" s="1379" t="n"/>
      <c r="F1041" s="1379" t="n"/>
      <c r="G1041" s="1361" t="n"/>
      <c r="H1041" s="1361" t="n"/>
      <c r="I1041" s="1361" t="n"/>
      <c r="J1041" s="1361" t="n"/>
      <c r="K1041" s="1379" t="n"/>
      <c r="L1041" s="1361" t="n"/>
      <c r="M1041" s="1361" t="n"/>
      <c r="N1041" s="1361" t="n"/>
      <c r="O1041" s="1361" t="n"/>
      <c r="P1041" s="1379" t="n"/>
      <c r="Q1041" s="1361" t="n"/>
      <c r="R1041" s="1361" t="n"/>
      <c r="S1041" s="1361" t="n"/>
      <c r="T1041" s="1361" t="n"/>
      <c r="U1041" s="1379" t="n"/>
      <c r="V1041" s="1361" t="n"/>
      <c r="W1041" s="1361" t="n"/>
      <c r="X1041" s="1361" t="n"/>
      <c r="Y1041" s="1361" t="n"/>
      <c r="Z1041" s="1379" t="n"/>
      <c r="AA1041" s="1361" t="n"/>
      <c r="AB1041" s="1361" t="n"/>
      <c r="AC1041" s="1361" t="n"/>
      <c r="AD1041" s="1361" t="n"/>
      <c r="AE1041" s="1379" t="n"/>
      <c r="AF1041" s="1361" t="n"/>
      <c r="AG1041" s="1361" t="n"/>
      <c r="AH1041" s="1361" t="n"/>
      <c r="AI1041" s="1361">
        <f>AJ1041</f>
        <v/>
      </c>
      <c r="AJ1041" s="1494" t="n">
        <v>-115.839</v>
      </c>
      <c r="AK1041" s="1493" t="n">
        <v>-33.664</v>
      </c>
      <c r="AL1041" s="1493" t="n">
        <v>-33.717</v>
      </c>
      <c r="AM1041" s="1493" t="n">
        <v>-33.717</v>
      </c>
      <c r="AN1041" s="1361">
        <f>AO1041</f>
        <v/>
      </c>
      <c r="AO1041" s="1494" t="n">
        <v>-33.717</v>
      </c>
      <c r="AP1041" s="1493" t="n">
        <v>0</v>
      </c>
      <c r="AQ1041" s="1493" t="n">
        <v>0</v>
      </c>
      <c r="AR1041" s="1361" t="n"/>
      <c r="AS1041" s="1361">
        <f>AT1041</f>
        <v/>
      </c>
      <c r="AT1041" s="1379" t="n"/>
      <c r="AU1041" s="1361" t="n"/>
      <c r="AV1041" s="1361" t="n"/>
      <c r="AW1041" s="1361" t="n"/>
      <c r="AX1041" s="1361">
        <f>AY1041</f>
        <v/>
      </c>
      <c r="AY1041" s="1379" t="n"/>
      <c r="AZ1041" s="1493" t="n">
        <v>-1</v>
      </c>
      <c r="BA1041" s="1493" t="n">
        <v>-1</v>
      </c>
      <c r="BB1041" s="1493" t="n">
        <v>-1</v>
      </c>
      <c r="BC1041" s="1361">
        <f>BD1041</f>
        <v/>
      </c>
      <c r="BD1041" s="1494" t="n">
        <v>-1</v>
      </c>
      <c r="BE1041" s="1493" t="n">
        <v>-9.055</v>
      </c>
      <c r="BF1041" s="1493" t="n">
        <v>-29.212</v>
      </c>
      <c r="BG1041" s="1493" t="n">
        <v>-145.15</v>
      </c>
      <c r="BH1041" s="1361">
        <f>BI1041</f>
        <v/>
      </c>
      <c r="BI1041" s="1494" t="n">
        <v>-176.17</v>
      </c>
      <c r="BJ1041" s="1493" t="n">
        <v>-2.095</v>
      </c>
      <c r="BK1041" s="1493" t="n">
        <v>-2.095</v>
      </c>
      <c r="BL1041" s="1493" t="n">
        <v>-2.095</v>
      </c>
      <c r="BM1041" s="1361">
        <f>BN1041</f>
        <v/>
      </c>
      <c r="BN1041" s="1494" t="n">
        <v>-4.982</v>
      </c>
      <c r="BO1041" s="1493" t="n">
        <v>-11.469</v>
      </c>
      <c r="BP1041" s="1493" t="n">
        <v>-21.596</v>
      </c>
      <c r="BQ1041" s="1502" t="n">
        <v>-35.182</v>
      </c>
      <c r="BR1041" s="1361" t="n"/>
      <c r="BS1041" s="1379" t="n"/>
      <c r="BT1041" s="1361" t="n"/>
      <c r="BU1041" s="1361" t="n"/>
      <c r="BV1041" s="1361" t="n"/>
      <c r="BW1041" s="1361" t="n"/>
      <c r="BX1041" s="1379" t="n"/>
      <c r="BY1041" s="1379" t="n"/>
      <c r="BZ1041" s="1379" t="n"/>
      <c r="CA1041" s="1379" t="n"/>
      <c r="CB1041" s="1364" t="n"/>
    </row>
    <row r="1042" hidden="1" outlineLevel="1" ht="14.4" customFormat="1" customHeight="1" s="1359">
      <c r="A1042" s="1394" t="inlineStr">
        <is>
          <t>Proceeds from the sale of non-marketable investments</t>
        </is>
      </c>
      <c r="B1042" s="1512" t="n"/>
      <c r="C1042" s="1379" t="n"/>
      <c r="D1042" s="1379" t="n"/>
      <c r="E1042" s="1379" t="n"/>
      <c r="F1042" s="1379" t="n"/>
      <c r="G1042" s="1361" t="n"/>
      <c r="H1042" s="1361" t="n"/>
      <c r="I1042" s="1361" t="n"/>
      <c r="J1042" s="1361" t="n"/>
      <c r="K1042" s="1379" t="n"/>
      <c r="L1042" s="1361" t="n"/>
      <c r="M1042" s="1361" t="n"/>
      <c r="N1042" s="1361" t="n"/>
      <c r="O1042" s="1361" t="n"/>
      <c r="P1042" s="1379" t="n"/>
      <c r="Q1042" s="1361" t="n"/>
      <c r="R1042" s="1361" t="n"/>
      <c r="S1042" s="1361" t="n"/>
      <c r="T1042" s="1361" t="n"/>
      <c r="U1042" s="1379" t="n"/>
      <c r="V1042" s="1361" t="n"/>
      <c r="W1042" s="1361" t="n"/>
      <c r="X1042" s="1361" t="n"/>
      <c r="Y1042" s="1361" t="n"/>
      <c r="Z1042" s="1379" t="n"/>
      <c r="AA1042" s="1361" t="n"/>
      <c r="AB1042" s="1361" t="n"/>
      <c r="AC1042" s="1361" t="n"/>
      <c r="AD1042" s="1361" t="n"/>
      <c r="AE1042" s="1379" t="n"/>
      <c r="AF1042" s="1361" t="n"/>
      <c r="AG1042" s="1361" t="n"/>
      <c r="AH1042" s="1361" t="n"/>
      <c r="AI1042" s="1361" t="n"/>
      <c r="AJ1042" s="1379" t="n"/>
      <c r="AK1042" s="1493" t="n">
        <v>2.952</v>
      </c>
      <c r="AL1042" s="1493" t="n">
        <v>2.952</v>
      </c>
      <c r="AM1042" s="1493" t="n">
        <v>2.952</v>
      </c>
      <c r="AN1042" s="1361">
        <f>AO1042</f>
        <v/>
      </c>
      <c r="AO1042" s="1494" t="n">
        <v>2.952</v>
      </c>
      <c r="AP1042" s="1493" t="n">
        <v>0</v>
      </c>
      <c r="AQ1042" s="1493" t="n">
        <v>0</v>
      </c>
      <c r="AR1042" s="1361" t="n"/>
      <c r="AS1042" s="1361">
        <f>AT1042</f>
        <v/>
      </c>
      <c r="AT1042" s="1494" t="n">
        <v>0.217</v>
      </c>
      <c r="AU1042" s="1361" t="n"/>
      <c r="AV1042" s="1361" t="n"/>
      <c r="AW1042" s="1493" t="n">
        <v>0.128</v>
      </c>
      <c r="AX1042" s="1361">
        <f>AY1042</f>
        <v/>
      </c>
      <c r="AY1042" s="1494" t="n">
        <v>0.128</v>
      </c>
      <c r="AZ1042" s="1361" t="n"/>
      <c r="BA1042" s="1361" t="n"/>
      <c r="BB1042" s="1361" t="n"/>
      <c r="BC1042" s="1361">
        <f>BD1042</f>
        <v/>
      </c>
      <c r="BD1042" s="1494" t="n">
        <v>0.366</v>
      </c>
      <c r="BE1042" s="1493" t="n">
        <v>0.102</v>
      </c>
      <c r="BF1042" s="1493" t="n">
        <v>1.505</v>
      </c>
      <c r="BG1042" s="1493" t="n">
        <v>64.17400000000001</v>
      </c>
      <c r="BH1042" s="1361">
        <f>BI1042</f>
        <v/>
      </c>
      <c r="BI1042" s="1494" t="n">
        <v>64.77500000000001</v>
      </c>
      <c r="BJ1042" s="1493" t="n">
        <v>43.377</v>
      </c>
      <c r="BK1042" s="1493" t="n">
        <v>43.864</v>
      </c>
      <c r="BL1042" s="1493" t="n">
        <v>45.656</v>
      </c>
      <c r="BM1042" s="1361">
        <f>BN1042</f>
        <v/>
      </c>
      <c r="BN1042" s="1494" t="n">
        <v>47.98</v>
      </c>
      <c r="BO1042" s="1493" t="n">
        <v>1.246</v>
      </c>
      <c r="BP1042" s="1493" t="n">
        <v>1.989</v>
      </c>
      <c r="BQ1042" s="1502" t="n">
        <v>3.493</v>
      </c>
      <c r="BR1042" s="1361" t="n"/>
      <c r="BS1042" s="1379" t="n"/>
      <c r="BT1042" s="1361" t="n"/>
      <c r="BU1042" s="1361" t="n"/>
      <c r="BV1042" s="1361" t="n"/>
      <c r="BW1042" s="1361" t="n"/>
      <c r="BX1042" s="1379" t="n"/>
      <c r="BY1042" s="1379" t="n"/>
      <c r="BZ1042" s="1379" t="n"/>
      <c r="CA1042" s="1379" t="n"/>
      <c r="CB1042" s="1364" t="n"/>
    </row>
    <row r="1043" hidden="1" outlineLevel="1" ht="14.4" customFormat="1" customHeight="1" s="1359">
      <c r="A1043" s="1394" t="inlineStr">
        <is>
          <t>Proceeds from the sale of IP and other assets</t>
        </is>
      </c>
      <c r="B1043" s="1512" t="n"/>
      <c r="C1043" s="1379" t="n"/>
      <c r="D1043" s="1379" t="n"/>
      <c r="E1043" s="1379" t="n"/>
      <c r="F1043" s="1379" t="n"/>
      <c r="G1043" s="1361" t="n"/>
      <c r="H1043" s="1361" t="n"/>
      <c r="I1043" s="1361" t="n"/>
      <c r="J1043" s="1361" t="n"/>
      <c r="K1043" s="1379" t="n"/>
      <c r="L1043" s="1361" t="n"/>
      <c r="M1043" s="1361" t="n"/>
      <c r="N1043" s="1361" t="n"/>
      <c r="O1043" s="1361" t="n"/>
      <c r="P1043" s="1379" t="n"/>
      <c r="Q1043" s="1361" t="n"/>
      <c r="R1043" s="1361" t="n"/>
      <c r="S1043" s="1361" t="n"/>
      <c r="T1043" s="1361" t="n"/>
      <c r="U1043" s="1379" t="n"/>
      <c r="V1043" s="1361" t="n"/>
      <c r="W1043" s="1361" t="n"/>
      <c r="X1043" s="1361" t="n"/>
      <c r="Y1043" s="1361">
        <f>Z1043</f>
        <v/>
      </c>
      <c r="Z1043" s="1379" t="n"/>
      <c r="AA1043" s="1361" t="n"/>
      <c r="AB1043" s="1361" t="n"/>
      <c r="AC1043" s="1361" t="n"/>
      <c r="AD1043" s="1361">
        <f>AE1043</f>
        <v/>
      </c>
      <c r="AE1043" s="1379" t="n"/>
      <c r="AF1043" s="1361" t="n"/>
      <c r="AG1043" s="1361" t="n"/>
      <c r="AH1043" s="1361" t="n"/>
      <c r="AI1043" s="1361">
        <f>AJ1043</f>
        <v/>
      </c>
      <c r="AJ1043" s="1379" t="n"/>
      <c r="AK1043" s="1361" t="n"/>
      <c r="AL1043" s="1361" t="n"/>
      <c r="AM1043" s="1361" t="n"/>
      <c r="AN1043" s="1361">
        <f>AO1043</f>
        <v/>
      </c>
      <c r="AO1043" s="1379" t="n"/>
      <c r="AP1043" s="1361" t="n"/>
      <c r="AQ1043" s="1361" t="n"/>
      <c r="AR1043" s="1361" t="n"/>
      <c r="AS1043" s="1361">
        <f>AT1043</f>
        <v/>
      </c>
      <c r="AT1043" s="1379" t="n"/>
      <c r="AU1043" s="1361" t="n"/>
      <c r="AV1043" s="1361" t="n"/>
      <c r="AW1043" s="1361" t="n"/>
      <c r="AX1043" s="1361">
        <f>AY1043</f>
        <v/>
      </c>
      <c r="AY1043" s="1379" t="n"/>
      <c r="AZ1043" s="1361" t="n"/>
      <c r="BA1043" s="1361" t="n"/>
      <c r="BB1043" s="1361" t="n"/>
      <c r="BC1043" s="1361">
        <f>BD1043</f>
        <v/>
      </c>
      <c r="BD1043" s="1379" t="n"/>
      <c r="BE1043" s="1361" t="n"/>
      <c r="BF1043" s="1361" t="n"/>
      <c r="BG1043" s="1361" t="n"/>
      <c r="BH1043" s="1361">
        <f>BI1043</f>
        <v/>
      </c>
      <c r="BI1043" s="1379" t="n"/>
      <c r="BJ1043" s="1361" t="n"/>
      <c r="BK1043" s="1361" t="n"/>
      <c r="BL1043" s="1361" t="n"/>
      <c r="BM1043" s="1361">
        <f>BN1043</f>
        <v/>
      </c>
      <c r="BN1043" s="1379" t="n"/>
      <c r="BO1043" s="1493" t="n">
        <v>11.5</v>
      </c>
      <c r="BP1043" s="1493" t="n">
        <v>11.5</v>
      </c>
      <c r="BQ1043" s="1502" t="n">
        <v>11.5</v>
      </c>
      <c r="BR1043" s="1361" t="n"/>
      <c r="BS1043" s="1379" t="n"/>
      <c r="BT1043" s="1361" t="n"/>
      <c r="BU1043" s="1361" t="n"/>
      <c r="BV1043" s="1361" t="n"/>
      <c r="BW1043" s="1361" t="n"/>
      <c r="BX1043" s="1379" t="n"/>
      <c r="BY1043" s="1379" t="n"/>
      <c r="BZ1043" s="1379" t="n"/>
      <c r="CA1043" s="1379" t="n"/>
      <c r="CB1043" s="1364" t="n"/>
    </row>
    <row r="1044" hidden="1" outlineLevel="1" ht="14.4" customFormat="1" customHeight="1" s="1359">
      <c r="A1044" s="1394" t="inlineStr">
        <is>
          <t>Purchases of property, plant and equipment</t>
        </is>
      </c>
      <c r="B1044" s="1512" t="n"/>
      <c r="C1044" s="1494" t="n">
        <v>-41.308</v>
      </c>
      <c r="D1044" s="1494" t="n">
        <v>-34.782</v>
      </c>
      <c r="E1044" s="1494" t="n">
        <v>-31.421</v>
      </c>
      <c r="F1044" s="1494" t="n">
        <v>-35.966</v>
      </c>
      <c r="G1044" s="1493" t="n">
        <v>-6.569</v>
      </c>
      <c r="H1044" s="1493" t="n">
        <v>-23.739</v>
      </c>
      <c r="I1044" s="1493" t="n">
        <v>-35.95</v>
      </c>
      <c r="J1044" s="1493" t="n">
        <v>-44.929</v>
      </c>
      <c r="K1044" s="1494" t="n">
        <v>-44.929</v>
      </c>
      <c r="L1044" s="1493" t="n">
        <v>-6.252</v>
      </c>
      <c r="M1044" s="1493" t="n">
        <v>-17.715</v>
      </c>
      <c r="N1044" s="1493" t="n">
        <v>-27.958</v>
      </c>
      <c r="O1044" s="1493" t="n">
        <v>-39.81</v>
      </c>
      <c r="P1044" s="1494" t="n">
        <v>-39.81</v>
      </c>
      <c r="Q1044" s="1493" t="n">
        <v>-7.52</v>
      </c>
      <c r="R1044" s="1493" t="n">
        <v>-24.067</v>
      </c>
      <c r="S1044" s="1493" t="n">
        <v>-34.093</v>
      </c>
      <c r="T1044" s="1493" t="n">
        <v>-44.808</v>
      </c>
      <c r="U1044" s="1494" t="n">
        <v>-44.808</v>
      </c>
      <c r="V1044" s="1493" t="n">
        <v>-12.116</v>
      </c>
      <c r="W1044" s="1493" t="n">
        <v>-28.287</v>
      </c>
      <c r="X1044" s="1493" t="n">
        <v>-42.452</v>
      </c>
      <c r="Y1044" s="1361">
        <f>Z1044</f>
        <v/>
      </c>
      <c r="Z1044" s="1494" t="n">
        <v>-53.712</v>
      </c>
      <c r="AA1044" s="1493" t="n">
        <v>-14.843</v>
      </c>
      <c r="AB1044" s="1493" t="n">
        <v>-27.488</v>
      </c>
      <c r="AC1044" s="1493" t="n">
        <v>-39.676</v>
      </c>
      <c r="AD1044" s="1361">
        <f>AE1044</f>
        <v/>
      </c>
      <c r="AE1044" s="1494" t="n">
        <v>-57.901</v>
      </c>
      <c r="AF1044" s="1493" t="n">
        <v>-13.128</v>
      </c>
      <c r="AG1044" s="1493" t="n">
        <v>-31.105</v>
      </c>
      <c r="AH1044" s="1493" t="n">
        <v>-41.761</v>
      </c>
      <c r="AI1044" s="1361">
        <f>AJ1044</f>
        <v/>
      </c>
      <c r="AJ1044" s="1494" t="n">
        <v>-61.503</v>
      </c>
      <c r="AK1044" s="1493" t="n">
        <v>-15.275</v>
      </c>
      <c r="AL1044" s="1493" t="n">
        <v>-30.562</v>
      </c>
      <c r="AM1044" s="1493" t="n">
        <v>-47.527</v>
      </c>
      <c r="AN1044" s="1361">
        <f>AO1044</f>
        <v/>
      </c>
      <c r="AO1044" s="1494" t="n">
        <v>-74.605</v>
      </c>
      <c r="AP1044" s="1493" t="n">
        <v>-22.179</v>
      </c>
      <c r="AQ1044" s="1493" t="n">
        <v>-43.535</v>
      </c>
      <c r="AR1044" s="1493" t="n">
        <v>-63.745</v>
      </c>
      <c r="AS1044" s="1361">
        <f>AT1044</f>
        <v/>
      </c>
      <c r="AT1044" s="1494" t="n">
        <v>-94.813</v>
      </c>
      <c r="AU1044" s="1493" t="n">
        <v>-16.968</v>
      </c>
      <c r="AV1044" s="1493" t="n">
        <v>-31.139</v>
      </c>
      <c r="AW1044" s="1493" t="n">
        <v>-49.977</v>
      </c>
      <c r="AX1044" s="1361">
        <f>AY1044</f>
        <v/>
      </c>
      <c r="AY1044" s="1494" t="n">
        <v>-65.298</v>
      </c>
      <c r="AZ1044" s="1493" t="n">
        <v>-18.13</v>
      </c>
      <c r="BA1044" s="1493" t="n">
        <v>-42.202</v>
      </c>
      <c r="BB1044" s="1493" t="n">
        <v>-86.295</v>
      </c>
      <c r="BC1044" s="1361">
        <f>BD1044</f>
        <v/>
      </c>
      <c r="BD1044" s="1494" t="n">
        <v>-123.215</v>
      </c>
      <c r="BE1044" s="1493" t="n">
        <v>-26.719</v>
      </c>
      <c r="BF1044" s="1493" t="n">
        <v>-46.655</v>
      </c>
      <c r="BG1044" s="1493" t="n">
        <v>-68.634</v>
      </c>
      <c r="BH1044" s="1361">
        <f>BI1044</f>
        <v/>
      </c>
      <c r="BI1044" s="1494" t="n">
        <v>-102.337</v>
      </c>
      <c r="BJ1044" s="1493" t="n">
        <v>-49.601</v>
      </c>
      <c r="BK1044" s="1493" t="n">
        <v>-78.8</v>
      </c>
      <c r="BL1044" s="1493" t="n">
        <v>-105.34</v>
      </c>
      <c r="BM1044" s="1361">
        <f>BN1044</f>
        <v/>
      </c>
      <c r="BN1044" s="1494" t="n">
        <v>-142.542</v>
      </c>
      <c r="BO1044" s="1493" t="n">
        <v>-23.061</v>
      </c>
      <c r="BP1044" s="1493" t="n">
        <v>-67.146</v>
      </c>
      <c r="BQ1044" s="1502" t="n">
        <v>-100.83</v>
      </c>
      <c r="BR1044" s="1361" t="n"/>
      <c r="BS1044" s="1379" t="n"/>
      <c r="BT1044" s="1361" t="n"/>
      <c r="BU1044" s="1361" t="n"/>
      <c r="BV1044" s="1361" t="n"/>
      <c r="BW1044" s="1361" t="n"/>
      <c r="BX1044" s="1379" t="n"/>
      <c r="BY1044" s="1379" t="n"/>
      <c r="BZ1044" s="1379" t="n"/>
      <c r="CA1044" s="1379" t="n"/>
      <c r="CB1044" s="1364" t="n"/>
    </row>
    <row r="1045" hidden="1" outlineLevel="1" ht="14.4" customFormat="1" customHeight="1" s="1359">
      <c r="A1045" s="1394" t="inlineStr">
        <is>
          <t>Purchases of intangible assets</t>
        </is>
      </c>
      <c r="B1045" s="1512" t="n"/>
      <c r="C1045" s="1379" t="n"/>
      <c r="D1045" s="1379" t="n"/>
      <c r="E1045" s="1379" t="n"/>
      <c r="F1045" s="1379" t="n"/>
      <c r="G1045" s="1361" t="n"/>
      <c r="H1045" s="1361" t="n"/>
      <c r="I1045" s="1361" t="n"/>
      <c r="J1045" s="1361" t="n"/>
      <c r="K1045" s="1379" t="n"/>
      <c r="L1045" s="1361" t="n"/>
      <c r="M1045" s="1361" t="n"/>
      <c r="N1045" s="1361" t="n"/>
      <c r="O1045" s="1361" t="n"/>
      <c r="P1045" s="1379" t="n"/>
      <c r="Q1045" s="1361" t="n"/>
      <c r="R1045" s="1361" t="n"/>
      <c r="S1045" s="1361" t="n"/>
      <c r="T1045" s="1361" t="n"/>
      <c r="U1045" s="1379" t="n"/>
      <c r="V1045" s="1361" t="n"/>
      <c r="W1045" s="1361" t="n"/>
      <c r="X1045" s="1361" t="n"/>
      <c r="Y1045" s="1361" t="n"/>
      <c r="Z1045" s="1379" t="n"/>
      <c r="AA1045" s="1361" t="n"/>
      <c r="AB1045" s="1361" t="n"/>
      <c r="AC1045" s="1361" t="n"/>
      <c r="AD1045" s="1361" t="n"/>
      <c r="AE1045" s="1379" t="n"/>
      <c r="AF1045" s="1361" t="n"/>
      <c r="AG1045" s="1361" t="n"/>
      <c r="AH1045" s="1361" t="n"/>
      <c r="AI1045" s="1361" t="n"/>
      <c r="AJ1045" s="1379" t="n"/>
      <c r="AK1045" s="1361" t="n"/>
      <c r="AL1045" s="1361" t="n"/>
      <c r="AM1045" s="1361" t="n"/>
      <c r="AN1045" s="1361" t="n"/>
      <c r="AO1045" s="1379" t="n"/>
      <c r="AP1045" s="1361" t="n"/>
      <c r="AQ1045" s="1361" t="n"/>
      <c r="AR1045" s="1361" t="n"/>
      <c r="AS1045" s="1361" t="n"/>
      <c r="AT1045" s="1379" t="n"/>
      <c r="AU1045" s="1361" t="n"/>
      <c r="AV1045" s="1361" t="n"/>
      <c r="AW1045" s="1361" t="n"/>
      <c r="AX1045" s="1361">
        <f>AY1045</f>
        <v/>
      </c>
      <c r="AY1045" s="1494" t="n">
        <v>-1.583</v>
      </c>
      <c r="AZ1045" s="1493" t="n">
        <v>-0.75</v>
      </c>
      <c r="BA1045" s="1493" t="n">
        <v>-0.75</v>
      </c>
      <c r="BB1045" s="1493" t="n">
        <v>-1</v>
      </c>
      <c r="BC1045" s="1361">
        <f>BD1045</f>
        <v/>
      </c>
      <c r="BD1045" s="1494" t="n">
        <v>-1</v>
      </c>
      <c r="BE1045" s="1361" t="n"/>
      <c r="BF1045" s="1361" t="n"/>
      <c r="BG1045" s="1361" t="n"/>
      <c r="BH1045" s="1361">
        <f>BI1045</f>
        <v/>
      </c>
      <c r="BI1045" s="1494" t="n">
        <v>-0.166</v>
      </c>
      <c r="BJ1045" s="1361" t="n"/>
      <c r="BK1045" s="1361" t="n"/>
      <c r="BL1045" s="1361" t="n"/>
      <c r="BM1045" s="1361">
        <f>BN1045</f>
        <v/>
      </c>
      <c r="BN1045" s="1379" t="n"/>
      <c r="BO1045" s="1361" t="n"/>
      <c r="BP1045" s="1361" t="n"/>
      <c r="BQ1045" s="1363" t="n"/>
      <c r="BR1045" s="1361" t="n"/>
      <c r="BS1045" s="1379" t="n"/>
      <c r="BT1045" s="1361" t="n"/>
      <c r="BU1045" s="1361" t="n"/>
      <c r="BV1045" s="1361" t="n"/>
      <c r="BW1045" s="1361" t="n"/>
      <c r="BX1045" s="1379" t="n"/>
      <c r="BY1045" s="1379" t="n"/>
      <c r="BZ1045" s="1379" t="n"/>
      <c r="CA1045" s="1379" t="n"/>
      <c r="CB1045" s="1364" t="n"/>
    </row>
    <row r="1046" hidden="1" outlineLevel="1" ht="14.4" customFormat="1" customHeight="1" s="1359">
      <c r="A1046" s="1394" t="inlineStr">
        <is>
          <t>Purchases of software licenses</t>
        </is>
      </c>
      <c r="B1046" s="1512" t="n"/>
      <c r="C1046" s="1494" t="n">
        <v>-0.774</v>
      </c>
      <c r="D1046" s="1379" t="n"/>
      <c r="E1046" s="1379" t="n"/>
      <c r="F1046" s="1379" t="n"/>
      <c r="G1046" s="1361" t="n"/>
      <c r="H1046" s="1361" t="n"/>
      <c r="I1046" s="1361" t="n"/>
      <c r="J1046" s="1493" t="n">
        <v>0</v>
      </c>
      <c r="K1046" s="1379" t="n"/>
      <c r="L1046" s="1361" t="n"/>
      <c r="M1046" s="1361" t="n"/>
      <c r="N1046" s="1361" t="n"/>
      <c r="O1046" s="1493" t="n">
        <v>0</v>
      </c>
      <c r="P1046" s="1379" t="n"/>
      <c r="Q1046" s="1361" t="n"/>
      <c r="R1046" s="1361" t="n"/>
      <c r="S1046" s="1361" t="n"/>
      <c r="T1046" s="1493" t="n">
        <v>0</v>
      </c>
      <c r="U1046" s="1379" t="n"/>
      <c r="V1046" s="1361" t="n"/>
      <c r="W1046" s="1361" t="n"/>
      <c r="X1046" s="1361" t="n"/>
      <c r="Y1046" s="1361">
        <f>Z1046</f>
        <v/>
      </c>
      <c r="Z1046" s="1379" t="n"/>
      <c r="AA1046" s="1361" t="n"/>
      <c r="AB1046" s="1361" t="n"/>
      <c r="AC1046" s="1361" t="n"/>
      <c r="AD1046" s="1361">
        <f>AE1046</f>
        <v/>
      </c>
      <c r="AE1046" s="1379" t="n"/>
      <c r="AF1046" s="1361" t="n"/>
      <c r="AG1046" s="1361" t="n"/>
      <c r="AH1046" s="1361" t="n"/>
      <c r="AI1046" s="1361">
        <f>AJ1046</f>
        <v/>
      </c>
      <c r="AJ1046" s="1379" t="n"/>
      <c r="AK1046" s="1361" t="n"/>
      <c r="AL1046" s="1361" t="n"/>
      <c r="AM1046" s="1361" t="n"/>
      <c r="AN1046" s="1361">
        <f>AO1046</f>
        <v/>
      </c>
      <c r="AO1046" s="1379" t="n"/>
      <c r="AP1046" s="1361" t="n"/>
      <c r="AQ1046" s="1361" t="n"/>
      <c r="AR1046" s="1361" t="n"/>
      <c r="AS1046" s="1361">
        <f>AT1046</f>
        <v/>
      </c>
      <c r="AT1046" s="1379" t="n"/>
      <c r="AU1046" s="1361" t="n"/>
      <c r="AV1046" s="1361" t="n"/>
      <c r="AW1046" s="1361" t="n"/>
      <c r="AX1046" s="1361">
        <f>AY1046</f>
        <v/>
      </c>
      <c r="AY1046" s="1379" t="n"/>
      <c r="AZ1046" s="1361" t="n"/>
      <c r="BA1046" s="1361" t="n"/>
      <c r="BB1046" s="1361" t="n"/>
      <c r="BC1046" s="1361">
        <f>BD1046</f>
        <v/>
      </c>
      <c r="BD1046" s="1379" t="n"/>
      <c r="BE1046" s="1361" t="n"/>
      <c r="BF1046" s="1361" t="n"/>
      <c r="BG1046" s="1361" t="n"/>
      <c r="BH1046" s="1361">
        <f>BI1046</f>
        <v/>
      </c>
      <c r="BI1046" s="1379" t="n"/>
      <c r="BJ1046" s="1361" t="n"/>
      <c r="BK1046" s="1361" t="n"/>
      <c r="BL1046" s="1361" t="n"/>
      <c r="BM1046" s="1361">
        <f>BN1046</f>
        <v/>
      </c>
      <c r="BN1046" s="1379" t="n"/>
      <c r="BO1046" s="1361" t="n"/>
      <c r="BP1046" s="1361" t="n"/>
      <c r="BQ1046" s="1363" t="n"/>
      <c r="BR1046" s="1361" t="n"/>
      <c r="BS1046" s="1379" t="n"/>
      <c r="BT1046" s="1361" t="n"/>
      <c r="BU1046" s="1361" t="n"/>
      <c r="BV1046" s="1361" t="n"/>
      <c r="BW1046" s="1361" t="n"/>
      <c r="BX1046" s="1379" t="n"/>
      <c r="BY1046" s="1379" t="n"/>
      <c r="BZ1046" s="1379" t="n"/>
      <c r="CA1046" s="1379" t="n"/>
      <c r="CB1046" s="1364" t="n"/>
    </row>
    <row r="1047" hidden="1" outlineLevel="1" ht="14.4" customFormat="1" customHeight="1" s="1359">
      <c r="A1047" s="1394" t="inlineStr">
        <is>
          <t>Investment in venture capital partnerships and equity investments</t>
        </is>
      </c>
      <c r="B1047" s="1512" t="n"/>
      <c r="C1047" s="1494" t="n">
        <v>-2.3</v>
      </c>
      <c r="D1047" s="1494" t="n">
        <v>-3</v>
      </c>
      <c r="E1047" s="1494" t="n">
        <v>-0.608</v>
      </c>
      <c r="F1047" s="1494" t="n">
        <v>-0.25</v>
      </c>
      <c r="G1047" s="1361" t="n"/>
      <c r="H1047" s="1361" t="n"/>
      <c r="I1047" s="1361" t="n"/>
      <c r="J1047" s="1361" t="n"/>
      <c r="K1047" s="1494" t="n">
        <v>0</v>
      </c>
      <c r="L1047" s="1361" t="n"/>
      <c r="M1047" s="1361" t="n"/>
      <c r="N1047" s="1361" t="n"/>
      <c r="O1047" s="1361" t="n"/>
      <c r="P1047" s="1379" t="n"/>
      <c r="Q1047" s="1361" t="n"/>
      <c r="R1047" s="1361" t="n"/>
      <c r="S1047" s="1361" t="n"/>
      <c r="T1047" s="1361" t="n"/>
      <c r="U1047" s="1379" t="n"/>
      <c r="V1047" s="1361" t="n"/>
      <c r="W1047" s="1361" t="n"/>
      <c r="X1047" s="1361" t="n"/>
      <c r="Y1047" s="1361">
        <f>Z1047</f>
        <v/>
      </c>
      <c r="Z1047" s="1379" t="n"/>
      <c r="AA1047" s="1361" t="n"/>
      <c r="AB1047" s="1361" t="n"/>
      <c r="AC1047" s="1361" t="n"/>
      <c r="AD1047" s="1361">
        <f>AE1047</f>
        <v/>
      </c>
      <c r="AE1047" s="1379" t="n"/>
      <c r="AF1047" s="1361" t="n"/>
      <c r="AG1047" s="1361" t="n"/>
      <c r="AH1047" s="1361" t="n"/>
      <c r="AI1047" s="1361">
        <f>AJ1047</f>
        <v/>
      </c>
      <c r="AJ1047" s="1379" t="n"/>
      <c r="AK1047" s="1361" t="n"/>
      <c r="AL1047" s="1361" t="n"/>
      <c r="AM1047" s="1361" t="n"/>
      <c r="AN1047" s="1361">
        <f>AO1047</f>
        <v/>
      </c>
      <c r="AO1047" s="1379" t="n"/>
      <c r="AP1047" s="1361" t="n"/>
      <c r="AQ1047" s="1361" t="n"/>
      <c r="AR1047" s="1361" t="n"/>
      <c r="AS1047" s="1361">
        <f>AT1047</f>
        <v/>
      </c>
      <c r="AT1047" s="1379" t="n"/>
      <c r="AU1047" s="1361" t="n"/>
      <c r="AV1047" s="1361" t="n"/>
      <c r="AW1047" s="1361" t="n"/>
      <c r="AX1047" s="1361">
        <f>AY1047</f>
        <v/>
      </c>
      <c r="AY1047" s="1379" t="n"/>
      <c r="AZ1047" s="1361" t="n"/>
      <c r="BA1047" s="1361" t="n"/>
      <c r="BB1047" s="1361" t="n"/>
      <c r="BC1047" s="1361">
        <f>BD1047</f>
        <v/>
      </c>
      <c r="BD1047" s="1379" t="n"/>
      <c r="BE1047" s="1361" t="n"/>
      <c r="BF1047" s="1361" t="n"/>
      <c r="BG1047" s="1361" t="n"/>
      <c r="BH1047" s="1361">
        <f>BI1047</f>
        <v/>
      </c>
      <c r="BI1047" s="1379" t="n"/>
      <c r="BJ1047" s="1361" t="n"/>
      <c r="BK1047" s="1361" t="n"/>
      <c r="BL1047" s="1361" t="n"/>
      <c r="BM1047" s="1361">
        <f>BN1047</f>
        <v/>
      </c>
      <c r="BN1047" s="1379" t="n"/>
      <c r="BO1047" s="1361" t="n"/>
      <c r="BP1047" s="1361" t="n"/>
      <c r="BQ1047" s="1363" t="n"/>
      <c r="BR1047" s="1361" t="n"/>
      <c r="BS1047" s="1379" t="n"/>
      <c r="BT1047" s="1361" t="n"/>
      <c r="BU1047" s="1361" t="n"/>
      <c r="BV1047" s="1361" t="n"/>
      <c r="BW1047" s="1361" t="n"/>
      <c r="BX1047" s="1379" t="n"/>
      <c r="BY1047" s="1379" t="n"/>
      <c r="BZ1047" s="1379" t="n"/>
      <c r="CA1047" s="1379" t="n"/>
      <c r="CB1047" s="1364" t="n"/>
    </row>
    <row r="1048" hidden="1" outlineLevel="1" ht="14.4" customFormat="1" customHeight="1" s="1359">
      <c r="A1048" s="1453" t="inlineStr">
        <is>
          <t>Cash paid in business combinations and asset acquisitions, net of cash acquired</t>
        </is>
      </c>
      <c r="B1048" s="1514" t="n"/>
      <c r="C1048" s="1480" t="n">
        <v>-14.126</v>
      </c>
      <c r="D1048" s="1480" t="n">
        <v>-258.823</v>
      </c>
      <c r="E1048" s="1480" t="n">
        <v>-44.052</v>
      </c>
      <c r="F1048" s="1480" t="n">
        <v>-66.432</v>
      </c>
      <c r="G1048" s="1479" t="n">
        <v>-0.757</v>
      </c>
      <c r="H1048" s="1479" t="n">
        <v>-392.139</v>
      </c>
      <c r="I1048" s="1479" t="n">
        <v>-392.825</v>
      </c>
      <c r="J1048" s="1510">
        <f>K1048</f>
        <v/>
      </c>
      <c r="K1048" s="1480" t="n">
        <v>-392.825</v>
      </c>
      <c r="L1048" s="1479" t="n">
        <v>-27.422</v>
      </c>
      <c r="M1048" s="1479" t="n">
        <v>-163.685</v>
      </c>
      <c r="N1048" s="1479" t="n">
        <v>-167.248</v>
      </c>
      <c r="O1048" s="1510">
        <f>P1048</f>
        <v/>
      </c>
      <c r="P1048" s="1480" t="n">
        <v>-167.121</v>
      </c>
      <c r="Q1048" s="1479" t="n">
        <v>0</v>
      </c>
      <c r="R1048" s="1479" t="n">
        <v>0</v>
      </c>
      <c r="S1048" s="1479" t="n">
        <v>0</v>
      </c>
      <c r="T1048" s="1510">
        <f>U1048</f>
        <v/>
      </c>
      <c r="U1048" s="1480" t="n">
        <v>0</v>
      </c>
      <c r="V1048" s="1479" t="n">
        <v>-3.853</v>
      </c>
      <c r="W1048" s="1479" t="n">
        <v>-41.627</v>
      </c>
      <c r="X1048" s="1479" t="n">
        <v>-41.627</v>
      </c>
      <c r="Y1048" s="1456">
        <f>Z1048</f>
        <v/>
      </c>
      <c r="Z1048" s="1480" t="n">
        <v>-41.627</v>
      </c>
      <c r="AA1048" s="1456" t="n"/>
      <c r="AB1048" s="1456" t="n"/>
      <c r="AC1048" s="1479" t="n">
        <v>-0.55</v>
      </c>
      <c r="AD1048" s="1456">
        <f>AE1048</f>
        <v/>
      </c>
      <c r="AE1048" s="1480" t="n">
        <v>-143.249</v>
      </c>
      <c r="AF1048" s="1456" t="n"/>
      <c r="AG1048" s="1456" t="n"/>
      <c r="AH1048" s="1456" t="n"/>
      <c r="AI1048" s="1456">
        <f>AJ1048</f>
        <v/>
      </c>
      <c r="AJ1048" s="1455" t="n"/>
      <c r="AK1048" s="1456" t="n"/>
      <c r="AL1048" s="1479" t="n">
        <v>-0.338</v>
      </c>
      <c r="AM1048" s="1479" t="n">
        <v>-0.338</v>
      </c>
      <c r="AN1048" s="1456">
        <f>AO1048</f>
        <v/>
      </c>
      <c r="AO1048" s="1480" t="n">
        <v>-0.338</v>
      </c>
      <c r="AP1048" s="1479" t="n">
        <v>-193.82</v>
      </c>
      <c r="AQ1048" s="1479" t="n">
        <v>-195.118</v>
      </c>
      <c r="AR1048" s="1479" t="n">
        <v>-197.562</v>
      </c>
      <c r="AS1048" s="1456">
        <f>AT1048</f>
        <v/>
      </c>
      <c r="AT1048" s="1480" t="n">
        <v>-197.562</v>
      </c>
      <c r="AU1048" s="1479" t="n">
        <v>-189.262</v>
      </c>
      <c r="AV1048" s="1479" t="n">
        <v>-220.66</v>
      </c>
      <c r="AW1048" s="1479" t="n">
        <v>-220.026</v>
      </c>
      <c r="AX1048" s="1456">
        <f>AY1048</f>
        <v/>
      </c>
      <c r="AY1048" s="1480" t="n">
        <v>-226.201</v>
      </c>
      <c r="AZ1048" s="1456" t="n"/>
      <c r="BA1048" s="1479" t="n">
        <v>-25</v>
      </c>
      <c r="BB1048" s="1479" t="n">
        <v>-586.163</v>
      </c>
      <c r="BC1048" s="1456">
        <f>BD1048</f>
        <v/>
      </c>
      <c r="BD1048" s="1480" t="n">
        <v>-613.785</v>
      </c>
      <c r="BE1048" s="1456" t="n"/>
      <c r="BF1048" s="1479" t="n">
        <v>-55.379</v>
      </c>
      <c r="BG1048" s="1479" t="n">
        <v>-163.963</v>
      </c>
      <c r="BH1048" s="1456">
        <f>BI1048</f>
        <v/>
      </c>
      <c r="BI1048" s="1480" t="n">
        <v>-198.351</v>
      </c>
      <c r="BJ1048" s="1479" t="n">
        <v>-71.45</v>
      </c>
      <c r="BK1048" s="1479" t="n">
        <v>-720.821</v>
      </c>
      <c r="BL1048" s="1479" t="n">
        <v>-735.327</v>
      </c>
      <c r="BM1048" s="1456">
        <f>BN1048</f>
        <v/>
      </c>
      <c r="BN1048" s="1480" t="n">
        <v>-737.574</v>
      </c>
      <c r="BO1048" s="1456" t="n"/>
      <c r="BP1048" s="1479" t="n">
        <v>-122.146</v>
      </c>
      <c r="BQ1048" s="1515" t="n">
        <v>-250.695</v>
      </c>
      <c r="BR1048" s="1456" t="n"/>
      <c r="BS1048" s="1455" t="n"/>
      <c r="BT1048" s="1456" t="n"/>
      <c r="BU1048" s="1456" t="n"/>
      <c r="BV1048" s="1456" t="n"/>
      <c r="BW1048" s="1456" t="n"/>
      <c r="BX1048" s="1455" t="n"/>
      <c r="BY1048" s="1455" t="n"/>
      <c r="BZ1048" s="1455" t="n"/>
      <c r="CA1048" s="1455" t="n"/>
      <c r="CB1048" s="1364" t="n"/>
    </row>
    <row r="1049" hidden="1" outlineLevel="1" ht="14.4" customFormat="1" customHeight="1" s="1372">
      <c r="A1049" s="1400" t="inlineStr">
        <is>
          <t>Net CFI</t>
        </is>
      </c>
      <c r="B1049" s="1516" t="n"/>
      <c r="C1049" s="1402">
        <f>SUM(C1035:C1048)</f>
        <v/>
      </c>
      <c r="D1049" s="1402">
        <f>SUM(D1035:D1048)</f>
        <v/>
      </c>
      <c r="E1049" s="1402">
        <f>SUM(E1035:E1048)</f>
        <v/>
      </c>
      <c r="F1049" s="1402">
        <f>SUM(F1035:F1048)</f>
        <v/>
      </c>
      <c r="G1049" s="1403">
        <f>SUM(G1035:G1048)</f>
        <v/>
      </c>
      <c r="H1049" s="1403">
        <f>SUM(H1035:H1048)</f>
        <v/>
      </c>
      <c r="I1049" s="1403">
        <f>SUM(I1035:I1048)</f>
        <v/>
      </c>
      <c r="J1049" s="1403">
        <f>SUM(J1035:J1048)</f>
        <v/>
      </c>
      <c r="K1049" s="1402">
        <f>SUM(K1035:K1048)</f>
        <v/>
      </c>
      <c r="L1049" s="1403">
        <f>SUM(L1035:L1048)</f>
        <v/>
      </c>
      <c r="M1049" s="1403">
        <f>SUM(M1035:M1048)</f>
        <v/>
      </c>
      <c r="N1049" s="1403">
        <f>SUM(N1035:N1048)</f>
        <v/>
      </c>
      <c r="O1049" s="1403">
        <f>SUM(O1035:O1048)</f>
        <v/>
      </c>
      <c r="P1049" s="1402">
        <f>SUM(P1035:P1048)</f>
        <v/>
      </c>
      <c r="Q1049" s="1403">
        <f>SUM(Q1035:Q1048)</f>
        <v/>
      </c>
      <c r="R1049" s="1403">
        <f>SUM(R1035:R1048)</f>
        <v/>
      </c>
      <c r="S1049" s="1403">
        <f>SUM(S1035:S1048)</f>
        <v/>
      </c>
      <c r="T1049" s="1403">
        <f>SUM(T1035:T1048)</f>
        <v/>
      </c>
      <c r="U1049" s="1402">
        <f>SUM(U1035:U1048)</f>
        <v/>
      </c>
      <c r="V1049" s="1403">
        <f>SUM(V1035:V1048)</f>
        <v/>
      </c>
      <c r="W1049" s="1403">
        <f>SUM(W1035:W1048)</f>
        <v/>
      </c>
      <c r="X1049" s="1403">
        <f>SUM(X1035:X1048)</f>
        <v/>
      </c>
      <c r="Y1049" s="1404">
        <f>SUM(Y1035:Y1048)</f>
        <v/>
      </c>
      <c r="Z1049" s="1405">
        <f>SUM(Z1035:Z1048)</f>
        <v/>
      </c>
      <c r="AA1049" s="1403">
        <f>SUM(AA1035:AA1048)</f>
        <v/>
      </c>
      <c r="AB1049" s="1403">
        <f>SUM(AB1035:AB1048)</f>
        <v/>
      </c>
      <c r="AC1049" s="1403">
        <f>SUM(AC1035:AC1048)</f>
        <v/>
      </c>
      <c r="AD1049" s="1404">
        <f>SUM(AD1035:AD1048)</f>
        <v/>
      </c>
      <c r="AE1049" s="1405">
        <f>SUM(AE1035:AE1048)</f>
        <v/>
      </c>
      <c r="AF1049" s="1403">
        <f>SUM(AF1035:AF1048)</f>
        <v/>
      </c>
      <c r="AG1049" s="1403">
        <f>SUM(AG1035:AG1048)</f>
        <v/>
      </c>
      <c r="AH1049" s="1403">
        <f>SUM(AH1035:AH1048)</f>
        <v/>
      </c>
      <c r="AI1049" s="1404">
        <f>SUM(AI1035:AI1048)</f>
        <v/>
      </c>
      <c r="AJ1049" s="1405">
        <f>SUM(AJ1035:AJ1048)</f>
        <v/>
      </c>
      <c r="AK1049" s="1545" t="n">
        <v>-45.987</v>
      </c>
      <c r="AL1049" s="1403">
        <f>SUM(AL1035:AL1048)</f>
        <v/>
      </c>
      <c r="AM1049" s="1403">
        <f>SUM(AM1035:AM1048)</f>
        <v/>
      </c>
      <c r="AN1049" s="1404">
        <f>SUM(AN1035:AN1048)</f>
        <v/>
      </c>
      <c r="AO1049" s="1405">
        <f>SUM(AO1035:AO1048)</f>
        <v/>
      </c>
      <c r="AP1049" s="1403">
        <f>SUM(AP1035:AP1048)</f>
        <v/>
      </c>
      <c r="AQ1049" s="1403">
        <f>SUM(AQ1035:AQ1048)</f>
        <v/>
      </c>
      <c r="AR1049" s="1403">
        <f>SUM(AR1035:AR1048)</f>
        <v/>
      </c>
      <c r="AS1049" s="1404">
        <f>SUM(AS1035:AS1048)</f>
        <v/>
      </c>
      <c r="AT1049" s="1405">
        <f>SUM(AT1035:AT1048)</f>
        <v/>
      </c>
      <c r="AU1049" s="1403">
        <f>SUM(AU1035:AU1048)</f>
        <v/>
      </c>
      <c r="AV1049" s="1403">
        <f>SUM(AV1035:AV1048)</f>
        <v/>
      </c>
      <c r="AW1049" s="1403">
        <f>SUM(AW1035:AW1048)</f>
        <v/>
      </c>
      <c r="AX1049" s="1404">
        <f>SUM(AX1035:AX1048)</f>
        <v/>
      </c>
      <c r="AY1049" s="1405">
        <f>SUM(AY1035:AY1048)</f>
        <v/>
      </c>
      <c r="AZ1049" s="1403">
        <f>SUM(AZ1035:AZ1048)</f>
        <v/>
      </c>
      <c r="BA1049" s="1403">
        <f>SUM(BA1035:BA1048)</f>
        <v/>
      </c>
      <c r="BB1049" s="1403">
        <f>SUM(BB1035:BB1048)</f>
        <v/>
      </c>
      <c r="BC1049" s="1404">
        <f>SUM(BC1035:BC1048)</f>
        <v/>
      </c>
      <c r="BD1049" s="1405">
        <f>SUM(BD1035:BD1048)</f>
        <v/>
      </c>
      <c r="BE1049" s="1403">
        <f>SUM(BE1035:BE1048)</f>
        <v/>
      </c>
      <c r="BF1049" s="1403">
        <f>SUM(BF1035:BF1048)</f>
        <v/>
      </c>
      <c r="BG1049" s="1403">
        <f>SUM(BG1035:BG1048)</f>
        <v/>
      </c>
      <c r="BH1049" s="1404">
        <f>SUM(BH1035:BH1048)</f>
        <v/>
      </c>
      <c r="BI1049" s="1405">
        <f>SUM(BI1035:BI1048)</f>
        <v/>
      </c>
      <c r="BJ1049" s="1403">
        <f>SUM(BJ1035:BJ1048)</f>
        <v/>
      </c>
      <c r="BK1049" s="1403">
        <f>SUM(BK1035:BK1048)</f>
        <v/>
      </c>
      <c r="BL1049" s="1403">
        <f>SUM(BL1035:BL1048)</f>
        <v/>
      </c>
      <c r="BM1049" s="1404">
        <f>SUM(BM1035:BM1048)</f>
        <v/>
      </c>
      <c r="BN1049" s="1405">
        <f>SUM(BN1035:BN1048)</f>
        <v/>
      </c>
      <c r="BO1049" s="1403">
        <f>SUM(BO1035:BO1048)</f>
        <v/>
      </c>
      <c r="BP1049" s="1403">
        <f>SUM(BP1035:BP1048)</f>
        <v/>
      </c>
      <c r="BQ1049" s="1406">
        <f>SUM(BQ1035:BQ1048)</f>
        <v/>
      </c>
      <c r="BR1049" s="1404" t="n"/>
      <c r="BS1049" s="1405" t="n"/>
      <c r="BT1049" s="1404" t="n"/>
      <c r="BU1049" s="1404" t="n"/>
      <c r="BV1049" s="1404" t="n"/>
      <c r="BW1049" s="1404" t="n"/>
      <c r="BX1049" s="1405" t="n"/>
      <c r="BY1049" s="1405" t="n"/>
      <c r="BZ1049" s="1405" t="n"/>
      <c r="CA1049" s="1405" t="n"/>
      <c r="CB1049" s="1375" t="n"/>
    </row>
    <row r="1050" hidden="1" outlineLevel="1" ht="14.4" customFormat="1" customHeight="1" s="1372">
      <c r="A1050" s="1447" t="n"/>
      <c r="B1050" s="1517" t="n"/>
      <c r="C1050" s="1449" t="n"/>
      <c r="D1050" s="1449" t="n"/>
      <c r="E1050" s="1449" t="n"/>
      <c r="F1050" s="1449" t="n"/>
      <c r="G1050" s="1450" t="n"/>
      <c r="H1050" s="1450" t="n"/>
      <c r="I1050" s="1450" t="n"/>
      <c r="J1050" s="1450" t="n"/>
      <c r="K1050" s="1449" t="n"/>
      <c r="L1050" s="1450" t="n"/>
      <c r="M1050" s="1450" t="n"/>
      <c r="N1050" s="1450" t="n"/>
      <c r="O1050" s="1450" t="n"/>
      <c r="P1050" s="1449" t="n"/>
      <c r="Q1050" s="1450" t="n"/>
      <c r="R1050" s="1450" t="n"/>
      <c r="S1050" s="1450" t="n"/>
      <c r="T1050" s="1450" t="n"/>
      <c r="U1050" s="1449" t="n"/>
      <c r="V1050" s="1450" t="n"/>
      <c r="W1050" s="1450" t="n"/>
      <c r="X1050" s="1450" t="n"/>
      <c r="Y1050" s="1450" t="n"/>
      <c r="Z1050" s="1449" t="n"/>
      <c r="AA1050" s="1450" t="n"/>
      <c r="AB1050" s="1450" t="n"/>
      <c r="AC1050" s="1450" t="n"/>
      <c r="AD1050" s="1450" t="n"/>
      <c r="AE1050" s="1449" t="n"/>
      <c r="AF1050" s="1450" t="n"/>
      <c r="AG1050" s="1450" t="n"/>
      <c r="AH1050" s="1450" t="n"/>
      <c r="AI1050" s="1450" t="n"/>
      <c r="AJ1050" s="1449" t="n"/>
      <c r="AK1050" s="1450" t="n"/>
      <c r="AL1050" s="1450" t="n"/>
      <c r="AM1050" s="1450" t="n"/>
      <c r="AN1050" s="1450" t="n"/>
      <c r="AO1050" s="1449" t="n"/>
      <c r="AP1050" s="1450" t="n"/>
      <c r="AQ1050" s="1450" t="n"/>
      <c r="AR1050" s="1450" t="n"/>
      <c r="AS1050" s="1450" t="n"/>
      <c r="AT1050" s="1449" t="n"/>
      <c r="AU1050" s="1450" t="n"/>
      <c r="AV1050" s="1450" t="n"/>
      <c r="AW1050" s="1450" t="n"/>
      <c r="AX1050" s="1450" t="n"/>
      <c r="AY1050" s="1449" t="n"/>
      <c r="AZ1050" s="1450" t="n"/>
      <c r="BA1050" s="1450" t="n"/>
      <c r="BB1050" s="1450" t="n"/>
      <c r="BC1050" s="1450" t="n"/>
      <c r="BD1050" s="1449" t="n"/>
      <c r="BE1050" s="1450" t="n"/>
      <c r="BF1050" s="1450" t="n"/>
      <c r="BG1050" s="1450" t="n"/>
      <c r="BH1050" s="1450" t="n"/>
      <c r="BI1050" s="1449" t="n"/>
      <c r="BJ1050" s="1450" t="n"/>
      <c r="BK1050" s="1450" t="n"/>
      <c r="BL1050" s="1450" t="n"/>
      <c r="BM1050" s="1450" t="n"/>
      <c r="BN1050" s="1449" t="n"/>
      <c r="BO1050" s="1450" t="n"/>
      <c r="BP1050" s="1450" t="n"/>
      <c r="BQ1050" s="1451" t="n"/>
      <c r="BR1050" s="1450" t="n"/>
      <c r="BS1050" s="1449" t="n"/>
      <c r="BT1050" s="1450" t="n"/>
      <c r="BU1050" s="1450" t="n"/>
      <c r="BV1050" s="1450" t="n"/>
      <c r="BW1050" s="1450" t="n"/>
      <c r="BX1050" s="1449" t="n"/>
      <c r="BY1050" s="1449" t="n"/>
      <c r="BZ1050" s="1449" t="n"/>
      <c r="CA1050" s="1449" t="n"/>
      <c r="CB1050" s="1375" t="n"/>
    </row>
    <row r="1051" hidden="1" outlineLevel="1" ht="14.4" customFormat="1" customHeight="1" s="1372">
      <c r="A1051" s="1452" t="inlineStr">
        <is>
          <t>CFF</t>
        </is>
      </c>
      <c r="B1051" s="1517" t="n"/>
      <c r="C1051" s="1449" t="n"/>
      <c r="D1051" s="1449" t="n"/>
      <c r="E1051" s="1449" t="n"/>
      <c r="F1051" s="1449" t="n"/>
      <c r="G1051" s="1450" t="n"/>
      <c r="H1051" s="1450" t="n"/>
      <c r="I1051" s="1450" t="n"/>
      <c r="J1051" s="1450" t="n"/>
      <c r="K1051" s="1449" t="n"/>
      <c r="L1051" s="1450" t="n"/>
      <c r="M1051" s="1450" t="n"/>
      <c r="N1051" s="1450" t="n"/>
      <c r="O1051" s="1450" t="n"/>
      <c r="P1051" s="1449" t="n"/>
      <c r="Q1051" s="1450" t="n"/>
      <c r="R1051" s="1450" t="n"/>
      <c r="S1051" s="1450" t="n"/>
      <c r="T1051" s="1450" t="n"/>
      <c r="U1051" s="1449" t="n"/>
      <c r="V1051" s="1450" t="n"/>
      <c r="W1051" s="1450" t="n"/>
      <c r="X1051" s="1450" t="n"/>
      <c r="Y1051" s="1450" t="n"/>
      <c r="Z1051" s="1449" t="n"/>
      <c r="AA1051" s="1450" t="n"/>
      <c r="AB1051" s="1450" t="n"/>
      <c r="AC1051" s="1450" t="n"/>
      <c r="AD1051" s="1450" t="n"/>
      <c r="AE1051" s="1449" t="n"/>
      <c r="AF1051" s="1450" t="n"/>
      <c r="AG1051" s="1450" t="n"/>
      <c r="AH1051" s="1450" t="n"/>
      <c r="AI1051" s="1450" t="n"/>
      <c r="AJ1051" s="1449" t="n"/>
      <c r="AK1051" s="1450" t="n"/>
      <c r="AL1051" s="1450" t="n"/>
      <c r="AM1051" s="1450" t="n"/>
      <c r="AN1051" s="1450" t="n"/>
      <c r="AO1051" s="1449" t="n"/>
      <c r="AP1051" s="1450" t="n"/>
      <c r="AQ1051" s="1450" t="n"/>
      <c r="AR1051" s="1450" t="n"/>
      <c r="AS1051" s="1450" t="n"/>
      <c r="AT1051" s="1449" t="n"/>
      <c r="AU1051" s="1450" t="n"/>
      <c r="AV1051" s="1450" t="n"/>
      <c r="AW1051" s="1450" t="n"/>
      <c r="AX1051" s="1450" t="n"/>
      <c r="AY1051" s="1449" t="n"/>
      <c r="AZ1051" s="1450" t="n"/>
      <c r="BA1051" s="1450" t="n"/>
      <c r="BB1051" s="1450" t="n"/>
      <c r="BC1051" s="1450" t="n"/>
      <c r="BD1051" s="1449" t="n"/>
      <c r="BE1051" s="1450" t="n"/>
      <c r="BF1051" s="1450" t="n"/>
      <c r="BG1051" s="1450" t="n"/>
      <c r="BH1051" s="1450" t="n"/>
      <c r="BI1051" s="1449" t="n"/>
      <c r="BJ1051" s="1450" t="n"/>
      <c r="BK1051" s="1450" t="n"/>
      <c r="BL1051" s="1450" t="n"/>
      <c r="BM1051" s="1450" t="n"/>
      <c r="BN1051" s="1449" t="n"/>
      <c r="BO1051" s="1450" t="n"/>
      <c r="BP1051" s="1450" t="n"/>
      <c r="BQ1051" s="1451" t="n"/>
      <c r="BR1051" s="1450" t="n"/>
      <c r="BS1051" s="1449" t="n"/>
      <c r="BT1051" s="1450" t="n"/>
      <c r="BU1051" s="1450" t="n"/>
      <c r="BV1051" s="1450" t="n"/>
      <c r="BW1051" s="1450" t="n"/>
      <c r="BX1051" s="1449" t="n"/>
      <c r="BY1051" s="1449" t="n"/>
      <c r="BZ1051" s="1449" t="n"/>
      <c r="CA1051" s="1449" t="n"/>
      <c r="CB1051" s="1375" t="n"/>
    </row>
    <row r="1052" hidden="1" outlineLevel="1" ht="14.4" customFormat="1" customHeight="1" s="1359">
      <c r="A1052" s="1394" t="inlineStr">
        <is>
          <t>Proceeds from term loans</t>
        </is>
      </c>
      <c r="B1052" s="1512" t="n"/>
      <c r="C1052" s="1379" t="n"/>
      <c r="D1052" s="1494" t="n">
        <v>350</v>
      </c>
      <c r="E1052" s="1494" t="n">
        <v>0</v>
      </c>
      <c r="F1052" s="1379" t="n"/>
      <c r="G1052" s="1361" t="n"/>
      <c r="H1052" s="1361" t="n"/>
      <c r="I1052" s="1361" t="n"/>
      <c r="J1052" s="1364">
        <f>K1052</f>
        <v/>
      </c>
      <c r="K1052" s="1494" t="n">
        <v>0</v>
      </c>
      <c r="L1052" s="1361" t="n"/>
      <c r="M1052" s="1361" t="n"/>
      <c r="N1052" s="1361" t="n"/>
      <c r="O1052" s="1364">
        <f>P1052</f>
        <v/>
      </c>
      <c r="P1052" s="1494" t="n">
        <v>348.649</v>
      </c>
      <c r="Q1052" s="1493" t="n">
        <v>0</v>
      </c>
      <c r="R1052" s="1361" t="n"/>
      <c r="S1052" s="1361" t="n"/>
      <c r="T1052" s="1364">
        <f>U1052</f>
        <v/>
      </c>
      <c r="U1052" s="1494" t="n">
        <v>0</v>
      </c>
      <c r="V1052" s="1493" t="n">
        <v>300</v>
      </c>
      <c r="W1052" s="1493" t="n">
        <v>300</v>
      </c>
      <c r="X1052" s="1493" t="n">
        <v>300</v>
      </c>
      <c r="Y1052" s="1361">
        <f>Z1052</f>
        <v/>
      </c>
      <c r="Z1052" s="1494" t="n">
        <v>300</v>
      </c>
      <c r="AA1052" s="1361" t="n"/>
      <c r="AB1052" s="1361" t="n"/>
      <c r="AC1052" s="1361" t="n"/>
      <c r="AD1052" s="1361">
        <f>AE1052</f>
        <v/>
      </c>
      <c r="AE1052" s="1379" t="n"/>
      <c r="AF1052" s="1361" t="n"/>
      <c r="AG1052" s="1361" t="n"/>
      <c r="AH1052" s="1361" t="n"/>
      <c r="AI1052" s="1361">
        <f>AJ1052</f>
        <v/>
      </c>
      <c r="AJ1052" s="1379" t="n"/>
      <c r="AK1052" s="1361" t="n"/>
      <c r="AL1052" s="1361" t="n"/>
      <c r="AM1052" s="1361" t="n"/>
      <c r="AN1052" s="1361">
        <f>AO1052</f>
        <v/>
      </c>
      <c r="AO1052" s="1379" t="n"/>
      <c r="AP1052" s="1361" t="n"/>
      <c r="AQ1052" s="1361" t="n"/>
      <c r="AR1052" s="1361" t="n"/>
      <c r="AS1052" s="1361">
        <f>AT1052</f>
        <v/>
      </c>
      <c r="AT1052" s="1379" t="n"/>
      <c r="AU1052" s="1361" t="n"/>
      <c r="AV1052" s="1361" t="n"/>
      <c r="AW1052" s="1361" t="n"/>
      <c r="AX1052" s="1361">
        <f>AY1052</f>
        <v/>
      </c>
      <c r="AY1052" s="1379" t="n"/>
      <c r="AZ1052" s="1361" t="n"/>
      <c r="BA1052" s="1361" t="n"/>
      <c r="BB1052" s="1493" t="n">
        <v>300</v>
      </c>
      <c r="BC1052" s="1361">
        <f>BD1052</f>
        <v/>
      </c>
      <c r="BD1052" s="1494" t="n">
        <v>300</v>
      </c>
      <c r="BE1052" s="1361" t="n"/>
      <c r="BF1052" s="1361" t="n"/>
      <c r="BG1052" s="1361" t="n"/>
      <c r="BH1052" s="1361" t="n"/>
      <c r="BI1052" s="1379" t="n"/>
      <c r="BJ1052" s="1361" t="n"/>
      <c r="BK1052" s="1493" t="n">
        <v>700</v>
      </c>
      <c r="BL1052" s="1493" t="n">
        <v>3196.595</v>
      </c>
      <c r="BM1052" s="1361">
        <f>BN1052</f>
        <v/>
      </c>
      <c r="BN1052" s="1494" t="n">
        <v>3196.595</v>
      </c>
      <c r="BO1052" s="1361" t="n"/>
      <c r="BP1052" s="1361" t="n"/>
      <c r="BQ1052" s="1363" t="n"/>
      <c r="BR1052" s="1361" t="n"/>
      <c r="BS1052" s="1379" t="n"/>
      <c r="BT1052" s="1361" t="n"/>
      <c r="BU1052" s="1361" t="n"/>
      <c r="BV1052" s="1361" t="n"/>
      <c r="BW1052" s="1361" t="n"/>
      <c r="BX1052" s="1379" t="n"/>
      <c r="BY1052" s="1379" t="n"/>
      <c r="BZ1052" s="1379" t="n"/>
      <c r="CA1052" s="1379" t="n"/>
      <c r="CB1052" s="1364" t="n"/>
    </row>
    <row r="1053" hidden="1" outlineLevel="1" ht="14.4" customFormat="1" customHeight="1" s="1359">
      <c r="A1053" s="1394" t="inlineStr">
        <is>
          <t>Principal payments on term loan</t>
        </is>
      </c>
      <c r="B1053" s="1512" t="n"/>
      <c r="C1053" s="1379" t="n"/>
      <c r="D1053" s="1379" t="n"/>
      <c r="E1053" s="1379" t="n"/>
      <c r="F1053" s="1379" t="n"/>
      <c r="G1053" s="1361" t="n"/>
      <c r="H1053" s="1361" t="n"/>
      <c r="I1053" s="1361" t="n"/>
      <c r="J1053" s="1361" t="n"/>
      <c r="K1053" s="1379" t="n"/>
      <c r="L1053" s="1361" t="n"/>
      <c r="M1053" s="1361" t="n"/>
      <c r="N1053" s="1361" t="n"/>
      <c r="O1053" s="1361" t="n"/>
      <c r="P1053" s="1379" t="n"/>
      <c r="Q1053" s="1361" t="n"/>
      <c r="R1053" s="1361" t="n"/>
      <c r="S1053" s="1361" t="n"/>
      <c r="T1053" s="1361" t="n"/>
      <c r="U1053" s="1379" t="n"/>
      <c r="V1053" s="1361" t="n"/>
      <c r="W1053" s="1361" t="n"/>
      <c r="X1053" s="1361" t="n"/>
      <c r="Y1053" s="1361" t="n"/>
      <c r="Z1053" s="1379" t="n"/>
      <c r="AA1053" s="1361" t="n"/>
      <c r="AB1053" s="1361" t="n"/>
      <c r="AC1053" s="1361" t="n"/>
      <c r="AD1053" s="1361" t="n"/>
      <c r="AE1053" s="1379" t="n"/>
      <c r="AF1053" s="1361" t="n"/>
      <c r="AG1053" s="1361" t="n"/>
      <c r="AH1053" s="1493" t="n">
        <v>-300</v>
      </c>
      <c r="AI1053" s="1361">
        <f>AJ1053</f>
        <v/>
      </c>
      <c r="AJ1053" s="1494" t="n">
        <v>-300</v>
      </c>
      <c r="AK1053" s="1361" t="n"/>
      <c r="AL1053" s="1361" t="n"/>
      <c r="AM1053" s="1361" t="n"/>
      <c r="AN1053" s="1361">
        <f>AO1053</f>
        <v/>
      </c>
      <c r="AO1053" s="1379" t="n"/>
      <c r="AP1053" s="1361" t="n"/>
      <c r="AQ1053" s="1361" t="n"/>
      <c r="AR1053" s="1361" t="n"/>
      <c r="AS1053" s="1361">
        <f>AT1053</f>
        <v/>
      </c>
      <c r="AT1053" s="1379" t="n"/>
      <c r="AU1053" s="1361" t="n"/>
      <c r="AV1053" s="1361" t="n"/>
      <c r="AW1053" s="1361" t="n"/>
      <c r="AX1053" s="1361">
        <f>AY1053</f>
        <v/>
      </c>
      <c r="AY1053" s="1379" t="n"/>
      <c r="AZ1053" s="1361" t="n"/>
      <c r="BA1053" s="1361" t="n"/>
      <c r="BB1053" s="1361" t="n"/>
      <c r="BC1053" s="1361">
        <f>BD1053</f>
        <v/>
      </c>
      <c r="BD1053" s="1379" t="n"/>
      <c r="BE1053" s="1361" t="n"/>
      <c r="BF1053" s="1361" t="n"/>
      <c r="BG1053" s="1361" t="n"/>
      <c r="BH1053" s="1361" t="n"/>
      <c r="BI1053" s="1379" t="n"/>
      <c r="BJ1053" s="1361" t="n"/>
      <c r="BK1053" s="1361" t="n"/>
      <c r="BL1053" s="1493" t="n">
        <v>-1000</v>
      </c>
      <c r="BM1053" s="1361">
        <f>BN1053</f>
        <v/>
      </c>
      <c r="BN1053" s="1494" t="n">
        <v>-1350</v>
      </c>
      <c r="BO1053" s="1361" t="n"/>
      <c r="BP1053" s="1361" t="n"/>
      <c r="BQ1053" s="1363" t="n"/>
      <c r="BR1053" s="1361" t="n"/>
      <c r="BS1053" s="1379" t="n"/>
      <c r="BT1053" s="1361" t="n"/>
      <c r="BU1053" s="1361" t="n"/>
      <c r="BV1053" s="1361" t="n"/>
      <c r="BW1053" s="1361" t="n"/>
      <c r="BX1053" s="1379" t="n"/>
      <c r="BY1053" s="1379" t="n"/>
      <c r="BZ1053" s="1379" t="n"/>
      <c r="CA1053" s="1379" t="n"/>
      <c r="CB1053" s="1364" t="n"/>
    </row>
    <row r="1054" hidden="1" outlineLevel="1" ht="14.4" customFormat="1" customHeight="1" s="1359">
      <c r="A1054" s="1394" t="inlineStr">
        <is>
          <t>Proceeds from revolving credit facility</t>
        </is>
      </c>
      <c r="B1054" s="1512" t="n"/>
      <c r="C1054" s="1379" t="n"/>
      <c r="D1054" s="1379" t="n"/>
      <c r="E1054" s="1379" t="n"/>
      <c r="F1054" s="1494" t="n">
        <v>0</v>
      </c>
      <c r="G1054" s="1361" t="n"/>
      <c r="H1054" s="1493" t="n">
        <v>100</v>
      </c>
      <c r="I1054" s="1493" t="n">
        <v>100</v>
      </c>
      <c r="J1054" s="1364">
        <f>K1054</f>
        <v/>
      </c>
      <c r="K1054" s="1494" t="n">
        <v>100</v>
      </c>
      <c r="L1054" s="1361" t="n"/>
      <c r="M1054" s="1493" t="n">
        <v>100</v>
      </c>
      <c r="N1054" s="1493" t="n">
        <v>100</v>
      </c>
      <c r="O1054" s="1364">
        <f>P1054</f>
        <v/>
      </c>
      <c r="P1054" s="1494" t="n">
        <v>100</v>
      </c>
      <c r="Q1054" s="1493" t="n">
        <v>0</v>
      </c>
      <c r="R1054" s="1493" t="n">
        <v>0</v>
      </c>
      <c r="S1054" s="1493" t="n">
        <v>0</v>
      </c>
      <c r="T1054" s="1364">
        <f>U1054</f>
        <v/>
      </c>
      <c r="U1054" s="1494" t="n">
        <v>0</v>
      </c>
      <c r="V1054" s="1493" t="n">
        <v>50</v>
      </c>
      <c r="W1054" s="1493" t="n">
        <v>50</v>
      </c>
      <c r="X1054" s="1493" t="n">
        <v>50</v>
      </c>
      <c r="Y1054" s="1361">
        <f>Z1054</f>
        <v/>
      </c>
      <c r="Z1054" s="1494" t="n">
        <v>115</v>
      </c>
      <c r="AA1054" s="1493" t="n">
        <v>50</v>
      </c>
      <c r="AB1054" s="1493" t="n">
        <v>50</v>
      </c>
      <c r="AC1054" s="1493" t="n">
        <v>50</v>
      </c>
      <c r="AD1054" s="1361">
        <f>AE1054</f>
        <v/>
      </c>
      <c r="AE1054" s="1494" t="n">
        <v>135</v>
      </c>
      <c r="AF1054" s="1361" t="n"/>
      <c r="AG1054" s="1361" t="n"/>
      <c r="AH1054" s="1361" t="n"/>
      <c r="AI1054" s="1361">
        <f>AJ1054</f>
        <v/>
      </c>
      <c r="AJ1054" s="1494" t="n">
        <v>100</v>
      </c>
      <c r="AK1054" s="1493" t="n">
        <v>50</v>
      </c>
      <c r="AL1054" s="1493" t="n">
        <v>150</v>
      </c>
      <c r="AM1054" s="1493" t="n">
        <v>150</v>
      </c>
      <c r="AN1054" s="1361">
        <f>AO1054</f>
        <v/>
      </c>
      <c r="AO1054" s="1494" t="n">
        <v>150</v>
      </c>
      <c r="AP1054" s="1493" t="n">
        <v>350</v>
      </c>
      <c r="AQ1054" s="1493" t="n">
        <v>350</v>
      </c>
      <c r="AR1054" s="1493" t="n">
        <v>350</v>
      </c>
      <c r="AS1054" s="1361">
        <f>AT1054</f>
        <v/>
      </c>
      <c r="AT1054" s="1494" t="n">
        <v>350</v>
      </c>
      <c r="AU1054" s="1493" t="n">
        <v>0</v>
      </c>
      <c r="AV1054" s="1493" t="n">
        <v>0</v>
      </c>
      <c r="AW1054" s="1493" t="n">
        <v>0</v>
      </c>
      <c r="AX1054" s="1361">
        <f>AY1054</f>
        <v/>
      </c>
      <c r="AY1054" s="1379" t="n"/>
      <c r="AZ1054" s="1361" t="n"/>
      <c r="BA1054" s="1361" t="n"/>
      <c r="BB1054" s="1493" t="n">
        <v>450</v>
      </c>
      <c r="BC1054" s="1361">
        <f>BD1054</f>
        <v/>
      </c>
      <c r="BD1054" s="1494" t="n">
        <v>585</v>
      </c>
      <c r="BE1054" s="1493" t="n">
        <v>50</v>
      </c>
      <c r="BF1054" s="1493" t="n">
        <v>50</v>
      </c>
      <c r="BG1054" s="1493" t="n">
        <v>50</v>
      </c>
      <c r="BH1054" s="1361">
        <f>BI1054</f>
        <v/>
      </c>
      <c r="BI1054" s="1494" t="n">
        <v>50</v>
      </c>
      <c r="BJ1054" s="1361" t="n"/>
      <c r="BK1054" s="1361" t="n"/>
      <c r="BL1054" s="1361" t="n"/>
      <c r="BM1054" s="1361" t="n"/>
      <c r="BN1054" s="1379" t="n"/>
      <c r="BO1054" s="1361" t="n"/>
      <c r="BP1054" s="1361" t="n"/>
      <c r="BQ1054" s="1363" t="n"/>
      <c r="BR1054" s="1361" t="n"/>
      <c r="BS1054" s="1379" t="n"/>
      <c r="BT1054" s="1361" t="n"/>
      <c r="BU1054" s="1361" t="n"/>
      <c r="BV1054" s="1361" t="n"/>
      <c r="BW1054" s="1361" t="n"/>
      <c r="BX1054" s="1379" t="n"/>
      <c r="BY1054" s="1379" t="n"/>
      <c r="BZ1054" s="1379" t="n"/>
      <c r="CA1054" s="1379" t="n"/>
      <c r="CB1054" s="1364" t="n"/>
    </row>
    <row r="1055" hidden="1" outlineLevel="1" ht="14.4" customFormat="1" customHeight="1" s="1359">
      <c r="A1055" s="1394" t="inlineStr">
        <is>
          <t>Payment on revolving credit facility</t>
        </is>
      </c>
      <c r="B1055" s="1512" t="n"/>
      <c r="C1055" s="1379" t="n"/>
      <c r="D1055" s="1379" t="n"/>
      <c r="E1055" s="1379" t="n"/>
      <c r="F1055" s="1494" t="n">
        <v>0</v>
      </c>
      <c r="G1055" s="1361" t="n"/>
      <c r="H1055" s="1361" t="n"/>
      <c r="I1055" s="1493" t="n">
        <v>-50</v>
      </c>
      <c r="J1055" s="1364">
        <f>K1055</f>
        <v/>
      </c>
      <c r="K1055" s="1494" t="n">
        <v>-100</v>
      </c>
      <c r="L1055" s="1361" t="n"/>
      <c r="M1055" s="1361" t="n"/>
      <c r="N1055" s="1493" t="n">
        <v>-100</v>
      </c>
      <c r="O1055" s="1364">
        <f>P1055</f>
        <v/>
      </c>
      <c r="P1055" s="1494" t="n">
        <v>-100</v>
      </c>
      <c r="Q1055" s="1361" t="n"/>
      <c r="R1055" s="1361" t="n"/>
      <c r="S1055" s="1493" t="n">
        <v>0</v>
      </c>
      <c r="T1055" s="1364">
        <f>U1055</f>
        <v/>
      </c>
      <c r="U1055" s="1494" t="n">
        <v>0</v>
      </c>
      <c r="V1055" s="1361" t="n"/>
      <c r="W1055" s="1361" t="n"/>
      <c r="X1055" s="1361" t="n"/>
      <c r="Y1055" s="1361">
        <f>Z1055</f>
        <v/>
      </c>
      <c r="Z1055" s="1494" t="n">
        <v>-65</v>
      </c>
      <c r="AA1055" s="1493" t="n">
        <v>-50</v>
      </c>
      <c r="AB1055" s="1493" t="n">
        <v>-100</v>
      </c>
      <c r="AC1055" s="1493" t="n">
        <v>-100</v>
      </c>
      <c r="AD1055" s="1361">
        <f>AE1055</f>
        <v/>
      </c>
      <c r="AE1055" s="1494" t="n">
        <v>-100</v>
      </c>
      <c r="AF1055" s="1493" t="n">
        <v>-40</v>
      </c>
      <c r="AG1055" s="1493" t="n">
        <v>-85</v>
      </c>
      <c r="AH1055" s="1493" t="n">
        <v>-85</v>
      </c>
      <c r="AI1055" s="1361">
        <f>AJ1055</f>
        <v/>
      </c>
      <c r="AJ1055" s="1494" t="n">
        <v>-85</v>
      </c>
      <c r="AK1055" s="1493" t="n">
        <v>-100</v>
      </c>
      <c r="AL1055" s="1493" t="n">
        <v>-250</v>
      </c>
      <c r="AM1055" s="1493" t="n">
        <v>-250</v>
      </c>
      <c r="AN1055" s="1361">
        <f>AO1055</f>
        <v/>
      </c>
      <c r="AO1055" s="1494" t="n">
        <v>-250</v>
      </c>
      <c r="AP1055" s="1493" t="n">
        <v>0</v>
      </c>
      <c r="AQ1055" s="1493" t="n">
        <v>0</v>
      </c>
      <c r="AR1055" s="1361" t="n"/>
      <c r="AS1055" s="1361">
        <f>AT1055</f>
        <v/>
      </c>
      <c r="AT1055" s="1494" t="n">
        <v>-350</v>
      </c>
      <c r="AU1055" s="1361" t="n"/>
      <c r="AV1055" s="1361" t="n"/>
      <c r="AW1055" s="1361" t="n"/>
      <c r="AX1055" s="1361">
        <f>AY1055</f>
        <v/>
      </c>
      <c r="AY1055" s="1379" t="n"/>
      <c r="AZ1055" s="1361" t="n"/>
      <c r="BA1055" s="1361" t="n"/>
      <c r="BB1055" s="1493" t="n">
        <v>-300</v>
      </c>
      <c r="BC1055" s="1361">
        <f>BD1055</f>
        <v/>
      </c>
      <c r="BD1055" s="1494" t="n">
        <v>-485</v>
      </c>
      <c r="BE1055" s="1493" t="n">
        <v>-120</v>
      </c>
      <c r="BF1055" s="1493" t="n">
        <v>-150</v>
      </c>
      <c r="BG1055" s="1493" t="n">
        <v>-150</v>
      </c>
      <c r="BH1055" s="1361">
        <f>BI1055</f>
        <v/>
      </c>
      <c r="BI1055" s="1494" t="n">
        <v>-150</v>
      </c>
      <c r="BJ1055" s="1361" t="n"/>
      <c r="BK1055" s="1361" t="n"/>
      <c r="BL1055" s="1361" t="n"/>
      <c r="BM1055" s="1361" t="n"/>
      <c r="BN1055" s="1379" t="n"/>
      <c r="BO1055" s="1361" t="n"/>
      <c r="BP1055" s="1361" t="n"/>
      <c r="BQ1055" s="1363" t="n"/>
      <c r="BR1055" s="1361" t="n"/>
      <c r="BS1055" s="1379" t="n"/>
      <c r="BT1055" s="1361" t="n"/>
      <c r="BU1055" s="1361" t="n"/>
      <c r="BV1055" s="1361" t="n"/>
      <c r="BW1055" s="1361" t="n"/>
      <c r="BX1055" s="1379" t="n"/>
      <c r="BY1055" s="1379" t="n"/>
      <c r="BZ1055" s="1379" t="n"/>
      <c r="CA1055" s="1379" t="n"/>
      <c r="CB1055" s="1364" t="n"/>
    </row>
    <row r="1056" hidden="1" outlineLevel="1" ht="14.4" customFormat="1" customHeight="1" s="1359">
      <c r="A1056" s="1394" t="inlineStr">
        <is>
          <t>Payment of convertible notes</t>
        </is>
      </c>
      <c r="B1056" s="1512" t="n"/>
      <c r="C1056" s="1379" t="n"/>
      <c r="D1056" s="1494" t="n">
        <v>-192.364</v>
      </c>
      <c r="E1056" s="1494" t="n">
        <v>-150</v>
      </c>
      <c r="F1056" s="1494" t="n">
        <v>0</v>
      </c>
      <c r="G1056" s="1361" t="n"/>
      <c r="H1056" s="1361" t="n"/>
      <c r="I1056" s="1493" t="n">
        <v>-0.078</v>
      </c>
      <c r="J1056" s="1364">
        <f>K1056</f>
        <v/>
      </c>
      <c r="K1056" s="1494" t="n">
        <v>-144.639</v>
      </c>
      <c r="L1056" s="1493" t="n">
        <v>0</v>
      </c>
      <c r="M1056" s="1493" t="n">
        <v>0</v>
      </c>
      <c r="N1056" s="1493" t="n">
        <v>-0.001</v>
      </c>
      <c r="O1056" s="1364">
        <f>P1056</f>
        <v/>
      </c>
      <c r="P1056" s="1494" t="n">
        <v>-0.001</v>
      </c>
      <c r="Q1056" s="1493" t="n">
        <v>-53.862</v>
      </c>
      <c r="R1056" s="1493" t="n">
        <v>-349.999</v>
      </c>
      <c r="S1056" s="1493" t="n">
        <v>-349.999</v>
      </c>
      <c r="T1056" s="1364">
        <f>U1056</f>
        <v/>
      </c>
      <c r="U1056" s="1494" t="n">
        <v>-349.999</v>
      </c>
      <c r="V1056" s="1493" t="n">
        <v>0</v>
      </c>
      <c r="W1056" s="1361" t="n"/>
      <c r="X1056" s="1361" t="n"/>
      <c r="Y1056" s="1361">
        <f>Z1056</f>
        <v/>
      </c>
      <c r="Z1056" s="1379" t="n"/>
      <c r="AA1056" s="1361" t="n"/>
      <c r="AB1056" s="1361" t="n"/>
      <c r="AC1056" s="1361" t="n"/>
      <c r="AD1056" s="1361">
        <f>AE1056</f>
        <v/>
      </c>
      <c r="AE1056" s="1379" t="n"/>
      <c r="AF1056" s="1361" t="n"/>
      <c r="AG1056" s="1361" t="n"/>
      <c r="AH1056" s="1361" t="n"/>
      <c r="AI1056" s="1361">
        <f>AJ1056</f>
        <v/>
      </c>
      <c r="AJ1056" s="1379" t="n"/>
      <c r="AK1056" s="1361" t="n"/>
      <c r="AL1056" s="1361" t="n"/>
      <c r="AM1056" s="1361" t="n"/>
      <c r="AN1056" s="1361">
        <f>AO1056</f>
        <v/>
      </c>
      <c r="AO1056" s="1379" t="n"/>
      <c r="AP1056" s="1361" t="n"/>
      <c r="AQ1056" s="1361" t="n"/>
      <c r="AR1056" s="1361" t="n"/>
      <c r="AS1056" s="1361">
        <f>AT1056</f>
        <v/>
      </c>
      <c r="AT1056" s="1379" t="n"/>
      <c r="AU1056" s="1361" t="n"/>
      <c r="AV1056" s="1361" t="n"/>
      <c r="AW1056" s="1361" t="n"/>
      <c r="AX1056" s="1361">
        <f>AY1056</f>
        <v/>
      </c>
      <c r="AY1056" s="1379" t="n"/>
      <c r="AZ1056" s="1361" t="n"/>
      <c r="BA1056" s="1361" t="n"/>
      <c r="BB1056" s="1361" t="n"/>
      <c r="BC1056" s="1361">
        <f>BD1056</f>
        <v/>
      </c>
      <c r="BD1056" s="1379" t="n"/>
      <c r="BE1056" s="1361" t="n"/>
      <c r="BF1056" s="1361" t="n"/>
      <c r="BG1056" s="1361" t="n"/>
      <c r="BH1056" s="1361" t="n"/>
      <c r="BI1056" s="1379" t="n"/>
      <c r="BJ1056" s="1361" t="n"/>
      <c r="BK1056" s="1361" t="n"/>
      <c r="BL1056" s="1361" t="n"/>
      <c r="BM1056" s="1361" t="n"/>
      <c r="BN1056" s="1379" t="n"/>
      <c r="BO1056" s="1361" t="n"/>
      <c r="BP1056" s="1361" t="n"/>
      <c r="BQ1056" s="1363" t="n"/>
      <c r="BR1056" s="1361" t="n"/>
      <c r="BS1056" s="1379" t="n"/>
      <c r="BT1056" s="1361" t="n"/>
      <c r="BU1056" s="1361" t="n"/>
      <c r="BV1056" s="1361" t="n"/>
      <c r="BW1056" s="1361" t="n"/>
      <c r="BX1056" s="1379" t="n"/>
      <c r="BY1056" s="1379" t="n"/>
      <c r="BZ1056" s="1379" t="n"/>
      <c r="CA1056" s="1379" t="n"/>
      <c r="CB1056" s="1364" t="n"/>
    </row>
    <row r="1057" hidden="1" outlineLevel="1" ht="14.4" customFormat="1" customHeight="1" s="1359">
      <c r="A1057" s="1394" t="inlineStr">
        <is>
          <t>Payment of convertible notes embedded conversion derivative liability</t>
        </is>
      </c>
      <c r="B1057" s="1512" t="n"/>
      <c r="C1057" s="1379" t="n"/>
      <c r="D1057" s="1379" t="n"/>
      <c r="E1057" s="1379" t="n"/>
      <c r="F1057" s="1379" t="n"/>
      <c r="G1057" s="1361" t="n"/>
      <c r="H1057" s="1361" t="n"/>
      <c r="I1057" s="1493" t="n">
        <v>0</v>
      </c>
      <c r="J1057" s="1364">
        <f>K1057</f>
        <v/>
      </c>
      <c r="K1057" s="1494" t="n">
        <v>0</v>
      </c>
      <c r="L1057" s="1493" t="n">
        <v>0</v>
      </c>
      <c r="M1057" s="1493" t="n">
        <v>0</v>
      </c>
      <c r="N1057" s="1493" t="n">
        <v>-0.001</v>
      </c>
      <c r="O1057" s="1364">
        <f>P1057</f>
        <v/>
      </c>
      <c r="P1057" s="1494" t="n">
        <v>-0.001</v>
      </c>
      <c r="Q1057" s="1493" t="n">
        <v>-77.139</v>
      </c>
      <c r="R1057" s="1493" t="n">
        <v>-530.643</v>
      </c>
      <c r="S1057" s="1493" t="n">
        <v>-530.643</v>
      </c>
      <c r="T1057" s="1364">
        <f>U1057</f>
        <v/>
      </c>
      <c r="U1057" s="1494" t="n">
        <v>-530.643</v>
      </c>
      <c r="V1057" s="1493" t="n">
        <v>0</v>
      </c>
      <c r="W1057" s="1361" t="n"/>
      <c r="X1057" s="1361" t="n"/>
      <c r="Y1057" s="1361">
        <f>Z1057</f>
        <v/>
      </c>
      <c r="Z1057" s="1379" t="n"/>
      <c r="AA1057" s="1361" t="n"/>
      <c r="AB1057" s="1361" t="n"/>
      <c r="AC1057" s="1361" t="n"/>
      <c r="AD1057" s="1361">
        <f>AE1057</f>
        <v/>
      </c>
      <c r="AE1057" s="1379" t="n"/>
      <c r="AF1057" s="1361" t="n"/>
      <c r="AG1057" s="1361" t="n"/>
      <c r="AH1057" s="1361" t="n"/>
      <c r="AI1057" s="1361">
        <f>AJ1057</f>
        <v/>
      </c>
      <c r="AJ1057" s="1379" t="n"/>
      <c r="AK1057" s="1361" t="n"/>
      <c r="AL1057" s="1361" t="n"/>
      <c r="AM1057" s="1361" t="n"/>
      <c r="AN1057" s="1361">
        <f>AO1057</f>
        <v/>
      </c>
      <c r="AO1057" s="1379" t="n"/>
      <c r="AP1057" s="1361" t="n"/>
      <c r="AQ1057" s="1361" t="n"/>
      <c r="AR1057" s="1361" t="n"/>
      <c r="AS1057" s="1361">
        <f>AT1057</f>
        <v/>
      </c>
      <c r="AT1057" s="1379" t="n"/>
      <c r="AU1057" s="1361" t="n"/>
      <c r="AV1057" s="1361" t="n"/>
      <c r="AW1057" s="1361" t="n"/>
      <c r="AX1057" s="1361">
        <f>AY1057</f>
        <v/>
      </c>
      <c r="AY1057" s="1379" t="n"/>
      <c r="AZ1057" s="1361" t="n"/>
      <c r="BA1057" s="1361" t="n"/>
      <c r="BB1057" s="1361" t="n"/>
      <c r="BC1057" s="1361">
        <f>BD1057</f>
        <v/>
      </c>
      <c r="BD1057" s="1379" t="n"/>
      <c r="BE1057" s="1361" t="n"/>
      <c r="BF1057" s="1361" t="n"/>
      <c r="BG1057" s="1361" t="n"/>
      <c r="BH1057" s="1361" t="n"/>
      <c r="BI1057" s="1379" t="n"/>
      <c r="BJ1057" s="1361" t="n"/>
      <c r="BK1057" s="1361" t="n"/>
      <c r="BL1057" s="1361" t="n"/>
      <c r="BM1057" s="1361" t="n"/>
      <c r="BN1057" s="1379" t="n"/>
      <c r="BO1057" s="1361" t="n"/>
      <c r="BP1057" s="1361" t="n"/>
      <c r="BQ1057" s="1363" t="n"/>
      <c r="BR1057" s="1361" t="n"/>
      <c r="BS1057" s="1379" t="n"/>
      <c r="BT1057" s="1361" t="n"/>
      <c r="BU1057" s="1361" t="n"/>
      <c r="BV1057" s="1361" t="n"/>
      <c r="BW1057" s="1361" t="n"/>
      <c r="BX1057" s="1379" t="n"/>
      <c r="BY1057" s="1379" t="n"/>
      <c r="BZ1057" s="1379" t="n"/>
      <c r="CA1057" s="1379" t="n"/>
      <c r="CB1057" s="1364" t="n"/>
    </row>
    <row r="1058" hidden="1" outlineLevel="1" ht="14.4" customFormat="1" customHeight="1" s="1359">
      <c r="A1058" s="1394" t="inlineStr">
        <is>
          <t>Proceeds from convertible notes hedges</t>
        </is>
      </c>
      <c r="B1058" s="1512" t="n"/>
      <c r="C1058" s="1379" t="n"/>
      <c r="D1058" s="1379" t="n"/>
      <c r="E1058" s="1379" t="n"/>
      <c r="F1058" s="1379" t="n"/>
      <c r="G1058" s="1361" t="n"/>
      <c r="H1058" s="1361" t="n"/>
      <c r="I1058" s="1493" t="n">
        <v>0</v>
      </c>
      <c r="J1058" s="1364">
        <f>K1058</f>
        <v/>
      </c>
      <c r="K1058" s="1494" t="n">
        <v>0</v>
      </c>
      <c r="L1058" s="1493" t="n">
        <v>0</v>
      </c>
      <c r="M1058" s="1493" t="n">
        <v>0</v>
      </c>
      <c r="N1058" s="1493" t="n">
        <v>0.001</v>
      </c>
      <c r="O1058" s="1364">
        <f>P1058</f>
        <v/>
      </c>
      <c r="P1058" s="1494" t="n">
        <v>0.001</v>
      </c>
      <c r="Q1058" s="1493" t="n">
        <v>77.139</v>
      </c>
      <c r="R1058" s="1493" t="n">
        <v>530.643</v>
      </c>
      <c r="S1058" s="1493" t="n">
        <v>530.643</v>
      </c>
      <c r="T1058" s="1364">
        <f>U1058</f>
        <v/>
      </c>
      <c r="U1058" s="1494" t="n">
        <v>530.643</v>
      </c>
      <c r="V1058" s="1493" t="n">
        <v>0</v>
      </c>
      <c r="W1058" s="1361" t="n"/>
      <c r="X1058" s="1361" t="n"/>
      <c r="Y1058" s="1361">
        <f>Z1058</f>
        <v/>
      </c>
      <c r="Z1058" s="1379" t="n"/>
      <c r="AA1058" s="1361" t="n"/>
      <c r="AB1058" s="1361" t="n"/>
      <c r="AC1058" s="1361" t="n"/>
      <c r="AD1058" s="1361">
        <f>AE1058</f>
        <v/>
      </c>
      <c r="AE1058" s="1379" t="n"/>
      <c r="AF1058" s="1361" t="n"/>
      <c r="AG1058" s="1361" t="n"/>
      <c r="AH1058" s="1361" t="n"/>
      <c r="AI1058" s="1361">
        <f>AJ1058</f>
        <v/>
      </c>
      <c r="AJ1058" s="1379" t="n"/>
      <c r="AK1058" s="1361" t="n"/>
      <c r="AL1058" s="1361" t="n"/>
      <c r="AM1058" s="1361" t="n"/>
      <c r="AN1058" s="1361">
        <f>AO1058</f>
        <v/>
      </c>
      <c r="AO1058" s="1379" t="n"/>
      <c r="AP1058" s="1361" t="n"/>
      <c r="AQ1058" s="1361" t="n"/>
      <c r="AR1058" s="1361" t="n"/>
      <c r="AS1058" s="1361">
        <f>AT1058</f>
        <v/>
      </c>
      <c r="AT1058" s="1379" t="n"/>
      <c r="AU1058" s="1361" t="n"/>
      <c r="AV1058" s="1361" t="n"/>
      <c r="AW1058" s="1361" t="n"/>
      <c r="AX1058" s="1361">
        <f>AY1058</f>
        <v/>
      </c>
      <c r="AY1058" s="1379" t="n"/>
      <c r="AZ1058" s="1361" t="n"/>
      <c r="BA1058" s="1361" t="n"/>
      <c r="BB1058" s="1361" t="n"/>
      <c r="BC1058" s="1361">
        <f>BD1058</f>
        <v/>
      </c>
      <c r="BD1058" s="1379" t="n"/>
      <c r="BE1058" s="1361" t="n"/>
      <c r="BF1058" s="1361" t="n"/>
      <c r="BG1058" s="1361" t="n"/>
      <c r="BH1058" s="1361" t="n"/>
      <c r="BI1058" s="1379" t="n"/>
      <c r="BJ1058" s="1361" t="n"/>
      <c r="BK1058" s="1361" t="n"/>
      <c r="BL1058" s="1361" t="n"/>
      <c r="BM1058" s="1361" t="n"/>
      <c r="BN1058" s="1379" t="n"/>
      <c r="BO1058" s="1361" t="n"/>
      <c r="BP1058" s="1361" t="n"/>
      <c r="BQ1058" s="1363" t="n"/>
      <c r="BR1058" s="1361" t="n"/>
      <c r="BS1058" s="1379" t="n"/>
      <c r="BT1058" s="1361" t="n"/>
      <c r="BU1058" s="1361" t="n"/>
      <c r="BV1058" s="1361" t="n"/>
      <c r="BW1058" s="1361" t="n"/>
      <c r="BX1058" s="1379" t="n"/>
      <c r="BY1058" s="1379" t="n"/>
      <c r="BZ1058" s="1379" t="n"/>
      <c r="CA1058" s="1379" t="n"/>
      <c r="CB1058" s="1364" t="n"/>
    </row>
    <row r="1059" hidden="1" outlineLevel="1" ht="14.4" customFormat="1" customHeight="1" s="1359">
      <c r="A1059" s="1394" t="inlineStr">
        <is>
          <t>Principal payments on receivable financing</t>
        </is>
      </c>
      <c r="B1059" s="1512" t="n"/>
      <c r="C1059" s="1494" t="n">
        <v>-2.467</v>
      </c>
      <c r="D1059" s="1494" t="n">
        <v>-3.54</v>
      </c>
      <c r="E1059" s="1494" t="n">
        <v>-5.842</v>
      </c>
      <c r="F1059" s="1494" t="n">
        <v>-5.776</v>
      </c>
      <c r="G1059" s="1493" t="n">
        <v>-2.526</v>
      </c>
      <c r="H1059" s="1493" t="n">
        <v>-2.526</v>
      </c>
      <c r="I1059" s="1493" t="n">
        <v>-2.526</v>
      </c>
      <c r="J1059" s="1364">
        <f>K1059</f>
        <v/>
      </c>
      <c r="K1059" s="1494" t="n">
        <v>-2.526</v>
      </c>
      <c r="L1059" s="1361" t="n"/>
      <c r="M1059" s="1361" t="n"/>
      <c r="N1059" s="1361" t="n"/>
      <c r="O1059" s="1364">
        <f>P1059</f>
        <v/>
      </c>
      <c r="P1059" s="1494" t="n">
        <v>0</v>
      </c>
      <c r="Q1059" s="1361" t="n"/>
      <c r="R1059" s="1361" t="n"/>
      <c r="S1059" s="1361" t="n"/>
      <c r="T1059" s="1364">
        <f>U1059</f>
        <v/>
      </c>
      <c r="U1059" s="1494" t="n">
        <v>0</v>
      </c>
      <c r="V1059" s="1361" t="n"/>
      <c r="W1059" s="1361" t="n"/>
      <c r="X1059" s="1361" t="n"/>
      <c r="Y1059" s="1361">
        <f>Z1059</f>
        <v/>
      </c>
      <c r="Z1059" s="1379" t="n"/>
      <c r="AA1059" s="1361" t="n"/>
      <c r="AB1059" s="1361" t="n"/>
      <c r="AC1059" s="1361" t="n"/>
      <c r="AD1059" s="1361">
        <f>AE1059</f>
        <v/>
      </c>
      <c r="AE1059" s="1379" t="n"/>
      <c r="AF1059" s="1361" t="n"/>
      <c r="AG1059" s="1361" t="n"/>
      <c r="AH1059" s="1361" t="n"/>
      <c r="AI1059" s="1361">
        <f>AJ1059</f>
        <v/>
      </c>
      <c r="AJ1059" s="1379" t="n"/>
      <c r="AK1059" s="1361" t="n"/>
      <c r="AL1059" s="1361" t="n"/>
      <c r="AM1059" s="1361" t="n"/>
      <c r="AN1059" s="1361">
        <f>AO1059</f>
        <v/>
      </c>
      <c r="AO1059" s="1379" t="n"/>
      <c r="AP1059" s="1361" t="n"/>
      <c r="AQ1059" s="1361" t="n"/>
      <c r="AR1059" s="1361" t="n"/>
      <c r="AS1059" s="1361">
        <f>AT1059</f>
        <v/>
      </c>
      <c r="AT1059" s="1379" t="n"/>
      <c r="AU1059" s="1361" t="n"/>
      <c r="AV1059" s="1361" t="n"/>
      <c r="AW1059" s="1361" t="n"/>
      <c r="AX1059" s="1361">
        <f>AY1059</f>
        <v/>
      </c>
      <c r="AY1059" s="1379" t="n"/>
      <c r="AZ1059" s="1361" t="n"/>
      <c r="BA1059" s="1361" t="n"/>
      <c r="BB1059" s="1361" t="n"/>
      <c r="BC1059" s="1361">
        <f>BD1059</f>
        <v/>
      </c>
      <c r="BD1059" s="1379" t="n"/>
      <c r="BE1059" s="1361" t="n"/>
      <c r="BF1059" s="1361" t="n"/>
      <c r="BG1059" s="1361" t="n"/>
      <c r="BH1059" s="1361" t="n"/>
      <c r="BI1059" s="1379" t="n"/>
      <c r="BJ1059" s="1361" t="n"/>
      <c r="BK1059" s="1361" t="n"/>
      <c r="BL1059" s="1361" t="n"/>
      <c r="BM1059" s="1361" t="n"/>
      <c r="BN1059" s="1379" t="n"/>
      <c r="BO1059" s="1361" t="n"/>
      <c r="BP1059" s="1361" t="n"/>
      <c r="BQ1059" s="1363" t="n"/>
      <c r="BR1059" s="1361" t="n"/>
      <c r="BS1059" s="1379" t="n"/>
      <c r="BT1059" s="1361" t="n"/>
      <c r="BU1059" s="1361" t="n"/>
      <c r="BV1059" s="1361" t="n"/>
      <c r="BW1059" s="1361" t="n"/>
      <c r="BX1059" s="1379" t="n"/>
      <c r="BY1059" s="1379" t="n"/>
      <c r="BZ1059" s="1379" t="n"/>
      <c r="CA1059" s="1379" t="n"/>
      <c r="CB1059" s="1364" t="n"/>
    </row>
    <row r="1060" hidden="1" outlineLevel="1" ht="14.4" customFormat="1" customHeight="1" s="1359">
      <c r="A1060" s="1394" t="inlineStr">
        <is>
          <t>Payment of debt issuance costs</t>
        </is>
      </c>
      <c r="B1060" s="1512" t="n"/>
      <c r="C1060" s="1379" t="n"/>
      <c r="D1060" s="1494" t="n">
        <v>-10.532</v>
      </c>
      <c r="E1060" s="1494" t="n">
        <v>0</v>
      </c>
      <c r="F1060" s="1494" t="n">
        <v>-1.372</v>
      </c>
      <c r="G1060" s="1361" t="n"/>
      <c r="H1060" s="1361" t="n"/>
      <c r="I1060" s="1493" t="n">
        <v>0</v>
      </c>
      <c r="J1060" s="1364">
        <f>K1060</f>
        <v/>
      </c>
      <c r="K1060" s="1494" t="n">
        <v>0</v>
      </c>
      <c r="L1060" s="1361" t="n"/>
      <c r="M1060" s="1361" t="n"/>
      <c r="N1060" s="1493" t="n">
        <v>-0.322</v>
      </c>
      <c r="O1060" s="1364">
        <f>P1060</f>
        <v/>
      </c>
      <c r="P1060" s="1494" t="n">
        <v>-6.5</v>
      </c>
      <c r="Q1060" s="1493" t="n">
        <v>0</v>
      </c>
      <c r="R1060" s="1361" t="n"/>
      <c r="S1060" s="1493" t="n">
        <v>0</v>
      </c>
      <c r="T1060" s="1364">
        <f>U1060</f>
        <v/>
      </c>
      <c r="U1060" s="1494" t="n">
        <v>0</v>
      </c>
      <c r="V1060" s="1493" t="n">
        <v>-0.542</v>
      </c>
      <c r="W1060" s="1493" t="n">
        <v>-0.622</v>
      </c>
      <c r="X1060" s="1493" t="n">
        <v>-0.622</v>
      </c>
      <c r="Y1060" s="1361">
        <f>Z1060</f>
        <v/>
      </c>
      <c r="Z1060" s="1494" t="n">
        <v>-0.622</v>
      </c>
      <c r="AA1060" s="1493" t="n">
        <v>-0.793</v>
      </c>
      <c r="AB1060" s="1493" t="n">
        <v>-0.793</v>
      </c>
      <c r="AC1060" s="1493" t="n">
        <v>-0.793</v>
      </c>
      <c r="AD1060" s="1361">
        <f>AE1060</f>
        <v/>
      </c>
      <c r="AE1060" s="1494" t="n">
        <v>-0.793</v>
      </c>
      <c r="AF1060" s="1361" t="n"/>
      <c r="AG1060" s="1361" t="n"/>
      <c r="AH1060" s="1361" t="n"/>
      <c r="AI1060" s="1361">
        <f>AJ1060</f>
        <v/>
      </c>
      <c r="AJ1060" s="1379" t="n"/>
      <c r="AK1060" s="1361" t="n"/>
      <c r="AL1060" s="1361" t="n"/>
      <c r="AM1060" s="1361" t="n"/>
      <c r="AN1060" s="1361">
        <f>AO1060</f>
        <v/>
      </c>
      <c r="AO1060" s="1379" t="n"/>
      <c r="AP1060" s="1361" t="n"/>
      <c r="AQ1060" s="1361" t="n"/>
      <c r="AR1060" s="1361" t="n"/>
      <c r="AS1060" s="1361">
        <f>AT1060</f>
        <v/>
      </c>
      <c r="AT1060" s="1379" t="n"/>
      <c r="AU1060" s="1361" t="n"/>
      <c r="AV1060" s="1493" t="n">
        <v>-1.285</v>
      </c>
      <c r="AW1060" s="1493" t="n">
        <v>-1.285</v>
      </c>
      <c r="AX1060" s="1361">
        <f>AY1060</f>
        <v/>
      </c>
      <c r="AY1060" s="1494" t="n">
        <v>-1.285</v>
      </c>
      <c r="AZ1060" s="1361" t="n"/>
      <c r="BA1060" s="1361" t="n"/>
      <c r="BB1060" s="1493" t="n">
        <v>-0.425</v>
      </c>
      <c r="BC1060" s="1361">
        <f>BD1060</f>
        <v/>
      </c>
      <c r="BD1060" s="1494" t="n">
        <v>-0.425</v>
      </c>
      <c r="BE1060" s="1361" t="n"/>
      <c r="BF1060" s="1361" t="n"/>
      <c r="BG1060" s="1361" t="n"/>
      <c r="BH1060" s="1361" t="n"/>
      <c r="BI1060" s="1379" t="n"/>
      <c r="BJ1060" s="1361" t="n"/>
      <c r="BK1060" s="1493" t="n">
        <v>-0.944</v>
      </c>
      <c r="BL1060" s="1493" t="n">
        <v>-22.669</v>
      </c>
      <c r="BM1060" s="1361">
        <f>BN1060</f>
        <v/>
      </c>
      <c r="BN1060" s="1494" t="n">
        <v>-23.828</v>
      </c>
      <c r="BO1060" s="1361" t="n"/>
      <c r="BP1060" s="1361" t="n"/>
      <c r="BQ1060" s="1363" t="n"/>
      <c r="BR1060" s="1361" t="n"/>
      <c r="BS1060" s="1379" t="n"/>
      <c r="BT1060" s="1361" t="n"/>
      <c r="BU1060" s="1361" t="n"/>
      <c r="BV1060" s="1361" t="n"/>
      <c r="BW1060" s="1361" t="n"/>
      <c r="BX1060" s="1379" t="n"/>
      <c r="BY1060" s="1379" t="n"/>
      <c r="BZ1060" s="1379" t="n"/>
      <c r="CA1060" s="1379" t="n"/>
      <c r="CB1060" s="1364" t="n"/>
    </row>
    <row r="1061" hidden="1" outlineLevel="1" ht="14.4" customFormat="1" customHeight="1" s="1359">
      <c r="A1061" s="1394" t="inlineStr">
        <is>
          <t>Purchase of 2015 notes hedges</t>
        </is>
      </c>
      <c r="B1061" s="1512" t="n"/>
      <c r="C1061" s="1379" t="n"/>
      <c r="D1061" s="1494" t="n">
        <v>-76.63500000000001</v>
      </c>
      <c r="E1061" s="1494" t="n">
        <v>0</v>
      </c>
      <c r="F1061" s="1379" t="n"/>
      <c r="G1061" s="1361" t="n"/>
      <c r="H1061" s="1361" t="n"/>
      <c r="I1061" s="1361" t="n"/>
      <c r="J1061" s="1364">
        <f>K1061</f>
        <v/>
      </c>
      <c r="K1061" s="1379" t="n"/>
      <c r="L1061" s="1361" t="n"/>
      <c r="M1061" s="1361" t="n"/>
      <c r="N1061" s="1361" t="n"/>
      <c r="O1061" s="1364">
        <f>P1061</f>
        <v/>
      </c>
      <c r="P1061" s="1379" t="n"/>
      <c r="Q1061" s="1361" t="n"/>
      <c r="R1061" s="1361" t="n"/>
      <c r="S1061" s="1361" t="n"/>
      <c r="T1061" s="1364">
        <f>U1061</f>
        <v/>
      </c>
      <c r="U1061" s="1379" t="n"/>
      <c r="V1061" s="1361" t="n"/>
      <c r="W1061" s="1361" t="n"/>
      <c r="X1061" s="1361" t="n"/>
      <c r="Y1061" s="1361">
        <f>Z1061</f>
        <v/>
      </c>
      <c r="Z1061" s="1379" t="n"/>
      <c r="AA1061" s="1361" t="n"/>
      <c r="AB1061" s="1361" t="n"/>
      <c r="AC1061" s="1361" t="n"/>
      <c r="AD1061" s="1361">
        <f>AE1061</f>
        <v/>
      </c>
      <c r="AE1061" s="1379" t="n"/>
      <c r="AF1061" s="1361" t="n"/>
      <c r="AG1061" s="1361" t="n"/>
      <c r="AH1061" s="1361" t="n"/>
      <c r="AI1061" s="1361">
        <f>AJ1061</f>
        <v/>
      </c>
      <c r="AJ1061" s="1379" t="n"/>
      <c r="AK1061" s="1361" t="n"/>
      <c r="AL1061" s="1361" t="n"/>
      <c r="AM1061" s="1361" t="n"/>
      <c r="AN1061" s="1361">
        <f>AO1061</f>
        <v/>
      </c>
      <c r="AO1061" s="1379" t="n"/>
      <c r="AP1061" s="1361" t="n"/>
      <c r="AQ1061" s="1361" t="n"/>
      <c r="AR1061" s="1361" t="n"/>
      <c r="AS1061" s="1361">
        <f>AT1061</f>
        <v/>
      </c>
      <c r="AT1061" s="1379" t="n"/>
      <c r="AU1061" s="1361" t="n"/>
      <c r="AV1061" s="1361" t="n"/>
      <c r="AW1061" s="1361" t="n"/>
      <c r="AX1061" s="1361">
        <f>AY1061</f>
        <v/>
      </c>
      <c r="AY1061" s="1379" t="n"/>
      <c r="AZ1061" s="1361" t="n"/>
      <c r="BA1061" s="1361" t="n"/>
      <c r="BB1061" s="1361" t="n"/>
      <c r="BC1061" s="1361">
        <f>BD1061</f>
        <v/>
      </c>
      <c r="BD1061" s="1379" t="n"/>
      <c r="BE1061" s="1361" t="n"/>
      <c r="BF1061" s="1361" t="n"/>
      <c r="BG1061" s="1361" t="n"/>
      <c r="BH1061" s="1361" t="n"/>
      <c r="BI1061" s="1379" t="n"/>
      <c r="BJ1061" s="1361" t="n"/>
      <c r="BK1061" s="1361" t="n"/>
      <c r="BL1061" s="1361" t="n"/>
      <c r="BM1061" s="1361" t="n"/>
      <c r="BN1061" s="1379" t="n"/>
      <c r="BO1061" s="1361" t="n"/>
      <c r="BP1061" s="1361" t="n"/>
      <c r="BQ1061" s="1363" t="n"/>
      <c r="BR1061" s="1361" t="n"/>
      <c r="BS1061" s="1379" t="n"/>
      <c r="BT1061" s="1361" t="n"/>
      <c r="BU1061" s="1361" t="n"/>
      <c r="BV1061" s="1361" t="n"/>
      <c r="BW1061" s="1361" t="n"/>
      <c r="BX1061" s="1379" t="n"/>
      <c r="BY1061" s="1379" t="n"/>
      <c r="BZ1061" s="1379" t="n"/>
      <c r="CA1061" s="1379" t="n"/>
      <c r="CB1061" s="1364" t="n"/>
    </row>
    <row r="1062" hidden="1" outlineLevel="1" ht="14.4" customFormat="1" customHeight="1" s="1359">
      <c r="A1062" s="1394" t="inlineStr">
        <is>
          <t>Proceeds from termination of 2011 and 2013 notes hedges</t>
        </is>
      </c>
      <c r="B1062" s="1512" t="n"/>
      <c r="C1062" s="1379" t="n"/>
      <c r="D1062" s="1494" t="n">
        <v>0.311</v>
      </c>
      <c r="E1062" s="1494" t="n">
        <v>0</v>
      </c>
      <c r="F1062" s="1379" t="n"/>
      <c r="G1062" s="1361" t="n"/>
      <c r="H1062" s="1361" t="n"/>
      <c r="I1062" s="1361" t="n"/>
      <c r="J1062" s="1364">
        <f>K1062</f>
        <v/>
      </c>
      <c r="K1062" s="1379" t="n"/>
      <c r="L1062" s="1361" t="n"/>
      <c r="M1062" s="1361" t="n"/>
      <c r="N1062" s="1361" t="n"/>
      <c r="O1062" s="1364">
        <f>P1062</f>
        <v/>
      </c>
      <c r="P1062" s="1379" t="n"/>
      <c r="Q1062" s="1361" t="n"/>
      <c r="R1062" s="1361" t="n"/>
      <c r="S1062" s="1361" t="n"/>
      <c r="T1062" s="1364">
        <f>U1062</f>
        <v/>
      </c>
      <c r="U1062" s="1379" t="n"/>
      <c r="V1062" s="1361" t="n"/>
      <c r="W1062" s="1361" t="n"/>
      <c r="X1062" s="1361" t="n"/>
      <c r="Y1062" s="1361">
        <f>Z1062</f>
        <v/>
      </c>
      <c r="Z1062" s="1379" t="n"/>
      <c r="AA1062" s="1361" t="n"/>
      <c r="AB1062" s="1361" t="n"/>
      <c r="AC1062" s="1361" t="n"/>
      <c r="AD1062" s="1361">
        <f>AE1062</f>
        <v/>
      </c>
      <c r="AE1062" s="1379" t="n"/>
      <c r="AF1062" s="1361" t="n"/>
      <c r="AG1062" s="1361" t="n"/>
      <c r="AH1062" s="1361" t="n"/>
      <c r="AI1062" s="1361">
        <f>AJ1062</f>
        <v/>
      </c>
      <c r="AJ1062" s="1379" t="n"/>
      <c r="AK1062" s="1361" t="n"/>
      <c r="AL1062" s="1361" t="n"/>
      <c r="AM1062" s="1361" t="n"/>
      <c r="AN1062" s="1361">
        <f>AO1062</f>
        <v/>
      </c>
      <c r="AO1062" s="1379" t="n"/>
      <c r="AP1062" s="1361" t="n"/>
      <c r="AQ1062" s="1361" t="n"/>
      <c r="AR1062" s="1361" t="n"/>
      <c r="AS1062" s="1361">
        <f>AT1062</f>
        <v/>
      </c>
      <c r="AT1062" s="1379" t="n"/>
      <c r="AU1062" s="1361" t="n"/>
      <c r="AV1062" s="1361" t="n"/>
      <c r="AW1062" s="1361" t="n"/>
      <c r="AX1062" s="1361">
        <f>AY1062</f>
        <v/>
      </c>
      <c r="AY1062" s="1379" t="n"/>
      <c r="AZ1062" s="1361" t="n"/>
      <c r="BA1062" s="1361" t="n"/>
      <c r="BB1062" s="1361" t="n"/>
      <c r="BC1062" s="1361">
        <f>BD1062</f>
        <v/>
      </c>
      <c r="BD1062" s="1379" t="n"/>
      <c r="BE1062" s="1361" t="n"/>
      <c r="BF1062" s="1361" t="n"/>
      <c r="BG1062" s="1361" t="n"/>
      <c r="BH1062" s="1361" t="n"/>
      <c r="BI1062" s="1379" t="n"/>
      <c r="BJ1062" s="1361" t="n"/>
      <c r="BK1062" s="1361" t="n"/>
      <c r="BL1062" s="1361" t="n"/>
      <c r="BM1062" s="1361" t="n"/>
      <c r="BN1062" s="1379" t="n"/>
      <c r="BO1062" s="1361" t="n"/>
      <c r="BP1062" s="1361" t="n"/>
      <c r="BQ1062" s="1363" t="n"/>
      <c r="BR1062" s="1361" t="n"/>
      <c r="BS1062" s="1379" t="n"/>
      <c r="BT1062" s="1361" t="n"/>
      <c r="BU1062" s="1361" t="n"/>
      <c r="BV1062" s="1361" t="n"/>
      <c r="BW1062" s="1361" t="n"/>
      <c r="BX1062" s="1379" t="n"/>
      <c r="BY1062" s="1379" t="n"/>
      <c r="BZ1062" s="1379" t="n"/>
      <c r="CA1062" s="1379" t="n"/>
      <c r="CB1062" s="1364" t="n"/>
    </row>
    <row r="1063" hidden="1" outlineLevel="1" ht="14.4" customFormat="1" customHeight="1" s="1359">
      <c r="A1063" s="1394" t="inlineStr">
        <is>
          <t>Proceeds from sale of 2015 warrants</t>
        </is>
      </c>
      <c r="B1063" s="1512" t="n"/>
      <c r="C1063" s="1379" t="n"/>
      <c r="D1063" s="1494" t="n">
        <v>37.45</v>
      </c>
      <c r="E1063" s="1494" t="n">
        <v>0</v>
      </c>
      <c r="F1063" s="1379" t="n"/>
      <c r="G1063" s="1361" t="n"/>
      <c r="H1063" s="1361" t="n"/>
      <c r="I1063" s="1361" t="n"/>
      <c r="J1063" s="1364">
        <f>K1063</f>
        <v/>
      </c>
      <c r="K1063" s="1379" t="n"/>
      <c r="L1063" s="1361" t="n"/>
      <c r="M1063" s="1361" t="n"/>
      <c r="N1063" s="1361" t="n"/>
      <c r="O1063" s="1364">
        <f>P1063</f>
        <v/>
      </c>
      <c r="P1063" s="1379" t="n"/>
      <c r="Q1063" s="1361" t="n"/>
      <c r="R1063" s="1361" t="n"/>
      <c r="S1063" s="1361" t="n"/>
      <c r="T1063" s="1364">
        <f>U1063</f>
        <v/>
      </c>
      <c r="U1063" s="1379" t="n"/>
      <c r="V1063" s="1361" t="n"/>
      <c r="W1063" s="1361" t="n"/>
      <c r="X1063" s="1361" t="n"/>
      <c r="Y1063" s="1361">
        <f>Z1063</f>
        <v/>
      </c>
      <c r="Z1063" s="1379" t="n"/>
      <c r="AA1063" s="1361" t="n"/>
      <c r="AB1063" s="1361" t="n"/>
      <c r="AC1063" s="1361" t="n"/>
      <c r="AD1063" s="1361">
        <f>AE1063</f>
        <v/>
      </c>
      <c r="AE1063" s="1379" t="n"/>
      <c r="AF1063" s="1361" t="n"/>
      <c r="AG1063" s="1361" t="n"/>
      <c r="AH1063" s="1361" t="n"/>
      <c r="AI1063" s="1361">
        <f>AJ1063</f>
        <v/>
      </c>
      <c r="AJ1063" s="1379" t="n"/>
      <c r="AK1063" s="1361" t="n"/>
      <c r="AL1063" s="1361" t="n"/>
      <c r="AM1063" s="1361" t="n"/>
      <c r="AN1063" s="1361">
        <f>AO1063</f>
        <v/>
      </c>
      <c r="AO1063" s="1379" t="n"/>
      <c r="AP1063" s="1361" t="n"/>
      <c r="AQ1063" s="1361" t="n"/>
      <c r="AR1063" s="1361" t="n"/>
      <c r="AS1063" s="1361">
        <f>AT1063</f>
        <v/>
      </c>
      <c r="AT1063" s="1379" t="n"/>
      <c r="AU1063" s="1361" t="n"/>
      <c r="AV1063" s="1361" t="n"/>
      <c r="AW1063" s="1361" t="n"/>
      <c r="AX1063" s="1361">
        <f>AY1063</f>
        <v/>
      </c>
      <c r="AY1063" s="1379" t="n"/>
      <c r="AZ1063" s="1361" t="n"/>
      <c r="BA1063" s="1361" t="n"/>
      <c r="BB1063" s="1361" t="n"/>
      <c r="BC1063" s="1361">
        <f>BD1063</f>
        <v/>
      </c>
      <c r="BD1063" s="1379" t="n"/>
      <c r="BE1063" s="1361" t="n"/>
      <c r="BF1063" s="1361" t="n"/>
      <c r="BG1063" s="1361" t="n"/>
      <c r="BH1063" s="1361" t="n"/>
      <c r="BI1063" s="1379" t="n"/>
      <c r="BJ1063" s="1361" t="n"/>
      <c r="BK1063" s="1361" t="n"/>
      <c r="BL1063" s="1361" t="n"/>
      <c r="BM1063" s="1361" t="n"/>
      <c r="BN1063" s="1379" t="n"/>
      <c r="BO1063" s="1361" t="n"/>
      <c r="BP1063" s="1361" t="n"/>
      <c r="BQ1063" s="1363" t="n"/>
      <c r="BR1063" s="1361" t="n"/>
      <c r="BS1063" s="1379" t="n"/>
      <c r="BT1063" s="1361" t="n"/>
      <c r="BU1063" s="1361" t="n"/>
      <c r="BV1063" s="1361" t="n"/>
      <c r="BW1063" s="1361" t="n"/>
      <c r="BX1063" s="1379" t="n"/>
      <c r="BY1063" s="1379" t="n"/>
      <c r="BZ1063" s="1379" t="n"/>
      <c r="CA1063" s="1379" t="n"/>
      <c r="CB1063" s="1364" t="n"/>
    </row>
    <row r="1064" hidden="1" outlineLevel="1" ht="14.4" customFormat="1" customHeight="1" s="1359">
      <c r="A1064" s="1394" t="inlineStr">
        <is>
          <t>Payment of acquisition-related contingent consideration</t>
        </is>
      </c>
      <c r="B1064" s="1512" t="n"/>
      <c r="C1064" s="1379" t="n"/>
      <c r="D1064" s="1379" t="n"/>
      <c r="E1064" s="1494" t="n">
        <v>0</v>
      </c>
      <c r="F1064" s="1494" t="n">
        <v>-0.039</v>
      </c>
      <c r="G1064" s="1493" t="n">
        <v>-0.582</v>
      </c>
      <c r="H1064" s="1493" t="n">
        <v>-0.582</v>
      </c>
      <c r="I1064" s="1493" t="n">
        <v>-0.677</v>
      </c>
      <c r="J1064" s="1364">
        <f>K1064</f>
        <v/>
      </c>
      <c r="K1064" s="1494" t="n">
        <v>-0.677</v>
      </c>
      <c r="L1064" s="1493" t="n">
        <v>-1.835</v>
      </c>
      <c r="M1064" s="1493" t="n">
        <v>-1.835</v>
      </c>
      <c r="N1064" s="1493" t="n">
        <v>-1.835</v>
      </c>
      <c r="O1064" s="1364">
        <f>P1064</f>
        <v/>
      </c>
      <c r="P1064" s="1494" t="n">
        <v>-1.835</v>
      </c>
      <c r="Q1064" s="1361" t="n"/>
      <c r="R1064" s="1493" t="n">
        <v>0</v>
      </c>
      <c r="S1064" s="1493" t="n">
        <v>0</v>
      </c>
      <c r="T1064" s="1364">
        <f>U1064</f>
        <v/>
      </c>
      <c r="U1064" s="1494" t="n">
        <v>0</v>
      </c>
      <c r="V1064" s="1361" t="n"/>
      <c r="W1064" s="1361" t="n"/>
      <c r="X1064" s="1361" t="n"/>
      <c r="Y1064" s="1361">
        <f>Z1064</f>
        <v/>
      </c>
      <c r="Z1064" s="1379" t="n"/>
      <c r="AA1064" s="1361" t="n"/>
      <c r="AB1064" s="1361" t="n"/>
      <c r="AC1064" s="1361" t="n"/>
      <c r="AD1064" s="1361">
        <f>AE1064</f>
        <v/>
      </c>
      <c r="AE1064" s="1379" t="n"/>
      <c r="AF1064" s="1361" t="n"/>
      <c r="AG1064" s="1361" t="n"/>
      <c r="AH1064" s="1361" t="n"/>
      <c r="AI1064" s="1361">
        <f>AJ1064</f>
        <v/>
      </c>
      <c r="AJ1064" s="1379" t="n"/>
      <c r="AK1064" s="1361" t="n"/>
      <c r="AL1064" s="1361" t="n"/>
      <c r="AM1064" s="1361" t="n"/>
      <c r="AN1064" s="1361">
        <f>AO1064</f>
        <v/>
      </c>
      <c r="AO1064" s="1379" t="n"/>
      <c r="AP1064" s="1361" t="n"/>
      <c r="AQ1064" s="1361" t="n"/>
      <c r="AR1064" s="1361" t="n"/>
      <c r="AS1064" s="1361">
        <f>AT1064</f>
        <v/>
      </c>
      <c r="AT1064" s="1379" t="n"/>
      <c r="AU1064" s="1361" t="n"/>
      <c r="AV1064" s="1361" t="n"/>
      <c r="AW1064" s="1361" t="n"/>
      <c r="AX1064" s="1361">
        <f>AY1064</f>
        <v/>
      </c>
      <c r="AY1064" s="1379" t="n"/>
      <c r="AZ1064" s="1361" t="n"/>
      <c r="BA1064" s="1361" t="n"/>
      <c r="BB1064" s="1361" t="n"/>
      <c r="BC1064" s="1361">
        <f>BD1064</f>
        <v/>
      </c>
      <c r="BD1064" s="1379" t="n"/>
      <c r="BE1064" s="1361" t="n"/>
      <c r="BF1064" s="1361" t="n"/>
      <c r="BG1064" s="1361" t="n"/>
      <c r="BH1064" s="1361" t="n"/>
      <c r="BI1064" s="1379" t="n"/>
      <c r="BJ1064" s="1361" t="n"/>
      <c r="BK1064" s="1361" t="n"/>
      <c r="BL1064" s="1361" t="n"/>
      <c r="BM1064" s="1361" t="n"/>
      <c r="BN1064" s="1379" t="n"/>
      <c r="BO1064" s="1361" t="n"/>
      <c r="BP1064" s="1361" t="n"/>
      <c r="BQ1064" s="1363" t="n"/>
      <c r="BR1064" s="1361" t="n"/>
      <c r="BS1064" s="1379" t="n"/>
      <c r="BT1064" s="1361" t="n"/>
      <c r="BU1064" s="1361" t="n"/>
      <c r="BV1064" s="1361" t="n"/>
      <c r="BW1064" s="1361" t="n"/>
      <c r="BX1064" s="1379" t="n"/>
      <c r="BY1064" s="1379" t="n"/>
      <c r="BZ1064" s="1379" t="n"/>
      <c r="CA1064" s="1379" t="n"/>
      <c r="CB1064" s="1364" t="n"/>
    </row>
    <row r="1065" hidden="1" outlineLevel="1" ht="14.4" customFormat="1" customHeight="1" s="1359">
      <c r="A1065" s="1394" t="inlineStr">
        <is>
          <t>Excess tax benefits from stock-based compensation</t>
        </is>
      </c>
      <c r="B1065" s="1512" t="n"/>
      <c r="C1065" s="1494" t="n">
        <v>1.383</v>
      </c>
      <c r="D1065" s="1494" t="n">
        <v>-9.458</v>
      </c>
      <c r="E1065" s="1494" t="n">
        <v>5.549</v>
      </c>
      <c r="F1065" s="1494" t="n">
        <v>6.061</v>
      </c>
      <c r="G1065" s="1493" t="n">
        <v>5.276</v>
      </c>
      <c r="H1065" s="1493" t="n">
        <v>7.3</v>
      </c>
      <c r="I1065" s="1493" t="n">
        <v>9.494</v>
      </c>
      <c r="J1065" s="1364">
        <f>K1065</f>
        <v/>
      </c>
      <c r="K1065" s="1494" t="n">
        <v>9.034000000000001</v>
      </c>
      <c r="L1065" s="1493" t="n">
        <v>1.827</v>
      </c>
      <c r="M1065" s="1493" t="n">
        <v>2.642</v>
      </c>
      <c r="N1065" s="1493" t="n">
        <v>5.786</v>
      </c>
      <c r="O1065" s="1364">
        <f>P1065</f>
        <v/>
      </c>
      <c r="P1065" s="1494" t="n">
        <v>7.583</v>
      </c>
      <c r="Q1065" s="1493" t="n">
        <v>6.482</v>
      </c>
      <c r="R1065" s="1493" t="n">
        <v>10.097</v>
      </c>
      <c r="S1065" s="1493" t="n">
        <v>16.94</v>
      </c>
      <c r="T1065" s="1364">
        <f>U1065</f>
        <v/>
      </c>
      <c r="U1065" s="1494" t="n">
        <v>15.591</v>
      </c>
      <c r="V1065" s="1493" t="n">
        <v>0</v>
      </c>
      <c r="W1065" s="1361" t="n"/>
      <c r="X1065" s="1361" t="n"/>
      <c r="Y1065" s="1361">
        <f>Z1065</f>
        <v/>
      </c>
      <c r="Z1065" s="1379" t="n"/>
      <c r="AA1065" s="1361" t="n"/>
      <c r="AB1065" s="1361" t="n"/>
      <c r="AC1065" s="1361" t="n"/>
      <c r="AD1065" s="1361">
        <f>AE1065</f>
        <v/>
      </c>
      <c r="AE1065" s="1379" t="n"/>
      <c r="AF1065" s="1361" t="n"/>
      <c r="AG1065" s="1361" t="n"/>
      <c r="AH1065" s="1361" t="n"/>
      <c r="AI1065" s="1361">
        <f>AJ1065</f>
        <v/>
      </c>
      <c r="AJ1065" s="1379" t="n"/>
      <c r="AK1065" s="1361" t="n"/>
      <c r="AL1065" s="1361" t="n"/>
      <c r="AM1065" s="1361" t="n"/>
      <c r="AN1065" s="1361">
        <f>AO1065</f>
        <v/>
      </c>
      <c r="AO1065" s="1379" t="n"/>
      <c r="AP1065" s="1361" t="n"/>
      <c r="AQ1065" s="1361" t="n"/>
      <c r="AR1065" s="1361" t="n"/>
      <c r="AS1065" s="1361">
        <f>AT1065</f>
        <v/>
      </c>
      <c r="AT1065" s="1379" t="n"/>
      <c r="AU1065" s="1361" t="n"/>
      <c r="AV1065" s="1361" t="n"/>
      <c r="AW1065" s="1361" t="n"/>
      <c r="AX1065" s="1361">
        <f>AY1065</f>
        <v/>
      </c>
      <c r="AY1065" s="1379" t="n"/>
      <c r="AZ1065" s="1361" t="n"/>
      <c r="BA1065" s="1361" t="n"/>
      <c r="BB1065" s="1361" t="n"/>
      <c r="BC1065" s="1361">
        <f>BD1065</f>
        <v/>
      </c>
      <c r="BD1065" s="1379" t="n"/>
      <c r="BE1065" s="1361" t="n"/>
      <c r="BF1065" s="1361" t="n"/>
      <c r="BG1065" s="1361" t="n"/>
      <c r="BH1065" s="1361" t="n"/>
      <c r="BI1065" s="1379" t="n"/>
      <c r="BJ1065" s="1361" t="n"/>
      <c r="BK1065" s="1361" t="n"/>
      <c r="BL1065" s="1361" t="n"/>
      <c r="BM1065" s="1361" t="n"/>
      <c r="BN1065" s="1379" t="n"/>
      <c r="BO1065" s="1361" t="n"/>
      <c r="BP1065" s="1361" t="n"/>
      <c r="BQ1065" s="1363" t="n"/>
      <c r="BR1065" s="1361" t="n"/>
      <c r="BS1065" s="1379" t="n"/>
      <c r="BT1065" s="1361" t="n"/>
      <c r="BU1065" s="1361" t="n"/>
      <c r="BV1065" s="1361" t="n"/>
      <c r="BW1065" s="1361" t="n"/>
      <c r="BX1065" s="1379" t="n"/>
      <c r="BY1065" s="1379" t="n"/>
      <c r="BZ1065" s="1379" t="n"/>
      <c r="CA1065" s="1379" t="n"/>
      <c r="CB1065" s="1364" t="n"/>
    </row>
    <row r="1066" hidden="1" outlineLevel="1" ht="14.4" customFormat="1" customHeight="1" s="1359">
      <c r="A1066" s="1394" t="inlineStr">
        <is>
          <t>Proceeds from issuance of common stock</t>
        </is>
      </c>
      <c r="B1066" s="1512" t="n"/>
      <c r="C1066" s="1494" t="n">
        <v>28.01</v>
      </c>
      <c r="D1066" s="1494" t="n">
        <v>13.643</v>
      </c>
      <c r="E1066" s="1494" t="n">
        <v>19.714</v>
      </c>
      <c r="F1066" s="1494" t="n">
        <v>32.687</v>
      </c>
      <c r="G1066" s="1493" t="n">
        <v>21.801</v>
      </c>
      <c r="H1066" s="1493" t="n">
        <v>30.227</v>
      </c>
      <c r="I1066" s="1493" t="n">
        <v>40.691</v>
      </c>
      <c r="J1066" s="1364">
        <f>K1066</f>
        <v/>
      </c>
      <c r="K1066" s="1494" t="n">
        <v>42.657</v>
      </c>
      <c r="L1066" s="1493" t="n">
        <v>23.377</v>
      </c>
      <c r="M1066" s="1493" t="n">
        <v>36.482</v>
      </c>
      <c r="N1066" s="1493" t="n">
        <v>54.717</v>
      </c>
      <c r="O1066" s="1364">
        <f>P1066</f>
        <v/>
      </c>
      <c r="P1066" s="1494" t="n">
        <v>65.913</v>
      </c>
      <c r="Q1066" s="1493" t="n">
        <v>24.609</v>
      </c>
      <c r="R1066" s="1493" t="n">
        <v>38.167</v>
      </c>
      <c r="S1066" s="1493" t="n">
        <v>59.448</v>
      </c>
      <c r="T1066" s="1364">
        <f>U1066</f>
        <v/>
      </c>
      <c r="U1066" s="1494" t="n">
        <v>74.938</v>
      </c>
      <c r="V1066" s="1493" t="n">
        <v>24.2</v>
      </c>
      <c r="W1066" s="1493" t="n">
        <v>36.296</v>
      </c>
      <c r="X1066" s="1493" t="n">
        <v>50.293</v>
      </c>
      <c r="Y1066" s="1361">
        <f>Z1066</f>
        <v/>
      </c>
      <c r="Z1066" s="1494" t="n">
        <v>55.44</v>
      </c>
      <c r="AA1066" s="1493" t="n">
        <v>22.715</v>
      </c>
      <c r="AB1066" s="1493" t="n">
        <v>29.967</v>
      </c>
      <c r="AC1066" s="1493" t="n">
        <v>45.419</v>
      </c>
      <c r="AD1066" s="1361">
        <f>AE1066</f>
        <v/>
      </c>
      <c r="AE1066" s="1494" t="n">
        <v>48.965</v>
      </c>
      <c r="AF1066" s="1493" t="n">
        <v>23.339</v>
      </c>
      <c r="AG1066" s="1493" t="n">
        <v>25.656</v>
      </c>
      <c r="AH1066" s="1493" t="n">
        <v>38.19</v>
      </c>
      <c r="AI1066" s="1361">
        <f>AJ1066</f>
        <v/>
      </c>
      <c r="AJ1066" s="1494" t="n">
        <v>40.908</v>
      </c>
      <c r="AK1066" s="1493" t="n">
        <v>29.858</v>
      </c>
      <c r="AL1066" s="1493" t="n">
        <v>32.855</v>
      </c>
      <c r="AM1066" s="1493" t="n">
        <v>49.127</v>
      </c>
      <c r="AN1066" s="1361">
        <f>AO1066</f>
        <v/>
      </c>
      <c r="AO1066" s="1494" t="n">
        <v>52.842</v>
      </c>
      <c r="AP1066" s="1493" t="n">
        <v>33.312</v>
      </c>
      <c r="AQ1066" s="1493" t="n">
        <v>43.667</v>
      </c>
      <c r="AR1066" s="1493" t="n">
        <v>71.45099999999999</v>
      </c>
      <c r="AS1066" s="1361">
        <f>AT1066</f>
        <v/>
      </c>
      <c r="AT1066" s="1494" t="n">
        <v>74.803</v>
      </c>
      <c r="AU1066" s="1493" t="n">
        <v>46.384</v>
      </c>
      <c r="AV1066" s="1493" t="n">
        <v>52.252</v>
      </c>
      <c r="AW1066" s="1493" t="n">
        <v>83.63200000000001</v>
      </c>
      <c r="AX1066" s="1361">
        <f>AY1066</f>
        <v/>
      </c>
      <c r="AY1066" s="1494" t="n">
        <v>87.77200000000001</v>
      </c>
      <c r="AZ1066" s="1493" t="n">
        <v>45.673</v>
      </c>
      <c r="BA1066" s="1493" t="n">
        <v>50.224</v>
      </c>
      <c r="BB1066" s="1493" t="n">
        <v>103.682</v>
      </c>
      <c r="BC1066" s="1361">
        <f>BD1066</f>
        <v/>
      </c>
      <c r="BD1066" s="1494" t="n">
        <v>105.331</v>
      </c>
      <c r="BE1066" s="1493" t="n">
        <v>65.37</v>
      </c>
      <c r="BF1066" s="1493" t="n">
        <v>77.502</v>
      </c>
      <c r="BG1066" s="1493" t="n">
        <v>131.341</v>
      </c>
      <c r="BH1066" s="1361">
        <f>BI1066</f>
        <v/>
      </c>
      <c r="BI1066" s="1494" t="n">
        <v>132.957</v>
      </c>
      <c r="BJ1066" s="1493" t="n">
        <v>116.725</v>
      </c>
      <c r="BK1066" s="1493" t="n">
        <v>133.272</v>
      </c>
      <c r="BL1066" s="1493" t="n">
        <v>193.933</v>
      </c>
      <c r="BM1066" s="1361">
        <f>BN1066</f>
        <v/>
      </c>
      <c r="BN1066" s="1494" t="n">
        <v>204.237</v>
      </c>
      <c r="BO1066" s="1493" t="n">
        <v>76.789</v>
      </c>
      <c r="BP1066" s="1493" t="n">
        <v>78.322</v>
      </c>
      <c r="BQ1066" s="1502" t="n">
        <v>138.069</v>
      </c>
      <c r="BR1066" s="1361" t="n"/>
      <c r="BS1066" s="1379" t="n"/>
      <c r="BT1066" s="1361" t="n"/>
      <c r="BU1066" s="1361" t="n"/>
      <c r="BV1066" s="1361" t="n"/>
      <c r="BW1066" s="1361" t="n"/>
      <c r="BX1066" s="1379" t="n"/>
      <c r="BY1066" s="1379" t="n"/>
      <c r="BZ1066" s="1379" t="n"/>
      <c r="CA1066" s="1379" t="n"/>
      <c r="CB1066" s="1364" t="n"/>
    </row>
    <row r="1067" hidden="1" outlineLevel="1" ht="14.4" customFormat="1" customHeight="1" s="1359">
      <c r="A1067" s="1394" t="inlineStr">
        <is>
          <t>Stock received for payment of employee taxes on vesting of restricted stock</t>
        </is>
      </c>
      <c r="B1067" s="1512" t="n"/>
      <c r="C1067" s="1494" t="n">
        <v>-5.959</v>
      </c>
      <c r="D1067" s="1494" t="n">
        <v>-8.94</v>
      </c>
      <c r="E1067" s="1494" t="n">
        <v>-14.225</v>
      </c>
      <c r="F1067" s="1494" t="n">
        <v>-15.728</v>
      </c>
      <c r="G1067" s="1493" t="n">
        <v>-8.775</v>
      </c>
      <c r="H1067" s="1493" t="n">
        <v>-11.758</v>
      </c>
      <c r="I1067" s="1493" t="n">
        <v>-19.461</v>
      </c>
      <c r="J1067" s="1364">
        <f>K1067</f>
        <v/>
      </c>
      <c r="K1067" s="1494" t="n">
        <v>-20.14</v>
      </c>
      <c r="L1067" s="1493" t="n">
        <v>-10.981</v>
      </c>
      <c r="M1067" s="1493" t="n">
        <v>-12.292</v>
      </c>
      <c r="N1067" s="1493" t="n">
        <v>-23.648</v>
      </c>
      <c r="O1067" s="1364">
        <f>P1067</f>
        <v/>
      </c>
      <c r="P1067" s="1494" t="n">
        <v>-24.727</v>
      </c>
      <c r="Q1067" s="1493" t="n">
        <v>-14.114</v>
      </c>
      <c r="R1067" s="1493" t="n">
        <v>-15.814</v>
      </c>
      <c r="S1067" s="1493" t="n">
        <v>-31.795</v>
      </c>
      <c r="T1067" s="1364">
        <f>U1067</f>
        <v/>
      </c>
      <c r="U1067" s="1494" t="n">
        <v>-33.651</v>
      </c>
      <c r="V1067" s="1493" t="n">
        <v>-15.225</v>
      </c>
      <c r="W1067" s="1493" t="n">
        <v>-17.49</v>
      </c>
      <c r="X1067" s="1493" t="n">
        <v>-35.532</v>
      </c>
      <c r="Y1067" s="1361">
        <f>Z1067</f>
        <v/>
      </c>
      <c r="Z1067" s="1494" t="n">
        <v>-37.226</v>
      </c>
      <c r="AA1067" s="1493" t="n">
        <v>-22.47</v>
      </c>
      <c r="AB1067" s="1493" t="n">
        <v>-25.819</v>
      </c>
      <c r="AC1067" s="1493" t="n">
        <v>-54.13</v>
      </c>
      <c r="AD1067" s="1361">
        <f>AE1067</f>
        <v/>
      </c>
      <c r="AE1067" s="1494" t="n">
        <v>-57.161</v>
      </c>
      <c r="AF1067" s="1493" t="n">
        <v>-26.515</v>
      </c>
      <c r="AG1067" s="1493" t="n">
        <v>-30.125</v>
      </c>
      <c r="AH1067" s="1493" t="n">
        <v>-59.619</v>
      </c>
      <c r="AI1067" s="1361">
        <f>AJ1067</f>
        <v/>
      </c>
      <c r="AJ1067" s="1494" t="n">
        <v>-69.92100000000001</v>
      </c>
      <c r="AK1067" s="1493" t="n">
        <v>-32.822</v>
      </c>
      <c r="AL1067" s="1493" t="n">
        <v>-45.698</v>
      </c>
      <c r="AM1067" s="1493" t="n">
        <v>-75.01600000000001</v>
      </c>
      <c r="AN1067" s="1361">
        <f>AO1067</f>
        <v/>
      </c>
      <c r="AO1067" s="1494" t="n">
        <v>-90.58</v>
      </c>
      <c r="AP1067" s="1493" t="n">
        <v>-37.528</v>
      </c>
      <c r="AQ1067" s="1493" t="n">
        <v>-53.657</v>
      </c>
      <c r="AR1067" s="1493" t="n">
        <v>-85.515</v>
      </c>
      <c r="AS1067" s="1361">
        <f>AT1067</f>
        <v/>
      </c>
      <c r="AT1067" s="1494" t="n">
        <v>-110.028</v>
      </c>
      <c r="AU1067" s="1493" t="n">
        <v>-56.385</v>
      </c>
      <c r="AV1067" s="1493" t="n">
        <v>-78.053</v>
      </c>
      <c r="AW1067" s="1493" t="n">
        <v>-108.185</v>
      </c>
      <c r="AX1067" s="1361">
        <f>AY1067</f>
        <v/>
      </c>
      <c r="AY1067" s="1494" t="n">
        <v>-117.982</v>
      </c>
      <c r="AZ1067" s="1493" t="n">
        <v>-56.343</v>
      </c>
      <c r="BA1067" s="1493" t="n">
        <v>-63.544</v>
      </c>
      <c r="BB1067" s="1493" t="n">
        <v>-103.093</v>
      </c>
      <c r="BC1067" s="1361">
        <f>BD1067</f>
        <v/>
      </c>
      <c r="BD1067" s="1494" t="n">
        <v>-111.864</v>
      </c>
      <c r="BE1067" s="1493" t="n">
        <v>-67.712</v>
      </c>
      <c r="BF1067" s="1493" t="n">
        <v>-78.988</v>
      </c>
      <c r="BG1067" s="1493" t="n">
        <v>-122.182</v>
      </c>
      <c r="BH1067" s="1361">
        <f>BI1067</f>
        <v/>
      </c>
      <c r="BI1067" s="1494" t="n">
        <v>-136.396</v>
      </c>
      <c r="BJ1067" s="1493" t="n">
        <v>-151.123</v>
      </c>
      <c r="BK1067" s="1493" t="n">
        <v>-166.903</v>
      </c>
      <c r="BL1067" s="1493" t="n">
        <v>-217.462</v>
      </c>
      <c r="BM1067" s="1361">
        <f>BN1067</f>
        <v/>
      </c>
      <c r="BN1067" s="1494" t="n">
        <v>-237.737</v>
      </c>
      <c r="BO1067" s="1493" t="n">
        <v>-72.566</v>
      </c>
      <c r="BP1067" s="1493" t="n">
        <v>-94.334</v>
      </c>
      <c r="BQ1067" s="1502" t="n">
        <v>-148.13</v>
      </c>
      <c r="BR1067" s="1361" t="n"/>
      <c r="BS1067" s="1379" t="n"/>
      <c r="BT1067" s="1361" t="n"/>
      <c r="BU1067" s="1361" t="n"/>
      <c r="BV1067" s="1361" t="n"/>
      <c r="BW1067" s="1361" t="n"/>
      <c r="BX1067" s="1379" t="n"/>
      <c r="BY1067" s="1379" t="n"/>
      <c r="BZ1067" s="1379" t="n"/>
      <c r="CA1067" s="1379" t="n"/>
      <c r="CB1067" s="1364" t="n"/>
    </row>
    <row r="1068" hidden="1" outlineLevel="1" ht="14.4" customFormat="1" customHeight="1" s="1359">
      <c r="A1068" s="1394" t="inlineStr">
        <is>
          <t>Payments for repurchases of common stock</t>
        </is>
      </c>
      <c r="B1068" s="1512" t="n"/>
      <c r="C1068" s="1379" t="n"/>
      <c r="D1068" s="1494" t="n">
        <v>-39.997</v>
      </c>
      <c r="E1068" s="1494" t="n">
        <v>0</v>
      </c>
      <c r="F1068" s="1379" t="n"/>
      <c r="G1068" s="1493" t="n">
        <v>0</v>
      </c>
      <c r="H1068" s="1493" t="n">
        <v>0</v>
      </c>
      <c r="I1068" s="1493" t="n">
        <v>0</v>
      </c>
      <c r="J1068" s="1364">
        <f>K1068</f>
        <v/>
      </c>
      <c r="K1068" s="1494" t="n">
        <v>0</v>
      </c>
      <c r="L1068" s="1493" t="n">
        <v>-12.517</v>
      </c>
      <c r="M1068" s="1493" t="n">
        <v>-25.032</v>
      </c>
      <c r="N1068" s="1493" t="n">
        <v>-62.575</v>
      </c>
      <c r="O1068" s="1364">
        <f>P1068</f>
        <v/>
      </c>
      <c r="P1068" s="1494" t="n">
        <v>-100.117</v>
      </c>
      <c r="Q1068" s="1493" t="n">
        <v>-36.797</v>
      </c>
      <c r="R1068" s="1493" t="n">
        <v>-93.07599999999999</v>
      </c>
      <c r="S1068" s="1493" t="n">
        <v>-213.135</v>
      </c>
      <c r="T1068" s="1364">
        <f>U1068</f>
        <v/>
      </c>
      <c r="U1068" s="1494" t="n">
        <v>-333.189</v>
      </c>
      <c r="V1068" s="1493" t="n">
        <v>-240</v>
      </c>
      <c r="W1068" s="1493" t="n">
        <v>-480.1</v>
      </c>
      <c r="X1068" s="1493" t="n">
        <v>-720.196</v>
      </c>
      <c r="Y1068" s="1361">
        <f>Z1068</f>
        <v/>
      </c>
      <c r="Z1068" s="1494" t="n">
        <v>-960.289</v>
      </c>
      <c r="AA1068" s="1361" t="n"/>
      <c r="AB1068" s="1361" t="n"/>
      <c r="AC1068" s="1493" t="n">
        <v>-50.013</v>
      </c>
      <c r="AD1068" s="1361">
        <f>AE1068</f>
        <v/>
      </c>
      <c r="AE1068" s="1494" t="n">
        <v>-100.025</v>
      </c>
      <c r="AF1068" s="1493" t="n">
        <v>-50.013</v>
      </c>
      <c r="AG1068" s="1493" t="n">
        <v>-100.025</v>
      </c>
      <c r="AH1068" s="1493" t="n">
        <v>-150.036</v>
      </c>
      <c r="AI1068" s="1361">
        <f>AJ1068</f>
        <v/>
      </c>
      <c r="AJ1068" s="1494" t="n">
        <v>-250.059</v>
      </c>
      <c r="AK1068" s="1493" t="n">
        <v>-81.114</v>
      </c>
      <c r="AL1068" s="1493" t="n">
        <v>-156.12</v>
      </c>
      <c r="AM1068" s="1493" t="n">
        <v>-231.131</v>
      </c>
      <c r="AN1068" s="1361">
        <f>AO1068</f>
        <v/>
      </c>
      <c r="AO1068" s="1494" t="n">
        <v>-306.148</v>
      </c>
      <c r="AP1068" s="1493" t="n">
        <v>-100.022</v>
      </c>
      <c r="AQ1068" s="1493" t="n">
        <v>-175.036</v>
      </c>
      <c r="AR1068" s="1493" t="n">
        <v>-250.047</v>
      </c>
      <c r="AS1068" s="1361">
        <f>AT1068</f>
        <v/>
      </c>
      <c r="AT1068" s="1494" t="n">
        <v>-380.064</v>
      </c>
      <c r="AU1068" s="1493" t="n">
        <v>-172.267</v>
      </c>
      <c r="AV1068" s="1493" t="n">
        <v>-392.29</v>
      </c>
      <c r="AW1068" s="1493" t="n">
        <v>-502.301</v>
      </c>
      <c r="AX1068" s="1361">
        <f>AY1068</f>
        <v/>
      </c>
      <c r="AY1068" s="1494" t="n">
        <v>-612.297</v>
      </c>
      <c r="AZ1068" s="1493" t="n">
        <v>-250.016</v>
      </c>
      <c r="BA1068" s="1493" t="n">
        <v>-600.049</v>
      </c>
      <c r="BB1068" s="1493" t="n">
        <v>-750.062</v>
      </c>
      <c r="BC1068" s="1361">
        <f>BD1068</f>
        <v/>
      </c>
      <c r="BD1068" s="1494" t="n">
        <v>-1050.091</v>
      </c>
      <c r="BE1068" s="1493" t="n">
        <v>-125.01</v>
      </c>
      <c r="BF1068" s="1493" t="n">
        <v>-450.119</v>
      </c>
      <c r="BG1068" s="1493" t="n">
        <v>-575.127</v>
      </c>
      <c r="BH1068" s="1361">
        <f>BI1068</f>
        <v/>
      </c>
      <c r="BI1068" s="1494" t="n">
        <v>-700.134</v>
      </c>
      <c r="BJ1068" s="1493" t="n">
        <v>-125.006</v>
      </c>
      <c r="BK1068" s="1493" t="n">
        <v>-250.01</v>
      </c>
      <c r="BL1068" s="1493" t="n">
        <v>-400.018</v>
      </c>
      <c r="BM1068" s="1361">
        <f>BN1068</f>
        <v/>
      </c>
      <c r="BN1068" s="1494" t="n">
        <v>-550.026</v>
      </c>
      <c r="BO1068" s="1493" t="n">
        <v>-350.007</v>
      </c>
      <c r="BP1068" s="1493" t="n">
        <v>-525.016</v>
      </c>
      <c r="BQ1068" s="1502" t="n">
        <v>-725.025</v>
      </c>
      <c r="BR1068" s="1361" t="n"/>
      <c r="BS1068" s="1379" t="n"/>
      <c r="BT1068" s="1361" t="n"/>
      <c r="BU1068" s="1361" t="n"/>
      <c r="BV1068" s="1361" t="n"/>
      <c r="BW1068" s="1361" t="n"/>
      <c r="BX1068" s="1379" t="n"/>
      <c r="BY1068" s="1379" t="n"/>
      <c r="BZ1068" s="1379" t="n"/>
      <c r="CA1068" s="1379" t="n"/>
      <c r="CB1068" s="1364" t="n"/>
    </row>
    <row r="1069" hidden="1" outlineLevel="1" ht="14.4" customFormat="1" customHeight="1" s="1359">
      <c r="A1069" s="1394" t="inlineStr">
        <is>
          <t>Change in book overdraft</t>
        </is>
      </c>
      <c r="B1069" s="1512" t="n"/>
      <c r="C1069" s="1379" t="n"/>
      <c r="D1069" s="1379" t="n"/>
      <c r="E1069" s="1379" t="n"/>
      <c r="F1069" s="1379" t="n"/>
      <c r="G1069" s="1361" t="n"/>
      <c r="H1069" s="1361" t="n"/>
      <c r="I1069" s="1361" t="n"/>
      <c r="J1069" s="1361" t="n"/>
      <c r="K1069" s="1379" t="n"/>
      <c r="L1069" s="1361" t="n"/>
      <c r="M1069" s="1361" t="n"/>
      <c r="N1069" s="1361" t="n"/>
      <c r="O1069" s="1361" t="n"/>
      <c r="P1069" s="1379" t="n"/>
      <c r="Q1069" s="1361" t="n"/>
      <c r="R1069" s="1361" t="n"/>
      <c r="S1069" s="1361" t="n"/>
      <c r="T1069" s="1361" t="n"/>
      <c r="U1069" s="1379" t="n"/>
      <c r="V1069" s="1361" t="n"/>
      <c r="W1069" s="1361" t="n"/>
      <c r="X1069" s="1361" t="n"/>
      <c r="Y1069" s="1361" t="n"/>
      <c r="Z1069" s="1379" t="n"/>
      <c r="AA1069" s="1361" t="n"/>
      <c r="AB1069" s="1361" t="n"/>
      <c r="AC1069" s="1361" t="n"/>
      <c r="AD1069" s="1361">
        <f>AE1069</f>
        <v/>
      </c>
      <c r="AE1069" s="1494" t="n">
        <v>3.867</v>
      </c>
      <c r="AF1069" s="1493" t="n">
        <v>-3.867</v>
      </c>
      <c r="AG1069" s="1493" t="n">
        <v>-3.867</v>
      </c>
      <c r="AH1069" s="1493" t="n">
        <v>-3.867</v>
      </c>
      <c r="AI1069" s="1361">
        <f>AJ1069</f>
        <v/>
      </c>
      <c r="AJ1069" s="1494" t="n">
        <v>-3.867</v>
      </c>
      <c r="AK1069" s="1361" t="n"/>
      <c r="AL1069" s="1361" t="n"/>
      <c r="AM1069" s="1361" t="n"/>
      <c r="AN1069" s="1361">
        <f>AO1069</f>
        <v/>
      </c>
      <c r="AO1069" s="1379" t="n"/>
      <c r="AP1069" s="1361" t="n"/>
      <c r="AQ1069" s="1361" t="n"/>
      <c r="AR1069" s="1361" t="n"/>
      <c r="AS1069" s="1361">
        <f>AT1069</f>
        <v/>
      </c>
      <c r="AT1069" s="1379" t="n"/>
      <c r="AU1069" s="1361" t="n"/>
      <c r="AV1069" s="1361" t="n"/>
      <c r="AW1069" s="1361" t="n"/>
      <c r="AX1069" s="1361">
        <f>AY1069</f>
        <v/>
      </c>
      <c r="AY1069" s="1379" t="n"/>
      <c r="AZ1069" s="1361" t="n"/>
      <c r="BA1069" s="1361" t="n"/>
      <c r="BB1069" s="1361" t="n"/>
      <c r="BC1069" s="1361">
        <f>BD1069</f>
        <v/>
      </c>
      <c r="BD1069" s="1379" t="n"/>
      <c r="BE1069" s="1361" t="n"/>
      <c r="BF1069" s="1361" t="n"/>
      <c r="BG1069" s="1361" t="n"/>
      <c r="BH1069" s="1361" t="n"/>
      <c r="BI1069" s="1379" t="n"/>
      <c r="BJ1069" s="1361" t="n"/>
      <c r="BK1069" s="1361" t="n"/>
      <c r="BL1069" s="1361" t="n"/>
      <c r="BM1069" s="1361" t="n"/>
      <c r="BN1069" s="1379" t="n"/>
      <c r="BO1069" s="1361" t="n"/>
      <c r="BP1069" s="1361" t="n"/>
      <c r="BQ1069" s="1363" t="n"/>
      <c r="BR1069" s="1361" t="n"/>
      <c r="BS1069" s="1379" t="n"/>
      <c r="BT1069" s="1361" t="n"/>
      <c r="BU1069" s="1361" t="n"/>
      <c r="BV1069" s="1361" t="n"/>
      <c r="BW1069" s="1361" t="n"/>
      <c r="BX1069" s="1379" t="n"/>
      <c r="BY1069" s="1379" t="n"/>
      <c r="BZ1069" s="1379" t="n"/>
      <c r="CA1069" s="1379" t="n"/>
      <c r="CB1069" s="1364" t="n"/>
    </row>
    <row r="1070" hidden="1" outlineLevel="1" ht="14.4" customFormat="1" customHeight="1" s="1359">
      <c r="A1070" s="1453" t="inlineStr">
        <is>
          <t>Dividends paid to common shareholders</t>
        </is>
      </c>
      <c r="B1070" s="1514" t="n"/>
      <c r="C1070" s="1455" t="n"/>
      <c r="D1070" s="1455" t="n"/>
      <c r="E1070" s="1455" t="n"/>
      <c r="F1070" s="1455" t="n"/>
      <c r="G1070" s="1456" t="n"/>
      <c r="H1070" s="1456" t="n"/>
      <c r="I1070" s="1456" t="n"/>
      <c r="J1070" s="1456" t="n"/>
      <c r="K1070" s="1455" t="n"/>
      <c r="L1070" s="1456" t="n"/>
      <c r="M1070" s="1456" t="n"/>
      <c r="N1070" s="1456" t="n"/>
      <c r="O1070" s="1456" t="n"/>
      <c r="P1070" s="1455" t="n"/>
      <c r="Q1070" s="1456" t="n"/>
      <c r="R1070" s="1456" t="n"/>
      <c r="S1070" s="1456" t="n"/>
      <c r="T1070" s="1456" t="n"/>
      <c r="U1070" s="1455" t="n"/>
      <c r="V1070" s="1456" t="n"/>
      <c r="W1070" s="1456" t="n"/>
      <c r="X1070" s="1456" t="n"/>
      <c r="Y1070" s="1456" t="n"/>
      <c r="Z1070" s="1455" t="n"/>
      <c r="AA1070" s="1456" t="n"/>
      <c r="AB1070" s="1456" t="n"/>
      <c r="AC1070" s="1456" t="n"/>
      <c r="AD1070" s="1456" t="n"/>
      <c r="AE1070" s="1455" t="n"/>
      <c r="AF1070" s="1456" t="n"/>
      <c r="AG1070" s="1456" t="n"/>
      <c r="AH1070" s="1456" t="n"/>
      <c r="AI1070" s="1456" t="n"/>
      <c r="AJ1070" s="1455" t="n"/>
      <c r="AK1070" s="1456" t="n"/>
      <c r="AL1070" s="1456" t="n"/>
      <c r="AM1070" s="1456" t="n"/>
      <c r="AN1070" s="1456" t="n"/>
      <c r="AO1070" s="1455" t="n"/>
      <c r="AP1070" s="1456" t="n"/>
      <c r="AQ1070" s="1456" t="n"/>
      <c r="AR1070" s="1456" t="n"/>
      <c r="AS1070" s="1456" t="n"/>
      <c r="AT1070" s="1455" t="n"/>
      <c r="AU1070" s="1456" t="n"/>
      <c r="AV1070" s="1456" t="n"/>
      <c r="AW1070" s="1456" t="n"/>
      <c r="AX1070" s="1456" t="n"/>
      <c r="AY1070" s="1455" t="n"/>
      <c r="AZ1070" s="1456" t="n"/>
      <c r="BA1070" s="1456" t="n"/>
      <c r="BB1070" s="1456" t="n"/>
      <c r="BC1070" s="1456" t="n"/>
      <c r="BD1070" s="1455" t="n"/>
      <c r="BE1070" s="1456" t="n"/>
      <c r="BF1070" s="1456" t="n"/>
      <c r="BG1070" s="1456" t="n"/>
      <c r="BH1070" s="1456" t="n"/>
      <c r="BI1070" s="1455" t="n"/>
      <c r="BJ1070" s="1456" t="n"/>
      <c r="BK1070" s="1456" t="n"/>
      <c r="BL1070" s="1456" t="n"/>
      <c r="BM1070" s="1456" t="n"/>
      <c r="BN1070" s="1455" t="n"/>
      <c r="BO1070" s="1456" t="n"/>
      <c r="BP1070" s="1456" t="n"/>
      <c r="BQ1070" s="1457" t="n"/>
      <c r="BR1070" s="1456" t="n"/>
      <c r="BS1070" s="1455" t="n"/>
      <c r="BT1070" s="1456" t="n"/>
      <c r="BU1070" s="1456" t="n"/>
      <c r="BV1070" s="1456" t="n"/>
      <c r="BW1070" s="1456" t="n"/>
      <c r="BX1070" s="1455" t="n"/>
      <c r="BY1070" s="1455" t="n"/>
      <c r="BZ1070" s="1455" t="n"/>
      <c r="CA1070" s="1455" t="n"/>
      <c r="CB1070" s="1364" t="n"/>
    </row>
    <row r="1071" hidden="1" outlineLevel="1" ht="14.4" customFormat="1" customHeight="1" s="1372">
      <c r="A1071" s="1400" t="inlineStr">
        <is>
          <t>Net CFF</t>
        </is>
      </c>
      <c r="B1071" s="1516" t="n"/>
      <c r="C1071" s="1402">
        <f>SUM(C1052:C1070)</f>
        <v/>
      </c>
      <c r="D1071" s="1402">
        <f>SUM(D1052:D1070)</f>
        <v/>
      </c>
      <c r="E1071" s="1402">
        <f>SUM(E1052:E1070)</f>
        <v/>
      </c>
      <c r="F1071" s="1402">
        <f>SUM(F1052:F1070)</f>
        <v/>
      </c>
      <c r="G1071" s="1403">
        <f>SUM(G1052:G1070)</f>
        <v/>
      </c>
      <c r="H1071" s="1403">
        <f>SUM(H1052:H1070)</f>
        <v/>
      </c>
      <c r="I1071" s="1403">
        <f>SUM(I1052:I1070)</f>
        <v/>
      </c>
      <c r="J1071" s="1403">
        <f>SUM(J1052:J1070)</f>
        <v/>
      </c>
      <c r="K1071" s="1402">
        <f>SUM(K1052:K1070)</f>
        <v/>
      </c>
      <c r="L1071" s="1403">
        <f>SUM(L1052:L1070)</f>
        <v/>
      </c>
      <c r="M1071" s="1403">
        <f>SUM(M1052:M1070)</f>
        <v/>
      </c>
      <c r="N1071" s="1403">
        <f>SUM(N1052:N1070)</f>
        <v/>
      </c>
      <c r="O1071" s="1403">
        <f>SUM(O1052:O1070)</f>
        <v/>
      </c>
      <c r="P1071" s="1402">
        <f>SUM(P1052:P1070)</f>
        <v/>
      </c>
      <c r="Q1071" s="1403">
        <f>SUM(Q1052:Q1070)</f>
        <v/>
      </c>
      <c r="R1071" s="1403">
        <f>SUM(R1052:R1070)</f>
        <v/>
      </c>
      <c r="S1071" s="1403">
        <f>SUM(S1052:S1070)</f>
        <v/>
      </c>
      <c r="T1071" s="1403">
        <f>SUM(T1052:T1070)</f>
        <v/>
      </c>
      <c r="U1071" s="1402">
        <f>SUM(U1052:U1070)</f>
        <v/>
      </c>
      <c r="V1071" s="1403">
        <f>SUM(V1052:V1070)</f>
        <v/>
      </c>
      <c r="W1071" s="1403">
        <f>SUM(W1052:W1070)</f>
        <v/>
      </c>
      <c r="X1071" s="1403">
        <f>SUM(X1052:X1070)</f>
        <v/>
      </c>
      <c r="Y1071" s="1404">
        <f>SUM(Y1052:Y1070)</f>
        <v/>
      </c>
      <c r="Z1071" s="1405">
        <f>SUM(Z1052:Z1070)</f>
        <v/>
      </c>
      <c r="AA1071" s="1403">
        <f>SUM(AA1052:AA1070)</f>
        <v/>
      </c>
      <c r="AB1071" s="1403">
        <f>SUM(AB1052:AB1070)</f>
        <v/>
      </c>
      <c r="AC1071" s="1403">
        <f>SUM(AC1052:AC1070)</f>
        <v/>
      </c>
      <c r="AD1071" s="1404">
        <f>SUM(AD1052:AD1070)</f>
        <v/>
      </c>
      <c r="AE1071" s="1405">
        <f>SUM(AE1052:AE1070)</f>
        <v/>
      </c>
      <c r="AF1071" s="1403">
        <f>SUM(AF1052:AF1070)</f>
        <v/>
      </c>
      <c r="AG1071" s="1403">
        <f>SUM(AG1052:AG1070)</f>
        <v/>
      </c>
      <c r="AH1071" s="1403">
        <f>SUM(AH1052:AH1070)</f>
        <v/>
      </c>
      <c r="AI1071" s="1404">
        <f>SUM(AI1052:AI1070)</f>
        <v/>
      </c>
      <c r="AJ1071" s="1405">
        <f>SUM(AJ1052:AJ1070)</f>
        <v/>
      </c>
      <c r="AK1071" s="1403">
        <f>SUM(AK1052:AK1070)</f>
        <v/>
      </c>
      <c r="AL1071" s="1403">
        <f>SUM(AL1052:AL1070)</f>
        <v/>
      </c>
      <c r="AM1071" s="1403">
        <f>SUM(AM1052:AM1070)</f>
        <v/>
      </c>
      <c r="AN1071" s="1404">
        <f>SUM(AN1052:AN1070)</f>
        <v/>
      </c>
      <c r="AO1071" s="1405">
        <f>SUM(AO1052:AO1070)</f>
        <v/>
      </c>
      <c r="AP1071" s="1403">
        <f>SUM(AP1052:AP1070)</f>
        <v/>
      </c>
      <c r="AQ1071" s="1403">
        <f>SUM(AQ1052:AQ1070)</f>
        <v/>
      </c>
      <c r="AR1071" s="1403">
        <f>SUM(AR1052:AR1070)</f>
        <v/>
      </c>
      <c r="AS1071" s="1404">
        <f>SUM(AS1052:AS1070)</f>
        <v/>
      </c>
      <c r="AT1071" s="1405">
        <f>SUM(AT1052:AT1070)</f>
        <v/>
      </c>
      <c r="AU1071" s="1403">
        <f>SUM(AU1052:AU1070)</f>
        <v/>
      </c>
      <c r="AV1071" s="1403">
        <f>SUM(AV1052:AV1070)</f>
        <v/>
      </c>
      <c r="AW1071" s="1403">
        <f>SUM(AW1052:AW1070)</f>
        <v/>
      </c>
      <c r="AX1071" s="1404">
        <f>SUM(AX1052:AX1070)</f>
        <v/>
      </c>
      <c r="AY1071" s="1405">
        <f>SUM(AY1052:AY1070)</f>
        <v/>
      </c>
      <c r="AZ1071" s="1403">
        <f>SUM(AZ1052:AZ1070)</f>
        <v/>
      </c>
      <c r="BA1071" s="1403">
        <f>SUM(BA1052:BA1070)</f>
        <v/>
      </c>
      <c r="BB1071" s="1403">
        <f>SUM(BB1052:BB1070)</f>
        <v/>
      </c>
      <c r="BC1071" s="1404">
        <f>SUM(BC1052:BC1070)</f>
        <v/>
      </c>
      <c r="BD1071" s="1405">
        <f>SUM(BD1052:BD1070)</f>
        <v/>
      </c>
      <c r="BE1071" s="1403">
        <f>SUM(BE1052:BE1070)</f>
        <v/>
      </c>
      <c r="BF1071" s="1403">
        <f>SUM(BF1052:BF1070)</f>
        <v/>
      </c>
      <c r="BG1071" s="1403">
        <f>SUM(BG1052:BG1070)</f>
        <v/>
      </c>
      <c r="BH1071" s="1404">
        <f>SUM(BH1052:BH1070)</f>
        <v/>
      </c>
      <c r="BI1071" s="1405">
        <f>SUM(BI1052:BI1070)</f>
        <v/>
      </c>
      <c r="BJ1071" s="1403">
        <f>SUM(BJ1052:BJ1070)</f>
        <v/>
      </c>
      <c r="BK1071" s="1403">
        <f>SUM(BK1052:BK1070)</f>
        <v/>
      </c>
      <c r="BL1071" s="1403">
        <f>SUM(BL1052:BL1070)</f>
        <v/>
      </c>
      <c r="BM1071" s="1404">
        <f>SUM(BM1052:BM1070)</f>
        <v/>
      </c>
      <c r="BN1071" s="1405">
        <f>SUM(BN1052:BN1070)</f>
        <v/>
      </c>
      <c r="BO1071" s="1403">
        <f>SUM(BO1052:BO1070)</f>
        <v/>
      </c>
      <c r="BP1071" s="1403">
        <f>SUM(BP1052:BP1070)</f>
        <v/>
      </c>
      <c r="BQ1071" s="1406">
        <f>SUM(BQ1052:BQ1070)</f>
        <v/>
      </c>
      <c r="BR1071" s="1404" t="n"/>
      <c r="BS1071" s="1405" t="n"/>
      <c r="BT1071" s="1404" t="n"/>
      <c r="BU1071" s="1404" t="n"/>
      <c r="BV1071" s="1404" t="n"/>
      <c r="BW1071" s="1404" t="n"/>
      <c r="BX1071" s="1405" t="n"/>
      <c r="BY1071" s="1405" t="n"/>
      <c r="BZ1071" s="1405" t="n"/>
      <c r="CA1071" s="1405" t="n"/>
      <c r="CB1071" s="1375" t="n"/>
    </row>
    <row r="1072" hidden="1" outlineLevel="1" ht="14.4" customFormat="1" customHeight="1" s="1372">
      <c r="A1072" s="1447" t="n"/>
      <c r="B1072" s="1517" t="n"/>
      <c r="C1072" s="1449" t="n"/>
      <c r="D1072" s="1449" t="n"/>
      <c r="E1072" s="1449" t="n"/>
      <c r="F1072" s="1449" t="n"/>
      <c r="G1072" s="1450" t="n"/>
      <c r="H1072" s="1450" t="n"/>
      <c r="I1072" s="1450" t="n"/>
      <c r="J1072" s="1450" t="n"/>
      <c r="K1072" s="1449" t="n"/>
      <c r="L1072" s="1450" t="n"/>
      <c r="M1072" s="1450" t="n"/>
      <c r="N1072" s="1450" t="n"/>
      <c r="O1072" s="1450" t="n"/>
      <c r="P1072" s="1449" t="n"/>
      <c r="Q1072" s="1450" t="n"/>
      <c r="R1072" s="1450" t="n"/>
      <c r="S1072" s="1450" t="n"/>
      <c r="T1072" s="1450" t="n"/>
      <c r="U1072" s="1449" t="n"/>
      <c r="V1072" s="1450" t="n"/>
      <c r="W1072" s="1450" t="n"/>
      <c r="X1072" s="1450" t="n"/>
      <c r="Y1072" s="1450" t="n"/>
      <c r="Z1072" s="1449" t="n"/>
      <c r="AA1072" s="1450" t="n"/>
      <c r="AB1072" s="1450" t="n"/>
      <c r="AC1072" s="1450" t="n"/>
      <c r="AD1072" s="1450" t="n"/>
      <c r="AE1072" s="1449" t="n"/>
      <c r="AF1072" s="1450" t="n"/>
      <c r="AG1072" s="1450" t="n"/>
      <c r="AH1072" s="1450" t="n"/>
      <c r="AI1072" s="1450" t="n"/>
      <c r="AJ1072" s="1449" t="n"/>
      <c r="AK1072" s="1450" t="n"/>
      <c r="AL1072" s="1450" t="n"/>
      <c r="AM1072" s="1450" t="n"/>
      <c r="AN1072" s="1450" t="n"/>
      <c r="AO1072" s="1449" t="n"/>
      <c r="AP1072" s="1450" t="n"/>
      <c r="AQ1072" s="1450" t="n"/>
      <c r="AR1072" s="1450" t="n"/>
      <c r="AS1072" s="1450" t="n"/>
      <c r="AT1072" s="1449" t="n"/>
      <c r="AU1072" s="1450" t="n"/>
      <c r="AV1072" s="1450" t="n"/>
      <c r="AW1072" s="1450" t="n"/>
      <c r="AX1072" s="1450" t="n"/>
      <c r="AY1072" s="1449" t="n"/>
      <c r="AZ1072" s="1450" t="n"/>
      <c r="BA1072" s="1450" t="n"/>
      <c r="BB1072" s="1450" t="n"/>
      <c r="BC1072" s="1450" t="n"/>
      <c r="BD1072" s="1449" t="n"/>
      <c r="BE1072" s="1450" t="n"/>
      <c r="BF1072" s="1450" t="n"/>
      <c r="BG1072" s="1450" t="n"/>
      <c r="BH1072" s="1450" t="n"/>
      <c r="BI1072" s="1449" t="n"/>
      <c r="BJ1072" s="1450" t="n"/>
      <c r="BK1072" s="1450" t="n"/>
      <c r="BL1072" s="1450" t="n"/>
      <c r="BM1072" s="1450" t="n"/>
      <c r="BN1072" s="1449" t="n"/>
      <c r="BO1072" s="1450" t="n"/>
      <c r="BP1072" s="1450" t="n"/>
      <c r="BQ1072" s="1451" t="n"/>
      <c r="BR1072" s="1450" t="n"/>
      <c r="BS1072" s="1449" t="n"/>
      <c r="BT1072" s="1450" t="n"/>
      <c r="BU1072" s="1450" t="n"/>
      <c r="BV1072" s="1450" t="n"/>
      <c r="BW1072" s="1450" t="n"/>
      <c r="BX1072" s="1449" t="n"/>
      <c r="BY1072" s="1449" t="n"/>
      <c r="BZ1072" s="1449" t="n"/>
      <c r="CA1072" s="1449" t="n"/>
      <c r="CB1072" s="1375" t="n"/>
    </row>
    <row r="1073" hidden="1" outlineLevel="1" ht="14.4" customFormat="1" customHeight="1" s="1372">
      <c r="A1073" s="1452" t="inlineStr">
        <is>
          <t>FX</t>
        </is>
      </c>
      <c r="B1073" s="1517" t="n"/>
      <c r="C1073" s="1839" t="n">
        <v>4.765</v>
      </c>
      <c r="D1073" s="1839" t="n">
        <v>14.325</v>
      </c>
      <c r="E1073" s="1839" t="n">
        <v>5.152</v>
      </c>
      <c r="F1073" s="1839" t="n">
        <v>-5.832</v>
      </c>
      <c r="G1073" s="1838" t="n">
        <v>-4.914</v>
      </c>
      <c r="H1073" s="1838" t="n">
        <v>-11.108</v>
      </c>
      <c r="I1073" s="1838" t="n">
        <v>-14.783</v>
      </c>
      <c r="J1073" s="1375">
        <f>K1073</f>
        <v/>
      </c>
      <c r="K1073" s="1839" t="n">
        <v>-14.516</v>
      </c>
      <c r="L1073" s="1838" t="n">
        <v>2.72</v>
      </c>
      <c r="M1073" s="1838" t="n">
        <v>4.718</v>
      </c>
      <c r="N1073" s="1838" t="n">
        <v>-1.27</v>
      </c>
      <c r="O1073" s="1375">
        <f>P1073</f>
        <v/>
      </c>
      <c r="P1073" s="1839" t="n">
        <v>-11.771</v>
      </c>
      <c r="Q1073" s="1838" t="n">
        <v>-9.015000000000001</v>
      </c>
      <c r="R1073" s="1838" t="n">
        <v>-14.023</v>
      </c>
      <c r="S1073" s="1838" t="n">
        <v>-18.351</v>
      </c>
      <c r="T1073" s="1375">
        <f>U1073</f>
        <v/>
      </c>
      <c r="U1073" s="1839" t="n">
        <v>-22.861</v>
      </c>
      <c r="V1073" s="1838" t="n">
        <v>6.001</v>
      </c>
      <c r="W1073" s="1838" t="n">
        <v>7.819</v>
      </c>
      <c r="X1073" s="1838" t="n">
        <v>9.116</v>
      </c>
      <c r="Y1073" s="1450">
        <f>Z1073</f>
        <v/>
      </c>
      <c r="Z1073" s="1839" t="n">
        <v>-4.993</v>
      </c>
      <c r="AA1073" s="1838" t="n">
        <v>1.75</v>
      </c>
      <c r="AB1073" s="1838" t="n">
        <v>10.14</v>
      </c>
      <c r="AC1073" s="1838" t="n">
        <v>9.382</v>
      </c>
      <c r="AD1073" s="1450">
        <f>AE1073</f>
        <v/>
      </c>
      <c r="AE1073" s="1839" t="n">
        <v>13.471</v>
      </c>
      <c r="AF1073" s="1838" t="n">
        <v>11.418</v>
      </c>
      <c r="AG1073" s="1838" t="n">
        <v>-6.994</v>
      </c>
      <c r="AH1073" s="1838" t="n">
        <v>-14.276</v>
      </c>
      <c r="AI1073" s="1450">
        <f>AJ1073</f>
        <v/>
      </c>
      <c r="AJ1073" s="1839" t="n">
        <v>-17.756</v>
      </c>
      <c r="AK1073" s="1838" t="n">
        <v>0.251</v>
      </c>
      <c r="AL1073" s="1838" t="n">
        <v>-1.029</v>
      </c>
      <c r="AM1073" s="1838" t="n">
        <v>-12.736</v>
      </c>
      <c r="AN1073" s="1450">
        <f>AO1073</f>
        <v/>
      </c>
      <c r="AO1073" s="1839" t="n">
        <v>-8.093999999999999</v>
      </c>
      <c r="AP1073" s="1838" t="n">
        <v>-6.407</v>
      </c>
      <c r="AQ1073" s="1838" t="n">
        <v>-5.188</v>
      </c>
      <c r="AR1073" s="1838" t="n">
        <v>7.372</v>
      </c>
      <c r="AS1073" s="1450">
        <f>AT1073</f>
        <v/>
      </c>
      <c r="AT1073" s="1839" t="n">
        <v>25.747</v>
      </c>
      <c r="AU1073" s="1838" t="n">
        <v>-5.395</v>
      </c>
      <c r="AV1073" s="1838" t="n">
        <v>1.085</v>
      </c>
      <c r="AW1073" s="1838" t="n">
        <v>-1.7</v>
      </c>
      <c r="AX1073" s="1450">
        <f>AY1073</f>
        <v/>
      </c>
      <c r="AY1073" s="1839" t="n">
        <v>-3.704</v>
      </c>
      <c r="AZ1073" s="1838" t="n">
        <v>-10.23</v>
      </c>
      <c r="BA1073" s="1838" t="n">
        <v>-38.224</v>
      </c>
      <c r="BB1073" s="1838" t="n">
        <v>-66.792</v>
      </c>
      <c r="BC1073" s="1450">
        <f>BD1073</f>
        <v/>
      </c>
      <c r="BD1073" s="1839" t="n">
        <v>-52.826</v>
      </c>
      <c r="BE1073" s="1838" t="n">
        <v>0.261</v>
      </c>
      <c r="BF1073" s="1838" t="n">
        <v>-8.225</v>
      </c>
      <c r="BG1073" s="1838" t="n">
        <v>-17.887</v>
      </c>
      <c r="BH1073" s="1450">
        <f>BI1073</f>
        <v/>
      </c>
      <c r="BI1073" s="1839" t="n">
        <v>-7.527</v>
      </c>
      <c r="BJ1073" s="1838" t="n">
        <v>-9.792999999999999</v>
      </c>
      <c r="BK1073" s="1838" t="n">
        <v>-15.957</v>
      </c>
      <c r="BL1073" s="1838" t="n">
        <v>5.423</v>
      </c>
      <c r="BM1073" s="1450">
        <f>BN1073</f>
        <v/>
      </c>
      <c r="BN1073" s="1839" t="n">
        <v>-26.796</v>
      </c>
      <c r="BO1073" s="1838" t="n">
        <v>14.191</v>
      </c>
      <c r="BP1073" s="1838" t="n">
        <v>52.535</v>
      </c>
      <c r="BQ1073" s="1927" t="n">
        <v>40.73</v>
      </c>
      <c r="BR1073" s="1450" t="n"/>
      <c r="BS1073" s="1449" t="n"/>
      <c r="BT1073" s="1450" t="n"/>
      <c r="BU1073" s="1450" t="n"/>
      <c r="BV1073" s="1450" t="n"/>
      <c r="BW1073" s="1450" t="n"/>
      <c r="BX1073" s="1449" t="n"/>
      <c r="BY1073" s="1449" t="n"/>
      <c r="BZ1073" s="1449" t="n"/>
      <c r="CA1073" s="1449" t="n"/>
      <c r="CB1073" s="1375" t="n"/>
    </row>
    <row r="1074" hidden="1" outlineLevel="1" ht="14.4" customFormat="1" customHeight="1" s="1372">
      <c r="A1074" s="1452" t="inlineStr">
        <is>
          <t>Net Change in Cash Balance</t>
        </is>
      </c>
      <c r="B1074" s="1517" t="n"/>
      <c r="C1074" s="1458">
        <f>C1071+C1049+C1032+C1073</f>
        <v/>
      </c>
      <c r="D1074" s="1458">
        <f>D1071+D1049+D1032+D1073</f>
        <v/>
      </c>
      <c r="E1074" s="1458">
        <f>E1071+E1049+E1032+E1073</f>
        <v/>
      </c>
      <c r="F1074" s="1458">
        <f>F1071+F1049+F1032+F1073</f>
        <v/>
      </c>
      <c r="G1074" s="1375">
        <f>G1071+G1049+G1032+G1073</f>
        <v/>
      </c>
      <c r="H1074" s="1375">
        <f>H1071+H1049+H1032+H1073</f>
        <v/>
      </c>
      <c r="I1074" s="1375">
        <f>I1071+I1049+I1032+I1073</f>
        <v/>
      </c>
      <c r="J1074" s="1375">
        <f>J1071+J1049+J1032+J1073</f>
        <v/>
      </c>
      <c r="K1074" s="1458">
        <f>K1071+K1049+K1032+K1073</f>
        <v/>
      </c>
      <c r="L1074" s="1375">
        <f>L1071+L1049+L1032+L1073</f>
        <v/>
      </c>
      <c r="M1074" s="1375">
        <f>M1071+M1049+M1032+M1073</f>
        <v/>
      </c>
      <c r="N1074" s="1375">
        <f>N1071+N1049+N1032+N1073</f>
        <v/>
      </c>
      <c r="O1074" s="1375">
        <f>O1071+O1049+O1032+O1073</f>
        <v/>
      </c>
      <c r="P1074" s="1458">
        <f>P1071+P1049+P1032+P1073</f>
        <v/>
      </c>
      <c r="Q1074" s="1375">
        <f>Q1071+Q1049+Q1032+Q1073</f>
        <v/>
      </c>
      <c r="R1074" s="1375">
        <f>R1071+R1049+R1032+R1073</f>
        <v/>
      </c>
      <c r="S1074" s="1375">
        <f>S1071+S1049+S1032+S1073</f>
        <v/>
      </c>
      <c r="T1074" s="1375">
        <f>T1071+T1049+T1032+T1073</f>
        <v/>
      </c>
      <c r="U1074" s="1458">
        <f>U1071+U1049+U1032+U1073</f>
        <v/>
      </c>
      <c r="V1074" s="1375">
        <f>V1071+V1049+V1032+V1073</f>
        <v/>
      </c>
      <c r="W1074" s="1375">
        <f>W1071+W1049+W1032+W1073</f>
        <v/>
      </c>
      <c r="X1074" s="1375">
        <f>X1071+X1049+X1032+X1073</f>
        <v/>
      </c>
      <c r="Y1074" s="1450">
        <f>Y1071+Y1049+Y1032+Y1073</f>
        <v/>
      </c>
      <c r="Z1074" s="1449">
        <f>Z1071+Z1049+Z1032+Z1073</f>
        <v/>
      </c>
      <c r="AA1074" s="1375">
        <f>AA1071+AA1049+AA1032+AA1073</f>
        <v/>
      </c>
      <c r="AB1074" s="1375">
        <f>AB1071+AB1049+AB1032+AB1073</f>
        <v/>
      </c>
      <c r="AC1074" s="1375">
        <f>AC1071+AC1049+AC1032+AC1073</f>
        <v/>
      </c>
      <c r="AD1074" s="1450">
        <f>AD1071+AD1049+AD1032+AD1073</f>
        <v/>
      </c>
      <c r="AE1074" s="1449">
        <f>AE1071+AE1049+AE1032+AE1073</f>
        <v/>
      </c>
      <c r="AF1074" s="1375">
        <f>AF1071+AF1049+AF1032+AF1073</f>
        <v/>
      </c>
      <c r="AG1074" s="1375">
        <f>AG1071+AG1049+AG1032+AG1073</f>
        <v/>
      </c>
      <c r="AH1074" s="1375">
        <f>AH1071+AH1049+AH1032+AH1073</f>
        <v/>
      </c>
      <c r="AI1074" s="1450">
        <f>AI1071+AI1049+AI1032+AI1073</f>
        <v/>
      </c>
      <c r="AJ1074" s="1449">
        <f>AJ1071+AJ1049+AJ1032+AJ1073</f>
        <v/>
      </c>
      <c r="AK1074" s="1375">
        <f>AK1071+AK1049+AK1032+AK1073</f>
        <v/>
      </c>
      <c r="AL1074" s="1375">
        <f>AL1071+AL1049+AL1032+AL1073</f>
        <v/>
      </c>
      <c r="AM1074" s="1375">
        <f>AM1071+AM1049+AM1032+AM1073</f>
        <v/>
      </c>
      <c r="AN1074" s="1450">
        <f>AN1071+AN1049+AN1032+AN1073</f>
        <v/>
      </c>
      <c r="AO1074" s="1449">
        <f>AO1071+AO1049+AO1032+AO1073</f>
        <v/>
      </c>
      <c r="AP1074" s="1375">
        <f>AP1071+AP1049+AP1032+AP1073</f>
        <v/>
      </c>
      <c r="AQ1074" s="1375">
        <f>AQ1071+AQ1049+AQ1032+AQ1073</f>
        <v/>
      </c>
      <c r="AR1074" s="1375">
        <f>AR1071+AR1049+AR1032+AR1073</f>
        <v/>
      </c>
      <c r="AS1074" s="1450">
        <f>AS1071+AS1049+AS1032+AS1073</f>
        <v/>
      </c>
      <c r="AT1074" s="1449">
        <f>AT1071+AT1049+AT1032+AT1073</f>
        <v/>
      </c>
      <c r="AU1074" s="1375">
        <f>AU1071+AU1049+AU1032+AU1073</f>
        <v/>
      </c>
      <c r="AV1074" s="1375">
        <f>AV1071+AV1049+AV1032+AV1073</f>
        <v/>
      </c>
      <c r="AW1074" s="1375">
        <f>AW1071+AW1049+AW1032+AW1073</f>
        <v/>
      </c>
      <c r="AX1074" s="1450">
        <f>AX1071+AX1049+AX1032+AX1073</f>
        <v/>
      </c>
      <c r="AY1074" s="1449">
        <f>AY1071+AY1049+AY1032+AY1073</f>
        <v/>
      </c>
      <c r="AZ1074" s="1375">
        <f>AZ1071+AZ1049+AZ1032+AZ1073</f>
        <v/>
      </c>
      <c r="BA1074" s="1375">
        <f>BA1071+BA1049+BA1032+BA1073</f>
        <v/>
      </c>
      <c r="BB1074" s="1375">
        <f>BB1071+BB1049+BB1032+BB1073</f>
        <v/>
      </c>
      <c r="BC1074" s="1450">
        <f>BC1071+BC1049+BC1032+BC1073</f>
        <v/>
      </c>
      <c r="BD1074" s="1449">
        <f>BD1071+BD1049+BD1032+BD1073</f>
        <v/>
      </c>
      <c r="BE1074" s="1375">
        <f>BE1071+BE1049+BE1032+BE1073</f>
        <v/>
      </c>
      <c r="BF1074" s="1375">
        <f>BF1071+BF1049+BF1032+BF1073</f>
        <v/>
      </c>
      <c r="BG1074" s="1375">
        <f>BG1071+BG1049+BG1032+BG1073</f>
        <v/>
      </c>
      <c r="BH1074" s="1450">
        <f>BH1071+BH1049+BH1032+BH1073</f>
        <v/>
      </c>
      <c r="BI1074" s="1449">
        <f>BI1071+BI1049+BI1032+BI1073</f>
        <v/>
      </c>
      <c r="BJ1074" s="1375">
        <f>BJ1071+BJ1049+BJ1032+BJ1073</f>
        <v/>
      </c>
      <c r="BK1074" s="1375">
        <f>BK1071+BK1049+BK1032+BK1073</f>
        <v/>
      </c>
      <c r="BL1074" s="1375">
        <f>BL1071+BL1049+BL1032+BL1073</f>
        <v/>
      </c>
      <c r="BM1074" s="1450">
        <f>BM1071+BM1049+BM1032+BM1073</f>
        <v/>
      </c>
      <c r="BN1074" s="1449">
        <f>BN1071+BN1049+BN1032+BN1073</f>
        <v/>
      </c>
      <c r="BO1074" s="1375">
        <f>BO1071+BO1049+BO1032+BO1073</f>
        <v/>
      </c>
      <c r="BP1074" s="1375">
        <f>BP1071+BP1049+BP1032+BP1073</f>
        <v/>
      </c>
      <c r="BQ1074" s="1459">
        <f>BQ1071+BQ1049+BQ1032+BQ1073</f>
        <v/>
      </c>
      <c r="BR1074" s="1450" t="n"/>
      <c r="BS1074" s="1449" t="n"/>
      <c r="BT1074" s="1450" t="n"/>
      <c r="BU1074" s="1450" t="n"/>
      <c r="BV1074" s="1450" t="n"/>
      <c r="BW1074" s="1450" t="n"/>
      <c r="BX1074" s="1449" t="n"/>
      <c r="BY1074" s="1449" t="n"/>
      <c r="BZ1074" s="1449" t="n"/>
      <c r="CA1074" s="1449" t="n"/>
      <c r="CB1074" s="1375" t="n"/>
    </row>
    <row r="1075" hidden="1" outlineLevel="1" ht="14.4" customFormat="1" customHeight="1" s="1372">
      <c r="A1075" s="1447" t="n"/>
      <c r="B1075" s="1517" t="n"/>
      <c r="C1075" s="1449" t="n"/>
      <c r="D1075" s="1449" t="n"/>
      <c r="E1075" s="1449" t="n"/>
      <c r="F1075" s="1449" t="n"/>
      <c r="G1075" s="1450" t="n"/>
      <c r="H1075" s="1450" t="n"/>
      <c r="I1075" s="1450" t="n"/>
      <c r="J1075" s="1450" t="n"/>
      <c r="K1075" s="1449" t="n"/>
      <c r="L1075" s="1450" t="n"/>
      <c r="M1075" s="1450" t="n"/>
      <c r="N1075" s="1450" t="n"/>
      <c r="O1075" s="1450" t="n"/>
      <c r="P1075" s="1449" t="n"/>
      <c r="Q1075" s="1450" t="n"/>
      <c r="R1075" s="1450" t="n"/>
      <c r="S1075" s="1450" t="n"/>
      <c r="T1075" s="1450" t="n"/>
      <c r="U1075" s="1449" t="n"/>
      <c r="V1075" s="1450" t="n"/>
      <c r="W1075" s="1450" t="n"/>
      <c r="X1075" s="1450" t="n"/>
      <c r="Y1075" s="1450" t="n"/>
      <c r="Z1075" s="1449" t="n"/>
      <c r="AA1075" s="1450" t="n"/>
      <c r="AB1075" s="1450" t="n"/>
      <c r="AC1075" s="1450" t="n"/>
      <c r="AD1075" s="1450" t="n"/>
      <c r="AE1075" s="1449" t="n"/>
      <c r="AF1075" s="1450" t="n"/>
      <c r="AG1075" s="1450" t="n"/>
      <c r="AH1075" s="1450" t="n"/>
      <c r="AI1075" s="1450" t="n"/>
      <c r="AJ1075" s="1449" t="n"/>
      <c r="AK1075" s="1450" t="n"/>
      <c r="AL1075" s="1450" t="n"/>
      <c r="AM1075" s="1450" t="n"/>
      <c r="AN1075" s="1450" t="n"/>
      <c r="AO1075" s="1449" t="n"/>
      <c r="AP1075" s="1450" t="n"/>
      <c r="AQ1075" s="1450" t="n"/>
      <c r="AR1075" s="1450" t="n"/>
      <c r="AS1075" s="1450" t="n"/>
      <c r="AT1075" s="1449" t="n"/>
      <c r="AU1075" s="1450" t="n"/>
      <c r="AV1075" s="1450" t="n"/>
      <c r="AW1075" s="1450" t="n"/>
      <c r="AX1075" s="1450" t="n"/>
      <c r="AY1075" s="1449" t="n"/>
      <c r="AZ1075" s="1450" t="n"/>
      <c r="BA1075" s="1450" t="n"/>
      <c r="BB1075" s="1450" t="n"/>
      <c r="BC1075" s="1450" t="n"/>
      <c r="BD1075" s="1449" t="n"/>
      <c r="BE1075" s="1450" t="n"/>
      <c r="BF1075" s="1450" t="n"/>
      <c r="BG1075" s="1450" t="n"/>
      <c r="BH1075" s="1450" t="n"/>
      <c r="BI1075" s="1449" t="n"/>
      <c r="BJ1075" s="1450" t="n"/>
      <c r="BK1075" s="1450" t="n"/>
      <c r="BL1075" s="1450" t="n"/>
      <c r="BM1075" s="1450" t="n"/>
      <c r="BN1075" s="1449" t="n"/>
      <c r="BO1075" s="1450" t="n"/>
      <c r="BP1075" s="1450" t="n"/>
      <c r="BQ1075" s="1451" t="n"/>
      <c r="BR1075" s="1450" t="n"/>
      <c r="BS1075" s="1449" t="n"/>
      <c r="BT1075" s="1450" t="n"/>
      <c r="BU1075" s="1450" t="n"/>
      <c r="BV1075" s="1450" t="n"/>
      <c r="BW1075" s="1450" t="n"/>
      <c r="BX1075" s="1449" t="n"/>
      <c r="BY1075" s="1449" t="n"/>
      <c r="BZ1075" s="1449" t="n"/>
      <c r="CA1075" s="1449" t="n"/>
      <c r="CB1075" s="1375" t="n"/>
    </row>
    <row r="1076" hidden="1" outlineLevel="1" ht="14.4" customFormat="1" customHeight="1" s="1372">
      <c r="A1076" s="1452" t="inlineStr">
        <is>
          <t>Beginning Cash Balance</t>
        </is>
      </c>
      <c r="B1076" s="1517" t="n"/>
      <c r="C1076" s="1839" t="n">
        <v>568.255</v>
      </c>
      <c r="D1076" s="1458">
        <f>C1077</f>
        <v/>
      </c>
      <c r="E1076" s="1458">
        <f>D1077</f>
        <v/>
      </c>
      <c r="F1076" s="1458">
        <f>E1077</f>
        <v/>
      </c>
      <c r="G1076" s="1375">
        <f>F1077</f>
        <v/>
      </c>
      <c r="H1076" s="1375">
        <f>G1076</f>
        <v/>
      </c>
      <c r="I1076" s="1375">
        <f>H1076</f>
        <v/>
      </c>
      <c r="J1076" s="1375">
        <f>I1076</f>
        <v/>
      </c>
      <c r="K1076" s="1458">
        <f>J1076</f>
        <v/>
      </c>
      <c r="L1076" s="1375">
        <f>K1077</f>
        <v/>
      </c>
      <c r="M1076" s="1375">
        <f>L1076</f>
        <v/>
      </c>
      <c r="N1076" s="1375">
        <f>M1076</f>
        <v/>
      </c>
      <c r="O1076" s="1375">
        <f>N1076</f>
        <v/>
      </c>
      <c r="P1076" s="1458">
        <f>O1076</f>
        <v/>
      </c>
      <c r="Q1076" s="1375">
        <f>P1077</f>
        <v/>
      </c>
      <c r="R1076" s="1375">
        <f>Q1076</f>
        <v/>
      </c>
      <c r="S1076" s="1375">
        <f>R1076</f>
        <v/>
      </c>
      <c r="T1076" s="1375">
        <f>S1076</f>
        <v/>
      </c>
      <c r="U1076" s="1458">
        <f>T1076</f>
        <v/>
      </c>
      <c r="V1076" s="1375">
        <f>U1077</f>
        <v/>
      </c>
      <c r="W1076" s="1375">
        <f>V1076</f>
        <v/>
      </c>
      <c r="X1076" s="1375">
        <f>W1076</f>
        <v/>
      </c>
      <c r="Y1076" s="1375">
        <f>X1076</f>
        <v/>
      </c>
      <c r="Z1076" s="1458">
        <f>Y1076</f>
        <v/>
      </c>
      <c r="AA1076" s="1375">
        <f>Z1077</f>
        <v/>
      </c>
      <c r="AB1076" s="1375">
        <f>AA1076</f>
        <v/>
      </c>
      <c r="AC1076" s="1375">
        <f>AB1076</f>
        <v/>
      </c>
      <c r="AD1076" s="1375">
        <f>AC1076</f>
        <v/>
      </c>
      <c r="AE1076" s="1458">
        <f>AD1076</f>
        <v/>
      </c>
      <c r="AF1076" s="1375">
        <f>AE1077</f>
        <v/>
      </c>
      <c r="AG1076" s="1375">
        <f>AF1076</f>
        <v/>
      </c>
      <c r="AH1076" s="1375">
        <f>AG1076</f>
        <v/>
      </c>
      <c r="AI1076" s="1375">
        <f>AH1076</f>
        <v/>
      </c>
      <c r="AJ1076" s="1458">
        <f>AI1076</f>
        <v/>
      </c>
      <c r="AK1076" s="1375">
        <f>AJ1077</f>
        <v/>
      </c>
      <c r="AL1076" s="1375">
        <f>AK1076</f>
        <v/>
      </c>
      <c r="AM1076" s="1375">
        <f>AL1076</f>
        <v/>
      </c>
      <c r="AN1076" s="1375">
        <f>AM1076</f>
        <v/>
      </c>
      <c r="AO1076" s="1458">
        <f>AN1076</f>
        <v/>
      </c>
      <c r="AP1076" s="1375">
        <f>AO1077</f>
        <v/>
      </c>
      <c r="AQ1076" s="1375">
        <f>AP1076</f>
        <v/>
      </c>
      <c r="AR1076" s="1375">
        <f>AQ1076</f>
        <v/>
      </c>
      <c r="AS1076" s="1375">
        <f>AR1076</f>
        <v/>
      </c>
      <c r="AT1076" s="1458">
        <f>AS1076</f>
        <v/>
      </c>
      <c r="AU1076" s="1375">
        <f>AT1077</f>
        <v/>
      </c>
      <c r="AV1076" s="1375">
        <f>AU1076</f>
        <v/>
      </c>
      <c r="AW1076" s="1375">
        <f>AV1076</f>
        <v/>
      </c>
      <c r="AX1076" s="1375">
        <f>AW1076</f>
        <v/>
      </c>
      <c r="AY1076" s="1458">
        <f>AX1076</f>
        <v/>
      </c>
      <c r="AZ1076" s="1375">
        <f>AY1077</f>
        <v/>
      </c>
      <c r="BA1076" s="1375">
        <f>AZ1076</f>
        <v/>
      </c>
      <c r="BB1076" s="1375">
        <f>BA1076</f>
        <v/>
      </c>
      <c r="BC1076" s="1375">
        <f>BB1076</f>
        <v/>
      </c>
      <c r="BD1076" s="1458">
        <f>BC1076</f>
        <v/>
      </c>
      <c r="BE1076" s="1375">
        <f>BD1077</f>
        <v/>
      </c>
      <c r="BF1076" s="1375">
        <f>BE1076</f>
        <v/>
      </c>
      <c r="BG1076" s="1375">
        <f>BF1076</f>
        <v/>
      </c>
      <c r="BH1076" s="1375">
        <f>BG1076</f>
        <v/>
      </c>
      <c r="BI1076" s="1458">
        <f>BH1076</f>
        <v/>
      </c>
      <c r="BJ1076" s="1375">
        <f>BI1077</f>
        <v/>
      </c>
      <c r="BK1076" s="1375">
        <f>BJ1076</f>
        <v/>
      </c>
      <c r="BL1076" s="1375">
        <f>BK1076</f>
        <v/>
      </c>
      <c r="BM1076" s="1375">
        <f>BL1076</f>
        <v/>
      </c>
      <c r="BN1076" s="1458">
        <f>BM1076</f>
        <v/>
      </c>
      <c r="BO1076" s="1375">
        <f>BN1077</f>
        <v/>
      </c>
      <c r="BP1076" s="1375">
        <f>BO1076</f>
        <v/>
      </c>
      <c r="BQ1076" s="1459">
        <f>BP1076</f>
        <v/>
      </c>
      <c r="BR1076" s="1450" t="n"/>
      <c r="BS1076" s="1449" t="n"/>
      <c r="BT1076" s="1450" t="n"/>
      <c r="BU1076" s="1450" t="n"/>
      <c r="BV1076" s="1450" t="n"/>
      <c r="BW1076" s="1450" t="n"/>
      <c r="BX1076" s="1449" t="n"/>
      <c r="BY1076" s="1449" t="n"/>
      <c r="BZ1076" s="1449" t="n"/>
      <c r="CA1076" s="1449" t="n"/>
      <c r="CB1076" s="1375" t="n"/>
    </row>
    <row r="1077" hidden="1" outlineLevel="1" ht="14.4" customFormat="1" customHeight="1" s="1372">
      <c r="A1077" s="1452" t="inlineStr">
        <is>
          <t>Ending Cash Balance</t>
        </is>
      </c>
      <c r="B1077" s="1517" t="n"/>
      <c r="C1077" s="1458">
        <f>C1074+C1076</f>
        <v/>
      </c>
      <c r="D1077" s="1458">
        <f>D1074+D1076</f>
        <v/>
      </c>
      <c r="E1077" s="1458">
        <f>E1074+E1076</f>
        <v/>
      </c>
      <c r="F1077" s="1458">
        <f>F1074+F1076</f>
        <v/>
      </c>
      <c r="G1077" s="1375">
        <f>G1074+G1076</f>
        <v/>
      </c>
      <c r="H1077" s="1375">
        <f>H1074+H1076</f>
        <v/>
      </c>
      <c r="I1077" s="1375">
        <f>I1074+I1076</f>
        <v/>
      </c>
      <c r="J1077" s="1375">
        <f>J1074+J1076</f>
        <v/>
      </c>
      <c r="K1077" s="1458">
        <f>K1074+K1076</f>
        <v/>
      </c>
      <c r="L1077" s="1375">
        <f>L1074+L1076</f>
        <v/>
      </c>
      <c r="M1077" s="1375">
        <f>M1074+M1076</f>
        <v/>
      </c>
      <c r="N1077" s="1375">
        <f>N1074+N1076</f>
        <v/>
      </c>
      <c r="O1077" s="1375">
        <f>O1074+O1076</f>
        <v/>
      </c>
      <c r="P1077" s="1458">
        <f>P1074+P1076</f>
        <v/>
      </c>
      <c r="Q1077" s="1375">
        <f>Q1074+Q1076</f>
        <v/>
      </c>
      <c r="R1077" s="1375">
        <f>R1074+R1076</f>
        <v/>
      </c>
      <c r="S1077" s="1375">
        <f>S1074+S1076</f>
        <v/>
      </c>
      <c r="T1077" s="1375">
        <f>T1074+T1076</f>
        <v/>
      </c>
      <c r="U1077" s="1458">
        <f>U1074+U1076</f>
        <v/>
      </c>
      <c r="V1077" s="1375">
        <f>V1074+V1076</f>
        <v/>
      </c>
      <c r="W1077" s="1375">
        <f>W1074+W1076</f>
        <v/>
      </c>
      <c r="X1077" s="1375">
        <f>X1074+X1076</f>
        <v/>
      </c>
      <c r="Y1077" s="1375">
        <f>Y1074+Y1076</f>
        <v/>
      </c>
      <c r="Z1077" s="1458">
        <f>Z1074+Z1076</f>
        <v/>
      </c>
      <c r="AA1077" s="1375">
        <f>AA1074+AA1076</f>
        <v/>
      </c>
      <c r="AB1077" s="1375">
        <f>AB1074+AB1076</f>
        <v/>
      </c>
      <c r="AC1077" s="1375">
        <f>AC1074+AC1076</f>
        <v/>
      </c>
      <c r="AD1077" s="1375">
        <f>AD1074+AD1076</f>
        <v/>
      </c>
      <c r="AE1077" s="1458">
        <f>AE1074+AE1076</f>
        <v/>
      </c>
      <c r="AF1077" s="1375">
        <f>AF1074+AF1076</f>
        <v/>
      </c>
      <c r="AG1077" s="1375">
        <f>AG1074+AG1076</f>
        <v/>
      </c>
      <c r="AH1077" s="1375">
        <f>AH1074+AH1076</f>
        <v/>
      </c>
      <c r="AI1077" s="1375">
        <f>AI1074+AI1076</f>
        <v/>
      </c>
      <c r="AJ1077" s="1458">
        <f>AJ1074+AJ1076</f>
        <v/>
      </c>
      <c r="AK1077" s="1375">
        <f>AK1074+AK1076</f>
        <v/>
      </c>
      <c r="AL1077" s="1375">
        <f>AL1074+AL1076</f>
        <v/>
      </c>
      <c r="AM1077" s="1375">
        <f>AM1074+AM1076</f>
        <v/>
      </c>
      <c r="AN1077" s="1375">
        <f>AN1074+AN1076</f>
        <v/>
      </c>
      <c r="AO1077" s="1458">
        <f>AO1074+AO1076</f>
        <v/>
      </c>
      <c r="AP1077" s="1375">
        <f>AP1074+AP1076</f>
        <v/>
      </c>
      <c r="AQ1077" s="1375">
        <f>AQ1074+AQ1076</f>
        <v/>
      </c>
      <c r="AR1077" s="1375">
        <f>AR1074+AR1076</f>
        <v/>
      </c>
      <c r="AS1077" s="1375">
        <f>AS1074+AS1076</f>
        <v/>
      </c>
      <c r="AT1077" s="1458">
        <f>AT1074+AT1076</f>
        <v/>
      </c>
      <c r="AU1077" s="1375">
        <f>AU1074+AU1076</f>
        <v/>
      </c>
      <c r="AV1077" s="1375">
        <f>AV1074+AV1076</f>
        <v/>
      </c>
      <c r="AW1077" s="1375">
        <f>AW1074+AW1076</f>
        <v/>
      </c>
      <c r="AX1077" s="1375">
        <f>AX1074+AX1076</f>
        <v/>
      </c>
      <c r="AY1077" s="1458">
        <f>AY1074+AY1076</f>
        <v/>
      </c>
      <c r="AZ1077" s="1375">
        <f>AZ1074+AZ1076</f>
        <v/>
      </c>
      <c r="BA1077" s="1375">
        <f>BA1074+BA1076</f>
        <v/>
      </c>
      <c r="BB1077" s="1375">
        <f>BB1074+BB1076</f>
        <v/>
      </c>
      <c r="BC1077" s="1375">
        <f>BC1074+BC1076</f>
        <v/>
      </c>
      <c r="BD1077" s="1458">
        <f>BD1074+BD1076</f>
        <v/>
      </c>
      <c r="BE1077" s="1375">
        <f>BE1074+BE1076</f>
        <v/>
      </c>
      <c r="BF1077" s="1375">
        <f>BF1074+BF1076</f>
        <v/>
      </c>
      <c r="BG1077" s="1375">
        <f>BG1074+BG1076</f>
        <v/>
      </c>
      <c r="BH1077" s="1375">
        <f>BH1074+BH1076</f>
        <v/>
      </c>
      <c r="BI1077" s="1458">
        <f>BI1074+BI1076</f>
        <v/>
      </c>
      <c r="BJ1077" s="1375">
        <f>BJ1074+BJ1076</f>
        <v/>
      </c>
      <c r="BK1077" s="1375">
        <f>BK1074+BK1076</f>
        <v/>
      </c>
      <c r="BL1077" s="1375">
        <f>BL1074+BL1076</f>
        <v/>
      </c>
      <c r="BM1077" s="1375">
        <f>BM1074+BM1076</f>
        <v/>
      </c>
      <c r="BN1077" s="1458">
        <f>BN1074+BN1076</f>
        <v/>
      </c>
      <c r="BO1077" s="1375">
        <f>BO1074+BO1076</f>
        <v/>
      </c>
      <c r="BP1077" s="1375">
        <f>BP1074+BP1076</f>
        <v/>
      </c>
      <c r="BQ1077" s="1459">
        <f>BQ1074+BQ1076</f>
        <v/>
      </c>
      <c r="BR1077" s="1450" t="n"/>
      <c r="BS1077" s="1449" t="n"/>
      <c r="BT1077" s="1450" t="n"/>
      <c r="BU1077" s="1450" t="n"/>
      <c r="BV1077" s="1450" t="n"/>
      <c r="BW1077" s="1450" t="n"/>
      <c r="BX1077" s="1449" t="n"/>
      <c r="BY1077" s="1449" t="n"/>
      <c r="BZ1077" s="1449" t="n"/>
      <c r="CA1077" s="1449" t="n"/>
      <c r="CB1077" s="1375" t="n"/>
    </row>
    <row r="1078" hidden="1" outlineLevel="1" ht="14.4" customFormat="1" customHeight="1" s="1372">
      <c r="A1078" s="1447" t="n"/>
      <c r="B1078" s="1517" t="n"/>
      <c r="C1078" s="1449" t="n"/>
      <c r="D1078" s="1449" t="n"/>
      <c r="E1078" s="1449" t="n"/>
      <c r="F1078" s="1449" t="n"/>
      <c r="G1078" s="1450" t="n"/>
      <c r="H1078" s="1450" t="n"/>
      <c r="I1078" s="1450" t="n"/>
      <c r="J1078" s="1450" t="n"/>
      <c r="K1078" s="1449" t="n"/>
      <c r="L1078" s="1450" t="n"/>
      <c r="M1078" s="1450" t="n"/>
      <c r="N1078" s="1450" t="n"/>
      <c r="O1078" s="1450" t="n"/>
      <c r="P1078" s="1449" t="n"/>
      <c r="Q1078" s="1450" t="n"/>
      <c r="R1078" s="1450" t="n"/>
      <c r="S1078" s="1450" t="n"/>
      <c r="T1078" s="1450" t="n"/>
      <c r="U1078" s="1449" t="n"/>
      <c r="V1078" s="1450" t="n"/>
      <c r="W1078" s="1450" t="n"/>
      <c r="X1078" s="1450" t="n"/>
      <c r="Y1078" s="1450" t="n"/>
      <c r="Z1078" s="1449" t="n"/>
      <c r="AA1078" s="1450" t="n"/>
      <c r="AB1078" s="1450" t="n"/>
      <c r="AC1078" s="1450" t="n"/>
      <c r="AD1078" s="1450" t="n"/>
      <c r="AE1078" s="1449" t="n"/>
      <c r="AF1078" s="1450" t="n"/>
      <c r="AG1078" s="1450" t="n"/>
      <c r="AH1078" s="1450" t="n"/>
      <c r="AI1078" s="1450" t="n"/>
      <c r="AJ1078" s="1449" t="n"/>
      <c r="AK1078" s="1450" t="n"/>
      <c r="AL1078" s="1450" t="n"/>
      <c r="AM1078" s="1450" t="n"/>
      <c r="AN1078" s="1450" t="n"/>
      <c r="AO1078" s="1449" t="n"/>
      <c r="AP1078" s="1450" t="n"/>
      <c r="AQ1078" s="1450" t="n"/>
      <c r="AR1078" s="1450" t="n"/>
      <c r="AS1078" s="1450" t="n"/>
      <c r="AT1078" s="1449" t="n"/>
      <c r="AU1078" s="1450" t="n"/>
      <c r="AV1078" s="1450" t="n"/>
      <c r="AW1078" s="1450" t="n"/>
      <c r="AX1078" s="1450" t="n"/>
      <c r="AY1078" s="1449" t="n"/>
      <c r="AZ1078" s="1450" t="n"/>
      <c r="BA1078" s="1450" t="n"/>
      <c r="BB1078" s="1450" t="n"/>
      <c r="BC1078" s="1450" t="n"/>
      <c r="BD1078" s="1449" t="n"/>
      <c r="BE1078" s="1450" t="n"/>
      <c r="BF1078" s="1450" t="n"/>
      <c r="BG1078" s="1450" t="n"/>
      <c r="BH1078" s="1450" t="n"/>
      <c r="BI1078" s="1449" t="n"/>
      <c r="BJ1078" s="1450" t="n"/>
      <c r="BK1078" s="1450" t="n"/>
      <c r="BL1078" s="1450" t="n"/>
      <c r="BM1078" s="1450" t="n"/>
      <c r="BN1078" s="1449" t="n"/>
      <c r="BO1078" s="1450" t="n"/>
      <c r="BP1078" s="1450" t="n"/>
      <c r="BQ1078" s="1451" t="n"/>
      <c r="BR1078" s="1450" t="n"/>
      <c r="BS1078" s="1449" t="n"/>
      <c r="BT1078" s="1450" t="n"/>
      <c r="BU1078" s="1450" t="n"/>
      <c r="BV1078" s="1450" t="n"/>
      <c r="BW1078" s="1450" t="n"/>
      <c r="BX1078" s="1449" t="n"/>
      <c r="BY1078" s="1449" t="n"/>
      <c r="BZ1078" s="1449" t="n"/>
      <c r="CA1078" s="1449" t="n"/>
      <c r="CB1078" s="1375" t="n"/>
    </row>
    <row r="1079" hidden="1" outlineLevel="1" ht="14.4" customFormat="1" customHeight="1" s="1359">
      <c r="A1079" s="1490" t="inlineStr">
        <is>
          <t>Cash paid for interest</t>
        </is>
      </c>
      <c r="B1079" s="1512" t="n"/>
      <c r="C1079" s="1494" t="n">
        <v>7.188</v>
      </c>
      <c r="D1079" s="1494" t="n">
        <v>9.978999999999999</v>
      </c>
      <c r="E1079" s="1494" t="n">
        <v>13.417</v>
      </c>
      <c r="F1079" s="1494" t="n">
        <v>11.354</v>
      </c>
      <c r="G1079" s="1493" t="n">
        <v>0.183</v>
      </c>
      <c r="H1079" s="1493" t="n">
        <v>6.294</v>
      </c>
      <c r="I1079" s="1493" t="n">
        <v>6.538</v>
      </c>
      <c r="J1079" s="1364">
        <f>K1079</f>
        <v/>
      </c>
      <c r="K1079" s="1494" t="n">
        <v>12.429</v>
      </c>
      <c r="L1079" s="1493" t="n">
        <v>0.112</v>
      </c>
      <c r="M1079" s="1493" t="n">
        <v>4.831</v>
      </c>
      <c r="N1079" s="1493" t="n">
        <v>5.113</v>
      </c>
      <c r="O1079" s="1364">
        <f>P1079</f>
        <v/>
      </c>
      <c r="P1079" s="1494" t="n">
        <v>9.962999999999999</v>
      </c>
      <c r="Q1079" s="1493" t="n">
        <v>0.125</v>
      </c>
      <c r="R1079" s="1493" t="n">
        <v>12.006</v>
      </c>
      <c r="S1079" s="1493" t="n">
        <v>12.134</v>
      </c>
      <c r="T1079" s="1364">
        <f>U1079</f>
        <v/>
      </c>
      <c r="U1079" s="1494" t="n">
        <v>19.918</v>
      </c>
      <c r="V1079" s="1493" t="n">
        <v>0.109</v>
      </c>
      <c r="W1079" s="1493" t="n">
        <v>9.423</v>
      </c>
      <c r="X1079" s="1493" t="n">
        <v>11.238</v>
      </c>
      <c r="Y1079" s="1364">
        <f>Z1079</f>
        <v/>
      </c>
      <c r="Z1079" s="1494" t="n">
        <v>21.024</v>
      </c>
      <c r="AA1079" s="1493" t="n">
        <v>2.219</v>
      </c>
      <c r="AB1079" s="1493" t="n">
        <v>12.112</v>
      </c>
      <c r="AC1079" s="1493" t="n">
        <v>14.188</v>
      </c>
      <c r="AD1079" s="1364">
        <f>AE1079</f>
        <v/>
      </c>
      <c r="AE1079" s="1494" t="n">
        <v>24.16</v>
      </c>
      <c r="AF1079" s="1493" t="n">
        <v>2.716</v>
      </c>
      <c r="AG1079" s="1493" t="n">
        <v>13.165</v>
      </c>
      <c r="AH1079" s="1493" t="n">
        <v>15.36</v>
      </c>
      <c r="AI1079" s="1364">
        <f>AJ1079</f>
        <v/>
      </c>
      <c r="AJ1079" s="1494" t="n">
        <v>23.018</v>
      </c>
      <c r="AK1079" s="1493" t="n">
        <v>1.324</v>
      </c>
      <c r="AL1079" s="1493" t="n">
        <v>10.052</v>
      </c>
      <c r="AM1079" s="1493" t="n">
        <v>10.052</v>
      </c>
      <c r="AN1079" s="1364">
        <f>AO1079</f>
        <v/>
      </c>
      <c r="AO1079" s="1494" t="n">
        <v>17.842</v>
      </c>
      <c r="AP1079" s="1493" t="n">
        <v>0.134</v>
      </c>
      <c r="AQ1079" s="1493" t="n">
        <v>10.076</v>
      </c>
      <c r="AR1079" s="1493" t="n">
        <v>10.982</v>
      </c>
      <c r="AS1079" s="1364">
        <f>AT1079</f>
        <v/>
      </c>
      <c r="AT1079" s="1494" t="n">
        <v>19.778</v>
      </c>
      <c r="AU1079" s="1493" t="n">
        <v>0.131</v>
      </c>
      <c r="AV1079" s="1493" t="n">
        <v>7.92</v>
      </c>
      <c r="AW1079" s="1493" t="n">
        <v>8.117000000000001</v>
      </c>
      <c r="AX1079" s="1364">
        <f>AY1079</f>
        <v/>
      </c>
      <c r="AY1079" s="1494" t="n">
        <v>15.95</v>
      </c>
      <c r="AZ1079" s="1493" t="n">
        <v>0.158</v>
      </c>
      <c r="BA1079" s="1493" t="n">
        <v>7.973</v>
      </c>
      <c r="BB1079" s="1493" t="n">
        <v>8.507999999999999</v>
      </c>
      <c r="BC1079" s="1364">
        <f>BD1079</f>
        <v/>
      </c>
      <c r="BD1079" s="1494" t="n">
        <v>21.122</v>
      </c>
      <c r="BE1079" s="1493" t="n">
        <v>5.142</v>
      </c>
      <c r="BF1079" s="1493" t="n">
        <v>17.566</v>
      </c>
      <c r="BG1079" s="1493" t="n">
        <v>22.226</v>
      </c>
      <c r="BH1079" s="1361">
        <f>BI1079</f>
        <v/>
      </c>
      <c r="BI1079" s="1494" t="n">
        <v>34.934</v>
      </c>
      <c r="BJ1079" s="1493" t="n">
        <v>4.903</v>
      </c>
      <c r="BK1079" s="1493" t="n">
        <v>21.282</v>
      </c>
      <c r="BL1079" s="1493" t="n">
        <v>35.323</v>
      </c>
      <c r="BM1079" s="1361">
        <f>BN1079</f>
        <v/>
      </c>
      <c r="BN1079" s="1494" t="n">
        <v>43.219</v>
      </c>
      <c r="BO1079" s="1493" t="n">
        <v>55.734</v>
      </c>
      <c r="BP1079" s="1493" t="n">
        <v>55.971</v>
      </c>
      <c r="BQ1079" s="1502" t="n">
        <v>111.711</v>
      </c>
      <c r="BR1079" s="1361" t="n"/>
      <c r="BS1079" s="1379" t="n"/>
      <c r="BT1079" s="1361" t="n"/>
      <c r="BU1079" s="1361" t="n"/>
      <c r="BV1079" s="1361" t="n"/>
      <c r="BW1079" s="1361" t="n"/>
      <c r="BX1079" s="1379" t="n"/>
      <c r="BY1079" s="1379" t="n"/>
      <c r="BZ1079" s="1379" t="n"/>
      <c r="CA1079" s="1379" t="n"/>
      <c r="CB1079" s="1364" t="n"/>
    </row>
    <row r="1080" hidden="1" outlineLevel="1" ht="14.4" customFormat="1" customHeight="1" s="1359">
      <c r="A1080" s="1490" t="inlineStr">
        <is>
          <t>Cash paid for taxes, net</t>
        </is>
      </c>
      <c r="B1080" s="1512" t="n"/>
      <c r="C1080" s="1494" t="n">
        <v>8.276999999999999</v>
      </c>
      <c r="D1080" s="1494" t="n">
        <v>29.838</v>
      </c>
      <c r="E1080" s="1494" t="n">
        <v>18.961</v>
      </c>
      <c r="F1080" s="1494" t="n">
        <v>18.637</v>
      </c>
      <c r="G1080" s="1493" t="n">
        <v>-0.021</v>
      </c>
      <c r="H1080" s="1493" t="n">
        <v>6.598</v>
      </c>
      <c r="I1080" s="1493" t="n">
        <v>5.281</v>
      </c>
      <c r="J1080" s="1364">
        <f>K1080</f>
        <v/>
      </c>
      <c r="K1080" s="1494" t="n">
        <v>-3.084</v>
      </c>
      <c r="L1080" s="1493" t="n">
        <v>5.393</v>
      </c>
      <c r="M1080" s="1493" t="n">
        <v>10.231</v>
      </c>
      <c r="N1080" s="1493" t="n">
        <v>21.41</v>
      </c>
      <c r="O1080" s="1364">
        <f>P1080</f>
        <v/>
      </c>
      <c r="P1080" s="1494" t="n">
        <v>26.453</v>
      </c>
      <c r="Q1080" s="1493" t="n">
        <v>10.868</v>
      </c>
      <c r="R1080" s="1493" t="n">
        <v>16.373</v>
      </c>
      <c r="S1080" s="1493" t="n">
        <v>23.93</v>
      </c>
      <c r="T1080" s="1364">
        <f>U1080</f>
        <v/>
      </c>
      <c r="U1080" s="1494" t="n">
        <v>29.494</v>
      </c>
      <c r="V1080" s="1493" t="n">
        <v>4.799</v>
      </c>
      <c r="W1080" s="1493" t="n">
        <v>13.73</v>
      </c>
      <c r="X1080" s="1493" t="n">
        <v>27.332</v>
      </c>
      <c r="Y1080" s="1364">
        <f>Z1080</f>
        <v/>
      </c>
      <c r="Z1080" s="1494" t="n">
        <v>36.823</v>
      </c>
      <c r="AA1080" s="1493" t="n">
        <v>9.766999999999999</v>
      </c>
      <c r="AB1080" s="1493" t="n">
        <v>27.236</v>
      </c>
      <c r="AC1080" s="1493" t="n">
        <v>40.021</v>
      </c>
      <c r="AD1080" s="1364">
        <f>AE1080</f>
        <v/>
      </c>
      <c r="AE1080" s="1494" t="n">
        <v>59.072</v>
      </c>
      <c r="AF1080" s="1493" t="n">
        <v>6.025</v>
      </c>
      <c r="AG1080" s="1493" t="n">
        <v>17.807</v>
      </c>
      <c r="AH1080" s="1493" t="n">
        <v>29.858</v>
      </c>
      <c r="AI1080" s="1364">
        <f>AJ1080</f>
        <v/>
      </c>
      <c r="AJ1080" s="1494" t="n">
        <v>68.04000000000001</v>
      </c>
      <c r="AK1080" s="1493" t="n">
        <v>6.892</v>
      </c>
      <c r="AL1080" s="1493" t="n">
        <v>17.708</v>
      </c>
      <c r="AM1080" s="1493" t="n">
        <v>25.439</v>
      </c>
      <c r="AN1080" s="1364">
        <f>AO1080</f>
        <v/>
      </c>
      <c r="AO1080" s="1494" t="n">
        <v>41.946</v>
      </c>
      <c r="AP1080" s="1493" t="n">
        <v>9.269</v>
      </c>
      <c r="AQ1080" s="1493" t="n">
        <v>20.897</v>
      </c>
      <c r="AR1080" s="1493" t="n">
        <v>44.679</v>
      </c>
      <c r="AS1080" s="1364">
        <f>AT1080</f>
        <v/>
      </c>
      <c r="AT1080" s="1494" t="n">
        <v>105.917</v>
      </c>
      <c r="AU1080" s="1493" t="n">
        <v>10.127</v>
      </c>
      <c r="AV1080" s="1493" t="n">
        <v>28.619</v>
      </c>
      <c r="AW1080" s="1493" t="n">
        <v>47.687</v>
      </c>
      <c r="AX1080" s="1364">
        <f>AY1080</f>
        <v/>
      </c>
      <c r="AY1080" s="1494" t="n">
        <v>146.424</v>
      </c>
      <c r="AZ1080" s="1493" t="n">
        <v>10.018</v>
      </c>
      <c r="BA1080" s="1493" t="n">
        <v>79.277</v>
      </c>
      <c r="BB1080" s="1493" t="n">
        <v>148.151</v>
      </c>
      <c r="BC1080" s="1364">
        <f>BD1080</f>
        <v/>
      </c>
      <c r="BD1080" s="1494" t="n">
        <v>233.235</v>
      </c>
      <c r="BE1080" s="1493" t="n">
        <v>19.814</v>
      </c>
      <c r="BF1080" s="1493" t="n">
        <v>61.893</v>
      </c>
      <c r="BG1080" s="1493" t="n">
        <v>104.721</v>
      </c>
      <c r="BH1080" s="1361">
        <f>BI1080</f>
        <v/>
      </c>
      <c r="BI1080" s="1494" t="n">
        <v>253.7</v>
      </c>
      <c r="BJ1080" s="1493" t="n">
        <v>23.85</v>
      </c>
      <c r="BK1080" s="1493" t="n">
        <v>197.475</v>
      </c>
      <c r="BL1080" s="1493" t="n">
        <v>296.117</v>
      </c>
      <c r="BM1080" s="1361">
        <f>BN1080</f>
        <v/>
      </c>
      <c r="BN1080" s="1494" t="n">
        <v>509.979</v>
      </c>
      <c r="BO1080" s="1493" t="n">
        <v>29.956</v>
      </c>
      <c r="BP1080" s="1493" t="n">
        <v>154.807</v>
      </c>
      <c r="BQ1080" s="1502" t="n">
        <v>198.77</v>
      </c>
      <c r="BR1080" s="1361" t="n"/>
      <c r="BS1080" s="1379" t="n"/>
      <c r="BT1080" s="1361" t="n"/>
      <c r="BU1080" s="1361" t="n"/>
      <c r="BV1080" s="1361" t="n"/>
      <c r="BW1080" s="1361" t="n"/>
      <c r="BX1080" s="1379" t="n"/>
      <c r="BY1080" s="1379" t="n"/>
      <c r="BZ1080" s="1379" t="n"/>
      <c r="CA1080" s="1379" t="n"/>
      <c r="CB1080" s="1364" t="n"/>
    </row>
    <row r="1081" collapsed="1" ht="14.4" customFormat="1" customHeight="1" s="1372">
      <c r="A1081" s="1447" t="n"/>
      <c r="B1081" s="1517" t="n"/>
      <c r="C1081" s="1449" t="n"/>
      <c r="D1081" s="1449" t="n"/>
      <c r="E1081" s="1449" t="n"/>
      <c r="F1081" s="1449" t="n"/>
      <c r="G1081" s="1450" t="n"/>
      <c r="H1081" s="1450" t="n"/>
      <c r="I1081" s="1450" t="n"/>
      <c r="J1081" s="1450" t="n"/>
      <c r="K1081" s="1449" t="n"/>
      <c r="L1081" s="1450" t="n"/>
      <c r="M1081" s="1450" t="n"/>
      <c r="N1081" s="1450" t="n"/>
      <c r="O1081" s="1450" t="n"/>
      <c r="P1081" s="1449" t="n"/>
      <c r="Q1081" s="1450" t="n"/>
      <c r="R1081" s="1450" t="n"/>
      <c r="S1081" s="1450" t="n"/>
      <c r="T1081" s="1450" t="n"/>
      <c r="U1081" s="1449" t="n"/>
      <c r="V1081" s="1450" t="n"/>
      <c r="W1081" s="1450" t="n"/>
      <c r="X1081" s="1450" t="n"/>
      <c r="Y1081" s="1450" t="n"/>
      <c r="Z1081" s="1449" t="n"/>
      <c r="AA1081" s="1450" t="n"/>
      <c r="AB1081" s="1450" t="n"/>
      <c r="AC1081" s="1450" t="n"/>
      <c r="AD1081" s="1450" t="n"/>
      <c r="AE1081" s="1449" t="n"/>
      <c r="AF1081" s="1450" t="n"/>
      <c r="AG1081" s="1450" t="n"/>
      <c r="AH1081" s="1450" t="n"/>
      <c r="AI1081" s="1450" t="n"/>
      <c r="AJ1081" s="1449" t="n"/>
      <c r="AK1081" s="1450" t="n"/>
      <c r="AL1081" s="1450" t="n"/>
      <c r="AM1081" s="1450" t="n"/>
      <c r="AN1081" s="1450" t="n"/>
      <c r="AO1081" s="1449" t="n"/>
      <c r="AP1081" s="1450" t="n"/>
      <c r="AQ1081" s="1450" t="n"/>
      <c r="AR1081" s="1450" t="n"/>
      <c r="AS1081" s="1450" t="n"/>
      <c r="AT1081" s="1449" t="n"/>
      <c r="AU1081" s="1450" t="n"/>
      <c r="AV1081" s="1450" t="n"/>
      <c r="AW1081" s="1450" t="n"/>
      <c r="AX1081" s="1450" t="n"/>
      <c r="AY1081" s="1449" t="n"/>
      <c r="AZ1081" s="1450" t="n"/>
      <c r="BA1081" s="1450" t="n"/>
      <c r="BB1081" s="1450" t="n"/>
      <c r="BC1081" s="1450" t="n"/>
      <c r="BD1081" s="1449" t="n"/>
      <c r="BE1081" s="1450" t="n"/>
      <c r="BF1081" s="1450" t="n"/>
      <c r="BG1081" s="1450" t="n"/>
      <c r="BH1081" s="1450" t="n"/>
      <c r="BI1081" s="1449" t="n"/>
      <c r="BJ1081" s="1450" t="n"/>
      <c r="BK1081" s="1450" t="n"/>
      <c r="BL1081" s="1450" t="n"/>
      <c r="BM1081" s="1450" t="n"/>
      <c r="BN1081" s="1449" t="n"/>
      <c r="BO1081" s="1450" t="n"/>
      <c r="BP1081" s="1450" t="n"/>
      <c r="BQ1081" s="1451" t="n"/>
      <c r="BR1081" s="1450" t="n"/>
      <c r="BS1081" s="1449" t="n"/>
      <c r="BT1081" s="1450" t="n"/>
      <c r="BU1081" s="1450" t="n"/>
      <c r="BV1081" s="1450" t="n"/>
      <c r="BW1081" s="1450" t="n"/>
      <c r="BX1081" s="1449" t="n"/>
      <c r="BY1081" s="1449" t="n"/>
      <c r="BZ1081" s="1449" t="n"/>
      <c r="CA1081" s="1449" t="n"/>
      <c r="CB1081" s="1375" t="n"/>
    </row>
    <row r="1082" ht="14.4" customFormat="1" customHeight="1" s="1372">
      <c r="A1082" s="1373" t="inlineStr">
        <is>
          <t>Cash Flow Statement</t>
        </is>
      </c>
      <c r="B1082" s="1373" t="n"/>
      <c r="C1082" s="1373" t="n"/>
      <c r="D1082" s="1373" t="n"/>
      <c r="E1082" s="1373" t="n"/>
      <c r="F1082" s="1373" t="n"/>
      <c r="G1082" s="1373" t="n"/>
      <c r="H1082" s="1373" t="n"/>
      <c r="I1082" s="1373" t="n"/>
      <c r="J1082" s="1373" t="n"/>
      <c r="K1082" s="1373" t="n"/>
      <c r="L1082" s="1373" t="n"/>
      <c r="M1082" s="1373" t="n"/>
      <c r="N1082" s="1373" t="n"/>
      <c r="O1082" s="1373" t="n"/>
      <c r="P1082" s="1373" t="n"/>
      <c r="Q1082" s="1373" t="n"/>
      <c r="R1082" s="1373" t="n"/>
      <c r="S1082" s="1373" t="n"/>
      <c r="T1082" s="1373" t="n"/>
      <c r="U1082" s="1373" t="n"/>
      <c r="V1082" s="1373" t="n"/>
      <c r="W1082" s="1373" t="n"/>
      <c r="X1082" s="1373" t="n"/>
      <c r="Y1082" s="1373" t="n"/>
      <c r="Z1082" s="1373" t="n"/>
      <c r="AA1082" s="1373" t="n"/>
      <c r="AB1082" s="1373" t="n"/>
      <c r="AC1082" s="1373" t="n"/>
      <c r="AD1082" s="1373" t="n"/>
      <c r="AE1082" s="1373" t="n"/>
      <c r="AF1082" s="1373" t="n"/>
      <c r="AG1082" s="1373" t="n"/>
      <c r="AH1082" s="1373" t="n"/>
      <c r="AI1082" s="1373" t="n"/>
      <c r="AJ1082" s="1373" t="n"/>
      <c r="AK1082" s="1373" t="n"/>
      <c r="AL1082" s="1373" t="n"/>
      <c r="AM1082" s="1373" t="n"/>
      <c r="AN1082" s="1373" t="n"/>
      <c r="AO1082" s="1373" t="n"/>
      <c r="AP1082" s="1373" t="n"/>
      <c r="AQ1082" s="1373" t="n"/>
      <c r="AR1082" s="1373" t="n"/>
      <c r="AS1082" s="1373" t="n"/>
      <c r="AT1082" s="1373" t="n"/>
      <c r="AU1082" s="1373" t="n"/>
      <c r="AV1082" s="1373" t="n"/>
      <c r="AW1082" s="1373" t="n"/>
      <c r="AX1082" s="1373" t="n"/>
      <c r="AY1082" s="1373" t="n"/>
      <c r="AZ1082" s="1373" t="n"/>
      <c r="BA1082" s="1373" t="n"/>
      <c r="BB1082" s="1373" t="n"/>
      <c r="BC1082" s="1373" t="n"/>
      <c r="BD1082" s="1373" t="n"/>
      <c r="BE1082" s="1373" t="n"/>
      <c r="BF1082" s="1373" t="n"/>
      <c r="BG1082" s="1373" t="n"/>
      <c r="BH1082" s="1373" t="n"/>
      <c r="BI1082" s="1373" t="n"/>
      <c r="BJ1082" s="1373" t="n"/>
      <c r="BK1082" s="1373" t="n"/>
      <c r="BL1082" s="1373" t="n"/>
      <c r="BM1082" s="1373" t="n"/>
      <c r="BN1082" s="1373" t="n"/>
      <c r="BO1082" s="1373" t="n"/>
      <c r="BP1082" s="1373" t="n"/>
      <c r="BQ1082" s="1374" t="n"/>
      <c r="BR1082" s="1373" t="n"/>
      <c r="BS1082" s="1373" t="n"/>
      <c r="BT1082" s="1373" t="n"/>
      <c r="BU1082" s="1373" t="n"/>
      <c r="BV1082" s="1373" t="n"/>
      <c r="BW1082" s="1373" t="n"/>
      <c r="BX1082" s="1373" t="n"/>
      <c r="BY1082" s="1373" t="n"/>
      <c r="BZ1082" s="1373" t="n"/>
      <c r="CA1082" s="1373" t="n"/>
      <c r="CB1082" s="1375" t="n"/>
    </row>
    <row r="1083" ht="14.4" customFormat="1" customHeight="1" s="1372">
      <c r="A1083" s="1452">
        <f>A1005</f>
        <v/>
      </c>
      <c r="B1083" s="1517" t="n"/>
      <c r="C1083" s="1449" t="n"/>
      <c r="D1083" s="1449" t="n"/>
      <c r="E1083" s="1449" t="n"/>
      <c r="F1083" s="1449" t="n"/>
      <c r="G1083" s="1450" t="n"/>
      <c r="H1083" s="1450" t="n"/>
      <c r="I1083" s="1450" t="n"/>
      <c r="J1083" s="1450" t="n"/>
      <c r="K1083" s="1449" t="n"/>
      <c r="L1083" s="1450" t="n"/>
      <c r="M1083" s="1450" t="n"/>
      <c r="N1083" s="1450" t="n"/>
      <c r="O1083" s="1450" t="n"/>
      <c r="P1083" s="1449" t="n"/>
      <c r="Q1083" s="1450" t="n"/>
      <c r="R1083" s="1450" t="n"/>
      <c r="S1083" s="1450" t="n"/>
      <c r="T1083" s="1450" t="n"/>
      <c r="U1083" s="1449" t="n"/>
      <c r="V1083" s="1450" t="n"/>
      <c r="W1083" s="1450" t="n"/>
      <c r="X1083" s="1450" t="n"/>
      <c r="Y1083" s="1450" t="n"/>
      <c r="Z1083" s="1449" t="n"/>
      <c r="AA1083" s="1450" t="n"/>
      <c r="AB1083" s="1450" t="n"/>
      <c r="AC1083" s="1450" t="n"/>
      <c r="AD1083" s="1450" t="n"/>
      <c r="AE1083" s="1449" t="n"/>
      <c r="AF1083" s="1450" t="n"/>
      <c r="AG1083" s="1450" t="n"/>
      <c r="AH1083" s="1450" t="n"/>
      <c r="AI1083" s="1450" t="n"/>
      <c r="AJ1083" s="1449" t="n"/>
      <c r="AK1083" s="1450" t="n"/>
      <c r="AL1083" s="1450" t="n"/>
      <c r="AM1083" s="1450" t="n"/>
      <c r="AN1083" s="1450" t="n"/>
      <c r="AO1083" s="1449" t="n"/>
      <c r="AP1083" s="1450" t="n"/>
      <c r="AQ1083" s="1450" t="n"/>
      <c r="AR1083" s="1450" t="n"/>
      <c r="AS1083" s="1450" t="n"/>
      <c r="AT1083" s="1449" t="n"/>
      <c r="AU1083" s="1450" t="n"/>
      <c r="AV1083" s="1450" t="n"/>
      <c r="AW1083" s="1450" t="n"/>
      <c r="AX1083" s="1450" t="n"/>
      <c r="AY1083" s="1449" t="n"/>
      <c r="AZ1083" s="1450" t="n"/>
      <c r="BA1083" s="1450" t="n"/>
      <c r="BB1083" s="1450" t="n"/>
      <c r="BC1083" s="1450" t="n"/>
      <c r="BD1083" s="1449" t="n"/>
      <c r="BE1083" s="1450" t="n"/>
      <c r="BF1083" s="1450" t="n"/>
      <c r="BG1083" s="1450" t="n"/>
      <c r="BH1083" s="1450" t="n"/>
      <c r="BI1083" s="1449" t="n"/>
      <c r="BJ1083" s="1450" t="n"/>
      <c r="BK1083" s="1450" t="n"/>
      <c r="BL1083" s="1450" t="n"/>
      <c r="BM1083" s="1450" t="n"/>
      <c r="BN1083" s="1449" t="n"/>
      <c r="BO1083" s="1450" t="n"/>
      <c r="BP1083" s="1450" t="n"/>
      <c r="BQ1083" s="1451" t="n"/>
      <c r="BR1083" s="1450" t="n"/>
      <c r="BS1083" s="1449" t="n"/>
      <c r="BT1083" s="1450" t="n"/>
      <c r="BU1083" s="1450" t="n"/>
      <c r="BV1083" s="1450" t="n"/>
      <c r="BW1083" s="1450" t="n"/>
      <c r="BX1083" s="1449" t="n"/>
      <c r="BY1083" s="1449" t="n"/>
      <c r="BZ1083" s="1449" t="n"/>
      <c r="CA1083" s="1449" t="n"/>
      <c r="CB1083" s="1375" t="n"/>
    </row>
    <row r="1084" ht="14.4" customFormat="1" customHeight="1" s="1359">
      <c r="A1084" s="1394">
        <f>A1006</f>
        <v/>
      </c>
      <c r="B1084" s="1512" t="n"/>
      <c r="C1084" s="1378">
        <f>C1006</f>
        <v/>
      </c>
      <c r="D1084" s="1378">
        <f>D1006</f>
        <v/>
      </c>
      <c r="E1084" s="1378">
        <f>E1006</f>
        <v/>
      </c>
      <c r="F1084" s="1378">
        <f>F1006</f>
        <v/>
      </c>
      <c r="G1084" s="1364">
        <f>G1006</f>
        <v/>
      </c>
      <c r="H1084" s="1364">
        <f>H1006-G1006</f>
        <v/>
      </c>
      <c r="I1084" s="1364">
        <f>I1006-H1006</f>
        <v/>
      </c>
      <c r="J1084" s="1364">
        <f>J1006-I1006</f>
        <v/>
      </c>
      <c r="K1084" s="1378">
        <f>K1006</f>
        <v/>
      </c>
      <c r="L1084" s="1364">
        <f>L1006</f>
        <v/>
      </c>
      <c r="M1084" s="1364">
        <f>M1006-L1006</f>
        <v/>
      </c>
      <c r="N1084" s="1364">
        <f>N1006-M1006</f>
        <v/>
      </c>
      <c r="O1084" s="1364">
        <f>O1006-N1006</f>
        <v/>
      </c>
      <c r="P1084" s="1378">
        <f>P1006</f>
        <v/>
      </c>
      <c r="Q1084" s="1364">
        <f>Q1006</f>
        <v/>
      </c>
      <c r="R1084" s="1364">
        <f>R1006-Q1006</f>
        <v/>
      </c>
      <c r="S1084" s="1364">
        <f>S1006-R1006</f>
        <v/>
      </c>
      <c r="T1084" s="1364">
        <f>T1006-S1006</f>
        <v/>
      </c>
      <c r="U1084" s="1378">
        <f>U1006</f>
        <v/>
      </c>
      <c r="V1084" s="1364">
        <f>V1006</f>
        <v/>
      </c>
      <c r="W1084" s="1364">
        <f>W1006-V1006</f>
        <v/>
      </c>
      <c r="X1084" s="1364">
        <f>X1006-W1006</f>
        <v/>
      </c>
      <c r="Y1084" s="1364">
        <f>Y1006-X1006</f>
        <v/>
      </c>
      <c r="Z1084" s="1378">
        <f>Z1006</f>
        <v/>
      </c>
      <c r="AA1084" s="1364">
        <f>AA1006</f>
        <v/>
      </c>
      <c r="AB1084" s="1364">
        <f>AB1006-AA1006</f>
        <v/>
      </c>
      <c r="AC1084" s="1364">
        <f>AC1006-AB1006</f>
        <v/>
      </c>
      <c r="AD1084" s="1364">
        <f>AD1006-AC1006</f>
        <v/>
      </c>
      <c r="AE1084" s="1378">
        <f>AE1006</f>
        <v/>
      </c>
      <c r="AF1084" s="1364">
        <f>AF1006</f>
        <v/>
      </c>
      <c r="AG1084" s="1364">
        <f>AG1006-AF1006</f>
        <v/>
      </c>
      <c r="AH1084" s="1364">
        <f>AH1006-AG1006</f>
        <v/>
      </c>
      <c r="AI1084" s="1364">
        <f>AI1006-AH1006</f>
        <v/>
      </c>
      <c r="AJ1084" s="1378">
        <f>AJ1006</f>
        <v/>
      </c>
      <c r="AK1084" s="1364">
        <f>AK1006</f>
        <v/>
      </c>
      <c r="AL1084" s="1364">
        <f>AL1006-AK1006</f>
        <v/>
      </c>
      <c r="AM1084" s="1364">
        <f>AM1006-AL1006</f>
        <v/>
      </c>
      <c r="AN1084" s="1364">
        <f>AN1006-AM1006</f>
        <v/>
      </c>
      <c r="AO1084" s="1378">
        <f>AO1006</f>
        <v/>
      </c>
      <c r="AP1084" s="1364">
        <f>AP1006</f>
        <v/>
      </c>
      <c r="AQ1084" s="1364">
        <f>AQ1006-AP1006</f>
        <v/>
      </c>
      <c r="AR1084" s="1364">
        <f>AR1006-AQ1006</f>
        <v/>
      </c>
      <c r="AS1084" s="1364">
        <f>AS1006-AR1006</f>
        <v/>
      </c>
      <c r="AT1084" s="1378">
        <f>AT1006</f>
        <v/>
      </c>
      <c r="AU1084" s="1364">
        <f>AU1006</f>
        <v/>
      </c>
      <c r="AV1084" s="1364">
        <f>AV1006-AU1006</f>
        <v/>
      </c>
      <c r="AW1084" s="1364">
        <f>AW1006-AV1006</f>
        <v/>
      </c>
      <c r="AX1084" s="1364">
        <f>AX1006-AW1006</f>
        <v/>
      </c>
      <c r="AY1084" s="1378">
        <f>AY1006</f>
        <v/>
      </c>
      <c r="AZ1084" s="1364">
        <f>AZ1006</f>
        <v/>
      </c>
      <c r="BA1084" s="1364">
        <f>BA1006-AZ1006</f>
        <v/>
      </c>
      <c r="BB1084" s="1364">
        <f>BB1006-BA1006</f>
        <v/>
      </c>
      <c r="BC1084" s="1364">
        <f>BC1006-BB1006</f>
        <v/>
      </c>
      <c r="BD1084" s="1378">
        <f>BD1006</f>
        <v/>
      </c>
      <c r="BE1084" s="1364">
        <f>BE1006</f>
        <v/>
      </c>
      <c r="BF1084" s="1364">
        <f>BF1006-BE1006</f>
        <v/>
      </c>
      <c r="BG1084" s="1364">
        <f>BG1006-BF1006</f>
        <v/>
      </c>
      <c r="BH1084" s="1364">
        <f>BH1006-BG1006</f>
        <v/>
      </c>
      <c r="BI1084" s="1378">
        <f>BI1006</f>
        <v/>
      </c>
      <c r="BJ1084" s="1364">
        <f>BJ1006</f>
        <v/>
      </c>
      <c r="BK1084" s="1364">
        <f>BK1006-BJ1006</f>
        <v/>
      </c>
      <c r="BL1084" s="1364">
        <f>BL1006-BK1006</f>
        <v/>
      </c>
      <c r="BM1084" s="1364">
        <f>BM1006-BL1006</f>
        <v/>
      </c>
      <c r="BN1084" s="1378">
        <f>BN1006</f>
        <v/>
      </c>
      <c r="BO1084" s="1364">
        <f>BO1006</f>
        <v/>
      </c>
      <c r="BP1084" s="1364">
        <f>BP1006-BO1006</f>
        <v/>
      </c>
      <c r="BQ1084" s="1395">
        <f>BQ1006-BP1006</f>
        <v/>
      </c>
      <c r="BR1084" s="1361">
        <f>BR505</f>
        <v/>
      </c>
      <c r="BS1084" s="1379">
        <f>SUM(BO1084,BP1084,BQ1084,BR1084)</f>
        <v/>
      </c>
      <c r="BT1084" s="1361">
        <f>BT505</f>
        <v/>
      </c>
      <c r="BU1084" s="1361">
        <f>BU505</f>
        <v/>
      </c>
      <c r="BV1084" s="1361">
        <f>BV505</f>
        <v/>
      </c>
      <c r="BW1084" s="1361">
        <f>BW505</f>
        <v/>
      </c>
      <c r="BX1084" s="1379">
        <f>SUM(BT1084,BU1084,BV1084,BW1084)</f>
        <v/>
      </c>
      <c r="BY1084" s="1379">
        <f>BY505</f>
        <v/>
      </c>
      <c r="BZ1084" s="1379">
        <f>BZ505</f>
        <v/>
      </c>
      <c r="CA1084" s="1379">
        <f>CA505</f>
        <v/>
      </c>
      <c r="CB1084" s="1364" t="n"/>
    </row>
    <row r="1085" ht="14.4" customFormat="1" customHeight="1" s="1359">
      <c r="A1085" s="1394">
        <f>A1007</f>
        <v/>
      </c>
      <c r="B1085" s="1512" t="n"/>
      <c r="C1085" s="1378">
        <f>C1007</f>
        <v/>
      </c>
      <c r="D1085" s="1378">
        <f>D1007</f>
        <v/>
      </c>
      <c r="E1085" s="1378">
        <f>E1007</f>
        <v/>
      </c>
      <c r="F1085" s="1378">
        <f>F1007</f>
        <v/>
      </c>
      <c r="G1085" s="1364">
        <f>G1007</f>
        <v/>
      </c>
      <c r="H1085" s="1364">
        <f>H1007-G1007</f>
        <v/>
      </c>
      <c r="I1085" s="1364">
        <f>I1007-H1007</f>
        <v/>
      </c>
      <c r="J1085" s="1364">
        <f>J1007-I1007</f>
        <v/>
      </c>
      <c r="K1085" s="1378">
        <f>K1007</f>
        <v/>
      </c>
      <c r="L1085" s="1364">
        <f>L1007</f>
        <v/>
      </c>
      <c r="M1085" s="1364">
        <f>M1007-L1007</f>
        <v/>
      </c>
      <c r="N1085" s="1364">
        <f>N1007-M1007</f>
        <v/>
      </c>
      <c r="O1085" s="1364">
        <f>O1007-N1007</f>
        <v/>
      </c>
      <c r="P1085" s="1378">
        <f>P1007</f>
        <v/>
      </c>
      <c r="Q1085" s="1364">
        <f>Q1007</f>
        <v/>
      </c>
      <c r="R1085" s="1364">
        <f>R1007-Q1007</f>
        <v/>
      </c>
      <c r="S1085" s="1364">
        <f>S1007-R1007</f>
        <v/>
      </c>
      <c r="T1085" s="1364">
        <f>T1007-S1007</f>
        <v/>
      </c>
      <c r="U1085" s="1378">
        <f>U1007</f>
        <v/>
      </c>
      <c r="V1085" s="1364">
        <f>V1007</f>
        <v/>
      </c>
      <c r="W1085" s="1364">
        <f>W1007-V1007</f>
        <v/>
      </c>
      <c r="X1085" s="1364">
        <f>X1007-W1007</f>
        <v/>
      </c>
      <c r="Y1085" s="1364">
        <f>Y1007-X1007</f>
        <v/>
      </c>
      <c r="Z1085" s="1378">
        <f>Z1007</f>
        <v/>
      </c>
      <c r="AA1085" s="1364">
        <f>AA1007</f>
        <v/>
      </c>
      <c r="AB1085" s="1364">
        <f>AB1007-AA1007</f>
        <v/>
      </c>
      <c r="AC1085" s="1364">
        <f>AC1007-AB1007</f>
        <v/>
      </c>
      <c r="AD1085" s="1364">
        <f>AD1007-AC1007</f>
        <v/>
      </c>
      <c r="AE1085" s="1378">
        <f>AE1007</f>
        <v/>
      </c>
      <c r="AF1085" s="1364">
        <f>AF1007</f>
        <v/>
      </c>
      <c r="AG1085" s="1364">
        <f>AG1007-AF1007</f>
        <v/>
      </c>
      <c r="AH1085" s="1364">
        <f>AH1007-AG1007</f>
        <v/>
      </c>
      <c r="AI1085" s="1364">
        <f>AI1007-AH1007</f>
        <v/>
      </c>
      <c r="AJ1085" s="1378">
        <f>AJ1007</f>
        <v/>
      </c>
      <c r="AK1085" s="1364">
        <f>AK1007</f>
        <v/>
      </c>
      <c r="AL1085" s="1364">
        <f>AL1007-AK1007</f>
        <v/>
      </c>
      <c r="AM1085" s="1364">
        <f>AM1007-AL1007</f>
        <v/>
      </c>
      <c r="AN1085" s="1364">
        <f>AN1007-AM1007</f>
        <v/>
      </c>
      <c r="AO1085" s="1378">
        <f>AO1007</f>
        <v/>
      </c>
      <c r="AP1085" s="1364">
        <f>AP1007</f>
        <v/>
      </c>
      <c r="AQ1085" s="1364">
        <f>AQ1007-AP1007</f>
        <v/>
      </c>
      <c r="AR1085" s="1364">
        <f>AR1007-AQ1007</f>
        <v/>
      </c>
      <c r="AS1085" s="1364">
        <f>AS1007-AR1007</f>
        <v/>
      </c>
      <c r="AT1085" s="1378">
        <f>AT1007</f>
        <v/>
      </c>
      <c r="AU1085" s="1364">
        <f>AU1007</f>
        <v/>
      </c>
      <c r="AV1085" s="1364">
        <f>AV1007-AU1007</f>
        <v/>
      </c>
      <c r="AW1085" s="1364">
        <f>AW1007-AV1007</f>
        <v/>
      </c>
      <c r="AX1085" s="1364">
        <f>AX1007-AW1007</f>
        <v/>
      </c>
      <c r="AY1085" s="1378">
        <f>AY1007</f>
        <v/>
      </c>
      <c r="AZ1085" s="1364">
        <f>AZ1007</f>
        <v/>
      </c>
      <c r="BA1085" s="1364">
        <f>BA1007-AZ1007</f>
        <v/>
      </c>
      <c r="BB1085" s="1364">
        <f>BB1007-BA1007</f>
        <v/>
      </c>
      <c r="BC1085" s="1364">
        <f>BC1007-BB1007</f>
        <v/>
      </c>
      <c r="BD1085" s="1378">
        <f>BD1007</f>
        <v/>
      </c>
      <c r="BE1085" s="1364">
        <f>BE1007</f>
        <v/>
      </c>
      <c r="BF1085" s="1364">
        <f>BF1007-BE1007</f>
        <v/>
      </c>
      <c r="BG1085" s="1364">
        <f>BG1007-BF1007</f>
        <v/>
      </c>
      <c r="BH1085" s="1364">
        <f>BH1007-BG1007</f>
        <v/>
      </c>
      <c r="BI1085" s="1378">
        <f>BI1007</f>
        <v/>
      </c>
      <c r="BJ1085" s="1364">
        <f>BJ1007</f>
        <v/>
      </c>
      <c r="BK1085" s="1364">
        <f>BK1007-BJ1007</f>
        <v/>
      </c>
      <c r="BL1085" s="1364">
        <f>BL1007-BK1007</f>
        <v/>
      </c>
      <c r="BM1085" s="1364">
        <f>BM1007-BL1007</f>
        <v/>
      </c>
      <c r="BN1085" s="1378">
        <f>BN1007</f>
        <v/>
      </c>
      <c r="BO1085" s="1364">
        <f>BO1007</f>
        <v/>
      </c>
      <c r="BP1085" s="1364">
        <f>BP1007-BO1007</f>
        <v/>
      </c>
      <c r="BQ1085" s="1395">
        <f>BQ1007-BP1007</f>
        <v/>
      </c>
      <c r="BR1085" s="1361">
        <f>BR170</f>
        <v/>
      </c>
      <c r="BS1085" s="1379">
        <f>SUM(BO1085,BP1085,BQ1085,BR1085)</f>
        <v/>
      </c>
      <c r="BT1085" s="1361">
        <f>BT170</f>
        <v/>
      </c>
      <c r="BU1085" s="1361">
        <f>BU170</f>
        <v/>
      </c>
      <c r="BV1085" s="1361">
        <f>BV170</f>
        <v/>
      </c>
      <c r="BW1085" s="1361">
        <f>BW170</f>
        <v/>
      </c>
      <c r="BX1085" s="1379">
        <f>SUM(BT1085,BU1085,BV1085,BW1085)</f>
        <v/>
      </c>
      <c r="BY1085" s="1379">
        <f>BY170</f>
        <v/>
      </c>
      <c r="BZ1085" s="1379">
        <f>BZ170</f>
        <v/>
      </c>
      <c r="CA1085" s="1379">
        <f>CA170</f>
        <v/>
      </c>
      <c r="CB1085" s="1364" t="n"/>
    </row>
    <row r="1086" ht="14.4" customFormat="1" customHeight="1" s="1359">
      <c r="A1086" s="1474">
        <f>A1008</f>
        <v/>
      </c>
      <c r="B1086" s="1512" t="n"/>
      <c r="C1086" s="1379">
        <f>C1008</f>
        <v/>
      </c>
      <c r="D1086" s="1379">
        <f>D1008</f>
        <v/>
      </c>
      <c r="E1086" s="1379">
        <f>E1008</f>
        <v/>
      </c>
      <c r="F1086" s="1379">
        <f>F1008</f>
        <v/>
      </c>
      <c r="G1086" s="1361">
        <f>G1008</f>
        <v/>
      </c>
      <c r="H1086" s="1361">
        <f>H1008-G1008</f>
        <v/>
      </c>
      <c r="I1086" s="1361">
        <f>I1008-H1008</f>
        <v/>
      </c>
      <c r="J1086" s="1361">
        <f>J1008-I1008</f>
        <v/>
      </c>
      <c r="K1086" s="1379">
        <f>K1008</f>
        <v/>
      </c>
      <c r="L1086" s="1361">
        <f>L1008</f>
        <v/>
      </c>
      <c r="M1086" s="1361">
        <f>M1008-L1008</f>
        <v/>
      </c>
      <c r="N1086" s="1361">
        <f>N1008-M1008</f>
        <v/>
      </c>
      <c r="O1086" s="1361">
        <f>O1008-N1008</f>
        <v/>
      </c>
      <c r="P1086" s="1379">
        <f>P1008</f>
        <v/>
      </c>
      <c r="Q1086" s="1361">
        <f>Q1008</f>
        <v/>
      </c>
      <c r="R1086" s="1361">
        <f>R1008-Q1008</f>
        <v/>
      </c>
      <c r="S1086" s="1361">
        <f>S1008-R1008</f>
        <v/>
      </c>
      <c r="T1086" s="1361">
        <f>T1008-S1008</f>
        <v/>
      </c>
      <c r="U1086" s="1379">
        <f>U1008</f>
        <v/>
      </c>
      <c r="V1086" s="1361">
        <f>V1008</f>
        <v/>
      </c>
      <c r="W1086" s="1361">
        <f>W1008-V1008</f>
        <v/>
      </c>
      <c r="X1086" s="1361">
        <f>X1008-W1008</f>
        <v/>
      </c>
      <c r="Y1086" s="1361">
        <f>Y1008-X1008</f>
        <v/>
      </c>
      <c r="Z1086" s="1379">
        <f>Z1008</f>
        <v/>
      </c>
      <c r="AA1086" s="1361">
        <f>AA1008</f>
        <v/>
      </c>
      <c r="AB1086" s="1361">
        <f>AB1008-AA1008</f>
        <v/>
      </c>
      <c r="AC1086" s="1361">
        <f>AC1008-AB1008</f>
        <v/>
      </c>
      <c r="AD1086" s="1361">
        <f>AD1008-AC1008</f>
        <v/>
      </c>
      <c r="AE1086" s="1379">
        <f>AE1008</f>
        <v/>
      </c>
      <c r="AF1086" s="1361">
        <f>AF1008</f>
        <v/>
      </c>
      <c r="AG1086" s="1361">
        <f>AG1008-AF1008</f>
        <v/>
      </c>
      <c r="AH1086" s="1361">
        <f>AH1008-AG1008</f>
        <v/>
      </c>
      <c r="AI1086" s="1361">
        <f>AI1008-AH1008</f>
        <v/>
      </c>
      <c r="AJ1086" s="1379">
        <f>AJ1008</f>
        <v/>
      </c>
      <c r="AK1086" s="1361">
        <f>AK1008</f>
        <v/>
      </c>
      <c r="AL1086" s="1361">
        <f>AL1008-AK1008</f>
        <v/>
      </c>
      <c r="AM1086" s="1361">
        <f>AM1008-AL1008</f>
        <v/>
      </c>
      <c r="AN1086" s="1361">
        <f>AN1008-AM1008</f>
        <v/>
      </c>
      <c r="AO1086" s="1379">
        <f>AO1008</f>
        <v/>
      </c>
      <c r="AP1086" s="1361">
        <f>AP1008</f>
        <v/>
      </c>
      <c r="AQ1086" s="1361">
        <f>AQ1008-AP1008</f>
        <v/>
      </c>
      <c r="AR1086" s="1361">
        <f>AR1008-AQ1008</f>
        <v/>
      </c>
      <c r="AS1086" s="1361">
        <f>AS1008-AR1008</f>
        <v/>
      </c>
      <c r="AT1086" s="1379">
        <f>AT1008</f>
        <v/>
      </c>
      <c r="AU1086" s="1361">
        <f>AU1008</f>
        <v/>
      </c>
      <c r="AV1086" s="1361">
        <f>AV1008-AU1008</f>
        <v/>
      </c>
      <c r="AW1086" s="1361">
        <f>AW1008-AV1008</f>
        <v/>
      </c>
      <c r="AX1086" s="1361">
        <f>AX1008-AW1008</f>
        <v/>
      </c>
      <c r="AY1086" s="1379">
        <f>AY1008</f>
        <v/>
      </c>
      <c r="AZ1086" s="1361">
        <f>AZ1008</f>
        <v/>
      </c>
      <c r="BA1086" s="1361">
        <f>BA1008-AZ1008</f>
        <v/>
      </c>
      <c r="BB1086" s="1361">
        <f>BB1008-BA1008</f>
        <v/>
      </c>
      <c r="BC1086" s="1361">
        <f>BC1008-BB1008</f>
        <v/>
      </c>
      <c r="BD1086" s="1379">
        <f>BD1008</f>
        <v/>
      </c>
      <c r="BE1086" s="1361">
        <f>BE1008</f>
        <v/>
      </c>
      <c r="BF1086" s="1361">
        <f>BF1008-BE1008</f>
        <v/>
      </c>
      <c r="BG1086" s="1361">
        <f>BG1008-BF1008</f>
        <v/>
      </c>
      <c r="BH1086" s="1361">
        <f>BH1008-BG1008</f>
        <v/>
      </c>
      <c r="BI1086" s="1379">
        <f>BI1008</f>
        <v/>
      </c>
      <c r="BJ1086" s="1361">
        <f>BJ1008</f>
        <v/>
      </c>
      <c r="BK1086" s="1361">
        <f>BK1008-BJ1008</f>
        <v/>
      </c>
      <c r="BL1086" s="1361">
        <f>BL1008-BK1008</f>
        <v/>
      </c>
      <c r="BM1086" s="1361">
        <f>BM1008-BL1008</f>
        <v/>
      </c>
      <c r="BN1086" s="1379">
        <f>BN1008</f>
        <v/>
      </c>
      <c r="BO1086" s="1361">
        <f>BO1008</f>
        <v/>
      </c>
      <c r="BP1086" s="1361">
        <f>BP1008-BO1008</f>
        <v/>
      </c>
      <c r="BQ1086" s="1363">
        <f>BQ1008-BP1008</f>
        <v/>
      </c>
      <c r="BR1086" s="1361">
        <f>BR489</f>
        <v/>
      </c>
      <c r="BS1086" s="1379">
        <f>SUM(BO1086,BP1086,BQ1086,BR1086)</f>
        <v/>
      </c>
      <c r="BT1086" s="1361">
        <f>BT489</f>
        <v/>
      </c>
      <c r="BU1086" s="1361">
        <f>BU489</f>
        <v/>
      </c>
      <c r="BV1086" s="1361">
        <f>BV489</f>
        <v/>
      </c>
      <c r="BW1086" s="1361">
        <f>BW489</f>
        <v/>
      </c>
      <c r="BX1086" s="1379">
        <f>SUM(BT1086,BU1086,BV1086,BW1086)</f>
        <v/>
      </c>
      <c r="BY1086" s="1379">
        <f>BY489</f>
        <v/>
      </c>
      <c r="BZ1086" s="1379">
        <f>BZ489</f>
        <v/>
      </c>
      <c r="CA1086" s="1379">
        <f>CA489</f>
        <v/>
      </c>
      <c r="CB1086" s="1361" t="n"/>
    </row>
    <row r="1087" ht="14.4" customFormat="1" customHeight="1" s="1359">
      <c r="A1087" s="1394">
        <f>A1009</f>
        <v/>
      </c>
      <c r="B1087" s="1512" t="n"/>
      <c r="C1087" s="1378">
        <f>C1009</f>
        <v/>
      </c>
      <c r="D1087" s="1378">
        <f>D1009</f>
        <v/>
      </c>
      <c r="E1087" s="1378">
        <f>E1009</f>
        <v/>
      </c>
      <c r="F1087" s="1378">
        <f>F1009</f>
        <v/>
      </c>
      <c r="G1087" s="1364">
        <f>G1009</f>
        <v/>
      </c>
      <c r="H1087" s="1364">
        <f>H1009-G1009</f>
        <v/>
      </c>
      <c r="I1087" s="1364">
        <f>I1009-H1009</f>
        <v/>
      </c>
      <c r="J1087" s="1364">
        <f>J1009-I1009</f>
        <v/>
      </c>
      <c r="K1087" s="1378">
        <f>K1009</f>
        <v/>
      </c>
      <c r="L1087" s="1364">
        <f>L1009</f>
        <v/>
      </c>
      <c r="M1087" s="1364">
        <f>M1009-L1009</f>
        <v/>
      </c>
      <c r="N1087" s="1364">
        <f>N1009-M1009</f>
        <v/>
      </c>
      <c r="O1087" s="1364">
        <f>O1009-N1009</f>
        <v/>
      </c>
      <c r="P1087" s="1378">
        <f>P1009</f>
        <v/>
      </c>
      <c r="Q1087" s="1364">
        <f>Q1009</f>
        <v/>
      </c>
      <c r="R1087" s="1364">
        <f>R1009-Q1009</f>
        <v/>
      </c>
      <c r="S1087" s="1364">
        <f>S1009-R1009</f>
        <v/>
      </c>
      <c r="T1087" s="1364">
        <f>T1009-S1009</f>
        <v/>
      </c>
      <c r="U1087" s="1378">
        <f>U1009</f>
        <v/>
      </c>
      <c r="V1087" s="1364">
        <f>V1009</f>
        <v/>
      </c>
      <c r="W1087" s="1364">
        <f>W1009-V1009</f>
        <v/>
      </c>
      <c r="X1087" s="1364">
        <f>X1009-W1009</f>
        <v/>
      </c>
      <c r="Y1087" s="1364">
        <f>Y1009-X1009</f>
        <v/>
      </c>
      <c r="Z1087" s="1378">
        <f>Z1009</f>
        <v/>
      </c>
      <c r="AA1087" s="1364">
        <f>AA1009</f>
        <v/>
      </c>
      <c r="AB1087" s="1364">
        <f>AB1009-AA1009</f>
        <v/>
      </c>
      <c r="AC1087" s="1364">
        <f>AC1009-AB1009</f>
        <v/>
      </c>
      <c r="AD1087" s="1364">
        <f>AD1009-AC1009</f>
        <v/>
      </c>
      <c r="AE1087" s="1378">
        <f>AE1009</f>
        <v/>
      </c>
      <c r="AF1087" s="1364">
        <f>AF1009</f>
        <v/>
      </c>
      <c r="AG1087" s="1364">
        <f>AG1009-AF1009</f>
        <v/>
      </c>
      <c r="AH1087" s="1364">
        <f>AH1009-AG1009</f>
        <v/>
      </c>
      <c r="AI1087" s="1364">
        <f>AI1009-AH1009</f>
        <v/>
      </c>
      <c r="AJ1087" s="1378">
        <f>AJ1009</f>
        <v/>
      </c>
      <c r="AK1087" s="1364">
        <f>AK1009</f>
        <v/>
      </c>
      <c r="AL1087" s="1364">
        <f>AL1009-AK1009</f>
        <v/>
      </c>
      <c r="AM1087" s="1364">
        <f>AM1009-AL1009</f>
        <v/>
      </c>
      <c r="AN1087" s="1364">
        <f>AN1009-AM1009</f>
        <v/>
      </c>
      <c r="AO1087" s="1378">
        <f>AO1009</f>
        <v/>
      </c>
      <c r="AP1087" s="1364">
        <f>AP1009</f>
        <v/>
      </c>
      <c r="AQ1087" s="1364">
        <f>AQ1009-AP1009</f>
        <v/>
      </c>
      <c r="AR1087" s="1364">
        <f>AR1009-AQ1009</f>
        <v/>
      </c>
      <c r="AS1087" s="1364">
        <f>AS1009-AR1009</f>
        <v/>
      </c>
      <c r="AT1087" s="1378">
        <f>AT1009</f>
        <v/>
      </c>
      <c r="AU1087" s="1364">
        <f>AU1009</f>
        <v/>
      </c>
      <c r="AV1087" s="1364">
        <f>AV1009-AU1009</f>
        <v/>
      </c>
      <c r="AW1087" s="1364">
        <f>AW1009-AV1009</f>
        <v/>
      </c>
      <c r="AX1087" s="1364">
        <f>AX1009-AW1009</f>
        <v/>
      </c>
      <c r="AY1087" s="1378">
        <f>AY1009</f>
        <v/>
      </c>
      <c r="AZ1087" s="1364">
        <f>AZ1009</f>
        <v/>
      </c>
      <c r="BA1087" s="1364">
        <f>BA1009-AZ1009</f>
        <v/>
      </c>
      <c r="BB1087" s="1364">
        <f>BB1009-BA1009</f>
        <v/>
      </c>
      <c r="BC1087" s="1364">
        <f>BC1009-BB1009</f>
        <v/>
      </c>
      <c r="BD1087" s="1378">
        <f>BD1009</f>
        <v/>
      </c>
      <c r="BE1087" s="1364">
        <f>BE1009</f>
        <v/>
      </c>
      <c r="BF1087" s="1364">
        <f>BF1009-BE1009</f>
        <v/>
      </c>
      <c r="BG1087" s="1364">
        <f>BG1009-BF1009</f>
        <v/>
      </c>
      <c r="BH1087" s="1364">
        <f>BH1009-BG1009</f>
        <v/>
      </c>
      <c r="BI1087" s="1378">
        <f>BI1009</f>
        <v/>
      </c>
      <c r="BJ1087" s="1364">
        <f>BJ1009</f>
        <v/>
      </c>
      <c r="BK1087" s="1364">
        <f>BK1009-BJ1009</f>
        <v/>
      </c>
      <c r="BL1087" s="1364">
        <f>BL1009-BK1009</f>
        <v/>
      </c>
      <c r="BM1087" s="1364">
        <f>BM1009-BL1009</f>
        <v/>
      </c>
      <c r="BN1087" s="1378">
        <f>BN1009</f>
        <v/>
      </c>
      <c r="BO1087" s="1364">
        <f>BO1009</f>
        <v/>
      </c>
      <c r="BP1087" s="1364">
        <f>BP1009-BO1009</f>
        <v/>
      </c>
      <c r="BQ1087" s="1395">
        <f>BQ1009-BP1009</f>
        <v/>
      </c>
      <c r="BR1087" s="1361" t="n"/>
      <c r="BS1087" s="1379">
        <f>SUM(BO1087,BP1087,BQ1087,BR1087)</f>
        <v/>
      </c>
      <c r="BT1087" s="1361" t="n"/>
      <c r="BU1087" s="1361" t="n"/>
      <c r="BV1087" s="1361" t="n"/>
      <c r="BW1087" s="1361" t="n"/>
      <c r="BX1087" s="1379">
        <f>SUM(BT1087,BU1087,BV1087,BW1087)</f>
        <v/>
      </c>
      <c r="BY1087" s="1379" t="n"/>
      <c r="BZ1087" s="1379" t="n"/>
      <c r="CA1087" s="1379" t="n"/>
      <c r="CB1087" s="1364" t="n"/>
    </row>
    <row r="1088" ht="14.4" customFormat="1" customHeight="1" s="1359">
      <c r="A1088" s="1394">
        <f>A1010</f>
        <v/>
      </c>
      <c r="B1088" s="1512" t="n"/>
      <c r="C1088" s="1378">
        <f>C1010</f>
        <v/>
      </c>
      <c r="D1088" s="1378">
        <f>D1010</f>
        <v/>
      </c>
      <c r="E1088" s="1378">
        <f>E1010</f>
        <v/>
      </c>
      <c r="F1088" s="1378">
        <f>F1010</f>
        <v/>
      </c>
      <c r="G1088" s="1364">
        <f>G1010</f>
        <v/>
      </c>
      <c r="H1088" s="1364">
        <f>H1010-G1010</f>
        <v/>
      </c>
      <c r="I1088" s="1364">
        <f>I1010-H1010</f>
        <v/>
      </c>
      <c r="J1088" s="1364">
        <f>J1010-I1010</f>
        <v/>
      </c>
      <c r="K1088" s="1378">
        <f>K1010</f>
        <v/>
      </c>
      <c r="L1088" s="1364">
        <f>L1010</f>
        <v/>
      </c>
      <c r="M1088" s="1364">
        <f>M1010-L1010</f>
        <v/>
      </c>
      <c r="N1088" s="1364">
        <f>N1010-M1010</f>
        <v/>
      </c>
      <c r="O1088" s="1364">
        <f>O1010-N1010</f>
        <v/>
      </c>
      <c r="P1088" s="1378">
        <f>P1010</f>
        <v/>
      </c>
      <c r="Q1088" s="1364">
        <f>Q1010</f>
        <v/>
      </c>
      <c r="R1088" s="1364">
        <f>R1010-Q1010</f>
        <v/>
      </c>
      <c r="S1088" s="1364">
        <f>S1010-R1010</f>
        <v/>
      </c>
      <c r="T1088" s="1364">
        <f>T1010-S1010</f>
        <v/>
      </c>
      <c r="U1088" s="1378">
        <f>U1010</f>
        <v/>
      </c>
      <c r="V1088" s="1364">
        <f>V1010</f>
        <v/>
      </c>
      <c r="W1088" s="1364">
        <f>W1010-V1010</f>
        <v/>
      </c>
      <c r="X1088" s="1364">
        <f>X1010-W1010</f>
        <v/>
      </c>
      <c r="Y1088" s="1364">
        <f>Y1010-X1010</f>
        <v/>
      </c>
      <c r="Z1088" s="1378">
        <f>Z1010</f>
        <v/>
      </c>
      <c r="AA1088" s="1364">
        <f>AA1010</f>
        <v/>
      </c>
      <c r="AB1088" s="1364">
        <f>AB1010-AA1010</f>
        <v/>
      </c>
      <c r="AC1088" s="1364">
        <f>AC1010-AB1010</f>
        <v/>
      </c>
      <c r="AD1088" s="1364">
        <f>AD1010-AC1010</f>
        <v/>
      </c>
      <c r="AE1088" s="1378">
        <f>AE1010</f>
        <v/>
      </c>
      <c r="AF1088" s="1364">
        <f>AF1010</f>
        <v/>
      </c>
      <c r="AG1088" s="1364">
        <f>AG1010-AF1010</f>
        <v/>
      </c>
      <c r="AH1088" s="1364">
        <f>AH1010-AG1010</f>
        <v/>
      </c>
      <c r="AI1088" s="1364">
        <f>AI1010-AH1010</f>
        <v/>
      </c>
      <c r="AJ1088" s="1378">
        <f>AJ1010</f>
        <v/>
      </c>
      <c r="AK1088" s="1364">
        <f>AK1010</f>
        <v/>
      </c>
      <c r="AL1088" s="1364">
        <f>AL1010-AK1010</f>
        <v/>
      </c>
      <c r="AM1088" s="1364">
        <f>AM1010-AL1010</f>
        <v/>
      </c>
      <c r="AN1088" s="1364">
        <f>AN1010-AM1010</f>
        <v/>
      </c>
      <c r="AO1088" s="1378">
        <f>AO1010</f>
        <v/>
      </c>
      <c r="AP1088" s="1364">
        <f>AP1010</f>
        <v/>
      </c>
      <c r="AQ1088" s="1364">
        <f>AQ1010-AP1010</f>
        <v/>
      </c>
      <c r="AR1088" s="1364">
        <f>AR1010-AQ1010</f>
        <v/>
      </c>
      <c r="AS1088" s="1364">
        <f>AS1010-AR1010</f>
        <v/>
      </c>
      <c r="AT1088" s="1378">
        <f>AT1010</f>
        <v/>
      </c>
      <c r="AU1088" s="1364">
        <f>AU1010</f>
        <v/>
      </c>
      <c r="AV1088" s="1364">
        <f>AV1010-AU1010</f>
        <v/>
      </c>
      <c r="AW1088" s="1364">
        <f>AW1010-AV1010</f>
        <v/>
      </c>
      <c r="AX1088" s="1364">
        <f>AX1010-AW1010</f>
        <v/>
      </c>
      <c r="AY1088" s="1378">
        <f>AY1010</f>
        <v/>
      </c>
      <c r="AZ1088" s="1364">
        <f>AZ1010</f>
        <v/>
      </c>
      <c r="BA1088" s="1364">
        <f>BA1010-AZ1010</f>
        <v/>
      </c>
      <c r="BB1088" s="1364">
        <f>BB1010-BA1010</f>
        <v/>
      </c>
      <c r="BC1088" s="1364">
        <f>BC1010-BB1010</f>
        <v/>
      </c>
      <c r="BD1088" s="1378">
        <f>BD1010</f>
        <v/>
      </c>
      <c r="BE1088" s="1364">
        <f>BE1010</f>
        <v/>
      </c>
      <c r="BF1088" s="1364">
        <f>BF1010-BE1010</f>
        <v/>
      </c>
      <c r="BG1088" s="1364">
        <f>BG1010-BF1010</f>
        <v/>
      </c>
      <c r="BH1088" s="1364">
        <f>BH1010-BG1010</f>
        <v/>
      </c>
      <c r="BI1088" s="1378">
        <f>BI1010</f>
        <v/>
      </c>
      <c r="BJ1088" s="1364">
        <f>BJ1010</f>
        <v/>
      </c>
      <c r="BK1088" s="1364">
        <f>BK1010-BJ1010</f>
        <v/>
      </c>
      <c r="BL1088" s="1364">
        <f>BL1010-BK1010</f>
        <v/>
      </c>
      <c r="BM1088" s="1364">
        <f>BM1010-BL1010</f>
        <v/>
      </c>
      <c r="BN1088" s="1378">
        <f>BN1010</f>
        <v/>
      </c>
      <c r="BO1088" s="1364">
        <f>BO1010</f>
        <v/>
      </c>
      <c r="BP1088" s="1364">
        <f>BP1010-BO1010</f>
        <v/>
      </c>
      <c r="BQ1088" s="1395">
        <f>BQ1010-BP1010</f>
        <v/>
      </c>
      <c r="BR1088" s="1361">
        <f>BR499</f>
        <v/>
      </c>
      <c r="BS1088" s="1379">
        <f>SUM(BO1088,BP1088,BQ1088,BR1088)</f>
        <v/>
      </c>
      <c r="BT1088" s="1361">
        <f>BT499</f>
        <v/>
      </c>
      <c r="BU1088" s="1361">
        <f>BU499</f>
        <v/>
      </c>
      <c r="BV1088" s="1361">
        <f>BV499</f>
        <v/>
      </c>
      <c r="BW1088" s="1361">
        <f>BW499</f>
        <v/>
      </c>
      <c r="BX1088" s="1379">
        <f>SUM(BT1088,BU1088,BV1088,BW1088)</f>
        <v/>
      </c>
      <c r="BY1088" s="1379">
        <f>BY499</f>
        <v/>
      </c>
      <c r="BZ1088" s="1379">
        <f>BZ499</f>
        <v/>
      </c>
      <c r="CA1088" s="1379">
        <f>CA499</f>
        <v/>
      </c>
      <c r="CB1088" s="1364" t="n"/>
    </row>
    <row r="1089" ht="14.4" customFormat="1" customHeight="1" s="1359">
      <c r="A1089" s="1394">
        <f>A1011</f>
        <v/>
      </c>
      <c r="B1089" s="1512" t="n"/>
      <c r="C1089" s="1378">
        <f>C1011</f>
        <v/>
      </c>
      <c r="D1089" s="1378">
        <f>D1011</f>
        <v/>
      </c>
      <c r="E1089" s="1378">
        <f>E1011</f>
        <v/>
      </c>
      <c r="F1089" s="1378">
        <f>F1011</f>
        <v/>
      </c>
      <c r="G1089" s="1364">
        <f>G1011</f>
        <v/>
      </c>
      <c r="H1089" s="1364">
        <f>H1011-G1011</f>
        <v/>
      </c>
      <c r="I1089" s="1364">
        <f>I1011-H1011</f>
        <v/>
      </c>
      <c r="J1089" s="1364">
        <f>J1011-I1011</f>
        <v/>
      </c>
      <c r="K1089" s="1378">
        <f>K1011</f>
        <v/>
      </c>
      <c r="L1089" s="1364">
        <f>L1011</f>
        <v/>
      </c>
      <c r="M1089" s="1364">
        <f>M1011-L1011</f>
        <v/>
      </c>
      <c r="N1089" s="1364">
        <f>N1011-M1011</f>
        <v/>
      </c>
      <c r="O1089" s="1364">
        <f>O1011-N1011</f>
        <v/>
      </c>
      <c r="P1089" s="1378">
        <f>P1011</f>
        <v/>
      </c>
      <c r="Q1089" s="1364">
        <f>Q1011</f>
        <v/>
      </c>
      <c r="R1089" s="1364">
        <f>R1011-Q1011</f>
        <v/>
      </c>
      <c r="S1089" s="1364">
        <f>S1011-R1011</f>
        <v/>
      </c>
      <c r="T1089" s="1364">
        <f>T1011-S1011</f>
        <v/>
      </c>
      <c r="U1089" s="1378">
        <f>U1011</f>
        <v/>
      </c>
      <c r="V1089" s="1364">
        <f>V1011</f>
        <v/>
      </c>
      <c r="W1089" s="1364">
        <f>W1011-V1011</f>
        <v/>
      </c>
      <c r="X1089" s="1364">
        <f>X1011-W1011</f>
        <v/>
      </c>
      <c r="Y1089" s="1364">
        <f>Y1011-X1011</f>
        <v/>
      </c>
      <c r="Z1089" s="1378">
        <f>Z1011</f>
        <v/>
      </c>
      <c r="AA1089" s="1364">
        <f>AA1011</f>
        <v/>
      </c>
      <c r="AB1089" s="1364">
        <f>AB1011-AA1011</f>
        <v/>
      </c>
      <c r="AC1089" s="1364">
        <f>AC1011-AB1011</f>
        <v/>
      </c>
      <c r="AD1089" s="1364">
        <f>AD1011-AC1011</f>
        <v/>
      </c>
      <c r="AE1089" s="1378">
        <f>AE1011</f>
        <v/>
      </c>
      <c r="AF1089" s="1364">
        <f>AF1011</f>
        <v/>
      </c>
      <c r="AG1089" s="1364">
        <f>AG1011-AF1011</f>
        <v/>
      </c>
      <c r="AH1089" s="1364">
        <f>AH1011-AG1011</f>
        <v/>
      </c>
      <c r="AI1089" s="1364">
        <f>AI1011-AH1011</f>
        <v/>
      </c>
      <c r="AJ1089" s="1378">
        <f>AJ1011</f>
        <v/>
      </c>
      <c r="AK1089" s="1364">
        <f>AK1011</f>
        <v/>
      </c>
      <c r="AL1089" s="1364">
        <f>AL1011-AK1011</f>
        <v/>
      </c>
      <c r="AM1089" s="1364">
        <f>AM1011-AL1011</f>
        <v/>
      </c>
      <c r="AN1089" s="1364">
        <f>AN1011-AM1011</f>
        <v/>
      </c>
      <c r="AO1089" s="1378">
        <f>AO1011</f>
        <v/>
      </c>
      <c r="AP1089" s="1364">
        <f>AP1011</f>
        <v/>
      </c>
      <c r="AQ1089" s="1364">
        <f>AQ1011-AP1011</f>
        <v/>
      </c>
      <c r="AR1089" s="1364">
        <f>AR1011-AQ1011</f>
        <v/>
      </c>
      <c r="AS1089" s="1364">
        <f>AS1011-AR1011</f>
        <v/>
      </c>
      <c r="AT1089" s="1378">
        <f>AT1011</f>
        <v/>
      </c>
      <c r="AU1089" s="1364">
        <f>AU1011</f>
        <v/>
      </c>
      <c r="AV1089" s="1364">
        <f>AV1011-AU1011</f>
        <v/>
      </c>
      <c r="AW1089" s="1364">
        <f>AW1011-AV1011</f>
        <v/>
      </c>
      <c r="AX1089" s="1364">
        <f>AX1011-AW1011</f>
        <v/>
      </c>
      <c r="AY1089" s="1378">
        <f>AY1011</f>
        <v/>
      </c>
      <c r="AZ1089" s="1364">
        <f>AZ1011</f>
        <v/>
      </c>
      <c r="BA1089" s="1364">
        <f>BA1011-AZ1011</f>
        <v/>
      </c>
      <c r="BB1089" s="1364">
        <f>BB1011-BA1011</f>
        <v/>
      </c>
      <c r="BC1089" s="1364">
        <f>BC1011-BB1011</f>
        <v/>
      </c>
      <c r="BD1089" s="1378">
        <f>BD1011</f>
        <v/>
      </c>
      <c r="BE1089" s="1364">
        <f>BE1011</f>
        <v/>
      </c>
      <c r="BF1089" s="1364">
        <f>BF1011-BE1011</f>
        <v/>
      </c>
      <c r="BG1089" s="1364">
        <f>BG1011-BF1011</f>
        <v/>
      </c>
      <c r="BH1089" s="1364">
        <f>BH1011-BG1011</f>
        <v/>
      </c>
      <c r="BI1089" s="1378">
        <f>BI1011</f>
        <v/>
      </c>
      <c r="BJ1089" s="1364">
        <f>BJ1011</f>
        <v/>
      </c>
      <c r="BK1089" s="1364">
        <f>BK1011-BJ1011</f>
        <v/>
      </c>
      <c r="BL1089" s="1364">
        <f>BL1011-BK1011</f>
        <v/>
      </c>
      <c r="BM1089" s="1364">
        <f>BM1011-BL1011</f>
        <v/>
      </c>
      <c r="BN1089" s="1378">
        <f>BN1011</f>
        <v/>
      </c>
      <c r="BO1089" s="1364">
        <f>BO1011</f>
        <v/>
      </c>
      <c r="BP1089" s="1364">
        <f>BP1011-BO1011</f>
        <v/>
      </c>
      <c r="BQ1089" s="1395">
        <f>BQ1011-BP1011</f>
        <v/>
      </c>
      <c r="BR1089" s="1361" t="n"/>
      <c r="BS1089" s="1379">
        <f>SUM(BO1089,BP1089,BQ1089,BR1089)</f>
        <v/>
      </c>
      <c r="BT1089" s="1361" t="n"/>
      <c r="BU1089" s="1361" t="n"/>
      <c r="BV1089" s="1361" t="n"/>
      <c r="BW1089" s="1361" t="n"/>
      <c r="BX1089" s="1379">
        <f>SUM(BT1089,BU1089,BV1089,BW1089)</f>
        <v/>
      </c>
      <c r="BY1089" s="1379" t="n"/>
      <c r="BZ1089" s="1379" t="n"/>
      <c r="CA1089" s="1379" t="n"/>
      <c r="CB1089" s="1364" t="n"/>
    </row>
    <row r="1090" ht="14.4" customFormat="1" customHeight="1" s="1359">
      <c r="A1090" s="1394">
        <f>A1012</f>
        <v/>
      </c>
      <c r="B1090" s="1512" t="n"/>
      <c r="C1090" s="1378">
        <f>C1012</f>
        <v/>
      </c>
      <c r="D1090" s="1378">
        <f>D1012</f>
        <v/>
      </c>
      <c r="E1090" s="1378">
        <f>E1012</f>
        <v/>
      </c>
      <c r="F1090" s="1378">
        <f>F1012</f>
        <v/>
      </c>
      <c r="G1090" s="1364">
        <f>G1012</f>
        <v/>
      </c>
      <c r="H1090" s="1364">
        <f>H1012-G1012</f>
        <v/>
      </c>
      <c r="I1090" s="1364">
        <f>I1012-H1012</f>
        <v/>
      </c>
      <c r="J1090" s="1364">
        <f>J1012-I1012</f>
        <v/>
      </c>
      <c r="K1090" s="1378">
        <f>K1012</f>
        <v/>
      </c>
      <c r="L1090" s="1364">
        <f>L1012</f>
        <v/>
      </c>
      <c r="M1090" s="1364">
        <f>M1012-L1012</f>
        <v/>
      </c>
      <c r="N1090" s="1364">
        <f>N1012-M1012</f>
        <v/>
      </c>
      <c r="O1090" s="1364">
        <f>O1012-N1012</f>
        <v/>
      </c>
      <c r="P1090" s="1378">
        <f>P1012</f>
        <v/>
      </c>
      <c r="Q1090" s="1364">
        <f>Q1012</f>
        <v/>
      </c>
      <c r="R1090" s="1364">
        <f>R1012-Q1012</f>
        <v/>
      </c>
      <c r="S1090" s="1364">
        <f>S1012-R1012</f>
        <v/>
      </c>
      <c r="T1090" s="1364">
        <f>T1012-S1012</f>
        <v/>
      </c>
      <c r="U1090" s="1378">
        <f>U1012</f>
        <v/>
      </c>
      <c r="V1090" s="1364">
        <f>V1012</f>
        <v/>
      </c>
      <c r="W1090" s="1364">
        <f>W1012-V1012</f>
        <v/>
      </c>
      <c r="X1090" s="1364">
        <f>X1012-W1012</f>
        <v/>
      </c>
      <c r="Y1090" s="1364">
        <f>Y1012-X1012</f>
        <v/>
      </c>
      <c r="Z1090" s="1378">
        <f>Z1012</f>
        <v/>
      </c>
      <c r="AA1090" s="1364">
        <f>AA1012</f>
        <v/>
      </c>
      <c r="AB1090" s="1364">
        <f>AB1012-AA1012</f>
        <v/>
      </c>
      <c r="AC1090" s="1364">
        <f>AC1012-AB1012</f>
        <v/>
      </c>
      <c r="AD1090" s="1364">
        <f>AD1012-AC1012</f>
        <v/>
      </c>
      <c r="AE1090" s="1378">
        <f>AE1012</f>
        <v/>
      </c>
      <c r="AF1090" s="1364">
        <f>AF1012</f>
        <v/>
      </c>
      <c r="AG1090" s="1364">
        <f>AG1012-AF1012</f>
        <v/>
      </c>
      <c r="AH1090" s="1364">
        <f>AH1012-AG1012</f>
        <v/>
      </c>
      <c r="AI1090" s="1364">
        <f>AI1012-AH1012</f>
        <v/>
      </c>
      <c r="AJ1090" s="1378">
        <f>AJ1012</f>
        <v/>
      </c>
      <c r="AK1090" s="1364">
        <f>AK1012</f>
        <v/>
      </c>
      <c r="AL1090" s="1364">
        <f>AL1012-AK1012</f>
        <v/>
      </c>
      <c r="AM1090" s="1364">
        <f>AM1012-AL1012</f>
        <v/>
      </c>
      <c r="AN1090" s="1364">
        <f>AN1012-AM1012</f>
        <v/>
      </c>
      <c r="AO1090" s="1378">
        <f>AO1012</f>
        <v/>
      </c>
      <c r="AP1090" s="1364">
        <f>AP1012</f>
        <v/>
      </c>
      <c r="AQ1090" s="1364">
        <f>AQ1012-AP1012</f>
        <v/>
      </c>
      <c r="AR1090" s="1364">
        <f>AR1012-AQ1012</f>
        <v/>
      </c>
      <c r="AS1090" s="1364">
        <f>AS1012-AR1012</f>
        <v/>
      </c>
      <c r="AT1090" s="1378">
        <f>AT1012</f>
        <v/>
      </c>
      <c r="AU1090" s="1364">
        <f>AU1012</f>
        <v/>
      </c>
      <c r="AV1090" s="1364">
        <f>AV1012-AU1012</f>
        <v/>
      </c>
      <c r="AW1090" s="1364">
        <f>AW1012-AV1012</f>
        <v/>
      </c>
      <c r="AX1090" s="1364">
        <f>AX1012-AW1012</f>
        <v/>
      </c>
      <c r="AY1090" s="1378">
        <f>AY1012</f>
        <v/>
      </c>
      <c r="AZ1090" s="1364">
        <f>AZ1012</f>
        <v/>
      </c>
      <c r="BA1090" s="1364">
        <f>BA1012-AZ1012</f>
        <v/>
      </c>
      <c r="BB1090" s="1364">
        <f>BB1012-BA1012</f>
        <v/>
      </c>
      <c r="BC1090" s="1364">
        <f>BC1012-BB1012</f>
        <v/>
      </c>
      <c r="BD1090" s="1378">
        <f>BD1012</f>
        <v/>
      </c>
      <c r="BE1090" s="1364">
        <f>BE1012</f>
        <v/>
      </c>
      <c r="BF1090" s="1364">
        <f>BF1012-BE1012</f>
        <v/>
      </c>
      <c r="BG1090" s="1364">
        <f>BG1012-BF1012</f>
        <v/>
      </c>
      <c r="BH1090" s="1364">
        <f>BH1012-BG1012</f>
        <v/>
      </c>
      <c r="BI1090" s="1378">
        <f>BI1012</f>
        <v/>
      </c>
      <c r="BJ1090" s="1364">
        <f>BJ1012</f>
        <v/>
      </c>
      <c r="BK1090" s="1364">
        <f>BK1012-BJ1012</f>
        <v/>
      </c>
      <c r="BL1090" s="1364">
        <f>BL1012-BK1012</f>
        <v/>
      </c>
      <c r="BM1090" s="1364">
        <f>BM1012-BL1012</f>
        <v/>
      </c>
      <c r="BN1090" s="1378">
        <f>BN1012</f>
        <v/>
      </c>
      <c r="BO1090" s="1364">
        <f>BO1012</f>
        <v/>
      </c>
      <c r="BP1090" s="1364">
        <f>BP1012-BO1012</f>
        <v/>
      </c>
      <c r="BQ1090" s="1395">
        <f>BQ1012-BP1012</f>
        <v/>
      </c>
      <c r="BR1090" s="1361" t="n"/>
      <c r="BS1090" s="1379">
        <f>SUM(BO1090,BP1090,BQ1090,BR1090)</f>
        <v/>
      </c>
      <c r="BT1090" s="1361" t="n"/>
      <c r="BU1090" s="1361" t="n"/>
      <c r="BV1090" s="1361" t="n"/>
      <c r="BW1090" s="1361" t="n"/>
      <c r="BX1090" s="1379">
        <f>SUM(BT1090,BU1090,BV1090,BW1090)</f>
        <v/>
      </c>
      <c r="BY1090" s="1379" t="n"/>
      <c r="BZ1090" s="1379" t="n"/>
      <c r="CA1090" s="1379" t="n"/>
      <c r="CB1090" s="1364" t="n"/>
    </row>
    <row r="1091" ht="15.6" customFormat="1" customHeight="1" s="1359">
      <c r="A1091" s="1394">
        <f>A1013</f>
        <v/>
      </c>
      <c r="B1091" s="1512" t="n"/>
      <c r="C1091" s="1378">
        <f>C1013</f>
        <v/>
      </c>
      <c r="D1091" s="1378">
        <f>D1013</f>
        <v/>
      </c>
      <c r="E1091" s="1378">
        <f>E1013</f>
        <v/>
      </c>
      <c r="F1091" s="1378">
        <f>F1013</f>
        <v/>
      </c>
      <c r="G1091" s="1364">
        <f>G1013</f>
        <v/>
      </c>
      <c r="H1091" s="1364">
        <f>H1013-G1013</f>
        <v/>
      </c>
      <c r="I1091" s="1364">
        <f>I1013-H1013</f>
        <v/>
      </c>
      <c r="J1091" s="1364">
        <f>J1013-I1013</f>
        <v/>
      </c>
      <c r="K1091" s="1378">
        <f>K1013</f>
        <v/>
      </c>
      <c r="L1091" s="1364">
        <f>L1013</f>
        <v/>
      </c>
      <c r="M1091" s="1364">
        <f>M1013-L1013</f>
        <v/>
      </c>
      <c r="N1091" s="1364">
        <f>N1013-M1013</f>
        <v/>
      </c>
      <c r="O1091" s="1364">
        <f>O1013-N1013</f>
        <v/>
      </c>
      <c r="P1091" s="1378">
        <f>P1013</f>
        <v/>
      </c>
      <c r="Q1091" s="1364">
        <f>Q1013</f>
        <v/>
      </c>
      <c r="R1091" s="1364">
        <f>R1013-Q1013</f>
        <v/>
      </c>
      <c r="S1091" s="1364">
        <f>S1013-R1013</f>
        <v/>
      </c>
      <c r="T1091" s="1364">
        <f>T1013-S1013</f>
        <v/>
      </c>
      <c r="U1091" s="1378">
        <f>U1013</f>
        <v/>
      </c>
      <c r="V1091" s="1364">
        <f>V1013</f>
        <v/>
      </c>
      <c r="W1091" s="1364">
        <f>W1013-V1013</f>
        <v/>
      </c>
      <c r="X1091" s="1364">
        <f>X1013-W1013</f>
        <v/>
      </c>
      <c r="Y1091" s="1364">
        <f>Y1013-X1013</f>
        <v/>
      </c>
      <c r="Z1091" s="1378">
        <f>Z1013</f>
        <v/>
      </c>
      <c r="AA1091" s="1364">
        <f>AA1013</f>
        <v/>
      </c>
      <c r="AB1091" s="1364">
        <f>AB1013-AA1013</f>
        <v/>
      </c>
      <c r="AC1091" s="1364">
        <f>AC1013-AB1013</f>
        <v/>
      </c>
      <c r="AD1091" s="1364">
        <f>AD1013-AC1013</f>
        <v/>
      </c>
      <c r="AE1091" s="1378">
        <f>AE1013</f>
        <v/>
      </c>
      <c r="AF1091" s="1364">
        <f>AF1013</f>
        <v/>
      </c>
      <c r="AG1091" s="1364">
        <f>AG1013-AF1013</f>
        <v/>
      </c>
      <c r="AH1091" s="1364">
        <f>AH1013-AG1013</f>
        <v/>
      </c>
      <c r="AI1091" s="1364">
        <f>AI1013-AH1013</f>
        <v/>
      </c>
      <c r="AJ1091" s="1378">
        <f>AJ1013</f>
        <v/>
      </c>
      <c r="AK1091" s="1364">
        <f>AK1013</f>
        <v/>
      </c>
      <c r="AL1091" s="1364">
        <f>AL1013-AK1013</f>
        <v/>
      </c>
      <c r="AM1091" s="1364">
        <f>AM1013-AL1013</f>
        <v/>
      </c>
      <c r="AN1091" s="1364">
        <f>AN1013-AM1013</f>
        <v/>
      </c>
      <c r="AO1091" s="1378">
        <f>AO1013</f>
        <v/>
      </c>
      <c r="AP1091" s="1364">
        <f>AP1013</f>
        <v/>
      </c>
      <c r="AQ1091" s="1364">
        <f>AQ1013-AP1013</f>
        <v/>
      </c>
      <c r="AR1091" s="1364">
        <f>AR1013-AQ1013</f>
        <v/>
      </c>
      <c r="AS1091" s="1364">
        <f>AS1013-AR1013</f>
        <v/>
      </c>
      <c r="AT1091" s="1378">
        <f>AT1013</f>
        <v/>
      </c>
      <c r="AU1091" s="1364">
        <f>AU1013</f>
        <v/>
      </c>
      <c r="AV1091" s="1364">
        <f>AV1013-AU1013</f>
        <v/>
      </c>
      <c r="AW1091" s="1364">
        <f>AW1013-AV1013</f>
        <v/>
      </c>
      <c r="AX1091" s="1364">
        <f>AX1013-AW1013</f>
        <v/>
      </c>
      <c r="AY1091" s="1378">
        <f>AY1013</f>
        <v/>
      </c>
      <c r="AZ1091" s="1364">
        <f>AZ1013</f>
        <v/>
      </c>
      <c r="BA1091" s="1364">
        <f>BA1013-AZ1013</f>
        <v/>
      </c>
      <c r="BB1091" s="1364">
        <f>BB1013-BA1013</f>
        <v/>
      </c>
      <c r="BC1091" s="1364">
        <f>BC1013-BB1013</f>
        <v/>
      </c>
      <c r="BD1091" s="1378">
        <f>BD1013</f>
        <v/>
      </c>
      <c r="BE1091" s="1364">
        <f>BE1013</f>
        <v/>
      </c>
      <c r="BF1091" s="1364">
        <f>BF1013-BE1013</f>
        <v/>
      </c>
      <c r="BG1091" s="1364">
        <f>BG1013-BF1013</f>
        <v/>
      </c>
      <c r="BH1091" s="1364">
        <f>BH1013-BG1013</f>
        <v/>
      </c>
      <c r="BI1091" s="1378">
        <f>BI1013</f>
        <v/>
      </c>
      <c r="BJ1091" s="1364">
        <f>BJ1013</f>
        <v/>
      </c>
      <c r="BK1091" s="1364">
        <f>BK1013-BJ1013</f>
        <v/>
      </c>
      <c r="BL1091" s="1364">
        <f>BL1013-BK1013</f>
        <v/>
      </c>
      <c r="BM1091" s="1364">
        <f>BM1013-BL1013</f>
        <v/>
      </c>
      <c r="BN1091" s="1378">
        <f>BN1013</f>
        <v/>
      </c>
      <c r="BO1091" s="1364">
        <f>BO1013</f>
        <v/>
      </c>
      <c r="BP1091" s="1364">
        <f>BP1013-BO1013</f>
        <v/>
      </c>
      <c r="BQ1091" s="1395">
        <f>BQ1013-BP1013</f>
        <v/>
      </c>
      <c r="BR1091" s="1361" t="n"/>
      <c r="BS1091" s="1379">
        <f>SUM(BO1091,BP1091,BQ1091,BR1091)</f>
        <v/>
      </c>
      <c r="BT1091" s="1361" t="n"/>
      <c r="BU1091" s="1361" t="n"/>
      <c r="BV1091" s="1361" t="n"/>
      <c r="BW1091" s="1361" t="n"/>
      <c r="BX1091" s="1379">
        <f>SUM(BT1091,BU1091,BV1091,BW1091)</f>
        <v/>
      </c>
      <c r="BY1091" s="1379" t="n"/>
      <c r="BZ1091" s="1379" t="n"/>
      <c r="CA1091" s="1379" t="n"/>
      <c r="CB1091" s="1364" t="n"/>
    </row>
    <row r="1092" ht="14.4" customFormat="1" customHeight="1" s="1359">
      <c r="A1092" s="1394">
        <f>A1014</f>
        <v/>
      </c>
      <c r="B1092" s="1512" t="n"/>
      <c r="C1092" s="1378">
        <f>C1014</f>
        <v/>
      </c>
      <c r="D1092" s="1378">
        <f>D1014</f>
        <v/>
      </c>
      <c r="E1092" s="1378">
        <f>E1014</f>
        <v/>
      </c>
      <c r="F1092" s="1378">
        <f>F1014</f>
        <v/>
      </c>
      <c r="G1092" s="1364">
        <f>G1014</f>
        <v/>
      </c>
      <c r="H1092" s="1364">
        <f>H1014-G1014</f>
        <v/>
      </c>
      <c r="I1092" s="1364">
        <f>I1014-H1014</f>
        <v/>
      </c>
      <c r="J1092" s="1364">
        <f>J1014-I1014</f>
        <v/>
      </c>
      <c r="K1092" s="1378">
        <f>K1014</f>
        <v/>
      </c>
      <c r="L1092" s="1364">
        <f>L1014</f>
        <v/>
      </c>
      <c r="M1092" s="1364">
        <f>M1014-L1014</f>
        <v/>
      </c>
      <c r="N1092" s="1364">
        <f>N1014-M1014</f>
        <v/>
      </c>
      <c r="O1092" s="1364">
        <f>O1014-N1014</f>
        <v/>
      </c>
      <c r="P1092" s="1378">
        <f>P1014</f>
        <v/>
      </c>
      <c r="Q1092" s="1364">
        <f>Q1014</f>
        <v/>
      </c>
      <c r="R1092" s="1364">
        <f>R1014-Q1014</f>
        <v/>
      </c>
      <c r="S1092" s="1364">
        <f>S1014-R1014</f>
        <v/>
      </c>
      <c r="T1092" s="1364">
        <f>T1014-S1014</f>
        <v/>
      </c>
      <c r="U1092" s="1378">
        <f>U1014</f>
        <v/>
      </c>
      <c r="V1092" s="1364">
        <f>V1014</f>
        <v/>
      </c>
      <c r="W1092" s="1364">
        <f>W1014-V1014</f>
        <v/>
      </c>
      <c r="X1092" s="1364">
        <f>X1014-W1014</f>
        <v/>
      </c>
      <c r="Y1092" s="1364">
        <f>Y1014-X1014</f>
        <v/>
      </c>
      <c r="Z1092" s="1378">
        <f>Z1014</f>
        <v/>
      </c>
      <c r="AA1092" s="1364">
        <f>AA1014</f>
        <v/>
      </c>
      <c r="AB1092" s="1364">
        <f>AB1014-AA1014</f>
        <v/>
      </c>
      <c r="AC1092" s="1364">
        <f>AC1014-AB1014</f>
        <v/>
      </c>
      <c r="AD1092" s="1364">
        <f>AD1014-AC1014</f>
        <v/>
      </c>
      <c r="AE1092" s="1378">
        <f>AE1014</f>
        <v/>
      </c>
      <c r="AF1092" s="1364">
        <f>AF1014</f>
        <v/>
      </c>
      <c r="AG1092" s="1364">
        <f>AG1014-AF1014</f>
        <v/>
      </c>
      <c r="AH1092" s="1364">
        <f>AH1014-AG1014</f>
        <v/>
      </c>
      <c r="AI1092" s="1364">
        <f>AI1014-AH1014</f>
        <v/>
      </c>
      <c r="AJ1092" s="1378">
        <f>AJ1014</f>
        <v/>
      </c>
      <c r="AK1092" s="1364">
        <f>AK1014</f>
        <v/>
      </c>
      <c r="AL1092" s="1364">
        <f>AL1014-AK1014</f>
        <v/>
      </c>
      <c r="AM1092" s="1364">
        <f>AM1014-AL1014</f>
        <v/>
      </c>
      <c r="AN1092" s="1364">
        <f>AN1014-AM1014</f>
        <v/>
      </c>
      <c r="AO1092" s="1378">
        <f>AO1014</f>
        <v/>
      </c>
      <c r="AP1092" s="1364">
        <f>AP1014</f>
        <v/>
      </c>
      <c r="AQ1092" s="1364">
        <f>AQ1014-AP1014</f>
        <v/>
      </c>
      <c r="AR1092" s="1364">
        <f>AR1014-AQ1014</f>
        <v/>
      </c>
      <c r="AS1092" s="1364">
        <f>AS1014-AR1014</f>
        <v/>
      </c>
      <c r="AT1092" s="1378">
        <f>AT1014</f>
        <v/>
      </c>
      <c r="AU1092" s="1364">
        <f>AU1014</f>
        <v/>
      </c>
      <c r="AV1092" s="1364">
        <f>AV1014-AU1014</f>
        <v/>
      </c>
      <c r="AW1092" s="1364">
        <f>AW1014-AV1014</f>
        <v/>
      </c>
      <c r="AX1092" s="1364">
        <f>AX1014-AW1014</f>
        <v/>
      </c>
      <c r="AY1092" s="1378">
        <f>AY1014</f>
        <v/>
      </c>
      <c r="AZ1092" s="1364">
        <f>AZ1014</f>
        <v/>
      </c>
      <c r="BA1092" s="1364">
        <f>BA1014-AZ1014</f>
        <v/>
      </c>
      <c r="BB1092" s="1364">
        <f>BB1014-BA1014</f>
        <v/>
      </c>
      <c r="BC1092" s="1364">
        <f>BC1014-BB1014</f>
        <v/>
      </c>
      <c r="BD1092" s="1378">
        <f>BD1014</f>
        <v/>
      </c>
      <c r="BE1092" s="1364">
        <f>BE1014</f>
        <v/>
      </c>
      <c r="BF1092" s="1364">
        <f>BF1014-BE1014</f>
        <v/>
      </c>
      <c r="BG1092" s="1364">
        <f>BG1014-BF1014</f>
        <v/>
      </c>
      <c r="BH1092" s="1364">
        <f>BH1014-BG1014</f>
        <v/>
      </c>
      <c r="BI1092" s="1378">
        <f>BI1014</f>
        <v/>
      </c>
      <c r="BJ1092" s="1364">
        <f>BJ1014</f>
        <v/>
      </c>
      <c r="BK1092" s="1364">
        <f>BK1014-BJ1014</f>
        <v/>
      </c>
      <c r="BL1092" s="1364">
        <f>BL1014-BK1014</f>
        <v/>
      </c>
      <c r="BM1092" s="1364">
        <f>BM1014-BL1014</f>
        <v/>
      </c>
      <c r="BN1092" s="1378">
        <f>BN1014</f>
        <v/>
      </c>
      <c r="BO1092" s="1364">
        <f>BO1014</f>
        <v/>
      </c>
      <c r="BP1092" s="1364">
        <f>BP1014-BO1014</f>
        <v/>
      </c>
      <c r="BQ1092" s="1395">
        <f>BQ1014-BP1014</f>
        <v/>
      </c>
      <c r="BR1092" s="1361" t="n"/>
      <c r="BS1092" s="1379">
        <f>SUM(BO1092,BP1092,BQ1092,BR1092)</f>
        <v/>
      </c>
      <c r="BT1092" s="1361" t="n"/>
      <c r="BU1092" s="1361" t="n"/>
      <c r="BV1092" s="1361" t="n"/>
      <c r="BW1092" s="1361" t="n"/>
      <c r="BX1092" s="1379">
        <f>SUM(BT1092,BU1092,BV1092,BW1092)</f>
        <v/>
      </c>
      <c r="BY1092" s="1379" t="n"/>
      <c r="BZ1092" s="1379" t="n"/>
      <c r="CA1092" s="1379" t="n"/>
      <c r="CB1092" s="1364" t="n"/>
    </row>
    <row r="1093" ht="14.4" customFormat="1" customHeight="1" s="1359">
      <c r="A1093" s="1394">
        <f>A1015</f>
        <v/>
      </c>
      <c r="B1093" s="1512" t="n"/>
      <c r="C1093" s="1378">
        <f>C1015</f>
        <v/>
      </c>
      <c r="D1093" s="1378">
        <f>D1015</f>
        <v/>
      </c>
      <c r="E1093" s="1378">
        <f>E1015</f>
        <v/>
      </c>
      <c r="F1093" s="1378">
        <f>F1015</f>
        <v/>
      </c>
      <c r="G1093" s="1364">
        <f>G1015</f>
        <v/>
      </c>
      <c r="H1093" s="1364">
        <f>H1015-G1015</f>
        <v/>
      </c>
      <c r="I1093" s="1364">
        <f>I1015-H1015</f>
        <v/>
      </c>
      <c r="J1093" s="1364">
        <f>J1015-I1015</f>
        <v/>
      </c>
      <c r="K1093" s="1378">
        <f>K1015</f>
        <v/>
      </c>
      <c r="L1093" s="1364">
        <f>L1015</f>
        <v/>
      </c>
      <c r="M1093" s="1364">
        <f>M1015-L1015</f>
        <v/>
      </c>
      <c r="N1093" s="1364">
        <f>N1015-M1015</f>
        <v/>
      </c>
      <c r="O1093" s="1364">
        <f>O1015-N1015</f>
        <v/>
      </c>
      <c r="P1093" s="1378">
        <f>P1015</f>
        <v/>
      </c>
      <c r="Q1093" s="1364">
        <f>Q1015</f>
        <v/>
      </c>
      <c r="R1093" s="1364">
        <f>R1015-Q1015</f>
        <v/>
      </c>
      <c r="S1093" s="1364">
        <f>S1015-R1015</f>
        <v/>
      </c>
      <c r="T1093" s="1364">
        <f>T1015-S1015</f>
        <v/>
      </c>
      <c r="U1093" s="1378">
        <f>U1015</f>
        <v/>
      </c>
      <c r="V1093" s="1364">
        <f>V1015</f>
        <v/>
      </c>
      <c r="W1093" s="1364">
        <f>W1015-V1015</f>
        <v/>
      </c>
      <c r="X1093" s="1364">
        <f>X1015-W1015</f>
        <v/>
      </c>
      <c r="Y1093" s="1364">
        <f>Y1015-X1015</f>
        <v/>
      </c>
      <c r="Z1093" s="1378">
        <f>Z1015</f>
        <v/>
      </c>
      <c r="AA1093" s="1364">
        <f>AA1015</f>
        <v/>
      </c>
      <c r="AB1093" s="1364">
        <f>AB1015-AA1015</f>
        <v/>
      </c>
      <c r="AC1093" s="1364">
        <f>AC1015-AB1015</f>
        <v/>
      </c>
      <c r="AD1093" s="1364">
        <f>AD1015-AC1015</f>
        <v/>
      </c>
      <c r="AE1093" s="1378">
        <f>AE1015</f>
        <v/>
      </c>
      <c r="AF1093" s="1364">
        <f>AF1015</f>
        <v/>
      </c>
      <c r="AG1093" s="1364">
        <f>AG1015-AF1015</f>
        <v/>
      </c>
      <c r="AH1093" s="1364">
        <f>AH1015-AG1015</f>
        <v/>
      </c>
      <c r="AI1093" s="1364">
        <f>AI1015-AH1015</f>
        <v/>
      </c>
      <c r="AJ1093" s="1378">
        <f>AJ1015</f>
        <v/>
      </c>
      <c r="AK1093" s="1364">
        <f>AK1015</f>
        <v/>
      </c>
      <c r="AL1093" s="1364">
        <f>AL1015-AK1015</f>
        <v/>
      </c>
      <c r="AM1093" s="1364">
        <f>AM1015-AL1015</f>
        <v/>
      </c>
      <c r="AN1093" s="1364">
        <f>AN1015-AM1015</f>
        <v/>
      </c>
      <c r="AO1093" s="1378">
        <f>AO1015</f>
        <v/>
      </c>
      <c r="AP1093" s="1364">
        <f>AP1015</f>
        <v/>
      </c>
      <c r="AQ1093" s="1364">
        <f>AQ1015-AP1015</f>
        <v/>
      </c>
      <c r="AR1093" s="1364">
        <f>AR1015-AQ1015</f>
        <v/>
      </c>
      <c r="AS1093" s="1364">
        <f>AS1015-AR1015</f>
        <v/>
      </c>
      <c r="AT1093" s="1378">
        <f>AT1015</f>
        <v/>
      </c>
      <c r="AU1093" s="1364">
        <f>AU1015</f>
        <v/>
      </c>
      <c r="AV1093" s="1364">
        <f>AV1015-AU1015</f>
        <v/>
      </c>
      <c r="AW1093" s="1364">
        <f>AW1015-AV1015</f>
        <v/>
      </c>
      <c r="AX1093" s="1364">
        <f>AX1015-AW1015</f>
        <v/>
      </c>
      <c r="AY1093" s="1378">
        <f>AY1015</f>
        <v/>
      </c>
      <c r="AZ1093" s="1364">
        <f>AZ1015</f>
        <v/>
      </c>
      <c r="BA1093" s="1364">
        <f>BA1015-AZ1015</f>
        <v/>
      </c>
      <c r="BB1093" s="1364">
        <f>BB1015-BA1015</f>
        <v/>
      </c>
      <c r="BC1093" s="1364">
        <f>BC1015-BB1015</f>
        <v/>
      </c>
      <c r="BD1093" s="1378">
        <f>BD1015</f>
        <v/>
      </c>
      <c r="BE1093" s="1364">
        <f>BE1015</f>
        <v/>
      </c>
      <c r="BF1093" s="1364">
        <f>BF1015-BE1015</f>
        <v/>
      </c>
      <c r="BG1093" s="1364">
        <f>BG1015-BF1015</f>
        <v/>
      </c>
      <c r="BH1093" s="1364">
        <f>BH1015-BG1015</f>
        <v/>
      </c>
      <c r="BI1093" s="1378">
        <f>BI1015</f>
        <v/>
      </c>
      <c r="BJ1093" s="1364">
        <f>BJ1015</f>
        <v/>
      </c>
      <c r="BK1093" s="1364">
        <f>BK1015-BJ1015</f>
        <v/>
      </c>
      <c r="BL1093" s="1364">
        <f>BL1015-BK1015</f>
        <v/>
      </c>
      <c r="BM1093" s="1364">
        <f>BM1015-BL1015</f>
        <v/>
      </c>
      <c r="BN1093" s="1378">
        <f>BN1015</f>
        <v/>
      </c>
      <c r="BO1093" s="1364">
        <f>BO1015</f>
        <v/>
      </c>
      <c r="BP1093" s="1364">
        <f>BP1015-BO1015</f>
        <v/>
      </c>
      <c r="BQ1093" s="1395">
        <f>BQ1015-BP1015</f>
        <v/>
      </c>
      <c r="BR1093" s="1361" t="n"/>
      <c r="BS1093" s="1379">
        <f>SUM(BO1093,BP1093,BQ1093,BR1093)</f>
        <v/>
      </c>
      <c r="BT1093" s="1361" t="n"/>
      <c r="BU1093" s="1361" t="n"/>
      <c r="BV1093" s="1361" t="n"/>
      <c r="BW1093" s="1361" t="n"/>
      <c r="BX1093" s="1379">
        <f>SUM(BT1093,BU1093,BV1093,BW1093)</f>
        <v/>
      </c>
      <c r="BY1093" s="1379" t="n"/>
      <c r="BZ1093" s="1379" t="n"/>
      <c r="CA1093" s="1379" t="n"/>
      <c r="CB1093" s="1364" t="n"/>
    </row>
    <row r="1094" ht="14.4" customFormat="1" customHeight="1" s="1359">
      <c r="A1094" s="1394">
        <f>A1016</f>
        <v/>
      </c>
      <c r="B1094" s="1512" t="n"/>
      <c r="C1094" s="1378">
        <f>C1016</f>
        <v/>
      </c>
      <c r="D1094" s="1378">
        <f>D1016</f>
        <v/>
      </c>
      <c r="E1094" s="1378">
        <f>E1016</f>
        <v/>
      </c>
      <c r="F1094" s="1378">
        <f>F1016</f>
        <v/>
      </c>
      <c r="G1094" s="1364">
        <f>G1016</f>
        <v/>
      </c>
      <c r="H1094" s="1364">
        <f>H1016-G1016</f>
        <v/>
      </c>
      <c r="I1094" s="1364">
        <f>I1016-H1016</f>
        <v/>
      </c>
      <c r="J1094" s="1364">
        <f>J1016-I1016</f>
        <v/>
      </c>
      <c r="K1094" s="1378">
        <f>K1016</f>
        <v/>
      </c>
      <c r="L1094" s="1364">
        <f>L1016</f>
        <v/>
      </c>
      <c r="M1094" s="1364">
        <f>M1016-L1016</f>
        <v/>
      </c>
      <c r="N1094" s="1364">
        <f>N1016-M1016</f>
        <v/>
      </c>
      <c r="O1094" s="1364">
        <f>O1016-N1016</f>
        <v/>
      </c>
      <c r="P1094" s="1378">
        <f>P1016</f>
        <v/>
      </c>
      <c r="Q1094" s="1364">
        <f>Q1016</f>
        <v/>
      </c>
      <c r="R1094" s="1364">
        <f>R1016-Q1016</f>
        <v/>
      </c>
      <c r="S1094" s="1364">
        <f>S1016-R1016</f>
        <v/>
      </c>
      <c r="T1094" s="1364">
        <f>T1016-S1016</f>
        <v/>
      </c>
      <c r="U1094" s="1378">
        <f>U1016</f>
        <v/>
      </c>
      <c r="V1094" s="1364">
        <f>V1016</f>
        <v/>
      </c>
      <c r="W1094" s="1364">
        <f>W1016-V1016</f>
        <v/>
      </c>
      <c r="X1094" s="1364">
        <f>X1016-W1016</f>
        <v/>
      </c>
      <c r="Y1094" s="1364">
        <f>Y1016-X1016</f>
        <v/>
      </c>
      <c r="Z1094" s="1378">
        <f>Z1016</f>
        <v/>
      </c>
      <c r="AA1094" s="1364">
        <f>AA1016</f>
        <v/>
      </c>
      <c r="AB1094" s="1364">
        <f>AB1016-AA1016</f>
        <v/>
      </c>
      <c r="AC1094" s="1364">
        <f>AC1016-AB1016</f>
        <v/>
      </c>
      <c r="AD1094" s="1364">
        <f>AD1016-AC1016</f>
        <v/>
      </c>
      <c r="AE1094" s="1378">
        <f>AE1016</f>
        <v/>
      </c>
      <c r="AF1094" s="1364">
        <f>AF1016</f>
        <v/>
      </c>
      <c r="AG1094" s="1364">
        <f>AG1016-AF1016</f>
        <v/>
      </c>
      <c r="AH1094" s="1364">
        <f>AH1016-AG1016</f>
        <v/>
      </c>
      <c r="AI1094" s="1364">
        <f>AI1016-AH1016</f>
        <v/>
      </c>
      <c r="AJ1094" s="1378">
        <f>AJ1016</f>
        <v/>
      </c>
      <c r="AK1094" s="1364">
        <f>AK1016</f>
        <v/>
      </c>
      <c r="AL1094" s="1364">
        <f>AL1016-AK1016</f>
        <v/>
      </c>
      <c r="AM1094" s="1364">
        <f>AM1016-AL1016</f>
        <v/>
      </c>
      <c r="AN1094" s="1364">
        <f>AN1016-AM1016</f>
        <v/>
      </c>
      <c r="AO1094" s="1378">
        <f>AO1016</f>
        <v/>
      </c>
      <c r="AP1094" s="1364">
        <f>AP1016</f>
        <v/>
      </c>
      <c r="AQ1094" s="1364">
        <f>AQ1016-AP1016</f>
        <v/>
      </c>
      <c r="AR1094" s="1364">
        <f>AR1016-AQ1016</f>
        <v/>
      </c>
      <c r="AS1094" s="1364">
        <f>AS1016-AR1016</f>
        <v/>
      </c>
      <c r="AT1094" s="1378">
        <f>AT1016</f>
        <v/>
      </c>
      <c r="AU1094" s="1364">
        <f>AU1016</f>
        <v/>
      </c>
      <c r="AV1094" s="1364">
        <f>AV1016-AU1016</f>
        <v/>
      </c>
      <c r="AW1094" s="1364">
        <f>AW1016-AV1016</f>
        <v/>
      </c>
      <c r="AX1094" s="1364">
        <f>AX1016-AW1016</f>
        <v/>
      </c>
      <c r="AY1094" s="1378">
        <f>AY1016</f>
        <v/>
      </c>
      <c r="AZ1094" s="1364">
        <f>AZ1016</f>
        <v/>
      </c>
      <c r="BA1094" s="1364">
        <f>BA1016-AZ1016</f>
        <v/>
      </c>
      <c r="BB1094" s="1364">
        <f>BB1016-BA1016</f>
        <v/>
      </c>
      <c r="BC1094" s="1364">
        <f>BC1016-BB1016</f>
        <v/>
      </c>
      <c r="BD1094" s="1378">
        <f>BD1016</f>
        <v/>
      </c>
      <c r="BE1094" s="1364">
        <f>BE1016</f>
        <v/>
      </c>
      <c r="BF1094" s="1364">
        <f>BF1016-BE1016</f>
        <v/>
      </c>
      <c r="BG1094" s="1364">
        <f>BG1016-BF1016</f>
        <v/>
      </c>
      <c r="BH1094" s="1364">
        <f>BH1016-BG1016</f>
        <v/>
      </c>
      <c r="BI1094" s="1378">
        <f>BI1016</f>
        <v/>
      </c>
      <c r="BJ1094" s="1364">
        <f>BJ1016</f>
        <v/>
      </c>
      <c r="BK1094" s="1364">
        <f>BK1016-BJ1016</f>
        <v/>
      </c>
      <c r="BL1094" s="1364">
        <f>BL1016-BK1016</f>
        <v/>
      </c>
      <c r="BM1094" s="1364">
        <f>BM1016-BL1016</f>
        <v/>
      </c>
      <c r="BN1094" s="1378">
        <f>BN1016</f>
        <v/>
      </c>
      <c r="BO1094" s="1364">
        <f>BO1016</f>
        <v/>
      </c>
      <c r="BP1094" s="1364">
        <f>BP1016-BO1016</f>
        <v/>
      </c>
      <c r="BQ1094" s="1395">
        <f>BQ1016-BP1016</f>
        <v/>
      </c>
      <c r="BR1094" s="1361" t="n"/>
      <c r="BS1094" s="1379">
        <f>SUM(BO1094,BP1094,BQ1094,BR1094)</f>
        <v/>
      </c>
      <c r="BT1094" s="1361" t="n"/>
      <c r="BU1094" s="1361" t="n"/>
      <c r="BV1094" s="1361" t="n"/>
      <c r="BW1094" s="1361" t="n"/>
      <c r="BX1094" s="1379">
        <f>SUM(BT1094,BU1094,BV1094,BW1094)</f>
        <v/>
      </c>
      <c r="BY1094" s="1379" t="n"/>
      <c r="BZ1094" s="1379" t="n"/>
      <c r="CA1094" s="1379" t="n"/>
      <c r="CB1094" s="1364" t="n"/>
    </row>
    <row r="1095" ht="14.4" customFormat="1" customHeight="1" s="1359">
      <c r="A1095" s="1394">
        <f>A1017</f>
        <v/>
      </c>
      <c r="B1095" s="1512" t="n"/>
      <c r="C1095" s="1378">
        <f>C1017</f>
        <v/>
      </c>
      <c r="D1095" s="1378">
        <f>D1017</f>
        <v/>
      </c>
      <c r="E1095" s="1378">
        <f>E1017</f>
        <v/>
      </c>
      <c r="F1095" s="1378">
        <f>F1017</f>
        <v/>
      </c>
      <c r="G1095" s="1364">
        <f>G1017</f>
        <v/>
      </c>
      <c r="H1095" s="1364">
        <f>H1017-G1017</f>
        <v/>
      </c>
      <c r="I1095" s="1364">
        <f>I1017-H1017</f>
        <v/>
      </c>
      <c r="J1095" s="1364">
        <f>J1017-I1017</f>
        <v/>
      </c>
      <c r="K1095" s="1378">
        <f>K1017</f>
        <v/>
      </c>
      <c r="L1095" s="1364">
        <f>L1017</f>
        <v/>
      </c>
      <c r="M1095" s="1364">
        <f>M1017-L1017</f>
        <v/>
      </c>
      <c r="N1095" s="1364">
        <f>N1017-M1017</f>
        <v/>
      </c>
      <c r="O1095" s="1364">
        <f>O1017-N1017</f>
        <v/>
      </c>
      <c r="P1095" s="1378">
        <f>P1017</f>
        <v/>
      </c>
      <c r="Q1095" s="1364">
        <f>Q1017</f>
        <v/>
      </c>
      <c r="R1095" s="1364">
        <f>R1017-Q1017</f>
        <v/>
      </c>
      <c r="S1095" s="1364">
        <f>S1017-R1017</f>
        <v/>
      </c>
      <c r="T1095" s="1364">
        <f>T1017-S1017</f>
        <v/>
      </c>
      <c r="U1095" s="1378">
        <f>U1017</f>
        <v/>
      </c>
      <c r="V1095" s="1364">
        <f>V1017</f>
        <v/>
      </c>
      <c r="W1095" s="1364">
        <f>W1017-V1017</f>
        <v/>
      </c>
      <c r="X1095" s="1364">
        <f>X1017-W1017</f>
        <v/>
      </c>
      <c r="Y1095" s="1364">
        <f>Y1017-X1017</f>
        <v/>
      </c>
      <c r="Z1095" s="1378">
        <f>Z1017</f>
        <v/>
      </c>
      <c r="AA1095" s="1364">
        <f>AA1017</f>
        <v/>
      </c>
      <c r="AB1095" s="1364">
        <f>AB1017-AA1017</f>
        <v/>
      </c>
      <c r="AC1095" s="1364">
        <f>AC1017-AB1017</f>
        <v/>
      </c>
      <c r="AD1095" s="1364">
        <f>AD1017-AC1017</f>
        <v/>
      </c>
      <c r="AE1095" s="1378">
        <f>AE1017</f>
        <v/>
      </c>
      <c r="AF1095" s="1364">
        <f>AF1017</f>
        <v/>
      </c>
      <c r="AG1095" s="1364">
        <f>AG1017-AF1017</f>
        <v/>
      </c>
      <c r="AH1095" s="1364">
        <f>AH1017-AG1017</f>
        <v/>
      </c>
      <c r="AI1095" s="1364">
        <f>AI1017-AH1017</f>
        <v/>
      </c>
      <c r="AJ1095" s="1378">
        <f>AJ1017</f>
        <v/>
      </c>
      <c r="AK1095" s="1364">
        <f>AK1017</f>
        <v/>
      </c>
      <c r="AL1095" s="1364">
        <f>AL1017-AK1017</f>
        <v/>
      </c>
      <c r="AM1095" s="1364">
        <f>AM1017-AL1017</f>
        <v/>
      </c>
      <c r="AN1095" s="1364">
        <f>AN1017-AM1017</f>
        <v/>
      </c>
      <c r="AO1095" s="1378">
        <f>AO1017</f>
        <v/>
      </c>
      <c r="AP1095" s="1364">
        <f>AP1017</f>
        <v/>
      </c>
      <c r="AQ1095" s="1364">
        <f>AQ1017-AP1017</f>
        <v/>
      </c>
      <c r="AR1095" s="1364">
        <f>AR1017-AQ1017</f>
        <v/>
      </c>
      <c r="AS1095" s="1364">
        <f>AS1017-AR1017</f>
        <v/>
      </c>
      <c r="AT1095" s="1378">
        <f>AT1017</f>
        <v/>
      </c>
      <c r="AU1095" s="1364">
        <f>AU1017</f>
        <v/>
      </c>
      <c r="AV1095" s="1364">
        <f>AV1017-AU1017</f>
        <v/>
      </c>
      <c r="AW1095" s="1364">
        <f>AW1017-AV1017</f>
        <v/>
      </c>
      <c r="AX1095" s="1364">
        <f>AX1017-AW1017</f>
        <v/>
      </c>
      <c r="AY1095" s="1378">
        <f>AY1017</f>
        <v/>
      </c>
      <c r="AZ1095" s="1364">
        <f>AZ1017</f>
        <v/>
      </c>
      <c r="BA1095" s="1364">
        <f>BA1017-AZ1017</f>
        <v/>
      </c>
      <c r="BB1095" s="1364">
        <f>BB1017-BA1017</f>
        <v/>
      </c>
      <c r="BC1095" s="1364">
        <f>BC1017-BB1017</f>
        <v/>
      </c>
      <c r="BD1095" s="1378">
        <f>BD1017</f>
        <v/>
      </c>
      <c r="BE1095" s="1364">
        <f>BE1017</f>
        <v/>
      </c>
      <c r="BF1095" s="1364">
        <f>BF1017-BE1017</f>
        <v/>
      </c>
      <c r="BG1095" s="1364">
        <f>BG1017-BF1017</f>
        <v/>
      </c>
      <c r="BH1095" s="1364">
        <f>BH1017-BG1017</f>
        <v/>
      </c>
      <c r="BI1095" s="1378">
        <f>BI1017</f>
        <v/>
      </c>
      <c r="BJ1095" s="1364">
        <f>BJ1017</f>
        <v/>
      </c>
      <c r="BK1095" s="1364">
        <f>BK1017-BJ1017</f>
        <v/>
      </c>
      <c r="BL1095" s="1364">
        <f>BL1017-BK1017</f>
        <v/>
      </c>
      <c r="BM1095" s="1364">
        <f>BM1017-BL1017</f>
        <v/>
      </c>
      <c r="BN1095" s="1378">
        <f>BN1017</f>
        <v/>
      </c>
      <c r="BO1095" s="1364">
        <f>BO1017</f>
        <v/>
      </c>
      <c r="BP1095" s="1364">
        <f>BP1017-BO1017</f>
        <v/>
      </c>
      <c r="BQ1095" s="1395">
        <f>BQ1017-BP1017</f>
        <v/>
      </c>
      <c r="BR1095" s="1361" t="n"/>
      <c r="BS1095" s="1379">
        <f>SUM(BO1095,BP1095,BQ1095,BR1095)</f>
        <v/>
      </c>
      <c r="BT1095" s="1361" t="n"/>
      <c r="BU1095" s="1361" t="n"/>
      <c r="BV1095" s="1361" t="n"/>
      <c r="BW1095" s="1361" t="n"/>
      <c r="BX1095" s="1379">
        <f>SUM(BT1095,BU1095,BV1095,BW1095)</f>
        <v/>
      </c>
      <c r="BY1095" s="1379" t="n"/>
      <c r="BZ1095" s="1379" t="n"/>
      <c r="CA1095" s="1379" t="n"/>
      <c r="CB1095" s="1364" t="n"/>
    </row>
    <row r="1096" ht="14.4" customFormat="1" customHeight="1" s="1359">
      <c r="A1096" s="1394">
        <f>A1018</f>
        <v/>
      </c>
      <c r="B1096" s="1512" t="n"/>
      <c r="C1096" s="1378">
        <f>C1018</f>
        <v/>
      </c>
      <c r="D1096" s="1378">
        <f>D1018</f>
        <v/>
      </c>
      <c r="E1096" s="1378">
        <f>E1018</f>
        <v/>
      </c>
      <c r="F1096" s="1378">
        <f>F1018</f>
        <v/>
      </c>
      <c r="G1096" s="1364">
        <f>G1018</f>
        <v/>
      </c>
      <c r="H1096" s="1364">
        <f>H1018-G1018</f>
        <v/>
      </c>
      <c r="I1096" s="1364">
        <f>I1018-H1018</f>
        <v/>
      </c>
      <c r="J1096" s="1364">
        <f>J1018-I1018</f>
        <v/>
      </c>
      <c r="K1096" s="1378">
        <f>K1018</f>
        <v/>
      </c>
      <c r="L1096" s="1364">
        <f>L1018</f>
        <v/>
      </c>
      <c r="M1096" s="1364">
        <f>M1018-L1018</f>
        <v/>
      </c>
      <c r="N1096" s="1364">
        <f>N1018-M1018</f>
        <v/>
      </c>
      <c r="O1096" s="1364">
        <f>O1018-N1018</f>
        <v/>
      </c>
      <c r="P1096" s="1378">
        <f>P1018</f>
        <v/>
      </c>
      <c r="Q1096" s="1364">
        <f>Q1018</f>
        <v/>
      </c>
      <c r="R1096" s="1364">
        <f>R1018-Q1018</f>
        <v/>
      </c>
      <c r="S1096" s="1364">
        <f>S1018-R1018</f>
        <v/>
      </c>
      <c r="T1096" s="1364">
        <f>T1018-S1018</f>
        <v/>
      </c>
      <c r="U1096" s="1378">
        <f>U1018</f>
        <v/>
      </c>
      <c r="V1096" s="1364">
        <f>V1018</f>
        <v/>
      </c>
      <c r="W1096" s="1364">
        <f>W1018-V1018</f>
        <v/>
      </c>
      <c r="X1096" s="1364">
        <f>X1018-W1018</f>
        <v/>
      </c>
      <c r="Y1096" s="1364">
        <f>Y1018-X1018</f>
        <v/>
      </c>
      <c r="Z1096" s="1378">
        <f>Z1018</f>
        <v/>
      </c>
      <c r="AA1096" s="1364">
        <f>AA1018</f>
        <v/>
      </c>
      <c r="AB1096" s="1364">
        <f>AB1018-AA1018</f>
        <v/>
      </c>
      <c r="AC1096" s="1364">
        <f>AC1018-AB1018</f>
        <v/>
      </c>
      <c r="AD1096" s="1364">
        <f>AD1018-AC1018</f>
        <v/>
      </c>
      <c r="AE1096" s="1378">
        <f>AE1018</f>
        <v/>
      </c>
      <c r="AF1096" s="1364">
        <f>AF1018</f>
        <v/>
      </c>
      <c r="AG1096" s="1364">
        <f>AG1018-AF1018</f>
        <v/>
      </c>
      <c r="AH1096" s="1364">
        <f>AH1018-AG1018</f>
        <v/>
      </c>
      <c r="AI1096" s="1364">
        <f>AI1018-AH1018</f>
        <v/>
      </c>
      <c r="AJ1096" s="1378">
        <f>AJ1018</f>
        <v/>
      </c>
      <c r="AK1096" s="1364">
        <f>AK1018</f>
        <v/>
      </c>
      <c r="AL1096" s="1364">
        <f>AL1018-AK1018</f>
        <v/>
      </c>
      <c r="AM1096" s="1364">
        <f>AM1018-AL1018</f>
        <v/>
      </c>
      <c r="AN1096" s="1364">
        <f>AN1018-AM1018</f>
        <v/>
      </c>
      <c r="AO1096" s="1378">
        <f>AO1018</f>
        <v/>
      </c>
      <c r="AP1096" s="1364">
        <f>AP1018</f>
        <v/>
      </c>
      <c r="AQ1096" s="1364">
        <f>AQ1018-AP1018</f>
        <v/>
      </c>
      <c r="AR1096" s="1364">
        <f>AR1018-AQ1018</f>
        <v/>
      </c>
      <c r="AS1096" s="1364">
        <f>AS1018-AR1018</f>
        <v/>
      </c>
      <c r="AT1096" s="1378">
        <f>AT1018</f>
        <v/>
      </c>
      <c r="AU1096" s="1364">
        <f>AU1018</f>
        <v/>
      </c>
      <c r="AV1096" s="1364">
        <f>AV1018-AU1018</f>
        <v/>
      </c>
      <c r="AW1096" s="1364">
        <f>AW1018-AV1018</f>
        <v/>
      </c>
      <c r="AX1096" s="1364">
        <f>AX1018-AW1018</f>
        <v/>
      </c>
      <c r="AY1096" s="1378">
        <f>AY1018</f>
        <v/>
      </c>
      <c r="AZ1096" s="1364">
        <f>AZ1018</f>
        <v/>
      </c>
      <c r="BA1096" s="1364">
        <f>BA1018-AZ1018</f>
        <v/>
      </c>
      <c r="BB1096" s="1364">
        <f>BB1018-BA1018</f>
        <v/>
      </c>
      <c r="BC1096" s="1364">
        <f>BC1018-BB1018</f>
        <v/>
      </c>
      <c r="BD1096" s="1378">
        <f>BD1018</f>
        <v/>
      </c>
      <c r="BE1096" s="1364">
        <f>BE1018</f>
        <v/>
      </c>
      <c r="BF1096" s="1364">
        <f>BF1018-BE1018</f>
        <v/>
      </c>
      <c r="BG1096" s="1364">
        <f>BG1018-BF1018</f>
        <v/>
      </c>
      <c r="BH1096" s="1364">
        <f>BH1018-BG1018</f>
        <v/>
      </c>
      <c r="BI1096" s="1378">
        <f>BI1018</f>
        <v/>
      </c>
      <c r="BJ1096" s="1364">
        <f>BJ1018</f>
        <v/>
      </c>
      <c r="BK1096" s="1364">
        <f>BK1018-BJ1018</f>
        <v/>
      </c>
      <c r="BL1096" s="1364">
        <f>BL1018-BK1018</f>
        <v/>
      </c>
      <c r="BM1096" s="1364">
        <f>BM1018-BL1018</f>
        <v/>
      </c>
      <c r="BN1096" s="1378">
        <f>BN1018</f>
        <v/>
      </c>
      <c r="BO1096" s="1364">
        <f>BO1018</f>
        <v/>
      </c>
      <c r="BP1096" s="1364">
        <f>BP1018-BO1018</f>
        <v/>
      </c>
      <c r="BQ1096" s="1395">
        <f>BQ1018-BP1018</f>
        <v/>
      </c>
      <c r="BR1096" s="1361">
        <f>BR497*BR512</f>
        <v/>
      </c>
      <c r="BS1096" s="1379">
        <f>SUM(BO1096,BP1096,BQ1096,BR1096)</f>
        <v/>
      </c>
      <c r="BT1096" s="1361">
        <f>BT497*BT512</f>
        <v/>
      </c>
      <c r="BU1096" s="1361">
        <f>BU497*BU512</f>
        <v/>
      </c>
      <c r="BV1096" s="1361">
        <f>BV497*BV512</f>
        <v/>
      </c>
      <c r="BW1096" s="1361">
        <f>BW497*BW512</f>
        <v/>
      </c>
      <c r="BX1096" s="1379">
        <f>SUM(BT1096,BU1096,BV1096,BW1096)</f>
        <v/>
      </c>
      <c r="BY1096" s="1379">
        <f>BY497*BY512</f>
        <v/>
      </c>
      <c r="BZ1096" s="1379">
        <f>BZ497*BZ512</f>
        <v/>
      </c>
      <c r="CA1096" s="1379">
        <f>CA497*CA512</f>
        <v/>
      </c>
      <c r="CB1096" s="1364" t="n"/>
    </row>
    <row r="1097" ht="14.4" customFormat="1" customHeight="1" s="1359">
      <c r="A1097" s="1394">
        <f>A1019</f>
        <v/>
      </c>
      <c r="B1097" s="1512" t="n"/>
      <c r="C1097" s="1378">
        <f>C1019</f>
        <v/>
      </c>
      <c r="D1097" s="1378">
        <f>D1019</f>
        <v/>
      </c>
      <c r="E1097" s="1378">
        <f>E1019</f>
        <v/>
      </c>
      <c r="F1097" s="1378">
        <f>F1019</f>
        <v/>
      </c>
      <c r="G1097" s="1364">
        <f>G1019</f>
        <v/>
      </c>
      <c r="H1097" s="1364">
        <f>H1019-G1019</f>
        <v/>
      </c>
      <c r="I1097" s="1364">
        <f>I1019-H1019</f>
        <v/>
      </c>
      <c r="J1097" s="1364">
        <f>J1019-I1019</f>
        <v/>
      </c>
      <c r="K1097" s="1378">
        <f>K1019</f>
        <v/>
      </c>
      <c r="L1097" s="1364">
        <f>L1019</f>
        <v/>
      </c>
      <c r="M1097" s="1364">
        <f>M1019-L1019</f>
        <v/>
      </c>
      <c r="N1097" s="1364">
        <f>N1019-M1019</f>
        <v/>
      </c>
      <c r="O1097" s="1364">
        <f>O1019-N1019</f>
        <v/>
      </c>
      <c r="P1097" s="1378">
        <f>P1019</f>
        <v/>
      </c>
      <c r="Q1097" s="1364">
        <f>Q1019</f>
        <v/>
      </c>
      <c r="R1097" s="1364">
        <f>R1019-Q1019</f>
        <v/>
      </c>
      <c r="S1097" s="1364">
        <f>S1019-R1019</f>
        <v/>
      </c>
      <c r="T1097" s="1364">
        <f>T1019-S1019</f>
        <v/>
      </c>
      <c r="U1097" s="1378">
        <f>U1019</f>
        <v/>
      </c>
      <c r="V1097" s="1364">
        <f>V1019</f>
        <v/>
      </c>
      <c r="W1097" s="1364">
        <f>W1019-V1019</f>
        <v/>
      </c>
      <c r="X1097" s="1364">
        <f>X1019-W1019</f>
        <v/>
      </c>
      <c r="Y1097" s="1364">
        <f>Y1019-X1019</f>
        <v/>
      </c>
      <c r="Z1097" s="1378">
        <f>Z1019</f>
        <v/>
      </c>
      <c r="AA1097" s="1364">
        <f>AA1019</f>
        <v/>
      </c>
      <c r="AB1097" s="1364">
        <f>AB1019-AA1019</f>
        <v/>
      </c>
      <c r="AC1097" s="1364">
        <f>AC1019-AB1019</f>
        <v/>
      </c>
      <c r="AD1097" s="1364">
        <f>AD1019-AC1019</f>
        <v/>
      </c>
      <c r="AE1097" s="1378">
        <f>AE1019</f>
        <v/>
      </c>
      <c r="AF1097" s="1364">
        <f>AF1019</f>
        <v/>
      </c>
      <c r="AG1097" s="1364">
        <f>AG1019-AF1019</f>
        <v/>
      </c>
      <c r="AH1097" s="1364">
        <f>AH1019-AG1019</f>
        <v/>
      </c>
      <c r="AI1097" s="1364">
        <f>AI1019-AH1019</f>
        <v/>
      </c>
      <c r="AJ1097" s="1378">
        <f>AJ1019</f>
        <v/>
      </c>
      <c r="AK1097" s="1364">
        <f>AK1019</f>
        <v/>
      </c>
      <c r="AL1097" s="1364">
        <f>AL1019-AK1019</f>
        <v/>
      </c>
      <c r="AM1097" s="1364">
        <f>AM1019-AL1019</f>
        <v/>
      </c>
      <c r="AN1097" s="1364">
        <f>AN1019-AM1019</f>
        <v/>
      </c>
      <c r="AO1097" s="1378">
        <f>AO1019</f>
        <v/>
      </c>
      <c r="AP1097" s="1364">
        <f>AP1019</f>
        <v/>
      </c>
      <c r="AQ1097" s="1364">
        <f>AQ1019-AP1019</f>
        <v/>
      </c>
      <c r="AR1097" s="1364">
        <f>AR1019-AQ1019</f>
        <v/>
      </c>
      <c r="AS1097" s="1364">
        <f>AS1019-AR1019</f>
        <v/>
      </c>
      <c r="AT1097" s="1378">
        <f>AT1019</f>
        <v/>
      </c>
      <c r="AU1097" s="1364">
        <f>AU1019</f>
        <v/>
      </c>
      <c r="AV1097" s="1364">
        <f>AV1019-AU1019</f>
        <v/>
      </c>
      <c r="AW1097" s="1364">
        <f>AW1019-AV1019</f>
        <v/>
      </c>
      <c r="AX1097" s="1364">
        <f>AX1019-AW1019</f>
        <v/>
      </c>
      <c r="AY1097" s="1378">
        <f>AY1019</f>
        <v/>
      </c>
      <c r="AZ1097" s="1364">
        <f>AZ1019</f>
        <v/>
      </c>
      <c r="BA1097" s="1364">
        <f>BA1019-AZ1019</f>
        <v/>
      </c>
      <c r="BB1097" s="1364">
        <f>BB1019-BA1019</f>
        <v/>
      </c>
      <c r="BC1097" s="1364">
        <f>BC1019-BB1019</f>
        <v/>
      </c>
      <c r="BD1097" s="1378">
        <f>BD1019</f>
        <v/>
      </c>
      <c r="BE1097" s="1364">
        <f>BE1019</f>
        <v/>
      </c>
      <c r="BF1097" s="1364">
        <f>BF1019-BE1019</f>
        <v/>
      </c>
      <c r="BG1097" s="1364">
        <f>BG1019-BF1019</f>
        <v/>
      </c>
      <c r="BH1097" s="1364">
        <f>BH1019-BG1019</f>
        <v/>
      </c>
      <c r="BI1097" s="1378">
        <f>BI1019</f>
        <v/>
      </c>
      <c r="BJ1097" s="1364">
        <f>BJ1019</f>
        <v/>
      </c>
      <c r="BK1097" s="1364">
        <f>BK1019-BJ1019</f>
        <v/>
      </c>
      <c r="BL1097" s="1364">
        <f>BL1019-BK1019</f>
        <v/>
      </c>
      <c r="BM1097" s="1364">
        <f>BM1019-BL1019</f>
        <v/>
      </c>
      <c r="BN1097" s="1378">
        <f>BN1019</f>
        <v/>
      </c>
      <c r="BO1097" s="1364">
        <f>BO1019</f>
        <v/>
      </c>
      <c r="BP1097" s="1364">
        <f>BP1019-BO1019</f>
        <v/>
      </c>
      <c r="BQ1097" s="1395">
        <f>BQ1019-BP1019</f>
        <v/>
      </c>
      <c r="BR1097" s="1361" t="n"/>
      <c r="BS1097" s="1379">
        <f>SUM(BO1097,BP1097,BQ1097,BR1097)</f>
        <v/>
      </c>
      <c r="BT1097" s="1361" t="n"/>
      <c r="BU1097" s="1361" t="n"/>
      <c r="BV1097" s="1361" t="n"/>
      <c r="BW1097" s="1361" t="n"/>
      <c r="BX1097" s="1379">
        <f>SUM(BT1097,BU1097,BV1097,BW1097)</f>
        <v/>
      </c>
      <c r="BY1097" s="1379" t="n"/>
      <c r="BZ1097" s="1379" t="n"/>
      <c r="CA1097" s="1379" t="n"/>
      <c r="CB1097" s="1364" t="n"/>
    </row>
    <row r="1098" ht="14.4" customFormat="1" customHeight="1" s="1359">
      <c r="A1098" s="1394">
        <f>A1020</f>
        <v/>
      </c>
      <c r="B1098" s="1512" t="n"/>
      <c r="C1098" s="1378">
        <f>C1020</f>
        <v/>
      </c>
      <c r="D1098" s="1378">
        <f>D1020</f>
        <v/>
      </c>
      <c r="E1098" s="1378">
        <f>E1020</f>
        <v/>
      </c>
      <c r="F1098" s="1378">
        <f>F1020</f>
        <v/>
      </c>
      <c r="G1098" s="1364">
        <f>G1020</f>
        <v/>
      </c>
      <c r="H1098" s="1364">
        <f>H1020-G1020</f>
        <v/>
      </c>
      <c r="I1098" s="1364">
        <f>I1020-H1020</f>
        <v/>
      </c>
      <c r="J1098" s="1364">
        <f>J1020-I1020</f>
        <v/>
      </c>
      <c r="K1098" s="1378">
        <f>K1020</f>
        <v/>
      </c>
      <c r="L1098" s="1364">
        <f>L1020</f>
        <v/>
      </c>
      <c r="M1098" s="1364">
        <f>M1020-L1020</f>
        <v/>
      </c>
      <c r="N1098" s="1364">
        <f>N1020-M1020</f>
        <v/>
      </c>
      <c r="O1098" s="1364">
        <f>O1020-N1020</f>
        <v/>
      </c>
      <c r="P1098" s="1378">
        <f>P1020</f>
        <v/>
      </c>
      <c r="Q1098" s="1364">
        <f>Q1020</f>
        <v/>
      </c>
      <c r="R1098" s="1364">
        <f>R1020-Q1020</f>
        <v/>
      </c>
      <c r="S1098" s="1364">
        <f>S1020-R1020</f>
        <v/>
      </c>
      <c r="T1098" s="1364">
        <f>T1020-S1020</f>
        <v/>
      </c>
      <c r="U1098" s="1378">
        <f>U1020</f>
        <v/>
      </c>
      <c r="V1098" s="1364">
        <f>V1020</f>
        <v/>
      </c>
      <c r="W1098" s="1364">
        <f>W1020-V1020</f>
        <v/>
      </c>
      <c r="X1098" s="1364">
        <f>X1020-W1020</f>
        <v/>
      </c>
      <c r="Y1098" s="1364">
        <f>Y1020-X1020</f>
        <v/>
      </c>
      <c r="Z1098" s="1378">
        <f>Z1020</f>
        <v/>
      </c>
      <c r="AA1098" s="1364">
        <f>AA1020</f>
        <v/>
      </c>
      <c r="AB1098" s="1364">
        <f>AB1020-AA1020</f>
        <v/>
      </c>
      <c r="AC1098" s="1364">
        <f>AC1020-AB1020</f>
        <v/>
      </c>
      <c r="AD1098" s="1364">
        <f>AD1020-AC1020</f>
        <v/>
      </c>
      <c r="AE1098" s="1378">
        <f>AE1020</f>
        <v/>
      </c>
      <c r="AF1098" s="1364">
        <f>AF1020</f>
        <v/>
      </c>
      <c r="AG1098" s="1364">
        <f>AG1020-AF1020</f>
        <v/>
      </c>
      <c r="AH1098" s="1364">
        <f>AH1020-AG1020</f>
        <v/>
      </c>
      <c r="AI1098" s="1364">
        <f>AI1020-AH1020</f>
        <v/>
      </c>
      <c r="AJ1098" s="1378">
        <f>AJ1020</f>
        <v/>
      </c>
      <c r="AK1098" s="1364">
        <f>AK1020</f>
        <v/>
      </c>
      <c r="AL1098" s="1364">
        <f>AL1020-AK1020</f>
        <v/>
      </c>
      <c r="AM1098" s="1364">
        <f>AM1020-AL1020</f>
        <v/>
      </c>
      <c r="AN1098" s="1364">
        <f>AN1020-AM1020</f>
        <v/>
      </c>
      <c r="AO1098" s="1378">
        <f>AO1020</f>
        <v/>
      </c>
      <c r="AP1098" s="1364">
        <f>AP1020</f>
        <v/>
      </c>
      <c r="AQ1098" s="1364">
        <f>AQ1020-AP1020</f>
        <v/>
      </c>
      <c r="AR1098" s="1364">
        <f>AR1020-AQ1020</f>
        <v/>
      </c>
      <c r="AS1098" s="1364">
        <f>AS1020-AR1020</f>
        <v/>
      </c>
      <c r="AT1098" s="1378">
        <f>AT1020</f>
        <v/>
      </c>
      <c r="AU1098" s="1364">
        <f>AU1020</f>
        <v/>
      </c>
      <c r="AV1098" s="1364">
        <f>AV1020-AU1020</f>
        <v/>
      </c>
      <c r="AW1098" s="1364">
        <f>AW1020-AV1020</f>
        <v/>
      </c>
      <c r="AX1098" s="1364">
        <f>AX1020-AW1020</f>
        <v/>
      </c>
      <c r="AY1098" s="1378">
        <f>AY1020</f>
        <v/>
      </c>
      <c r="AZ1098" s="1364">
        <f>AZ1020</f>
        <v/>
      </c>
      <c r="BA1098" s="1364">
        <f>BA1020-AZ1020</f>
        <v/>
      </c>
      <c r="BB1098" s="1364">
        <f>BB1020-BA1020</f>
        <v/>
      </c>
      <c r="BC1098" s="1364">
        <f>BC1020-BB1020</f>
        <v/>
      </c>
      <c r="BD1098" s="1378">
        <f>BD1020</f>
        <v/>
      </c>
      <c r="BE1098" s="1364">
        <f>BE1020</f>
        <v/>
      </c>
      <c r="BF1098" s="1364">
        <f>BF1020-BE1020</f>
        <v/>
      </c>
      <c r="BG1098" s="1364">
        <f>BG1020-BF1020</f>
        <v/>
      </c>
      <c r="BH1098" s="1364">
        <f>BH1020-BG1020</f>
        <v/>
      </c>
      <c r="BI1098" s="1378">
        <f>BI1020</f>
        <v/>
      </c>
      <c r="BJ1098" s="1364">
        <f>BJ1020</f>
        <v/>
      </c>
      <c r="BK1098" s="1364">
        <f>BK1020-BJ1020</f>
        <v/>
      </c>
      <c r="BL1098" s="1364">
        <f>BL1020-BK1020</f>
        <v/>
      </c>
      <c r="BM1098" s="1364">
        <f>BM1020-BL1020</f>
        <v/>
      </c>
      <c r="BN1098" s="1378">
        <f>BN1020</f>
        <v/>
      </c>
      <c r="BO1098" s="1364">
        <f>BO1020</f>
        <v/>
      </c>
      <c r="BP1098" s="1364">
        <f>BP1020-BO1020</f>
        <v/>
      </c>
      <c r="BQ1098" s="1395">
        <f>BQ1020-BP1020</f>
        <v/>
      </c>
      <c r="BR1098" s="1361" t="n"/>
      <c r="BS1098" s="1379">
        <f>SUM(BO1098,BP1098,BQ1098,BR1098)</f>
        <v/>
      </c>
      <c r="BT1098" s="1361" t="n"/>
      <c r="BU1098" s="1361" t="n"/>
      <c r="BV1098" s="1361" t="n"/>
      <c r="BW1098" s="1361" t="n"/>
      <c r="BX1098" s="1379">
        <f>SUM(BT1098,BU1098,BV1098,BW1098)</f>
        <v/>
      </c>
      <c r="BY1098" s="1379" t="n"/>
      <c r="BZ1098" s="1379" t="n"/>
      <c r="CA1098" s="1379" t="n"/>
      <c r="CB1098" s="1364" t="n"/>
    </row>
    <row r="1099" ht="14.4" customFormat="1" customHeight="1" s="1359">
      <c r="A1099" s="1394">
        <f>A1021</f>
        <v/>
      </c>
      <c r="B1099" s="1512" t="n"/>
      <c r="C1099" s="1378">
        <f>C1021</f>
        <v/>
      </c>
      <c r="D1099" s="1378">
        <f>D1021</f>
        <v/>
      </c>
      <c r="E1099" s="1378">
        <f>E1021</f>
        <v/>
      </c>
      <c r="F1099" s="1378">
        <f>F1021</f>
        <v/>
      </c>
      <c r="G1099" s="1364">
        <f>G1021</f>
        <v/>
      </c>
      <c r="H1099" s="1364">
        <f>H1021-G1021</f>
        <v/>
      </c>
      <c r="I1099" s="1364">
        <f>I1021-H1021</f>
        <v/>
      </c>
      <c r="J1099" s="1364">
        <f>J1021-I1021</f>
        <v/>
      </c>
      <c r="K1099" s="1378">
        <f>K1021</f>
        <v/>
      </c>
      <c r="L1099" s="1364">
        <f>L1021</f>
        <v/>
      </c>
      <c r="M1099" s="1364">
        <f>M1021-L1021</f>
        <v/>
      </c>
      <c r="N1099" s="1364">
        <f>N1021-M1021</f>
        <v/>
      </c>
      <c r="O1099" s="1364">
        <f>O1021-N1021</f>
        <v/>
      </c>
      <c r="P1099" s="1378">
        <f>P1021</f>
        <v/>
      </c>
      <c r="Q1099" s="1364">
        <f>Q1021</f>
        <v/>
      </c>
      <c r="R1099" s="1364">
        <f>R1021-Q1021</f>
        <v/>
      </c>
      <c r="S1099" s="1364">
        <f>S1021-R1021</f>
        <v/>
      </c>
      <c r="T1099" s="1364">
        <f>T1021-S1021</f>
        <v/>
      </c>
      <c r="U1099" s="1378">
        <f>U1021</f>
        <v/>
      </c>
      <c r="V1099" s="1364">
        <f>V1021</f>
        <v/>
      </c>
      <c r="W1099" s="1364">
        <f>W1021-V1021</f>
        <v/>
      </c>
      <c r="X1099" s="1364">
        <f>X1021-W1021</f>
        <v/>
      </c>
      <c r="Y1099" s="1364">
        <f>Y1021-X1021</f>
        <v/>
      </c>
      <c r="Z1099" s="1378">
        <f>Z1021</f>
        <v/>
      </c>
      <c r="AA1099" s="1364">
        <f>AA1021</f>
        <v/>
      </c>
      <c r="AB1099" s="1364">
        <f>AB1021-AA1021</f>
        <v/>
      </c>
      <c r="AC1099" s="1364">
        <f>AC1021-AB1021</f>
        <v/>
      </c>
      <c r="AD1099" s="1364">
        <f>AD1021-AC1021</f>
        <v/>
      </c>
      <c r="AE1099" s="1378">
        <f>AE1021</f>
        <v/>
      </c>
      <c r="AF1099" s="1364">
        <f>AF1021</f>
        <v/>
      </c>
      <c r="AG1099" s="1364">
        <f>AG1021-AF1021</f>
        <v/>
      </c>
      <c r="AH1099" s="1364">
        <f>AH1021-AG1021</f>
        <v/>
      </c>
      <c r="AI1099" s="1364">
        <f>AI1021-AH1021</f>
        <v/>
      </c>
      <c r="AJ1099" s="1378">
        <f>AJ1021</f>
        <v/>
      </c>
      <c r="AK1099" s="1364">
        <f>AK1021</f>
        <v/>
      </c>
      <c r="AL1099" s="1364">
        <f>AL1021-AK1021</f>
        <v/>
      </c>
      <c r="AM1099" s="1364">
        <f>AM1021-AL1021</f>
        <v/>
      </c>
      <c r="AN1099" s="1364">
        <f>AN1021-AM1021</f>
        <v/>
      </c>
      <c r="AO1099" s="1378">
        <f>AO1021</f>
        <v/>
      </c>
      <c r="AP1099" s="1364">
        <f>AP1021</f>
        <v/>
      </c>
      <c r="AQ1099" s="1364">
        <f>AQ1021-AP1021</f>
        <v/>
      </c>
      <c r="AR1099" s="1364">
        <f>AR1021-AQ1021</f>
        <v/>
      </c>
      <c r="AS1099" s="1364">
        <f>AS1021-AR1021</f>
        <v/>
      </c>
      <c r="AT1099" s="1378">
        <f>AT1021</f>
        <v/>
      </c>
      <c r="AU1099" s="1364">
        <f>AU1021</f>
        <v/>
      </c>
      <c r="AV1099" s="1364">
        <f>AV1021-AU1021</f>
        <v/>
      </c>
      <c r="AW1099" s="1364">
        <f>AW1021-AV1021</f>
        <v/>
      </c>
      <c r="AX1099" s="1364">
        <f>AX1021-AW1021</f>
        <v/>
      </c>
      <c r="AY1099" s="1378">
        <f>AY1021</f>
        <v/>
      </c>
      <c r="AZ1099" s="1364">
        <f>AZ1021</f>
        <v/>
      </c>
      <c r="BA1099" s="1364">
        <f>BA1021-AZ1021</f>
        <v/>
      </c>
      <c r="BB1099" s="1364">
        <f>BB1021-BA1021</f>
        <v/>
      </c>
      <c r="BC1099" s="1364">
        <f>BC1021-BB1021</f>
        <v/>
      </c>
      <c r="BD1099" s="1378">
        <f>BD1021</f>
        <v/>
      </c>
      <c r="BE1099" s="1364">
        <f>BE1021</f>
        <v/>
      </c>
      <c r="BF1099" s="1364">
        <f>BF1021-BE1021</f>
        <v/>
      </c>
      <c r="BG1099" s="1364">
        <f>BG1021-BF1021</f>
        <v/>
      </c>
      <c r="BH1099" s="1364">
        <f>BH1021-BG1021</f>
        <v/>
      </c>
      <c r="BI1099" s="1378">
        <f>BI1021</f>
        <v/>
      </c>
      <c r="BJ1099" s="1364">
        <f>BJ1021</f>
        <v/>
      </c>
      <c r="BK1099" s="1364">
        <f>BK1021-BJ1021</f>
        <v/>
      </c>
      <c r="BL1099" s="1364">
        <f>BL1021-BK1021</f>
        <v/>
      </c>
      <c r="BM1099" s="1364">
        <f>BM1021-BL1021</f>
        <v/>
      </c>
      <c r="BN1099" s="1378">
        <f>BN1021</f>
        <v/>
      </c>
      <c r="BO1099" s="1364">
        <f>BO1021</f>
        <v/>
      </c>
      <c r="BP1099" s="1364">
        <f>BP1021-BO1021</f>
        <v/>
      </c>
      <c r="BQ1099" s="1395">
        <f>BQ1021-BP1021</f>
        <v/>
      </c>
      <c r="BR1099" s="1361" t="n"/>
      <c r="BS1099" s="1379">
        <f>SUM(BO1099,BP1099,BQ1099,BR1099)</f>
        <v/>
      </c>
      <c r="BT1099" s="1361" t="n"/>
      <c r="BU1099" s="1361" t="n"/>
      <c r="BV1099" s="1361" t="n"/>
      <c r="BW1099" s="1361" t="n"/>
      <c r="BX1099" s="1379">
        <f>SUM(BT1099,BU1099,BV1099,BW1099)</f>
        <v/>
      </c>
      <c r="BY1099" s="1379" t="n"/>
      <c r="BZ1099" s="1379" t="n"/>
      <c r="CA1099" s="1379" t="n"/>
      <c r="CB1099" s="1364" t="n"/>
    </row>
    <row r="1100" ht="14.4" customFormat="1" customHeight="1" s="1359">
      <c r="A1100" s="1453">
        <f>A1022</f>
        <v/>
      </c>
      <c r="B1100" s="1514" t="n"/>
      <c r="C1100" s="1518">
        <f>C1022</f>
        <v/>
      </c>
      <c r="D1100" s="1518">
        <f>D1022</f>
        <v/>
      </c>
      <c r="E1100" s="1518">
        <f>E1022</f>
        <v/>
      </c>
      <c r="F1100" s="1518">
        <f>F1022</f>
        <v/>
      </c>
      <c r="G1100" s="1510">
        <f>G1022</f>
        <v/>
      </c>
      <c r="H1100" s="1510">
        <f>H1022-G1022</f>
        <v/>
      </c>
      <c r="I1100" s="1510">
        <f>I1022-H1022</f>
        <v/>
      </c>
      <c r="J1100" s="1510">
        <f>J1022-I1022</f>
        <v/>
      </c>
      <c r="K1100" s="1518">
        <f>K1022</f>
        <v/>
      </c>
      <c r="L1100" s="1510">
        <f>L1022</f>
        <v/>
      </c>
      <c r="M1100" s="1510">
        <f>M1022-L1022</f>
        <v/>
      </c>
      <c r="N1100" s="1510">
        <f>N1022-M1022</f>
        <v/>
      </c>
      <c r="O1100" s="1510">
        <f>O1022-N1022</f>
        <v/>
      </c>
      <c r="P1100" s="1518">
        <f>P1022</f>
        <v/>
      </c>
      <c r="Q1100" s="1510">
        <f>Q1022</f>
        <v/>
      </c>
      <c r="R1100" s="1510">
        <f>R1022-Q1022</f>
        <v/>
      </c>
      <c r="S1100" s="1510">
        <f>S1022-R1022</f>
        <v/>
      </c>
      <c r="T1100" s="1510">
        <f>T1022-S1022</f>
        <v/>
      </c>
      <c r="U1100" s="1518">
        <f>U1022</f>
        <v/>
      </c>
      <c r="V1100" s="1510">
        <f>V1022</f>
        <v/>
      </c>
      <c r="W1100" s="1510">
        <f>W1022-V1022</f>
        <v/>
      </c>
      <c r="X1100" s="1510">
        <f>X1022-W1022</f>
        <v/>
      </c>
      <c r="Y1100" s="1510">
        <f>Y1022-X1022</f>
        <v/>
      </c>
      <c r="Z1100" s="1518">
        <f>Z1022</f>
        <v/>
      </c>
      <c r="AA1100" s="1510">
        <f>AA1022</f>
        <v/>
      </c>
      <c r="AB1100" s="1510">
        <f>AB1022-AA1022</f>
        <v/>
      </c>
      <c r="AC1100" s="1510">
        <f>AC1022-AB1022</f>
        <v/>
      </c>
      <c r="AD1100" s="1510">
        <f>AD1022-AC1022</f>
        <v/>
      </c>
      <c r="AE1100" s="1518">
        <f>AE1022</f>
        <v/>
      </c>
      <c r="AF1100" s="1510">
        <f>AF1022</f>
        <v/>
      </c>
      <c r="AG1100" s="1510">
        <f>AG1022-AF1022</f>
        <v/>
      </c>
      <c r="AH1100" s="1510">
        <f>AH1022-AG1022</f>
        <v/>
      </c>
      <c r="AI1100" s="1510">
        <f>AI1022-AH1022</f>
        <v/>
      </c>
      <c r="AJ1100" s="1518">
        <f>AJ1022</f>
        <v/>
      </c>
      <c r="AK1100" s="1510">
        <f>AK1022</f>
        <v/>
      </c>
      <c r="AL1100" s="1510">
        <f>AL1022-AK1022</f>
        <v/>
      </c>
      <c r="AM1100" s="1510">
        <f>AM1022-AL1022</f>
        <v/>
      </c>
      <c r="AN1100" s="1510">
        <f>AN1022-AM1022</f>
        <v/>
      </c>
      <c r="AO1100" s="1518">
        <f>AO1022</f>
        <v/>
      </c>
      <c r="AP1100" s="1510">
        <f>AP1022</f>
        <v/>
      </c>
      <c r="AQ1100" s="1510">
        <f>AQ1022-AP1022</f>
        <v/>
      </c>
      <c r="AR1100" s="1510">
        <f>AR1022-AQ1022</f>
        <v/>
      </c>
      <c r="AS1100" s="1510">
        <f>AS1022-AR1022</f>
        <v/>
      </c>
      <c r="AT1100" s="1518">
        <f>AT1022</f>
        <v/>
      </c>
      <c r="AU1100" s="1510">
        <f>AU1022</f>
        <v/>
      </c>
      <c r="AV1100" s="1510">
        <f>AV1022-AU1022</f>
        <v/>
      </c>
      <c r="AW1100" s="1510">
        <f>AW1022-AV1022</f>
        <v/>
      </c>
      <c r="AX1100" s="1510">
        <f>AX1022-AW1022</f>
        <v/>
      </c>
      <c r="AY1100" s="1518">
        <f>AY1022</f>
        <v/>
      </c>
      <c r="AZ1100" s="1510">
        <f>AZ1022</f>
        <v/>
      </c>
      <c r="BA1100" s="1510">
        <f>BA1022-AZ1022</f>
        <v/>
      </c>
      <c r="BB1100" s="1510">
        <f>BB1022-BA1022</f>
        <v/>
      </c>
      <c r="BC1100" s="1510">
        <f>BC1022-BB1022</f>
        <v/>
      </c>
      <c r="BD1100" s="1518">
        <f>BD1022</f>
        <v/>
      </c>
      <c r="BE1100" s="1510">
        <f>BE1022</f>
        <v/>
      </c>
      <c r="BF1100" s="1510">
        <f>BF1022-BE1022</f>
        <v/>
      </c>
      <c r="BG1100" s="1510">
        <f>BG1022-BF1022</f>
        <v/>
      </c>
      <c r="BH1100" s="1510">
        <f>BH1022-BG1022</f>
        <v/>
      </c>
      <c r="BI1100" s="1518">
        <f>BI1022</f>
        <v/>
      </c>
      <c r="BJ1100" s="1510">
        <f>BJ1022</f>
        <v/>
      </c>
      <c r="BK1100" s="1510">
        <f>BK1022-BJ1022</f>
        <v/>
      </c>
      <c r="BL1100" s="1510">
        <f>BL1022-BK1022</f>
        <v/>
      </c>
      <c r="BM1100" s="1510">
        <f>BM1022-BL1022</f>
        <v/>
      </c>
      <c r="BN1100" s="1518">
        <f>BN1022</f>
        <v/>
      </c>
      <c r="BO1100" s="1510">
        <f>BO1022</f>
        <v/>
      </c>
      <c r="BP1100" s="1510">
        <f>BP1022-BO1022</f>
        <v/>
      </c>
      <c r="BQ1100" s="1511">
        <f>BQ1022-BP1022</f>
        <v/>
      </c>
      <c r="BR1100" s="1456" t="n"/>
      <c r="BS1100" s="1455">
        <f>SUM(BO1100,BP1100,BQ1100,BR1100)</f>
        <v/>
      </c>
      <c r="BT1100" s="1456" t="n"/>
      <c r="BU1100" s="1456" t="n"/>
      <c r="BV1100" s="1456" t="n"/>
      <c r="BW1100" s="1456" t="n"/>
      <c r="BX1100" s="1455">
        <f>SUM(BT1100,BU1100,BV1100,BW1100)</f>
        <v/>
      </c>
      <c r="BY1100" s="1455" t="n"/>
      <c r="BZ1100" s="1455" t="n"/>
      <c r="CA1100" s="1455" t="n"/>
      <c r="CB1100" s="1364" t="n"/>
    </row>
    <row r="1101" ht="14.4" customFormat="1" customHeight="1" s="1372">
      <c r="A1101" s="1400">
        <f>A1023</f>
        <v/>
      </c>
      <c r="B1101" s="1516" t="n"/>
      <c r="C1101" s="1402">
        <f>SUM(C1084:C1100)</f>
        <v/>
      </c>
      <c r="D1101" s="1402">
        <f>SUM(D1084:D1100)</f>
        <v/>
      </c>
      <c r="E1101" s="1402">
        <f>SUM(E1084:E1100)</f>
        <v/>
      </c>
      <c r="F1101" s="1402">
        <f>SUM(F1084:F1100)</f>
        <v/>
      </c>
      <c r="G1101" s="1403">
        <f>SUM(G1084:G1100)</f>
        <v/>
      </c>
      <c r="H1101" s="1403">
        <f>SUM(H1084:H1100)</f>
        <v/>
      </c>
      <c r="I1101" s="1403">
        <f>SUM(I1084:I1100)</f>
        <v/>
      </c>
      <c r="J1101" s="1403">
        <f>SUM(J1084:J1100)</f>
        <v/>
      </c>
      <c r="K1101" s="1402">
        <f>SUM(K1084:K1100)</f>
        <v/>
      </c>
      <c r="L1101" s="1403">
        <f>SUM(L1084:L1100)</f>
        <v/>
      </c>
      <c r="M1101" s="1403">
        <f>SUM(M1084:M1100)</f>
        <v/>
      </c>
      <c r="N1101" s="1403">
        <f>SUM(N1084:N1100)</f>
        <v/>
      </c>
      <c r="O1101" s="1403">
        <f>SUM(O1084:O1100)</f>
        <v/>
      </c>
      <c r="P1101" s="1402">
        <f>SUM(P1084:P1100)</f>
        <v/>
      </c>
      <c r="Q1101" s="1403">
        <f>SUM(Q1084:Q1100)</f>
        <v/>
      </c>
      <c r="R1101" s="1403">
        <f>SUM(R1084:R1100)</f>
        <v/>
      </c>
      <c r="S1101" s="1403">
        <f>SUM(S1084:S1100)</f>
        <v/>
      </c>
      <c r="T1101" s="1403">
        <f>SUM(T1084:T1100)</f>
        <v/>
      </c>
      <c r="U1101" s="1402">
        <f>SUM(U1084:U1100)</f>
        <v/>
      </c>
      <c r="V1101" s="1403">
        <f>SUM(V1084:V1100)</f>
        <v/>
      </c>
      <c r="W1101" s="1403">
        <f>SUM(W1084:W1100)</f>
        <v/>
      </c>
      <c r="X1101" s="1403">
        <f>SUM(X1084:X1100)</f>
        <v/>
      </c>
      <c r="Y1101" s="1403">
        <f>SUM(Y1084:Y1100)</f>
        <v/>
      </c>
      <c r="Z1101" s="1402">
        <f>SUM(Z1084:Z1100)</f>
        <v/>
      </c>
      <c r="AA1101" s="1403">
        <f>SUM(AA1084:AA1100)</f>
        <v/>
      </c>
      <c r="AB1101" s="1403">
        <f>SUM(AB1084:AB1100)</f>
        <v/>
      </c>
      <c r="AC1101" s="1403">
        <f>SUM(AC1084:AC1100)</f>
        <v/>
      </c>
      <c r="AD1101" s="1403">
        <f>SUM(AD1084:AD1100)</f>
        <v/>
      </c>
      <c r="AE1101" s="1402">
        <f>SUM(AE1084:AE1100)</f>
        <v/>
      </c>
      <c r="AF1101" s="1403">
        <f>SUM(AF1084:AF1100)</f>
        <v/>
      </c>
      <c r="AG1101" s="1403">
        <f>SUM(AG1084:AG1100)</f>
        <v/>
      </c>
      <c r="AH1101" s="1403">
        <f>SUM(AH1084:AH1100)</f>
        <v/>
      </c>
      <c r="AI1101" s="1403">
        <f>SUM(AI1084:AI1100)</f>
        <v/>
      </c>
      <c r="AJ1101" s="1402">
        <f>SUM(AJ1084:AJ1100)</f>
        <v/>
      </c>
      <c r="AK1101" s="1403">
        <f>SUM(AK1084:AK1100)</f>
        <v/>
      </c>
      <c r="AL1101" s="1403">
        <f>SUM(AL1084:AL1100)</f>
        <v/>
      </c>
      <c r="AM1101" s="1403">
        <f>SUM(AM1084:AM1100)</f>
        <v/>
      </c>
      <c r="AN1101" s="1403">
        <f>SUM(AN1084:AN1100)</f>
        <v/>
      </c>
      <c r="AO1101" s="1402">
        <f>SUM(AO1084:AO1100)</f>
        <v/>
      </c>
      <c r="AP1101" s="1403">
        <f>SUM(AP1084:AP1100)</f>
        <v/>
      </c>
      <c r="AQ1101" s="1403">
        <f>SUM(AQ1084:AQ1100)</f>
        <v/>
      </c>
      <c r="AR1101" s="1403">
        <f>SUM(AR1084:AR1100)</f>
        <v/>
      </c>
      <c r="AS1101" s="1403">
        <f>SUM(AS1084:AS1100)</f>
        <v/>
      </c>
      <c r="AT1101" s="1402">
        <f>SUM(AT1084:AT1100)</f>
        <v/>
      </c>
      <c r="AU1101" s="1403">
        <f>SUM(AU1084:AU1100)</f>
        <v/>
      </c>
      <c r="AV1101" s="1403">
        <f>SUM(AV1084:AV1100)</f>
        <v/>
      </c>
      <c r="AW1101" s="1403">
        <f>SUM(AW1084:AW1100)</f>
        <v/>
      </c>
      <c r="AX1101" s="1403">
        <f>SUM(AX1084:AX1100)</f>
        <v/>
      </c>
      <c r="AY1101" s="1402">
        <f>SUM(AY1084:AY1100)</f>
        <v/>
      </c>
      <c r="AZ1101" s="1403">
        <f>SUM(AZ1084:AZ1100)</f>
        <v/>
      </c>
      <c r="BA1101" s="1403">
        <f>SUM(BA1084:BA1100)</f>
        <v/>
      </c>
      <c r="BB1101" s="1403">
        <f>SUM(BB1084:BB1100)</f>
        <v/>
      </c>
      <c r="BC1101" s="1403">
        <f>SUM(BC1084:BC1100)</f>
        <v/>
      </c>
      <c r="BD1101" s="1402">
        <f>SUM(BD1084:BD1100)</f>
        <v/>
      </c>
      <c r="BE1101" s="1403">
        <f>SUM(BE1084:BE1100)</f>
        <v/>
      </c>
      <c r="BF1101" s="1403">
        <f>SUM(BF1084:BF1100)</f>
        <v/>
      </c>
      <c r="BG1101" s="1403">
        <f>SUM(BG1084:BG1100)</f>
        <v/>
      </c>
      <c r="BH1101" s="1403">
        <f>SUM(BH1084:BH1100)</f>
        <v/>
      </c>
      <c r="BI1101" s="1402">
        <f>SUM(BI1084:BI1100)</f>
        <v/>
      </c>
      <c r="BJ1101" s="1403">
        <f>SUM(BJ1084:BJ1100)</f>
        <v/>
      </c>
      <c r="BK1101" s="1403">
        <f>SUM(BK1084:BK1100)</f>
        <v/>
      </c>
      <c r="BL1101" s="1403">
        <f>SUM(BL1084:BL1100)</f>
        <v/>
      </c>
      <c r="BM1101" s="1403">
        <f>SUM(BM1084:BM1100)</f>
        <v/>
      </c>
      <c r="BN1101" s="1402">
        <f>SUM(BN1084:BN1100)</f>
        <v/>
      </c>
      <c r="BO1101" s="1403">
        <f>SUM(BO1084:BO1100)</f>
        <v/>
      </c>
      <c r="BP1101" s="1403">
        <f>SUM(BP1084:BP1100)</f>
        <v/>
      </c>
      <c r="BQ1101" s="1406">
        <f>SUM(BQ1084:BQ1100)</f>
        <v/>
      </c>
      <c r="BR1101" s="1404">
        <f>SUM(BR1084:BR1100)</f>
        <v/>
      </c>
      <c r="BS1101" s="1405">
        <f>SUM(BS1084:BS1100)</f>
        <v/>
      </c>
      <c r="BT1101" s="1404">
        <f>SUM(BT1084:BT1100)</f>
        <v/>
      </c>
      <c r="BU1101" s="1404">
        <f>SUM(BU1084:BU1100)</f>
        <v/>
      </c>
      <c r="BV1101" s="1404">
        <f>SUM(BV1084:BV1100)</f>
        <v/>
      </c>
      <c r="BW1101" s="1404">
        <f>SUM(BW1084:BW1100)</f>
        <v/>
      </c>
      <c r="BX1101" s="1405">
        <f>SUM(BX1084:BX1100)</f>
        <v/>
      </c>
      <c r="BY1101" s="1405">
        <f>SUM(BY1084:BY1100)</f>
        <v/>
      </c>
      <c r="BZ1101" s="1405">
        <f>SUM(BZ1084:BZ1100)</f>
        <v/>
      </c>
      <c r="CA1101" s="1405">
        <f>SUM(CA1084:CA1100)</f>
        <v/>
      </c>
      <c r="CB1101" s="1375" t="n"/>
    </row>
    <row r="1102" ht="14.4" customFormat="1" customHeight="1" s="1359">
      <c r="A1102" s="1474">
        <f>A1024</f>
        <v/>
      </c>
      <c r="B1102" s="1512" t="n"/>
      <c r="C1102" s="1379">
        <f>C1024</f>
        <v/>
      </c>
      <c r="D1102" s="1379">
        <f>D1024</f>
        <v/>
      </c>
      <c r="E1102" s="1379">
        <f>E1024</f>
        <v/>
      </c>
      <c r="F1102" s="1379">
        <f>F1024</f>
        <v/>
      </c>
      <c r="G1102" s="1361">
        <f>G1024</f>
        <v/>
      </c>
      <c r="H1102" s="1361">
        <f>H1024-G1024</f>
        <v/>
      </c>
      <c r="I1102" s="1361">
        <f>I1024-H1024</f>
        <v/>
      </c>
      <c r="J1102" s="1361">
        <f>J1024-I1024</f>
        <v/>
      </c>
      <c r="K1102" s="1379">
        <f>K1024</f>
        <v/>
      </c>
      <c r="L1102" s="1361">
        <f>L1024</f>
        <v/>
      </c>
      <c r="M1102" s="1361">
        <f>M1024-L1024</f>
        <v/>
      </c>
      <c r="N1102" s="1361">
        <f>N1024-M1024</f>
        <v/>
      </c>
      <c r="O1102" s="1361">
        <f>O1024-N1024</f>
        <v/>
      </c>
      <c r="P1102" s="1379">
        <f>P1024</f>
        <v/>
      </c>
      <c r="Q1102" s="1361">
        <f>Q1024</f>
        <v/>
      </c>
      <c r="R1102" s="1361">
        <f>R1024-Q1024</f>
        <v/>
      </c>
      <c r="S1102" s="1361">
        <f>S1024-R1024</f>
        <v/>
      </c>
      <c r="T1102" s="1361">
        <f>T1024-S1024</f>
        <v/>
      </c>
      <c r="U1102" s="1379">
        <f>U1024</f>
        <v/>
      </c>
      <c r="V1102" s="1361">
        <f>V1024</f>
        <v/>
      </c>
      <c r="W1102" s="1361">
        <f>W1024-V1024</f>
        <v/>
      </c>
      <c r="X1102" s="1361">
        <f>X1024-W1024</f>
        <v/>
      </c>
      <c r="Y1102" s="1361">
        <f>Y1024-X1024</f>
        <v/>
      </c>
      <c r="Z1102" s="1379">
        <f>Z1024</f>
        <v/>
      </c>
      <c r="AA1102" s="1361">
        <f>AA1024</f>
        <v/>
      </c>
      <c r="AB1102" s="1361">
        <f>AB1024-AA1024</f>
        <v/>
      </c>
      <c r="AC1102" s="1361">
        <f>AC1024-AB1024</f>
        <v/>
      </c>
      <c r="AD1102" s="1361">
        <f>AD1024-AC1024</f>
        <v/>
      </c>
      <c r="AE1102" s="1379">
        <f>AE1024</f>
        <v/>
      </c>
      <c r="AF1102" s="1361">
        <f>AF1024</f>
        <v/>
      </c>
      <c r="AG1102" s="1361">
        <f>AG1024-AF1024</f>
        <v/>
      </c>
      <c r="AH1102" s="1361">
        <f>AH1024-AG1024</f>
        <v/>
      </c>
      <c r="AI1102" s="1361">
        <f>AI1024-AH1024</f>
        <v/>
      </c>
      <c r="AJ1102" s="1379">
        <f>AJ1024</f>
        <v/>
      </c>
      <c r="AK1102" s="1361">
        <f>AK1024</f>
        <v/>
      </c>
      <c r="AL1102" s="1361">
        <f>AL1024-AK1024</f>
        <v/>
      </c>
      <c r="AM1102" s="1361">
        <f>AM1024-AL1024</f>
        <v/>
      </c>
      <c r="AN1102" s="1361">
        <f>AN1024-AM1024</f>
        <v/>
      </c>
      <c r="AO1102" s="1379">
        <f>AO1024</f>
        <v/>
      </c>
      <c r="AP1102" s="1361">
        <f>AP1024</f>
        <v/>
      </c>
      <c r="AQ1102" s="1361">
        <f>AQ1024-AP1024</f>
        <v/>
      </c>
      <c r="AR1102" s="1361">
        <f>AR1024-AQ1024</f>
        <v/>
      </c>
      <c r="AS1102" s="1361">
        <f>AS1024-AR1024</f>
        <v/>
      </c>
      <c r="AT1102" s="1379">
        <f>AT1024</f>
        <v/>
      </c>
      <c r="AU1102" s="1361">
        <f>AU1024</f>
        <v/>
      </c>
      <c r="AV1102" s="1361">
        <f>AV1024-AU1024</f>
        <v/>
      </c>
      <c r="AW1102" s="1361">
        <f>AW1024-AV1024</f>
        <v/>
      </c>
      <c r="AX1102" s="1361">
        <f>AX1024-AW1024</f>
        <v/>
      </c>
      <c r="AY1102" s="1379">
        <f>AY1024</f>
        <v/>
      </c>
      <c r="AZ1102" s="1361">
        <f>AZ1024</f>
        <v/>
      </c>
      <c r="BA1102" s="1361">
        <f>BA1024-AZ1024</f>
        <v/>
      </c>
      <c r="BB1102" s="1361">
        <f>BB1024-BA1024</f>
        <v/>
      </c>
      <c r="BC1102" s="1361">
        <f>BC1024-BB1024</f>
        <v/>
      </c>
      <c r="BD1102" s="1379">
        <f>BD1024</f>
        <v/>
      </c>
      <c r="BE1102" s="1361">
        <f>BE1024</f>
        <v/>
      </c>
      <c r="BF1102" s="1361">
        <f>BF1024-BE1024</f>
        <v/>
      </c>
      <c r="BG1102" s="1361">
        <f>BG1024-BF1024</f>
        <v/>
      </c>
      <c r="BH1102" s="1361">
        <f>BH1024-BG1024</f>
        <v/>
      </c>
      <c r="BI1102" s="1379">
        <f>BI1024</f>
        <v/>
      </c>
      <c r="BJ1102" s="1361">
        <f>BJ1024</f>
        <v/>
      </c>
      <c r="BK1102" s="1361">
        <f>BK1024-BJ1024</f>
        <v/>
      </c>
      <c r="BL1102" s="1361">
        <f>BL1024-BK1024</f>
        <v/>
      </c>
      <c r="BM1102" s="1361">
        <f>BM1024-BL1024</f>
        <v/>
      </c>
      <c r="BN1102" s="1379">
        <f>BN1024</f>
        <v/>
      </c>
      <c r="BO1102" s="1361">
        <f>BO1024</f>
        <v/>
      </c>
      <c r="BP1102" s="1361">
        <f>BP1024-BO1024</f>
        <v/>
      </c>
      <c r="BQ1102" s="1363">
        <f>BQ1024-BP1024</f>
        <v/>
      </c>
      <c r="BR1102" s="1361">
        <f>BQ1207-BR1207</f>
        <v/>
      </c>
      <c r="BS1102" s="1379">
        <f>SUM(BO1102,BP1102,BQ1102,BR1102)</f>
        <v/>
      </c>
      <c r="BT1102" s="1361">
        <f>BS1207-BT1207</f>
        <v/>
      </c>
      <c r="BU1102" s="1361">
        <f>BT1207-BU1207</f>
        <v/>
      </c>
      <c r="BV1102" s="1361">
        <f>BU1207-BV1207</f>
        <v/>
      </c>
      <c r="BW1102" s="1361">
        <f>BV1207-BW1207</f>
        <v/>
      </c>
      <c r="BX1102" s="1379">
        <f>SUM(BT1102,BU1102,BV1102,BW1102)</f>
        <v/>
      </c>
      <c r="BY1102" s="1379">
        <f>BX1207-BY1207</f>
        <v/>
      </c>
      <c r="BZ1102" s="1379">
        <f>BY1207-BZ1207</f>
        <v/>
      </c>
      <c r="CA1102" s="1379">
        <f>BZ1207-CA1207</f>
        <v/>
      </c>
      <c r="CB1102" s="1364" t="n"/>
    </row>
    <row r="1103" ht="14.4" customFormat="1" customHeight="1" s="1359">
      <c r="A1103" s="1474">
        <f>A1025</f>
        <v/>
      </c>
      <c r="B1103" s="1512" t="n"/>
      <c r="C1103" s="1379">
        <f>C1025</f>
        <v/>
      </c>
      <c r="D1103" s="1379">
        <f>D1025</f>
        <v/>
      </c>
      <c r="E1103" s="1379">
        <f>E1025</f>
        <v/>
      </c>
      <c r="F1103" s="1379">
        <f>F1025</f>
        <v/>
      </c>
      <c r="G1103" s="1361">
        <f>G1025</f>
        <v/>
      </c>
      <c r="H1103" s="1361">
        <f>H1025-G1025</f>
        <v/>
      </c>
      <c r="I1103" s="1361">
        <f>I1025-H1025</f>
        <v/>
      </c>
      <c r="J1103" s="1361">
        <f>J1025-I1025</f>
        <v/>
      </c>
      <c r="K1103" s="1379">
        <f>K1025</f>
        <v/>
      </c>
      <c r="L1103" s="1361">
        <f>L1025</f>
        <v/>
      </c>
      <c r="M1103" s="1361">
        <f>M1025-L1025</f>
        <v/>
      </c>
      <c r="N1103" s="1361">
        <f>N1025-M1025</f>
        <v/>
      </c>
      <c r="O1103" s="1361">
        <f>O1025-N1025</f>
        <v/>
      </c>
      <c r="P1103" s="1379">
        <f>P1025</f>
        <v/>
      </c>
      <c r="Q1103" s="1361">
        <f>Q1025</f>
        <v/>
      </c>
      <c r="R1103" s="1361">
        <f>R1025-Q1025</f>
        <v/>
      </c>
      <c r="S1103" s="1361">
        <f>S1025-R1025</f>
        <v/>
      </c>
      <c r="T1103" s="1361">
        <f>T1025-S1025</f>
        <v/>
      </c>
      <c r="U1103" s="1379">
        <f>U1025</f>
        <v/>
      </c>
      <c r="V1103" s="1361">
        <f>V1025</f>
        <v/>
      </c>
      <c r="W1103" s="1361">
        <f>W1025-V1025</f>
        <v/>
      </c>
      <c r="X1103" s="1361">
        <f>X1025-W1025</f>
        <v/>
      </c>
      <c r="Y1103" s="1361">
        <f>Y1025-X1025</f>
        <v/>
      </c>
      <c r="Z1103" s="1379">
        <f>Z1025</f>
        <v/>
      </c>
      <c r="AA1103" s="1361">
        <f>AA1025</f>
        <v/>
      </c>
      <c r="AB1103" s="1361">
        <f>AB1025-AA1025</f>
        <v/>
      </c>
      <c r="AC1103" s="1361">
        <f>AC1025-AB1025</f>
        <v/>
      </c>
      <c r="AD1103" s="1361">
        <f>AD1025-AC1025</f>
        <v/>
      </c>
      <c r="AE1103" s="1379">
        <f>AE1025</f>
        <v/>
      </c>
      <c r="AF1103" s="1361">
        <f>AF1025</f>
        <v/>
      </c>
      <c r="AG1103" s="1361">
        <f>AG1025-AF1025</f>
        <v/>
      </c>
      <c r="AH1103" s="1361">
        <f>AH1025-AG1025</f>
        <v/>
      </c>
      <c r="AI1103" s="1361">
        <f>AI1025-AH1025</f>
        <v/>
      </c>
      <c r="AJ1103" s="1379">
        <f>AJ1025</f>
        <v/>
      </c>
      <c r="AK1103" s="1361">
        <f>AK1025</f>
        <v/>
      </c>
      <c r="AL1103" s="1361">
        <f>AL1025-AK1025</f>
        <v/>
      </c>
      <c r="AM1103" s="1361">
        <f>AM1025-AL1025</f>
        <v/>
      </c>
      <c r="AN1103" s="1361">
        <f>AN1025-AM1025</f>
        <v/>
      </c>
      <c r="AO1103" s="1379">
        <f>AO1025</f>
        <v/>
      </c>
      <c r="AP1103" s="1361">
        <f>AP1025</f>
        <v/>
      </c>
      <c r="AQ1103" s="1361">
        <f>AQ1025-AP1025</f>
        <v/>
      </c>
      <c r="AR1103" s="1361">
        <f>AR1025-AQ1025</f>
        <v/>
      </c>
      <c r="AS1103" s="1361">
        <f>AS1025-AR1025</f>
        <v/>
      </c>
      <c r="AT1103" s="1379">
        <f>AT1025</f>
        <v/>
      </c>
      <c r="AU1103" s="1361">
        <f>AU1025</f>
        <v/>
      </c>
      <c r="AV1103" s="1361">
        <f>AV1025-AU1025</f>
        <v/>
      </c>
      <c r="AW1103" s="1361">
        <f>AW1025-AV1025</f>
        <v/>
      </c>
      <c r="AX1103" s="1361">
        <f>AX1025-AW1025</f>
        <v/>
      </c>
      <c r="AY1103" s="1379">
        <f>AY1025</f>
        <v/>
      </c>
      <c r="AZ1103" s="1361">
        <f>AZ1025</f>
        <v/>
      </c>
      <c r="BA1103" s="1361">
        <f>BA1025-AZ1025</f>
        <v/>
      </c>
      <c r="BB1103" s="1361">
        <f>BB1025-BA1025</f>
        <v/>
      </c>
      <c r="BC1103" s="1361">
        <f>BC1025-BB1025</f>
        <v/>
      </c>
      <c r="BD1103" s="1379">
        <f>BD1025</f>
        <v/>
      </c>
      <c r="BE1103" s="1361">
        <f>BE1025</f>
        <v/>
      </c>
      <c r="BF1103" s="1361">
        <f>BF1025-BE1025</f>
        <v/>
      </c>
      <c r="BG1103" s="1361">
        <f>BG1025-BF1025</f>
        <v/>
      </c>
      <c r="BH1103" s="1361">
        <f>BH1025-BG1025</f>
        <v/>
      </c>
      <c r="BI1103" s="1379">
        <f>BI1025</f>
        <v/>
      </c>
      <c r="BJ1103" s="1361">
        <f>BJ1025</f>
        <v/>
      </c>
      <c r="BK1103" s="1361">
        <f>BK1025-BJ1025</f>
        <v/>
      </c>
      <c r="BL1103" s="1361">
        <f>BL1025-BK1025</f>
        <v/>
      </c>
      <c r="BM1103" s="1361">
        <f>BM1025-BL1025</f>
        <v/>
      </c>
      <c r="BN1103" s="1379">
        <f>BN1025</f>
        <v/>
      </c>
      <c r="BO1103" s="1361">
        <f>BO1025</f>
        <v/>
      </c>
      <c r="BP1103" s="1361">
        <f>BP1025-BO1025</f>
        <v/>
      </c>
      <c r="BQ1103" s="1363">
        <f>BQ1025-BP1025</f>
        <v/>
      </c>
      <c r="BR1103" s="1361" t="n"/>
      <c r="BS1103" s="1379">
        <f>SUM(BO1103,BP1103,BQ1103,BR1103)</f>
        <v/>
      </c>
      <c r="BT1103" s="1361" t="n"/>
      <c r="BU1103" s="1361" t="n"/>
      <c r="BV1103" s="1361" t="n"/>
      <c r="BW1103" s="1361" t="n"/>
      <c r="BX1103" s="1379">
        <f>SUM(BT1103,BU1103,BV1103,BW1103)</f>
        <v/>
      </c>
      <c r="BY1103" s="1379" t="n"/>
      <c r="BZ1103" s="1379" t="n"/>
      <c r="CA1103" s="1379" t="n"/>
      <c r="CB1103" s="1364" t="n"/>
    </row>
    <row r="1104" ht="14.4" customFormat="1" customHeight="1" s="1359">
      <c r="A1104" s="1474">
        <f>A1026</f>
        <v/>
      </c>
      <c r="B1104" s="1512" t="n"/>
      <c r="C1104" s="1379">
        <f>C1026</f>
        <v/>
      </c>
      <c r="D1104" s="1379">
        <f>D1026</f>
        <v/>
      </c>
      <c r="E1104" s="1379">
        <f>E1026</f>
        <v/>
      </c>
      <c r="F1104" s="1379">
        <f>F1026</f>
        <v/>
      </c>
      <c r="G1104" s="1361">
        <f>G1026</f>
        <v/>
      </c>
      <c r="H1104" s="1361">
        <f>H1026-G1026</f>
        <v/>
      </c>
      <c r="I1104" s="1361">
        <f>I1026-H1026</f>
        <v/>
      </c>
      <c r="J1104" s="1361">
        <f>J1026-I1026</f>
        <v/>
      </c>
      <c r="K1104" s="1379">
        <f>K1026</f>
        <v/>
      </c>
      <c r="L1104" s="1361">
        <f>L1026</f>
        <v/>
      </c>
      <c r="M1104" s="1361">
        <f>M1026-L1026</f>
        <v/>
      </c>
      <c r="N1104" s="1361">
        <f>N1026-M1026</f>
        <v/>
      </c>
      <c r="O1104" s="1361">
        <f>O1026-N1026</f>
        <v/>
      </c>
      <c r="P1104" s="1379">
        <f>P1026</f>
        <v/>
      </c>
      <c r="Q1104" s="1361">
        <f>Q1026</f>
        <v/>
      </c>
      <c r="R1104" s="1361">
        <f>R1026-Q1026</f>
        <v/>
      </c>
      <c r="S1104" s="1361">
        <f>S1026-R1026</f>
        <v/>
      </c>
      <c r="T1104" s="1361">
        <f>T1026-S1026</f>
        <v/>
      </c>
      <c r="U1104" s="1379">
        <f>U1026</f>
        <v/>
      </c>
      <c r="V1104" s="1361">
        <f>V1026</f>
        <v/>
      </c>
      <c r="W1104" s="1361">
        <f>W1026-V1026</f>
        <v/>
      </c>
      <c r="X1104" s="1361">
        <f>X1026-W1026</f>
        <v/>
      </c>
      <c r="Y1104" s="1361">
        <f>Y1026-X1026</f>
        <v/>
      </c>
      <c r="Z1104" s="1379">
        <f>Z1026</f>
        <v/>
      </c>
      <c r="AA1104" s="1361">
        <f>AA1026</f>
        <v/>
      </c>
      <c r="AB1104" s="1361">
        <f>AB1026-AA1026</f>
        <v/>
      </c>
      <c r="AC1104" s="1361">
        <f>AC1026-AB1026</f>
        <v/>
      </c>
      <c r="AD1104" s="1361">
        <f>AD1026-AC1026</f>
        <v/>
      </c>
      <c r="AE1104" s="1379">
        <f>AE1026</f>
        <v/>
      </c>
      <c r="AF1104" s="1361">
        <f>AF1026</f>
        <v/>
      </c>
      <c r="AG1104" s="1361">
        <f>AG1026-AF1026</f>
        <v/>
      </c>
      <c r="AH1104" s="1361">
        <f>AH1026-AG1026</f>
        <v/>
      </c>
      <c r="AI1104" s="1361">
        <f>AI1026-AH1026</f>
        <v/>
      </c>
      <c r="AJ1104" s="1379">
        <f>AJ1026</f>
        <v/>
      </c>
      <c r="AK1104" s="1361">
        <f>AK1026</f>
        <v/>
      </c>
      <c r="AL1104" s="1361">
        <f>AL1026-AK1026</f>
        <v/>
      </c>
      <c r="AM1104" s="1361">
        <f>AM1026-AL1026</f>
        <v/>
      </c>
      <c r="AN1104" s="1361">
        <f>AN1026-AM1026</f>
        <v/>
      </c>
      <c r="AO1104" s="1379">
        <f>AO1026</f>
        <v/>
      </c>
      <c r="AP1104" s="1361">
        <f>AP1026</f>
        <v/>
      </c>
      <c r="AQ1104" s="1361">
        <f>AQ1026-AP1026</f>
        <v/>
      </c>
      <c r="AR1104" s="1361">
        <f>AR1026-AQ1026</f>
        <v/>
      </c>
      <c r="AS1104" s="1361">
        <f>AS1026-AR1026</f>
        <v/>
      </c>
      <c r="AT1104" s="1379">
        <f>AT1026</f>
        <v/>
      </c>
      <c r="AU1104" s="1361">
        <f>AU1026</f>
        <v/>
      </c>
      <c r="AV1104" s="1361">
        <f>AV1026-AU1026</f>
        <v/>
      </c>
      <c r="AW1104" s="1361">
        <f>AW1026-AV1026</f>
        <v/>
      </c>
      <c r="AX1104" s="1361">
        <f>AX1026-AW1026</f>
        <v/>
      </c>
      <c r="AY1104" s="1379">
        <f>AY1026</f>
        <v/>
      </c>
      <c r="AZ1104" s="1361">
        <f>AZ1026</f>
        <v/>
      </c>
      <c r="BA1104" s="1361">
        <f>BA1026-AZ1026</f>
        <v/>
      </c>
      <c r="BB1104" s="1361">
        <f>BB1026-BA1026</f>
        <v/>
      </c>
      <c r="BC1104" s="1361">
        <f>BC1026-BB1026</f>
        <v/>
      </c>
      <c r="BD1104" s="1379">
        <f>BD1026</f>
        <v/>
      </c>
      <c r="BE1104" s="1361">
        <f>BE1026</f>
        <v/>
      </c>
      <c r="BF1104" s="1361">
        <f>BF1026-BE1026</f>
        <v/>
      </c>
      <c r="BG1104" s="1361">
        <f>BG1026-BF1026</f>
        <v/>
      </c>
      <c r="BH1104" s="1361">
        <f>BH1026-BG1026</f>
        <v/>
      </c>
      <c r="BI1104" s="1379">
        <f>BI1026</f>
        <v/>
      </c>
      <c r="BJ1104" s="1361">
        <f>BJ1026</f>
        <v/>
      </c>
      <c r="BK1104" s="1361">
        <f>BK1026-BJ1026</f>
        <v/>
      </c>
      <c r="BL1104" s="1361">
        <f>BL1026-BK1026</f>
        <v/>
      </c>
      <c r="BM1104" s="1361">
        <f>BM1026-BL1026</f>
        <v/>
      </c>
      <c r="BN1104" s="1379">
        <f>BN1026</f>
        <v/>
      </c>
      <c r="BO1104" s="1361">
        <f>BO1026</f>
        <v/>
      </c>
      <c r="BP1104" s="1361">
        <f>BP1026-BO1026</f>
        <v/>
      </c>
      <c r="BQ1104" s="1363">
        <f>BQ1026-BP1026</f>
        <v/>
      </c>
      <c r="BR1104" s="1361" t="n"/>
      <c r="BS1104" s="1379">
        <f>SUM(BO1104,BP1104,BQ1104,BR1104)</f>
        <v/>
      </c>
      <c r="BT1104" s="1361" t="n"/>
      <c r="BU1104" s="1361" t="n"/>
      <c r="BV1104" s="1361" t="n"/>
      <c r="BW1104" s="1361" t="n"/>
      <c r="BX1104" s="1379">
        <f>SUM(BT1104,BU1104,BV1104,BW1104)</f>
        <v/>
      </c>
      <c r="BY1104" s="1379" t="n"/>
      <c r="BZ1104" s="1379" t="n"/>
      <c r="CA1104" s="1379" t="n"/>
      <c r="CB1104" s="1364" t="n"/>
    </row>
    <row r="1105" ht="14.4" customFormat="1" customHeight="1" s="1359">
      <c r="A1105" s="1474">
        <f>A1027</f>
        <v/>
      </c>
      <c r="B1105" s="1512" t="n"/>
      <c r="C1105" s="1379">
        <f>C1027</f>
        <v/>
      </c>
      <c r="D1105" s="1379">
        <f>D1027</f>
        <v/>
      </c>
      <c r="E1105" s="1379">
        <f>E1027</f>
        <v/>
      </c>
      <c r="F1105" s="1379">
        <f>F1027</f>
        <v/>
      </c>
      <c r="G1105" s="1361">
        <f>G1027</f>
        <v/>
      </c>
      <c r="H1105" s="1361">
        <f>H1027-G1027</f>
        <v/>
      </c>
      <c r="I1105" s="1361">
        <f>I1027-H1027</f>
        <v/>
      </c>
      <c r="J1105" s="1361">
        <f>J1027-I1027</f>
        <v/>
      </c>
      <c r="K1105" s="1379">
        <f>K1027</f>
        <v/>
      </c>
      <c r="L1105" s="1361">
        <f>L1027</f>
        <v/>
      </c>
      <c r="M1105" s="1361">
        <f>M1027-L1027</f>
        <v/>
      </c>
      <c r="N1105" s="1361">
        <f>N1027-M1027</f>
        <v/>
      </c>
      <c r="O1105" s="1361">
        <f>O1027-N1027</f>
        <v/>
      </c>
      <c r="P1105" s="1379">
        <f>P1027</f>
        <v/>
      </c>
      <c r="Q1105" s="1361">
        <f>Q1027</f>
        <v/>
      </c>
      <c r="R1105" s="1361">
        <f>R1027-Q1027</f>
        <v/>
      </c>
      <c r="S1105" s="1361">
        <f>S1027-R1027</f>
        <v/>
      </c>
      <c r="T1105" s="1361">
        <f>T1027-S1027</f>
        <v/>
      </c>
      <c r="U1105" s="1379">
        <f>U1027</f>
        <v/>
      </c>
      <c r="V1105" s="1361">
        <f>V1027</f>
        <v/>
      </c>
      <c r="W1105" s="1361">
        <f>W1027-V1027</f>
        <v/>
      </c>
      <c r="X1105" s="1361">
        <f>X1027-W1027</f>
        <v/>
      </c>
      <c r="Y1105" s="1361">
        <f>Y1027-X1027</f>
        <v/>
      </c>
      <c r="Z1105" s="1379">
        <f>Z1027</f>
        <v/>
      </c>
      <c r="AA1105" s="1361">
        <f>AA1027</f>
        <v/>
      </c>
      <c r="AB1105" s="1361">
        <f>AB1027-AA1027</f>
        <v/>
      </c>
      <c r="AC1105" s="1361">
        <f>AC1027-AB1027</f>
        <v/>
      </c>
      <c r="AD1105" s="1361">
        <f>AD1027-AC1027</f>
        <v/>
      </c>
      <c r="AE1105" s="1379">
        <f>AE1027</f>
        <v/>
      </c>
      <c r="AF1105" s="1361">
        <f>AF1027</f>
        <v/>
      </c>
      <c r="AG1105" s="1361">
        <f>AG1027-AF1027</f>
        <v/>
      </c>
      <c r="AH1105" s="1361">
        <f>AH1027-AG1027</f>
        <v/>
      </c>
      <c r="AI1105" s="1361">
        <f>AI1027-AH1027</f>
        <v/>
      </c>
      <c r="AJ1105" s="1379">
        <f>AJ1027</f>
        <v/>
      </c>
      <c r="AK1105" s="1361">
        <f>AK1027</f>
        <v/>
      </c>
      <c r="AL1105" s="1361">
        <f>AL1027-AK1027</f>
        <v/>
      </c>
      <c r="AM1105" s="1361">
        <f>AM1027-AL1027</f>
        <v/>
      </c>
      <c r="AN1105" s="1361">
        <f>AN1027-AM1027</f>
        <v/>
      </c>
      <c r="AO1105" s="1379">
        <f>AO1027</f>
        <v/>
      </c>
      <c r="AP1105" s="1361">
        <f>AP1027</f>
        <v/>
      </c>
      <c r="AQ1105" s="1361">
        <f>AQ1027-AP1027</f>
        <v/>
      </c>
      <c r="AR1105" s="1361">
        <f>AR1027-AQ1027</f>
        <v/>
      </c>
      <c r="AS1105" s="1361">
        <f>AS1027-AR1027</f>
        <v/>
      </c>
      <c r="AT1105" s="1379">
        <f>AT1027</f>
        <v/>
      </c>
      <c r="AU1105" s="1361">
        <f>AU1027</f>
        <v/>
      </c>
      <c r="AV1105" s="1361">
        <f>AV1027-AU1027</f>
        <v/>
      </c>
      <c r="AW1105" s="1361">
        <f>AW1027-AV1027</f>
        <v/>
      </c>
      <c r="AX1105" s="1361">
        <f>AX1027-AW1027</f>
        <v/>
      </c>
      <c r="AY1105" s="1379">
        <f>AY1027</f>
        <v/>
      </c>
      <c r="AZ1105" s="1361">
        <f>AZ1027</f>
        <v/>
      </c>
      <c r="BA1105" s="1361">
        <f>BA1027-AZ1027</f>
        <v/>
      </c>
      <c r="BB1105" s="1361">
        <f>BB1027-BA1027</f>
        <v/>
      </c>
      <c r="BC1105" s="1361">
        <f>BC1027-BB1027</f>
        <v/>
      </c>
      <c r="BD1105" s="1379">
        <f>BD1027</f>
        <v/>
      </c>
      <c r="BE1105" s="1361">
        <f>BE1027</f>
        <v/>
      </c>
      <c r="BF1105" s="1361">
        <f>BF1027-BE1027</f>
        <v/>
      </c>
      <c r="BG1105" s="1361">
        <f>BG1027-BF1027</f>
        <v/>
      </c>
      <c r="BH1105" s="1361">
        <f>BH1027-BG1027</f>
        <v/>
      </c>
      <c r="BI1105" s="1379">
        <f>BI1027</f>
        <v/>
      </c>
      <c r="BJ1105" s="1361">
        <f>BJ1027</f>
        <v/>
      </c>
      <c r="BK1105" s="1361">
        <f>BK1027-BJ1027</f>
        <v/>
      </c>
      <c r="BL1105" s="1361">
        <f>BL1027-BK1027</f>
        <v/>
      </c>
      <c r="BM1105" s="1361">
        <f>BM1027-BL1027</f>
        <v/>
      </c>
      <c r="BN1105" s="1379">
        <f>BN1027</f>
        <v/>
      </c>
      <c r="BO1105" s="1361">
        <f>BO1027</f>
        <v/>
      </c>
      <c r="BP1105" s="1361">
        <f>BP1027-BO1027</f>
        <v/>
      </c>
      <c r="BQ1105" s="1363">
        <f>BQ1027-BP1027</f>
        <v/>
      </c>
      <c r="BR1105" s="1361">
        <f>BQ1210-BR1210</f>
        <v/>
      </c>
      <c r="BS1105" s="1379">
        <f>SUM(BO1105,BP1105,BQ1105,BR1105)</f>
        <v/>
      </c>
      <c r="BT1105" s="1361">
        <f>BS1210-BT1210</f>
        <v/>
      </c>
      <c r="BU1105" s="1361">
        <f>BT1210-BU1210</f>
        <v/>
      </c>
      <c r="BV1105" s="1361">
        <f>BU1210-BV1210</f>
        <v/>
      </c>
      <c r="BW1105" s="1361">
        <f>BV1210-BW1210</f>
        <v/>
      </c>
      <c r="BX1105" s="1379">
        <f>SUM(BT1105,BU1105,BV1105,BW1105)</f>
        <v/>
      </c>
      <c r="BY1105" s="1379">
        <f>BX1210-BY1210</f>
        <v/>
      </c>
      <c r="BZ1105" s="1379">
        <f>BY1210-BZ1210</f>
        <v/>
      </c>
      <c r="CA1105" s="1379">
        <f>BZ1210-CA1210</f>
        <v/>
      </c>
      <c r="CB1105" s="1364" t="n"/>
    </row>
    <row r="1106" ht="14.4" customFormat="1" customHeight="1" s="1359">
      <c r="A1106" s="1474">
        <f>A1028</f>
        <v/>
      </c>
      <c r="B1106" s="1512" t="n"/>
      <c r="C1106" s="1379">
        <f>C1028</f>
        <v/>
      </c>
      <c r="D1106" s="1379">
        <f>D1028</f>
        <v/>
      </c>
      <c r="E1106" s="1379">
        <f>E1028</f>
        <v/>
      </c>
      <c r="F1106" s="1379">
        <f>F1028</f>
        <v/>
      </c>
      <c r="G1106" s="1361">
        <f>G1028</f>
        <v/>
      </c>
      <c r="H1106" s="1361">
        <f>H1028-G1028</f>
        <v/>
      </c>
      <c r="I1106" s="1361">
        <f>I1028-H1028</f>
        <v/>
      </c>
      <c r="J1106" s="1361">
        <f>J1028-I1028</f>
        <v/>
      </c>
      <c r="K1106" s="1379">
        <f>K1028</f>
        <v/>
      </c>
      <c r="L1106" s="1361">
        <f>L1028</f>
        <v/>
      </c>
      <c r="M1106" s="1361">
        <f>M1028-L1028</f>
        <v/>
      </c>
      <c r="N1106" s="1361">
        <f>N1028-M1028</f>
        <v/>
      </c>
      <c r="O1106" s="1361">
        <f>O1028-N1028</f>
        <v/>
      </c>
      <c r="P1106" s="1379">
        <f>P1028</f>
        <v/>
      </c>
      <c r="Q1106" s="1361">
        <f>Q1028</f>
        <v/>
      </c>
      <c r="R1106" s="1361">
        <f>R1028-Q1028</f>
        <v/>
      </c>
      <c r="S1106" s="1361">
        <f>S1028-R1028</f>
        <v/>
      </c>
      <c r="T1106" s="1361">
        <f>T1028-S1028</f>
        <v/>
      </c>
      <c r="U1106" s="1379">
        <f>U1028</f>
        <v/>
      </c>
      <c r="V1106" s="1361">
        <f>V1028</f>
        <v/>
      </c>
      <c r="W1106" s="1361">
        <f>W1028-V1028</f>
        <v/>
      </c>
      <c r="X1106" s="1361">
        <f>X1028-W1028</f>
        <v/>
      </c>
      <c r="Y1106" s="1361">
        <f>Y1028-X1028</f>
        <v/>
      </c>
      <c r="Z1106" s="1379">
        <f>Z1028</f>
        <v/>
      </c>
      <c r="AA1106" s="1361">
        <f>AA1028</f>
        <v/>
      </c>
      <c r="AB1106" s="1361">
        <f>AB1028-AA1028</f>
        <v/>
      </c>
      <c r="AC1106" s="1361">
        <f>AC1028-AB1028</f>
        <v/>
      </c>
      <c r="AD1106" s="1361">
        <f>AD1028-AC1028</f>
        <v/>
      </c>
      <c r="AE1106" s="1379">
        <f>AE1028</f>
        <v/>
      </c>
      <c r="AF1106" s="1361">
        <f>AF1028</f>
        <v/>
      </c>
      <c r="AG1106" s="1361">
        <f>AG1028-AF1028</f>
        <v/>
      </c>
      <c r="AH1106" s="1361">
        <f>AH1028-AG1028</f>
        <v/>
      </c>
      <c r="AI1106" s="1361">
        <f>AI1028-AH1028</f>
        <v/>
      </c>
      <c r="AJ1106" s="1379">
        <f>AJ1028</f>
        <v/>
      </c>
      <c r="AK1106" s="1361">
        <f>AK1028</f>
        <v/>
      </c>
      <c r="AL1106" s="1361">
        <f>AL1028-AK1028</f>
        <v/>
      </c>
      <c r="AM1106" s="1361">
        <f>AM1028-AL1028</f>
        <v/>
      </c>
      <c r="AN1106" s="1361">
        <f>AN1028-AM1028</f>
        <v/>
      </c>
      <c r="AO1106" s="1379">
        <f>AO1028</f>
        <v/>
      </c>
      <c r="AP1106" s="1361">
        <f>AP1028</f>
        <v/>
      </c>
      <c r="AQ1106" s="1361">
        <f>AQ1028-AP1028</f>
        <v/>
      </c>
      <c r="AR1106" s="1361">
        <f>AR1028-AQ1028</f>
        <v/>
      </c>
      <c r="AS1106" s="1361">
        <f>AS1028-AR1028</f>
        <v/>
      </c>
      <c r="AT1106" s="1379">
        <f>AT1028</f>
        <v/>
      </c>
      <c r="AU1106" s="1361">
        <f>AU1028</f>
        <v/>
      </c>
      <c r="AV1106" s="1361">
        <f>AV1028-AU1028</f>
        <v/>
      </c>
      <c r="AW1106" s="1361">
        <f>AW1028-AV1028</f>
        <v/>
      </c>
      <c r="AX1106" s="1361">
        <f>AX1028-AW1028</f>
        <v/>
      </c>
      <c r="AY1106" s="1379">
        <f>AY1028</f>
        <v/>
      </c>
      <c r="AZ1106" s="1361">
        <f>AZ1028</f>
        <v/>
      </c>
      <c r="BA1106" s="1361">
        <f>BA1028-AZ1028</f>
        <v/>
      </c>
      <c r="BB1106" s="1361">
        <f>BB1028-BA1028</f>
        <v/>
      </c>
      <c r="BC1106" s="1361">
        <f>BC1028-BB1028</f>
        <v/>
      </c>
      <c r="BD1106" s="1379">
        <f>BD1028</f>
        <v/>
      </c>
      <c r="BE1106" s="1361">
        <f>BE1028</f>
        <v/>
      </c>
      <c r="BF1106" s="1361">
        <f>BF1028-BE1028</f>
        <v/>
      </c>
      <c r="BG1106" s="1361">
        <f>BG1028-BF1028</f>
        <v/>
      </c>
      <c r="BH1106" s="1361">
        <f>BH1028-BG1028</f>
        <v/>
      </c>
      <c r="BI1106" s="1379">
        <f>BI1028</f>
        <v/>
      </c>
      <c r="BJ1106" s="1361">
        <f>BJ1028</f>
        <v/>
      </c>
      <c r="BK1106" s="1361">
        <f>BK1028-BJ1028</f>
        <v/>
      </c>
      <c r="BL1106" s="1361">
        <f>BL1028-BK1028</f>
        <v/>
      </c>
      <c r="BM1106" s="1361">
        <f>BM1028-BL1028</f>
        <v/>
      </c>
      <c r="BN1106" s="1379">
        <f>BN1028</f>
        <v/>
      </c>
      <c r="BO1106" s="1361">
        <f>BO1028</f>
        <v/>
      </c>
      <c r="BP1106" s="1361">
        <f>BP1028-BO1028</f>
        <v/>
      </c>
      <c r="BQ1106" s="1363">
        <f>BQ1028-BP1028</f>
        <v/>
      </c>
      <c r="BR1106" s="1361" t="n"/>
      <c r="BS1106" s="1379">
        <f>SUM(BO1106,BP1106,BQ1106,BR1106)</f>
        <v/>
      </c>
      <c r="BT1106" s="1361" t="n"/>
      <c r="BU1106" s="1361" t="n"/>
      <c r="BV1106" s="1361" t="n"/>
      <c r="BW1106" s="1361" t="n"/>
      <c r="BX1106" s="1379">
        <f>SUM(BT1106,BU1106,BV1106,BW1106)</f>
        <v/>
      </c>
      <c r="BY1106" s="1379" t="n"/>
      <c r="BZ1106" s="1379" t="n"/>
      <c r="CA1106" s="1379" t="n"/>
      <c r="CB1106" s="1364" t="n"/>
    </row>
    <row r="1107" ht="14.4" customFormat="1" customHeight="1" s="1359">
      <c r="A1107" s="1474">
        <f>A1029</f>
        <v/>
      </c>
      <c r="B1107" s="1512" t="n"/>
      <c r="C1107" s="1379">
        <f>C1029</f>
        <v/>
      </c>
      <c r="D1107" s="1379">
        <f>D1029</f>
        <v/>
      </c>
      <c r="E1107" s="1379">
        <f>E1029</f>
        <v/>
      </c>
      <c r="F1107" s="1379">
        <f>F1029</f>
        <v/>
      </c>
      <c r="G1107" s="1361">
        <f>G1029</f>
        <v/>
      </c>
      <c r="H1107" s="1361">
        <f>H1029-G1029</f>
        <v/>
      </c>
      <c r="I1107" s="1361">
        <f>I1029-H1029</f>
        <v/>
      </c>
      <c r="J1107" s="1361">
        <f>J1029-I1029</f>
        <v/>
      </c>
      <c r="K1107" s="1379">
        <f>K1029</f>
        <v/>
      </c>
      <c r="L1107" s="1361">
        <f>L1029</f>
        <v/>
      </c>
      <c r="M1107" s="1361">
        <f>M1029-L1029</f>
        <v/>
      </c>
      <c r="N1107" s="1361">
        <f>N1029-M1029</f>
        <v/>
      </c>
      <c r="O1107" s="1361">
        <f>O1029-N1029</f>
        <v/>
      </c>
      <c r="P1107" s="1379">
        <f>P1029</f>
        <v/>
      </c>
      <c r="Q1107" s="1361">
        <f>Q1029</f>
        <v/>
      </c>
      <c r="R1107" s="1361">
        <f>R1029-Q1029</f>
        <v/>
      </c>
      <c r="S1107" s="1361">
        <f>S1029-R1029</f>
        <v/>
      </c>
      <c r="T1107" s="1361">
        <f>T1029-S1029</f>
        <v/>
      </c>
      <c r="U1107" s="1379">
        <f>U1029</f>
        <v/>
      </c>
      <c r="V1107" s="1361">
        <f>V1029</f>
        <v/>
      </c>
      <c r="W1107" s="1361">
        <f>W1029-V1029</f>
        <v/>
      </c>
      <c r="X1107" s="1361">
        <f>X1029-W1029</f>
        <v/>
      </c>
      <c r="Y1107" s="1361">
        <f>Y1029-X1029</f>
        <v/>
      </c>
      <c r="Z1107" s="1379">
        <f>Z1029</f>
        <v/>
      </c>
      <c r="AA1107" s="1361">
        <f>AA1029</f>
        <v/>
      </c>
      <c r="AB1107" s="1361">
        <f>AB1029-AA1029</f>
        <v/>
      </c>
      <c r="AC1107" s="1361">
        <f>AC1029-AB1029</f>
        <v/>
      </c>
      <c r="AD1107" s="1361">
        <f>AD1029-AC1029</f>
        <v/>
      </c>
      <c r="AE1107" s="1379">
        <f>AE1029</f>
        <v/>
      </c>
      <c r="AF1107" s="1361">
        <f>AF1029</f>
        <v/>
      </c>
      <c r="AG1107" s="1361">
        <f>AG1029-AF1029</f>
        <v/>
      </c>
      <c r="AH1107" s="1361">
        <f>AH1029-AG1029</f>
        <v/>
      </c>
      <c r="AI1107" s="1361">
        <f>AI1029-AH1029</f>
        <v/>
      </c>
      <c r="AJ1107" s="1379">
        <f>AJ1029</f>
        <v/>
      </c>
      <c r="AK1107" s="1361">
        <f>AK1029</f>
        <v/>
      </c>
      <c r="AL1107" s="1361">
        <f>AL1029-AK1029</f>
        <v/>
      </c>
      <c r="AM1107" s="1361">
        <f>AM1029-AL1029</f>
        <v/>
      </c>
      <c r="AN1107" s="1361">
        <f>AN1029-AM1029</f>
        <v/>
      </c>
      <c r="AO1107" s="1379">
        <f>AO1029</f>
        <v/>
      </c>
      <c r="AP1107" s="1361">
        <f>AP1029</f>
        <v/>
      </c>
      <c r="AQ1107" s="1361">
        <f>AQ1029-AP1029</f>
        <v/>
      </c>
      <c r="AR1107" s="1361">
        <f>AR1029-AQ1029</f>
        <v/>
      </c>
      <c r="AS1107" s="1361">
        <f>AS1029-AR1029</f>
        <v/>
      </c>
      <c r="AT1107" s="1379">
        <f>AT1029</f>
        <v/>
      </c>
      <c r="AU1107" s="1361">
        <f>AU1029</f>
        <v/>
      </c>
      <c r="AV1107" s="1361">
        <f>AV1029-AU1029</f>
        <v/>
      </c>
      <c r="AW1107" s="1361">
        <f>AW1029-AV1029</f>
        <v/>
      </c>
      <c r="AX1107" s="1361">
        <f>AX1029-AW1029</f>
        <v/>
      </c>
      <c r="AY1107" s="1379">
        <f>AY1029</f>
        <v/>
      </c>
      <c r="AZ1107" s="1361">
        <f>AZ1029</f>
        <v/>
      </c>
      <c r="BA1107" s="1361">
        <f>BA1029-AZ1029</f>
        <v/>
      </c>
      <c r="BB1107" s="1361">
        <f>BB1029-BA1029</f>
        <v/>
      </c>
      <c r="BC1107" s="1361">
        <f>BC1029-BB1029</f>
        <v/>
      </c>
      <c r="BD1107" s="1379">
        <f>BD1029</f>
        <v/>
      </c>
      <c r="BE1107" s="1361">
        <f>BE1029</f>
        <v/>
      </c>
      <c r="BF1107" s="1361">
        <f>BF1029-BE1029</f>
        <v/>
      </c>
      <c r="BG1107" s="1361">
        <f>BG1029-BF1029</f>
        <v/>
      </c>
      <c r="BH1107" s="1361">
        <f>BH1029-BG1029</f>
        <v/>
      </c>
      <c r="BI1107" s="1379">
        <f>BI1029</f>
        <v/>
      </c>
      <c r="BJ1107" s="1361">
        <f>BJ1029</f>
        <v/>
      </c>
      <c r="BK1107" s="1361">
        <f>BK1029-BJ1029</f>
        <v/>
      </c>
      <c r="BL1107" s="1361">
        <f>BL1029-BK1029</f>
        <v/>
      </c>
      <c r="BM1107" s="1361">
        <f>BM1029-BL1029</f>
        <v/>
      </c>
      <c r="BN1107" s="1379">
        <f>BN1029</f>
        <v/>
      </c>
      <c r="BO1107" s="1361">
        <f>BO1029</f>
        <v/>
      </c>
      <c r="BP1107" s="1361">
        <f>BP1029-BO1029</f>
        <v/>
      </c>
      <c r="BQ1107" s="1363">
        <f>BQ1029-BP1029</f>
        <v/>
      </c>
      <c r="BR1107" s="1361">
        <f>BR1230-BQ1230</f>
        <v/>
      </c>
      <c r="BS1107" s="1379">
        <f>SUM(BO1107,BP1107,BQ1107,BR1107)</f>
        <v/>
      </c>
      <c r="BT1107" s="1361">
        <f>BT1230-BS1230</f>
        <v/>
      </c>
      <c r="BU1107" s="1361">
        <f>BU1230-BT1230</f>
        <v/>
      </c>
      <c r="BV1107" s="1361">
        <f>BV1230-BU1230</f>
        <v/>
      </c>
      <c r="BW1107" s="1361">
        <f>BW1230-BV1230</f>
        <v/>
      </c>
      <c r="BX1107" s="1379">
        <f>SUM(BT1107,BU1107,BV1107,BW1107)</f>
        <v/>
      </c>
      <c r="BY1107" s="1379">
        <f>BY1230-BX1230</f>
        <v/>
      </c>
      <c r="BZ1107" s="1379">
        <f>BZ1230-BY1230</f>
        <v/>
      </c>
      <c r="CA1107" s="1379">
        <f>CA1230-BZ1230</f>
        <v/>
      </c>
      <c r="CB1107" s="1364" t="n"/>
    </row>
    <row r="1108" ht="14.4" customFormat="1" customHeight="1" s="1359">
      <c r="A1108" s="1474">
        <f>A1030</f>
        <v/>
      </c>
      <c r="B1108" s="1512" t="n"/>
      <c r="C1108" s="1379">
        <f>C1030</f>
        <v/>
      </c>
      <c r="D1108" s="1379">
        <f>D1030</f>
        <v/>
      </c>
      <c r="E1108" s="1379">
        <f>E1030</f>
        <v/>
      </c>
      <c r="F1108" s="1379">
        <f>F1030</f>
        <v/>
      </c>
      <c r="G1108" s="1361">
        <f>G1030</f>
        <v/>
      </c>
      <c r="H1108" s="1361">
        <f>H1030-G1030</f>
        <v/>
      </c>
      <c r="I1108" s="1361">
        <f>I1030-H1030</f>
        <v/>
      </c>
      <c r="J1108" s="1361">
        <f>J1030-I1030</f>
        <v/>
      </c>
      <c r="K1108" s="1379">
        <f>K1030</f>
        <v/>
      </c>
      <c r="L1108" s="1361">
        <f>L1030</f>
        <v/>
      </c>
      <c r="M1108" s="1361">
        <f>M1030-L1030</f>
        <v/>
      </c>
      <c r="N1108" s="1361">
        <f>N1030-M1030</f>
        <v/>
      </c>
      <c r="O1108" s="1361">
        <f>O1030-N1030</f>
        <v/>
      </c>
      <c r="P1108" s="1379">
        <f>P1030</f>
        <v/>
      </c>
      <c r="Q1108" s="1361">
        <f>Q1030</f>
        <v/>
      </c>
      <c r="R1108" s="1361">
        <f>R1030-Q1030</f>
        <v/>
      </c>
      <c r="S1108" s="1361">
        <f>S1030-R1030</f>
        <v/>
      </c>
      <c r="T1108" s="1361">
        <f>T1030-S1030</f>
        <v/>
      </c>
      <c r="U1108" s="1379">
        <f>U1030</f>
        <v/>
      </c>
      <c r="V1108" s="1361">
        <f>V1030</f>
        <v/>
      </c>
      <c r="W1108" s="1361">
        <f>W1030-V1030</f>
        <v/>
      </c>
      <c r="X1108" s="1361">
        <f>X1030-W1030</f>
        <v/>
      </c>
      <c r="Y1108" s="1361">
        <f>Y1030-X1030</f>
        <v/>
      </c>
      <c r="Z1108" s="1379">
        <f>Z1030</f>
        <v/>
      </c>
      <c r="AA1108" s="1361">
        <f>AA1030</f>
        <v/>
      </c>
      <c r="AB1108" s="1361">
        <f>AB1030-AA1030</f>
        <v/>
      </c>
      <c r="AC1108" s="1361">
        <f>AC1030-AB1030</f>
        <v/>
      </c>
      <c r="AD1108" s="1361">
        <f>AD1030-AC1030</f>
        <v/>
      </c>
      <c r="AE1108" s="1379">
        <f>AE1030</f>
        <v/>
      </c>
      <c r="AF1108" s="1361">
        <f>AF1030</f>
        <v/>
      </c>
      <c r="AG1108" s="1361">
        <f>AG1030-AF1030</f>
        <v/>
      </c>
      <c r="AH1108" s="1361">
        <f>AH1030-AG1030</f>
        <v/>
      </c>
      <c r="AI1108" s="1361">
        <f>AI1030-AH1030</f>
        <v/>
      </c>
      <c r="AJ1108" s="1379">
        <f>AJ1030</f>
        <v/>
      </c>
      <c r="AK1108" s="1361">
        <f>AK1030</f>
        <v/>
      </c>
      <c r="AL1108" s="1361">
        <f>AL1030-AK1030</f>
        <v/>
      </c>
      <c r="AM1108" s="1361">
        <f>AM1030-AL1030</f>
        <v/>
      </c>
      <c r="AN1108" s="1361">
        <f>AN1030-AM1030</f>
        <v/>
      </c>
      <c r="AO1108" s="1379">
        <f>AO1030</f>
        <v/>
      </c>
      <c r="AP1108" s="1361">
        <f>AP1030</f>
        <v/>
      </c>
      <c r="AQ1108" s="1361">
        <f>AQ1030-AP1030</f>
        <v/>
      </c>
      <c r="AR1108" s="1361">
        <f>AR1030-AQ1030</f>
        <v/>
      </c>
      <c r="AS1108" s="1361">
        <f>AS1030-AR1030</f>
        <v/>
      </c>
      <c r="AT1108" s="1379">
        <f>AT1030</f>
        <v/>
      </c>
      <c r="AU1108" s="1361">
        <f>AU1030</f>
        <v/>
      </c>
      <c r="AV1108" s="1361">
        <f>AV1030-AU1030</f>
        <v/>
      </c>
      <c r="AW1108" s="1361">
        <f>AW1030-AV1030</f>
        <v/>
      </c>
      <c r="AX1108" s="1361">
        <f>AX1030-AW1030</f>
        <v/>
      </c>
      <c r="AY1108" s="1379">
        <f>AY1030</f>
        <v/>
      </c>
      <c r="AZ1108" s="1361">
        <f>AZ1030</f>
        <v/>
      </c>
      <c r="BA1108" s="1361">
        <f>BA1030-AZ1030</f>
        <v/>
      </c>
      <c r="BB1108" s="1361">
        <f>BB1030-BA1030</f>
        <v/>
      </c>
      <c r="BC1108" s="1361">
        <f>BC1030-BB1030</f>
        <v/>
      </c>
      <c r="BD1108" s="1379">
        <f>BD1030</f>
        <v/>
      </c>
      <c r="BE1108" s="1361">
        <f>BE1030</f>
        <v/>
      </c>
      <c r="BF1108" s="1361">
        <f>BF1030-BE1030</f>
        <v/>
      </c>
      <c r="BG1108" s="1361">
        <f>BG1030-BF1030</f>
        <v/>
      </c>
      <c r="BH1108" s="1361">
        <f>BH1030-BG1030</f>
        <v/>
      </c>
      <c r="BI1108" s="1379">
        <f>BI1030</f>
        <v/>
      </c>
      <c r="BJ1108" s="1361">
        <f>BJ1030</f>
        <v/>
      </c>
      <c r="BK1108" s="1361">
        <f>BK1030-BJ1030</f>
        <v/>
      </c>
      <c r="BL1108" s="1361">
        <f>BL1030-BK1030</f>
        <v/>
      </c>
      <c r="BM1108" s="1361">
        <f>BM1030-BL1030</f>
        <v/>
      </c>
      <c r="BN1108" s="1379">
        <f>BN1030</f>
        <v/>
      </c>
      <c r="BO1108" s="1361">
        <f>BO1030</f>
        <v/>
      </c>
      <c r="BP1108" s="1361">
        <f>BP1030-BO1030</f>
        <v/>
      </c>
      <c r="BQ1108" s="1363">
        <f>BQ1030-BP1030</f>
        <v/>
      </c>
      <c r="BR1108" s="1361">
        <f>BR1231-BQ1231</f>
        <v/>
      </c>
      <c r="BS1108" s="1379">
        <f>SUM(BO1108,BP1108,BQ1108,BR1108)</f>
        <v/>
      </c>
      <c r="BT1108" s="1361">
        <f>BT1231-BS1231</f>
        <v/>
      </c>
      <c r="BU1108" s="1361">
        <f>BU1231-BT1231</f>
        <v/>
      </c>
      <c r="BV1108" s="1361">
        <f>BV1231-BU1231</f>
        <v/>
      </c>
      <c r="BW1108" s="1361">
        <f>BW1231-BV1231</f>
        <v/>
      </c>
      <c r="BX1108" s="1379">
        <f>SUM(BT1108,BU1108,BV1108,BW1108)</f>
        <v/>
      </c>
      <c r="BY1108" s="1379">
        <f>BY1231-BX1231</f>
        <v/>
      </c>
      <c r="BZ1108" s="1379">
        <f>BZ1231-BY1231</f>
        <v/>
      </c>
      <c r="CA1108" s="1379">
        <f>CA1231-BZ1231</f>
        <v/>
      </c>
      <c r="CB1108" s="1364" t="n"/>
    </row>
    <row r="1109" ht="14.4" customFormat="1" customHeight="1" s="1359">
      <c r="A1109" s="1453">
        <f>A1031</f>
        <v/>
      </c>
      <c r="B1109" s="1514" t="n"/>
      <c r="C1109" s="1518">
        <f>C1031</f>
        <v/>
      </c>
      <c r="D1109" s="1518">
        <f>D1031</f>
        <v/>
      </c>
      <c r="E1109" s="1518">
        <f>E1031</f>
        <v/>
      </c>
      <c r="F1109" s="1518">
        <f>F1031</f>
        <v/>
      </c>
      <c r="G1109" s="1510">
        <f>G1031</f>
        <v/>
      </c>
      <c r="H1109" s="1510">
        <f>H1031-G1031</f>
        <v/>
      </c>
      <c r="I1109" s="1510">
        <f>I1031-H1031</f>
        <v/>
      </c>
      <c r="J1109" s="1510">
        <f>J1031-I1031</f>
        <v/>
      </c>
      <c r="K1109" s="1518">
        <f>K1031</f>
        <v/>
      </c>
      <c r="L1109" s="1510">
        <f>L1031</f>
        <v/>
      </c>
      <c r="M1109" s="1510">
        <f>M1031-L1031</f>
        <v/>
      </c>
      <c r="N1109" s="1510">
        <f>N1031-M1031</f>
        <v/>
      </c>
      <c r="O1109" s="1510">
        <f>O1031-N1031</f>
        <v/>
      </c>
      <c r="P1109" s="1518">
        <f>P1031</f>
        <v/>
      </c>
      <c r="Q1109" s="1510">
        <f>Q1031</f>
        <v/>
      </c>
      <c r="R1109" s="1510">
        <f>R1031-Q1031</f>
        <v/>
      </c>
      <c r="S1109" s="1510">
        <f>S1031-R1031</f>
        <v/>
      </c>
      <c r="T1109" s="1510">
        <f>T1031-S1031</f>
        <v/>
      </c>
      <c r="U1109" s="1518">
        <f>U1031</f>
        <v/>
      </c>
      <c r="V1109" s="1510">
        <f>V1031</f>
        <v/>
      </c>
      <c r="W1109" s="1510">
        <f>W1031-V1031</f>
        <v/>
      </c>
      <c r="X1109" s="1510">
        <f>X1031-W1031</f>
        <v/>
      </c>
      <c r="Y1109" s="1510">
        <f>Y1031-X1031</f>
        <v/>
      </c>
      <c r="Z1109" s="1518">
        <f>Z1031</f>
        <v/>
      </c>
      <c r="AA1109" s="1510">
        <f>AA1031</f>
        <v/>
      </c>
      <c r="AB1109" s="1510">
        <f>AB1031-AA1031</f>
        <v/>
      </c>
      <c r="AC1109" s="1510">
        <f>AC1031-AB1031</f>
        <v/>
      </c>
      <c r="AD1109" s="1510">
        <f>AD1031-AC1031</f>
        <v/>
      </c>
      <c r="AE1109" s="1518">
        <f>AE1031</f>
        <v/>
      </c>
      <c r="AF1109" s="1510">
        <f>AF1031</f>
        <v/>
      </c>
      <c r="AG1109" s="1510">
        <f>AG1031-AF1031</f>
        <v/>
      </c>
      <c r="AH1109" s="1510">
        <f>AH1031-AG1031</f>
        <v/>
      </c>
      <c r="AI1109" s="1510">
        <f>AI1031-AH1031</f>
        <v/>
      </c>
      <c r="AJ1109" s="1518">
        <f>AJ1031</f>
        <v/>
      </c>
      <c r="AK1109" s="1510">
        <f>AK1031</f>
        <v/>
      </c>
      <c r="AL1109" s="1510">
        <f>AL1031-AK1031</f>
        <v/>
      </c>
      <c r="AM1109" s="1510">
        <f>AM1031-AL1031</f>
        <v/>
      </c>
      <c r="AN1109" s="1510">
        <f>AN1031-AM1031</f>
        <v/>
      </c>
      <c r="AO1109" s="1518">
        <f>AO1031</f>
        <v/>
      </c>
      <c r="AP1109" s="1510">
        <f>AP1031</f>
        <v/>
      </c>
      <c r="AQ1109" s="1510">
        <f>AQ1031-AP1031</f>
        <v/>
      </c>
      <c r="AR1109" s="1510">
        <f>AR1031-AQ1031</f>
        <v/>
      </c>
      <c r="AS1109" s="1510">
        <f>AS1031-AR1031</f>
        <v/>
      </c>
      <c r="AT1109" s="1518">
        <f>AT1031</f>
        <v/>
      </c>
      <c r="AU1109" s="1510">
        <f>AU1031</f>
        <v/>
      </c>
      <c r="AV1109" s="1510">
        <f>AV1031-AU1031</f>
        <v/>
      </c>
      <c r="AW1109" s="1510">
        <f>AW1031-AV1031</f>
        <v/>
      </c>
      <c r="AX1109" s="1510">
        <f>AX1031-AW1031</f>
        <v/>
      </c>
      <c r="AY1109" s="1518">
        <f>AY1031</f>
        <v/>
      </c>
      <c r="AZ1109" s="1510">
        <f>AZ1031</f>
        <v/>
      </c>
      <c r="BA1109" s="1510">
        <f>BA1031-AZ1031</f>
        <v/>
      </c>
      <c r="BB1109" s="1510">
        <f>BB1031-BA1031</f>
        <v/>
      </c>
      <c r="BC1109" s="1510">
        <f>BC1031-BB1031</f>
        <v/>
      </c>
      <c r="BD1109" s="1518">
        <f>BD1031</f>
        <v/>
      </c>
      <c r="BE1109" s="1510">
        <f>BE1031</f>
        <v/>
      </c>
      <c r="BF1109" s="1510">
        <f>BF1031-BE1031</f>
        <v/>
      </c>
      <c r="BG1109" s="1510">
        <f>BG1031-BF1031</f>
        <v/>
      </c>
      <c r="BH1109" s="1510">
        <f>BH1031-BG1031</f>
        <v/>
      </c>
      <c r="BI1109" s="1518">
        <f>BI1031</f>
        <v/>
      </c>
      <c r="BJ1109" s="1510">
        <f>BJ1031</f>
        <v/>
      </c>
      <c r="BK1109" s="1510">
        <f>BK1031-BJ1031</f>
        <v/>
      </c>
      <c r="BL1109" s="1510">
        <f>BL1031-BK1031</f>
        <v/>
      </c>
      <c r="BM1109" s="1510">
        <f>BM1031-BL1031</f>
        <v/>
      </c>
      <c r="BN1109" s="1518">
        <f>BN1031</f>
        <v/>
      </c>
      <c r="BO1109" s="1510">
        <f>BO1031</f>
        <v/>
      </c>
      <c r="BP1109" s="1510">
        <f>BP1031-BO1031</f>
        <v/>
      </c>
      <c r="BQ1109" s="1511">
        <f>BQ1031-BP1031</f>
        <v/>
      </c>
      <c r="BR1109" s="1456" t="n"/>
      <c r="BS1109" s="1455">
        <f>SUM(BO1109,BP1109,BQ1109,BR1109)</f>
        <v/>
      </c>
      <c r="BT1109" s="1456" t="n"/>
      <c r="BU1109" s="1456" t="n"/>
      <c r="BV1109" s="1456" t="n"/>
      <c r="BW1109" s="1456" t="n"/>
      <c r="BX1109" s="1455">
        <f>SUM(BT1109,BU1109,BV1109,BW1109)</f>
        <v/>
      </c>
      <c r="BY1109" s="1455" t="n"/>
      <c r="BZ1109" s="1455" t="n"/>
      <c r="CA1109" s="1455" t="n"/>
      <c r="CB1109" s="1364" t="n"/>
    </row>
    <row r="1110" ht="14.4" customFormat="1" customHeight="1" s="1372">
      <c r="A1110" s="1400">
        <f>A1032</f>
        <v/>
      </c>
      <c r="B1110" s="1516" t="n"/>
      <c r="C1110" s="1402">
        <f>SUM(C1101:C1109)</f>
        <v/>
      </c>
      <c r="D1110" s="1402">
        <f>SUM(D1101:D1109)</f>
        <v/>
      </c>
      <c r="E1110" s="1402">
        <f>SUM(E1101:E1109)</f>
        <v/>
      </c>
      <c r="F1110" s="1402">
        <f>SUM(F1101:F1109)</f>
        <v/>
      </c>
      <c r="G1110" s="1403">
        <f>SUM(G1101:G1109)</f>
        <v/>
      </c>
      <c r="H1110" s="1403">
        <f>SUM(H1101:H1109)</f>
        <v/>
      </c>
      <c r="I1110" s="1403">
        <f>SUM(I1101:I1109)</f>
        <v/>
      </c>
      <c r="J1110" s="1403">
        <f>SUM(J1101:J1109)</f>
        <v/>
      </c>
      <c r="K1110" s="1402">
        <f>SUM(K1101:K1109)</f>
        <v/>
      </c>
      <c r="L1110" s="1403">
        <f>SUM(L1101:L1109)</f>
        <v/>
      </c>
      <c r="M1110" s="1403">
        <f>SUM(M1101:M1109)</f>
        <v/>
      </c>
      <c r="N1110" s="1403">
        <f>SUM(N1101:N1109)</f>
        <v/>
      </c>
      <c r="O1110" s="1403">
        <f>SUM(O1101:O1109)</f>
        <v/>
      </c>
      <c r="P1110" s="1402">
        <f>SUM(P1101:P1109)</f>
        <v/>
      </c>
      <c r="Q1110" s="1403">
        <f>SUM(Q1101:Q1109)</f>
        <v/>
      </c>
      <c r="R1110" s="1403">
        <f>SUM(R1101:R1109)</f>
        <v/>
      </c>
      <c r="S1110" s="1403">
        <f>SUM(S1101:S1109)</f>
        <v/>
      </c>
      <c r="T1110" s="1403">
        <f>SUM(T1101:T1109)</f>
        <v/>
      </c>
      <c r="U1110" s="1402">
        <f>SUM(U1101:U1109)</f>
        <v/>
      </c>
      <c r="V1110" s="1403">
        <f>SUM(V1101:V1109)</f>
        <v/>
      </c>
      <c r="W1110" s="1403">
        <f>SUM(W1101:W1109)</f>
        <v/>
      </c>
      <c r="X1110" s="1403">
        <f>SUM(X1101:X1109)</f>
        <v/>
      </c>
      <c r="Y1110" s="1403">
        <f>SUM(Y1101:Y1109)</f>
        <v/>
      </c>
      <c r="Z1110" s="1402">
        <f>SUM(Z1101:Z1109)</f>
        <v/>
      </c>
      <c r="AA1110" s="1403">
        <f>SUM(AA1101:AA1109)</f>
        <v/>
      </c>
      <c r="AB1110" s="1403">
        <f>SUM(AB1101:AB1109)</f>
        <v/>
      </c>
      <c r="AC1110" s="1403">
        <f>SUM(AC1101:AC1109)</f>
        <v/>
      </c>
      <c r="AD1110" s="1403">
        <f>SUM(AD1101:AD1109)</f>
        <v/>
      </c>
      <c r="AE1110" s="1402">
        <f>SUM(AE1101:AE1109)</f>
        <v/>
      </c>
      <c r="AF1110" s="1403">
        <f>SUM(AF1101:AF1109)</f>
        <v/>
      </c>
      <c r="AG1110" s="1403">
        <f>SUM(AG1101:AG1109)</f>
        <v/>
      </c>
      <c r="AH1110" s="1403">
        <f>SUM(AH1101:AH1109)</f>
        <v/>
      </c>
      <c r="AI1110" s="1403">
        <f>SUM(AI1101:AI1109)</f>
        <v/>
      </c>
      <c r="AJ1110" s="1402">
        <f>SUM(AJ1101:AJ1109)</f>
        <v/>
      </c>
      <c r="AK1110" s="1403">
        <f>SUM(AK1101:AK1109)</f>
        <v/>
      </c>
      <c r="AL1110" s="1403">
        <f>SUM(AL1101:AL1109)</f>
        <v/>
      </c>
      <c r="AM1110" s="1403">
        <f>SUM(AM1101:AM1109)</f>
        <v/>
      </c>
      <c r="AN1110" s="1403">
        <f>SUM(AN1101:AN1109)</f>
        <v/>
      </c>
      <c r="AO1110" s="1402">
        <f>SUM(AO1101:AO1109)</f>
        <v/>
      </c>
      <c r="AP1110" s="1403">
        <f>SUM(AP1101:AP1109)</f>
        <v/>
      </c>
      <c r="AQ1110" s="1403">
        <f>SUM(AQ1101:AQ1109)</f>
        <v/>
      </c>
      <c r="AR1110" s="1403">
        <f>SUM(AR1101:AR1109)</f>
        <v/>
      </c>
      <c r="AS1110" s="1403">
        <f>SUM(AS1101:AS1109)</f>
        <v/>
      </c>
      <c r="AT1110" s="1402">
        <f>SUM(AT1101:AT1109)</f>
        <v/>
      </c>
      <c r="AU1110" s="1403">
        <f>SUM(AU1101:AU1109)</f>
        <v/>
      </c>
      <c r="AV1110" s="1403">
        <f>SUM(AV1101:AV1109)</f>
        <v/>
      </c>
      <c r="AW1110" s="1403">
        <f>SUM(AW1101:AW1109)</f>
        <v/>
      </c>
      <c r="AX1110" s="1403">
        <f>SUM(AX1101:AX1109)</f>
        <v/>
      </c>
      <c r="AY1110" s="1402">
        <f>SUM(AY1101:AY1109)</f>
        <v/>
      </c>
      <c r="AZ1110" s="1403">
        <f>SUM(AZ1101:AZ1109)</f>
        <v/>
      </c>
      <c r="BA1110" s="1403">
        <f>SUM(BA1101:BA1109)</f>
        <v/>
      </c>
      <c r="BB1110" s="1403">
        <f>SUM(BB1101:BB1109)</f>
        <v/>
      </c>
      <c r="BC1110" s="1403">
        <f>SUM(BC1101:BC1109)</f>
        <v/>
      </c>
      <c r="BD1110" s="1402">
        <f>SUM(BD1101:BD1109)</f>
        <v/>
      </c>
      <c r="BE1110" s="1403">
        <f>SUM(BE1101:BE1109)</f>
        <v/>
      </c>
      <c r="BF1110" s="1403">
        <f>SUM(BF1101:BF1109)</f>
        <v/>
      </c>
      <c r="BG1110" s="1403">
        <f>SUM(BG1101:BG1109)</f>
        <v/>
      </c>
      <c r="BH1110" s="1403">
        <f>SUM(BH1101:BH1109)</f>
        <v/>
      </c>
      <c r="BI1110" s="1402">
        <f>SUM(BI1101:BI1109)</f>
        <v/>
      </c>
      <c r="BJ1110" s="1403">
        <f>SUM(BJ1101:BJ1109)</f>
        <v/>
      </c>
      <c r="BK1110" s="1403">
        <f>SUM(BK1101:BK1109)</f>
        <v/>
      </c>
      <c r="BL1110" s="1403">
        <f>SUM(BL1101:BL1109)</f>
        <v/>
      </c>
      <c r="BM1110" s="1403">
        <f>SUM(BM1101:BM1109)</f>
        <v/>
      </c>
      <c r="BN1110" s="1402">
        <f>SUM(BN1101:BN1109)</f>
        <v/>
      </c>
      <c r="BO1110" s="1403">
        <f>SUM(BO1101:BO1109)</f>
        <v/>
      </c>
      <c r="BP1110" s="1403">
        <f>SUM(BP1101:BP1109)</f>
        <v/>
      </c>
      <c r="BQ1110" s="1406">
        <f>SUM(BQ1101:BQ1109)</f>
        <v/>
      </c>
      <c r="BR1110" s="1404">
        <f>SUM(BR1101:BR1109)</f>
        <v/>
      </c>
      <c r="BS1110" s="1405">
        <f>SUM(BS1101:BS1109)</f>
        <v/>
      </c>
      <c r="BT1110" s="1404">
        <f>SUM(BT1101:BT1109)</f>
        <v/>
      </c>
      <c r="BU1110" s="1404">
        <f>SUM(BU1101:BU1109)</f>
        <v/>
      </c>
      <c r="BV1110" s="1404">
        <f>SUM(BV1101:BV1109)</f>
        <v/>
      </c>
      <c r="BW1110" s="1404">
        <f>SUM(BW1101:BW1109)</f>
        <v/>
      </c>
      <c r="BX1110" s="1405">
        <f>SUM(BX1101:BX1109)</f>
        <v/>
      </c>
      <c r="BY1110" s="1405">
        <f>SUM(BY1101:BY1109)</f>
        <v/>
      </c>
      <c r="BZ1110" s="1405">
        <f>SUM(BZ1101:BZ1109)</f>
        <v/>
      </c>
      <c r="CA1110" s="1405">
        <f>SUM(CA1101:CA1109)</f>
        <v/>
      </c>
      <c r="CB1110" s="1375" t="n"/>
    </row>
    <row r="1111" ht="14.4" customFormat="1" customHeight="1" s="1372">
      <c r="A1111" s="1447" t="n"/>
      <c r="B1111" s="1517" t="n"/>
      <c r="C1111" s="1449" t="n"/>
      <c r="D1111" s="1449" t="n"/>
      <c r="E1111" s="1449" t="n"/>
      <c r="F1111" s="1449" t="n"/>
      <c r="G1111" s="1450" t="n"/>
      <c r="H1111" s="1450" t="n"/>
      <c r="I1111" s="1450" t="n"/>
      <c r="J1111" s="1450" t="n"/>
      <c r="K1111" s="1449" t="n"/>
      <c r="L1111" s="1450" t="n"/>
      <c r="M1111" s="1450" t="n"/>
      <c r="N1111" s="1450" t="n"/>
      <c r="O1111" s="1450" t="n"/>
      <c r="P1111" s="1449" t="n"/>
      <c r="Q1111" s="1450" t="n"/>
      <c r="R1111" s="1450" t="n"/>
      <c r="S1111" s="1450" t="n"/>
      <c r="T1111" s="1450" t="n"/>
      <c r="U1111" s="1449" t="n"/>
      <c r="V1111" s="1450" t="n"/>
      <c r="W1111" s="1450" t="n"/>
      <c r="X1111" s="1450" t="n"/>
      <c r="Y1111" s="1450" t="n"/>
      <c r="Z1111" s="1449" t="n"/>
      <c r="AA1111" s="1450" t="n"/>
      <c r="AB1111" s="1450" t="n"/>
      <c r="AC1111" s="1450" t="n"/>
      <c r="AD1111" s="1450" t="n"/>
      <c r="AE1111" s="1449" t="n"/>
      <c r="AF1111" s="1450" t="n"/>
      <c r="AG1111" s="1450" t="n"/>
      <c r="AH1111" s="1450" t="n"/>
      <c r="AI1111" s="1450" t="n"/>
      <c r="AJ1111" s="1449" t="n"/>
      <c r="AK1111" s="1450" t="n"/>
      <c r="AL1111" s="1450" t="n"/>
      <c r="AM1111" s="1450" t="n"/>
      <c r="AN1111" s="1450" t="n"/>
      <c r="AO1111" s="1449" t="n"/>
      <c r="AP1111" s="1450" t="n"/>
      <c r="AQ1111" s="1450" t="n"/>
      <c r="AR1111" s="1450" t="n"/>
      <c r="AS1111" s="1450" t="n"/>
      <c r="AT1111" s="1449" t="n"/>
      <c r="AU1111" s="1450" t="n"/>
      <c r="AV1111" s="1450" t="n"/>
      <c r="AW1111" s="1450" t="n"/>
      <c r="AX1111" s="1450" t="n"/>
      <c r="AY1111" s="1449" t="n"/>
      <c r="AZ1111" s="1450" t="n"/>
      <c r="BA1111" s="1450" t="n"/>
      <c r="BB1111" s="1450" t="n"/>
      <c r="BC1111" s="1450" t="n"/>
      <c r="BD1111" s="1449" t="n"/>
      <c r="BE1111" s="1450" t="n"/>
      <c r="BF1111" s="1450" t="n"/>
      <c r="BG1111" s="1450" t="n"/>
      <c r="BH1111" s="1450" t="n"/>
      <c r="BI1111" s="1449" t="n"/>
      <c r="BJ1111" s="1450" t="n"/>
      <c r="BK1111" s="1450" t="n"/>
      <c r="BL1111" s="1450" t="n"/>
      <c r="BM1111" s="1450" t="n"/>
      <c r="BN1111" s="1449" t="n"/>
      <c r="BO1111" s="1450" t="n"/>
      <c r="BP1111" s="1450" t="n"/>
      <c r="BQ1111" s="1451" t="n"/>
      <c r="BR1111" s="1450" t="n"/>
      <c r="BS1111" s="1449" t="n"/>
      <c r="BT1111" s="1450" t="n"/>
      <c r="BU1111" s="1450" t="n"/>
      <c r="BV1111" s="1450" t="n"/>
      <c r="BW1111" s="1450" t="n"/>
      <c r="BX1111" s="1449" t="n"/>
      <c r="BY1111" s="1449" t="n"/>
      <c r="BZ1111" s="1449" t="n"/>
      <c r="CA1111" s="1449" t="n"/>
      <c r="CB1111" s="1375" t="n"/>
    </row>
    <row r="1112" ht="14.4" customFormat="1" customHeight="1" s="1372">
      <c r="A1112" s="1452">
        <f>A1034</f>
        <v/>
      </c>
      <c r="B1112" s="1517" t="n"/>
      <c r="C1112" s="1449" t="n"/>
      <c r="D1112" s="1449" t="n"/>
      <c r="E1112" s="1449" t="n"/>
      <c r="F1112" s="1449" t="n"/>
      <c r="G1112" s="1450" t="n"/>
      <c r="H1112" s="1450" t="n"/>
      <c r="I1112" s="1450" t="n"/>
      <c r="J1112" s="1450" t="n"/>
      <c r="K1112" s="1449" t="n"/>
      <c r="L1112" s="1450" t="n"/>
      <c r="M1112" s="1450" t="n"/>
      <c r="N1112" s="1450" t="n"/>
      <c r="O1112" s="1450" t="n"/>
      <c r="P1112" s="1449" t="n"/>
      <c r="Q1112" s="1450" t="n"/>
      <c r="R1112" s="1450" t="n"/>
      <c r="S1112" s="1450" t="n"/>
      <c r="T1112" s="1450" t="n"/>
      <c r="U1112" s="1449" t="n"/>
      <c r="V1112" s="1450" t="n"/>
      <c r="W1112" s="1450" t="n"/>
      <c r="X1112" s="1450" t="n"/>
      <c r="Y1112" s="1450" t="n"/>
      <c r="Z1112" s="1449" t="n"/>
      <c r="AA1112" s="1450" t="n"/>
      <c r="AB1112" s="1450" t="n"/>
      <c r="AC1112" s="1450" t="n"/>
      <c r="AD1112" s="1450" t="n"/>
      <c r="AE1112" s="1449" t="n"/>
      <c r="AF1112" s="1450" t="n"/>
      <c r="AG1112" s="1450" t="n"/>
      <c r="AH1112" s="1450" t="n"/>
      <c r="AI1112" s="1450" t="n"/>
      <c r="AJ1112" s="1449" t="n"/>
      <c r="AK1112" s="1450" t="n"/>
      <c r="AL1112" s="1450" t="n"/>
      <c r="AM1112" s="1450" t="n"/>
      <c r="AN1112" s="1450" t="n"/>
      <c r="AO1112" s="1449" t="n"/>
      <c r="AP1112" s="1450" t="n"/>
      <c r="AQ1112" s="1450" t="n"/>
      <c r="AR1112" s="1450" t="n"/>
      <c r="AS1112" s="1450" t="n"/>
      <c r="AT1112" s="1449" t="n"/>
      <c r="AU1112" s="1450" t="n"/>
      <c r="AV1112" s="1450" t="n"/>
      <c r="AW1112" s="1450" t="n"/>
      <c r="AX1112" s="1450" t="n"/>
      <c r="AY1112" s="1449" t="n"/>
      <c r="AZ1112" s="1450" t="n"/>
      <c r="BA1112" s="1450" t="n"/>
      <c r="BB1112" s="1450" t="n"/>
      <c r="BC1112" s="1450" t="n"/>
      <c r="BD1112" s="1449" t="n"/>
      <c r="BE1112" s="1450" t="n"/>
      <c r="BF1112" s="1450" t="n"/>
      <c r="BG1112" s="1450" t="n"/>
      <c r="BH1112" s="1450" t="n"/>
      <c r="BI1112" s="1449" t="n"/>
      <c r="BJ1112" s="1450" t="n"/>
      <c r="BK1112" s="1450" t="n"/>
      <c r="BL1112" s="1450" t="n"/>
      <c r="BM1112" s="1450" t="n"/>
      <c r="BN1112" s="1449" t="n"/>
      <c r="BO1112" s="1450" t="n"/>
      <c r="BP1112" s="1450" t="n"/>
      <c r="BQ1112" s="1451" t="n"/>
      <c r="BR1112" s="1450" t="n"/>
      <c r="BS1112" s="1449" t="n"/>
      <c r="BT1112" s="1450" t="n"/>
      <c r="BU1112" s="1450" t="n"/>
      <c r="BV1112" s="1450" t="n"/>
      <c r="BW1112" s="1450" t="n"/>
      <c r="BX1112" s="1449" t="n"/>
      <c r="BY1112" s="1449" t="n"/>
      <c r="BZ1112" s="1449" t="n"/>
      <c r="CA1112" s="1449" t="n"/>
      <c r="CB1112" s="1375" t="n"/>
    </row>
    <row r="1113" ht="14.4" customFormat="1" customHeight="1" s="1359">
      <c r="A1113" s="1394">
        <f>A1035</f>
        <v/>
      </c>
      <c r="B1113" s="1361" t="n"/>
      <c r="C1113" s="1378">
        <f>C1035</f>
        <v/>
      </c>
      <c r="D1113" s="1378">
        <f>D1035</f>
        <v/>
      </c>
      <c r="E1113" s="1378">
        <f>E1035</f>
        <v/>
      </c>
      <c r="F1113" s="1378">
        <f>F1035</f>
        <v/>
      </c>
      <c r="G1113" s="1364">
        <f>G1035</f>
        <v/>
      </c>
      <c r="H1113" s="1364">
        <f>H1035-G1035</f>
        <v/>
      </c>
      <c r="I1113" s="1364">
        <f>I1035-H1035</f>
        <v/>
      </c>
      <c r="J1113" s="1364">
        <f>J1035-I1035</f>
        <v/>
      </c>
      <c r="K1113" s="1378">
        <f>K1035</f>
        <v/>
      </c>
      <c r="L1113" s="1364">
        <f>L1035</f>
        <v/>
      </c>
      <c r="M1113" s="1364">
        <f>M1035-L1035</f>
        <v/>
      </c>
      <c r="N1113" s="1364">
        <f>N1035-M1035</f>
        <v/>
      </c>
      <c r="O1113" s="1364">
        <f>O1035-N1035</f>
        <v/>
      </c>
      <c r="P1113" s="1378">
        <f>P1035</f>
        <v/>
      </c>
      <c r="Q1113" s="1364">
        <f>Q1035</f>
        <v/>
      </c>
      <c r="R1113" s="1364">
        <f>R1035-Q1035</f>
        <v/>
      </c>
      <c r="S1113" s="1364">
        <f>S1035-R1035</f>
        <v/>
      </c>
      <c r="T1113" s="1364">
        <f>T1035-S1035</f>
        <v/>
      </c>
      <c r="U1113" s="1378">
        <f>U1035</f>
        <v/>
      </c>
      <c r="V1113" s="1364">
        <f>V1035</f>
        <v/>
      </c>
      <c r="W1113" s="1364">
        <f>W1035-V1035</f>
        <v/>
      </c>
      <c r="X1113" s="1364">
        <f>X1035-W1035</f>
        <v/>
      </c>
      <c r="Y1113" s="1364">
        <f>Y1035-X1035</f>
        <v/>
      </c>
      <c r="Z1113" s="1378">
        <f>Z1035</f>
        <v/>
      </c>
      <c r="AA1113" s="1364">
        <f>AA1035</f>
        <v/>
      </c>
      <c r="AB1113" s="1364">
        <f>AB1035-AA1035</f>
        <v/>
      </c>
      <c r="AC1113" s="1364">
        <f>AC1035-AB1035</f>
        <v/>
      </c>
      <c r="AD1113" s="1364">
        <f>AD1035-AC1035</f>
        <v/>
      </c>
      <c r="AE1113" s="1378">
        <f>AE1035</f>
        <v/>
      </c>
      <c r="AF1113" s="1364">
        <f>AF1035</f>
        <v/>
      </c>
      <c r="AG1113" s="1364">
        <f>AG1035-AF1035</f>
        <v/>
      </c>
      <c r="AH1113" s="1364">
        <f>AH1035-AG1035</f>
        <v/>
      </c>
      <c r="AI1113" s="1364">
        <f>AI1035-AH1035</f>
        <v/>
      </c>
      <c r="AJ1113" s="1378">
        <f>AJ1035</f>
        <v/>
      </c>
      <c r="AK1113" s="1364">
        <f>AK1035</f>
        <v/>
      </c>
      <c r="AL1113" s="1364">
        <f>AL1035-AK1035</f>
        <v/>
      </c>
      <c r="AM1113" s="1364">
        <f>AM1035-AL1035</f>
        <v/>
      </c>
      <c r="AN1113" s="1364">
        <f>AN1035-AM1035</f>
        <v/>
      </c>
      <c r="AO1113" s="1378">
        <f>AO1035</f>
        <v/>
      </c>
      <c r="AP1113" s="1364">
        <f>AP1035</f>
        <v/>
      </c>
      <c r="AQ1113" s="1364">
        <f>AQ1035-AP1035</f>
        <v/>
      </c>
      <c r="AR1113" s="1364">
        <f>AR1035-AQ1035</f>
        <v/>
      </c>
      <c r="AS1113" s="1364">
        <f>AS1035-AR1035</f>
        <v/>
      </c>
      <c r="AT1113" s="1378">
        <f>AT1035</f>
        <v/>
      </c>
      <c r="AU1113" s="1364">
        <f>AU1035</f>
        <v/>
      </c>
      <c r="AV1113" s="1364">
        <f>AV1035-AU1035</f>
        <v/>
      </c>
      <c r="AW1113" s="1364">
        <f>AW1035-AV1035</f>
        <v/>
      </c>
      <c r="AX1113" s="1364">
        <f>AX1035-AW1035</f>
        <v/>
      </c>
      <c r="AY1113" s="1378">
        <f>AY1035</f>
        <v/>
      </c>
      <c r="AZ1113" s="1364">
        <f>AZ1035</f>
        <v/>
      </c>
      <c r="BA1113" s="1364">
        <f>BA1035-AZ1035</f>
        <v/>
      </c>
      <c r="BB1113" s="1364">
        <f>BB1035-BA1035</f>
        <v/>
      </c>
      <c r="BC1113" s="1364">
        <f>BC1035-BB1035</f>
        <v/>
      </c>
      <c r="BD1113" s="1378">
        <f>BD1035</f>
        <v/>
      </c>
      <c r="BE1113" s="1364">
        <f>BE1035</f>
        <v/>
      </c>
      <c r="BF1113" s="1364">
        <f>BF1035-BE1035</f>
        <v/>
      </c>
      <c r="BG1113" s="1364">
        <f>BG1035-BF1035</f>
        <v/>
      </c>
      <c r="BH1113" s="1364">
        <f>BH1035-BG1035</f>
        <v/>
      </c>
      <c r="BI1113" s="1378">
        <f>BI1035</f>
        <v/>
      </c>
      <c r="BJ1113" s="1364">
        <f>BJ1035</f>
        <v/>
      </c>
      <c r="BK1113" s="1364">
        <f>BK1035-BJ1035</f>
        <v/>
      </c>
      <c r="BL1113" s="1364">
        <f>BL1035-BK1035</f>
        <v/>
      </c>
      <c r="BM1113" s="1364">
        <f>BM1035-BL1035</f>
        <v/>
      </c>
      <c r="BN1113" s="1378">
        <f>BN1035</f>
        <v/>
      </c>
      <c r="BO1113" s="1364">
        <f>BO1035</f>
        <v/>
      </c>
      <c r="BP1113" s="1364">
        <f>BP1035-BO1035</f>
        <v/>
      </c>
      <c r="BQ1113" s="1395">
        <f>BQ1035-BP1035</f>
        <v/>
      </c>
      <c r="BR1113" s="1361" t="n"/>
      <c r="BS1113" s="1379">
        <f>SUM(BO1113,BP1113,BQ1113,BR1113)</f>
        <v/>
      </c>
      <c r="BT1113" s="1361" t="n"/>
      <c r="BU1113" s="1361" t="n"/>
      <c r="BV1113" s="1361" t="n"/>
      <c r="BW1113" s="1361" t="n"/>
      <c r="BX1113" s="1379">
        <f>SUM(BT1113,BU1113,BV1113,BW1113)</f>
        <v/>
      </c>
      <c r="BY1113" s="1379" t="n"/>
      <c r="BZ1113" s="1379" t="n"/>
      <c r="CA1113" s="1379" t="n"/>
      <c r="CB1113" s="1364" t="n"/>
    </row>
    <row r="1114" ht="14.4" customFormat="1" customHeight="1" s="1359">
      <c r="A1114" s="1394">
        <f>A1036</f>
        <v/>
      </c>
      <c r="B1114" s="1361" t="n"/>
      <c r="C1114" s="1378">
        <f>C1036</f>
        <v/>
      </c>
      <c r="D1114" s="1378">
        <f>D1036</f>
        <v/>
      </c>
      <c r="E1114" s="1378">
        <f>E1036</f>
        <v/>
      </c>
      <c r="F1114" s="1378">
        <f>F1036</f>
        <v/>
      </c>
      <c r="G1114" s="1364">
        <f>G1036</f>
        <v/>
      </c>
      <c r="H1114" s="1364">
        <f>H1036-G1036</f>
        <v/>
      </c>
      <c r="I1114" s="1364">
        <f>I1036-H1036</f>
        <v/>
      </c>
      <c r="J1114" s="1364">
        <f>J1036-I1036</f>
        <v/>
      </c>
      <c r="K1114" s="1378">
        <f>K1036</f>
        <v/>
      </c>
      <c r="L1114" s="1364">
        <f>L1036</f>
        <v/>
      </c>
      <c r="M1114" s="1364">
        <f>M1036-L1036</f>
        <v/>
      </c>
      <c r="N1114" s="1364">
        <f>N1036-M1036</f>
        <v/>
      </c>
      <c r="O1114" s="1364">
        <f>O1036-N1036</f>
        <v/>
      </c>
      <c r="P1114" s="1378">
        <f>P1036</f>
        <v/>
      </c>
      <c r="Q1114" s="1364">
        <f>Q1036</f>
        <v/>
      </c>
      <c r="R1114" s="1364">
        <f>R1036-Q1036</f>
        <v/>
      </c>
      <c r="S1114" s="1364">
        <f>S1036-R1036</f>
        <v/>
      </c>
      <c r="T1114" s="1364">
        <f>T1036-S1036</f>
        <v/>
      </c>
      <c r="U1114" s="1378">
        <f>U1036</f>
        <v/>
      </c>
      <c r="V1114" s="1364">
        <f>V1036</f>
        <v/>
      </c>
      <c r="W1114" s="1364">
        <f>W1036-V1036</f>
        <v/>
      </c>
      <c r="X1114" s="1364">
        <f>X1036-W1036</f>
        <v/>
      </c>
      <c r="Y1114" s="1364">
        <f>Y1036-X1036</f>
        <v/>
      </c>
      <c r="Z1114" s="1378">
        <f>Z1036</f>
        <v/>
      </c>
      <c r="AA1114" s="1364">
        <f>AA1036</f>
        <v/>
      </c>
      <c r="AB1114" s="1364">
        <f>AB1036-AA1036</f>
        <v/>
      </c>
      <c r="AC1114" s="1364">
        <f>AC1036-AB1036</f>
        <v/>
      </c>
      <c r="AD1114" s="1364">
        <f>AD1036-AC1036</f>
        <v/>
      </c>
      <c r="AE1114" s="1378">
        <f>AE1036</f>
        <v/>
      </c>
      <c r="AF1114" s="1364">
        <f>AF1036</f>
        <v/>
      </c>
      <c r="AG1114" s="1364">
        <f>AG1036-AF1036</f>
        <v/>
      </c>
      <c r="AH1114" s="1364">
        <f>AH1036-AG1036</f>
        <v/>
      </c>
      <c r="AI1114" s="1364">
        <f>AI1036-AH1036</f>
        <v/>
      </c>
      <c r="AJ1114" s="1378">
        <f>AJ1036</f>
        <v/>
      </c>
      <c r="AK1114" s="1364">
        <f>AK1036</f>
        <v/>
      </c>
      <c r="AL1114" s="1364">
        <f>AL1036-AK1036</f>
        <v/>
      </c>
      <c r="AM1114" s="1364">
        <f>AM1036-AL1036</f>
        <v/>
      </c>
      <c r="AN1114" s="1364">
        <f>AN1036-AM1036</f>
        <v/>
      </c>
      <c r="AO1114" s="1378">
        <f>AO1036</f>
        <v/>
      </c>
      <c r="AP1114" s="1364">
        <f>AP1036</f>
        <v/>
      </c>
      <c r="AQ1114" s="1364">
        <f>AQ1036-AP1036</f>
        <v/>
      </c>
      <c r="AR1114" s="1364">
        <f>AR1036-AQ1036</f>
        <v/>
      </c>
      <c r="AS1114" s="1364">
        <f>AS1036-AR1036</f>
        <v/>
      </c>
      <c r="AT1114" s="1378">
        <f>AT1036</f>
        <v/>
      </c>
      <c r="AU1114" s="1364">
        <f>AU1036</f>
        <v/>
      </c>
      <c r="AV1114" s="1364">
        <f>AV1036-AU1036</f>
        <v/>
      </c>
      <c r="AW1114" s="1364">
        <f>AW1036-AV1036</f>
        <v/>
      </c>
      <c r="AX1114" s="1364">
        <f>AX1036-AW1036</f>
        <v/>
      </c>
      <c r="AY1114" s="1378">
        <f>AY1036</f>
        <v/>
      </c>
      <c r="AZ1114" s="1364">
        <f>AZ1036</f>
        <v/>
      </c>
      <c r="BA1114" s="1364">
        <f>BA1036-AZ1036</f>
        <v/>
      </c>
      <c r="BB1114" s="1364">
        <f>BB1036-BA1036</f>
        <v/>
      </c>
      <c r="BC1114" s="1364">
        <f>BC1036-BB1036</f>
        <v/>
      </c>
      <c r="BD1114" s="1378">
        <f>BD1036</f>
        <v/>
      </c>
      <c r="BE1114" s="1364">
        <f>BE1036</f>
        <v/>
      </c>
      <c r="BF1114" s="1364">
        <f>BF1036-BE1036</f>
        <v/>
      </c>
      <c r="BG1114" s="1364">
        <f>BG1036-BF1036</f>
        <v/>
      </c>
      <c r="BH1114" s="1364">
        <f>BH1036-BG1036</f>
        <v/>
      </c>
      <c r="BI1114" s="1378">
        <f>BI1036</f>
        <v/>
      </c>
      <c r="BJ1114" s="1364">
        <f>BJ1036</f>
        <v/>
      </c>
      <c r="BK1114" s="1364">
        <f>BK1036-BJ1036</f>
        <v/>
      </c>
      <c r="BL1114" s="1364">
        <f>BL1036-BK1036</f>
        <v/>
      </c>
      <c r="BM1114" s="1364">
        <f>BM1036-BL1036</f>
        <v/>
      </c>
      <c r="BN1114" s="1378">
        <f>BN1036</f>
        <v/>
      </c>
      <c r="BO1114" s="1364">
        <f>BO1036</f>
        <v/>
      </c>
      <c r="BP1114" s="1364">
        <f>BP1036-BO1036</f>
        <v/>
      </c>
      <c r="BQ1114" s="1395">
        <f>BQ1036-BP1036</f>
        <v/>
      </c>
      <c r="BR1114" s="1361" t="n"/>
      <c r="BS1114" s="1379">
        <f>SUM(BO1114,BP1114,BQ1114,BR1114)</f>
        <v/>
      </c>
      <c r="BT1114" s="1361" t="n"/>
      <c r="BU1114" s="1361" t="n"/>
      <c r="BV1114" s="1361" t="n"/>
      <c r="BW1114" s="1361" t="n"/>
      <c r="BX1114" s="1379">
        <f>SUM(BT1114,BU1114,BV1114,BW1114)</f>
        <v/>
      </c>
      <c r="BY1114" s="1379" t="n"/>
      <c r="BZ1114" s="1379" t="n"/>
      <c r="CA1114" s="1379" t="n"/>
      <c r="CB1114" s="1364" t="n"/>
    </row>
    <row r="1115" ht="14.4" customFormat="1" customHeight="1" s="1359">
      <c r="A1115" s="1394">
        <f>A1037</f>
        <v/>
      </c>
      <c r="B1115" s="1361" t="n"/>
      <c r="C1115" s="1378">
        <f>C1037</f>
        <v/>
      </c>
      <c r="D1115" s="1378">
        <f>D1037</f>
        <v/>
      </c>
      <c r="E1115" s="1378">
        <f>E1037</f>
        <v/>
      </c>
      <c r="F1115" s="1378">
        <f>F1037</f>
        <v/>
      </c>
      <c r="G1115" s="1364">
        <f>G1037</f>
        <v/>
      </c>
      <c r="H1115" s="1364">
        <f>H1037-G1037</f>
        <v/>
      </c>
      <c r="I1115" s="1364">
        <f>I1037-H1037</f>
        <v/>
      </c>
      <c r="J1115" s="1364">
        <f>J1037-I1037</f>
        <v/>
      </c>
      <c r="K1115" s="1378">
        <f>K1037</f>
        <v/>
      </c>
      <c r="L1115" s="1364">
        <f>L1037</f>
        <v/>
      </c>
      <c r="M1115" s="1364">
        <f>M1037-L1037</f>
        <v/>
      </c>
      <c r="N1115" s="1364">
        <f>N1037-M1037</f>
        <v/>
      </c>
      <c r="O1115" s="1364">
        <f>O1037-N1037</f>
        <v/>
      </c>
      <c r="P1115" s="1378">
        <f>P1037</f>
        <v/>
      </c>
      <c r="Q1115" s="1364">
        <f>Q1037</f>
        <v/>
      </c>
      <c r="R1115" s="1364">
        <f>R1037-Q1037</f>
        <v/>
      </c>
      <c r="S1115" s="1364">
        <f>S1037-R1037</f>
        <v/>
      </c>
      <c r="T1115" s="1364">
        <f>T1037-S1037</f>
        <v/>
      </c>
      <c r="U1115" s="1378">
        <f>U1037</f>
        <v/>
      </c>
      <c r="V1115" s="1364">
        <f>V1037</f>
        <v/>
      </c>
      <c r="W1115" s="1364">
        <f>W1037-V1037</f>
        <v/>
      </c>
      <c r="X1115" s="1364">
        <f>X1037-W1037</f>
        <v/>
      </c>
      <c r="Y1115" s="1364">
        <f>Y1037-X1037</f>
        <v/>
      </c>
      <c r="Z1115" s="1378">
        <f>Z1037</f>
        <v/>
      </c>
      <c r="AA1115" s="1364">
        <f>AA1037</f>
        <v/>
      </c>
      <c r="AB1115" s="1364">
        <f>AB1037-AA1037</f>
        <v/>
      </c>
      <c r="AC1115" s="1364">
        <f>AC1037-AB1037</f>
        <v/>
      </c>
      <c r="AD1115" s="1364">
        <f>AD1037-AC1037</f>
        <v/>
      </c>
      <c r="AE1115" s="1378">
        <f>AE1037</f>
        <v/>
      </c>
      <c r="AF1115" s="1364">
        <f>AF1037</f>
        <v/>
      </c>
      <c r="AG1115" s="1364">
        <f>AG1037-AF1037</f>
        <v/>
      </c>
      <c r="AH1115" s="1364">
        <f>AH1037-AG1037</f>
        <v/>
      </c>
      <c r="AI1115" s="1364">
        <f>AI1037-AH1037</f>
        <v/>
      </c>
      <c r="AJ1115" s="1378">
        <f>AJ1037</f>
        <v/>
      </c>
      <c r="AK1115" s="1364">
        <f>AK1037</f>
        <v/>
      </c>
      <c r="AL1115" s="1364">
        <f>AL1037-AK1037</f>
        <v/>
      </c>
      <c r="AM1115" s="1364">
        <f>AM1037-AL1037</f>
        <v/>
      </c>
      <c r="AN1115" s="1364">
        <f>AN1037-AM1037</f>
        <v/>
      </c>
      <c r="AO1115" s="1378">
        <f>AO1037</f>
        <v/>
      </c>
      <c r="AP1115" s="1364">
        <f>AP1037</f>
        <v/>
      </c>
      <c r="AQ1115" s="1364">
        <f>AQ1037-AP1037</f>
        <v/>
      </c>
      <c r="AR1115" s="1364">
        <f>AR1037-AQ1037</f>
        <v/>
      </c>
      <c r="AS1115" s="1364">
        <f>AS1037-AR1037</f>
        <v/>
      </c>
      <c r="AT1115" s="1378">
        <f>AT1037</f>
        <v/>
      </c>
      <c r="AU1115" s="1364">
        <f>AU1037</f>
        <v/>
      </c>
      <c r="AV1115" s="1364">
        <f>AV1037-AU1037</f>
        <v/>
      </c>
      <c r="AW1115" s="1364">
        <f>AW1037-AV1037</f>
        <v/>
      </c>
      <c r="AX1115" s="1364">
        <f>AX1037-AW1037</f>
        <v/>
      </c>
      <c r="AY1115" s="1378">
        <f>AY1037</f>
        <v/>
      </c>
      <c r="AZ1115" s="1364">
        <f>AZ1037</f>
        <v/>
      </c>
      <c r="BA1115" s="1364">
        <f>BA1037-AZ1037</f>
        <v/>
      </c>
      <c r="BB1115" s="1364">
        <f>BB1037-BA1037</f>
        <v/>
      </c>
      <c r="BC1115" s="1364">
        <f>BC1037-BB1037</f>
        <v/>
      </c>
      <c r="BD1115" s="1378">
        <f>BD1037</f>
        <v/>
      </c>
      <c r="BE1115" s="1364">
        <f>BE1037</f>
        <v/>
      </c>
      <c r="BF1115" s="1364">
        <f>BF1037-BE1037</f>
        <v/>
      </c>
      <c r="BG1115" s="1364">
        <f>BG1037-BF1037</f>
        <v/>
      </c>
      <c r="BH1115" s="1364">
        <f>BH1037-BG1037</f>
        <v/>
      </c>
      <c r="BI1115" s="1378">
        <f>BI1037</f>
        <v/>
      </c>
      <c r="BJ1115" s="1364">
        <f>BJ1037</f>
        <v/>
      </c>
      <c r="BK1115" s="1364">
        <f>BK1037-BJ1037</f>
        <v/>
      </c>
      <c r="BL1115" s="1364">
        <f>BL1037-BK1037</f>
        <v/>
      </c>
      <c r="BM1115" s="1364">
        <f>BM1037-BL1037</f>
        <v/>
      </c>
      <c r="BN1115" s="1378">
        <f>BN1037</f>
        <v/>
      </c>
      <c r="BO1115" s="1364">
        <f>BO1037</f>
        <v/>
      </c>
      <c r="BP1115" s="1364">
        <f>BP1037-BO1037</f>
        <v/>
      </c>
      <c r="BQ1115" s="1395">
        <f>BQ1037-BP1037</f>
        <v/>
      </c>
      <c r="BR1115" s="1361" t="n"/>
      <c r="BS1115" s="1379">
        <f>SUM(BO1115,BP1115,BQ1115,BR1115)</f>
        <v/>
      </c>
      <c r="BT1115" s="1361" t="n"/>
      <c r="BU1115" s="1361" t="n"/>
      <c r="BV1115" s="1361" t="n"/>
      <c r="BW1115" s="1361" t="n"/>
      <c r="BX1115" s="1379">
        <f>SUM(BT1115,BU1115,BV1115,BW1115)</f>
        <v/>
      </c>
      <c r="BY1115" s="1379" t="n"/>
      <c r="BZ1115" s="1379" t="n"/>
      <c r="CA1115" s="1379" t="n"/>
      <c r="CB1115" s="1364" t="n"/>
    </row>
    <row r="1116" ht="14.4" customFormat="1" customHeight="1" s="1359">
      <c r="A1116" s="1394">
        <f>A1038</f>
        <v/>
      </c>
      <c r="B1116" s="1361" t="n"/>
      <c r="C1116" s="1378">
        <f>C1038</f>
        <v/>
      </c>
      <c r="D1116" s="1378">
        <f>D1038</f>
        <v/>
      </c>
      <c r="E1116" s="1378">
        <f>E1038</f>
        <v/>
      </c>
      <c r="F1116" s="1378">
        <f>F1038</f>
        <v/>
      </c>
      <c r="G1116" s="1364">
        <f>G1038</f>
        <v/>
      </c>
      <c r="H1116" s="1364">
        <f>H1038-G1038</f>
        <v/>
      </c>
      <c r="I1116" s="1364">
        <f>I1038-H1038</f>
        <v/>
      </c>
      <c r="J1116" s="1364">
        <f>J1038-I1038</f>
        <v/>
      </c>
      <c r="K1116" s="1378">
        <f>K1038</f>
        <v/>
      </c>
      <c r="L1116" s="1364">
        <f>L1038</f>
        <v/>
      </c>
      <c r="M1116" s="1364">
        <f>M1038-L1038</f>
        <v/>
      </c>
      <c r="N1116" s="1364">
        <f>N1038-M1038</f>
        <v/>
      </c>
      <c r="O1116" s="1364">
        <f>O1038-N1038</f>
        <v/>
      </c>
      <c r="P1116" s="1378">
        <f>P1038</f>
        <v/>
      </c>
      <c r="Q1116" s="1364">
        <f>Q1038</f>
        <v/>
      </c>
      <c r="R1116" s="1364">
        <f>R1038-Q1038</f>
        <v/>
      </c>
      <c r="S1116" s="1364">
        <f>S1038-R1038</f>
        <v/>
      </c>
      <c r="T1116" s="1364">
        <f>T1038-S1038</f>
        <v/>
      </c>
      <c r="U1116" s="1378">
        <f>U1038</f>
        <v/>
      </c>
      <c r="V1116" s="1364">
        <f>V1038</f>
        <v/>
      </c>
      <c r="W1116" s="1364">
        <f>W1038-V1038</f>
        <v/>
      </c>
      <c r="X1116" s="1364">
        <f>X1038-W1038</f>
        <v/>
      </c>
      <c r="Y1116" s="1364">
        <f>Y1038-X1038</f>
        <v/>
      </c>
      <c r="Z1116" s="1378">
        <f>Z1038</f>
        <v/>
      </c>
      <c r="AA1116" s="1364">
        <f>AA1038</f>
        <v/>
      </c>
      <c r="AB1116" s="1364">
        <f>AB1038-AA1038</f>
        <v/>
      </c>
      <c r="AC1116" s="1364">
        <f>AC1038-AB1038</f>
        <v/>
      </c>
      <c r="AD1116" s="1364">
        <f>AD1038-AC1038</f>
        <v/>
      </c>
      <c r="AE1116" s="1378">
        <f>AE1038</f>
        <v/>
      </c>
      <c r="AF1116" s="1364">
        <f>AF1038</f>
        <v/>
      </c>
      <c r="AG1116" s="1364">
        <f>AG1038-AF1038</f>
        <v/>
      </c>
      <c r="AH1116" s="1364">
        <f>AH1038-AG1038</f>
        <v/>
      </c>
      <c r="AI1116" s="1364">
        <f>AI1038-AH1038</f>
        <v/>
      </c>
      <c r="AJ1116" s="1378">
        <f>AJ1038</f>
        <v/>
      </c>
      <c r="AK1116" s="1364">
        <f>AK1038</f>
        <v/>
      </c>
      <c r="AL1116" s="1364">
        <f>AL1038-AK1038</f>
        <v/>
      </c>
      <c r="AM1116" s="1364">
        <f>AM1038-AL1038</f>
        <v/>
      </c>
      <c r="AN1116" s="1364">
        <f>AN1038-AM1038</f>
        <v/>
      </c>
      <c r="AO1116" s="1378">
        <f>AO1038</f>
        <v/>
      </c>
      <c r="AP1116" s="1364">
        <f>AP1038</f>
        <v/>
      </c>
      <c r="AQ1116" s="1364">
        <f>AQ1038-AP1038</f>
        <v/>
      </c>
      <c r="AR1116" s="1364">
        <f>AR1038-AQ1038</f>
        <v/>
      </c>
      <c r="AS1116" s="1364">
        <f>AS1038-AR1038</f>
        <v/>
      </c>
      <c r="AT1116" s="1378">
        <f>AT1038</f>
        <v/>
      </c>
      <c r="AU1116" s="1364">
        <f>AU1038</f>
        <v/>
      </c>
      <c r="AV1116" s="1364">
        <f>AV1038-AU1038</f>
        <v/>
      </c>
      <c r="AW1116" s="1364">
        <f>AW1038-AV1038</f>
        <v/>
      </c>
      <c r="AX1116" s="1364">
        <f>AX1038-AW1038</f>
        <v/>
      </c>
      <c r="AY1116" s="1378">
        <f>AY1038</f>
        <v/>
      </c>
      <c r="AZ1116" s="1364">
        <f>AZ1038</f>
        <v/>
      </c>
      <c r="BA1116" s="1364">
        <f>BA1038-AZ1038</f>
        <v/>
      </c>
      <c r="BB1116" s="1364">
        <f>BB1038-BA1038</f>
        <v/>
      </c>
      <c r="BC1116" s="1364">
        <f>BC1038-BB1038</f>
        <v/>
      </c>
      <c r="BD1116" s="1378">
        <f>BD1038</f>
        <v/>
      </c>
      <c r="BE1116" s="1364">
        <f>BE1038</f>
        <v/>
      </c>
      <c r="BF1116" s="1364">
        <f>BF1038-BE1038</f>
        <v/>
      </c>
      <c r="BG1116" s="1364">
        <f>BG1038-BF1038</f>
        <v/>
      </c>
      <c r="BH1116" s="1364">
        <f>BH1038-BG1038</f>
        <v/>
      </c>
      <c r="BI1116" s="1378">
        <f>BI1038</f>
        <v/>
      </c>
      <c r="BJ1116" s="1364">
        <f>BJ1038</f>
        <v/>
      </c>
      <c r="BK1116" s="1364">
        <f>BK1038-BJ1038</f>
        <v/>
      </c>
      <c r="BL1116" s="1364">
        <f>BL1038-BK1038</f>
        <v/>
      </c>
      <c r="BM1116" s="1364">
        <f>BM1038-BL1038</f>
        <v/>
      </c>
      <c r="BN1116" s="1378">
        <f>BN1038</f>
        <v/>
      </c>
      <c r="BO1116" s="1364">
        <f>BO1038</f>
        <v/>
      </c>
      <c r="BP1116" s="1364">
        <f>BP1038-BO1038</f>
        <v/>
      </c>
      <c r="BQ1116" s="1395">
        <f>BQ1038-BP1038</f>
        <v/>
      </c>
      <c r="BR1116" s="1361" t="n"/>
      <c r="BS1116" s="1379">
        <f>SUM(BO1116,BP1116,BQ1116,BR1116)</f>
        <v/>
      </c>
      <c r="BT1116" s="1361" t="n"/>
      <c r="BU1116" s="1361" t="n"/>
      <c r="BV1116" s="1361" t="n"/>
      <c r="BW1116" s="1361" t="n"/>
      <c r="BX1116" s="1379">
        <f>SUM(BT1116,BU1116,BV1116,BW1116)</f>
        <v/>
      </c>
      <c r="BY1116" s="1379" t="n"/>
      <c r="BZ1116" s="1379" t="n"/>
      <c r="CA1116" s="1379" t="n"/>
      <c r="CB1116" s="1364" t="n"/>
    </row>
    <row r="1117" ht="14.4" customFormat="1" customHeight="1" s="1359">
      <c r="A1117" s="1394">
        <f>A1039</f>
        <v/>
      </c>
      <c r="B1117" s="1361" t="n"/>
      <c r="C1117" s="1378">
        <f>C1039</f>
        <v/>
      </c>
      <c r="D1117" s="1378">
        <f>D1039</f>
        <v/>
      </c>
      <c r="E1117" s="1378">
        <f>E1039</f>
        <v/>
      </c>
      <c r="F1117" s="1378">
        <f>F1039</f>
        <v/>
      </c>
      <c r="G1117" s="1364">
        <f>G1039</f>
        <v/>
      </c>
      <c r="H1117" s="1364">
        <f>H1039-G1039</f>
        <v/>
      </c>
      <c r="I1117" s="1364">
        <f>I1039-H1039</f>
        <v/>
      </c>
      <c r="J1117" s="1364">
        <f>J1039-I1039</f>
        <v/>
      </c>
      <c r="K1117" s="1378">
        <f>K1039</f>
        <v/>
      </c>
      <c r="L1117" s="1364">
        <f>L1039</f>
        <v/>
      </c>
      <c r="M1117" s="1364">
        <f>M1039-L1039</f>
        <v/>
      </c>
      <c r="N1117" s="1364">
        <f>N1039-M1039</f>
        <v/>
      </c>
      <c r="O1117" s="1364">
        <f>O1039-N1039</f>
        <v/>
      </c>
      <c r="P1117" s="1378">
        <f>P1039</f>
        <v/>
      </c>
      <c r="Q1117" s="1364">
        <f>Q1039</f>
        <v/>
      </c>
      <c r="R1117" s="1364">
        <f>R1039-Q1039</f>
        <v/>
      </c>
      <c r="S1117" s="1364">
        <f>S1039-R1039</f>
        <v/>
      </c>
      <c r="T1117" s="1364">
        <f>T1039-S1039</f>
        <v/>
      </c>
      <c r="U1117" s="1378">
        <f>U1039</f>
        <v/>
      </c>
      <c r="V1117" s="1364">
        <f>V1039</f>
        <v/>
      </c>
      <c r="W1117" s="1364">
        <f>W1039-V1039</f>
        <v/>
      </c>
      <c r="X1117" s="1364">
        <f>X1039-W1039</f>
        <v/>
      </c>
      <c r="Y1117" s="1364">
        <f>Y1039-X1039</f>
        <v/>
      </c>
      <c r="Z1117" s="1378">
        <f>Z1039</f>
        <v/>
      </c>
      <c r="AA1117" s="1364">
        <f>AA1039</f>
        <v/>
      </c>
      <c r="AB1117" s="1364">
        <f>AB1039-AA1039</f>
        <v/>
      </c>
      <c r="AC1117" s="1364">
        <f>AC1039-AB1039</f>
        <v/>
      </c>
      <c r="AD1117" s="1364">
        <f>AD1039-AC1039</f>
        <v/>
      </c>
      <c r="AE1117" s="1378">
        <f>AE1039</f>
        <v/>
      </c>
      <c r="AF1117" s="1364">
        <f>AF1039</f>
        <v/>
      </c>
      <c r="AG1117" s="1364">
        <f>AG1039-AF1039</f>
        <v/>
      </c>
      <c r="AH1117" s="1364">
        <f>AH1039-AG1039</f>
        <v/>
      </c>
      <c r="AI1117" s="1364">
        <f>AI1039-AH1039</f>
        <v/>
      </c>
      <c r="AJ1117" s="1378">
        <f>AJ1039</f>
        <v/>
      </c>
      <c r="AK1117" s="1364">
        <f>AK1039</f>
        <v/>
      </c>
      <c r="AL1117" s="1364">
        <f>AL1039-AK1039</f>
        <v/>
      </c>
      <c r="AM1117" s="1364">
        <f>AM1039-AL1039</f>
        <v/>
      </c>
      <c r="AN1117" s="1364">
        <f>AN1039-AM1039</f>
        <v/>
      </c>
      <c r="AO1117" s="1378">
        <f>AO1039</f>
        <v/>
      </c>
      <c r="AP1117" s="1364">
        <f>AP1039</f>
        <v/>
      </c>
      <c r="AQ1117" s="1364">
        <f>AQ1039-AP1039</f>
        <v/>
      </c>
      <c r="AR1117" s="1364">
        <f>AR1039-AQ1039</f>
        <v/>
      </c>
      <c r="AS1117" s="1364">
        <f>AS1039-AR1039</f>
        <v/>
      </c>
      <c r="AT1117" s="1378">
        <f>AT1039</f>
        <v/>
      </c>
      <c r="AU1117" s="1364">
        <f>AU1039</f>
        <v/>
      </c>
      <c r="AV1117" s="1364">
        <f>AV1039-AU1039</f>
        <v/>
      </c>
      <c r="AW1117" s="1364">
        <f>AW1039-AV1039</f>
        <v/>
      </c>
      <c r="AX1117" s="1364">
        <f>AX1039-AW1039</f>
        <v/>
      </c>
      <c r="AY1117" s="1378">
        <f>AY1039</f>
        <v/>
      </c>
      <c r="AZ1117" s="1364">
        <f>AZ1039</f>
        <v/>
      </c>
      <c r="BA1117" s="1364">
        <f>BA1039-AZ1039</f>
        <v/>
      </c>
      <c r="BB1117" s="1364">
        <f>BB1039-BA1039</f>
        <v/>
      </c>
      <c r="BC1117" s="1364">
        <f>BC1039-BB1039</f>
        <v/>
      </c>
      <c r="BD1117" s="1378">
        <f>BD1039</f>
        <v/>
      </c>
      <c r="BE1117" s="1364">
        <f>BE1039</f>
        <v/>
      </c>
      <c r="BF1117" s="1364">
        <f>BF1039-BE1039</f>
        <v/>
      </c>
      <c r="BG1117" s="1364">
        <f>BG1039-BF1039</f>
        <v/>
      </c>
      <c r="BH1117" s="1364">
        <f>BH1039-BG1039</f>
        <v/>
      </c>
      <c r="BI1117" s="1378">
        <f>BI1039</f>
        <v/>
      </c>
      <c r="BJ1117" s="1364">
        <f>BJ1039</f>
        <v/>
      </c>
      <c r="BK1117" s="1364">
        <f>BK1039-BJ1039</f>
        <v/>
      </c>
      <c r="BL1117" s="1364">
        <f>BL1039-BK1039</f>
        <v/>
      </c>
      <c r="BM1117" s="1364">
        <f>BM1039-BL1039</f>
        <v/>
      </c>
      <c r="BN1117" s="1378">
        <f>BN1039</f>
        <v/>
      </c>
      <c r="BO1117" s="1364">
        <f>BO1039</f>
        <v/>
      </c>
      <c r="BP1117" s="1364">
        <f>BP1039-BO1039</f>
        <v/>
      </c>
      <c r="BQ1117" s="1395">
        <f>BQ1039-BP1039</f>
        <v/>
      </c>
      <c r="BR1117" s="1361" t="n"/>
      <c r="BS1117" s="1379">
        <f>SUM(BO1117,BP1117,BQ1117,BR1117)</f>
        <v/>
      </c>
      <c r="BT1117" s="1361" t="n"/>
      <c r="BU1117" s="1361" t="n"/>
      <c r="BV1117" s="1361" t="n"/>
      <c r="BW1117" s="1361" t="n"/>
      <c r="BX1117" s="1379">
        <f>SUM(BT1117,BU1117,BV1117,BW1117)</f>
        <v/>
      </c>
      <c r="BY1117" s="1379" t="n"/>
      <c r="BZ1117" s="1379" t="n"/>
      <c r="CA1117" s="1379" t="n"/>
      <c r="CB1117" s="1364" t="n"/>
    </row>
    <row r="1118" ht="14.4" customFormat="1" customHeight="1" s="1359">
      <c r="A1118" s="1394">
        <f>A1040</f>
        <v/>
      </c>
      <c r="B1118" s="1361" t="n"/>
      <c r="C1118" s="1378">
        <f>C1040</f>
        <v/>
      </c>
      <c r="D1118" s="1378">
        <f>D1040</f>
        <v/>
      </c>
      <c r="E1118" s="1378">
        <f>E1040</f>
        <v/>
      </c>
      <c r="F1118" s="1378">
        <f>F1040</f>
        <v/>
      </c>
      <c r="G1118" s="1364">
        <f>G1040</f>
        <v/>
      </c>
      <c r="H1118" s="1364">
        <f>H1040-G1040</f>
        <v/>
      </c>
      <c r="I1118" s="1364">
        <f>I1040-H1040</f>
        <v/>
      </c>
      <c r="J1118" s="1364">
        <f>J1040-I1040</f>
        <v/>
      </c>
      <c r="K1118" s="1378">
        <f>K1040</f>
        <v/>
      </c>
      <c r="L1118" s="1364">
        <f>L1040</f>
        <v/>
      </c>
      <c r="M1118" s="1364">
        <f>M1040-L1040</f>
        <v/>
      </c>
      <c r="N1118" s="1364">
        <f>N1040-M1040</f>
        <v/>
      </c>
      <c r="O1118" s="1364">
        <f>O1040-N1040</f>
        <v/>
      </c>
      <c r="P1118" s="1378">
        <f>P1040</f>
        <v/>
      </c>
      <c r="Q1118" s="1364">
        <f>Q1040</f>
        <v/>
      </c>
      <c r="R1118" s="1364">
        <f>R1040-Q1040</f>
        <v/>
      </c>
      <c r="S1118" s="1364">
        <f>S1040-R1040</f>
        <v/>
      </c>
      <c r="T1118" s="1364">
        <f>T1040-S1040</f>
        <v/>
      </c>
      <c r="U1118" s="1378">
        <f>U1040</f>
        <v/>
      </c>
      <c r="V1118" s="1364">
        <f>V1040</f>
        <v/>
      </c>
      <c r="W1118" s="1364">
        <f>W1040-V1040</f>
        <v/>
      </c>
      <c r="X1118" s="1364">
        <f>X1040-W1040</f>
        <v/>
      </c>
      <c r="Y1118" s="1364">
        <f>Y1040-X1040</f>
        <v/>
      </c>
      <c r="Z1118" s="1378">
        <f>Z1040</f>
        <v/>
      </c>
      <c r="AA1118" s="1364">
        <f>AA1040</f>
        <v/>
      </c>
      <c r="AB1118" s="1364">
        <f>AB1040-AA1040</f>
        <v/>
      </c>
      <c r="AC1118" s="1364">
        <f>AC1040-AB1040</f>
        <v/>
      </c>
      <c r="AD1118" s="1364">
        <f>AD1040-AC1040</f>
        <v/>
      </c>
      <c r="AE1118" s="1378">
        <f>AE1040</f>
        <v/>
      </c>
      <c r="AF1118" s="1364">
        <f>AF1040</f>
        <v/>
      </c>
      <c r="AG1118" s="1364">
        <f>AG1040-AF1040</f>
        <v/>
      </c>
      <c r="AH1118" s="1364">
        <f>AH1040-AG1040</f>
        <v/>
      </c>
      <c r="AI1118" s="1364">
        <f>AI1040-AH1040</f>
        <v/>
      </c>
      <c r="AJ1118" s="1378">
        <f>AJ1040</f>
        <v/>
      </c>
      <c r="AK1118" s="1364">
        <f>AK1040</f>
        <v/>
      </c>
      <c r="AL1118" s="1364">
        <f>AL1040-AK1040</f>
        <v/>
      </c>
      <c r="AM1118" s="1364">
        <f>AM1040-AL1040</f>
        <v/>
      </c>
      <c r="AN1118" s="1364">
        <f>AN1040-AM1040</f>
        <v/>
      </c>
      <c r="AO1118" s="1378">
        <f>AO1040</f>
        <v/>
      </c>
      <c r="AP1118" s="1364">
        <f>AP1040</f>
        <v/>
      </c>
      <c r="AQ1118" s="1364">
        <f>AQ1040-AP1040</f>
        <v/>
      </c>
      <c r="AR1118" s="1364">
        <f>AR1040-AQ1040</f>
        <v/>
      </c>
      <c r="AS1118" s="1364">
        <f>AS1040-AR1040</f>
        <v/>
      </c>
      <c r="AT1118" s="1378">
        <f>AT1040</f>
        <v/>
      </c>
      <c r="AU1118" s="1364">
        <f>AU1040</f>
        <v/>
      </c>
      <c r="AV1118" s="1364">
        <f>AV1040-AU1040</f>
        <v/>
      </c>
      <c r="AW1118" s="1364">
        <f>AW1040-AV1040</f>
        <v/>
      </c>
      <c r="AX1118" s="1364">
        <f>AX1040-AW1040</f>
        <v/>
      </c>
      <c r="AY1118" s="1378">
        <f>AY1040</f>
        <v/>
      </c>
      <c r="AZ1118" s="1364">
        <f>AZ1040</f>
        <v/>
      </c>
      <c r="BA1118" s="1364">
        <f>BA1040-AZ1040</f>
        <v/>
      </c>
      <c r="BB1118" s="1364">
        <f>BB1040-BA1040</f>
        <v/>
      </c>
      <c r="BC1118" s="1364">
        <f>BC1040-BB1040</f>
        <v/>
      </c>
      <c r="BD1118" s="1378">
        <f>BD1040</f>
        <v/>
      </c>
      <c r="BE1118" s="1364">
        <f>BE1040</f>
        <v/>
      </c>
      <c r="BF1118" s="1364">
        <f>BF1040-BE1040</f>
        <v/>
      </c>
      <c r="BG1118" s="1364">
        <f>BG1040-BF1040</f>
        <v/>
      </c>
      <c r="BH1118" s="1364">
        <f>BH1040-BG1040</f>
        <v/>
      </c>
      <c r="BI1118" s="1378">
        <f>BI1040</f>
        <v/>
      </c>
      <c r="BJ1118" s="1364">
        <f>BJ1040</f>
        <v/>
      </c>
      <c r="BK1118" s="1364">
        <f>BK1040-BJ1040</f>
        <v/>
      </c>
      <c r="BL1118" s="1364">
        <f>BL1040-BK1040</f>
        <v/>
      </c>
      <c r="BM1118" s="1364">
        <f>BM1040-BL1040</f>
        <v/>
      </c>
      <c r="BN1118" s="1378">
        <f>BN1040</f>
        <v/>
      </c>
      <c r="BO1118" s="1364">
        <f>BO1040</f>
        <v/>
      </c>
      <c r="BP1118" s="1364">
        <f>BP1040-BO1040</f>
        <v/>
      </c>
      <c r="BQ1118" s="1395">
        <f>BQ1040-BP1040</f>
        <v/>
      </c>
      <c r="BR1118" s="1361">
        <f>BR942</f>
        <v/>
      </c>
      <c r="BS1118" s="1379">
        <f>SUM(BO1118,BP1118,BQ1118,BR1118)</f>
        <v/>
      </c>
      <c r="BT1118" s="1361">
        <f>BT942</f>
        <v/>
      </c>
      <c r="BU1118" s="1361">
        <f>BU942</f>
        <v/>
      </c>
      <c r="BV1118" s="1361">
        <f>BV942</f>
        <v/>
      </c>
      <c r="BW1118" s="1361">
        <f>BW942</f>
        <v/>
      </c>
      <c r="BX1118" s="1379">
        <f>SUM(BT1118,BU1118,BV1118,BW1118)</f>
        <v/>
      </c>
      <c r="BY1118" s="1379">
        <f>BY942</f>
        <v/>
      </c>
      <c r="BZ1118" s="1379">
        <f>BZ942</f>
        <v/>
      </c>
      <c r="CA1118" s="1379">
        <f>CA942</f>
        <v/>
      </c>
      <c r="CB1118" s="1364" t="n"/>
    </row>
    <row r="1119" ht="14.4" customFormat="1" customHeight="1" s="1359">
      <c r="A1119" s="1394">
        <f>A1041</f>
        <v/>
      </c>
      <c r="B1119" s="1361" t="n"/>
      <c r="C1119" s="1378">
        <f>C1041</f>
        <v/>
      </c>
      <c r="D1119" s="1378">
        <f>D1041</f>
        <v/>
      </c>
      <c r="E1119" s="1378">
        <f>E1041</f>
        <v/>
      </c>
      <c r="F1119" s="1378">
        <f>F1041</f>
        <v/>
      </c>
      <c r="G1119" s="1364">
        <f>G1041</f>
        <v/>
      </c>
      <c r="H1119" s="1364">
        <f>H1041-G1041</f>
        <v/>
      </c>
      <c r="I1119" s="1364">
        <f>I1041-H1041</f>
        <v/>
      </c>
      <c r="J1119" s="1364">
        <f>J1041-I1041</f>
        <v/>
      </c>
      <c r="K1119" s="1378">
        <f>K1041</f>
        <v/>
      </c>
      <c r="L1119" s="1364">
        <f>L1041</f>
        <v/>
      </c>
      <c r="M1119" s="1364">
        <f>M1041-L1041</f>
        <v/>
      </c>
      <c r="N1119" s="1364">
        <f>N1041-M1041</f>
        <v/>
      </c>
      <c r="O1119" s="1364">
        <f>O1041-N1041</f>
        <v/>
      </c>
      <c r="P1119" s="1378">
        <f>P1041</f>
        <v/>
      </c>
      <c r="Q1119" s="1364">
        <f>Q1041</f>
        <v/>
      </c>
      <c r="R1119" s="1364">
        <f>R1041-Q1041</f>
        <v/>
      </c>
      <c r="S1119" s="1364">
        <f>S1041-R1041</f>
        <v/>
      </c>
      <c r="T1119" s="1364">
        <f>T1041-S1041</f>
        <v/>
      </c>
      <c r="U1119" s="1378">
        <f>U1041</f>
        <v/>
      </c>
      <c r="V1119" s="1364">
        <f>V1041</f>
        <v/>
      </c>
      <c r="W1119" s="1364">
        <f>W1041-V1041</f>
        <v/>
      </c>
      <c r="X1119" s="1364">
        <f>X1041-W1041</f>
        <v/>
      </c>
      <c r="Y1119" s="1364">
        <f>Y1041-X1041</f>
        <v/>
      </c>
      <c r="Z1119" s="1378">
        <f>Z1041</f>
        <v/>
      </c>
      <c r="AA1119" s="1364">
        <f>AA1041</f>
        <v/>
      </c>
      <c r="AB1119" s="1364">
        <f>AB1041-AA1041</f>
        <v/>
      </c>
      <c r="AC1119" s="1364">
        <f>AC1041-AB1041</f>
        <v/>
      </c>
      <c r="AD1119" s="1364">
        <f>AD1041-AC1041</f>
        <v/>
      </c>
      <c r="AE1119" s="1378">
        <f>AE1041</f>
        <v/>
      </c>
      <c r="AF1119" s="1364">
        <f>AF1041</f>
        <v/>
      </c>
      <c r="AG1119" s="1364">
        <f>AG1041-AF1041</f>
        <v/>
      </c>
      <c r="AH1119" s="1364">
        <f>AH1041-AG1041</f>
        <v/>
      </c>
      <c r="AI1119" s="1364">
        <f>AI1041-AH1041</f>
        <v/>
      </c>
      <c r="AJ1119" s="1378">
        <f>AJ1041</f>
        <v/>
      </c>
      <c r="AK1119" s="1364">
        <f>AK1041</f>
        <v/>
      </c>
      <c r="AL1119" s="1364">
        <f>AL1041-AK1041</f>
        <v/>
      </c>
      <c r="AM1119" s="1364">
        <f>AM1041-AL1041</f>
        <v/>
      </c>
      <c r="AN1119" s="1364">
        <f>AN1041-AM1041</f>
        <v/>
      </c>
      <c r="AO1119" s="1378">
        <f>AO1041</f>
        <v/>
      </c>
      <c r="AP1119" s="1364">
        <f>AP1041</f>
        <v/>
      </c>
      <c r="AQ1119" s="1364">
        <f>AQ1041-AP1041</f>
        <v/>
      </c>
      <c r="AR1119" s="1364">
        <f>AR1041-AQ1041</f>
        <v/>
      </c>
      <c r="AS1119" s="1364">
        <f>AS1041-AR1041</f>
        <v/>
      </c>
      <c r="AT1119" s="1378">
        <f>AT1041</f>
        <v/>
      </c>
      <c r="AU1119" s="1364">
        <f>AU1041</f>
        <v/>
      </c>
      <c r="AV1119" s="1364">
        <f>AV1041-AU1041</f>
        <v/>
      </c>
      <c r="AW1119" s="1364">
        <f>AW1041-AV1041</f>
        <v/>
      </c>
      <c r="AX1119" s="1364">
        <f>AX1041-AW1041</f>
        <v/>
      </c>
      <c r="AY1119" s="1378">
        <f>AY1041</f>
        <v/>
      </c>
      <c r="AZ1119" s="1364">
        <f>AZ1041</f>
        <v/>
      </c>
      <c r="BA1119" s="1364">
        <f>BA1041-AZ1041</f>
        <v/>
      </c>
      <c r="BB1119" s="1364">
        <f>BB1041-BA1041</f>
        <v/>
      </c>
      <c r="BC1119" s="1364">
        <f>BC1041-BB1041</f>
        <v/>
      </c>
      <c r="BD1119" s="1378">
        <f>BD1041</f>
        <v/>
      </c>
      <c r="BE1119" s="1364">
        <f>BE1041</f>
        <v/>
      </c>
      <c r="BF1119" s="1364">
        <f>BF1041-BE1041</f>
        <v/>
      </c>
      <c r="BG1119" s="1364">
        <f>BG1041-BF1041</f>
        <v/>
      </c>
      <c r="BH1119" s="1364">
        <f>BH1041-BG1041</f>
        <v/>
      </c>
      <c r="BI1119" s="1378">
        <f>BI1041</f>
        <v/>
      </c>
      <c r="BJ1119" s="1364">
        <f>BJ1041</f>
        <v/>
      </c>
      <c r="BK1119" s="1364">
        <f>BK1041-BJ1041</f>
        <v/>
      </c>
      <c r="BL1119" s="1364">
        <f>BL1041-BK1041</f>
        <v/>
      </c>
      <c r="BM1119" s="1364">
        <f>BM1041-BL1041</f>
        <v/>
      </c>
      <c r="BN1119" s="1378">
        <f>BN1041</f>
        <v/>
      </c>
      <c r="BO1119" s="1364">
        <f>BO1041</f>
        <v/>
      </c>
      <c r="BP1119" s="1364">
        <f>BP1041-BO1041</f>
        <v/>
      </c>
      <c r="BQ1119" s="1395">
        <f>BQ1041-BP1041</f>
        <v/>
      </c>
      <c r="BR1119" s="1361" t="n"/>
      <c r="BS1119" s="1379">
        <f>SUM(BO1119,BP1119,BQ1119,BR1119)</f>
        <v/>
      </c>
      <c r="BT1119" s="1361" t="n"/>
      <c r="BU1119" s="1361" t="n"/>
      <c r="BV1119" s="1361" t="n"/>
      <c r="BW1119" s="1361" t="n"/>
      <c r="BX1119" s="1379">
        <f>SUM(BT1119,BU1119,BV1119,BW1119)</f>
        <v/>
      </c>
      <c r="BY1119" s="1379" t="n"/>
      <c r="BZ1119" s="1379" t="n"/>
      <c r="CA1119" s="1379" t="n"/>
      <c r="CB1119" s="1364" t="n"/>
    </row>
    <row r="1120" ht="14.4" customFormat="1" customHeight="1" s="1359">
      <c r="A1120" s="1394">
        <f>A1042</f>
        <v/>
      </c>
      <c r="B1120" s="1361" t="n"/>
      <c r="C1120" s="1378">
        <f>C1042</f>
        <v/>
      </c>
      <c r="D1120" s="1378">
        <f>D1042</f>
        <v/>
      </c>
      <c r="E1120" s="1378">
        <f>E1042</f>
        <v/>
      </c>
      <c r="F1120" s="1378">
        <f>F1042</f>
        <v/>
      </c>
      <c r="G1120" s="1364">
        <f>G1042</f>
        <v/>
      </c>
      <c r="H1120" s="1364">
        <f>H1042-G1042</f>
        <v/>
      </c>
      <c r="I1120" s="1364">
        <f>I1042-H1042</f>
        <v/>
      </c>
      <c r="J1120" s="1364">
        <f>J1042-I1042</f>
        <v/>
      </c>
      <c r="K1120" s="1378">
        <f>K1042</f>
        <v/>
      </c>
      <c r="L1120" s="1364">
        <f>L1042</f>
        <v/>
      </c>
      <c r="M1120" s="1364">
        <f>M1042-L1042</f>
        <v/>
      </c>
      <c r="N1120" s="1364">
        <f>N1042-M1042</f>
        <v/>
      </c>
      <c r="O1120" s="1364">
        <f>O1042-N1042</f>
        <v/>
      </c>
      <c r="P1120" s="1378">
        <f>P1042</f>
        <v/>
      </c>
      <c r="Q1120" s="1364">
        <f>Q1042</f>
        <v/>
      </c>
      <c r="R1120" s="1364">
        <f>R1042-Q1042</f>
        <v/>
      </c>
      <c r="S1120" s="1364">
        <f>S1042-R1042</f>
        <v/>
      </c>
      <c r="T1120" s="1364">
        <f>T1042-S1042</f>
        <v/>
      </c>
      <c r="U1120" s="1378">
        <f>U1042</f>
        <v/>
      </c>
      <c r="V1120" s="1364">
        <f>V1042</f>
        <v/>
      </c>
      <c r="W1120" s="1364">
        <f>W1042-V1042</f>
        <v/>
      </c>
      <c r="X1120" s="1364">
        <f>X1042-W1042</f>
        <v/>
      </c>
      <c r="Y1120" s="1364">
        <f>Y1042-X1042</f>
        <v/>
      </c>
      <c r="Z1120" s="1378">
        <f>Z1042</f>
        <v/>
      </c>
      <c r="AA1120" s="1364">
        <f>AA1042</f>
        <v/>
      </c>
      <c r="AB1120" s="1364">
        <f>AB1042-AA1042</f>
        <v/>
      </c>
      <c r="AC1120" s="1364">
        <f>AC1042-AB1042</f>
        <v/>
      </c>
      <c r="AD1120" s="1364">
        <f>AD1042-AC1042</f>
        <v/>
      </c>
      <c r="AE1120" s="1378">
        <f>AE1042</f>
        <v/>
      </c>
      <c r="AF1120" s="1364">
        <f>AF1042</f>
        <v/>
      </c>
      <c r="AG1120" s="1364">
        <f>AG1042-AF1042</f>
        <v/>
      </c>
      <c r="AH1120" s="1364">
        <f>AH1042-AG1042</f>
        <v/>
      </c>
      <c r="AI1120" s="1364">
        <f>AI1042-AH1042</f>
        <v/>
      </c>
      <c r="AJ1120" s="1378">
        <f>AJ1042</f>
        <v/>
      </c>
      <c r="AK1120" s="1364">
        <f>AK1042</f>
        <v/>
      </c>
      <c r="AL1120" s="1364">
        <f>AL1042-AK1042</f>
        <v/>
      </c>
      <c r="AM1120" s="1364">
        <f>AM1042-AL1042</f>
        <v/>
      </c>
      <c r="AN1120" s="1364">
        <f>AN1042-AM1042</f>
        <v/>
      </c>
      <c r="AO1120" s="1378">
        <f>AO1042</f>
        <v/>
      </c>
      <c r="AP1120" s="1364">
        <f>AP1042</f>
        <v/>
      </c>
      <c r="AQ1120" s="1364">
        <f>AQ1042-AP1042</f>
        <v/>
      </c>
      <c r="AR1120" s="1364">
        <f>AR1042-AQ1042</f>
        <v/>
      </c>
      <c r="AS1120" s="1364">
        <f>AS1042-AR1042</f>
        <v/>
      </c>
      <c r="AT1120" s="1378">
        <f>AT1042</f>
        <v/>
      </c>
      <c r="AU1120" s="1364">
        <f>AU1042</f>
        <v/>
      </c>
      <c r="AV1120" s="1364">
        <f>AV1042-AU1042</f>
        <v/>
      </c>
      <c r="AW1120" s="1364">
        <f>AW1042-AV1042</f>
        <v/>
      </c>
      <c r="AX1120" s="1364">
        <f>AX1042-AW1042</f>
        <v/>
      </c>
      <c r="AY1120" s="1378">
        <f>AY1042</f>
        <v/>
      </c>
      <c r="AZ1120" s="1364">
        <f>AZ1042</f>
        <v/>
      </c>
      <c r="BA1120" s="1364">
        <f>BA1042-AZ1042</f>
        <v/>
      </c>
      <c r="BB1120" s="1364">
        <f>BB1042-BA1042</f>
        <v/>
      </c>
      <c r="BC1120" s="1364">
        <f>BC1042-BB1042</f>
        <v/>
      </c>
      <c r="BD1120" s="1378">
        <f>BD1042</f>
        <v/>
      </c>
      <c r="BE1120" s="1364">
        <f>BE1042</f>
        <v/>
      </c>
      <c r="BF1120" s="1364">
        <f>BF1042-BE1042</f>
        <v/>
      </c>
      <c r="BG1120" s="1364">
        <f>BG1042-BF1042</f>
        <v/>
      </c>
      <c r="BH1120" s="1364">
        <f>BH1042-BG1042</f>
        <v/>
      </c>
      <c r="BI1120" s="1378">
        <f>BI1042</f>
        <v/>
      </c>
      <c r="BJ1120" s="1364">
        <f>BJ1042</f>
        <v/>
      </c>
      <c r="BK1120" s="1364">
        <f>BK1042-BJ1042</f>
        <v/>
      </c>
      <c r="BL1120" s="1364">
        <f>BL1042-BK1042</f>
        <v/>
      </c>
      <c r="BM1120" s="1364">
        <f>BM1042-BL1042</f>
        <v/>
      </c>
      <c r="BN1120" s="1378">
        <f>BN1042</f>
        <v/>
      </c>
      <c r="BO1120" s="1364">
        <f>BO1042</f>
        <v/>
      </c>
      <c r="BP1120" s="1364">
        <f>BP1042-BO1042</f>
        <v/>
      </c>
      <c r="BQ1120" s="1395">
        <f>BQ1042-BP1042</f>
        <v/>
      </c>
      <c r="BR1120" s="1361" t="n"/>
      <c r="BS1120" s="1379">
        <f>SUM(BO1120,BP1120,BQ1120,BR1120)</f>
        <v/>
      </c>
      <c r="BT1120" s="1361" t="n"/>
      <c r="BU1120" s="1361" t="n"/>
      <c r="BV1120" s="1361" t="n"/>
      <c r="BW1120" s="1361" t="n"/>
      <c r="BX1120" s="1379">
        <f>SUM(BT1120,BU1120,BV1120,BW1120)</f>
        <v/>
      </c>
      <c r="BY1120" s="1379" t="n"/>
      <c r="BZ1120" s="1379" t="n"/>
      <c r="CA1120" s="1379" t="n"/>
      <c r="CB1120" s="1364" t="n"/>
    </row>
    <row r="1121" ht="14.4" customFormat="1" customHeight="1" s="1359">
      <c r="A1121" s="1394">
        <f>A1043</f>
        <v/>
      </c>
      <c r="B1121" s="1361" t="n"/>
      <c r="C1121" s="1378">
        <f>C1043</f>
        <v/>
      </c>
      <c r="D1121" s="1378">
        <f>D1043</f>
        <v/>
      </c>
      <c r="E1121" s="1378">
        <f>E1043</f>
        <v/>
      </c>
      <c r="F1121" s="1378">
        <f>F1043</f>
        <v/>
      </c>
      <c r="G1121" s="1364">
        <f>G1043</f>
        <v/>
      </c>
      <c r="H1121" s="1364">
        <f>H1043-G1043</f>
        <v/>
      </c>
      <c r="I1121" s="1364">
        <f>I1043-H1043</f>
        <v/>
      </c>
      <c r="J1121" s="1364">
        <f>J1043-I1043</f>
        <v/>
      </c>
      <c r="K1121" s="1378">
        <f>K1043</f>
        <v/>
      </c>
      <c r="L1121" s="1364">
        <f>L1043</f>
        <v/>
      </c>
      <c r="M1121" s="1364">
        <f>M1043-L1043</f>
        <v/>
      </c>
      <c r="N1121" s="1364">
        <f>N1043-M1043</f>
        <v/>
      </c>
      <c r="O1121" s="1364">
        <f>O1043-N1043</f>
        <v/>
      </c>
      <c r="P1121" s="1378">
        <f>P1043</f>
        <v/>
      </c>
      <c r="Q1121" s="1364">
        <f>Q1043</f>
        <v/>
      </c>
      <c r="R1121" s="1364">
        <f>R1043-Q1043</f>
        <v/>
      </c>
      <c r="S1121" s="1364">
        <f>S1043-R1043</f>
        <v/>
      </c>
      <c r="T1121" s="1364">
        <f>T1043-S1043</f>
        <v/>
      </c>
      <c r="U1121" s="1378">
        <f>U1043</f>
        <v/>
      </c>
      <c r="V1121" s="1364">
        <f>V1043</f>
        <v/>
      </c>
      <c r="W1121" s="1364">
        <f>W1043-V1043</f>
        <v/>
      </c>
      <c r="X1121" s="1364">
        <f>X1043-W1043</f>
        <v/>
      </c>
      <c r="Y1121" s="1364">
        <f>Y1043-X1043</f>
        <v/>
      </c>
      <c r="Z1121" s="1378">
        <f>Z1043</f>
        <v/>
      </c>
      <c r="AA1121" s="1364">
        <f>AA1043</f>
        <v/>
      </c>
      <c r="AB1121" s="1364">
        <f>AB1043-AA1043</f>
        <v/>
      </c>
      <c r="AC1121" s="1364">
        <f>AC1043-AB1043</f>
        <v/>
      </c>
      <c r="AD1121" s="1364">
        <f>AD1043-AC1043</f>
        <v/>
      </c>
      <c r="AE1121" s="1378">
        <f>AE1043</f>
        <v/>
      </c>
      <c r="AF1121" s="1364">
        <f>AF1043</f>
        <v/>
      </c>
      <c r="AG1121" s="1364">
        <f>AG1043-AF1043</f>
        <v/>
      </c>
      <c r="AH1121" s="1364">
        <f>AH1043-AG1043</f>
        <v/>
      </c>
      <c r="AI1121" s="1364">
        <f>AI1043-AH1043</f>
        <v/>
      </c>
      <c r="AJ1121" s="1378">
        <f>AJ1043</f>
        <v/>
      </c>
      <c r="AK1121" s="1364">
        <f>AK1043</f>
        <v/>
      </c>
      <c r="AL1121" s="1364">
        <f>AL1043-AK1043</f>
        <v/>
      </c>
      <c r="AM1121" s="1364">
        <f>AM1043-AL1043</f>
        <v/>
      </c>
      <c r="AN1121" s="1364">
        <f>AN1043-AM1043</f>
        <v/>
      </c>
      <c r="AO1121" s="1378">
        <f>AO1043</f>
        <v/>
      </c>
      <c r="AP1121" s="1364">
        <f>AP1043</f>
        <v/>
      </c>
      <c r="AQ1121" s="1364">
        <f>AQ1043-AP1043</f>
        <v/>
      </c>
      <c r="AR1121" s="1364">
        <f>AR1043-AQ1043</f>
        <v/>
      </c>
      <c r="AS1121" s="1364">
        <f>AS1043-AR1043</f>
        <v/>
      </c>
      <c r="AT1121" s="1378">
        <f>AT1043</f>
        <v/>
      </c>
      <c r="AU1121" s="1364">
        <f>AU1043</f>
        <v/>
      </c>
      <c r="AV1121" s="1364">
        <f>AV1043-AU1043</f>
        <v/>
      </c>
      <c r="AW1121" s="1364">
        <f>AW1043-AV1043</f>
        <v/>
      </c>
      <c r="AX1121" s="1364">
        <f>AX1043-AW1043</f>
        <v/>
      </c>
      <c r="AY1121" s="1378">
        <f>AY1043</f>
        <v/>
      </c>
      <c r="AZ1121" s="1364">
        <f>AZ1043</f>
        <v/>
      </c>
      <c r="BA1121" s="1364">
        <f>BA1043-AZ1043</f>
        <v/>
      </c>
      <c r="BB1121" s="1364">
        <f>BB1043-BA1043</f>
        <v/>
      </c>
      <c r="BC1121" s="1364">
        <f>BC1043-BB1043</f>
        <v/>
      </c>
      <c r="BD1121" s="1378">
        <f>BD1043</f>
        <v/>
      </c>
      <c r="BE1121" s="1364">
        <f>BE1043</f>
        <v/>
      </c>
      <c r="BF1121" s="1364">
        <f>BF1043-BE1043</f>
        <v/>
      </c>
      <c r="BG1121" s="1364">
        <f>BG1043-BF1043</f>
        <v/>
      </c>
      <c r="BH1121" s="1364">
        <f>BH1043-BG1043</f>
        <v/>
      </c>
      <c r="BI1121" s="1378">
        <f>BI1043</f>
        <v/>
      </c>
      <c r="BJ1121" s="1364">
        <f>BJ1043</f>
        <v/>
      </c>
      <c r="BK1121" s="1364">
        <f>BK1043-BJ1043</f>
        <v/>
      </c>
      <c r="BL1121" s="1364">
        <f>BL1043-BK1043</f>
        <v/>
      </c>
      <c r="BM1121" s="1364">
        <f>BM1043-BL1043</f>
        <v/>
      </c>
      <c r="BN1121" s="1378">
        <f>BN1043</f>
        <v/>
      </c>
      <c r="BO1121" s="1364">
        <f>BO1043</f>
        <v/>
      </c>
      <c r="BP1121" s="1364">
        <f>BP1043-BO1043</f>
        <v/>
      </c>
      <c r="BQ1121" s="1395">
        <f>BQ1043-BP1043</f>
        <v/>
      </c>
      <c r="BR1121" s="1361" t="n"/>
      <c r="BS1121" s="1379">
        <f>SUM(BO1121,BP1121,BQ1121,BR1121)</f>
        <v/>
      </c>
      <c r="BT1121" s="1361" t="n"/>
      <c r="BU1121" s="1361" t="n"/>
      <c r="BV1121" s="1361" t="n"/>
      <c r="BW1121" s="1361" t="n"/>
      <c r="BX1121" s="1379">
        <f>SUM(BT1121,BU1121,BV1121,BW1121)</f>
        <v/>
      </c>
      <c r="BY1121" s="1379" t="n"/>
      <c r="BZ1121" s="1379" t="n"/>
      <c r="CA1121" s="1379" t="n"/>
      <c r="CB1121" s="1364" t="n"/>
    </row>
    <row r="1122" ht="14.4" customFormat="1" customHeight="1" s="1359">
      <c r="A1122" s="1394">
        <f>A1044</f>
        <v/>
      </c>
      <c r="B1122" s="1361" t="n"/>
      <c r="C1122" s="1378">
        <f>C1044</f>
        <v/>
      </c>
      <c r="D1122" s="1378">
        <f>D1044</f>
        <v/>
      </c>
      <c r="E1122" s="1378">
        <f>E1044</f>
        <v/>
      </c>
      <c r="F1122" s="1378">
        <f>F1044</f>
        <v/>
      </c>
      <c r="G1122" s="1364">
        <f>G1044</f>
        <v/>
      </c>
      <c r="H1122" s="1364">
        <f>H1044-G1044</f>
        <v/>
      </c>
      <c r="I1122" s="1364">
        <f>I1044-H1044</f>
        <v/>
      </c>
      <c r="J1122" s="1364">
        <f>J1044-I1044</f>
        <v/>
      </c>
      <c r="K1122" s="1378">
        <f>K1044</f>
        <v/>
      </c>
      <c r="L1122" s="1364">
        <f>L1044</f>
        <v/>
      </c>
      <c r="M1122" s="1364">
        <f>M1044-L1044</f>
        <v/>
      </c>
      <c r="N1122" s="1364">
        <f>N1044-M1044</f>
        <v/>
      </c>
      <c r="O1122" s="1364">
        <f>O1044-N1044</f>
        <v/>
      </c>
      <c r="P1122" s="1378">
        <f>P1044</f>
        <v/>
      </c>
      <c r="Q1122" s="1364">
        <f>Q1044</f>
        <v/>
      </c>
      <c r="R1122" s="1364">
        <f>R1044-Q1044</f>
        <v/>
      </c>
      <c r="S1122" s="1364">
        <f>S1044-R1044</f>
        <v/>
      </c>
      <c r="T1122" s="1364">
        <f>T1044-S1044</f>
        <v/>
      </c>
      <c r="U1122" s="1378">
        <f>U1044</f>
        <v/>
      </c>
      <c r="V1122" s="1364">
        <f>V1044</f>
        <v/>
      </c>
      <c r="W1122" s="1364">
        <f>W1044-V1044</f>
        <v/>
      </c>
      <c r="X1122" s="1364">
        <f>X1044-W1044</f>
        <v/>
      </c>
      <c r="Y1122" s="1364">
        <f>Y1044-X1044</f>
        <v/>
      </c>
      <c r="Z1122" s="1378">
        <f>Z1044</f>
        <v/>
      </c>
      <c r="AA1122" s="1364">
        <f>AA1044</f>
        <v/>
      </c>
      <c r="AB1122" s="1364">
        <f>AB1044-AA1044</f>
        <v/>
      </c>
      <c r="AC1122" s="1364">
        <f>AC1044-AB1044</f>
        <v/>
      </c>
      <c r="AD1122" s="1364">
        <f>AD1044-AC1044</f>
        <v/>
      </c>
      <c r="AE1122" s="1378">
        <f>AE1044</f>
        <v/>
      </c>
      <c r="AF1122" s="1364">
        <f>AF1044</f>
        <v/>
      </c>
      <c r="AG1122" s="1364">
        <f>AG1044-AF1044</f>
        <v/>
      </c>
      <c r="AH1122" s="1364">
        <f>AH1044-AG1044</f>
        <v/>
      </c>
      <c r="AI1122" s="1364">
        <f>AI1044-AH1044</f>
        <v/>
      </c>
      <c r="AJ1122" s="1378">
        <f>AJ1044</f>
        <v/>
      </c>
      <c r="AK1122" s="1364">
        <f>AK1044</f>
        <v/>
      </c>
      <c r="AL1122" s="1364">
        <f>AL1044-AK1044</f>
        <v/>
      </c>
      <c r="AM1122" s="1364">
        <f>AM1044-AL1044</f>
        <v/>
      </c>
      <c r="AN1122" s="1364">
        <f>AN1044-AM1044</f>
        <v/>
      </c>
      <c r="AO1122" s="1378">
        <f>AO1044</f>
        <v/>
      </c>
      <c r="AP1122" s="1364">
        <f>AP1044</f>
        <v/>
      </c>
      <c r="AQ1122" s="1364">
        <f>AQ1044-AP1044</f>
        <v/>
      </c>
      <c r="AR1122" s="1364">
        <f>AR1044-AQ1044</f>
        <v/>
      </c>
      <c r="AS1122" s="1364">
        <f>AS1044-AR1044</f>
        <v/>
      </c>
      <c r="AT1122" s="1378">
        <f>AT1044</f>
        <v/>
      </c>
      <c r="AU1122" s="1364">
        <f>AU1044</f>
        <v/>
      </c>
      <c r="AV1122" s="1364">
        <f>AV1044-AU1044</f>
        <v/>
      </c>
      <c r="AW1122" s="1364">
        <f>AW1044-AV1044</f>
        <v/>
      </c>
      <c r="AX1122" s="1364">
        <f>AX1044-AW1044</f>
        <v/>
      </c>
      <c r="AY1122" s="1378">
        <f>AY1044</f>
        <v/>
      </c>
      <c r="AZ1122" s="1364">
        <f>AZ1044</f>
        <v/>
      </c>
      <c r="BA1122" s="1364">
        <f>BA1044-AZ1044</f>
        <v/>
      </c>
      <c r="BB1122" s="1364">
        <f>BB1044-BA1044</f>
        <v/>
      </c>
      <c r="BC1122" s="1364">
        <f>BC1044-BB1044</f>
        <v/>
      </c>
      <c r="BD1122" s="1378">
        <f>BD1044</f>
        <v/>
      </c>
      <c r="BE1122" s="1364">
        <f>BE1044</f>
        <v/>
      </c>
      <c r="BF1122" s="1364">
        <f>BF1044-BE1044</f>
        <v/>
      </c>
      <c r="BG1122" s="1364">
        <f>BG1044-BF1044</f>
        <v/>
      </c>
      <c r="BH1122" s="1364">
        <f>BH1044-BG1044</f>
        <v/>
      </c>
      <c r="BI1122" s="1378">
        <f>BI1044</f>
        <v/>
      </c>
      <c r="BJ1122" s="1364">
        <f>BJ1044</f>
        <v/>
      </c>
      <c r="BK1122" s="1364">
        <f>BK1044-BJ1044</f>
        <v/>
      </c>
      <c r="BL1122" s="1364">
        <f>BL1044-BK1044</f>
        <v/>
      </c>
      <c r="BM1122" s="1364">
        <f>BM1044-BL1044</f>
        <v/>
      </c>
      <c r="BN1122" s="1378">
        <f>BN1044</f>
        <v/>
      </c>
      <c r="BO1122" s="1364">
        <f>BO1044</f>
        <v/>
      </c>
      <c r="BP1122" s="1364">
        <f>BP1044-BO1044</f>
        <v/>
      </c>
      <c r="BQ1122" s="1395">
        <f>BQ1044-BP1044</f>
        <v/>
      </c>
      <c r="BR1122" s="1361">
        <f>BR938</f>
        <v/>
      </c>
      <c r="BS1122" s="1379">
        <f>SUM(BO1122,BP1122,BQ1122,BR1122)</f>
        <v/>
      </c>
      <c r="BT1122" s="1361">
        <f>BT938</f>
        <v/>
      </c>
      <c r="BU1122" s="1361">
        <f>BU938</f>
        <v/>
      </c>
      <c r="BV1122" s="1361">
        <f>BV938</f>
        <v/>
      </c>
      <c r="BW1122" s="1361">
        <f>BW938</f>
        <v/>
      </c>
      <c r="BX1122" s="1379">
        <f>SUM(BT1122,BU1122,BV1122,BW1122)</f>
        <v/>
      </c>
      <c r="BY1122" s="1379">
        <f>BY938</f>
        <v/>
      </c>
      <c r="BZ1122" s="1379">
        <f>BZ938</f>
        <v/>
      </c>
      <c r="CA1122" s="1379">
        <f>CA938</f>
        <v/>
      </c>
      <c r="CB1122" s="1364" t="n"/>
    </row>
    <row r="1123" ht="14.4" customFormat="1" customHeight="1" s="1359">
      <c r="A1123" s="1394">
        <f>A1045</f>
        <v/>
      </c>
      <c r="B1123" s="1361" t="n"/>
      <c r="C1123" s="1378">
        <f>C1045</f>
        <v/>
      </c>
      <c r="D1123" s="1378">
        <f>D1045</f>
        <v/>
      </c>
      <c r="E1123" s="1378">
        <f>E1045</f>
        <v/>
      </c>
      <c r="F1123" s="1378">
        <f>F1045</f>
        <v/>
      </c>
      <c r="G1123" s="1364">
        <f>G1045</f>
        <v/>
      </c>
      <c r="H1123" s="1364">
        <f>H1045-G1045</f>
        <v/>
      </c>
      <c r="I1123" s="1364">
        <f>I1045-H1045</f>
        <v/>
      </c>
      <c r="J1123" s="1364">
        <f>J1045-I1045</f>
        <v/>
      </c>
      <c r="K1123" s="1378">
        <f>K1045</f>
        <v/>
      </c>
      <c r="L1123" s="1364">
        <f>L1045</f>
        <v/>
      </c>
      <c r="M1123" s="1364">
        <f>M1045-L1045</f>
        <v/>
      </c>
      <c r="N1123" s="1364">
        <f>N1045-M1045</f>
        <v/>
      </c>
      <c r="O1123" s="1364">
        <f>O1045-N1045</f>
        <v/>
      </c>
      <c r="P1123" s="1378">
        <f>P1045</f>
        <v/>
      </c>
      <c r="Q1123" s="1364">
        <f>Q1045</f>
        <v/>
      </c>
      <c r="R1123" s="1364">
        <f>R1045-Q1045</f>
        <v/>
      </c>
      <c r="S1123" s="1364">
        <f>S1045-R1045</f>
        <v/>
      </c>
      <c r="T1123" s="1364">
        <f>T1045-S1045</f>
        <v/>
      </c>
      <c r="U1123" s="1378">
        <f>U1045</f>
        <v/>
      </c>
      <c r="V1123" s="1364">
        <f>V1045</f>
        <v/>
      </c>
      <c r="W1123" s="1364">
        <f>W1045-V1045</f>
        <v/>
      </c>
      <c r="X1123" s="1364">
        <f>X1045-W1045</f>
        <v/>
      </c>
      <c r="Y1123" s="1364">
        <f>Y1045-X1045</f>
        <v/>
      </c>
      <c r="Z1123" s="1378">
        <f>Z1045</f>
        <v/>
      </c>
      <c r="AA1123" s="1364">
        <f>AA1045</f>
        <v/>
      </c>
      <c r="AB1123" s="1364">
        <f>AB1045-AA1045</f>
        <v/>
      </c>
      <c r="AC1123" s="1364">
        <f>AC1045-AB1045</f>
        <v/>
      </c>
      <c r="AD1123" s="1364">
        <f>AD1045-AC1045</f>
        <v/>
      </c>
      <c r="AE1123" s="1378">
        <f>AE1045</f>
        <v/>
      </c>
      <c r="AF1123" s="1364">
        <f>AF1045</f>
        <v/>
      </c>
      <c r="AG1123" s="1364">
        <f>AG1045-AF1045</f>
        <v/>
      </c>
      <c r="AH1123" s="1364">
        <f>AH1045-AG1045</f>
        <v/>
      </c>
      <c r="AI1123" s="1364">
        <f>AI1045-AH1045</f>
        <v/>
      </c>
      <c r="AJ1123" s="1378">
        <f>AJ1045</f>
        <v/>
      </c>
      <c r="AK1123" s="1364">
        <f>AK1045</f>
        <v/>
      </c>
      <c r="AL1123" s="1364">
        <f>AL1045-AK1045</f>
        <v/>
      </c>
      <c r="AM1123" s="1364">
        <f>AM1045-AL1045</f>
        <v/>
      </c>
      <c r="AN1123" s="1364">
        <f>AN1045-AM1045</f>
        <v/>
      </c>
      <c r="AO1123" s="1378">
        <f>AO1045</f>
        <v/>
      </c>
      <c r="AP1123" s="1364">
        <f>AP1045</f>
        <v/>
      </c>
      <c r="AQ1123" s="1364">
        <f>AQ1045-AP1045</f>
        <v/>
      </c>
      <c r="AR1123" s="1364">
        <f>AR1045-AQ1045</f>
        <v/>
      </c>
      <c r="AS1123" s="1364">
        <f>AS1045-AR1045</f>
        <v/>
      </c>
      <c r="AT1123" s="1378">
        <f>AT1045</f>
        <v/>
      </c>
      <c r="AU1123" s="1364">
        <f>AU1045</f>
        <v/>
      </c>
      <c r="AV1123" s="1364">
        <f>AV1045-AU1045</f>
        <v/>
      </c>
      <c r="AW1123" s="1364">
        <f>AW1045-AV1045</f>
        <v/>
      </c>
      <c r="AX1123" s="1364">
        <f>AX1045-AW1045</f>
        <v/>
      </c>
      <c r="AY1123" s="1378">
        <f>AY1045</f>
        <v/>
      </c>
      <c r="AZ1123" s="1364">
        <f>AZ1045</f>
        <v/>
      </c>
      <c r="BA1123" s="1364">
        <f>BA1045-AZ1045</f>
        <v/>
      </c>
      <c r="BB1123" s="1364">
        <f>BB1045-BA1045</f>
        <v/>
      </c>
      <c r="BC1123" s="1364">
        <f>BC1045-BB1045</f>
        <v/>
      </c>
      <c r="BD1123" s="1378">
        <f>BD1045</f>
        <v/>
      </c>
      <c r="BE1123" s="1364">
        <f>BE1045</f>
        <v/>
      </c>
      <c r="BF1123" s="1364">
        <f>BF1045-BE1045</f>
        <v/>
      </c>
      <c r="BG1123" s="1364">
        <f>BG1045-BF1045</f>
        <v/>
      </c>
      <c r="BH1123" s="1364">
        <f>BH1045-BG1045</f>
        <v/>
      </c>
      <c r="BI1123" s="1378">
        <f>BI1045</f>
        <v/>
      </c>
      <c r="BJ1123" s="1364">
        <f>BJ1045</f>
        <v/>
      </c>
      <c r="BK1123" s="1364">
        <f>BK1045-BJ1045</f>
        <v/>
      </c>
      <c r="BL1123" s="1364">
        <f>BL1045-BK1045</f>
        <v/>
      </c>
      <c r="BM1123" s="1364">
        <f>BM1045-BL1045</f>
        <v/>
      </c>
      <c r="BN1123" s="1378">
        <f>BN1045</f>
        <v/>
      </c>
      <c r="BO1123" s="1364">
        <f>BO1045</f>
        <v/>
      </c>
      <c r="BP1123" s="1364">
        <f>BP1045-BO1045</f>
        <v/>
      </c>
      <c r="BQ1123" s="1395">
        <f>BQ1045-BP1045</f>
        <v/>
      </c>
      <c r="BR1123" s="1361" t="n"/>
      <c r="BS1123" s="1379">
        <f>SUM(BO1123,BP1123,BQ1123,BR1123)</f>
        <v/>
      </c>
      <c r="BT1123" s="1361" t="n"/>
      <c r="BU1123" s="1361" t="n"/>
      <c r="BV1123" s="1361" t="n"/>
      <c r="BW1123" s="1361" t="n"/>
      <c r="BX1123" s="1379">
        <f>SUM(BT1123,BU1123,BV1123,BW1123)</f>
        <v/>
      </c>
      <c r="BY1123" s="1379" t="n"/>
      <c r="BZ1123" s="1379" t="n"/>
      <c r="CA1123" s="1379" t="n"/>
      <c r="CB1123" s="1364" t="n"/>
    </row>
    <row r="1124" ht="14.4" customFormat="1" customHeight="1" s="1359">
      <c r="A1124" s="1394">
        <f>A1046</f>
        <v/>
      </c>
      <c r="B1124" s="1361" t="n"/>
      <c r="C1124" s="1378">
        <f>C1046</f>
        <v/>
      </c>
      <c r="D1124" s="1378">
        <f>D1046</f>
        <v/>
      </c>
      <c r="E1124" s="1378">
        <f>E1046</f>
        <v/>
      </c>
      <c r="F1124" s="1378">
        <f>F1046</f>
        <v/>
      </c>
      <c r="G1124" s="1364">
        <f>G1046</f>
        <v/>
      </c>
      <c r="H1124" s="1364">
        <f>H1046-G1046</f>
        <v/>
      </c>
      <c r="I1124" s="1364">
        <f>I1046-H1046</f>
        <v/>
      </c>
      <c r="J1124" s="1364">
        <f>J1046-I1046</f>
        <v/>
      </c>
      <c r="K1124" s="1378">
        <f>K1046</f>
        <v/>
      </c>
      <c r="L1124" s="1364">
        <f>L1046</f>
        <v/>
      </c>
      <c r="M1124" s="1364">
        <f>M1046-L1046</f>
        <v/>
      </c>
      <c r="N1124" s="1364">
        <f>N1046-M1046</f>
        <v/>
      </c>
      <c r="O1124" s="1364">
        <f>O1046-N1046</f>
        <v/>
      </c>
      <c r="P1124" s="1378">
        <f>P1046</f>
        <v/>
      </c>
      <c r="Q1124" s="1364">
        <f>Q1046</f>
        <v/>
      </c>
      <c r="R1124" s="1364">
        <f>R1046-Q1046</f>
        <v/>
      </c>
      <c r="S1124" s="1364">
        <f>S1046-R1046</f>
        <v/>
      </c>
      <c r="T1124" s="1364">
        <f>T1046-S1046</f>
        <v/>
      </c>
      <c r="U1124" s="1378">
        <f>U1046</f>
        <v/>
      </c>
      <c r="V1124" s="1364">
        <f>V1046</f>
        <v/>
      </c>
      <c r="W1124" s="1364">
        <f>W1046-V1046</f>
        <v/>
      </c>
      <c r="X1124" s="1364">
        <f>X1046-W1046</f>
        <v/>
      </c>
      <c r="Y1124" s="1364">
        <f>Y1046-X1046</f>
        <v/>
      </c>
      <c r="Z1124" s="1378">
        <f>Z1046</f>
        <v/>
      </c>
      <c r="AA1124" s="1364">
        <f>AA1046</f>
        <v/>
      </c>
      <c r="AB1124" s="1364">
        <f>AB1046-AA1046</f>
        <v/>
      </c>
      <c r="AC1124" s="1364">
        <f>AC1046-AB1046</f>
        <v/>
      </c>
      <c r="AD1124" s="1364">
        <f>AD1046-AC1046</f>
        <v/>
      </c>
      <c r="AE1124" s="1378">
        <f>AE1046</f>
        <v/>
      </c>
      <c r="AF1124" s="1364">
        <f>AF1046</f>
        <v/>
      </c>
      <c r="AG1124" s="1364">
        <f>AG1046-AF1046</f>
        <v/>
      </c>
      <c r="AH1124" s="1364">
        <f>AH1046-AG1046</f>
        <v/>
      </c>
      <c r="AI1124" s="1364">
        <f>AI1046-AH1046</f>
        <v/>
      </c>
      <c r="AJ1124" s="1378">
        <f>AJ1046</f>
        <v/>
      </c>
      <c r="AK1124" s="1364">
        <f>AK1046</f>
        <v/>
      </c>
      <c r="AL1124" s="1364">
        <f>AL1046-AK1046</f>
        <v/>
      </c>
      <c r="AM1124" s="1364">
        <f>AM1046-AL1046</f>
        <v/>
      </c>
      <c r="AN1124" s="1364">
        <f>AN1046-AM1046</f>
        <v/>
      </c>
      <c r="AO1124" s="1378">
        <f>AO1046</f>
        <v/>
      </c>
      <c r="AP1124" s="1364">
        <f>AP1046</f>
        <v/>
      </c>
      <c r="AQ1124" s="1364">
        <f>AQ1046-AP1046</f>
        <v/>
      </c>
      <c r="AR1124" s="1364">
        <f>AR1046-AQ1046</f>
        <v/>
      </c>
      <c r="AS1124" s="1364">
        <f>AS1046-AR1046</f>
        <v/>
      </c>
      <c r="AT1124" s="1378">
        <f>AT1046</f>
        <v/>
      </c>
      <c r="AU1124" s="1364">
        <f>AU1046</f>
        <v/>
      </c>
      <c r="AV1124" s="1364">
        <f>AV1046-AU1046</f>
        <v/>
      </c>
      <c r="AW1124" s="1364">
        <f>AW1046-AV1046</f>
        <v/>
      </c>
      <c r="AX1124" s="1364">
        <f>AX1046-AW1046</f>
        <v/>
      </c>
      <c r="AY1124" s="1378">
        <f>AY1046</f>
        <v/>
      </c>
      <c r="AZ1124" s="1364">
        <f>AZ1046</f>
        <v/>
      </c>
      <c r="BA1124" s="1364">
        <f>BA1046-AZ1046</f>
        <v/>
      </c>
      <c r="BB1124" s="1364">
        <f>BB1046-BA1046</f>
        <v/>
      </c>
      <c r="BC1124" s="1364">
        <f>BC1046-BB1046</f>
        <v/>
      </c>
      <c r="BD1124" s="1378">
        <f>BD1046</f>
        <v/>
      </c>
      <c r="BE1124" s="1364">
        <f>BE1046</f>
        <v/>
      </c>
      <c r="BF1124" s="1364">
        <f>BF1046-BE1046</f>
        <v/>
      </c>
      <c r="BG1124" s="1364">
        <f>BG1046-BF1046</f>
        <v/>
      </c>
      <c r="BH1124" s="1364">
        <f>BH1046-BG1046</f>
        <v/>
      </c>
      <c r="BI1124" s="1378">
        <f>BI1046</f>
        <v/>
      </c>
      <c r="BJ1124" s="1364">
        <f>BJ1046</f>
        <v/>
      </c>
      <c r="BK1124" s="1364">
        <f>BK1046-BJ1046</f>
        <v/>
      </c>
      <c r="BL1124" s="1364">
        <f>BL1046-BK1046</f>
        <v/>
      </c>
      <c r="BM1124" s="1364">
        <f>BM1046-BL1046</f>
        <v/>
      </c>
      <c r="BN1124" s="1378">
        <f>BN1046</f>
        <v/>
      </c>
      <c r="BO1124" s="1364">
        <f>BO1046</f>
        <v/>
      </c>
      <c r="BP1124" s="1364">
        <f>BP1046-BO1046</f>
        <v/>
      </c>
      <c r="BQ1124" s="1395">
        <f>BQ1046-BP1046</f>
        <v/>
      </c>
      <c r="BR1124" s="1361" t="n"/>
      <c r="BS1124" s="1379">
        <f>SUM(BO1124,BP1124,BQ1124,BR1124)</f>
        <v/>
      </c>
      <c r="BT1124" s="1361" t="n"/>
      <c r="BU1124" s="1361" t="n"/>
      <c r="BV1124" s="1361" t="n"/>
      <c r="BW1124" s="1361" t="n"/>
      <c r="BX1124" s="1379">
        <f>SUM(BT1124,BU1124,BV1124,BW1124)</f>
        <v/>
      </c>
      <c r="BY1124" s="1379" t="n"/>
      <c r="BZ1124" s="1379" t="n"/>
      <c r="CA1124" s="1379" t="n"/>
      <c r="CB1124" s="1364" t="n"/>
    </row>
    <row r="1125" ht="14.4" customFormat="1" customHeight="1" s="1359">
      <c r="A1125" s="1394">
        <f>A1047</f>
        <v/>
      </c>
      <c r="B1125" s="1361" t="n"/>
      <c r="C1125" s="1378">
        <f>C1047</f>
        <v/>
      </c>
      <c r="D1125" s="1378">
        <f>D1047</f>
        <v/>
      </c>
      <c r="E1125" s="1378">
        <f>E1047</f>
        <v/>
      </c>
      <c r="F1125" s="1378">
        <f>F1047</f>
        <v/>
      </c>
      <c r="G1125" s="1364">
        <f>G1047</f>
        <v/>
      </c>
      <c r="H1125" s="1364">
        <f>H1047-G1047</f>
        <v/>
      </c>
      <c r="I1125" s="1364">
        <f>I1047-H1047</f>
        <v/>
      </c>
      <c r="J1125" s="1364">
        <f>J1047-I1047</f>
        <v/>
      </c>
      <c r="K1125" s="1378">
        <f>K1047</f>
        <v/>
      </c>
      <c r="L1125" s="1364">
        <f>L1047</f>
        <v/>
      </c>
      <c r="M1125" s="1364">
        <f>M1047-L1047</f>
        <v/>
      </c>
      <c r="N1125" s="1364">
        <f>N1047-M1047</f>
        <v/>
      </c>
      <c r="O1125" s="1364">
        <f>O1047-N1047</f>
        <v/>
      </c>
      <c r="P1125" s="1378">
        <f>P1047</f>
        <v/>
      </c>
      <c r="Q1125" s="1364">
        <f>Q1047</f>
        <v/>
      </c>
      <c r="R1125" s="1364">
        <f>R1047-Q1047</f>
        <v/>
      </c>
      <c r="S1125" s="1364">
        <f>S1047-R1047</f>
        <v/>
      </c>
      <c r="T1125" s="1364">
        <f>T1047-S1047</f>
        <v/>
      </c>
      <c r="U1125" s="1378">
        <f>U1047</f>
        <v/>
      </c>
      <c r="V1125" s="1364">
        <f>V1047</f>
        <v/>
      </c>
      <c r="W1125" s="1364">
        <f>W1047-V1047</f>
        <v/>
      </c>
      <c r="X1125" s="1364">
        <f>X1047-W1047</f>
        <v/>
      </c>
      <c r="Y1125" s="1364">
        <f>Y1047-X1047</f>
        <v/>
      </c>
      <c r="Z1125" s="1378">
        <f>Z1047</f>
        <v/>
      </c>
      <c r="AA1125" s="1364">
        <f>AA1047</f>
        <v/>
      </c>
      <c r="AB1125" s="1364">
        <f>AB1047-AA1047</f>
        <v/>
      </c>
      <c r="AC1125" s="1364">
        <f>AC1047-AB1047</f>
        <v/>
      </c>
      <c r="AD1125" s="1364">
        <f>AD1047-AC1047</f>
        <v/>
      </c>
      <c r="AE1125" s="1378">
        <f>AE1047</f>
        <v/>
      </c>
      <c r="AF1125" s="1364">
        <f>AF1047</f>
        <v/>
      </c>
      <c r="AG1125" s="1364">
        <f>AG1047-AF1047</f>
        <v/>
      </c>
      <c r="AH1125" s="1364">
        <f>AH1047-AG1047</f>
        <v/>
      </c>
      <c r="AI1125" s="1364">
        <f>AI1047-AH1047</f>
        <v/>
      </c>
      <c r="AJ1125" s="1378">
        <f>AJ1047</f>
        <v/>
      </c>
      <c r="AK1125" s="1364">
        <f>AK1047</f>
        <v/>
      </c>
      <c r="AL1125" s="1364">
        <f>AL1047-AK1047</f>
        <v/>
      </c>
      <c r="AM1125" s="1364">
        <f>AM1047-AL1047</f>
        <v/>
      </c>
      <c r="AN1125" s="1364">
        <f>AN1047-AM1047</f>
        <v/>
      </c>
      <c r="AO1125" s="1378">
        <f>AO1047</f>
        <v/>
      </c>
      <c r="AP1125" s="1364">
        <f>AP1047</f>
        <v/>
      </c>
      <c r="AQ1125" s="1364">
        <f>AQ1047-AP1047</f>
        <v/>
      </c>
      <c r="AR1125" s="1364">
        <f>AR1047-AQ1047</f>
        <v/>
      </c>
      <c r="AS1125" s="1364">
        <f>AS1047-AR1047</f>
        <v/>
      </c>
      <c r="AT1125" s="1378">
        <f>AT1047</f>
        <v/>
      </c>
      <c r="AU1125" s="1364">
        <f>AU1047</f>
        <v/>
      </c>
      <c r="AV1125" s="1364">
        <f>AV1047-AU1047</f>
        <v/>
      </c>
      <c r="AW1125" s="1364">
        <f>AW1047-AV1047</f>
        <v/>
      </c>
      <c r="AX1125" s="1364">
        <f>AX1047-AW1047</f>
        <v/>
      </c>
      <c r="AY1125" s="1378">
        <f>AY1047</f>
        <v/>
      </c>
      <c r="AZ1125" s="1364">
        <f>AZ1047</f>
        <v/>
      </c>
      <c r="BA1125" s="1364">
        <f>BA1047-AZ1047</f>
        <v/>
      </c>
      <c r="BB1125" s="1364">
        <f>BB1047-BA1047</f>
        <v/>
      </c>
      <c r="BC1125" s="1364">
        <f>BC1047-BB1047</f>
        <v/>
      </c>
      <c r="BD1125" s="1378">
        <f>BD1047</f>
        <v/>
      </c>
      <c r="BE1125" s="1364">
        <f>BE1047</f>
        <v/>
      </c>
      <c r="BF1125" s="1364">
        <f>BF1047-BE1047</f>
        <v/>
      </c>
      <c r="BG1125" s="1364">
        <f>BG1047-BF1047</f>
        <v/>
      </c>
      <c r="BH1125" s="1364">
        <f>BH1047-BG1047</f>
        <v/>
      </c>
      <c r="BI1125" s="1378">
        <f>BI1047</f>
        <v/>
      </c>
      <c r="BJ1125" s="1364">
        <f>BJ1047</f>
        <v/>
      </c>
      <c r="BK1125" s="1364">
        <f>BK1047-BJ1047</f>
        <v/>
      </c>
      <c r="BL1125" s="1364">
        <f>BL1047-BK1047</f>
        <v/>
      </c>
      <c r="BM1125" s="1364">
        <f>BM1047-BL1047</f>
        <v/>
      </c>
      <c r="BN1125" s="1378">
        <f>BN1047</f>
        <v/>
      </c>
      <c r="BO1125" s="1364">
        <f>BO1047</f>
        <v/>
      </c>
      <c r="BP1125" s="1364">
        <f>BP1047-BO1047</f>
        <v/>
      </c>
      <c r="BQ1125" s="1395">
        <f>BQ1047-BP1047</f>
        <v/>
      </c>
      <c r="BR1125" s="1361" t="n"/>
      <c r="BS1125" s="1379">
        <f>SUM(BO1125,BP1125,BQ1125,BR1125)</f>
        <v/>
      </c>
      <c r="BT1125" s="1361" t="n"/>
      <c r="BU1125" s="1361" t="n"/>
      <c r="BV1125" s="1361" t="n"/>
      <c r="BW1125" s="1361" t="n"/>
      <c r="BX1125" s="1379">
        <f>SUM(BT1125,BU1125,BV1125,BW1125)</f>
        <v/>
      </c>
      <c r="BY1125" s="1379" t="n"/>
      <c r="BZ1125" s="1379" t="n"/>
      <c r="CA1125" s="1379" t="n"/>
      <c r="CB1125" s="1364" t="n"/>
    </row>
    <row r="1126" ht="14.4" customFormat="1" customHeight="1" s="1359">
      <c r="A1126" s="1453">
        <f>A1048</f>
        <v/>
      </c>
      <c r="B1126" s="1456" t="n"/>
      <c r="C1126" s="1518">
        <f>C1048</f>
        <v/>
      </c>
      <c r="D1126" s="1518">
        <f>D1048</f>
        <v/>
      </c>
      <c r="E1126" s="1518">
        <f>E1048</f>
        <v/>
      </c>
      <c r="F1126" s="1518">
        <f>F1048</f>
        <v/>
      </c>
      <c r="G1126" s="1510">
        <f>G1048</f>
        <v/>
      </c>
      <c r="H1126" s="1510">
        <f>H1048-G1048</f>
        <v/>
      </c>
      <c r="I1126" s="1510">
        <f>I1048-H1048</f>
        <v/>
      </c>
      <c r="J1126" s="1510">
        <f>J1048-I1048</f>
        <v/>
      </c>
      <c r="K1126" s="1518">
        <f>K1048</f>
        <v/>
      </c>
      <c r="L1126" s="1510">
        <f>L1048</f>
        <v/>
      </c>
      <c r="M1126" s="1510">
        <f>M1048-L1048</f>
        <v/>
      </c>
      <c r="N1126" s="1510">
        <f>N1048-M1048</f>
        <v/>
      </c>
      <c r="O1126" s="1510">
        <f>O1048-N1048</f>
        <v/>
      </c>
      <c r="P1126" s="1518">
        <f>P1048</f>
        <v/>
      </c>
      <c r="Q1126" s="1510">
        <f>Q1048</f>
        <v/>
      </c>
      <c r="R1126" s="1510">
        <f>R1048-Q1048</f>
        <v/>
      </c>
      <c r="S1126" s="1510">
        <f>S1048-R1048</f>
        <v/>
      </c>
      <c r="T1126" s="1510">
        <f>T1048-S1048</f>
        <v/>
      </c>
      <c r="U1126" s="1518">
        <f>U1048</f>
        <v/>
      </c>
      <c r="V1126" s="1510">
        <f>V1048</f>
        <v/>
      </c>
      <c r="W1126" s="1510">
        <f>W1048-V1048</f>
        <v/>
      </c>
      <c r="X1126" s="1510">
        <f>X1048-W1048</f>
        <v/>
      </c>
      <c r="Y1126" s="1510">
        <f>Y1048-X1048</f>
        <v/>
      </c>
      <c r="Z1126" s="1518">
        <f>Z1048</f>
        <v/>
      </c>
      <c r="AA1126" s="1510">
        <f>AA1048</f>
        <v/>
      </c>
      <c r="AB1126" s="1510">
        <f>AB1048-AA1048</f>
        <v/>
      </c>
      <c r="AC1126" s="1510">
        <f>AC1048-AB1048</f>
        <v/>
      </c>
      <c r="AD1126" s="1510">
        <f>AD1048-AC1048</f>
        <v/>
      </c>
      <c r="AE1126" s="1518">
        <f>AE1048</f>
        <v/>
      </c>
      <c r="AF1126" s="1510">
        <f>AF1048</f>
        <v/>
      </c>
      <c r="AG1126" s="1510">
        <f>AG1048-AF1048</f>
        <v/>
      </c>
      <c r="AH1126" s="1510">
        <f>AH1048-AG1048</f>
        <v/>
      </c>
      <c r="AI1126" s="1510">
        <f>AI1048-AH1048</f>
        <v/>
      </c>
      <c r="AJ1126" s="1518">
        <f>AJ1048</f>
        <v/>
      </c>
      <c r="AK1126" s="1510">
        <f>AK1048</f>
        <v/>
      </c>
      <c r="AL1126" s="1510">
        <f>AL1048-AK1048</f>
        <v/>
      </c>
      <c r="AM1126" s="1510">
        <f>AM1048-AL1048</f>
        <v/>
      </c>
      <c r="AN1126" s="1510">
        <f>AN1048-AM1048</f>
        <v/>
      </c>
      <c r="AO1126" s="1518">
        <f>AO1048</f>
        <v/>
      </c>
      <c r="AP1126" s="1510">
        <f>AP1048</f>
        <v/>
      </c>
      <c r="AQ1126" s="1510">
        <f>AQ1048-AP1048</f>
        <v/>
      </c>
      <c r="AR1126" s="1510">
        <f>AR1048-AQ1048</f>
        <v/>
      </c>
      <c r="AS1126" s="1510">
        <f>AS1048-AR1048</f>
        <v/>
      </c>
      <c r="AT1126" s="1518">
        <f>AT1048</f>
        <v/>
      </c>
      <c r="AU1126" s="1510">
        <f>AU1048</f>
        <v/>
      </c>
      <c r="AV1126" s="1510">
        <f>AV1048-AU1048</f>
        <v/>
      </c>
      <c r="AW1126" s="1510">
        <f>AW1048-AV1048</f>
        <v/>
      </c>
      <c r="AX1126" s="1510">
        <f>AX1048-AW1048</f>
        <v/>
      </c>
      <c r="AY1126" s="1518">
        <f>AY1048</f>
        <v/>
      </c>
      <c r="AZ1126" s="1510">
        <f>AZ1048</f>
        <v/>
      </c>
      <c r="BA1126" s="1510">
        <f>BA1048-AZ1048</f>
        <v/>
      </c>
      <c r="BB1126" s="1510">
        <f>BB1048-BA1048</f>
        <v/>
      </c>
      <c r="BC1126" s="1510">
        <f>BC1048-BB1048</f>
        <v/>
      </c>
      <c r="BD1126" s="1518">
        <f>BD1048</f>
        <v/>
      </c>
      <c r="BE1126" s="1510">
        <f>BE1048</f>
        <v/>
      </c>
      <c r="BF1126" s="1510">
        <f>BF1048-BE1048</f>
        <v/>
      </c>
      <c r="BG1126" s="1510">
        <f>BG1048-BF1048</f>
        <v/>
      </c>
      <c r="BH1126" s="1510">
        <f>BH1048-BG1048</f>
        <v/>
      </c>
      <c r="BI1126" s="1518">
        <f>BI1048</f>
        <v/>
      </c>
      <c r="BJ1126" s="1510">
        <f>BJ1048</f>
        <v/>
      </c>
      <c r="BK1126" s="1510">
        <f>BK1048-BJ1048</f>
        <v/>
      </c>
      <c r="BL1126" s="1510">
        <f>BL1048-BK1048</f>
        <v/>
      </c>
      <c r="BM1126" s="1510">
        <f>BM1048-BL1048</f>
        <v/>
      </c>
      <c r="BN1126" s="1518">
        <f>BN1048</f>
        <v/>
      </c>
      <c r="BO1126" s="1510">
        <f>BO1048</f>
        <v/>
      </c>
      <c r="BP1126" s="1510">
        <f>BP1048-BO1048</f>
        <v/>
      </c>
      <c r="BQ1126" s="1511">
        <f>BQ1048-BP1048</f>
        <v/>
      </c>
      <c r="BR1126" s="1456">
        <f>BR941</f>
        <v/>
      </c>
      <c r="BS1126" s="1455">
        <f>SUM(BO1126,BP1126,BQ1126,BR1126)</f>
        <v/>
      </c>
      <c r="BT1126" s="1456">
        <f>BT941</f>
        <v/>
      </c>
      <c r="BU1126" s="1456">
        <f>BU941</f>
        <v/>
      </c>
      <c r="BV1126" s="1456">
        <f>BV941</f>
        <v/>
      </c>
      <c r="BW1126" s="1456">
        <f>BW941</f>
        <v/>
      </c>
      <c r="BX1126" s="1455">
        <f>SUM(BT1126,BU1126,BV1126,BW1126)</f>
        <v/>
      </c>
      <c r="BY1126" s="1455">
        <f>BY941</f>
        <v/>
      </c>
      <c r="BZ1126" s="1455">
        <f>BZ941</f>
        <v/>
      </c>
      <c r="CA1126" s="1455">
        <f>CA941</f>
        <v/>
      </c>
      <c r="CB1126" s="1364" t="n"/>
    </row>
    <row r="1127" ht="14.4" customFormat="1" customHeight="1" s="1372">
      <c r="A1127" s="1400">
        <f>A1049</f>
        <v/>
      </c>
      <c r="B1127" s="1516" t="n"/>
      <c r="C1127" s="1402">
        <f>SUM(C1113:C1126)</f>
        <v/>
      </c>
      <c r="D1127" s="1402">
        <f>SUM(D1113:D1126)</f>
        <v/>
      </c>
      <c r="E1127" s="1402">
        <f>SUM(E1113:E1126)</f>
        <v/>
      </c>
      <c r="F1127" s="1402">
        <f>SUM(F1113:F1126)</f>
        <v/>
      </c>
      <c r="G1127" s="1403">
        <f>SUM(G1113:G1126)</f>
        <v/>
      </c>
      <c r="H1127" s="1403">
        <f>SUM(H1113:H1126)</f>
        <v/>
      </c>
      <c r="I1127" s="1403">
        <f>SUM(I1113:I1126)</f>
        <v/>
      </c>
      <c r="J1127" s="1403">
        <f>SUM(J1113:J1126)</f>
        <v/>
      </c>
      <c r="K1127" s="1402">
        <f>SUM(K1113:K1126)</f>
        <v/>
      </c>
      <c r="L1127" s="1403">
        <f>SUM(L1113:L1126)</f>
        <v/>
      </c>
      <c r="M1127" s="1403">
        <f>SUM(M1113:M1126)</f>
        <v/>
      </c>
      <c r="N1127" s="1403">
        <f>SUM(N1113:N1126)</f>
        <v/>
      </c>
      <c r="O1127" s="1403">
        <f>SUM(O1113:O1126)</f>
        <v/>
      </c>
      <c r="P1127" s="1402">
        <f>SUM(P1113:P1126)</f>
        <v/>
      </c>
      <c r="Q1127" s="1403">
        <f>SUM(Q1113:Q1126)</f>
        <v/>
      </c>
      <c r="R1127" s="1403">
        <f>SUM(R1113:R1126)</f>
        <v/>
      </c>
      <c r="S1127" s="1403">
        <f>SUM(S1113:S1126)</f>
        <v/>
      </c>
      <c r="T1127" s="1403">
        <f>SUM(T1113:T1126)</f>
        <v/>
      </c>
      <c r="U1127" s="1402">
        <f>SUM(U1113:U1126)</f>
        <v/>
      </c>
      <c r="V1127" s="1403">
        <f>SUM(V1113:V1126)</f>
        <v/>
      </c>
      <c r="W1127" s="1403">
        <f>SUM(W1113:W1126)</f>
        <v/>
      </c>
      <c r="X1127" s="1403">
        <f>SUM(X1113:X1126)</f>
        <v/>
      </c>
      <c r="Y1127" s="1403">
        <f>SUM(Y1113:Y1126)</f>
        <v/>
      </c>
      <c r="Z1127" s="1402">
        <f>SUM(Z1113:Z1126)</f>
        <v/>
      </c>
      <c r="AA1127" s="1403">
        <f>SUM(AA1113:AA1126)</f>
        <v/>
      </c>
      <c r="AB1127" s="1403">
        <f>SUM(AB1113:AB1126)</f>
        <v/>
      </c>
      <c r="AC1127" s="1403">
        <f>SUM(AC1113:AC1126)</f>
        <v/>
      </c>
      <c r="AD1127" s="1403">
        <f>SUM(AD1113:AD1126)</f>
        <v/>
      </c>
      <c r="AE1127" s="1402">
        <f>SUM(AE1113:AE1126)</f>
        <v/>
      </c>
      <c r="AF1127" s="1403">
        <f>SUM(AF1113:AF1126)</f>
        <v/>
      </c>
      <c r="AG1127" s="1403">
        <f>SUM(AG1113:AG1126)</f>
        <v/>
      </c>
      <c r="AH1127" s="1403">
        <f>SUM(AH1113:AH1126)</f>
        <v/>
      </c>
      <c r="AI1127" s="1403">
        <f>SUM(AI1113:AI1126)</f>
        <v/>
      </c>
      <c r="AJ1127" s="1402">
        <f>SUM(AJ1113:AJ1126)</f>
        <v/>
      </c>
      <c r="AK1127" s="1403">
        <f>SUM(AK1113:AK1126)</f>
        <v/>
      </c>
      <c r="AL1127" s="1403">
        <f>SUM(AL1113:AL1126)</f>
        <v/>
      </c>
      <c r="AM1127" s="1403">
        <f>SUM(AM1113:AM1126)</f>
        <v/>
      </c>
      <c r="AN1127" s="1403">
        <f>SUM(AN1113:AN1126)</f>
        <v/>
      </c>
      <c r="AO1127" s="1402">
        <f>SUM(AO1113:AO1126)</f>
        <v/>
      </c>
      <c r="AP1127" s="1403">
        <f>SUM(AP1113:AP1126)</f>
        <v/>
      </c>
      <c r="AQ1127" s="1403">
        <f>SUM(AQ1113:AQ1126)</f>
        <v/>
      </c>
      <c r="AR1127" s="1403">
        <f>SUM(AR1113:AR1126)</f>
        <v/>
      </c>
      <c r="AS1127" s="1403">
        <f>SUM(AS1113:AS1126)</f>
        <v/>
      </c>
      <c r="AT1127" s="1402">
        <f>SUM(AT1113:AT1126)</f>
        <v/>
      </c>
      <c r="AU1127" s="1403">
        <f>SUM(AU1113:AU1126)</f>
        <v/>
      </c>
      <c r="AV1127" s="1403">
        <f>SUM(AV1113:AV1126)</f>
        <v/>
      </c>
      <c r="AW1127" s="1403">
        <f>SUM(AW1113:AW1126)</f>
        <v/>
      </c>
      <c r="AX1127" s="1403">
        <f>SUM(AX1113:AX1126)</f>
        <v/>
      </c>
      <c r="AY1127" s="1402">
        <f>SUM(AY1113:AY1126)</f>
        <v/>
      </c>
      <c r="AZ1127" s="1403">
        <f>SUM(AZ1113:AZ1126)</f>
        <v/>
      </c>
      <c r="BA1127" s="1403">
        <f>SUM(BA1113:BA1126)</f>
        <v/>
      </c>
      <c r="BB1127" s="1403">
        <f>SUM(BB1113:BB1126)</f>
        <v/>
      </c>
      <c r="BC1127" s="1403">
        <f>SUM(BC1113:BC1126)</f>
        <v/>
      </c>
      <c r="BD1127" s="1402">
        <f>SUM(BD1113:BD1126)</f>
        <v/>
      </c>
      <c r="BE1127" s="1403">
        <f>SUM(BE1113:BE1126)</f>
        <v/>
      </c>
      <c r="BF1127" s="1403">
        <f>SUM(BF1113:BF1126)</f>
        <v/>
      </c>
      <c r="BG1127" s="1403">
        <f>SUM(BG1113:BG1126)</f>
        <v/>
      </c>
      <c r="BH1127" s="1403">
        <f>SUM(BH1113:BH1126)</f>
        <v/>
      </c>
      <c r="BI1127" s="1402">
        <f>SUM(BI1113:BI1126)</f>
        <v/>
      </c>
      <c r="BJ1127" s="1403">
        <f>SUM(BJ1113:BJ1126)</f>
        <v/>
      </c>
      <c r="BK1127" s="1403">
        <f>SUM(BK1113:BK1126)</f>
        <v/>
      </c>
      <c r="BL1127" s="1403">
        <f>SUM(BL1113:BL1126)</f>
        <v/>
      </c>
      <c r="BM1127" s="1403">
        <f>SUM(BM1113:BM1126)</f>
        <v/>
      </c>
      <c r="BN1127" s="1402">
        <f>SUM(BN1113:BN1126)</f>
        <v/>
      </c>
      <c r="BO1127" s="1403">
        <f>SUM(BO1113:BO1126)</f>
        <v/>
      </c>
      <c r="BP1127" s="1403">
        <f>SUM(BP1113:BP1126)</f>
        <v/>
      </c>
      <c r="BQ1127" s="1406">
        <f>SUM(BQ1113:BQ1126)</f>
        <v/>
      </c>
      <c r="BR1127" s="1404">
        <f>SUM(BR1113:BR1126)</f>
        <v/>
      </c>
      <c r="BS1127" s="1405">
        <f>SUM(BS1113:BS1126)</f>
        <v/>
      </c>
      <c r="BT1127" s="1404">
        <f>SUM(BT1113:BT1126)</f>
        <v/>
      </c>
      <c r="BU1127" s="1404">
        <f>SUM(BU1113:BU1126)</f>
        <v/>
      </c>
      <c r="BV1127" s="1404">
        <f>SUM(BV1113:BV1126)</f>
        <v/>
      </c>
      <c r="BW1127" s="1404">
        <f>SUM(BW1113:BW1126)</f>
        <v/>
      </c>
      <c r="BX1127" s="1405">
        <f>SUM(BX1113:BX1126)</f>
        <v/>
      </c>
      <c r="BY1127" s="1405">
        <f>SUM(BY1113:BY1126)</f>
        <v/>
      </c>
      <c r="BZ1127" s="1405">
        <f>SUM(BZ1113:BZ1126)</f>
        <v/>
      </c>
      <c r="CA1127" s="1405">
        <f>SUM(CA1113:CA1126)</f>
        <v/>
      </c>
      <c r="CB1127" s="1375" t="n"/>
    </row>
    <row r="1128" ht="14.4" customFormat="1" customHeight="1" s="1372">
      <c r="A1128" s="1447" t="n"/>
      <c r="B1128" s="1517" t="n"/>
      <c r="C1128" s="1449" t="n"/>
      <c r="D1128" s="1449" t="n"/>
      <c r="E1128" s="1449" t="n"/>
      <c r="F1128" s="1449" t="n"/>
      <c r="G1128" s="1450" t="n"/>
      <c r="H1128" s="1450" t="n"/>
      <c r="I1128" s="1450" t="n"/>
      <c r="J1128" s="1450" t="n"/>
      <c r="K1128" s="1449" t="n"/>
      <c r="L1128" s="1450" t="n"/>
      <c r="M1128" s="1450" t="n"/>
      <c r="N1128" s="1450" t="n"/>
      <c r="O1128" s="1450" t="n"/>
      <c r="P1128" s="1449" t="n"/>
      <c r="Q1128" s="1450" t="n"/>
      <c r="R1128" s="1450" t="n"/>
      <c r="S1128" s="1450" t="n"/>
      <c r="T1128" s="1450" t="n"/>
      <c r="U1128" s="1449" t="n"/>
      <c r="V1128" s="1450" t="n"/>
      <c r="W1128" s="1450" t="n"/>
      <c r="X1128" s="1450" t="n"/>
      <c r="Y1128" s="1450" t="n"/>
      <c r="Z1128" s="1449" t="n"/>
      <c r="AA1128" s="1450" t="n"/>
      <c r="AB1128" s="1450" t="n"/>
      <c r="AC1128" s="1450" t="n"/>
      <c r="AD1128" s="1450" t="n"/>
      <c r="AE1128" s="1449" t="n"/>
      <c r="AF1128" s="1450" t="n"/>
      <c r="AG1128" s="1450" t="n"/>
      <c r="AH1128" s="1450" t="n"/>
      <c r="AI1128" s="1450" t="n"/>
      <c r="AJ1128" s="1449" t="n"/>
      <c r="AK1128" s="1450" t="n"/>
      <c r="AL1128" s="1450" t="n"/>
      <c r="AM1128" s="1450" t="n"/>
      <c r="AN1128" s="1450" t="n"/>
      <c r="AO1128" s="1449" t="n"/>
      <c r="AP1128" s="1450" t="n"/>
      <c r="AQ1128" s="1450" t="n"/>
      <c r="AR1128" s="1450" t="n"/>
      <c r="AS1128" s="1450" t="n"/>
      <c r="AT1128" s="1449" t="n"/>
      <c r="AU1128" s="1450" t="n"/>
      <c r="AV1128" s="1450" t="n"/>
      <c r="AW1128" s="1450" t="n"/>
      <c r="AX1128" s="1450" t="n"/>
      <c r="AY1128" s="1449" t="n"/>
      <c r="AZ1128" s="1450" t="n"/>
      <c r="BA1128" s="1450" t="n"/>
      <c r="BB1128" s="1450" t="n"/>
      <c r="BC1128" s="1450" t="n"/>
      <c r="BD1128" s="1449" t="n"/>
      <c r="BE1128" s="1450" t="n"/>
      <c r="BF1128" s="1450" t="n"/>
      <c r="BG1128" s="1450" t="n"/>
      <c r="BH1128" s="1450" t="n"/>
      <c r="BI1128" s="1449" t="n"/>
      <c r="BJ1128" s="1450" t="n"/>
      <c r="BK1128" s="1450" t="n"/>
      <c r="BL1128" s="1450" t="n"/>
      <c r="BM1128" s="1450" t="n"/>
      <c r="BN1128" s="1449" t="n"/>
      <c r="BO1128" s="1450" t="n"/>
      <c r="BP1128" s="1450" t="n"/>
      <c r="BQ1128" s="1451" t="n"/>
      <c r="BR1128" s="1450" t="n"/>
      <c r="BS1128" s="1449" t="n"/>
      <c r="BT1128" s="1450" t="n"/>
      <c r="BU1128" s="1450" t="n"/>
      <c r="BV1128" s="1450" t="n"/>
      <c r="BW1128" s="1450" t="n"/>
      <c r="BX1128" s="1449" t="n"/>
      <c r="BY1128" s="1449" t="n"/>
      <c r="BZ1128" s="1449" t="n"/>
      <c r="CA1128" s="1449" t="n"/>
      <c r="CB1128" s="1375" t="n"/>
    </row>
    <row r="1129" ht="14.4" customFormat="1" customHeight="1" s="1372">
      <c r="A1129" s="1452">
        <f>A1051</f>
        <v/>
      </c>
      <c r="B1129" s="1517" t="n"/>
      <c r="C1129" s="1449" t="n"/>
      <c r="D1129" s="1449" t="n"/>
      <c r="E1129" s="1449" t="n"/>
      <c r="F1129" s="1449" t="n"/>
      <c r="G1129" s="1450" t="n"/>
      <c r="H1129" s="1450" t="n"/>
      <c r="I1129" s="1450" t="n"/>
      <c r="J1129" s="1450" t="n"/>
      <c r="K1129" s="1449" t="n"/>
      <c r="L1129" s="1450" t="n"/>
      <c r="M1129" s="1450" t="n"/>
      <c r="N1129" s="1450" t="n"/>
      <c r="O1129" s="1450" t="n"/>
      <c r="P1129" s="1449" t="n"/>
      <c r="Q1129" s="1450" t="n"/>
      <c r="R1129" s="1450" t="n"/>
      <c r="S1129" s="1450" t="n"/>
      <c r="T1129" s="1450" t="n"/>
      <c r="U1129" s="1449" t="n"/>
      <c r="V1129" s="1450" t="n"/>
      <c r="W1129" s="1450" t="n"/>
      <c r="X1129" s="1450" t="n"/>
      <c r="Y1129" s="1450" t="n"/>
      <c r="Z1129" s="1449" t="n"/>
      <c r="AA1129" s="1450" t="n"/>
      <c r="AB1129" s="1450" t="n"/>
      <c r="AC1129" s="1450" t="n"/>
      <c r="AD1129" s="1450" t="n"/>
      <c r="AE1129" s="1449" t="n"/>
      <c r="AF1129" s="1450" t="n"/>
      <c r="AG1129" s="1450" t="n"/>
      <c r="AH1129" s="1450" t="n"/>
      <c r="AI1129" s="1450" t="n"/>
      <c r="AJ1129" s="1449" t="n"/>
      <c r="AK1129" s="1450" t="n"/>
      <c r="AL1129" s="1450" t="n"/>
      <c r="AM1129" s="1450" t="n"/>
      <c r="AN1129" s="1450" t="n"/>
      <c r="AO1129" s="1449" t="n"/>
      <c r="AP1129" s="1450" t="n"/>
      <c r="AQ1129" s="1450" t="n"/>
      <c r="AR1129" s="1450" t="n"/>
      <c r="AS1129" s="1450" t="n"/>
      <c r="AT1129" s="1449" t="n"/>
      <c r="AU1129" s="1450" t="n"/>
      <c r="AV1129" s="1450" t="n"/>
      <c r="AW1129" s="1450" t="n"/>
      <c r="AX1129" s="1450" t="n"/>
      <c r="AY1129" s="1449" t="n"/>
      <c r="AZ1129" s="1450" t="n"/>
      <c r="BA1129" s="1450" t="n"/>
      <c r="BB1129" s="1450" t="n"/>
      <c r="BC1129" s="1450" t="n"/>
      <c r="BD1129" s="1449" t="n"/>
      <c r="BE1129" s="1450" t="n"/>
      <c r="BF1129" s="1450" t="n"/>
      <c r="BG1129" s="1450" t="n"/>
      <c r="BH1129" s="1450" t="n"/>
      <c r="BI1129" s="1449" t="n"/>
      <c r="BJ1129" s="1450" t="n"/>
      <c r="BK1129" s="1450" t="n"/>
      <c r="BL1129" s="1450" t="n"/>
      <c r="BM1129" s="1450" t="n"/>
      <c r="BN1129" s="1449" t="n"/>
      <c r="BO1129" s="1450" t="n"/>
      <c r="BP1129" s="1450" t="n"/>
      <c r="BQ1129" s="1451" t="n"/>
      <c r="BR1129" s="1450" t="n"/>
      <c r="BS1129" s="1449" t="n"/>
      <c r="BT1129" s="1450" t="n"/>
      <c r="BU1129" s="1450" t="n"/>
      <c r="BV1129" s="1450" t="n"/>
      <c r="BW1129" s="1450" t="n"/>
      <c r="BX1129" s="1449" t="n"/>
      <c r="BY1129" s="1449" t="n"/>
      <c r="BZ1129" s="1449" t="n"/>
      <c r="CA1129" s="1449" t="n"/>
      <c r="CB1129" s="1375" t="n"/>
    </row>
    <row r="1130" ht="14.4" customFormat="1" customHeight="1" s="1359">
      <c r="A1130" s="1474">
        <f>A1052</f>
        <v/>
      </c>
      <c r="B1130" s="1512" t="n"/>
      <c r="C1130" s="1379">
        <f>C1052</f>
        <v/>
      </c>
      <c r="D1130" s="1379">
        <f>D1052</f>
        <v/>
      </c>
      <c r="E1130" s="1379">
        <f>E1052</f>
        <v/>
      </c>
      <c r="F1130" s="1379">
        <f>F1052</f>
        <v/>
      </c>
      <c r="G1130" s="1361">
        <f>G1052</f>
        <v/>
      </c>
      <c r="H1130" s="1361">
        <f>H1052-G1052</f>
        <v/>
      </c>
      <c r="I1130" s="1361">
        <f>I1052-H1052</f>
        <v/>
      </c>
      <c r="J1130" s="1361">
        <f>J1052-I1052</f>
        <v/>
      </c>
      <c r="K1130" s="1379">
        <f>K1052</f>
        <v/>
      </c>
      <c r="L1130" s="1361">
        <f>L1052</f>
        <v/>
      </c>
      <c r="M1130" s="1361">
        <f>M1052-L1052</f>
        <v/>
      </c>
      <c r="N1130" s="1361">
        <f>N1052-M1052</f>
        <v/>
      </c>
      <c r="O1130" s="1361">
        <f>O1052-N1052</f>
        <v/>
      </c>
      <c r="P1130" s="1379">
        <f>P1052</f>
        <v/>
      </c>
      <c r="Q1130" s="1361">
        <f>Q1052</f>
        <v/>
      </c>
      <c r="R1130" s="1361">
        <f>R1052-Q1052</f>
        <v/>
      </c>
      <c r="S1130" s="1361">
        <f>S1052-R1052</f>
        <v/>
      </c>
      <c r="T1130" s="1361">
        <f>T1052-S1052</f>
        <v/>
      </c>
      <c r="U1130" s="1379">
        <f>U1052</f>
        <v/>
      </c>
      <c r="V1130" s="1361">
        <f>V1052</f>
        <v/>
      </c>
      <c r="W1130" s="1361">
        <f>W1052-V1052</f>
        <v/>
      </c>
      <c r="X1130" s="1361">
        <f>X1052-W1052</f>
        <v/>
      </c>
      <c r="Y1130" s="1361">
        <f>Y1052-X1052</f>
        <v/>
      </c>
      <c r="Z1130" s="1379">
        <f>Z1052</f>
        <v/>
      </c>
      <c r="AA1130" s="1361">
        <f>AA1052</f>
        <v/>
      </c>
      <c r="AB1130" s="1361">
        <f>AB1052-AA1052</f>
        <v/>
      </c>
      <c r="AC1130" s="1361">
        <f>AC1052-AB1052</f>
        <v/>
      </c>
      <c r="AD1130" s="1361">
        <f>AD1052-AC1052</f>
        <v/>
      </c>
      <c r="AE1130" s="1379">
        <f>AE1052</f>
        <v/>
      </c>
      <c r="AF1130" s="1361">
        <f>AF1052</f>
        <v/>
      </c>
      <c r="AG1130" s="1361">
        <f>AG1052-AF1052</f>
        <v/>
      </c>
      <c r="AH1130" s="1361">
        <f>AH1052-AG1052</f>
        <v/>
      </c>
      <c r="AI1130" s="1361">
        <f>AI1052-AH1052</f>
        <v/>
      </c>
      <c r="AJ1130" s="1379">
        <f>AJ1052</f>
        <v/>
      </c>
      <c r="AK1130" s="1361">
        <f>AK1052</f>
        <v/>
      </c>
      <c r="AL1130" s="1361">
        <f>AL1052-AK1052</f>
        <v/>
      </c>
      <c r="AM1130" s="1361">
        <f>AM1052-AL1052</f>
        <v/>
      </c>
      <c r="AN1130" s="1361">
        <f>AN1052-AM1052</f>
        <v/>
      </c>
      <c r="AO1130" s="1379">
        <f>AO1052</f>
        <v/>
      </c>
      <c r="AP1130" s="1361">
        <f>AP1052</f>
        <v/>
      </c>
      <c r="AQ1130" s="1361">
        <f>AQ1052-AP1052</f>
        <v/>
      </c>
      <c r="AR1130" s="1361">
        <f>AR1052-AQ1052</f>
        <v/>
      </c>
      <c r="AS1130" s="1361">
        <f>AS1052-AR1052</f>
        <v/>
      </c>
      <c r="AT1130" s="1379">
        <f>AT1052</f>
        <v/>
      </c>
      <c r="AU1130" s="1361">
        <f>AU1052</f>
        <v/>
      </c>
      <c r="AV1130" s="1361">
        <f>AV1052-AU1052</f>
        <v/>
      </c>
      <c r="AW1130" s="1361">
        <f>AW1052-AV1052</f>
        <v/>
      </c>
      <c r="AX1130" s="1361">
        <f>AX1052-AW1052</f>
        <v/>
      </c>
      <c r="AY1130" s="1379">
        <f>AY1052</f>
        <v/>
      </c>
      <c r="AZ1130" s="1361">
        <f>AZ1052</f>
        <v/>
      </c>
      <c r="BA1130" s="1361">
        <f>BA1052-AZ1052</f>
        <v/>
      </c>
      <c r="BB1130" s="1361">
        <f>BB1052-BA1052</f>
        <v/>
      </c>
      <c r="BC1130" s="1361">
        <f>BC1052-BB1052</f>
        <v/>
      </c>
      <c r="BD1130" s="1379">
        <f>BD1052</f>
        <v/>
      </c>
      <c r="BE1130" s="1361">
        <f>BE1052</f>
        <v/>
      </c>
      <c r="BF1130" s="1361">
        <f>BF1052-BE1052</f>
        <v/>
      </c>
      <c r="BG1130" s="1361">
        <f>BG1052-BF1052</f>
        <v/>
      </c>
      <c r="BH1130" s="1361">
        <f>BH1052-BG1052</f>
        <v/>
      </c>
      <c r="BI1130" s="1379">
        <f>BI1052</f>
        <v/>
      </c>
      <c r="BJ1130" s="1361">
        <f>BJ1052</f>
        <v/>
      </c>
      <c r="BK1130" s="1361">
        <f>BK1052-BJ1052</f>
        <v/>
      </c>
      <c r="BL1130" s="1361">
        <f>BL1052-BK1052</f>
        <v/>
      </c>
      <c r="BM1130" s="1361">
        <f>BM1052-BL1052</f>
        <v/>
      </c>
      <c r="BN1130" s="1379">
        <f>BN1052</f>
        <v/>
      </c>
      <c r="BO1130" s="1361">
        <f>BO1052</f>
        <v/>
      </c>
      <c r="BP1130" s="1361">
        <f>BP1052-BO1052</f>
        <v/>
      </c>
      <c r="BQ1130" s="1363">
        <f>BQ1052-BP1052</f>
        <v/>
      </c>
      <c r="BR1130" s="1361">
        <f>BR947</f>
        <v/>
      </c>
      <c r="BS1130" s="1379">
        <f>SUM(BO1130,BP1130,BQ1130,BR1130)</f>
        <v/>
      </c>
      <c r="BT1130" s="1361">
        <f>BT947</f>
        <v/>
      </c>
      <c r="BU1130" s="1361">
        <f>BU947</f>
        <v/>
      </c>
      <c r="BV1130" s="1361">
        <f>BV947</f>
        <v/>
      </c>
      <c r="BW1130" s="1361">
        <f>BW947</f>
        <v/>
      </c>
      <c r="BX1130" s="1379">
        <f>SUM(BT1130,BU1130,BV1130,BW1130)</f>
        <v/>
      </c>
      <c r="BY1130" s="1379">
        <f>BY947</f>
        <v/>
      </c>
      <c r="BZ1130" s="1379">
        <f>BZ947</f>
        <v/>
      </c>
      <c r="CA1130" s="1379">
        <f>CA947</f>
        <v/>
      </c>
      <c r="CB1130" s="1361" t="n"/>
    </row>
    <row r="1131" ht="14.4" customFormat="1" customHeight="1" s="1359">
      <c r="A1131" s="1394">
        <f>A1053</f>
        <v/>
      </c>
      <c r="B1131" s="1361" t="n"/>
      <c r="C1131" s="1378">
        <f>C1053</f>
        <v/>
      </c>
      <c r="D1131" s="1378">
        <f>D1053</f>
        <v/>
      </c>
      <c r="E1131" s="1378">
        <f>E1053</f>
        <v/>
      </c>
      <c r="F1131" s="1378">
        <f>F1053</f>
        <v/>
      </c>
      <c r="G1131" s="1364">
        <f>G1053</f>
        <v/>
      </c>
      <c r="H1131" s="1364">
        <f>H1053-G1053</f>
        <v/>
      </c>
      <c r="I1131" s="1364">
        <f>I1053-H1053</f>
        <v/>
      </c>
      <c r="J1131" s="1364">
        <f>J1053-I1053</f>
        <v/>
      </c>
      <c r="K1131" s="1378">
        <f>K1053</f>
        <v/>
      </c>
      <c r="L1131" s="1364">
        <f>L1053</f>
        <v/>
      </c>
      <c r="M1131" s="1364">
        <f>M1053-L1053</f>
        <v/>
      </c>
      <c r="N1131" s="1364">
        <f>N1053-M1053</f>
        <v/>
      </c>
      <c r="O1131" s="1364">
        <f>O1053-N1053</f>
        <v/>
      </c>
      <c r="P1131" s="1378">
        <f>P1053</f>
        <v/>
      </c>
      <c r="Q1131" s="1364">
        <f>Q1053</f>
        <v/>
      </c>
      <c r="R1131" s="1364">
        <f>R1053-Q1053</f>
        <v/>
      </c>
      <c r="S1131" s="1364">
        <f>S1053-R1053</f>
        <v/>
      </c>
      <c r="T1131" s="1364">
        <f>T1053-S1053</f>
        <v/>
      </c>
      <c r="U1131" s="1378">
        <f>U1053</f>
        <v/>
      </c>
      <c r="V1131" s="1364">
        <f>V1053</f>
        <v/>
      </c>
      <c r="W1131" s="1364">
        <f>W1053-V1053</f>
        <v/>
      </c>
      <c r="X1131" s="1364">
        <f>X1053-W1053</f>
        <v/>
      </c>
      <c r="Y1131" s="1364">
        <f>Y1053-X1053</f>
        <v/>
      </c>
      <c r="Z1131" s="1378">
        <f>Z1053</f>
        <v/>
      </c>
      <c r="AA1131" s="1364">
        <f>AA1053</f>
        <v/>
      </c>
      <c r="AB1131" s="1364">
        <f>AB1053-AA1053</f>
        <v/>
      </c>
      <c r="AC1131" s="1364">
        <f>AC1053-AB1053</f>
        <v/>
      </c>
      <c r="AD1131" s="1364">
        <f>AD1053-AC1053</f>
        <v/>
      </c>
      <c r="AE1131" s="1378">
        <f>AE1053</f>
        <v/>
      </c>
      <c r="AF1131" s="1364">
        <f>AF1053</f>
        <v/>
      </c>
      <c r="AG1131" s="1364">
        <f>AG1053-AF1053</f>
        <v/>
      </c>
      <c r="AH1131" s="1364">
        <f>AH1053-AG1053</f>
        <v/>
      </c>
      <c r="AI1131" s="1364">
        <f>AI1053-AH1053</f>
        <v/>
      </c>
      <c r="AJ1131" s="1378">
        <f>AJ1053</f>
        <v/>
      </c>
      <c r="AK1131" s="1364">
        <f>AK1053</f>
        <v/>
      </c>
      <c r="AL1131" s="1364">
        <f>AL1053-AK1053</f>
        <v/>
      </c>
      <c r="AM1131" s="1364">
        <f>AM1053-AL1053</f>
        <v/>
      </c>
      <c r="AN1131" s="1364">
        <f>AN1053-AM1053</f>
        <v/>
      </c>
      <c r="AO1131" s="1378">
        <f>AO1053</f>
        <v/>
      </c>
      <c r="AP1131" s="1364">
        <f>AP1053</f>
        <v/>
      </c>
      <c r="AQ1131" s="1364">
        <f>AQ1053-AP1053</f>
        <v/>
      </c>
      <c r="AR1131" s="1364">
        <f>AR1053-AQ1053</f>
        <v/>
      </c>
      <c r="AS1131" s="1364">
        <f>AS1053-AR1053</f>
        <v/>
      </c>
      <c r="AT1131" s="1378">
        <f>AT1053</f>
        <v/>
      </c>
      <c r="AU1131" s="1364">
        <f>AU1053</f>
        <v/>
      </c>
      <c r="AV1131" s="1364">
        <f>AV1053-AU1053</f>
        <v/>
      </c>
      <c r="AW1131" s="1364">
        <f>AW1053-AV1053</f>
        <v/>
      </c>
      <c r="AX1131" s="1364">
        <f>AX1053-AW1053</f>
        <v/>
      </c>
      <c r="AY1131" s="1378">
        <f>AY1053</f>
        <v/>
      </c>
      <c r="AZ1131" s="1364">
        <f>AZ1053</f>
        <v/>
      </c>
      <c r="BA1131" s="1364">
        <f>BA1053-AZ1053</f>
        <v/>
      </c>
      <c r="BB1131" s="1364">
        <f>BB1053-BA1053</f>
        <v/>
      </c>
      <c r="BC1131" s="1364">
        <f>BC1053-BB1053</f>
        <v/>
      </c>
      <c r="BD1131" s="1378">
        <f>BD1053</f>
        <v/>
      </c>
      <c r="BE1131" s="1364">
        <f>BE1053</f>
        <v/>
      </c>
      <c r="BF1131" s="1364">
        <f>BF1053-BE1053</f>
        <v/>
      </c>
      <c r="BG1131" s="1364">
        <f>BG1053-BF1053</f>
        <v/>
      </c>
      <c r="BH1131" s="1364">
        <f>BH1053-BG1053</f>
        <v/>
      </c>
      <c r="BI1131" s="1378">
        <f>BI1053</f>
        <v/>
      </c>
      <c r="BJ1131" s="1364">
        <f>BJ1053</f>
        <v/>
      </c>
      <c r="BK1131" s="1364">
        <f>BK1053-BJ1053</f>
        <v/>
      </c>
      <c r="BL1131" s="1364">
        <f>BL1053-BK1053</f>
        <v/>
      </c>
      <c r="BM1131" s="1364">
        <f>BM1053-BL1053</f>
        <v/>
      </c>
      <c r="BN1131" s="1378">
        <f>BN1053</f>
        <v/>
      </c>
      <c r="BO1131" s="1364">
        <f>BO1053</f>
        <v/>
      </c>
      <c r="BP1131" s="1364">
        <f>BP1053-BO1053</f>
        <v/>
      </c>
      <c r="BQ1131" s="1395">
        <f>BQ1053-BP1053</f>
        <v/>
      </c>
      <c r="BR1131" s="1361" t="n"/>
      <c r="BS1131" s="1379">
        <f>SUM(BO1131,BP1131,BQ1131,BR1131)</f>
        <v/>
      </c>
      <c r="BT1131" s="1361" t="n"/>
      <c r="BU1131" s="1361" t="n"/>
      <c r="BV1131" s="1361" t="n"/>
      <c r="BW1131" s="1361" t="n"/>
      <c r="BX1131" s="1379">
        <f>SUM(BT1131,BU1131,BV1131,BW1131)</f>
        <v/>
      </c>
      <c r="BY1131" s="1379" t="n"/>
      <c r="BZ1131" s="1379" t="n"/>
      <c r="CA1131" s="1379" t="n"/>
      <c r="CB1131" s="1364" t="n"/>
    </row>
    <row r="1132" ht="14.4" customFormat="1" customHeight="1" s="1359">
      <c r="A1132" s="1394">
        <f>A1054</f>
        <v/>
      </c>
      <c r="B1132" s="1361" t="n"/>
      <c r="C1132" s="1378">
        <f>C1054</f>
        <v/>
      </c>
      <c r="D1132" s="1378">
        <f>D1054</f>
        <v/>
      </c>
      <c r="E1132" s="1378">
        <f>E1054</f>
        <v/>
      </c>
      <c r="F1132" s="1378">
        <f>F1054</f>
        <v/>
      </c>
      <c r="G1132" s="1364">
        <f>G1054</f>
        <v/>
      </c>
      <c r="H1132" s="1364">
        <f>H1054-G1054</f>
        <v/>
      </c>
      <c r="I1132" s="1364">
        <f>I1054-H1054</f>
        <v/>
      </c>
      <c r="J1132" s="1364">
        <f>J1054-I1054</f>
        <v/>
      </c>
      <c r="K1132" s="1378">
        <f>K1054</f>
        <v/>
      </c>
      <c r="L1132" s="1364">
        <f>L1054</f>
        <v/>
      </c>
      <c r="M1132" s="1364">
        <f>M1054-L1054</f>
        <v/>
      </c>
      <c r="N1132" s="1364">
        <f>N1054-M1054</f>
        <v/>
      </c>
      <c r="O1132" s="1364">
        <f>O1054-N1054</f>
        <v/>
      </c>
      <c r="P1132" s="1378">
        <f>P1054</f>
        <v/>
      </c>
      <c r="Q1132" s="1364">
        <f>Q1054</f>
        <v/>
      </c>
      <c r="R1132" s="1364">
        <f>R1054-Q1054</f>
        <v/>
      </c>
      <c r="S1132" s="1364">
        <f>S1054-R1054</f>
        <v/>
      </c>
      <c r="T1132" s="1364">
        <f>T1054-S1054</f>
        <v/>
      </c>
      <c r="U1132" s="1378">
        <f>U1054</f>
        <v/>
      </c>
      <c r="V1132" s="1364">
        <f>V1054</f>
        <v/>
      </c>
      <c r="W1132" s="1364">
        <f>W1054-V1054</f>
        <v/>
      </c>
      <c r="X1132" s="1364">
        <f>X1054-W1054</f>
        <v/>
      </c>
      <c r="Y1132" s="1364">
        <f>Y1054-X1054</f>
        <v/>
      </c>
      <c r="Z1132" s="1378">
        <f>Z1054</f>
        <v/>
      </c>
      <c r="AA1132" s="1364">
        <f>AA1054</f>
        <v/>
      </c>
      <c r="AB1132" s="1364">
        <f>AB1054-AA1054</f>
        <v/>
      </c>
      <c r="AC1132" s="1364">
        <f>AC1054-AB1054</f>
        <v/>
      </c>
      <c r="AD1132" s="1364">
        <f>AD1054-AC1054</f>
        <v/>
      </c>
      <c r="AE1132" s="1378">
        <f>AE1054</f>
        <v/>
      </c>
      <c r="AF1132" s="1364">
        <f>AF1054</f>
        <v/>
      </c>
      <c r="AG1132" s="1364">
        <f>AG1054-AF1054</f>
        <v/>
      </c>
      <c r="AH1132" s="1364">
        <f>AH1054-AG1054</f>
        <v/>
      </c>
      <c r="AI1132" s="1364">
        <f>AI1054-AH1054</f>
        <v/>
      </c>
      <c r="AJ1132" s="1378">
        <f>AJ1054</f>
        <v/>
      </c>
      <c r="AK1132" s="1364">
        <f>AK1054</f>
        <v/>
      </c>
      <c r="AL1132" s="1364">
        <f>AL1054-AK1054</f>
        <v/>
      </c>
      <c r="AM1132" s="1364">
        <f>AM1054-AL1054</f>
        <v/>
      </c>
      <c r="AN1132" s="1364">
        <f>AN1054-AM1054</f>
        <v/>
      </c>
      <c r="AO1132" s="1378">
        <f>AO1054</f>
        <v/>
      </c>
      <c r="AP1132" s="1364">
        <f>AP1054</f>
        <v/>
      </c>
      <c r="AQ1132" s="1364">
        <f>AQ1054-AP1054</f>
        <v/>
      </c>
      <c r="AR1132" s="1364">
        <f>AR1054-AQ1054</f>
        <v/>
      </c>
      <c r="AS1132" s="1364">
        <f>AS1054-AR1054</f>
        <v/>
      </c>
      <c r="AT1132" s="1378">
        <f>AT1054</f>
        <v/>
      </c>
      <c r="AU1132" s="1364">
        <f>AU1054</f>
        <v/>
      </c>
      <c r="AV1132" s="1364">
        <f>AV1054-AU1054</f>
        <v/>
      </c>
      <c r="AW1132" s="1364">
        <f>AW1054-AV1054</f>
        <v/>
      </c>
      <c r="AX1132" s="1364">
        <f>AX1054-AW1054</f>
        <v/>
      </c>
      <c r="AY1132" s="1378">
        <f>AY1054</f>
        <v/>
      </c>
      <c r="AZ1132" s="1364">
        <f>AZ1054</f>
        <v/>
      </c>
      <c r="BA1132" s="1364">
        <f>BA1054-AZ1054</f>
        <v/>
      </c>
      <c r="BB1132" s="1364">
        <f>BB1054-BA1054</f>
        <v/>
      </c>
      <c r="BC1132" s="1364">
        <f>BC1054-BB1054</f>
        <v/>
      </c>
      <c r="BD1132" s="1378">
        <f>BD1054</f>
        <v/>
      </c>
      <c r="BE1132" s="1364">
        <f>BE1054</f>
        <v/>
      </c>
      <c r="BF1132" s="1364">
        <f>BF1054-BE1054</f>
        <v/>
      </c>
      <c r="BG1132" s="1364">
        <f>BG1054-BF1054</f>
        <v/>
      </c>
      <c r="BH1132" s="1364">
        <f>BH1054-BG1054</f>
        <v/>
      </c>
      <c r="BI1132" s="1378">
        <f>BI1054</f>
        <v/>
      </c>
      <c r="BJ1132" s="1364">
        <f>BJ1054</f>
        <v/>
      </c>
      <c r="BK1132" s="1364">
        <f>BK1054-BJ1054</f>
        <v/>
      </c>
      <c r="BL1132" s="1364">
        <f>BL1054-BK1054</f>
        <v/>
      </c>
      <c r="BM1132" s="1364">
        <f>BM1054-BL1054</f>
        <v/>
      </c>
      <c r="BN1132" s="1378">
        <f>BN1054</f>
        <v/>
      </c>
      <c r="BO1132" s="1364">
        <f>BO1054</f>
        <v/>
      </c>
      <c r="BP1132" s="1364">
        <f>BP1054-BO1054</f>
        <v/>
      </c>
      <c r="BQ1132" s="1395">
        <f>BQ1054-BP1054</f>
        <v/>
      </c>
      <c r="BR1132" s="1361" t="n"/>
      <c r="BS1132" s="1379">
        <f>SUM(BO1132,BP1132,BQ1132,BR1132)</f>
        <v/>
      </c>
      <c r="BT1132" s="1361" t="n"/>
      <c r="BU1132" s="1361" t="n"/>
      <c r="BV1132" s="1361" t="n"/>
      <c r="BW1132" s="1361" t="n"/>
      <c r="BX1132" s="1379">
        <f>SUM(BT1132,BU1132,BV1132,BW1132)</f>
        <v/>
      </c>
      <c r="BY1132" s="1379" t="n"/>
      <c r="BZ1132" s="1379" t="n"/>
      <c r="CA1132" s="1379" t="n"/>
      <c r="CB1132" s="1364" t="n"/>
    </row>
    <row r="1133" ht="14.4" customFormat="1" customHeight="1" s="1359">
      <c r="A1133" s="1394">
        <f>A1055</f>
        <v/>
      </c>
      <c r="B1133" s="1361" t="n"/>
      <c r="C1133" s="1378">
        <f>C1055</f>
        <v/>
      </c>
      <c r="D1133" s="1378">
        <f>D1055</f>
        <v/>
      </c>
      <c r="E1133" s="1378">
        <f>E1055</f>
        <v/>
      </c>
      <c r="F1133" s="1378">
        <f>F1055</f>
        <v/>
      </c>
      <c r="G1133" s="1364">
        <f>G1055</f>
        <v/>
      </c>
      <c r="H1133" s="1364">
        <f>H1055-G1055</f>
        <v/>
      </c>
      <c r="I1133" s="1364">
        <f>I1055-H1055</f>
        <v/>
      </c>
      <c r="J1133" s="1364">
        <f>J1055-I1055</f>
        <v/>
      </c>
      <c r="K1133" s="1378">
        <f>K1055</f>
        <v/>
      </c>
      <c r="L1133" s="1364">
        <f>L1055</f>
        <v/>
      </c>
      <c r="M1133" s="1364">
        <f>M1055-L1055</f>
        <v/>
      </c>
      <c r="N1133" s="1364">
        <f>N1055-M1055</f>
        <v/>
      </c>
      <c r="O1133" s="1364">
        <f>O1055-N1055</f>
        <v/>
      </c>
      <c r="P1133" s="1378">
        <f>P1055</f>
        <v/>
      </c>
      <c r="Q1133" s="1364">
        <f>Q1055</f>
        <v/>
      </c>
      <c r="R1133" s="1364">
        <f>R1055-Q1055</f>
        <v/>
      </c>
      <c r="S1133" s="1364">
        <f>S1055-R1055</f>
        <v/>
      </c>
      <c r="T1133" s="1364">
        <f>T1055-S1055</f>
        <v/>
      </c>
      <c r="U1133" s="1378">
        <f>U1055</f>
        <v/>
      </c>
      <c r="V1133" s="1364">
        <f>V1055</f>
        <v/>
      </c>
      <c r="W1133" s="1364">
        <f>W1055-V1055</f>
        <v/>
      </c>
      <c r="X1133" s="1364">
        <f>X1055-W1055</f>
        <v/>
      </c>
      <c r="Y1133" s="1364">
        <f>Y1055-X1055</f>
        <v/>
      </c>
      <c r="Z1133" s="1378">
        <f>Z1055</f>
        <v/>
      </c>
      <c r="AA1133" s="1364">
        <f>AA1055</f>
        <v/>
      </c>
      <c r="AB1133" s="1364">
        <f>AB1055-AA1055</f>
        <v/>
      </c>
      <c r="AC1133" s="1364">
        <f>AC1055-AB1055</f>
        <v/>
      </c>
      <c r="AD1133" s="1364">
        <f>AD1055-AC1055</f>
        <v/>
      </c>
      <c r="AE1133" s="1378">
        <f>AE1055</f>
        <v/>
      </c>
      <c r="AF1133" s="1364">
        <f>AF1055</f>
        <v/>
      </c>
      <c r="AG1133" s="1364">
        <f>AG1055-AF1055</f>
        <v/>
      </c>
      <c r="AH1133" s="1364">
        <f>AH1055-AG1055</f>
        <v/>
      </c>
      <c r="AI1133" s="1364">
        <f>AI1055-AH1055</f>
        <v/>
      </c>
      <c r="AJ1133" s="1378">
        <f>AJ1055</f>
        <v/>
      </c>
      <c r="AK1133" s="1364">
        <f>AK1055</f>
        <v/>
      </c>
      <c r="AL1133" s="1364">
        <f>AL1055-AK1055</f>
        <v/>
      </c>
      <c r="AM1133" s="1364">
        <f>AM1055-AL1055</f>
        <v/>
      </c>
      <c r="AN1133" s="1364">
        <f>AN1055-AM1055</f>
        <v/>
      </c>
      <c r="AO1133" s="1378">
        <f>AO1055</f>
        <v/>
      </c>
      <c r="AP1133" s="1364">
        <f>AP1055</f>
        <v/>
      </c>
      <c r="AQ1133" s="1364">
        <f>AQ1055-AP1055</f>
        <v/>
      </c>
      <c r="AR1133" s="1364">
        <f>AR1055-AQ1055</f>
        <v/>
      </c>
      <c r="AS1133" s="1364">
        <f>AS1055-AR1055</f>
        <v/>
      </c>
      <c r="AT1133" s="1378">
        <f>AT1055</f>
        <v/>
      </c>
      <c r="AU1133" s="1364">
        <f>AU1055</f>
        <v/>
      </c>
      <c r="AV1133" s="1364">
        <f>AV1055-AU1055</f>
        <v/>
      </c>
      <c r="AW1133" s="1364">
        <f>AW1055-AV1055</f>
        <v/>
      </c>
      <c r="AX1133" s="1364">
        <f>AX1055-AW1055</f>
        <v/>
      </c>
      <c r="AY1133" s="1378">
        <f>AY1055</f>
        <v/>
      </c>
      <c r="AZ1133" s="1364">
        <f>AZ1055</f>
        <v/>
      </c>
      <c r="BA1133" s="1364">
        <f>BA1055-AZ1055</f>
        <v/>
      </c>
      <c r="BB1133" s="1364">
        <f>BB1055-BA1055</f>
        <v/>
      </c>
      <c r="BC1133" s="1364">
        <f>BC1055-BB1055</f>
        <v/>
      </c>
      <c r="BD1133" s="1378">
        <f>BD1055</f>
        <v/>
      </c>
      <c r="BE1133" s="1364">
        <f>BE1055</f>
        <v/>
      </c>
      <c r="BF1133" s="1364">
        <f>BF1055-BE1055</f>
        <v/>
      </c>
      <c r="BG1133" s="1364">
        <f>BG1055-BF1055</f>
        <v/>
      </c>
      <c r="BH1133" s="1364">
        <f>BH1055-BG1055</f>
        <v/>
      </c>
      <c r="BI1133" s="1378">
        <f>BI1055</f>
        <v/>
      </c>
      <c r="BJ1133" s="1364">
        <f>BJ1055</f>
        <v/>
      </c>
      <c r="BK1133" s="1364">
        <f>BK1055-BJ1055</f>
        <v/>
      </c>
      <c r="BL1133" s="1364">
        <f>BL1055-BK1055</f>
        <v/>
      </c>
      <c r="BM1133" s="1364">
        <f>BM1055-BL1055</f>
        <v/>
      </c>
      <c r="BN1133" s="1378">
        <f>BN1055</f>
        <v/>
      </c>
      <c r="BO1133" s="1364">
        <f>BO1055</f>
        <v/>
      </c>
      <c r="BP1133" s="1364">
        <f>BP1055-BO1055</f>
        <v/>
      </c>
      <c r="BQ1133" s="1395">
        <f>BQ1055-BP1055</f>
        <v/>
      </c>
      <c r="BR1133" s="1361" t="n"/>
      <c r="BS1133" s="1379">
        <f>SUM(BO1133,BP1133,BQ1133,BR1133)</f>
        <v/>
      </c>
      <c r="BT1133" s="1361" t="n"/>
      <c r="BU1133" s="1361" t="n"/>
      <c r="BV1133" s="1361" t="n"/>
      <c r="BW1133" s="1361" t="n"/>
      <c r="BX1133" s="1379">
        <f>SUM(BT1133,BU1133,BV1133,BW1133)</f>
        <v/>
      </c>
      <c r="BY1133" s="1379" t="n"/>
      <c r="BZ1133" s="1379" t="n"/>
      <c r="CA1133" s="1379" t="n"/>
      <c r="CB1133" s="1364" t="n"/>
    </row>
    <row r="1134" ht="14.4" customFormat="1" customHeight="1" s="1359">
      <c r="A1134" s="1474">
        <f>A1056</f>
        <v/>
      </c>
      <c r="B1134" s="1512" t="n"/>
      <c r="C1134" s="1379">
        <f>C1056</f>
        <v/>
      </c>
      <c r="D1134" s="1379">
        <f>D1056</f>
        <v/>
      </c>
      <c r="E1134" s="1379">
        <f>E1056</f>
        <v/>
      </c>
      <c r="F1134" s="1379">
        <f>F1056</f>
        <v/>
      </c>
      <c r="G1134" s="1361">
        <f>G1056</f>
        <v/>
      </c>
      <c r="H1134" s="1361">
        <f>H1056-G1056</f>
        <v/>
      </c>
      <c r="I1134" s="1361">
        <f>I1056-H1056</f>
        <v/>
      </c>
      <c r="J1134" s="1361">
        <f>J1056-I1056</f>
        <v/>
      </c>
      <c r="K1134" s="1379">
        <f>K1056</f>
        <v/>
      </c>
      <c r="L1134" s="1361">
        <f>L1056</f>
        <v/>
      </c>
      <c r="M1134" s="1361">
        <f>M1056-L1056</f>
        <v/>
      </c>
      <c r="N1134" s="1361">
        <f>N1056-M1056</f>
        <v/>
      </c>
      <c r="O1134" s="1361">
        <f>O1056-N1056</f>
        <v/>
      </c>
      <c r="P1134" s="1379">
        <f>P1056</f>
        <v/>
      </c>
      <c r="Q1134" s="1361">
        <f>Q1056</f>
        <v/>
      </c>
      <c r="R1134" s="1361">
        <f>R1056-Q1056</f>
        <v/>
      </c>
      <c r="S1134" s="1361">
        <f>S1056-R1056</f>
        <v/>
      </c>
      <c r="T1134" s="1361">
        <f>T1056-S1056</f>
        <v/>
      </c>
      <c r="U1134" s="1379">
        <f>U1056</f>
        <v/>
      </c>
      <c r="V1134" s="1361">
        <f>V1056</f>
        <v/>
      </c>
      <c r="W1134" s="1361">
        <f>W1056-V1056</f>
        <v/>
      </c>
      <c r="X1134" s="1361">
        <f>X1056-W1056</f>
        <v/>
      </c>
      <c r="Y1134" s="1361">
        <f>Y1056-X1056</f>
        <v/>
      </c>
      <c r="Z1134" s="1379">
        <f>Z1056</f>
        <v/>
      </c>
      <c r="AA1134" s="1361">
        <f>AA1056</f>
        <v/>
      </c>
      <c r="AB1134" s="1361">
        <f>AB1056-AA1056</f>
        <v/>
      </c>
      <c r="AC1134" s="1361">
        <f>AC1056-AB1056</f>
        <v/>
      </c>
      <c r="AD1134" s="1361">
        <f>AD1056-AC1056</f>
        <v/>
      </c>
      <c r="AE1134" s="1379">
        <f>AE1056</f>
        <v/>
      </c>
      <c r="AF1134" s="1361">
        <f>AF1056</f>
        <v/>
      </c>
      <c r="AG1134" s="1361">
        <f>AG1056-AF1056</f>
        <v/>
      </c>
      <c r="AH1134" s="1361">
        <f>AH1056-AG1056</f>
        <v/>
      </c>
      <c r="AI1134" s="1361">
        <f>AI1056-AH1056</f>
        <v/>
      </c>
      <c r="AJ1134" s="1379">
        <f>AJ1056</f>
        <v/>
      </c>
      <c r="AK1134" s="1361">
        <f>AK1056</f>
        <v/>
      </c>
      <c r="AL1134" s="1361">
        <f>AL1056-AK1056</f>
        <v/>
      </c>
      <c r="AM1134" s="1361">
        <f>AM1056-AL1056</f>
        <v/>
      </c>
      <c r="AN1134" s="1361">
        <f>AN1056-AM1056</f>
        <v/>
      </c>
      <c r="AO1134" s="1379">
        <f>AO1056</f>
        <v/>
      </c>
      <c r="AP1134" s="1361">
        <f>AP1056</f>
        <v/>
      </c>
      <c r="AQ1134" s="1361">
        <f>AQ1056-AP1056</f>
        <v/>
      </c>
      <c r="AR1134" s="1361">
        <f>AR1056-AQ1056</f>
        <v/>
      </c>
      <c r="AS1134" s="1361">
        <f>AS1056-AR1056</f>
        <v/>
      </c>
      <c r="AT1134" s="1379">
        <f>AT1056</f>
        <v/>
      </c>
      <c r="AU1134" s="1361">
        <f>AU1056</f>
        <v/>
      </c>
      <c r="AV1134" s="1361">
        <f>AV1056-AU1056</f>
        <v/>
      </c>
      <c r="AW1134" s="1361">
        <f>AW1056-AV1056</f>
        <v/>
      </c>
      <c r="AX1134" s="1361">
        <f>AX1056-AW1056</f>
        <v/>
      </c>
      <c r="AY1134" s="1379">
        <f>AY1056</f>
        <v/>
      </c>
      <c r="AZ1134" s="1361">
        <f>AZ1056</f>
        <v/>
      </c>
      <c r="BA1134" s="1361">
        <f>BA1056-AZ1056</f>
        <v/>
      </c>
      <c r="BB1134" s="1361">
        <f>BB1056-BA1056</f>
        <v/>
      </c>
      <c r="BC1134" s="1361">
        <f>BC1056-BB1056</f>
        <v/>
      </c>
      <c r="BD1134" s="1379">
        <f>BD1056</f>
        <v/>
      </c>
      <c r="BE1134" s="1361">
        <f>BE1056</f>
        <v/>
      </c>
      <c r="BF1134" s="1361">
        <f>BF1056-BE1056</f>
        <v/>
      </c>
      <c r="BG1134" s="1361">
        <f>BG1056-BF1056</f>
        <v/>
      </c>
      <c r="BH1134" s="1361">
        <f>BH1056-BG1056</f>
        <v/>
      </c>
      <c r="BI1134" s="1379">
        <f>BI1056</f>
        <v/>
      </c>
      <c r="BJ1134" s="1361">
        <f>BJ1056</f>
        <v/>
      </c>
      <c r="BK1134" s="1361">
        <f>BK1056-BJ1056</f>
        <v/>
      </c>
      <c r="BL1134" s="1361">
        <f>BL1056-BK1056</f>
        <v/>
      </c>
      <c r="BM1134" s="1361">
        <f>BM1056-BL1056</f>
        <v/>
      </c>
      <c r="BN1134" s="1379">
        <f>BN1056</f>
        <v/>
      </c>
      <c r="BO1134" s="1361">
        <f>BO1056</f>
        <v/>
      </c>
      <c r="BP1134" s="1361">
        <f>BP1056-BO1056</f>
        <v/>
      </c>
      <c r="BQ1134" s="1363">
        <f>BQ1056-BP1056</f>
        <v/>
      </c>
      <c r="BR1134" s="1361">
        <f>BR614+BR631+BR648+BR665+BR682</f>
        <v/>
      </c>
      <c r="BS1134" s="1379">
        <f>SUM(BO1134,BP1134,BQ1134,BR1134)</f>
        <v/>
      </c>
      <c r="BT1134" s="1361">
        <f>BT614+BT631+BT648+BT665+BT682</f>
        <v/>
      </c>
      <c r="BU1134" s="1361">
        <f>BU614+BU631+BU648+BU665+BU682</f>
        <v/>
      </c>
      <c r="BV1134" s="1361">
        <f>BV614+BV631+BV648+BV665+BV682</f>
        <v/>
      </c>
      <c r="BW1134" s="1361">
        <f>BW614+BW631+BW648+BW665+BW682</f>
        <v/>
      </c>
      <c r="BX1134" s="1379">
        <f>SUM(BT1134,BU1134,BV1134,BW1134)</f>
        <v/>
      </c>
      <c r="BY1134" s="1379">
        <f>BY614+BY631+BY648+BY665+BY682</f>
        <v/>
      </c>
      <c r="BZ1134" s="1379">
        <f>BZ614+BZ631+BZ648+BZ665+BZ682</f>
        <v/>
      </c>
      <c r="CA1134" s="1379">
        <f>CA614+CA631+CA648+CA665+CA682</f>
        <v/>
      </c>
      <c r="CB1134" s="1361" t="n"/>
    </row>
    <row r="1135" ht="14.4" customFormat="1" customHeight="1" s="1359">
      <c r="A1135" s="1394">
        <f>A1057</f>
        <v/>
      </c>
      <c r="B1135" s="1361" t="n"/>
      <c r="C1135" s="1378">
        <f>C1057</f>
        <v/>
      </c>
      <c r="D1135" s="1378">
        <f>D1057</f>
        <v/>
      </c>
      <c r="E1135" s="1378">
        <f>E1057</f>
        <v/>
      </c>
      <c r="F1135" s="1378">
        <f>F1057</f>
        <v/>
      </c>
      <c r="G1135" s="1364">
        <f>G1057</f>
        <v/>
      </c>
      <c r="H1135" s="1364">
        <f>H1057-G1057</f>
        <v/>
      </c>
      <c r="I1135" s="1364">
        <f>I1057-H1057</f>
        <v/>
      </c>
      <c r="J1135" s="1364">
        <f>J1057-I1057</f>
        <v/>
      </c>
      <c r="K1135" s="1378">
        <f>K1057</f>
        <v/>
      </c>
      <c r="L1135" s="1364">
        <f>L1057</f>
        <v/>
      </c>
      <c r="M1135" s="1364">
        <f>M1057-L1057</f>
        <v/>
      </c>
      <c r="N1135" s="1364">
        <f>N1057-M1057</f>
        <v/>
      </c>
      <c r="O1135" s="1364">
        <f>O1057-N1057</f>
        <v/>
      </c>
      <c r="P1135" s="1378">
        <f>P1057</f>
        <v/>
      </c>
      <c r="Q1135" s="1364">
        <f>Q1057</f>
        <v/>
      </c>
      <c r="R1135" s="1364">
        <f>R1057-Q1057</f>
        <v/>
      </c>
      <c r="S1135" s="1364">
        <f>S1057-R1057</f>
        <v/>
      </c>
      <c r="T1135" s="1364">
        <f>T1057-S1057</f>
        <v/>
      </c>
      <c r="U1135" s="1378">
        <f>U1057</f>
        <v/>
      </c>
      <c r="V1135" s="1364">
        <f>V1057</f>
        <v/>
      </c>
      <c r="W1135" s="1364">
        <f>W1057-V1057</f>
        <v/>
      </c>
      <c r="X1135" s="1364">
        <f>X1057-W1057</f>
        <v/>
      </c>
      <c r="Y1135" s="1364">
        <f>Y1057-X1057</f>
        <v/>
      </c>
      <c r="Z1135" s="1378">
        <f>Z1057</f>
        <v/>
      </c>
      <c r="AA1135" s="1364">
        <f>AA1057</f>
        <v/>
      </c>
      <c r="AB1135" s="1364">
        <f>AB1057-AA1057</f>
        <v/>
      </c>
      <c r="AC1135" s="1364">
        <f>AC1057-AB1057</f>
        <v/>
      </c>
      <c r="AD1135" s="1364">
        <f>AD1057-AC1057</f>
        <v/>
      </c>
      <c r="AE1135" s="1378">
        <f>AE1057</f>
        <v/>
      </c>
      <c r="AF1135" s="1364">
        <f>AF1057</f>
        <v/>
      </c>
      <c r="AG1135" s="1364">
        <f>AG1057-AF1057</f>
        <v/>
      </c>
      <c r="AH1135" s="1364">
        <f>AH1057-AG1057</f>
        <v/>
      </c>
      <c r="AI1135" s="1364">
        <f>AI1057-AH1057</f>
        <v/>
      </c>
      <c r="AJ1135" s="1378">
        <f>AJ1057</f>
        <v/>
      </c>
      <c r="AK1135" s="1364">
        <f>AK1057</f>
        <v/>
      </c>
      <c r="AL1135" s="1364">
        <f>AL1057-AK1057</f>
        <v/>
      </c>
      <c r="AM1135" s="1364">
        <f>AM1057-AL1057</f>
        <v/>
      </c>
      <c r="AN1135" s="1364">
        <f>AN1057-AM1057</f>
        <v/>
      </c>
      <c r="AO1135" s="1378">
        <f>AO1057</f>
        <v/>
      </c>
      <c r="AP1135" s="1364">
        <f>AP1057</f>
        <v/>
      </c>
      <c r="AQ1135" s="1364">
        <f>AQ1057-AP1057</f>
        <v/>
      </c>
      <c r="AR1135" s="1364">
        <f>AR1057-AQ1057</f>
        <v/>
      </c>
      <c r="AS1135" s="1364">
        <f>AS1057-AR1057</f>
        <v/>
      </c>
      <c r="AT1135" s="1378">
        <f>AT1057</f>
        <v/>
      </c>
      <c r="AU1135" s="1364">
        <f>AU1057</f>
        <v/>
      </c>
      <c r="AV1135" s="1364">
        <f>AV1057-AU1057</f>
        <v/>
      </c>
      <c r="AW1135" s="1364">
        <f>AW1057-AV1057</f>
        <v/>
      </c>
      <c r="AX1135" s="1364">
        <f>AX1057-AW1057</f>
        <v/>
      </c>
      <c r="AY1135" s="1378">
        <f>AY1057</f>
        <v/>
      </c>
      <c r="AZ1135" s="1364">
        <f>AZ1057</f>
        <v/>
      </c>
      <c r="BA1135" s="1364">
        <f>BA1057-AZ1057</f>
        <v/>
      </c>
      <c r="BB1135" s="1364">
        <f>BB1057-BA1057</f>
        <v/>
      </c>
      <c r="BC1135" s="1364">
        <f>BC1057-BB1057</f>
        <v/>
      </c>
      <c r="BD1135" s="1378">
        <f>BD1057</f>
        <v/>
      </c>
      <c r="BE1135" s="1364">
        <f>BE1057</f>
        <v/>
      </c>
      <c r="BF1135" s="1364">
        <f>BF1057-BE1057</f>
        <v/>
      </c>
      <c r="BG1135" s="1364">
        <f>BG1057-BF1057</f>
        <v/>
      </c>
      <c r="BH1135" s="1364">
        <f>BH1057-BG1057</f>
        <v/>
      </c>
      <c r="BI1135" s="1378">
        <f>BI1057</f>
        <v/>
      </c>
      <c r="BJ1135" s="1364">
        <f>BJ1057</f>
        <v/>
      </c>
      <c r="BK1135" s="1364">
        <f>BK1057-BJ1057</f>
        <v/>
      </c>
      <c r="BL1135" s="1364">
        <f>BL1057-BK1057</f>
        <v/>
      </c>
      <c r="BM1135" s="1364">
        <f>BM1057-BL1057</f>
        <v/>
      </c>
      <c r="BN1135" s="1378">
        <f>BN1057</f>
        <v/>
      </c>
      <c r="BO1135" s="1364">
        <f>BO1057</f>
        <v/>
      </c>
      <c r="BP1135" s="1364">
        <f>BP1057-BO1057</f>
        <v/>
      </c>
      <c r="BQ1135" s="1395">
        <f>BQ1057-BP1057</f>
        <v/>
      </c>
      <c r="BR1135" s="1361" t="n"/>
      <c r="BS1135" s="1379">
        <f>SUM(BO1135,BP1135,BQ1135,BR1135)</f>
        <v/>
      </c>
      <c r="BT1135" s="1361" t="n"/>
      <c r="BU1135" s="1361" t="n"/>
      <c r="BV1135" s="1361" t="n"/>
      <c r="BW1135" s="1361" t="n"/>
      <c r="BX1135" s="1379">
        <f>SUM(BT1135,BU1135,BV1135,BW1135)</f>
        <v/>
      </c>
      <c r="BY1135" s="1379" t="n"/>
      <c r="BZ1135" s="1379" t="n"/>
      <c r="CA1135" s="1379" t="n"/>
      <c r="CB1135" s="1364" t="n"/>
    </row>
    <row r="1136" ht="14.4" customFormat="1" customHeight="1" s="1359">
      <c r="A1136" s="1394">
        <f>A1058</f>
        <v/>
      </c>
      <c r="B1136" s="1361" t="n"/>
      <c r="C1136" s="1378">
        <f>C1058</f>
        <v/>
      </c>
      <c r="D1136" s="1378">
        <f>D1058</f>
        <v/>
      </c>
      <c r="E1136" s="1378">
        <f>E1058</f>
        <v/>
      </c>
      <c r="F1136" s="1378">
        <f>F1058</f>
        <v/>
      </c>
      <c r="G1136" s="1364">
        <f>G1058</f>
        <v/>
      </c>
      <c r="H1136" s="1364">
        <f>H1058-G1058</f>
        <v/>
      </c>
      <c r="I1136" s="1364">
        <f>I1058-H1058</f>
        <v/>
      </c>
      <c r="J1136" s="1364">
        <f>J1058-I1058</f>
        <v/>
      </c>
      <c r="K1136" s="1378">
        <f>K1058</f>
        <v/>
      </c>
      <c r="L1136" s="1364">
        <f>L1058</f>
        <v/>
      </c>
      <c r="M1136" s="1364">
        <f>M1058-L1058</f>
        <v/>
      </c>
      <c r="N1136" s="1364">
        <f>N1058-M1058</f>
        <v/>
      </c>
      <c r="O1136" s="1364">
        <f>O1058-N1058</f>
        <v/>
      </c>
      <c r="P1136" s="1378">
        <f>P1058</f>
        <v/>
      </c>
      <c r="Q1136" s="1364">
        <f>Q1058</f>
        <v/>
      </c>
      <c r="R1136" s="1364">
        <f>R1058-Q1058</f>
        <v/>
      </c>
      <c r="S1136" s="1364">
        <f>S1058-R1058</f>
        <v/>
      </c>
      <c r="T1136" s="1364">
        <f>T1058-S1058</f>
        <v/>
      </c>
      <c r="U1136" s="1378">
        <f>U1058</f>
        <v/>
      </c>
      <c r="V1136" s="1364">
        <f>V1058</f>
        <v/>
      </c>
      <c r="W1136" s="1364">
        <f>W1058-V1058</f>
        <v/>
      </c>
      <c r="X1136" s="1364">
        <f>X1058-W1058</f>
        <v/>
      </c>
      <c r="Y1136" s="1364">
        <f>Y1058-X1058</f>
        <v/>
      </c>
      <c r="Z1136" s="1378">
        <f>Z1058</f>
        <v/>
      </c>
      <c r="AA1136" s="1364">
        <f>AA1058</f>
        <v/>
      </c>
      <c r="AB1136" s="1364">
        <f>AB1058-AA1058</f>
        <v/>
      </c>
      <c r="AC1136" s="1364">
        <f>AC1058-AB1058</f>
        <v/>
      </c>
      <c r="AD1136" s="1364">
        <f>AD1058-AC1058</f>
        <v/>
      </c>
      <c r="AE1136" s="1378">
        <f>AE1058</f>
        <v/>
      </c>
      <c r="AF1136" s="1364">
        <f>AF1058</f>
        <v/>
      </c>
      <c r="AG1136" s="1364">
        <f>AG1058-AF1058</f>
        <v/>
      </c>
      <c r="AH1136" s="1364">
        <f>AH1058-AG1058</f>
        <v/>
      </c>
      <c r="AI1136" s="1364">
        <f>AI1058-AH1058</f>
        <v/>
      </c>
      <c r="AJ1136" s="1378">
        <f>AJ1058</f>
        <v/>
      </c>
      <c r="AK1136" s="1364">
        <f>AK1058</f>
        <v/>
      </c>
      <c r="AL1136" s="1364">
        <f>AL1058-AK1058</f>
        <v/>
      </c>
      <c r="AM1136" s="1364">
        <f>AM1058-AL1058</f>
        <v/>
      </c>
      <c r="AN1136" s="1364">
        <f>AN1058-AM1058</f>
        <v/>
      </c>
      <c r="AO1136" s="1378">
        <f>AO1058</f>
        <v/>
      </c>
      <c r="AP1136" s="1364">
        <f>AP1058</f>
        <v/>
      </c>
      <c r="AQ1136" s="1364">
        <f>AQ1058-AP1058</f>
        <v/>
      </c>
      <c r="AR1136" s="1364">
        <f>AR1058-AQ1058</f>
        <v/>
      </c>
      <c r="AS1136" s="1364">
        <f>AS1058-AR1058</f>
        <v/>
      </c>
      <c r="AT1136" s="1378">
        <f>AT1058</f>
        <v/>
      </c>
      <c r="AU1136" s="1364">
        <f>AU1058</f>
        <v/>
      </c>
      <c r="AV1136" s="1364">
        <f>AV1058-AU1058</f>
        <v/>
      </c>
      <c r="AW1136" s="1364">
        <f>AW1058-AV1058</f>
        <v/>
      </c>
      <c r="AX1136" s="1364">
        <f>AX1058-AW1058</f>
        <v/>
      </c>
      <c r="AY1136" s="1378">
        <f>AY1058</f>
        <v/>
      </c>
      <c r="AZ1136" s="1364">
        <f>AZ1058</f>
        <v/>
      </c>
      <c r="BA1136" s="1364">
        <f>BA1058-AZ1058</f>
        <v/>
      </c>
      <c r="BB1136" s="1364">
        <f>BB1058-BA1058</f>
        <v/>
      </c>
      <c r="BC1136" s="1364">
        <f>BC1058-BB1058</f>
        <v/>
      </c>
      <c r="BD1136" s="1378">
        <f>BD1058</f>
        <v/>
      </c>
      <c r="BE1136" s="1364">
        <f>BE1058</f>
        <v/>
      </c>
      <c r="BF1136" s="1364">
        <f>BF1058-BE1058</f>
        <v/>
      </c>
      <c r="BG1136" s="1364">
        <f>BG1058-BF1058</f>
        <v/>
      </c>
      <c r="BH1136" s="1364">
        <f>BH1058-BG1058</f>
        <v/>
      </c>
      <c r="BI1136" s="1378">
        <f>BI1058</f>
        <v/>
      </c>
      <c r="BJ1136" s="1364">
        <f>BJ1058</f>
        <v/>
      </c>
      <c r="BK1136" s="1364">
        <f>BK1058-BJ1058</f>
        <v/>
      </c>
      <c r="BL1136" s="1364">
        <f>BL1058-BK1058</f>
        <v/>
      </c>
      <c r="BM1136" s="1364">
        <f>BM1058-BL1058</f>
        <v/>
      </c>
      <c r="BN1136" s="1378">
        <f>BN1058</f>
        <v/>
      </c>
      <c r="BO1136" s="1364">
        <f>BO1058</f>
        <v/>
      </c>
      <c r="BP1136" s="1364">
        <f>BP1058-BO1058</f>
        <v/>
      </c>
      <c r="BQ1136" s="1395">
        <f>BQ1058-BP1058</f>
        <v/>
      </c>
      <c r="BR1136" s="1361" t="n"/>
      <c r="BS1136" s="1379">
        <f>SUM(BO1136,BP1136,BQ1136,BR1136)</f>
        <v/>
      </c>
      <c r="BT1136" s="1361" t="n"/>
      <c r="BU1136" s="1361" t="n"/>
      <c r="BV1136" s="1361" t="n"/>
      <c r="BW1136" s="1361" t="n"/>
      <c r="BX1136" s="1379">
        <f>SUM(BT1136,BU1136,BV1136,BW1136)</f>
        <v/>
      </c>
      <c r="BY1136" s="1379" t="n"/>
      <c r="BZ1136" s="1379" t="n"/>
      <c r="CA1136" s="1379" t="n"/>
      <c r="CB1136" s="1364" t="n"/>
    </row>
    <row r="1137" ht="14.4" customFormat="1" customHeight="1" s="1359">
      <c r="A1137" s="1394">
        <f>A1059</f>
        <v/>
      </c>
      <c r="B1137" s="1361" t="n"/>
      <c r="C1137" s="1378">
        <f>C1059</f>
        <v/>
      </c>
      <c r="D1137" s="1378">
        <f>D1059</f>
        <v/>
      </c>
      <c r="E1137" s="1378">
        <f>E1059</f>
        <v/>
      </c>
      <c r="F1137" s="1378">
        <f>F1059</f>
        <v/>
      </c>
      <c r="G1137" s="1364">
        <f>G1059</f>
        <v/>
      </c>
      <c r="H1137" s="1364">
        <f>H1059-G1059</f>
        <v/>
      </c>
      <c r="I1137" s="1364">
        <f>I1059-H1059</f>
        <v/>
      </c>
      <c r="J1137" s="1364">
        <f>J1059-I1059</f>
        <v/>
      </c>
      <c r="K1137" s="1378">
        <f>K1059</f>
        <v/>
      </c>
      <c r="L1137" s="1364">
        <f>L1059</f>
        <v/>
      </c>
      <c r="M1137" s="1364">
        <f>M1059-L1059</f>
        <v/>
      </c>
      <c r="N1137" s="1364">
        <f>N1059-M1059</f>
        <v/>
      </c>
      <c r="O1137" s="1364">
        <f>O1059-N1059</f>
        <v/>
      </c>
      <c r="P1137" s="1378">
        <f>P1059</f>
        <v/>
      </c>
      <c r="Q1137" s="1364">
        <f>Q1059</f>
        <v/>
      </c>
      <c r="R1137" s="1364">
        <f>R1059-Q1059</f>
        <v/>
      </c>
      <c r="S1137" s="1364">
        <f>S1059-R1059</f>
        <v/>
      </c>
      <c r="T1137" s="1364">
        <f>T1059-S1059</f>
        <v/>
      </c>
      <c r="U1137" s="1378">
        <f>U1059</f>
        <v/>
      </c>
      <c r="V1137" s="1364">
        <f>V1059</f>
        <v/>
      </c>
      <c r="W1137" s="1364">
        <f>W1059-V1059</f>
        <v/>
      </c>
      <c r="X1137" s="1364">
        <f>X1059-W1059</f>
        <v/>
      </c>
      <c r="Y1137" s="1364">
        <f>Y1059-X1059</f>
        <v/>
      </c>
      <c r="Z1137" s="1378">
        <f>Z1059</f>
        <v/>
      </c>
      <c r="AA1137" s="1364">
        <f>AA1059</f>
        <v/>
      </c>
      <c r="AB1137" s="1364">
        <f>AB1059-AA1059</f>
        <v/>
      </c>
      <c r="AC1137" s="1364">
        <f>AC1059-AB1059</f>
        <v/>
      </c>
      <c r="AD1137" s="1364">
        <f>AD1059-AC1059</f>
        <v/>
      </c>
      <c r="AE1137" s="1378">
        <f>AE1059</f>
        <v/>
      </c>
      <c r="AF1137" s="1364">
        <f>AF1059</f>
        <v/>
      </c>
      <c r="AG1137" s="1364">
        <f>AG1059-AF1059</f>
        <v/>
      </c>
      <c r="AH1137" s="1364">
        <f>AH1059-AG1059</f>
        <v/>
      </c>
      <c r="AI1137" s="1364">
        <f>AI1059-AH1059</f>
        <v/>
      </c>
      <c r="AJ1137" s="1378">
        <f>AJ1059</f>
        <v/>
      </c>
      <c r="AK1137" s="1364">
        <f>AK1059</f>
        <v/>
      </c>
      <c r="AL1137" s="1364">
        <f>AL1059-AK1059</f>
        <v/>
      </c>
      <c r="AM1137" s="1364">
        <f>AM1059-AL1059</f>
        <v/>
      </c>
      <c r="AN1137" s="1364">
        <f>AN1059-AM1059</f>
        <v/>
      </c>
      <c r="AO1137" s="1378">
        <f>AO1059</f>
        <v/>
      </c>
      <c r="AP1137" s="1364">
        <f>AP1059</f>
        <v/>
      </c>
      <c r="AQ1137" s="1364">
        <f>AQ1059-AP1059</f>
        <v/>
      </c>
      <c r="AR1137" s="1364">
        <f>AR1059-AQ1059</f>
        <v/>
      </c>
      <c r="AS1137" s="1364">
        <f>AS1059-AR1059</f>
        <v/>
      </c>
      <c r="AT1137" s="1378">
        <f>AT1059</f>
        <v/>
      </c>
      <c r="AU1137" s="1364">
        <f>AU1059</f>
        <v/>
      </c>
      <c r="AV1137" s="1364">
        <f>AV1059-AU1059</f>
        <v/>
      </c>
      <c r="AW1137" s="1364">
        <f>AW1059-AV1059</f>
        <v/>
      </c>
      <c r="AX1137" s="1364">
        <f>AX1059-AW1059</f>
        <v/>
      </c>
      <c r="AY1137" s="1378">
        <f>AY1059</f>
        <v/>
      </c>
      <c r="AZ1137" s="1364">
        <f>AZ1059</f>
        <v/>
      </c>
      <c r="BA1137" s="1364">
        <f>BA1059-AZ1059</f>
        <v/>
      </c>
      <c r="BB1137" s="1364">
        <f>BB1059-BA1059</f>
        <v/>
      </c>
      <c r="BC1137" s="1364">
        <f>BC1059-BB1059</f>
        <v/>
      </c>
      <c r="BD1137" s="1378">
        <f>BD1059</f>
        <v/>
      </c>
      <c r="BE1137" s="1364">
        <f>BE1059</f>
        <v/>
      </c>
      <c r="BF1137" s="1364">
        <f>BF1059-BE1059</f>
        <v/>
      </c>
      <c r="BG1137" s="1364">
        <f>BG1059-BF1059</f>
        <v/>
      </c>
      <c r="BH1137" s="1364">
        <f>BH1059-BG1059</f>
        <v/>
      </c>
      <c r="BI1137" s="1378">
        <f>BI1059</f>
        <v/>
      </c>
      <c r="BJ1137" s="1364">
        <f>BJ1059</f>
        <v/>
      </c>
      <c r="BK1137" s="1364">
        <f>BK1059-BJ1059</f>
        <v/>
      </c>
      <c r="BL1137" s="1364">
        <f>BL1059-BK1059</f>
        <v/>
      </c>
      <c r="BM1137" s="1364">
        <f>BM1059-BL1059</f>
        <v/>
      </c>
      <c r="BN1137" s="1378">
        <f>BN1059</f>
        <v/>
      </c>
      <c r="BO1137" s="1364">
        <f>BO1059</f>
        <v/>
      </c>
      <c r="BP1137" s="1364">
        <f>BP1059-BO1059</f>
        <v/>
      </c>
      <c r="BQ1137" s="1395">
        <f>BQ1059-BP1059</f>
        <v/>
      </c>
      <c r="BR1137" s="1361" t="n"/>
      <c r="BS1137" s="1379">
        <f>SUM(BO1137,BP1137,BQ1137,BR1137)</f>
        <v/>
      </c>
      <c r="BT1137" s="1361" t="n"/>
      <c r="BU1137" s="1361" t="n"/>
      <c r="BV1137" s="1361" t="n"/>
      <c r="BW1137" s="1361" t="n"/>
      <c r="BX1137" s="1379">
        <f>SUM(BT1137,BU1137,BV1137,BW1137)</f>
        <v/>
      </c>
      <c r="BY1137" s="1379" t="n"/>
      <c r="BZ1137" s="1379" t="n"/>
      <c r="CA1137" s="1379" t="n"/>
      <c r="CB1137" s="1364" t="n"/>
    </row>
    <row r="1138" ht="14.4" customFormat="1" customHeight="1" s="1359">
      <c r="A1138" s="1394">
        <f>A1060</f>
        <v/>
      </c>
      <c r="B1138" s="1361" t="n"/>
      <c r="C1138" s="1378">
        <f>C1060</f>
        <v/>
      </c>
      <c r="D1138" s="1378">
        <f>D1060</f>
        <v/>
      </c>
      <c r="E1138" s="1378">
        <f>E1060</f>
        <v/>
      </c>
      <c r="F1138" s="1378">
        <f>F1060</f>
        <v/>
      </c>
      <c r="G1138" s="1364">
        <f>G1060</f>
        <v/>
      </c>
      <c r="H1138" s="1364">
        <f>H1060-G1060</f>
        <v/>
      </c>
      <c r="I1138" s="1364">
        <f>I1060-H1060</f>
        <v/>
      </c>
      <c r="J1138" s="1364">
        <f>J1060-I1060</f>
        <v/>
      </c>
      <c r="K1138" s="1378">
        <f>K1060</f>
        <v/>
      </c>
      <c r="L1138" s="1364">
        <f>L1060</f>
        <v/>
      </c>
      <c r="M1138" s="1364">
        <f>M1060-L1060</f>
        <v/>
      </c>
      <c r="N1138" s="1364">
        <f>N1060-M1060</f>
        <v/>
      </c>
      <c r="O1138" s="1364">
        <f>O1060-N1060</f>
        <v/>
      </c>
      <c r="P1138" s="1378">
        <f>P1060</f>
        <v/>
      </c>
      <c r="Q1138" s="1364">
        <f>Q1060</f>
        <v/>
      </c>
      <c r="R1138" s="1364">
        <f>R1060-Q1060</f>
        <v/>
      </c>
      <c r="S1138" s="1364">
        <f>S1060-R1060</f>
        <v/>
      </c>
      <c r="T1138" s="1364">
        <f>T1060-S1060</f>
        <v/>
      </c>
      <c r="U1138" s="1378">
        <f>U1060</f>
        <v/>
      </c>
      <c r="V1138" s="1364">
        <f>V1060</f>
        <v/>
      </c>
      <c r="W1138" s="1364">
        <f>W1060-V1060</f>
        <v/>
      </c>
      <c r="X1138" s="1364">
        <f>X1060-W1060</f>
        <v/>
      </c>
      <c r="Y1138" s="1364">
        <f>Y1060-X1060</f>
        <v/>
      </c>
      <c r="Z1138" s="1378">
        <f>Z1060</f>
        <v/>
      </c>
      <c r="AA1138" s="1364">
        <f>AA1060</f>
        <v/>
      </c>
      <c r="AB1138" s="1364">
        <f>AB1060-AA1060</f>
        <v/>
      </c>
      <c r="AC1138" s="1364">
        <f>AC1060-AB1060</f>
        <v/>
      </c>
      <c r="AD1138" s="1364">
        <f>AD1060-AC1060</f>
        <v/>
      </c>
      <c r="AE1138" s="1378">
        <f>AE1060</f>
        <v/>
      </c>
      <c r="AF1138" s="1364">
        <f>AF1060</f>
        <v/>
      </c>
      <c r="AG1138" s="1364">
        <f>AG1060-AF1060</f>
        <v/>
      </c>
      <c r="AH1138" s="1364">
        <f>AH1060-AG1060</f>
        <v/>
      </c>
      <c r="AI1138" s="1364">
        <f>AI1060-AH1060</f>
        <v/>
      </c>
      <c r="AJ1138" s="1378">
        <f>AJ1060</f>
        <v/>
      </c>
      <c r="AK1138" s="1364">
        <f>AK1060</f>
        <v/>
      </c>
      <c r="AL1138" s="1364">
        <f>AL1060-AK1060</f>
        <v/>
      </c>
      <c r="AM1138" s="1364">
        <f>AM1060-AL1060</f>
        <v/>
      </c>
      <c r="AN1138" s="1364">
        <f>AN1060-AM1060</f>
        <v/>
      </c>
      <c r="AO1138" s="1378">
        <f>AO1060</f>
        <v/>
      </c>
      <c r="AP1138" s="1364">
        <f>AP1060</f>
        <v/>
      </c>
      <c r="AQ1138" s="1364">
        <f>AQ1060-AP1060</f>
        <v/>
      </c>
      <c r="AR1138" s="1364">
        <f>AR1060-AQ1060</f>
        <v/>
      </c>
      <c r="AS1138" s="1364">
        <f>AS1060-AR1060</f>
        <v/>
      </c>
      <c r="AT1138" s="1378">
        <f>AT1060</f>
        <v/>
      </c>
      <c r="AU1138" s="1364">
        <f>AU1060</f>
        <v/>
      </c>
      <c r="AV1138" s="1364">
        <f>AV1060-AU1060</f>
        <v/>
      </c>
      <c r="AW1138" s="1364">
        <f>AW1060-AV1060</f>
        <v/>
      </c>
      <c r="AX1138" s="1364">
        <f>AX1060-AW1060</f>
        <v/>
      </c>
      <c r="AY1138" s="1378">
        <f>AY1060</f>
        <v/>
      </c>
      <c r="AZ1138" s="1364">
        <f>AZ1060</f>
        <v/>
      </c>
      <c r="BA1138" s="1364">
        <f>BA1060-AZ1060</f>
        <v/>
      </c>
      <c r="BB1138" s="1364">
        <f>BB1060-BA1060</f>
        <v/>
      </c>
      <c r="BC1138" s="1364">
        <f>BC1060-BB1060</f>
        <v/>
      </c>
      <c r="BD1138" s="1378">
        <f>BD1060</f>
        <v/>
      </c>
      <c r="BE1138" s="1364">
        <f>BE1060</f>
        <v/>
      </c>
      <c r="BF1138" s="1364">
        <f>BF1060-BE1060</f>
        <v/>
      </c>
      <c r="BG1138" s="1364">
        <f>BG1060-BF1060</f>
        <v/>
      </c>
      <c r="BH1138" s="1364">
        <f>BH1060-BG1060</f>
        <v/>
      </c>
      <c r="BI1138" s="1378">
        <f>BI1060</f>
        <v/>
      </c>
      <c r="BJ1138" s="1364">
        <f>BJ1060</f>
        <v/>
      </c>
      <c r="BK1138" s="1364">
        <f>BK1060-BJ1060</f>
        <v/>
      </c>
      <c r="BL1138" s="1364">
        <f>BL1060-BK1060</f>
        <v/>
      </c>
      <c r="BM1138" s="1364">
        <f>BM1060-BL1060</f>
        <v/>
      </c>
      <c r="BN1138" s="1378">
        <f>BN1060</f>
        <v/>
      </c>
      <c r="BO1138" s="1364">
        <f>BO1060</f>
        <v/>
      </c>
      <c r="BP1138" s="1364">
        <f>BP1060-BO1060</f>
        <v/>
      </c>
      <c r="BQ1138" s="1395">
        <f>BQ1060-BP1060</f>
        <v/>
      </c>
      <c r="BR1138" s="1361" t="n"/>
      <c r="BS1138" s="1379">
        <f>SUM(BO1138,BP1138,BQ1138,BR1138)</f>
        <v/>
      </c>
      <c r="BT1138" s="1361" t="n"/>
      <c r="BU1138" s="1361" t="n"/>
      <c r="BV1138" s="1361" t="n"/>
      <c r="BW1138" s="1361" t="n"/>
      <c r="BX1138" s="1379">
        <f>SUM(BT1138,BU1138,BV1138,BW1138)</f>
        <v/>
      </c>
      <c r="BY1138" s="1379" t="n"/>
      <c r="BZ1138" s="1379" t="n"/>
      <c r="CA1138" s="1379" t="n"/>
      <c r="CB1138" s="1364" t="n"/>
    </row>
    <row r="1139" ht="14.4" customFormat="1" customHeight="1" s="1359">
      <c r="A1139" s="1474">
        <f>A1061</f>
        <v/>
      </c>
      <c r="B1139" s="1512" t="n"/>
      <c r="C1139" s="1379">
        <f>C1061</f>
        <v/>
      </c>
      <c r="D1139" s="1379">
        <f>D1061</f>
        <v/>
      </c>
      <c r="E1139" s="1379">
        <f>E1061</f>
        <v/>
      </c>
      <c r="F1139" s="1379">
        <f>F1061</f>
        <v/>
      </c>
      <c r="G1139" s="1361">
        <f>G1061</f>
        <v/>
      </c>
      <c r="H1139" s="1361">
        <f>H1061-G1061</f>
        <v/>
      </c>
      <c r="I1139" s="1361">
        <f>I1061-H1061</f>
        <v/>
      </c>
      <c r="J1139" s="1361">
        <f>J1061-I1061</f>
        <v/>
      </c>
      <c r="K1139" s="1379">
        <f>K1061</f>
        <v/>
      </c>
      <c r="L1139" s="1361">
        <f>L1061</f>
        <v/>
      </c>
      <c r="M1139" s="1361">
        <f>M1061-L1061</f>
        <v/>
      </c>
      <c r="N1139" s="1361">
        <f>N1061-M1061</f>
        <v/>
      </c>
      <c r="O1139" s="1361">
        <f>O1061-N1061</f>
        <v/>
      </c>
      <c r="P1139" s="1379">
        <f>P1061</f>
        <v/>
      </c>
      <c r="Q1139" s="1361">
        <f>Q1061</f>
        <v/>
      </c>
      <c r="R1139" s="1361">
        <f>R1061-Q1061</f>
        <v/>
      </c>
      <c r="S1139" s="1361">
        <f>S1061-R1061</f>
        <v/>
      </c>
      <c r="T1139" s="1361">
        <f>T1061-S1061</f>
        <v/>
      </c>
      <c r="U1139" s="1379">
        <f>U1061</f>
        <v/>
      </c>
      <c r="V1139" s="1361">
        <f>V1061</f>
        <v/>
      </c>
      <c r="W1139" s="1361">
        <f>W1061-V1061</f>
        <v/>
      </c>
      <c r="X1139" s="1361">
        <f>X1061-W1061</f>
        <v/>
      </c>
      <c r="Y1139" s="1361">
        <f>Y1061-X1061</f>
        <v/>
      </c>
      <c r="Z1139" s="1379">
        <f>Z1061</f>
        <v/>
      </c>
      <c r="AA1139" s="1361">
        <f>AA1061</f>
        <v/>
      </c>
      <c r="AB1139" s="1361">
        <f>AB1061-AA1061</f>
        <v/>
      </c>
      <c r="AC1139" s="1361">
        <f>AC1061-AB1061</f>
        <v/>
      </c>
      <c r="AD1139" s="1361">
        <f>AD1061-AC1061</f>
        <v/>
      </c>
      <c r="AE1139" s="1379">
        <f>AE1061</f>
        <v/>
      </c>
      <c r="AF1139" s="1361">
        <f>AF1061</f>
        <v/>
      </c>
      <c r="AG1139" s="1361">
        <f>AG1061-AF1061</f>
        <v/>
      </c>
      <c r="AH1139" s="1361">
        <f>AH1061-AG1061</f>
        <v/>
      </c>
      <c r="AI1139" s="1361">
        <f>AI1061-AH1061</f>
        <v/>
      </c>
      <c r="AJ1139" s="1379">
        <f>AJ1061</f>
        <v/>
      </c>
      <c r="AK1139" s="1361">
        <f>AK1061</f>
        <v/>
      </c>
      <c r="AL1139" s="1361">
        <f>AL1061-AK1061</f>
        <v/>
      </c>
      <c r="AM1139" s="1361">
        <f>AM1061-AL1061</f>
        <v/>
      </c>
      <c r="AN1139" s="1361">
        <f>AN1061-AM1061</f>
        <v/>
      </c>
      <c r="AO1139" s="1379">
        <f>AO1061</f>
        <v/>
      </c>
      <c r="AP1139" s="1361">
        <f>AP1061</f>
        <v/>
      </c>
      <c r="AQ1139" s="1361">
        <f>AQ1061-AP1061</f>
        <v/>
      </c>
      <c r="AR1139" s="1361">
        <f>AR1061-AQ1061</f>
        <v/>
      </c>
      <c r="AS1139" s="1361">
        <f>AS1061-AR1061</f>
        <v/>
      </c>
      <c r="AT1139" s="1379">
        <f>AT1061</f>
        <v/>
      </c>
      <c r="AU1139" s="1361">
        <f>AU1061</f>
        <v/>
      </c>
      <c r="AV1139" s="1361">
        <f>AV1061-AU1061</f>
        <v/>
      </c>
      <c r="AW1139" s="1361">
        <f>AW1061-AV1061</f>
        <v/>
      </c>
      <c r="AX1139" s="1361">
        <f>AX1061-AW1061</f>
        <v/>
      </c>
      <c r="AY1139" s="1379">
        <f>AY1061</f>
        <v/>
      </c>
      <c r="AZ1139" s="1361">
        <f>AZ1061</f>
        <v/>
      </c>
      <c r="BA1139" s="1361">
        <f>BA1061-AZ1061</f>
        <v/>
      </c>
      <c r="BB1139" s="1361">
        <f>BB1061-BA1061</f>
        <v/>
      </c>
      <c r="BC1139" s="1361">
        <f>BC1061-BB1061</f>
        <v/>
      </c>
      <c r="BD1139" s="1379">
        <f>BD1061</f>
        <v/>
      </c>
      <c r="BE1139" s="1361">
        <f>BE1061</f>
        <v/>
      </c>
      <c r="BF1139" s="1361">
        <f>BF1061-BE1061</f>
        <v/>
      </c>
      <c r="BG1139" s="1361">
        <f>BG1061-BF1061</f>
        <v/>
      </c>
      <c r="BH1139" s="1361">
        <f>BH1061-BG1061</f>
        <v/>
      </c>
      <c r="BI1139" s="1379">
        <f>BI1061</f>
        <v/>
      </c>
      <c r="BJ1139" s="1361">
        <f>BJ1061</f>
        <v/>
      </c>
      <c r="BK1139" s="1361">
        <f>BK1061-BJ1061</f>
        <v/>
      </c>
      <c r="BL1139" s="1361">
        <f>BL1061-BK1061</f>
        <v/>
      </c>
      <c r="BM1139" s="1361">
        <f>BM1061-BL1061</f>
        <v/>
      </c>
      <c r="BN1139" s="1379">
        <f>BN1061</f>
        <v/>
      </c>
      <c r="BO1139" s="1361">
        <f>BO1061</f>
        <v/>
      </c>
      <c r="BP1139" s="1361">
        <f>BP1061-BO1061</f>
        <v/>
      </c>
      <c r="BQ1139" s="1363">
        <f>BQ1061-BP1061</f>
        <v/>
      </c>
      <c r="BR1139" s="1361">
        <f>BR613+BR630+BR647+BR664+BR681</f>
        <v/>
      </c>
      <c r="BS1139" s="1379">
        <f>SUM(BO1139,BP1139,BQ1139,BR1139)</f>
        <v/>
      </c>
      <c r="BT1139" s="1361">
        <f>BT613+BT630+BT647+BT664+BT681</f>
        <v/>
      </c>
      <c r="BU1139" s="1361">
        <f>BU613+BU630+BU647+BU664+BU681</f>
        <v/>
      </c>
      <c r="BV1139" s="1361">
        <f>BV613+BV630+BV647+BV664+BV681</f>
        <v/>
      </c>
      <c r="BW1139" s="1361">
        <f>BW613+BW630+BW647+BW664+BW681</f>
        <v/>
      </c>
      <c r="BX1139" s="1379">
        <f>SUM(BT1139,BU1139,BV1139,BW1139)</f>
        <v/>
      </c>
      <c r="BY1139" s="1379">
        <f>BY613+BY630+BY647+BY664+BY681</f>
        <v/>
      </c>
      <c r="BZ1139" s="1379">
        <f>BZ613+BZ630+BZ647+BZ664+BZ681</f>
        <v/>
      </c>
      <c r="CA1139" s="1379">
        <f>CA613+CA630+CA647+CA664+CA681</f>
        <v/>
      </c>
      <c r="CB1139" s="1361" t="n"/>
    </row>
    <row r="1140" ht="14.4" customFormat="1" customHeight="1" s="1359">
      <c r="A1140" s="1394">
        <f>A1062</f>
        <v/>
      </c>
      <c r="B1140" s="1361" t="n"/>
      <c r="C1140" s="1378">
        <f>C1062</f>
        <v/>
      </c>
      <c r="D1140" s="1378">
        <f>D1062</f>
        <v/>
      </c>
      <c r="E1140" s="1378">
        <f>E1062</f>
        <v/>
      </c>
      <c r="F1140" s="1378">
        <f>F1062</f>
        <v/>
      </c>
      <c r="G1140" s="1364">
        <f>G1062</f>
        <v/>
      </c>
      <c r="H1140" s="1364">
        <f>H1062-G1062</f>
        <v/>
      </c>
      <c r="I1140" s="1364">
        <f>I1062-H1062</f>
        <v/>
      </c>
      <c r="J1140" s="1364">
        <f>J1062-I1062</f>
        <v/>
      </c>
      <c r="K1140" s="1378">
        <f>K1062</f>
        <v/>
      </c>
      <c r="L1140" s="1364">
        <f>L1062</f>
        <v/>
      </c>
      <c r="M1140" s="1364">
        <f>M1062-L1062</f>
        <v/>
      </c>
      <c r="N1140" s="1364">
        <f>N1062-M1062</f>
        <v/>
      </c>
      <c r="O1140" s="1364">
        <f>O1062-N1062</f>
        <v/>
      </c>
      <c r="P1140" s="1378">
        <f>P1062</f>
        <v/>
      </c>
      <c r="Q1140" s="1364">
        <f>Q1062</f>
        <v/>
      </c>
      <c r="R1140" s="1364">
        <f>R1062-Q1062</f>
        <v/>
      </c>
      <c r="S1140" s="1364">
        <f>S1062-R1062</f>
        <v/>
      </c>
      <c r="T1140" s="1364">
        <f>T1062-S1062</f>
        <v/>
      </c>
      <c r="U1140" s="1378">
        <f>U1062</f>
        <v/>
      </c>
      <c r="V1140" s="1364">
        <f>V1062</f>
        <v/>
      </c>
      <c r="W1140" s="1364">
        <f>W1062-V1062</f>
        <v/>
      </c>
      <c r="X1140" s="1364">
        <f>X1062-W1062</f>
        <v/>
      </c>
      <c r="Y1140" s="1364">
        <f>Y1062-X1062</f>
        <v/>
      </c>
      <c r="Z1140" s="1378">
        <f>Z1062</f>
        <v/>
      </c>
      <c r="AA1140" s="1364">
        <f>AA1062</f>
        <v/>
      </c>
      <c r="AB1140" s="1364">
        <f>AB1062-AA1062</f>
        <v/>
      </c>
      <c r="AC1140" s="1364">
        <f>AC1062-AB1062</f>
        <v/>
      </c>
      <c r="AD1140" s="1364">
        <f>AD1062-AC1062</f>
        <v/>
      </c>
      <c r="AE1140" s="1378">
        <f>AE1062</f>
        <v/>
      </c>
      <c r="AF1140" s="1364">
        <f>AF1062</f>
        <v/>
      </c>
      <c r="AG1140" s="1364">
        <f>AG1062-AF1062</f>
        <v/>
      </c>
      <c r="AH1140" s="1364">
        <f>AH1062-AG1062</f>
        <v/>
      </c>
      <c r="AI1140" s="1364">
        <f>AI1062-AH1062</f>
        <v/>
      </c>
      <c r="AJ1140" s="1378">
        <f>AJ1062</f>
        <v/>
      </c>
      <c r="AK1140" s="1364">
        <f>AK1062</f>
        <v/>
      </c>
      <c r="AL1140" s="1364">
        <f>AL1062-AK1062</f>
        <v/>
      </c>
      <c r="AM1140" s="1364">
        <f>AM1062-AL1062</f>
        <v/>
      </c>
      <c r="AN1140" s="1364">
        <f>AN1062-AM1062</f>
        <v/>
      </c>
      <c r="AO1140" s="1378">
        <f>AO1062</f>
        <v/>
      </c>
      <c r="AP1140" s="1364">
        <f>AP1062</f>
        <v/>
      </c>
      <c r="AQ1140" s="1364">
        <f>AQ1062-AP1062</f>
        <v/>
      </c>
      <c r="AR1140" s="1364">
        <f>AR1062-AQ1062</f>
        <v/>
      </c>
      <c r="AS1140" s="1364">
        <f>AS1062-AR1062</f>
        <v/>
      </c>
      <c r="AT1140" s="1378">
        <f>AT1062</f>
        <v/>
      </c>
      <c r="AU1140" s="1364">
        <f>AU1062</f>
        <v/>
      </c>
      <c r="AV1140" s="1364">
        <f>AV1062-AU1062</f>
        <v/>
      </c>
      <c r="AW1140" s="1364">
        <f>AW1062-AV1062</f>
        <v/>
      </c>
      <c r="AX1140" s="1364">
        <f>AX1062-AW1062</f>
        <v/>
      </c>
      <c r="AY1140" s="1378">
        <f>AY1062</f>
        <v/>
      </c>
      <c r="AZ1140" s="1364">
        <f>AZ1062</f>
        <v/>
      </c>
      <c r="BA1140" s="1364">
        <f>BA1062-AZ1062</f>
        <v/>
      </c>
      <c r="BB1140" s="1364">
        <f>BB1062-BA1062</f>
        <v/>
      </c>
      <c r="BC1140" s="1364">
        <f>BC1062-BB1062</f>
        <v/>
      </c>
      <c r="BD1140" s="1378">
        <f>BD1062</f>
        <v/>
      </c>
      <c r="BE1140" s="1364">
        <f>BE1062</f>
        <v/>
      </c>
      <c r="BF1140" s="1364">
        <f>BF1062-BE1062</f>
        <v/>
      </c>
      <c r="BG1140" s="1364">
        <f>BG1062-BF1062</f>
        <v/>
      </c>
      <c r="BH1140" s="1364">
        <f>BH1062-BG1062</f>
        <v/>
      </c>
      <c r="BI1140" s="1378">
        <f>BI1062</f>
        <v/>
      </c>
      <c r="BJ1140" s="1364">
        <f>BJ1062</f>
        <v/>
      </c>
      <c r="BK1140" s="1364">
        <f>BK1062-BJ1062</f>
        <v/>
      </c>
      <c r="BL1140" s="1364">
        <f>BL1062-BK1062</f>
        <v/>
      </c>
      <c r="BM1140" s="1364">
        <f>BM1062-BL1062</f>
        <v/>
      </c>
      <c r="BN1140" s="1378">
        <f>BN1062</f>
        <v/>
      </c>
      <c r="BO1140" s="1364">
        <f>BO1062</f>
        <v/>
      </c>
      <c r="BP1140" s="1364">
        <f>BP1062-BO1062</f>
        <v/>
      </c>
      <c r="BQ1140" s="1395">
        <f>BQ1062-BP1062</f>
        <v/>
      </c>
      <c r="BR1140" s="1361" t="n"/>
      <c r="BS1140" s="1379">
        <f>SUM(BO1140,BP1140,BQ1140,BR1140)</f>
        <v/>
      </c>
      <c r="BT1140" s="1361" t="n"/>
      <c r="BU1140" s="1361" t="n"/>
      <c r="BV1140" s="1361" t="n"/>
      <c r="BW1140" s="1361" t="n"/>
      <c r="BX1140" s="1379">
        <f>SUM(BT1140,BU1140,BV1140,BW1140)</f>
        <v/>
      </c>
      <c r="BY1140" s="1379" t="n"/>
      <c r="BZ1140" s="1379" t="n"/>
      <c r="CA1140" s="1379" t="n"/>
      <c r="CB1140" s="1364" t="n"/>
    </row>
    <row r="1141" ht="14.4" customFormat="1" customHeight="1" s="1359">
      <c r="A1141" s="1394">
        <f>A1063</f>
        <v/>
      </c>
      <c r="B1141" s="1361" t="n"/>
      <c r="C1141" s="1378">
        <f>C1063</f>
        <v/>
      </c>
      <c r="D1141" s="1378">
        <f>D1063</f>
        <v/>
      </c>
      <c r="E1141" s="1378">
        <f>E1063</f>
        <v/>
      </c>
      <c r="F1141" s="1378">
        <f>F1063</f>
        <v/>
      </c>
      <c r="G1141" s="1364">
        <f>G1063</f>
        <v/>
      </c>
      <c r="H1141" s="1364">
        <f>H1063-G1063</f>
        <v/>
      </c>
      <c r="I1141" s="1364">
        <f>I1063-H1063</f>
        <v/>
      </c>
      <c r="J1141" s="1364">
        <f>J1063-I1063</f>
        <v/>
      </c>
      <c r="K1141" s="1378">
        <f>K1063</f>
        <v/>
      </c>
      <c r="L1141" s="1364">
        <f>L1063</f>
        <v/>
      </c>
      <c r="M1141" s="1364">
        <f>M1063-L1063</f>
        <v/>
      </c>
      <c r="N1141" s="1364">
        <f>N1063-M1063</f>
        <v/>
      </c>
      <c r="O1141" s="1364">
        <f>O1063-N1063</f>
        <v/>
      </c>
      <c r="P1141" s="1378">
        <f>P1063</f>
        <v/>
      </c>
      <c r="Q1141" s="1364">
        <f>Q1063</f>
        <v/>
      </c>
      <c r="R1141" s="1364">
        <f>R1063-Q1063</f>
        <v/>
      </c>
      <c r="S1141" s="1364">
        <f>S1063-R1063</f>
        <v/>
      </c>
      <c r="T1141" s="1364">
        <f>T1063-S1063</f>
        <v/>
      </c>
      <c r="U1141" s="1378">
        <f>U1063</f>
        <v/>
      </c>
      <c r="V1141" s="1364">
        <f>V1063</f>
        <v/>
      </c>
      <c r="W1141" s="1364">
        <f>W1063-V1063</f>
        <v/>
      </c>
      <c r="X1141" s="1364">
        <f>X1063-W1063</f>
        <v/>
      </c>
      <c r="Y1141" s="1364">
        <f>Y1063-X1063</f>
        <v/>
      </c>
      <c r="Z1141" s="1378">
        <f>Z1063</f>
        <v/>
      </c>
      <c r="AA1141" s="1364">
        <f>AA1063</f>
        <v/>
      </c>
      <c r="AB1141" s="1364">
        <f>AB1063-AA1063</f>
        <v/>
      </c>
      <c r="AC1141" s="1364">
        <f>AC1063-AB1063</f>
        <v/>
      </c>
      <c r="AD1141" s="1364">
        <f>AD1063-AC1063</f>
        <v/>
      </c>
      <c r="AE1141" s="1378">
        <f>AE1063</f>
        <v/>
      </c>
      <c r="AF1141" s="1364">
        <f>AF1063</f>
        <v/>
      </c>
      <c r="AG1141" s="1364">
        <f>AG1063-AF1063</f>
        <v/>
      </c>
      <c r="AH1141" s="1364">
        <f>AH1063-AG1063</f>
        <v/>
      </c>
      <c r="AI1141" s="1364">
        <f>AI1063-AH1063</f>
        <v/>
      </c>
      <c r="AJ1141" s="1378">
        <f>AJ1063</f>
        <v/>
      </c>
      <c r="AK1141" s="1364">
        <f>AK1063</f>
        <v/>
      </c>
      <c r="AL1141" s="1364">
        <f>AL1063-AK1063</f>
        <v/>
      </c>
      <c r="AM1141" s="1364">
        <f>AM1063-AL1063</f>
        <v/>
      </c>
      <c r="AN1141" s="1364">
        <f>AN1063-AM1063</f>
        <v/>
      </c>
      <c r="AO1141" s="1378">
        <f>AO1063</f>
        <v/>
      </c>
      <c r="AP1141" s="1364">
        <f>AP1063</f>
        <v/>
      </c>
      <c r="AQ1141" s="1364">
        <f>AQ1063-AP1063</f>
        <v/>
      </c>
      <c r="AR1141" s="1364">
        <f>AR1063-AQ1063</f>
        <v/>
      </c>
      <c r="AS1141" s="1364">
        <f>AS1063-AR1063</f>
        <v/>
      </c>
      <c r="AT1141" s="1378">
        <f>AT1063</f>
        <v/>
      </c>
      <c r="AU1141" s="1364">
        <f>AU1063</f>
        <v/>
      </c>
      <c r="AV1141" s="1364">
        <f>AV1063-AU1063</f>
        <v/>
      </c>
      <c r="AW1141" s="1364">
        <f>AW1063-AV1063</f>
        <v/>
      </c>
      <c r="AX1141" s="1364">
        <f>AX1063-AW1063</f>
        <v/>
      </c>
      <c r="AY1141" s="1378">
        <f>AY1063</f>
        <v/>
      </c>
      <c r="AZ1141" s="1364">
        <f>AZ1063</f>
        <v/>
      </c>
      <c r="BA1141" s="1364">
        <f>BA1063-AZ1063</f>
        <v/>
      </c>
      <c r="BB1141" s="1364">
        <f>BB1063-BA1063</f>
        <v/>
      </c>
      <c r="BC1141" s="1364">
        <f>BC1063-BB1063</f>
        <v/>
      </c>
      <c r="BD1141" s="1378">
        <f>BD1063</f>
        <v/>
      </c>
      <c r="BE1141" s="1364">
        <f>BE1063</f>
        <v/>
      </c>
      <c r="BF1141" s="1364">
        <f>BF1063-BE1063</f>
        <v/>
      </c>
      <c r="BG1141" s="1364">
        <f>BG1063-BF1063</f>
        <v/>
      </c>
      <c r="BH1141" s="1364">
        <f>BH1063-BG1063</f>
        <v/>
      </c>
      <c r="BI1141" s="1378">
        <f>BI1063</f>
        <v/>
      </c>
      <c r="BJ1141" s="1364">
        <f>BJ1063</f>
        <v/>
      </c>
      <c r="BK1141" s="1364">
        <f>BK1063-BJ1063</f>
        <v/>
      </c>
      <c r="BL1141" s="1364">
        <f>BL1063-BK1063</f>
        <v/>
      </c>
      <c r="BM1141" s="1364">
        <f>BM1063-BL1063</f>
        <v/>
      </c>
      <c r="BN1141" s="1378">
        <f>BN1063</f>
        <v/>
      </c>
      <c r="BO1141" s="1364">
        <f>BO1063</f>
        <v/>
      </c>
      <c r="BP1141" s="1364">
        <f>BP1063-BO1063</f>
        <v/>
      </c>
      <c r="BQ1141" s="1395">
        <f>BQ1063-BP1063</f>
        <v/>
      </c>
      <c r="BR1141" s="1361" t="n"/>
      <c r="BS1141" s="1379">
        <f>SUM(BO1141,BP1141,BQ1141,BR1141)</f>
        <v/>
      </c>
      <c r="BT1141" s="1361" t="n"/>
      <c r="BU1141" s="1361" t="n"/>
      <c r="BV1141" s="1361" t="n"/>
      <c r="BW1141" s="1361" t="n"/>
      <c r="BX1141" s="1379">
        <f>SUM(BT1141,BU1141,BV1141,BW1141)</f>
        <v/>
      </c>
      <c r="BY1141" s="1379" t="n"/>
      <c r="BZ1141" s="1379" t="n"/>
      <c r="CA1141" s="1379" t="n"/>
      <c r="CB1141" s="1364" t="n"/>
    </row>
    <row r="1142" ht="14.4" customFormat="1" customHeight="1" s="1359">
      <c r="A1142" s="1394">
        <f>A1064</f>
        <v/>
      </c>
      <c r="B1142" s="1361" t="n"/>
      <c r="C1142" s="1378">
        <f>C1064</f>
        <v/>
      </c>
      <c r="D1142" s="1378">
        <f>D1064</f>
        <v/>
      </c>
      <c r="E1142" s="1378">
        <f>E1064</f>
        <v/>
      </c>
      <c r="F1142" s="1378">
        <f>F1064</f>
        <v/>
      </c>
      <c r="G1142" s="1364">
        <f>G1064</f>
        <v/>
      </c>
      <c r="H1142" s="1364">
        <f>H1064-G1064</f>
        <v/>
      </c>
      <c r="I1142" s="1364">
        <f>I1064-H1064</f>
        <v/>
      </c>
      <c r="J1142" s="1364">
        <f>J1064-I1064</f>
        <v/>
      </c>
      <c r="K1142" s="1378">
        <f>K1064</f>
        <v/>
      </c>
      <c r="L1142" s="1364">
        <f>L1064</f>
        <v/>
      </c>
      <c r="M1142" s="1364">
        <f>M1064-L1064</f>
        <v/>
      </c>
      <c r="N1142" s="1364">
        <f>N1064-M1064</f>
        <v/>
      </c>
      <c r="O1142" s="1364">
        <f>O1064-N1064</f>
        <v/>
      </c>
      <c r="P1142" s="1378">
        <f>P1064</f>
        <v/>
      </c>
      <c r="Q1142" s="1364">
        <f>Q1064</f>
        <v/>
      </c>
      <c r="R1142" s="1364">
        <f>R1064-Q1064</f>
        <v/>
      </c>
      <c r="S1142" s="1364">
        <f>S1064-R1064</f>
        <v/>
      </c>
      <c r="T1142" s="1364">
        <f>T1064-S1064</f>
        <v/>
      </c>
      <c r="U1142" s="1378">
        <f>U1064</f>
        <v/>
      </c>
      <c r="V1142" s="1364">
        <f>V1064</f>
        <v/>
      </c>
      <c r="W1142" s="1364">
        <f>W1064-V1064</f>
        <v/>
      </c>
      <c r="X1142" s="1364">
        <f>X1064-W1064</f>
        <v/>
      </c>
      <c r="Y1142" s="1364">
        <f>Y1064-X1064</f>
        <v/>
      </c>
      <c r="Z1142" s="1378">
        <f>Z1064</f>
        <v/>
      </c>
      <c r="AA1142" s="1364">
        <f>AA1064</f>
        <v/>
      </c>
      <c r="AB1142" s="1364">
        <f>AB1064-AA1064</f>
        <v/>
      </c>
      <c r="AC1142" s="1364">
        <f>AC1064-AB1064</f>
        <v/>
      </c>
      <c r="AD1142" s="1364">
        <f>AD1064-AC1064</f>
        <v/>
      </c>
      <c r="AE1142" s="1378">
        <f>AE1064</f>
        <v/>
      </c>
      <c r="AF1142" s="1364">
        <f>AF1064</f>
        <v/>
      </c>
      <c r="AG1142" s="1364">
        <f>AG1064-AF1064</f>
        <v/>
      </c>
      <c r="AH1142" s="1364">
        <f>AH1064-AG1064</f>
        <v/>
      </c>
      <c r="AI1142" s="1364">
        <f>AI1064-AH1064</f>
        <v/>
      </c>
      <c r="AJ1142" s="1378">
        <f>AJ1064</f>
        <v/>
      </c>
      <c r="AK1142" s="1364">
        <f>AK1064</f>
        <v/>
      </c>
      <c r="AL1142" s="1364">
        <f>AL1064-AK1064</f>
        <v/>
      </c>
      <c r="AM1142" s="1364">
        <f>AM1064-AL1064</f>
        <v/>
      </c>
      <c r="AN1142" s="1364">
        <f>AN1064-AM1064</f>
        <v/>
      </c>
      <c r="AO1142" s="1378">
        <f>AO1064</f>
        <v/>
      </c>
      <c r="AP1142" s="1364">
        <f>AP1064</f>
        <v/>
      </c>
      <c r="AQ1142" s="1364">
        <f>AQ1064-AP1064</f>
        <v/>
      </c>
      <c r="AR1142" s="1364">
        <f>AR1064-AQ1064</f>
        <v/>
      </c>
      <c r="AS1142" s="1364">
        <f>AS1064-AR1064</f>
        <v/>
      </c>
      <c r="AT1142" s="1378">
        <f>AT1064</f>
        <v/>
      </c>
      <c r="AU1142" s="1364">
        <f>AU1064</f>
        <v/>
      </c>
      <c r="AV1142" s="1364">
        <f>AV1064-AU1064</f>
        <v/>
      </c>
      <c r="AW1142" s="1364">
        <f>AW1064-AV1064</f>
        <v/>
      </c>
      <c r="AX1142" s="1364">
        <f>AX1064-AW1064</f>
        <v/>
      </c>
      <c r="AY1142" s="1378">
        <f>AY1064</f>
        <v/>
      </c>
      <c r="AZ1142" s="1364">
        <f>AZ1064</f>
        <v/>
      </c>
      <c r="BA1142" s="1364">
        <f>BA1064-AZ1064</f>
        <v/>
      </c>
      <c r="BB1142" s="1364">
        <f>BB1064-BA1064</f>
        <v/>
      </c>
      <c r="BC1142" s="1364">
        <f>BC1064-BB1064</f>
        <v/>
      </c>
      <c r="BD1142" s="1378">
        <f>BD1064</f>
        <v/>
      </c>
      <c r="BE1142" s="1364">
        <f>BE1064</f>
        <v/>
      </c>
      <c r="BF1142" s="1364">
        <f>BF1064-BE1064</f>
        <v/>
      </c>
      <c r="BG1142" s="1364">
        <f>BG1064-BF1064</f>
        <v/>
      </c>
      <c r="BH1142" s="1364">
        <f>BH1064-BG1064</f>
        <v/>
      </c>
      <c r="BI1142" s="1378">
        <f>BI1064</f>
        <v/>
      </c>
      <c r="BJ1142" s="1364">
        <f>BJ1064</f>
        <v/>
      </c>
      <c r="BK1142" s="1364">
        <f>BK1064-BJ1064</f>
        <v/>
      </c>
      <c r="BL1142" s="1364">
        <f>BL1064-BK1064</f>
        <v/>
      </c>
      <c r="BM1142" s="1364">
        <f>BM1064-BL1064</f>
        <v/>
      </c>
      <c r="BN1142" s="1378">
        <f>BN1064</f>
        <v/>
      </c>
      <c r="BO1142" s="1364">
        <f>BO1064</f>
        <v/>
      </c>
      <c r="BP1142" s="1364">
        <f>BP1064-BO1064</f>
        <v/>
      </c>
      <c r="BQ1142" s="1395">
        <f>BQ1064-BP1064</f>
        <v/>
      </c>
      <c r="BR1142" s="1361" t="n"/>
      <c r="BS1142" s="1379">
        <f>SUM(BO1142,BP1142,BQ1142,BR1142)</f>
        <v/>
      </c>
      <c r="BT1142" s="1361" t="n"/>
      <c r="BU1142" s="1361" t="n"/>
      <c r="BV1142" s="1361" t="n"/>
      <c r="BW1142" s="1361" t="n"/>
      <c r="BX1142" s="1379">
        <f>SUM(BT1142,BU1142,BV1142,BW1142)</f>
        <v/>
      </c>
      <c r="BY1142" s="1379" t="n"/>
      <c r="BZ1142" s="1379" t="n"/>
      <c r="CA1142" s="1379" t="n"/>
      <c r="CB1142" s="1364" t="n"/>
    </row>
    <row r="1143" ht="14.4" customFormat="1" customHeight="1" s="1359">
      <c r="A1143" s="1394">
        <f>A1065</f>
        <v/>
      </c>
      <c r="B1143" s="1361" t="n"/>
      <c r="C1143" s="1378">
        <f>C1065</f>
        <v/>
      </c>
      <c r="D1143" s="1378">
        <f>D1065</f>
        <v/>
      </c>
      <c r="E1143" s="1378">
        <f>E1065</f>
        <v/>
      </c>
      <c r="F1143" s="1378">
        <f>F1065</f>
        <v/>
      </c>
      <c r="G1143" s="1364">
        <f>G1065</f>
        <v/>
      </c>
      <c r="H1143" s="1364">
        <f>H1065-G1065</f>
        <v/>
      </c>
      <c r="I1143" s="1364">
        <f>I1065-H1065</f>
        <v/>
      </c>
      <c r="J1143" s="1364">
        <f>J1065-I1065</f>
        <v/>
      </c>
      <c r="K1143" s="1378">
        <f>K1065</f>
        <v/>
      </c>
      <c r="L1143" s="1364">
        <f>L1065</f>
        <v/>
      </c>
      <c r="M1143" s="1364">
        <f>M1065-L1065</f>
        <v/>
      </c>
      <c r="N1143" s="1364">
        <f>N1065-M1065</f>
        <v/>
      </c>
      <c r="O1143" s="1364">
        <f>O1065-N1065</f>
        <v/>
      </c>
      <c r="P1143" s="1378">
        <f>P1065</f>
        <v/>
      </c>
      <c r="Q1143" s="1364">
        <f>Q1065</f>
        <v/>
      </c>
      <c r="R1143" s="1364">
        <f>R1065-Q1065</f>
        <v/>
      </c>
      <c r="S1143" s="1364">
        <f>S1065-R1065</f>
        <v/>
      </c>
      <c r="T1143" s="1364">
        <f>T1065-S1065</f>
        <v/>
      </c>
      <c r="U1143" s="1378">
        <f>U1065</f>
        <v/>
      </c>
      <c r="V1143" s="1364">
        <f>V1065</f>
        <v/>
      </c>
      <c r="W1143" s="1364">
        <f>W1065-V1065</f>
        <v/>
      </c>
      <c r="X1143" s="1364">
        <f>X1065-W1065</f>
        <v/>
      </c>
      <c r="Y1143" s="1364">
        <f>Y1065-X1065</f>
        <v/>
      </c>
      <c r="Z1143" s="1378">
        <f>Z1065</f>
        <v/>
      </c>
      <c r="AA1143" s="1364">
        <f>AA1065</f>
        <v/>
      </c>
      <c r="AB1143" s="1364">
        <f>AB1065-AA1065</f>
        <v/>
      </c>
      <c r="AC1143" s="1364">
        <f>AC1065-AB1065</f>
        <v/>
      </c>
      <c r="AD1143" s="1364">
        <f>AD1065-AC1065</f>
        <v/>
      </c>
      <c r="AE1143" s="1378">
        <f>AE1065</f>
        <v/>
      </c>
      <c r="AF1143" s="1364">
        <f>AF1065</f>
        <v/>
      </c>
      <c r="AG1143" s="1364">
        <f>AG1065-AF1065</f>
        <v/>
      </c>
      <c r="AH1143" s="1364">
        <f>AH1065-AG1065</f>
        <v/>
      </c>
      <c r="AI1143" s="1364">
        <f>AI1065-AH1065</f>
        <v/>
      </c>
      <c r="AJ1143" s="1378">
        <f>AJ1065</f>
        <v/>
      </c>
      <c r="AK1143" s="1364">
        <f>AK1065</f>
        <v/>
      </c>
      <c r="AL1143" s="1364">
        <f>AL1065-AK1065</f>
        <v/>
      </c>
      <c r="AM1143" s="1364">
        <f>AM1065-AL1065</f>
        <v/>
      </c>
      <c r="AN1143" s="1364">
        <f>AN1065-AM1065</f>
        <v/>
      </c>
      <c r="AO1143" s="1378">
        <f>AO1065</f>
        <v/>
      </c>
      <c r="AP1143" s="1364">
        <f>AP1065</f>
        <v/>
      </c>
      <c r="AQ1143" s="1364">
        <f>AQ1065-AP1065</f>
        <v/>
      </c>
      <c r="AR1143" s="1364">
        <f>AR1065-AQ1065</f>
        <v/>
      </c>
      <c r="AS1143" s="1364">
        <f>AS1065-AR1065</f>
        <v/>
      </c>
      <c r="AT1143" s="1378">
        <f>AT1065</f>
        <v/>
      </c>
      <c r="AU1143" s="1364">
        <f>AU1065</f>
        <v/>
      </c>
      <c r="AV1143" s="1364">
        <f>AV1065-AU1065</f>
        <v/>
      </c>
      <c r="AW1143" s="1364">
        <f>AW1065-AV1065</f>
        <v/>
      </c>
      <c r="AX1143" s="1364">
        <f>AX1065-AW1065</f>
        <v/>
      </c>
      <c r="AY1143" s="1378">
        <f>AY1065</f>
        <v/>
      </c>
      <c r="AZ1143" s="1364">
        <f>AZ1065</f>
        <v/>
      </c>
      <c r="BA1143" s="1364">
        <f>BA1065-AZ1065</f>
        <v/>
      </c>
      <c r="BB1143" s="1364">
        <f>BB1065-BA1065</f>
        <v/>
      </c>
      <c r="BC1143" s="1364">
        <f>BC1065-BB1065</f>
        <v/>
      </c>
      <c r="BD1143" s="1378">
        <f>BD1065</f>
        <v/>
      </c>
      <c r="BE1143" s="1364">
        <f>BE1065</f>
        <v/>
      </c>
      <c r="BF1143" s="1364">
        <f>BF1065-BE1065</f>
        <v/>
      </c>
      <c r="BG1143" s="1364">
        <f>BG1065-BF1065</f>
        <v/>
      </c>
      <c r="BH1143" s="1364">
        <f>BH1065-BG1065</f>
        <v/>
      </c>
      <c r="BI1143" s="1378">
        <f>BI1065</f>
        <v/>
      </c>
      <c r="BJ1143" s="1364">
        <f>BJ1065</f>
        <v/>
      </c>
      <c r="BK1143" s="1364">
        <f>BK1065-BJ1065</f>
        <v/>
      </c>
      <c r="BL1143" s="1364">
        <f>BL1065-BK1065</f>
        <v/>
      </c>
      <c r="BM1143" s="1364">
        <f>BM1065-BL1065</f>
        <v/>
      </c>
      <c r="BN1143" s="1378">
        <f>BN1065</f>
        <v/>
      </c>
      <c r="BO1143" s="1364">
        <f>BO1065</f>
        <v/>
      </c>
      <c r="BP1143" s="1364">
        <f>BP1065-BO1065</f>
        <v/>
      </c>
      <c r="BQ1143" s="1395">
        <f>BQ1065-BP1065</f>
        <v/>
      </c>
      <c r="BR1143" s="1361" t="n"/>
      <c r="BS1143" s="1379">
        <f>SUM(BO1143,BP1143,BQ1143,BR1143)</f>
        <v/>
      </c>
      <c r="BT1143" s="1361" t="n"/>
      <c r="BU1143" s="1361" t="n"/>
      <c r="BV1143" s="1361" t="n"/>
      <c r="BW1143" s="1361" t="n"/>
      <c r="BX1143" s="1379">
        <f>SUM(BT1143,BU1143,BV1143,BW1143)</f>
        <v/>
      </c>
      <c r="BY1143" s="1379" t="n"/>
      <c r="BZ1143" s="1379" t="n"/>
      <c r="CA1143" s="1379" t="n"/>
      <c r="CB1143" s="1364" t="n"/>
    </row>
    <row r="1144" ht="14.4" customFormat="1" customHeight="1" s="1359">
      <c r="A1144" s="1394">
        <f>A1066</f>
        <v/>
      </c>
      <c r="B1144" s="1361" t="n"/>
      <c r="C1144" s="1378">
        <f>C1066</f>
        <v/>
      </c>
      <c r="D1144" s="1378">
        <f>D1066</f>
        <v/>
      </c>
      <c r="E1144" s="1378">
        <f>E1066</f>
        <v/>
      </c>
      <c r="F1144" s="1378">
        <f>F1066</f>
        <v/>
      </c>
      <c r="G1144" s="1364">
        <f>G1066</f>
        <v/>
      </c>
      <c r="H1144" s="1364">
        <f>H1066-G1066</f>
        <v/>
      </c>
      <c r="I1144" s="1364">
        <f>I1066-H1066</f>
        <v/>
      </c>
      <c r="J1144" s="1364">
        <f>J1066-I1066</f>
        <v/>
      </c>
      <c r="K1144" s="1378">
        <f>K1066</f>
        <v/>
      </c>
      <c r="L1144" s="1364">
        <f>L1066</f>
        <v/>
      </c>
      <c r="M1144" s="1364">
        <f>M1066-L1066</f>
        <v/>
      </c>
      <c r="N1144" s="1364">
        <f>N1066-M1066</f>
        <v/>
      </c>
      <c r="O1144" s="1364">
        <f>O1066-N1066</f>
        <v/>
      </c>
      <c r="P1144" s="1378">
        <f>P1066</f>
        <v/>
      </c>
      <c r="Q1144" s="1364">
        <f>Q1066</f>
        <v/>
      </c>
      <c r="R1144" s="1364">
        <f>R1066-Q1066</f>
        <v/>
      </c>
      <c r="S1144" s="1364">
        <f>S1066-R1066</f>
        <v/>
      </c>
      <c r="T1144" s="1364">
        <f>T1066-S1066</f>
        <v/>
      </c>
      <c r="U1144" s="1378">
        <f>U1066</f>
        <v/>
      </c>
      <c r="V1144" s="1364">
        <f>V1066</f>
        <v/>
      </c>
      <c r="W1144" s="1364">
        <f>W1066-V1066</f>
        <v/>
      </c>
      <c r="X1144" s="1364">
        <f>X1066-W1066</f>
        <v/>
      </c>
      <c r="Y1144" s="1364">
        <f>Y1066-X1066</f>
        <v/>
      </c>
      <c r="Z1144" s="1378">
        <f>Z1066</f>
        <v/>
      </c>
      <c r="AA1144" s="1364">
        <f>AA1066</f>
        <v/>
      </c>
      <c r="AB1144" s="1364">
        <f>AB1066-AA1066</f>
        <v/>
      </c>
      <c r="AC1144" s="1364">
        <f>AC1066-AB1066</f>
        <v/>
      </c>
      <c r="AD1144" s="1364">
        <f>AD1066-AC1066</f>
        <v/>
      </c>
      <c r="AE1144" s="1378">
        <f>AE1066</f>
        <v/>
      </c>
      <c r="AF1144" s="1364">
        <f>AF1066</f>
        <v/>
      </c>
      <c r="AG1144" s="1364">
        <f>AG1066-AF1066</f>
        <v/>
      </c>
      <c r="AH1144" s="1364">
        <f>AH1066-AG1066</f>
        <v/>
      </c>
      <c r="AI1144" s="1364">
        <f>AI1066-AH1066</f>
        <v/>
      </c>
      <c r="AJ1144" s="1378">
        <f>AJ1066</f>
        <v/>
      </c>
      <c r="AK1144" s="1364">
        <f>AK1066</f>
        <v/>
      </c>
      <c r="AL1144" s="1364">
        <f>AL1066-AK1066</f>
        <v/>
      </c>
      <c r="AM1144" s="1364">
        <f>AM1066-AL1066</f>
        <v/>
      </c>
      <c r="AN1144" s="1364">
        <f>AN1066-AM1066</f>
        <v/>
      </c>
      <c r="AO1144" s="1378">
        <f>AO1066</f>
        <v/>
      </c>
      <c r="AP1144" s="1364">
        <f>AP1066</f>
        <v/>
      </c>
      <c r="AQ1144" s="1364">
        <f>AQ1066-AP1066</f>
        <v/>
      </c>
      <c r="AR1144" s="1364">
        <f>AR1066-AQ1066</f>
        <v/>
      </c>
      <c r="AS1144" s="1364">
        <f>AS1066-AR1066</f>
        <v/>
      </c>
      <c r="AT1144" s="1378">
        <f>AT1066</f>
        <v/>
      </c>
      <c r="AU1144" s="1364">
        <f>AU1066</f>
        <v/>
      </c>
      <c r="AV1144" s="1364">
        <f>AV1066-AU1066</f>
        <v/>
      </c>
      <c r="AW1144" s="1364">
        <f>AW1066-AV1066</f>
        <v/>
      </c>
      <c r="AX1144" s="1364">
        <f>AX1066-AW1066</f>
        <v/>
      </c>
      <c r="AY1144" s="1378">
        <f>AY1066</f>
        <v/>
      </c>
      <c r="AZ1144" s="1364">
        <f>AZ1066</f>
        <v/>
      </c>
      <c r="BA1144" s="1364">
        <f>BA1066-AZ1066</f>
        <v/>
      </c>
      <c r="BB1144" s="1364">
        <f>BB1066-BA1066</f>
        <v/>
      </c>
      <c r="BC1144" s="1364">
        <f>BC1066-BB1066</f>
        <v/>
      </c>
      <c r="BD1144" s="1378">
        <f>BD1066</f>
        <v/>
      </c>
      <c r="BE1144" s="1364">
        <f>BE1066</f>
        <v/>
      </c>
      <c r="BF1144" s="1364">
        <f>BF1066-BE1066</f>
        <v/>
      </c>
      <c r="BG1144" s="1364">
        <f>BG1066-BF1066</f>
        <v/>
      </c>
      <c r="BH1144" s="1364">
        <f>BH1066-BG1066</f>
        <v/>
      </c>
      <c r="BI1144" s="1378">
        <f>BI1066</f>
        <v/>
      </c>
      <c r="BJ1144" s="1364">
        <f>BJ1066</f>
        <v/>
      </c>
      <c r="BK1144" s="1364">
        <f>BK1066-BJ1066</f>
        <v/>
      </c>
      <c r="BL1144" s="1364">
        <f>BL1066-BK1066</f>
        <v/>
      </c>
      <c r="BM1144" s="1364">
        <f>BM1066-BL1066</f>
        <v/>
      </c>
      <c r="BN1144" s="1378">
        <f>BN1066</f>
        <v/>
      </c>
      <c r="BO1144" s="1364">
        <f>BO1066</f>
        <v/>
      </c>
      <c r="BP1144" s="1364">
        <f>BP1066-BO1066</f>
        <v/>
      </c>
      <c r="BQ1144" s="1395">
        <f>BQ1066-BP1066</f>
        <v/>
      </c>
      <c r="BR1144" s="1361" t="n"/>
      <c r="BS1144" s="1379">
        <f>SUM(BO1144,BP1144,BQ1144,BR1144)</f>
        <v/>
      </c>
      <c r="BT1144" s="1361" t="n"/>
      <c r="BU1144" s="1361" t="n"/>
      <c r="BV1144" s="1361" t="n"/>
      <c r="BW1144" s="1361" t="n"/>
      <c r="BX1144" s="1379">
        <f>SUM(BT1144,BU1144,BV1144,BW1144)</f>
        <v/>
      </c>
      <c r="BY1144" s="1379" t="n"/>
      <c r="BZ1144" s="1379" t="n"/>
      <c r="CA1144" s="1379" t="n"/>
      <c r="CB1144" s="1364" t="n"/>
    </row>
    <row r="1145" ht="14.4" customFormat="1" customHeight="1" s="1359">
      <c r="A1145" s="1394">
        <f>A1067</f>
        <v/>
      </c>
      <c r="B1145" s="1361" t="n"/>
      <c r="C1145" s="1378">
        <f>C1067</f>
        <v/>
      </c>
      <c r="D1145" s="1378">
        <f>D1067</f>
        <v/>
      </c>
      <c r="E1145" s="1378">
        <f>E1067</f>
        <v/>
      </c>
      <c r="F1145" s="1378">
        <f>F1067</f>
        <v/>
      </c>
      <c r="G1145" s="1364">
        <f>G1067</f>
        <v/>
      </c>
      <c r="H1145" s="1364">
        <f>H1067-G1067</f>
        <v/>
      </c>
      <c r="I1145" s="1364">
        <f>I1067-H1067</f>
        <v/>
      </c>
      <c r="J1145" s="1364">
        <f>J1067-I1067</f>
        <v/>
      </c>
      <c r="K1145" s="1378">
        <f>K1067</f>
        <v/>
      </c>
      <c r="L1145" s="1364">
        <f>L1067</f>
        <v/>
      </c>
      <c r="M1145" s="1364">
        <f>M1067-L1067</f>
        <v/>
      </c>
      <c r="N1145" s="1364">
        <f>N1067-M1067</f>
        <v/>
      </c>
      <c r="O1145" s="1364">
        <f>O1067-N1067</f>
        <v/>
      </c>
      <c r="P1145" s="1378">
        <f>P1067</f>
        <v/>
      </c>
      <c r="Q1145" s="1364">
        <f>Q1067</f>
        <v/>
      </c>
      <c r="R1145" s="1364">
        <f>R1067-Q1067</f>
        <v/>
      </c>
      <c r="S1145" s="1364">
        <f>S1067-R1067</f>
        <v/>
      </c>
      <c r="T1145" s="1364">
        <f>T1067-S1067</f>
        <v/>
      </c>
      <c r="U1145" s="1378">
        <f>U1067</f>
        <v/>
      </c>
      <c r="V1145" s="1364">
        <f>V1067</f>
        <v/>
      </c>
      <c r="W1145" s="1364">
        <f>W1067-V1067</f>
        <v/>
      </c>
      <c r="X1145" s="1364">
        <f>X1067-W1067</f>
        <v/>
      </c>
      <c r="Y1145" s="1364">
        <f>Y1067-X1067</f>
        <v/>
      </c>
      <c r="Z1145" s="1378">
        <f>Z1067</f>
        <v/>
      </c>
      <c r="AA1145" s="1364">
        <f>AA1067</f>
        <v/>
      </c>
      <c r="AB1145" s="1364">
        <f>AB1067-AA1067</f>
        <v/>
      </c>
      <c r="AC1145" s="1364">
        <f>AC1067-AB1067</f>
        <v/>
      </c>
      <c r="AD1145" s="1364">
        <f>AD1067-AC1067</f>
        <v/>
      </c>
      <c r="AE1145" s="1378">
        <f>AE1067</f>
        <v/>
      </c>
      <c r="AF1145" s="1364">
        <f>AF1067</f>
        <v/>
      </c>
      <c r="AG1145" s="1364">
        <f>AG1067-AF1067</f>
        <v/>
      </c>
      <c r="AH1145" s="1364">
        <f>AH1067-AG1067</f>
        <v/>
      </c>
      <c r="AI1145" s="1364">
        <f>AI1067-AH1067</f>
        <v/>
      </c>
      <c r="AJ1145" s="1378">
        <f>AJ1067</f>
        <v/>
      </c>
      <c r="AK1145" s="1364">
        <f>AK1067</f>
        <v/>
      </c>
      <c r="AL1145" s="1364">
        <f>AL1067-AK1067</f>
        <v/>
      </c>
      <c r="AM1145" s="1364">
        <f>AM1067-AL1067</f>
        <v/>
      </c>
      <c r="AN1145" s="1364">
        <f>AN1067-AM1067</f>
        <v/>
      </c>
      <c r="AO1145" s="1378">
        <f>AO1067</f>
        <v/>
      </c>
      <c r="AP1145" s="1364">
        <f>AP1067</f>
        <v/>
      </c>
      <c r="AQ1145" s="1364">
        <f>AQ1067-AP1067</f>
        <v/>
      </c>
      <c r="AR1145" s="1364">
        <f>AR1067-AQ1067</f>
        <v/>
      </c>
      <c r="AS1145" s="1364">
        <f>AS1067-AR1067</f>
        <v/>
      </c>
      <c r="AT1145" s="1378">
        <f>AT1067</f>
        <v/>
      </c>
      <c r="AU1145" s="1364">
        <f>AU1067</f>
        <v/>
      </c>
      <c r="AV1145" s="1364">
        <f>AV1067-AU1067</f>
        <v/>
      </c>
      <c r="AW1145" s="1364">
        <f>AW1067-AV1067</f>
        <v/>
      </c>
      <c r="AX1145" s="1364">
        <f>AX1067-AW1067</f>
        <v/>
      </c>
      <c r="AY1145" s="1378">
        <f>AY1067</f>
        <v/>
      </c>
      <c r="AZ1145" s="1364">
        <f>AZ1067</f>
        <v/>
      </c>
      <c r="BA1145" s="1364">
        <f>BA1067-AZ1067</f>
        <v/>
      </c>
      <c r="BB1145" s="1364">
        <f>BB1067-BA1067</f>
        <v/>
      </c>
      <c r="BC1145" s="1364">
        <f>BC1067-BB1067</f>
        <v/>
      </c>
      <c r="BD1145" s="1378">
        <f>BD1067</f>
        <v/>
      </c>
      <c r="BE1145" s="1364">
        <f>BE1067</f>
        <v/>
      </c>
      <c r="BF1145" s="1364">
        <f>BF1067-BE1067</f>
        <v/>
      </c>
      <c r="BG1145" s="1364">
        <f>BG1067-BF1067</f>
        <v/>
      </c>
      <c r="BH1145" s="1364">
        <f>BH1067-BG1067</f>
        <v/>
      </c>
      <c r="BI1145" s="1378">
        <f>BI1067</f>
        <v/>
      </c>
      <c r="BJ1145" s="1364">
        <f>BJ1067</f>
        <v/>
      </c>
      <c r="BK1145" s="1364">
        <f>BK1067-BJ1067</f>
        <v/>
      </c>
      <c r="BL1145" s="1364">
        <f>BL1067-BK1067</f>
        <v/>
      </c>
      <c r="BM1145" s="1364">
        <f>BM1067-BL1067</f>
        <v/>
      </c>
      <c r="BN1145" s="1378">
        <f>BN1067</f>
        <v/>
      </c>
      <c r="BO1145" s="1364">
        <f>BO1067</f>
        <v/>
      </c>
      <c r="BP1145" s="1364">
        <f>BP1067-BO1067</f>
        <v/>
      </c>
      <c r="BQ1145" s="1395">
        <f>BQ1067-BP1067</f>
        <v/>
      </c>
      <c r="BR1145" s="1361" t="n"/>
      <c r="BS1145" s="1379">
        <f>SUM(BO1145,BP1145,BQ1145,BR1145)</f>
        <v/>
      </c>
      <c r="BT1145" s="1361" t="n"/>
      <c r="BU1145" s="1361" t="n"/>
      <c r="BV1145" s="1361" t="n"/>
      <c r="BW1145" s="1361" t="n"/>
      <c r="BX1145" s="1379">
        <f>SUM(BT1145,BU1145,BV1145,BW1145)</f>
        <v/>
      </c>
      <c r="BY1145" s="1379" t="n"/>
      <c r="BZ1145" s="1379" t="n"/>
      <c r="CA1145" s="1379" t="n"/>
      <c r="CB1145" s="1364" t="n"/>
    </row>
    <row r="1146" ht="14.4" customFormat="1" customHeight="1" s="1359">
      <c r="A1146" s="1474">
        <f>A1068</f>
        <v/>
      </c>
      <c r="B1146" s="1361" t="n"/>
      <c r="C1146" s="1379">
        <f>C1068</f>
        <v/>
      </c>
      <c r="D1146" s="1379">
        <f>D1068</f>
        <v/>
      </c>
      <c r="E1146" s="1379">
        <f>E1068</f>
        <v/>
      </c>
      <c r="F1146" s="1379">
        <f>F1068</f>
        <v/>
      </c>
      <c r="G1146" s="1361">
        <f>G1068</f>
        <v/>
      </c>
      <c r="H1146" s="1361">
        <f>H1068-G1068</f>
        <v/>
      </c>
      <c r="I1146" s="1361">
        <f>I1068-H1068</f>
        <v/>
      </c>
      <c r="J1146" s="1361">
        <f>J1068-I1068</f>
        <v/>
      </c>
      <c r="K1146" s="1379">
        <f>K1068</f>
        <v/>
      </c>
      <c r="L1146" s="1361">
        <f>L1068</f>
        <v/>
      </c>
      <c r="M1146" s="1361">
        <f>M1068-L1068</f>
        <v/>
      </c>
      <c r="N1146" s="1361">
        <f>N1068-M1068</f>
        <v/>
      </c>
      <c r="O1146" s="1361">
        <f>O1068-N1068</f>
        <v/>
      </c>
      <c r="P1146" s="1379">
        <f>P1068</f>
        <v/>
      </c>
      <c r="Q1146" s="1361">
        <f>Q1068</f>
        <v/>
      </c>
      <c r="R1146" s="1361">
        <f>R1068-Q1068</f>
        <v/>
      </c>
      <c r="S1146" s="1361">
        <f>S1068-R1068</f>
        <v/>
      </c>
      <c r="T1146" s="1361">
        <f>T1068-S1068</f>
        <v/>
      </c>
      <c r="U1146" s="1379">
        <f>U1068</f>
        <v/>
      </c>
      <c r="V1146" s="1361">
        <f>V1068</f>
        <v/>
      </c>
      <c r="W1146" s="1361">
        <f>W1068-V1068</f>
        <v/>
      </c>
      <c r="X1146" s="1361">
        <f>X1068-W1068</f>
        <v/>
      </c>
      <c r="Y1146" s="1361">
        <f>Y1068-X1068</f>
        <v/>
      </c>
      <c r="Z1146" s="1379">
        <f>Z1068</f>
        <v/>
      </c>
      <c r="AA1146" s="1361">
        <f>AA1068</f>
        <v/>
      </c>
      <c r="AB1146" s="1361">
        <f>AB1068-AA1068</f>
        <v/>
      </c>
      <c r="AC1146" s="1361">
        <f>AC1068-AB1068</f>
        <v/>
      </c>
      <c r="AD1146" s="1361">
        <f>AD1068-AC1068</f>
        <v/>
      </c>
      <c r="AE1146" s="1379">
        <f>AE1068</f>
        <v/>
      </c>
      <c r="AF1146" s="1361">
        <f>AF1068</f>
        <v/>
      </c>
      <c r="AG1146" s="1361">
        <f>AG1068-AF1068</f>
        <v/>
      </c>
      <c r="AH1146" s="1361">
        <f>AH1068-AG1068</f>
        <v/>
      </c>
      <c r="AI1146" s="1361">
        <f>AI1068-AH1068</f>
        <v/>
      </c>
      <c r="AJ1146" s="1379">
        <f>AJ1068</f>
        <v/>
      </c>
      <c r="AK1146" s="1361">
        <f>AK1068</f>
        <v/>
      </c>
      <c r="AL1146" s="1361">
        <f>AL1068-AK1068</f>
        <v/>
      </c>
      <c r="AM1146" s="1361">
        <f>AM1068-AL1068</f>
        <v/>
      </c>
      <c r="AN1146" s="1361">
        <f>AN1068-AM1068</f>
        <v/>
      </c>
      <c r="AO1146" s="1379">
        <f>AO1068</f>
        <v/>
      </c>
      <c r="AP1146" s="1361">
        <f>AP1068</f>
        <v/>
      </c>
      <c r="AQ1146" s="1361">
        <f>AQ1068-AP1068</f>
        <v/>
      </c>
      <c r="AR1146" s="1361">
        <f>AR1068-AQ1068</f>
        <v/>
      </c>
      <c r="AS1146" s="1361">
        <f>AS1068-AR1068</f>
        <v/>
      </c>
      <c r="AT1146" s="1379">
        <f>AT1068</f>
        <v/>
      </c>
      <c r="AU1146" s="1361">
        <f>AU1068</f>
        <v/>
      </c>
      <c r="AV1146" s="1361">
        <f>AV1068-AU1068</f>
        <v/>
      </c>
      <c r="AW1146" s="1361">
        <f>AW1068-AV1068</f>
        <v/>
      </c>
      <c r="AX1146" s="1361">
        <f>AX1068-AW1068</f>
        <v/>
      </c>
      <c r="AY1146" s="1379">
        <f>AY1068</f>
        <v/>
      </c>
      <c r="AZ1146" s="1361">
        <f>AZ1068</f>
        <v/>
      </c>
      <c r="BA1146" s="1361">
        <f>BA1068-AZ1068</f>
        <v/>
      </c>
      <c r="BB1146" s="1361">
        <f>BB1068-BA1068</f>
        <v/>
      </c>
      <c r="BC1146" s="1361">
        <f>BC1068-BB1068</f>
        <v/>
      </c>
      <c r="BD1146" s="1379">
        <f>BD1068</f>
        <v/>
      </c>
      <c r="BE1146" s="1361">
        <f>BE1068</f>
        <v/>
      </c>
      <c r="BF1146" s="1361">
        <f>BF1068-BE1068</f>
        <v/>
      </c>
      <c r="BG1146" s="1361">
        <f>BG1068-BF1068</f>
        <v/>
      </c>
      <c r="BH1146" s="1361">
        <f>BH1068-BG1068</f>
        <v/>
      </c>
      <c r="BI1146" s="1379">
        <f>BI1068</f>
        <v/>
      </c>
      <c r="BJ1146" s="1361">
        <f>BJ1068</f>
        <v/>
      </c>
      <c r="BK1146" s="1361">
        <f>BK1068-BJ1068</f>
        <v/>
      </c>
      <c r="BL1146" s="1361">
        <f>BL1068-BK1068</f>
        <v/>
      </c>
      <c r="BM1146" s="1361">
        <f>BM1068-BL1068</f>
        <v/>
      </c>
      <c r="BN1146" s="1379">
        <f>BN1068</f>
        <v/>
      </c>
      <c r="BO1146" s="1361">
        <f>BO1068</f>
        <v/>
      </c>
      <c r="BP1146" s="1361">
        <f>BP1068-BO1068</f>
        <v/>
      </c>
      <c r="BQ1146" s="1363">
        <f>BQ1068-BP1068</f>
        <v/>
      </c>
      <c r="BR1146" s="1361">
        <f>BR949</f>
        <v/>
      </c>
      <c r="BS1146" s="1379">
        <f>SUM(BO1146,BP1146,BQ1146,BR1146)</f>
        <v/>
      </c>
      <c r="BT1146" s="1361">
        <f>BT949</f>
        <v/>
      </c>
      <c r="BU1146" s="1361">
        <f>BU949</f>
        <v/>
      </c>
      <c r="BV1146" s="1361">
        <f>BV949</f>
        <v/>
      </c>
      <c r="BW1146" s="1361">
        <f>BW949</f>
        <v/>
      </c>
      <c r="BX1146" s="1379">
        <f>SUM(BT1146,BU1146,BV1146,BW1146)</f>
        <v/>
      </c>
      <c r="BY1146" s="1379">
        <f>BY949</f>
        <v/>
      </c>
      <c r="BZ1146" s="1379">
        <f>BZ949</f>
        <v/>
      </c>
      <c r="CA1146" s="1379">
        <f>CA949</f>
        <v/>
      </c>
      <c r="CB1146" s="1364" t="n"/>
    </row>
    <row r="1147" ht="14.4" customFormat="1" customHeight="1" s="1359">
      <c r="A1147" s="1394">
        <f>A1069</f>
        <v/>
      </c>
      <c r="B1147" s="1361" t="n"/>
      <c r="C1147" s="1378">
        <f>C1069</f>
        <v/>
      </c>
      <c r="D1147" s="1378">
        <f>D1069</f>
        <v/>
      </c>
      <c r="E1147" s="1378">
        <f>E1069</f>
        <v/>
      </c>
      <c r="F1147" s="1378">
        <f>F1069</f>
        <v/>
      </c>
      <c r="G1147" s="1364">
        <f>G1069</f>
        <v/>
      </c>
      <c r="H1147" s="1364">
        <f>H1069-G1069</f>
        <v/>
      </c>
      <c r="I1147" s="1364">
        <f>I1069-H1069</f>
        <v/>
      </c>
      <c r="J1147" s="1364">
        <f>J1069-I1069</f>
        <v/>
      </c>
      <c r="K1147" s="1378">
        <f>K1069</f>
        <v/>
      </c>
      <c r="L1147" s="1364">
        <f>L1069</f>
        <v/>
      </c>
      <c r="M1147" s="1364">
        <f>M1069-L1069</f>
        <v/>
      </c>
      <c r="N1147" s="1364">
        <f>N1069-M1069</f>
        <v/>
      </c>
      <c r="O1147" s="1364">
        <f>O1069-N1069</f>
        <v/>
      </c>
      <c r="P1147" s="1378">
        <f>P1069</f>
        <v/>
      </c>
      <c r="Q1147" s="1364">
        <f>Q1069</f>
        <v/>
      </c>
      <c r="R1147" s="1364">
        <f>R1069-Q1069</f>
        <v/>
      </c>
      <c r="S1147" s="1364">
        <f>S1069-R1069</f>
        <v/>
      </c>
      <c r="T1147" s="1364">
        <f>T1069-S1069</f>
        <v/>
      </c>
      <c r="U1147" s="1378">
        <f>U1069</f>
        <v/>
      </c>
      <c r="V1147" s="1364">
        <f>V1069</f>
        <v/>
      </c>
      <c r="W1147" s="1364">
        <f>W1069-V1069</f>
        <v/>
      </c>
      <c r="X1147" s="1364">
        <f>X1069-W1069</f>
        <v/>
      </c>
      <c r="Y1147" s="1364">
        <f>Y1069-X1069</f>
        <v/>
      </c>
      <c r="Z1147" s="1378">
        <f>Z1069</f>
        <v/>
      </c>
      <c r="AA1147" s="1364">
        <f>AA1069</f>
        <v/>
      </c>
      <c r="AB1147" s="1364">
        <f>AB1069-AA1069</f>
        <v/>
      </c>
      <c r="AC1147" s="1364">
        <f>AC1069-AB1069</f>
        <v/>
      </c>
      <c r="AD1147" s="1364">
        <f>AD1069-AC1069</f>
        <v/>
      </c>
      <c r="AE1147" s="1378">
        <f>AE1069</f>
        <v/>
      </c>
      <c r="AF1147" s="1364">
        <f>AF1069</f>
        <v/>
      </c>
      <c r="AG1147" s="1364">
        <f>AG1069-AF1069</f>
        <v/>
      </c>
      <c r="AH1147" s="1364">
        <f>AH1069-AG1069</f>
        <v/>
      </c>
      <c r="AI1147" s="1364">
        <f>AI1069-AH1069</f>
        <v/>
      </c>
      <c r="AJ1147" s="1378">
        <f>AJ1069</f>
        <v/>
      </c>
      <c r="AK1147" s="1364">
        <f>AK1069</f>
        <v/>
      </c>
      <c r="AL1147" s="1364">
        <f>AL1069-AK1069</f>
        <v/>
      </c>
      <c r="AM1147" s="1364">
        <f>AM1069-AL1069</f>
        <v/>
      </c>
      <c r="AN1147" s="1364">
        <f>AN1069-AM1069</f>
        <v/>
      </c>
      <c r="AO1147" s="1378">
        <f>AO1069</f>
        <v/>
      </c>
      <c r="AP1147" s="1364">
        <f>AP1069</f>
        <v/>
      </c>
      <c r="AQ1147" s="1364">
        <f>AQ1069-AP1069</f>
        <v/>
      </c>
      <c r="AR1147" s="1364">
        <f>AR1069-AQ1069</f>
        <v/>
      </c>
      <c r="AS1147" s="1364">
        <f>AS1069-AR1069</f>
        <v/>
      </c>
      <c r="AT1147" s="1378">
        <f>AT1069</f>
        <v/>
      </c>
      <c r="AU1147" s="1364">
        <f>AU1069</f>
        <v/>
      </c>
      <c r="AV1147" s="1364">
        <f>AV1069-AU1069</f>
        <v/>
      </c>
      <c r="AW1147" s="1364">
        <f>AW1069-AV1069</f>
        <v/>
      </c>
      <c r="AX1147" s="1364">
        <f>AX1069-AW1069</f>
        <v/>
      </c>
      <c r="AY1147" s="1378">
        <f>AY1069</f>
        <v/>
      </c>
      <c r="AZ1147" s="1364">
        <f>AZ1069</f>
        <v/>
      </c>
      <c r="BA1147" s="1364">
        <f>BA1069-AZ1069</f>
        <v/>
      </c>
      <c r="BB1147" s="1364">
        <f>BB1069-BA1069</f>
        <v/>
      </c>
      <c r="BC1147" s="1364">
        <f>BC1069-BB1069</f>
        <v/>
      </c>
      <c r="BD1147" s="1378">
        <f>BD1069</f>
        <v/>
      </c>
      <c r="BE1147" s="1364">
        <f>BE1069</f>
        <v/>
      </c>
      <c r="BF1147" s="1364">
        <f>BF1069-BE1069</f>
        <v/>
      </c>
      <c r="BG1147" s="1364">
        <f>BG1069-BF1069</f>
        <v/>
      </c>
      <c r="BH1147" s="1364">
        <f>BH1069-BG1069</f>
        <v/>
      </c>
      <c r="BI1147" s="1378">
        <f>BI1069</f>
        <v/>
      </c>
      <c r="BJ1147" s="1364">
        <f>BJ1069</f>
        <v/>
      </c>
      <c r="BK1147" s="1364">
        <f>BK1069-BJ1069</f>
        <v/>
      </c>
      <c r="BL1147" s="1364">
        <f>BL1069-BK1069</f>
        <v/>
      </c>
      <c r="BM1147" s="1364">
        <f>BM1069-BL1069</f>
        <v/>
      </c>
      <c r="BN1147" s="1378">
        <f>BN1069</f>
        <v/>
      </c>
      <c r="BO1147" s="1364">
        <f>BO1069</f>
        <v/>
      </c>
      <c r="BP1147" s="1364">
        <f>BP1069-BO1069</f>
        <v/>
      </c>
      <c r="BQ1147" s="1395">
        <f>BQ1069-BP1069</f>
        <v/>
      </c>
      <c r="BR1147" s="1361" t="n"/>
      <c r="BS1147" s="1379">
        <f>SUM(BO1147,BP1147,BQ1147,BR1147)</f>
        <v/>
      </c>
      <c r="BT1147" s="1361" t="n"/>
      <c r="BU1147" s="1361" t="n"/>
      <c r="BV1147" s="1361" t="n"/>
      <c r="BW1147" s="1361" t="n"/>
      <c r="BX1147" s="1379">
        <f>SUM(BT1147,BU1147,BV1147,BW1147)</f>
        <v/>
      </c>
      <c r="BY1147" s="1379" t="n"/>
      <c r="BZ1147" s="1379" t="n"/>
      <c r="CA1147" s="1379" t="n"/>
      <c r="CB1147" s="1364" t="n"/>
    </row>
    <row r="1148" ht="14.4" customFormat="1" customHeight="1" s="1359">
      <c r="A1148" s="1453">
        <f>A1070</f>
        <v/>
      </c>
      <c r="B1148" s="1456" t="n"/>
      <c r="C1148" s="1518">
        <f>C1070</f>
        <v/>
      </c>
      <c r="D1148" s="1518">
        <f>D1070</f>
        <v/>
      </c>
      <c r="E1148" s="1518">
        <f>E1070</f>
        <v/>
      </c>
      <c r="F1148" s="1518">
        <f>F1070</f>
        <v/>
      </c>
      <c r="G1148" s="1510">
        <f>G1070</f>
        <v/>
      </c>
      <c r="H1148" s="1510">
        <f>H1070-G1070</f>
        <v/>
      </c>
      <c r="I1148" s="1510">
        <f>I1070-H1070</f>
        <v/>
      </c>
      <c r="J1148" s="1510">
        <f>J1070-I1070</f>
        <v/>
      </c>
      <c r="K1148" s="1518">
        <f>K1070</f>
        <v/>
      </c>
      <c r="L1148" s="1510">
        <f>L1070</f>
        <v/>
      </c>
      <c r="M1148" s="1510">
        <f>M1070-L1070</f>
        <v/>
      </c>
      <c r="N1148" s="1510">
        <f>N1070-M1070</f>
        <v/>
      </c>
      <c r="O1148" s="1510">
        <f>O1070-N1070</f>
        <v/>
      </c>
      <c r="P1148" s="1518">
        <f>P1070</f>
        <v/>
      </c>
      <c r="Q1148" s="1510">
        <f>Q1070</f>
        <v/>
      </c>
      <c r="R1148" s="1510">
        <f>R1070-Q1070</f>
        <v/>
      </c>
      <c r="S1148" s="1510">
        <f>S1070-R1070</f>
        <v/>
      </c>
      <c r="T1148" s="1510">
        <f>T1070-S1070</f>
        <v/>
      </c>
      <c r="U1148" s="1518">
        <f>U1070</f>
        <v/>
      </c>
      <c r="V1148" s="1510">
        <f>V1070</f>
        <v/>
      </c>
      <c r="W1148" s="1510">
        <f>W1070-V1070</f>
        <v/>
      </c>
      <c r="X1148" s="1510">
        <f>X1070-W1070</f>
        <v/>
      </c>
      <c r="Y1148" s="1510">
        <f>Y1070-X1070</f>
        <v/>
      </c>
      <c r="Z1148" s="1518">
        <f>Z1070</f>
        <v/>
      </c>
      <c r="AA1148" s="1510">
        <f>AA1070</f>
        <v/>
      </c>
      <c r="AB1148" s="1510">
        <f>AB1070-AA1070</f>
        <v/>
      </c>
      <c r="AC1148" s="1510">
        <f>AC1070-AB1070</f>
        <v/>
      </c>
      <c r="AD1148" s="1510">
        <f>AD1070-AC1070</f>
        <v/>
      </c>
      <c r="AE1148" s="1518">
        <f>AE1070</f>
        <v/>
      </c>
      <c r="AF1148" s="1510">
        <f>AF1070</f>
        <v/>
      </c>
      <c r="AG1148" s="1510">
        <f>AG1070-AF1070</f>
        <v/>
      </c>
      <c r="AH1148" s="1510">
        <f>AH1070-AG1070</f>
        <v/>
      </c>
      <c r="AI1148" s="1510">
        <f>AI1070-AH1070</f>
        <v/>
      </c>
      <c r="AJ1148" s="1518">
        <f>AJ1070</f>
        <v/>
      </c>
      <c r="AK1148" s="1510">
        <f>AK1070</f>
        <v/>
      </c>
      <c r="AL1148" s="1510">
        <f>AL1070-AK1070</f>
        <v/>
      </c>
      <c r="AM1148" s="1510">
        <f>AM1070-AL1070</f>
        <v/>
      </c>
      <c r="AN1148" s="1510">
        <f>AN1070-AM1070</f>
        <v/>
      </c>
      <c r="AO1148" s="1518">
        <f>AO1070</f>
        <v/>
      </c>
      <c r="AP1148" s="1510">
        <f>AP1070</f>
        <v/>
      </c>
      <c r="AQ1148" s="1510">
        <f>AQ1070-AP1070</f>
        <v/>
      </c>
      <c r="AR1148" s="1510">
        <f>AR1070-AQ1070</f>
        <v/>
      </c>
      <c r="AS1148" s="1510">
        <f>AS1070-AR1070</f>
        <v/>
      </c>
      <c r="AT1148" s="1518">
        <f>AT1070</f>
        <v/>
      </c>
      <c r="AU1148" s="1510">
        <f>AU1070</f>
        <v/>
      </c>
      <c r="AV1148" s="1510">
        <f>AV1070-AU1070</f>
        <v/>
      </c>
      <c r="AW1148" s="1510">
        <f>AW1070-AV1070</f>
        <v/>
      </c>
      <c r="AX1148" s="1510">
        <f>AX1070-AW1070</f>
        <v/>
      </c>
      <c r="AY1148" s="1518">
        <f>AY1070</f>
        <v/>
      </c>
      <c r="AZ1148" s="1510">
        <f>AZ1070</f>
        <v/>
      </c>
      <c r="BA1148" s="1510">
        <f>BA1070-AZ1070</f>
        <v/>
      </c>
      <c r="BB1148" s="1510">
        <f>BB1070-BA1070</f>
        <v/>
      </c>
      <c r="BC1148" s="1510">
        <f>BC1070-BB1070</f>
        <v/>
      </c>
      <c r="BD1148" s="1518">
        <f>BD1070</f>
        <v/>
      </c>
      <c r="BE1148" s="1510">
        <f>BE1070</f>
        <v/>
      </c>
      <c r="BF1148" s="1510">
        <f>BF1070-BE1070</f>
        <v/>
      </c>
      <c r="BG1148" s="1510">
        <f>BG1070-BF1070</f>
        <v/>
      </c>
      <c r="BH1148" s="1510">
        <f>BH1070-BG1070</f>
        <v/>
      </c>
      <c r="BI1148" s="1518">
        <f>BI1070</f>
        <v/>
      </c>
      <c r="BJ1148" s="1510">
        <f>BJ1070</f>
        <v/>
      </c>
      <c r="BK1148" s="1510">
        <f>BK1070-BJ1070</f>
        <v/>
      </c>
      <c r="BL1148" s="1510">
        <f>BL1070-BK1070</f>
        <v/>
      </c>
      <c r="BM1148" s="1510">
        <f>BM1070-BL1070</f>
        <v/>
      </c>
      <c r="BN1148" s="1518">
        <f>BN1070</f>
        <v/>
      </c>
      <c r="BO1148" s="1510">
        <f>BO1070</f>
        <v/>
      </c>
      <c r="BP1148" s="1510">
        <f>BP1070-BO1070</f>
        <v/>
      </c>
      <c r="BQ1148" s="1511">
        <f>BQ1070-BP1070</f>
        <v/>
      </c>
      <c r="BR1148" s="1456">
        <f>BR943</f>
        <v/>
      </c>
      <c r="BS1148" s="1455">
        <f>SUM(BO1148,BP1148,BQ1148,BR1148)</f>
        <v/>
      </c>
      <c r="BT1148" s="1456">
        <f>BT943</f>
        <v/>
      </c>
      <c r="BU1148" s="1456">
        <f>BU943</f>
        <v/>
      </c>
      <c r="BV1148" s="1456">
        <f>BV943</f>
        <v/>
      </c>
      <c r="BW1148" s="1456">
        <f>BW943</f>
        <v/>
      </c>
      <c r="BX1148" s="1455">
        <f>SUM(BT1148,BU1148,BV1148,BW1148)</f>
        <v/>
      </c>
      <c r="BY1148" s="1455">
        <f>BY943</f>
        <v/>
      </c>
      <c r="BZ1148" s="1455">
        <f>BZ943</f>
        <v/>
      </c>
      <c r="CA1148" s="1455">
        <f>CA943</f>
        <v/>
      </c>
      <c r="CB1148" s="1364" t="n"/>
    </row>
    <row r="1149" ht="14.4" customFormat="1" customHeight="1" s="1372">
      <c r="A1149" s="1400">
        <f>A1071</f>
        <v/>
      </c>
      <c r="B1149" s="1516" t="n"/>
      <c r="C1149" s="1402">
        <f>SUM(C1130:C1148)</f>
        <v/>
      </c>
      <c r="D1149" s="1402">
        <f>SUM(D1130:D1148)</f>
        <v/>
      </c>
      <c r="E1149" s="1402">
        <f>SUM(E1130:E1148)</f>
        <v/>
      </c>
      <c r="F1149" s="1402">
        <f>SUM(F1130:F1148)</f>
        <v/>
      </c>
      <c r="G1149" s="1403">
        <f>SUM(G1130:G1148)</f>
        <v/>
      </c>
      <c r="H1149" s="1403">
        <f>SUM(H1130:H1148)</f>
        <v/>
      </c>
      <c r="I1149" s="1403">
        <f>SUM(I1130:I1148)</f>
        <v/>
      </c>
      <c r="J1149" s="1403">
        <f>SUM(J1130:J1148)</f>
        <v/>
      </c>
      <c r="K1149" s="1402">
        <f>SUM(K1130:K1148)</f>
        <v/>
      </c>
      <c r="L1149" s="1403">
        <f>SUM(L1130:L1148)</f>
        <v/>
      </c>
      <c r="M1149" s="1403">
        <f>SUM(M1130:M1148)</f>
        <v/>
      </c>
      <c r="N1149" s="1403">
        <f>SUM(N1130:N1148)</f>
        <v/>
      </c>
      <c r="O1149" s="1403">
        <f>SUM(O1130:O1148)</f>
        <v/>
      </c>
      <c r="P1149" s="1402">
        <f>SUM(P1130:P1148)</f>
        <v/>
      </c>
      <c r="Q1149" s="1403">
        <f>SUM(Q1130:Q1148)</f>
        <v/>
      </c>
      <c r="R1149" s="1403">
        <f>SUM(R1130:R1148)</f>
        <v/>
      </c>
      <c r="S1149" s="1403">
        <f>SUM(S1130:S1148)</f>
        <v/>
      </c>
      <c r="T1149" s="1403">
        <f>SUM(T1130:T1148)</f>
        <v/>
      </c>
      <c r="U1149" s="1402">
        <f>SUM(U1130:U1148)</f>
        <v/>
      </c>
      <c r="V1149" s="1403">
        <f>SUM(V1130:V1148)</f>
        <v/>
      </c>
      <c r="W1149" s="1403">
        <f>SUM(W1130:W1148)</f>
        <v/>
      </c>
      <c r="X1149" s="1403">
        <f>SUM(X1130:X1148)</f>
        <v/>
      </c>
      <c r="Y1149" s="1403">
        <f>SUM(Y1130:Y1148)</f>
        <v/>
      </c>
      <c r="Z1149" s="1402">
        <f>SUM(Z1130:Z1148)</f>
        <v/>
      </c>
      <c r="AA1149" s="1403">
        <f>SUM(AA1130:AA1148)</f>
        <v/>
      </c>
      <c r="AB1149" s="1403">
        <f>SUM(AB1130:AB1148)</f>
        <v/>
      </c>
      <c r="AC1149" s="1403">
        <f>SUM(AC1130:AC1148)</f>
        <v/>
      </c>
      <c r="AD1149" s="1403">
        <f>SUM(AD1130:AD1148)</f>
        <v/>
      </c>
      <c r="AE1149" s="1402">
        <f>SUM(AE1130:AE1148)</f>
        <v/>
      </c>
      <c r="AF1149" s="1403">
        <f>SUM(AF1130:AF1148)</f>
        <v/>
      </c>
      <c r="AG1149" s="1403">
        <f>SUM(AG1130:AG1148)</f>
        <v/>
      </c>
      <c r="AH1149" s="1403">
        <f>SUM(AH1130:AH1148)</f>
        <v/>
      </c>
      <c r="AI1149" s="1403">
        <f>SUM(AI1130:AI1148)</f>
        <v/>
      </c>
      <c r="AJ1149" s="1402">
        <f>SUM(AJ1130:AJ1148)</f>
        <v/>
      </c>
      <c r="AK1149" s="1403">
        <f>SUM(AK1130:AK1148)</f>
        <v/>
      </c>
      <c r="AL1149" s="1403">
        <f>SUM(AL1130:AL1148)</f>
        <v/>
      </c>
      <c r="AM1149" s="1403">
        <f>SUM(AM1130:AM1148)</f>
        <v/>
      </c>
      <c r="AN1149" s="1403">
        <f>SUM(AN1130:AN1148)</f>
        <v/>
      </c>
      <c r="AO1149" s="1402">
        <f>SUM(AO1130:AO1148)</f>
        <v/>
      </c>
      <c r="AP1149" s="1403">
        <f>SUM(AP1130:AP1148)</f>
        <v/>
      </c>
      <c r="AQ1149" s="1403">
        <f>SUM(AQ1130:AQ1148)</f>
        <v/>
      </c>
      <c r="AR1149" s="1403">
        <f>SUM(AR1130:AR1148)</f>
        <v/>
      </c>
      <c r="AS1149" s="1403">
        <f>SUM(AS1130:AS1148)</f>
        <v/>
      </c>
      <c r="AT1149" s="1402">
        <f>SUM(AT1130:AT1148)</f>
        <v/>
      </c>
      <c r="AU1149" s="1403">
        <f>SUM(AU1130:AU1148)</f>
        <v/>
      </c>
      <c r="AV1149" s="1403">
        <f>SUM(AV1130:AV1148)</f>
        <v/>
      </c>
      <c r="AW1149" s="1403">
        <f>SUM(AW1130:AW1148)</f>
        <v/>
      </c>
      <c r="AX1149" s="1403">
        <f>SUM(AX1130:AX1148)</f>
        <v/>
      </c>
      <c r="AY1149" s="1402">
        <f>SUM(AY1130:AY1148)</f>
        <v/>
      </c>
      <c r="AZ1149" s="1403">
        <f>SUM(AZ1130:AZ1148)</f>
        <v/>
      </c>
      <c r="BA1149" s="1403">
        <f>SUM(BA1130:BA1148)</f>
        <v/>
      </c>
      <c r="BB1149" s="1403">
        <f>SUM(BB1130:BB1148)</f>
        <v/>
      </c>
      <c r="BC1149" s="1403">
        <f>SUM(BC1130:BC1148)</f>
        <v/>
      </c>
      <c r="BD1149" s="1402">
        <f>SUM(BD1130:BD1148)</f>
        <v/>
      </c>
      <c r="BE1149" s="1403">
        <f>SUM(BE1130:BE1148)</f>
        <v/>
      </c>
      <c r="BF1149" s="1403">
        <f>SUM(BF1130:BF1148)</f>
        <v/>
      </c>
      <c r="BG1149" s="1403">
        <f>SUM(BG1130:BG1148)</f>
        <v/>
      </c>
      <c r="BH1149" s="1403">
        <f>SUM(BH1130:BH1148)</f>
        <v/>
      </c>
      <c r="BI1149" s="1402">
        <f>SUM(BI1130:BI1148)</f>
        <v/>
      </c>
      <c r="BJ1149" s="1403">
        <f>SUM(BJ1130:BJ1148)</f>
        <v/>
      </c>
      <c r="BK1149" s="1403">
        <f>SUM(BK1130:BK1148)</f>
        <v/>
      </c>
      <c r="BL1149" s="1403">
        <f>SUM(BL1130:BL1148)</f>
        <v/>
      </c>
      <c r="BM1149" s="1403">
        <f>SUM(BM1130:BM1148)</f>
        <v/>
      </c>
      <c r="BN1149" s="1402">
        <f>SUM(BN1130:BN1148)</f>
        <v/>
      </c>
      <c r="BO1149" s="1403">
        <f>SUM(BO1130:BO1148)</f>
        <v/>
      </c>
      <c r="BP1149" s="1403">
        <f>SUM(BP1130:BP1148)</f>
        <v/>
      </c>
      <c r="BQ1149" s="1406">
        <f>SUM(BQ1130:BQ1148)</f>
        <v/>
      </c>
      <c r="BR1149" s="1404">
        <f>SUM(BR1130:BR1148)</f>
        <v/>
      </c>
      <c r="BS1149" s="1405">
        <f>SUM(BS1130:BS1148)</f>
        <v/>
      </c>
      <c r="BT1149" s="1404">
        <f>SUM(BT1130:BT1148)</f>
        <v/>
      </c>
      <c r="BU1149" s="1404">
        <f>SUM(BU1130:BU1148)</f>
        <v/>
      </c>
      <c r="BV1149" s="1404">
        <f>SUM(BV1130:BV1148)</f>
        <v/>
      </c>
      <c r="BW1149" s="1404">
        <f>SUM(BW1130:BW1148)</f>
        <v/>
      </c>
      <c r="BX1149" s="1405">
        <f>SUM(BX1130:BX1148)</f>
        <v/>
      </c>
      <c r="BY1149" s="1405">
        <f>SUM(BY1130:BY1148)</f>
        <v/>
      </c>
      <c r="BZ1149" s="1405">
        <f>SUM(BZ1130:BZ1148)</f>
        <v/>
      </c>
      <c r="CA1149" s="1405">
        <f>SUM(CA1130:CA1148)</f>
        <v/>
      </c>
      <c r="CB1149" s="1375" t="n"/>
    </row>
    <row r="1150" ht="14.4" customFormat="1" customHeight="1" s="1372">
      <c r="A1150" s="1447" t="n"/>
      <c r="B1150" s="1517" t="n"/>
      <c r="C1150" s="1449" t="n"/>
      <c r="D1150" s="1449" t="n"/>
      <c r="E1150" s="1449" t="n"/>
      <c r="F1150" s="1449" t="n"/>
      <c r="G1150" s="1450" t="n"/>
      <c r="H1150" s="1450" t="n"/>
      <c r="I1150" s="1450" t="n"/>
      <c r="J1150" s="1450" t="n"/>
      <c r="K1150" s="1449" t="n"/>
      <c r="L1150" s="1450" t="n"/>
      <c r="M1150" s="1450" t="n"/>
      <c r="N1150" s="1450" t="n"/>
      <c r="O1150" s="1450" t="n"/>
      <c r="P1150" s="1449" t="n"/>
      <c r="Q1150" s="1450" t="n"/>
      <c r="R1150" s="1450" t="n"/>
      <c r="S1150" s="1450" t="n"/>
      <c r="T1150" s="1450" t="n"/>
      <c r="U1150" s="1449" t="n"/>
      <c r="V1150" s="1450" t="n"/>
      <c r="W1150" s="1450" t="n"/>
      <c r="X1150" s="1450" t="n"/>
      <c r="Y1150" s="1450" t="n"/>
      <c r="Z1150" s="1449" t="n"/>
      <c r="AA1150" s="1450" t="n"/>
      <c r="AB1150" s="1450" t="n"/>
      <c r="AC1150" s="1450" t="n"/>
      <c r="AD1150" s="1450" t="n"/>
      <c r="AE1150" s="1449" t="n"/>
      <c r="AF1150" s="1450" t="n"/>
      <c r="AG1150" s="1450" t="n"/>
      <c r="AH1150" s="1450" t="n"/>
      <c r="AI1150" s="1450" t="n"/>
      <c r="AJ1150" s="1449" t="n"/>
      <c r="AK1150" s="1450" t="n"/>
      <c r="AL1150" s="1450" t="n"/>
      <c r="AM1150" s="1450" t="n"/>
      <c r="AN1150" s="1450" t="n"/>
      <c r="AO1150" s="1449" t="n"/>
      <c r="AP1150" s="1450" t="n"/>
      <c r="AQ1150" s="1450" t="n"/>
      <c r="AR1150" s="1450" t="n"/>
      <c r="AS1150" s="1450" t="n"/>
      <c r="AT1150" s="1449" t="n"/>
      <c r="AU1150" s="1450" t="n"/>
      <c r="AV1150" s="1450" t="n"/>
      <c r="AW1150" s="1450" t="n"/>
      <c r="AX1150" s="1450" t="n"/>
      <c r="AY1150" s="1449" t="n"/>
      <c r="AZ1150" s="1450" t="n"/>
      <c r="BA1150" s="1450" t="n"/>
      <c r="BB1150" s="1450" t="n"/>
      <c r="BC1150" s="1450" t="n"/>
      <c r="BD1150" s="1449" t="n"/>
      <c r="BE1150" s="1450" t="n"/>
      <c r="BF1150" s="1450" t="n"/>
      <c r="BG1150" s="1450" t="n"/>
      <c r="BH1150" s="1450" t="n"/>
      <c r="BI1150" s="1449" t="n"/>
      <c r="BJ1150" s="1450" t="n"/>
      <c r="BK1150" s="1450" t="n"/>
      <c r="BL1150" s="1450" t="n"/>
      <c r="BM1150" s="1450" t="n"/>
      <c r="BN1150" s="1449" t="n"/>
      <c r="BO1150" s="1450" t="n"/>
      <c r="BP1150" s="1450" t="n"/>
      <c r="BQ1150" s="1451" t="n"/>
      <c r="BR1150" s="1450" t="n"/>
      <c r="BS1150" s="1449" t="n"/>
      <c r="BT1150" s="1450" t="n"/>
      <c r="BU1150" s="1450" t="n"/>
      <c r="BV1150" s="1450" t="n"/>
      <c r="BW1150" s="1450" t="n"/>
      <c r="BX1150" s="1449" t="n"/>
      <c r="BY1150" s="1449" t="n"/>
      <c r="BZ1150" s="1449" t="n"/>
      <c r="CA1150" s="1449" t="n"/>
      <c r="CB1150" s="1375" t="n"/>
    </row>
    <row r="1151" ht="14.4" customFormat="1" customHeight="1" s="1359">
      <c r="A1151" s="1490">
        <f>A1073</f>
        <v/>
      </c>
      <c r="B1151" s="1512" t="n"/>
      <c r="C1151" s="1378">
        <f>C1073</f>
        <v/>
      </c>
      <c r="D1151" s="1378">
        <f>D1073</f>
        <v/>
      </c>
      <c r="E1151" s="1378">
        <f>E1073</f>
        <v/>
      </c>
      <c r="F1151" s="1378">
        <f>F1073</f>
        <v/>
      </c>
      <c r="G1151" s="1364">
        <f>G1073</f>
        <v/>
      </c>
      <c r="H1151" s="1364">
        <f>H1073-G1073</f>
        <v/>
      </c>
      <c r="I1151" s="1364">
        <f>I1073-H1073</f>
        <v/>
      </c>
      <c r="J1151" s="1364">
        <f>J1073-I1073</f>
        <v/>
      </c>
      <c r="K1151" s="1378">
        <f>K1073</f>
        <v/>
      </c>
      <c r="L1151" s="1364">
        <f>L1073</f>
        <v/>
      </c>
      <c r="M1151" s="1364">
        <f>M1073-L1073</f>
        <v/>
      </c>
      <c r="N1151" s="1364">
        <f>N1073-M1073</f>
        <v/>
      </c>
      <c r="O1151" s="1364">
        <f>O1073-N1073</f>
        <v/>
      </c>
      <c r="P1151" s="1378">
        <f>P1073</f>
        <v/>
      </c>
      <c r="Q1151" s="1364">
        <f>Q1073</f>
        <v/>
      </c>
      <c r="R1151" s="1364">
        <f>R1073-Q1073</f>
        <v/>
      </c>
      <c r="S1151" s="1364">
        <f>S1073-R1073</f>
        <v/>
      </c>
      <c r="T1151" s="1364">
        <f>T1073-S1073</f>
        <v/>
      </c>
      <c r="U1151" s="1378">
        <f>U1073</f>
        <v/>
      </c>
      <c r="V1151" s="1364">
        <f>V1073</f>
        <v/>
      </c>
      <c r="W1151" s="1364">
        <f>W1073-V1073</f>
        <v/>
      </c>
      <c r="X1151" s="1364">
        <f>X1073-W1073</f>
        <v/>
      </c>
      <c r="Y1151" s="1364">
        <f>Y1073-X1073</f>
        <v/>
      </c>
      <c r="Z1151" s="1378">
        <f>Z1073</f>
        <v/>
      </c>
      <c r="AA1151" s="1364">
        <f>AA1073</f>
        <v/>
      </c>
      <c r="AB1151" s="1364">
        <f>AB1073-AA1073</f>
        <v/>
      </c>
      <c r="AC1151" s="1364">
        <f>AC1073-AB1073</f>
        <v/>
      </c>
      <c r="AD1151" s="1364">
        <f>AD1073-AC1073</f>
        <v/>
      </c>
      <c r="AE1151" s="1378">
        <f>AE1073</f>
        <v/>
      </c>
      <c r="AF1151" s="1364">
        <f>AF1073</f>
        <v/>
      </c>
      <c r="AG1151" s="1364">
        <f>AG1073-AF1073</f>
        <v/>
      </c>
      <c r="AH1151" s="1364">
        <f>AH1073-AG1073</f>
        <v/>
      </c>
      <c r="AI1151" s="1364">
        <f>AI1073-AH1073</f>
        <v/>
      </c>
      <c r="AJ1151" s="1378">
        <f>AJ1073</f>
        <v/>
      </c>
      <c r="AK1151" s="1364">
        <f>AK1073</f>
        <v/>
      </c>
      <c r="AL1151" s="1364">
        <f>AL1073-AK1073</f>
        <v/>
      </c>
      <c r="AM1151" s="1364">
        <f>AM1073-AL1073</f>
        <v/>
      </c>
      <c r="AN1151" s="1364">
        <f>AN1073-AM1073</f>
        <v/>
      </c>
      <c r="AO1151" s="1378">
        <f>AO1073</f>
        <v/>
      </c>
      <c r="AP1151" s="1364">
        <f>AP1073</f>
        <v/>
      </c>
      <c r="AQ1151" s="1364">
        <f>AQ1073-AP1073</f>
        <v/>
      </c>
      <c r="AR1151" s="1364">
        <f>AR1073-AQ1073</f>
        <v/>
      </c>
      <c r="AS1151" s="1364">
        <f>AS1073-AR1073</f>
        <v/>
      </c>
      <c r="AT1151" s="1378">
        <f>AT1073</f>
        <v/>
      </c>
      <c r="AU1151" s="1364">
        <f>AU1073</f>
        <v/>
      </c>
      <c r="AV1151" s="1364">
        <f>AV1073-AU1073</f>
        <v/>
      </c>
      <c r="AW1151" s="1364">
        <f>AW1073-AV1073</f>
        <v/>
      </c>
      <c r="AX1151" s="1364">
        <f>AX1073-AW1073</f>
        <v/>
      </c>
      <c r="AY1151" s="1378">
        <f>AY1073</f>
        <v/>
      </c>
      <c r="AZ1151" s="1364">
        <f>AZ1073</f>
        <v/>
      </c>
      <c r="BA1151" s="1364">
        <f>BA1073-AZ1073</f>
        <v/>
      </c>
      <c r="BB1151" s="1364">
        <f>BB1073-BA1073</f>
        <v/>
      </c>
      <c r="BC1151" s="1364">
        <f>BC1073-BB1073</f>
        <v/>
      </c>
      <c r="BD1151" s="1378">
        <f>BD1073</f>
        <v/>
      </c>
      <c r="BE1151" s="1364">
        <f>BE1073</f>
        <v/>
      </c>
      <c r="BF1151" s="1364">
        <f>BF1073-BE1073</f>
        <v/>
      </c>
      <c r="BG1151" s="1364">
        <f>BG1073-BF1073</f>
        <v/>
      </c>
      <c r="BH1151" s="1364">
        <f>BH1073-BG1073</f>
        <v/>
      </c>
      <c r="BI1151" s="1378">
        <f>BI1073</f>
        <v/>
      </c>
      <c r="BJ1151" s="1364">
        <f>BJ1073</f>
        <v/>
      </c>
      <c r="BK1151" s="1364">
        <f>BK1073-BJ1073</f>
        <v/>
      </c>
      <c r="BL1151" s="1364">
        <f>BL1073-BK1073</f>
        <v/>
      </c>
      <c r="BM1151" s="1364">
        <f>BM1073-BL1073</f>
        <v/>
      </c>
      <c r="BN1151" s="1378">
        <f>BN1073</f>
        <v/>
      </c>
      <c r="BO1151" s="1364">
        <f>BO1073</f>
        <v/>
      </c>
      <c r="BP1151" s="1364">
        <f>BP1073-BO1073</f>
        <v/>
      </c>
      <c r="BQ1151" s="1395">
        <f>BQ1073-BP1073</f>
        <v/>
      </c>
      <c r="BR1151" s="1361" t="n"/>
      <c r="BS1151" s="1379">
        <f>SUM(BO1151,BP1151,BQ1151,BR1151)</f>
        <v/>
      </c>
      <c r="BT1151" s="1361" t="n"/>
      <c r="BU1151" s="1361" t="n"/>
      <c r="BV1151" s="1361" t="n"/>
      <c r="BW1151" s="1361" t="n"/>
      <c r="BX1151" s="1379">
        <f>SUM(BT1151,BU1151,BV1151,BW1151)</f>
        <v/>
      </c>
      <c r="BY1151" s="1379" t="n"/>
      <c r="BZ1151" s="1379" t="n"/>
      <c r="CA1151" s="1379" t="n"/>
      <c r="CB1151" s="1364" t="n"/>
    </row>
    <row r="1152" ht="14.4" customFormat="1" customHeight="1" s="1372">
      <c r="A1152" s="1452">
        <f>A1074</f>
        <v/>
      </c>
      <c r="B1152" s="1517" t="n"/>
      <c r="C1152" s="1458">
        <f>C1149+C1127+C1110+C1151</f>
        <v/>
      </c>
      <c r="D1152" s="1458">
        <f>D1149+D1127+D1110+D1151</f>
        <v/>
      </c>
      <c r="E1152" s="1458">
        <f>E1149+E1127+E1110+E1151</f>
        <v/>
      </c>
      <c r="F1152" s="1458">
        <f>F1149+F1127+F1110+F1151</f>
        <v/>
      </c>
      <c r="G1152" s="1375">
        <f>G1149+G1127+G1110+G1151</f>
        <v/>
      </c>
      <c r="H1152" s="1375">
        <f>H1149+H1127+H1110+H1151</f>
        <v/>
      </c>
      <c r="I1152" s="1375">
        <f>I1149+I1127+I1110+I1151</f>
        <v/>
      </c>
      <c r="J1152" s="1375">
        <f>J1149+J1127+J1110+J1151</f>
        <v/>
      </c>
      <c r="K1152" s="1458">
        <f>K1149+K1127+K1110+K1151</f>
        <v/>
      </c>
      <c r="L1152" s="1375">
        <f>L1149+L1127+L1110+L1151</f>
        <v/>
      </c>
      <c r="M1152" s="1375">
        <f>M1149+M1127+M1110+M1151</f>
        <v/>
      </c>
      <c r="N1152" s="1375">
        <f>N1149+N1127+N1110+N1151</f>
        <v/>
      </c>
      <c r="O1152" s="1375">
        <f>O1149+O1127+O1110+O1151</f>
        <v/>
      </c>
      <c r="P1152" s="1458">
        <f>P1149+P1127+P1110+P1151</f>
        <v/>
      </c>
      <c r="Q1152" s="1375">
        <f>Q1149+Q1127+Q1110+Q1151</f>
        <v/>
      </c>
      <c r="R1152" s="1375">
        <f>R1149+R1127+R1110+R1151</f>
        <v/>
      </c>
      <c r="S1152" s="1375">
        <f>S1149+S1127+S1110+S1151</f>
        <v/>
      </c>
      <c r="T1152" s="1375">
        <f>T1149+T1127+T1110+T1151</f>
        <v/>
      </c>
      <c r="U1152" s="1458">
        <f>U1149+U1127+U1110+U1151</f>
        <v/>
      </c>
      <c r="V1152" s="1375">
        <f>V1149+V1127+V1110+V1151</f>
        <v/>
      </c>
      <c r="W1152" s="1375">
        <f>W1149+W1127+W1110+W1151</f>
        <v/>
      </c>
      <c r="X1152" s="1375">
        <f>X1149+X1127+X1110+X1151</f>
        <v/>
      </c>
      <c r="Y1152" s="1375">
        <f>Y1149+Y1127+Y1110+Y1151</f>
        <v/>
      </c>
      <c r="Z1152" s="1458">
        <f>Z1149+Z1127+Z1110+Z1151</f>
        <v/>
      </c>
      <c r="AA1152" s="1375">
        <f>AA1149+AA1127+AA1110+AA1151</f>
        <v/>
      </c>
      <c r="AB1152" s="1375">
        <f>AB1149+AB1127+AB1110+AB1151</f>
        <v/>
      </c>
      <c r="AC1152" s="1375">
        <f>AC1149+AC1127+AC1110+AC1151</f>
        <v/>
      </c>
      <c r="AD1152" s="1375">
        <f>AD1149+AD1127+AD1110+AD1151</f>
        <v/>
      </c>
      <c r="AE1152" s="1458">
        <f>AE1149+AE1127+AE1110+AE1151</f>
        <v/>
      </c>
      <c r="AF1152" s="1375">
        <f>AF1149+AF1127+AF1110+AF1151</f>
        <v/>
      </c>
      <c r="AG1152" s="1375">
        <f>AG1149+AG1127+AG1110+AG1151</f>
        <v/>
      </c>
      <c r="AH1152" s="1375">
        <f>AH1149+AH1127+AH1110+AH1151</f>
        <v/>
      </c>
      <c r="AI1152" s="1375">
        <f>AI1149+AI1127+AI1110+AI1151</f>
        <v/>
      </c>
      <c r="AJ1152" s="1458">
        <f>AJ1149+AJ1127+AJ1110+AJ1151</f>
        <v/>
      </c>
      <c r="AK1152" s="1375">
        <f>AK1149+AK1127+AK1110+AK1151</f>
        <v/>
      </c>
      <c r="AL1152" s="1375">
        <f>AL1149+AL1127+AL1110+AL1151</f>
        <v/>
      </c>
      <c r="AM1152" s="1375">
        <f>AM1149+AM1127+AM1110+AM1151</f>
        <v/>
      </c>
      <c r="AN1152" s="1375">
        <f>AN1149+AN1127+AN1110+AN1151</f>
        <v/>
      </c>
      <c r="AO1152" s="1458">
        <f>AO1149+AO1127+AO1110+AO1151</f>
        <v/>
      </c>
      <c r="AP1152" s="1375">
        <f>AP1149+AP1127+AP1110+AP1151</f>
        <v/>
      </c>
      <c r="AQ1152" s="1375">
        <f>AQ1149+AQ1127+AQ1110+AQ1151</f>
        <v/>
      </c>
      <c r="AR1152" s="1375">
        <f>AR1149+AR1127+AR1110+AR1151</f>
        <v/>
      </c>
      <c r="AS1152" s="1375">
        <f>AS1149+AS1127+AS1110+AS1151</f>
        <v/>
      </c>
      <c r="AT1152" s="1458">
        <f>AT1149+AT1127+AT1110+AT1151</f>
        <v/>
      </c>
      <c r="AU1152" s="1375">
        <f>AU1149+AU1127+AU1110+AU1151</f>
        <v/>
      </c>
      <c r="AV1152" s="1375">
        <f>AV1149+AV1127+AV1110+AV1151</f>
        <v/>
      </c>
      <c r="AW1152" s="1375">
        <f>AW1149+AW1127+AW1110+AW1151</f>
        <v/>
      </c>
      <c r="AX1152" s="1375">
        <f>AX1149+AX1127+AX1110+AX1151</f>
        <v/>
      </c>
      <c r="AY1152" s="1458">
        <f>AY1149+AY1127+AY1110+AY1151</f>
        <v/>
      </c>
      <c r="AZ1152" s="1375">
        <f>AZ1149+AZ1127+AZ1110+AZ1151</f>
        <v/>
      </c>
      <c r="BA1152" s="1375">
        <f>BA1149+BA1127+BA1110+BA1151</f>
        <v/>
      </c>
      <c r="BB1152" s="1375">
        <f>BB1149+BB1127+BB1110+BB1151</f>
        <v/>
      </c>
      <c r="BC1152" s="1375">
        <f>BC1149+BC1127+BC1110+BC1151</f>
        <v/>
      </c>
      <c r="BD1152" s="1458">
        <f>BD1149+BD1127+BD1110+BD1151</f>
        <v/>
      </c>
      <c r="BE1152" s="1375">
        <f>BE1149+BE1127+BE1110+BE1151</f>
        <v/>
      </c>
      <c r="BF1152" s="1375">
        <f>BF1149+BF1127+BF1110+BF1151</f>
        <v/>
      </c>
      <c r="BG1152" s="1375">
        <f>BG1149+BG1127+BG1110+BG1151</f>
        <v/>
      </c>
      <c r="BH1152" s="1375">
        <f>BH1149+BH1127+BH1110+BH1151</f>
        <v/>
      </c>
      <c r="BI1152" s="1458">
        <f>BI1149+BI1127+BI1110+BI1151</f>
        <v/>
      </c>
      <c r="BJ1152" s="1375">
        <f>BJ1149+BJ1127+BJ1110+BJ1151</f>
        <v/>
      </c>
      <c r="BK1152" s="1375">
        <f>BK1149+BK1127+BK1110+BK1151</f>
        <v/>
      </c>
      <c r="BL1152" s="1375">
        <f>BL1149+BL1127+BL1110+BL1151</f>
        <v/>
      </c>
      <c r="BM1152" s="1375">
        <f>BM1149+BM1127+BM1110+BM1151</f>
        <v/>
      </c>
      <c r="BN1152" s="1458">
        <f>BN1149+BN1127+BN1110+BN1151</f>
        <v/>
      </c>
      <c r="BO1152" s="1375">
        <f>BO1149+BO1127+BO1110+BO1151</f>
        <v/>
      </c>
      <c r="BP1152" s="1375">
        <f>BP1149+BP1127+BP1110+BP1151</f>
        <v/>
      </c>
      <c r="BQ1152" s="1459">
        <f>BQ1149+BQ1127+BQ1110+BQ1151</f>
        <v/>
      </c>
      <c r="BR1152" s="1450">
        <f>BR1149+BR1127+BR1110+BR1151</f>
        <v/>
      </c>
      <c r="BS1152" s="1449">
        <f>BS1149+BS1127+BS1110+BS1151</f>
        <v/>
      </c>
      <c r="BT1152" s="1450">
        <f>BT1149+BT1127+BT1110+BT1151</f>
        <v/>
      </c>
      <c r="BU1152" s="1450">
        <f>BU1149+BU1127+BU1110+BU1151</f>
        <v/>
      </c>
      <c r="BV1152" s="1450">
        <f>BV1149+BV1127+BV1110+BV1151</f>
        <v/>
      </c>
      <c r="BW1152" s="1450">
        <f>BW1149+BW1127+BW1110+BW1151</f>
        <v/>
      </c>
      <c r="BX1152" s="1449">
        <f>BX1149+BX1127+BX1110+BX1151</f>
        <v/>
      </c>
      <c r="BY1152" s="1449">
        <f>BY1149+BY1127+BY1110+BY1151</f>
        <v/>
      </c>
      <c r="BZ1152" s="1449">
        <f>BZ1149+BZ1127+BZ1110+BZ1151</f>
        <v/>
      </c>
      <c r="CA1152" s="1449">
        <f>CA1149+CA1127+CA1110+CA1151</f>
        <v/>
      </c>
      <c r="CB1152" s="1375" t="n"/>
    </row>
    <row r="1153" ht="14.4" customFormat="1" customHeight="1" s="1372">
      <c r="A1153" s="1447" t="n"/>
      <c r="B1153" s="1517" t="n"/>
      <c r="C1153" s="1449" t="n"/>
      <c r="D1153" s="1449" t="n"/>
      <c r="E1153" s="1449" t="n"/>
      <c r="F1153" s="1449" t="n"/>
      <c r="G1153" s="1450" t="n"/>
      <c r="H1153" s="1450" t="n"/>
      <c r="I1153" s="1450" t="n"/>
      <c r="J1153" s="1450" t="n"/>
      <c r="K1153" s="1449" t="n"/>
      <c r="L1153" s="1450" t="n"/>
      <c r="M1153" s="1450" t="n"/>
      <c r="N1153" s="1450" t="n"/>
      <c r="O1153" s="1450" t="n"/>
      <c r="P1153" s="1449" t="n"/>
      <c r="Q1153" s="1450" t="n"/>
      <c r="R1153" s="1450" t="n"/>
      <c r="S1153" s="1450" t="n"/>
      <c r="T1153" s="1450" t="n"/>
      <c r="U1153" s="1449" t="n"/>
      <c r="V1153" s="1450" t="n"/>
      <c r="W1153" s="1450" t="n"/>
      <c r="X1153" s="1450" t="n"/>
      <c r="Y1153" s="1450" t="n"/>
      <c r="Z1153" s="1449" t="n"/>
      <c r="AA1153" s="1450" t="n"/>
      <c r="AB1153" s="1450" t="n"/>
      <c r="AC1153" s="1450" t="n"/>
      <c r="AD1153" s="1450" t="n"/>
      <c r="AE1153" s="1449" t="n"/>
      <c r="AF1153" s="1450" t="n"/>
      <c r="AG1153" s="1450" t="n"/>
      <c r="AH1153" s="1450" t="n"/>
      <c r="AI1153" s="1450" t="n"/>
      <c r="AJ1153" s="1449" t="n"/>
      <c r="AK1153" s="1450" t="n"/>
      <c r="AL1153" s="1450" t="n"/>
      <c r="AM1153" s="1450" t="n"/>
      <c r="AN1153" s="1450" t="n"/>
      <c r="AO1153" s="1449" t="n"/>
      <c r="AP1153" s="1450" t="n"/>
      <c r="AQ1153" s="1450" t="n"/>
      <c r="AR1153" s="1450" t="n"/>
      <c r="AS1153" s="1450" t="n"/>
      <c r="AT1153" s="1449" t="n"/>
      <c r="AU1153" s="1450" t="n"/>
      <c r="AV1153" s="1450" t="n"/>
      <c r="AW1153" s="1450" t="n"/>
      <c r="AX1153" s="1450" t="n"/>
      <c r="AY1153" s="1449" t="n"/>
      <c r="AZ1153" s="1450" t="n"/>
      <c r="BA1153" s="1450" t="n"/>
      <c r="BB1153" s="1450" t="n"/>
      <c r="BC1153" s="1450" t="n"/>
      <c r="BD1153" s="1449" t="n"/>
      <c r="BE1153" s="1450" t="n"/>
      <c r="BF1153" s="1450" t="n"/>
      <c r="BG1153" s="1450" t="n"/>
      <c r="BH1153" s="1450" t="n"/>
      <c r="BI1153" s="1449" t="n"/>
      <c r="BJ1153" s="1450" t="n"/>
      <c r="BK1153" s="1450" t="n"/>
      <c r="BL1153" s="1450" t="n"/>
      <c r="BM1153" s="1450" t="n"/>
      <c r="BN1153" s="1449" t="n"/>
      <c r="BO1153" s="1450" t="n"/>
      <c r="BP1153" s="1450" t="n"/>
      <c r="BQ1153" s="1451" t="n"/>
      <c r="BR1153" s="1450" t="n"/>
      <c r="BS1153" s="1449" t="n"/>
      <c r="BT1153" s="1450" t="n"/>
      <c r="BU1153" s="1450" t="n"/>
      <c r="BV1153" s="1450" t="n"/>
      <c r="BW1153" s="1450" t="n"/>
      <c r="BX1153" s="1449" t="n"/>
      <c r="BY1153" s="1449" t="n"/>
      <c r="BZ1153" s="1449" t="n"/>
      <c r="CA1153" s="1449" t="n"/>
      <c r="CB1153" s="1375" t="n"/>
    </row>
    <row r="1154" ht="14.4" customFormat="1" customHeight="1" s="1372">
      <c r="A1154" s="1452">
        <f>A1076</f>
        <v/>
      </c>
      <c r="B1154" s="1517" t="n"/>
      <c r="C1154" s="1458">
        <f>C1076</f>
        <v/>
      </c>
      <c r="D1154" s="1458">
        <f>C1155</f>
        <v/>
      </c>
      <c r="E1154" s="1458">
        <f>D1155</f>
        <v/>
      </c>
      <c r="F1154" s="1458">
        <f>E1155</f>
        <v/>
      </c>
      <c r="G1154" s="1375">
        <f>F1155</f>
        <v/>
      </c>
      <c r="H1154" s="1375">
        <f>G1155</f>
        <v/>
      </c>
      <c r="I1154" s="1375">
        <f>H1155</f>
        <v/>
      </c>
      <c r="J1154" s="1375">
        <f>I1155</f>
        <v/>
      </c>
      <c r="K1154" s="1458">
        <f>F1155</f>
        <v/>
      </c>
      <c r="L1154" s="1375">
        <f>K1155</f>
        <v/>
      </c>
      <c r="M1154" s="1375">
        <f>L1155</f>
        <v/>
      </c>
      <c r="N1154" s="1375">
        <f>M1155</f>
        <v/>
      </c>
      <c r="O1154" s="1375">
        <f>N1155</f>
        <v/>
      </c>
      <c r="P1154" s="1458">
        <f>K1155</f>
        <v/>
      </c>
      <c r="Q1154" s="1375">
        <f>P1155</f>
        <v/>
      </c>
      <c r="R1154" s="1375">
        <f>Q1155</f>
        <v/>
      </c>
      <c r="S1154" s="1375">
        <f>R1155</f>
        <v/>
      </c>
      <c r="T1154" s="1375">
        <f>S1155</f>
        <v/>
      </c>
      <c r="U1154" s="1458">
        <f>P1155</f>
        <v/>
      </c>
      <c r="V1154" s="1375">
        <f>U1155</f>
        <v/>
      </c>
      <c r="W1154" s="1375">
        <f>V1155</f>
        <v/>
      </c>
      <c r="X1154" s="1375">
        <f>W1155</f>
        <v/>
      </c>
      <c r="Y1154" s="1375">
        <f>X1155</f>
        <v/>
      </c>
      <c r="Z1154" s="1458">
        <f>U1155</f>
        <v/>
      </c>
      <c r="AA1154" s="1375">
        <f>Z1155</f>
        <v/>
      </c>
      <c r="AB1154" s="1375">
        <f>AA1155</f>
        <v/>
      </c>
      <c r="AC1154" s="1375">
        <f>AB1155</f>
        <v/>
      </c>
      <c r="AD1154" s="1375">
        <f>AC1155</f>
        <v/>
      </c>
      <c r="AE1154" s="1458">
        <f>Z1155</f>
        <v/>
      </c>
      <c r="AF1154" s="1375">
        <f>AE1155</f>
        <v/>
      </c>
      <c r="AG1154" s="1375">
        <f>AF1155</f>
        <v/>
      </c>
      <c r="AH1154" s="1375">
        <f>AG1155</f>
        <v/>
      </c>
      <c r="AI1154" s="1375">
        <f>AH1155</f>
        <v/>
      </c>
      <c r="AJ1154" s="1458">
        <f>AE1155</f>
        <v/>
      </c>
      <c r="AK1154" s="1375">
        <f>AJ1155</f>
        <v/>
      </c>
      <c r="AL1154" s="1375">
        <f>AK1155</f>
        <v/>
      </c>
      <c r="AM1154" s="1375">
        <f>AL1155</f>
        <v/>
      </c>
      <c r="AN1154" s="1375">
        <f>AM1155</f>
        <v/>
      </c>
      <c r="AO1154" s="1458">
        <f>AJ1155</f>
        <v/>
      </c>
      <c r="AP1154" s="1375">
        <f>AO1155</f>
        <v/>
      </c>
      <c r="AQ1154" s="1375">
        <f>AP1155</f>
        <v/>
      </c>
      <c r="AR1154" s="1375">
        <f>AQ1155</f>
        <v/>
      </c>
      <c r="AS1154" s="1375">
        <f>AR1155</f>
        <v/>
      </c>
      <c r="AT1154" s="1458">
        <f>AO1155</f>
        <v/>
      </c>
      <c r="AU1154" s="1375">
        <f>AT1155</f>
        <v/>
      </c>
      <c r="AV1154" s="1375">
        <f>AU1155</f>
        <v/>
      </c>
      <c r="AW1154" s="1375">
        <f>AV1155</f>
        <v/>
      </c>
      <c r="AX1154" s="1375">
        <f>AW1155</f>
        <v/>
      </c>
      <c r="AY1154" s="1458">
        <f>AT1155</f>
        <v/>
      </c>
      <c r="AZ1154" s="1375">
        <f>AY1155</f>
        <v/>
      </c>
      <c r="BA1154" s="1375">
        <f>AZ1155</f>
        <v/>
      </c>
      <c r="BB1154" s="1375">
        <f>BA1155</f>
        <v/>
      </c>
      <c r="BC1154" s="1375">
        <f>BB1155</f>
        <v/>
      </c>
      <c r="BD1154" s="1458">
        <f>AY1155</f>
        <v/>
      </c>
      <c r="BE1154" s="1375">
        <f>BD1155</f>
        <v/>
      </c>
      <c r="BF1154" s="1375">
        <f>BE1155</f>
        <v/>
      </c>
      <c r="BG1154" s="1375">
        <f>BF1155</f>
        <v/>
      </c>
      <c r="BH1154" s="1375">
        <f>BG1155</f>
        <v/>
      </c>
      <c r="BI1154" s="1458">
        <f>BD1155</f>
        <v/>
      </c>
      <c r="BJ1154" s="1375">
        <f>BI1155</f>
        <v/>
      </c>
      <c r="BK1154" s="1375">
        <f>BJ1155</f>
        <v/>
      </c>
      <c r="BL1154" s="1375">
        <f>BK1155</f>
        <v/>
      </c>
      <c r="BM1154" s="1375">
        <f>BL1155</f>
        <v/>
      </c>
      <c r="BN1154" s="1458">
        <f>BI1155</f>
        <v/>
      </c>
      <c r="BO1154" s="1375">
        <f>BN1155</f>
        <v/>
      </c>
      <c r="BP1154" s="1375">
        <f>BO1155</f>
        <v/>
      </c>
      <c r="BQ1154" s="1459">
        <f>BP1155</f>
        <v/>
      </c>
      <c r="BR1154" s="1450">
        <f>BQ1155</f>
        <v/>
      </c>
      <c r="BS1154" s="1449">
        <f>BN1155</f>
        <v/>
      </c>
      <c r="BT1154" s="1450">
        <f>BS1155</f>
        <v/>
      </c>
      <c r="BU1154" s="1450">
        <f>BT1155</f>
        <v/>
      </c>
      <c r="BV1154" s="1450">
        <f>BU1155</f>
        <v/>
      </c>
      <c r="BW1154" s="1450">
        <f>BV1155</f>
        <v/>
      </c>
      <c r="BX1154" s="1449">
        <f>BS1155</f>
        <v/>
      </c>
      <c r="BY1154" s="1449">
        <f>BX1155</f>
        <v/>
      </c>
      <c r="BZ1154" s="1449">
        <f>BY1155</f>
        <v/>
      </c>
      <c r="CA1154" s="1449">
        <f>BZ1155</f>
        <v/>
      </c>
      <c r="CB1154" s="1375" t="n"/>
    </row>
    <row r="1155" ht="14.4" customFormat="1" customHeight="1" s="1372">
      <c r="A1155" s="1452">
        <f>A1077</f>
        <v/>
      </c>
      <c r="B1155" s="1517" t="n"/>
      <c r="C1155" s="1458">
        <f>C1154+C1152</f>
        <v/>
      </c>
      <c r="D1155" s="1458">
        <f>D1154+D1152</f>
        <v/>
      </c>
      <c r="E1155" s="1458">
        <f>E1154+E1152</f>
        <v/>
      </c>
      <c r="F1155" s="1458">
        <f>F1154+F1152</f>
        <v/>
      </c>
      <c r="G1155" s="1375">
        <f>G1154+G1152</f>
        <v/>
      </c>
      <c r="H1155" s="1375">
        <f>H1154+H1152</f>
        <v/>
      </c>
      <c r="I1155" s="1375">
        <f>I1154+I1152</f>
        <v/>
      </c>
      <c r="J1155" s="1375">
        <f>J1154+J1152</f>
        <v/>
      </c>
      <c r="K1155" s="1458">
        <f>K1154+K1152</f>
        <v/>
      </c>
      <c r="L1155" s="1375">
        <f>L1154+L1152</f>
        <v/>
      </c>
      <c r="M1155" s="1375">
        <f>M1154+M1152</f>
        <v/>
      </c>
      <c r="N1155" s="1375">
        <f>N1154+N1152</f>
        <v/>
      </c>
      <c r="O1155" s="1375">
        <f>O1154+O1152</f>
        <v/>
      </c>
      <c r="P1155" s="1458">
        <f>P1154+P1152</f>
        <v/>
      </c>
      <c r="Q1155" s="1375">
        <f>Q1154+Q1152</f>
        <v/>
      </c>
      <c r="R1155" s="1375">
        <f>R1154+R1152</f>
        <v/>
      </c>
      <c r="S1155" s="1375">
        <f>S1154+S1152</f>
        <v/>
      </c>
      <c r="T1155" s="1375">
        <f>T1154+T1152</f>
        <v/>
      </c>
      <c r="U1155" s="1458">
        <f>U1154+U1152</f>
        <v/>
      </c>
      <c r="V1155" s="1375">
        <f>V1154+V1152</f>
        <v/>
      </c>
      <c r="W1155" s="1375">
        <f>W1154+W1152</f>
        <v/>
      </c>
      <c r="X1155" s="1375">
        <f>X1154+X1152</f>
        <v/>
      </c>
      <c r="Y1155" s="1375">
        <f>Y1154+Y1152</f>
        <v/>
      </c>
      <c r="Z1155" s="1458">
        <f>Z1154+Z1152</f>
        <v/>
      </c>
      <c r="AA1155" s="1375">
        <f>AA1154+AA1152</f>
        <v/>
      </c>
      <c r="AB1155" s="1375">
        <f>AB1154+AB1152</f>
        <v/>
      </c>
      <c r="AC1155" s="1375">
        <f>AC1154+AC1152</f>
        <v/>
      </c>
      <c r="AD1155" s="1375">
        <f>AD1154+AD1152</f>
        <v/>
      </c>
      <c r="AE1155" s="1458">
        <f>AE1154+AE1152</f>
        <v/>
      </c>
      <c r="AF1155" s="1375">
        <f>AF1154+AF1152</f>
        <v/>
      </c>
      <c r="AG1155" s="1375">
        <f>AG1154+AG1152</f>
        <v/>
      </c>
      <c r="AH1155" s="1375">
        <f>AH1154+AH1152</f>
        <v/>
      </c>
      <c r="AI1155" s="1375">
        <f>AI1154+AI1152</f>
        <v/>
      </c>
      <c r="AJ1155" s="1458">
        <f>AJ1154+AJ1152</f>
        <v/>
      </c>
      <c r="AK1155" s="1375">
        <f>AK1154+AK1152</f>
        <v/>
      </c>
      <c r="AL1155" s="1375">
        <f>AL1154+AL1152</f>
        <v/>
      </c>
      <c r="AM1155" s="1375">
        <f>AM1154+AM1152</f>
        <v/>
      </c>
      <c r="AN1155" s="1375">
        <f>AN1154+AN1152</f>
        <v/>
      </c>
      <c r="AO1155" s="1458">
        <f>AO1154+AO1152</f>
        <v/>
      </c>
      <c r="AP1155" s="1375">
        <f>AP1154+AP1152</f>
        <v/>
      </c>
      <c r="AQ1155" s="1375">
        <f>AQ1154+AQ1152</f>
        <v/>
      </c>
      <c r="AR1155" s="1375">
        <f>AR1154+AR1152</f>
        <v/>
      </c>
      <c r="AS1155" s="1375">
        <f>AS1154+AS1152</f>
        <v/>
      </c>
      <c r="AT1155" s="1458">
        <f>AT1154+AT1152</f>
        <v/>
      </c>
      <c r="AU1155" s="1375">
        <f>AU1154+AU1152</f>
        <v/>
      </c>
      <c r="AV1155" s="1375">
        <f>AV1154+AV1152</f>
        <v/>
      </c>
      <c r="AW1155" s="1375">
        <f>AW1154+AW1152</f>
        <v/>
      </c>
      <c r="AX1155" s="1375">
        <f>AX1154+AX1152</f>
        <v/>
      </c>
      <c r="AY1155" s="1458">
        <f>AY1154+AY1152</f>
        <v/>
      </c>
      <c r="AZ1155" s="1375">
        <f>AZ1154+AZ1152</f>
        <v/>
      </c>
      <c r="BA1155" s="1375">
        <f>BA1154+BA1152</f>
        <v/>
      </c>
      <c r="BB1155" s="1375">
        <f>BB1154+BB1152</f>
        <v/>
      </c>
      <c r="BC1155" s="1375">
        <f>BC1154+BC1152</f>
        <v/>
      </c>
      <c r="BD1155" s="1458">
        <f>BD1154+BD1152</f>
        <v/>
      </c>
      <c r="BE1155" s="1375">
        <f>BE1154+BE1152</f>
        <v/>
      </c>
      <c r="BF1155" s="1375">
        <f>BF1154+BF1152</f>
        <v/>
      </c>
      <c r="BG1155" s="1375">
        <f>BG1154+BG1152</f>
        <v/>
      </c>
      <c r="BH1155" s="1375">
        <f>BH1154+BH1152</f>
        <v/>
      </c>
      <c r="BI1155" s="1458">
        <f>BI1154+BI1152</f>
        <v/>
      </c>
      <c r="BJ1155" s="1375">
        <f>BJ1154+BJ1152</f>
        <v/>
      </c>
      <c r="BK1155" s="1375">
        <f>BK1154+BK1152</f>
        <v/>
      </c>
      <c r="BL1155" s="1375">
        <f>BL1154+BL1152</f>
        <v/>
      </c>
      <c r="BM1155" s="1375">
        <f>BM1154+BM1152</f>
        <v/>
      </c>
      <c r="BN1155" s="1458">
        <f>BN1154+BN1152</f>
        <v/>
      </c>
      <c r="BO1155" s="1375">
        <f>BO1154+BO1152</f>
        <v/>
      </c>
      <c r="BP1155" s="1375">
        <f>BP1154+BP1152</f>
        <v/>
      </c>
      <c r="BQ1155" s="1459">
        <f>BQ1154+BQ1152</f>
        <v/>
      </c>
      <c r="BR1155" s="1450">
        <f>BR1154+BR1152</f>
        <v/>
      </c>
      <c r="BS1155" s="1449">
        <f>BS1154+BS1152</f>
        <v/>
      </c>
      <c r="BT1155" s="1450">
        <f>BT1154+BT1152</f>
        <v/>
      </c>
      <c r="BU1155" s="1450">
        <f>BU1154+BU1152</f>
        <v/>
      </c>
      <c r="BV1155" s="1450">
        <f>BV1154+BV1152</f>
        <v/>
      </c>
      <c r="BW1155" s="1450">
        <f>BW1154+BW1152</f>
        <v/>
      </c>
      <c r="BX1155" s="1449">
        <f>BX1154+BX1152</f>
        <v/>
      </c>
      <c r="BY1155" s="1449">
        <f>BY1154+BY1152</f>
        <v/>
      </c>
      <c r="BZ1155" s="1449">
        <f>BZ1154+BZ1152</f>
        <v/>
      </c>
      <c r="CA1155" s="1449">
        <f>CA1154+CA1152</f>
        <v/>
      </c>
      <c r="CB1155" s="1375" t="n"/>
    </row>
    <row r="1156" ht="14.4" customFormat="1" customHeight="1" s="1372">
      <c r="A1156" s="1447" t="n"/>
      <c r="B1156" s="1517" t="n"/>
      <c r="C1156" s="1449" t="n"/>
      <c r="D1156" s="1449" t="n"/>
      <c r="E1156" s="1449" t="n"/>
      <c r="F1156" s="1449" t="n"/>
      <c r="G1156" s="1450" t="n"/>
      <c r="H1156" s="1450" t="n"/>
      <c r="I1156" s="1450" t="n"/>
      <c r="J1156" s="1450" t="n"/>
      <c r="K1156" s="1449" t="n"/>
      <c r="L1156" s="1450" t="n"/>
      <c r="M1156" s="1450" t="n"/>
      <c r="N1156" s="1450" t="n"/>
      <c r="O1156" s="1450" t="n"/>
      <c r="P1156" s="1449" t="n"/>
      <c r="Q1156" s="1450" t="n"/>
      <c r="R1156" s="1450" t="n"/>
      <c r="S1156" s="1450" t="n"/>
      <c r="T1156" s="1450" t="n"/>
      <c r="U1156" s="1449" t="n"/>
      <c r="V1156" s="1450" t="n"/>
      <c r="W1156" s="1450" t="n"/>
      <c r="X1156" s="1450" t="n"/>
      <c r="Y1156" s="1450" t="n"/>
      <c r="Z1156" s="1449" t="n"/>
      <c r="AA1156" s="1450" t="n"/>
      <c r="AB1156" s="1450" t="n"/>
      <c r="AC1156" s="1450" t="n"/>
      <c r="AD1156" s="1450" t="n"/>
      <c r="AE1156" s="1449" t="n"/>
      <c r="AF1156" s="1450" t="n"/>
      <c r="AG1156" s="1450" t="n"/>
      <c r="AH1156" s="1450" t="n"/>
      <c r="AI1156" s="1450" t="n"/>
      <c r="AJ1156" s="1449" t="n"/>
      <c r="AK1156" s="1450" t="n"/>
      <c r="AL1156" s="1450" t="n"/>
      <c r="AM1156" s="1450" t="n"/>
      <c r="AN1156" s="1450" t="n"/>
      <c r="AO1156" s="1449" t="n"/>
      <c r="AP1156" s="1450" t="n"/>
      <c r="AQ1156" s="1450" t="n"/>
      <c r="AR1156" s="1450" t="n"/>
      <c r="AS1156" s="1450" t="n"/>
      <c r="AT1156" s="1449" t="n"/>
      <c r="AU1156" s="1450" t="n"/>
      <c r="AV1156" s="1450" t="n"/>
      <c r="AW1156" s="1450" t="n"/>
      <c r="AX1156" s="1450" t="n"/>
      <c r="AY1156" s="1449" t="n"/>
      <c r="AZ1156" s="1450" t="n"/>
      <c r="BA1156" s="1450" t="n"/>
      <c r="BB1156" s="1450" t="n"/>
      <c r="BC1156" s="1450" t="n"/>
      <c r="BD1156" s="1449" t="n"/>
      <c r="BE1156" s="1450" t="n"/>
      <c r="BF1156" s="1450" t="n"/>
      <c r="BG1156" s="1450" t="n"/>
      <c r="BH1156" s="1450" t="n"/>
      <c r="BI1156" s="1449" t="n"/>
      <c r="BJ1156" s="1450" t="n"/>
      <c r="BK1156" s="1450" t="n"/>
      <c r="BL1156" s="1450" t="n"/>
      <c r="BM1156" s="1450" t="n"/>
      <c r="BN1156" s="1449" t="n"/>
      <c r="BO1156" s="1450" t="n"/>
      <c r="BP1156" s="1450" t="n"/>
      <c r="BQ1156" s="1451" t="n"/>
      <c r="BR1156" s="1450" t="n"/>
      <c r="BS1156" s="1449" t="n"/>
      <c r="BT1156" s="1450" t="n"/>
      <c r="BU1156" s="1450" t="n"/>
      <c r="BV1156" s="1450" t="n"/>
      <c r="BW1156" s="1450" t="n"/>
      <c r="BX1156" s="1449" t="n"/>
      <c r="BY1156" s="1449" t="n"/>
      <c r="BZ1156" s="1449" t="n"/>
      <c r="CA1156" s="1449" t="n"/>
      <c r="CB1156" s="1375" t="n"/>
    </row>
    <row r="1157" ht="14.4" customFormat="1" customHeight="1" s="1359">
      <c r="A1157" s="1503">
        <f>A1079</f>
        <v/>
      </c>
      <c r="B1157" s="1512" t="n"/>
      <c r="C1157" s="1379">
        <f>C1079</f>
        <v/>
      </c>
      <c r="D1157" s="1379">
        <f>D1079</f>
        <v/>
      </c>
      <c r="E1157" s="1379">
        <f>E1079</f>
        <v/>
      </c>
      <c r="F1157" s="1379">
        <f>F1079</f>
        <v/>
      </c>
      <c r="G1157" s="1361">
        <f>G1079</f>
        <v/>
      </c>
      <c r="H1157" s="1361">
        <f>H1079-G1079</f>
        <v/>
      </c>
      <c r="I1157" s="1361">
        <f>I1079-H1079</f>
        <v/>
      </c>
      <c r="J1157" s="1361">
        <f>J1079-I1079</f>
        <v/>
      </c>
      <c r="K1157" s="1379">
        <f>K1079</f>
        <v/>
      </c>
      <c r="L1157" s="1361">
        <f>L1079</f>
        <v/>
      </c>
      <c r="M1157" s="1361">
        <f>M1079-L1079</f>
        <v/>
      </c>
      <c r="N1157" s="1361">
        <f>N1079-M1079</f>
        <v/>
      </c>
      <c r="O1157" s="1361">
        <f>O1079-N1079</f>
        <v/>
      </c>
      <c r="P1157" s="1379">
        <f>P1079</f>
        <v/>
      </c>
      <c r="Q1157" s="1361">
        <f>Q1079</f>
        <v/>
      </c>
      <c r="R1157" s="1361">
        <f>R1079-Q1079</f>
        <v/>
      </c>
      <c r="S1157" s="1361">
        <f>S1079-R1079</f>
        <v/>
      </c>
      <c r="T1157" s="1361">
        <f>T1079-S1079</f>
        <v/>
      </c>
      <c r="U1157" s="1379">
        <f>U1079</f>
        <v/>
      </c>
      <c r="V1157" s="1361">
        <f>V1079</f>
        <v/>
      </c>
      <c r="W1157" s="1361">
        <f>W1079-V1079</f>
        <v/>
      </c>
      <c r="X1157" s="1361">
        <f>X1079-W1079</f>
        <v/>
      </c>
      <c r="Y1157" s="1361">
        <f>Y1079-X1079</f>
        <v/>
      </c>
      <c r="Z1157" s="1379">
        <f>Z1079</f>
        <v/>
      </c>
      <c r="AA1157" s="1361">
        <f>AA1079</f>
        <v/>
      </c>
      <c r="AB1157" s="1361">
        <f>AB1079-AA1079</f>
        <v/>
      </c>
      <c r="AC1157" s="1361">
        <f>AC1079-AB1079</f>
        <v/>
      </c>
      <c r="AD1157" s="1361">
        <f>AD1079-AC1079</f>
        <v/>
      </c>
      <c r="AE1157" s="1379">
        <f>AE1079</f>
        <v/>
      </c>
      <c r="AF1157" s="1361">
        <f>AF1079</f>
        <v/>
      </c>
      <c r="AG1157" s="1361">
        <f>AG1079-AF1079</f>
        <v/>
      </c>
      <c r="AH1157" s="1361">
        <f>AH1079-AG1079</f>
        <v/>
      </c>
      <c r="AI1157" s="1361">
        <f>AI1079-AH1079</f>
        <v/>
      </c>
      <c r="AJ1157" s="1379">
        <f>AJ1079</f>
        <v/>
      </c>
      <c r="AK1157" s="1361">
        <f>AK1079</f>
        <v/>
      </c>
      <c r="AL1157" s="1361">
        <f>AL1079-AK1079</f>
        <v/>
      </c>
      <c r="AM1157" s="1361">
        <f>AM1079-AL1079</f>
        <v/>
      </c>
      <c r="AN1157" s="1361">
        <f>AN1079-AM1079</f>
        <v/>
      </c>
      <c r="AO1157" s="1379">
        <f>AO1079</f>
        <v/>
      </c>
      <c r="AP1157" s="1361">
        <f>AP1079</f>
        <v/>
      </c>
      <c r="AQ1157" s="1361">
        <f>AQ1079-AP1079</f>
        <v/>
      </c>
      <c r="AR1157" s="1361">
        <f>AR1079-AQ1079</f>
        <v/>
      </c>
      <c r="AS1157" s="1361">
        <f>AS1079-AR1079</f>
        <v/>
      </c>
      <c r="AT1157" s="1379">
        <f>AT1079</f>
        <v/>
      </c>
      <c r="AU1157" s="1361">
        <f>AU1079</f>
        <v/>
      </c>
      <c r="AV1157" s="1361">
        <f>AV1079-AU1079</f>
        <v/>
      </c>
      <c r="AW1157" s="1361">
        <f>AW1079-AV1079</f>
        <v/>
      </c>
      <c r="AX1157" s="1361">
        <f>AX1079-AW1079</f>
        <v/>
      </c>
      <c r="AY1157" s="1379">
        <f>AY1079</f>
        <v/>
      </c>
      <c r="AZ1157" s="1361">
        <f>AZ1079</f>
        <v/>
      </c>
      <c r="BA1157" s="1361">
        <f>BA1079-AZ1079</f>
        <v/>
      </c>
      <c r="BB1157" s="1361">
        <f>BB1079-BA1079</f>
        <v/>
      </c>
      <c r="BC1157" s="1361">
        <f>BC1079-BB1079</f>
        <v/>
      </c>
      <c r="BD1157" s="1379">
        <f>BD1079</f>
        <v/>
      </c>
      <c r="BE1157" s="1361">
        <f>BE1079</f>
        <v/>
      </c>
      <c r="BF1157" s="1361">
        <f>BF1079-BE1079</f>
        <v/>
      </c>
      <c r="BG1157" s="1361">
        <f>BG1079-BF1079</f>
        <v/>
      </c>
      <c r="BH1157" s="1361">
        <f>BH1079-BG1079</f>
        <v/>
      </c>
      <c r="BI1157" s="1379">
        <f>BI1079</f>
        <v/>
      </c>
      <c r="BJ1157" s="1361">
        <f>BJ1079</f>
        <v/>
      </c>
      <c r="BK1157" s="1361">
        <f>BK1079-BJ1079</f>
        <v/>
      </c>
      <c r="BL1157" s="1361">
        <f>BL1079-BK1079</f>
        <v/>
      </c>
      <c r="BM1157" s="1361">
        <f>BM1079-BL1079</f>
        <v/>
      </c>
      <c r="BN1157" s="1379">
        <f>BN1079</f>
        <v/>
      </c>
      <c r="BO1157" s="1361">
        <f>BO1079</f>
        <v/>
      </c>
      <c r="BP1157" s="1361">
        <f>BP1079-BO1079</f>
        <v/>
      </c>
      <c r="BQ1157" s="1363">
        <f>BQ1079-BP1079</f>
        <v/>
      </c>
      <c r="BR1157" s="1361" t="n"/>
      <c r="BS1157" s="1379" t="n"/>
      <c r="BT1157" s="1361" t="n"/>
      <c r="BU1157" s="1361" t="n"/>
      <c r="BV1157" s="1361" t="n"/>
      <c r="BW1157" s="1361" t="n"/>
      <c r="BX1157" s="1379" t="n"/>
      <c r="BY1157" s="1379" t="n"/>
      <c r="BZ1157" s="1379" t="n"/>
      <c r="CA1157" s="1379" t="n"/>
      <c r="CB1157" s="1364" t="n"/>
    </row>
    <row r="1158" ht="14.4" customFormat="1" customHeight="1" s="1359">
      <c r="A1158" s="1503">
        <f>A1080</f>
        <v/>
      </c>
      <c r="B1158" s="1512" t="n"/>
      <c r="C1158" s="1379">
        <f>C1080</f>
        <v/>
      </c>
      <c r="D1158" s="1379">
        <f>D1080</f>
        <v/>
      </c>
      <c r="E1158" s="1379">
        <f>E1080</f>
        <v/>
      </c>
      <c r="F1158" s="1379">
        <f>F1080</f>
        <v/>
      </c>
      <c r="G1158" s="1361">
        <f>G1080</f>
        <v/>
      </c>
      <c r="H1158" s="1361">
        <f>H1080-G1080</f>
        <v/>
      </c>
      <c r="I1158" s="1361">
        <f>I1080-H1080</f>
        <v/>
      </c>
      <c r="J1158" s="1361">
        <f>J1080-I1080</f>
        <v/>
      </c>
      <c r="K1158" s="1379">
        <f>K1080</f>
        <v/>
      </c>
      <c r="L1158" s="1361">
        <f>L1080</f>
        <v/>
      </c>
      <c r="M1158" s="1361">
        <f>M1080-L1080</f>
        <v/>
      </c>
      <c r="N1158" s="1361">
        <f>N1080-M1080</f>
        <v/>
      </c>
      <c r="O1158" s="1361">
        <f>O1080-N1080</f>
        <v/>
      </c>
      <c r="P1158" s="1379">
        <f>P1080</f>
        <v/>
      </c>
      <c r="Q1158" s="1361">
        <f>Q1080</f>
        <v/>
      </c>
      <c r="R1158" s="1361">
        <f>R1080-Q1080</f>
        <v/>
      </c>
      <c r="S1158" s="1361">
        <f>S1080-R1080</f>
        <v/>
      </c>
      <c r="T1158" s="1361">
        <f>T1080-S1080</f>
        <v/>
      </c>
      <c r="U1158" s="1379">
        <f>U1080</f>
        <v/>
      </c>
      <c r="V1158" s="1361">
        <f>V1080</f>
        <v/>
      </c>
      <c r="W1158" s="1361">
        <f>W1080-V1080</f>
        <v/>
      </c>
      <c r="X1158" s="1361">
        <f>X1080-W1080</f>
        <v/>
      </c>
      <c r="Y1158" s="1361">
        <f>Y1080-X1080</f>
        <v/>
      </c>
      <c r="Z1158" s="1379">
        <f>Z1080</f>
        <v/>
      </c>
      <c r="AA1158" s="1361">
        <f>AA1080</f>
        <v/>
      </c>
      <c r="AB1158" s="1361">
        <f>AB1080-AA1080</f>
        <v/>
      </c>
      <c r="AC1158" s="1361">
        <f>AC1080-AB1080</f>
        <v/>
      </c>
      <c r="AD1158" s="1361">
        <f>AD1080-AC1080</f>
        <v/>
      </c>
      <c r="AE1158" s="1379">
        <f>AE1080</f>
        <v/>
      </c>
      <c r="AF1158" s="1361">
        <f>AF1080</f>
        <v/>
      </c>
      <c r="AG1158" s="1361">
        <f>AG1080-AF1080</f>
        <v/>
      </c>
      <c r="AH1158" s="1361">
        <f>AH1080-AG1080</f>
        <v/>
      </c>
      <c r="AI1158" s="1361">
        <f>AI1080-AH1080</f>
        <v/>
      </c>
      <c r="AJ1158" s="1379">
        <f>AJ1080</f>
        <v/>
      </c>
      <c r="AK1158" s="1361">
        <f>AK1080</f>
        <v/>
      </c>
      <c r="AL1158" s="1361">
        <f>AL1080-AK1080</f>
        <v/>
      </c>
      <c r="AM1158" s="1361">
        <f>AM1080-AL1080</f>
        <v/>
      </c>
      <c r="AN1158" s="1361">
        <f>AN1080-AM1080</f>
        <v/>
      </c>
      <c r="AO1158" s="1379">
        <f>AO1080</f>
        <v/>
      </c>
      <c r="AP1158" s="1361">
        <f>AP1080</f>
        <v/>
      </c>
      <c r="AQ1158" s="1361">
        <f>AQ1080-AP1080</f>
        <v/>
      </c>
      <c r="AR1158" s="1361">
        <f>AR1080-AQ1080</f>
        <v/>
      </c>
      <c r="AS1158" s="1361">
        <f>AS1080-AR1080</f>
        <v/>
      </c>
      <c r="AT1158" s="1379">
        <f>AT1080</f>
        <v/>
      </c>
      <c r="AU1158" s="1361">
        <f>AU1080</f>
        <v/>
      </c>
      <c r="AV1158" s="1361">
        <f>AV1080-AU1080</f>
        <v/>
      </c>
      <c r="AW1158" s="1361">
        <f>AW1080-AV1080</f>
        <v/>
      </c>
      <c r="AX1158" s="1361">
        <f>AX1080-AW1080</f>
        <v/>
      </c>
      <c r="AY1158" s="1379">
        <f>AY1080</f>
        <v/>
      </c>
      <c r="AZ1158" s="1361">
        <f>AZ1080</f>
        <v/>
      </c>
      <c r="BA1158" s="1361">
        <f>BA1080-AZ1080</f>
        <v/>
      </c>
      <c r="BB1158" s="1361">
        <f>BB1080-BA1080</f>
        <v/>
      </c>
      <c r="BC1158" s="1361">
        <f>BC1080-BB1080</f>
        <v/>
      </c>
      <c r="BD1158" s="1379">
        <f>BD1080</f>
        <v/>
      </c>
      <c r="BE1158" s="1361">
        <f>BE1080</f>
        <v/>
      </c>
      <c r="BF1158" s="1361">
        <f>BF1080-BE1080</f>
        <v/>
      </c>
      <c r="BG1158" s="1361">
        <f>BG1080-BF1080</f>
        <v/>
      </c>
      <c r="BH1158" s="1361">
        <f>BH1080-BG1080</f>
        <v/>
      </c>
      <c r="BI1158" s="1379">
        <f>BI1080</f>
        <v/>
      </c>
      <c r="BJ1158" s="1361">
        <f>BJ1080</f>
        <v/>
      </c>
      <c r="BK1158" s="1361">
        <f>BK1080-BJ1080</f>
        <v/>
      </c>
      <c r="BL1158" s="1361">
        <f>BL1080-BK1080</f>
        <v/>
      </c>
      <c r="BM1158" s="1361">
        <f>BM1080-BL1080</f>
        <v/>
      </c>
      <c r="BN1158" s="1379">
        <f>BN1080</f>
        <v/>
      </c>
      <c r="BO1158" s="1361">
        <f>BO1080</f>
        <v/>
      </c>
      <c r="BP1158" s="1361">
        <f>BP1080-BO1080</f>
        <v/>
      </c>
      <c r="BQ1158" s="1363">
        <f>BQ1080-BP1080</f>
        <v/>
      </c>
      <c r="BR1158" s="1361" t="n"/>
      <c r="BS1158" s="1379" t="n"/>
      <c r="BT1158" s="1361" t="n"/>
      <c r="BU1158" s="1361" t="n"/>
      <c r="BV1158" s="1361" t="n"/>
      <c r="BW1158" s="1361" t="n"/>
      <c r="BX1158" s="1379" t="n"/>
      <c r="BY1158" s="1379" t="n"/>
      <c r="BZ1158" s="1379" t="n"/>
      <c r="CA1158" s="1379" t="n"/>
      <c r="CB1158" s="1364" t="n"/>
    </row>
    <row r="1159" ht="14.4" customFormat="1" customHeight="1" s="1372">
      <c r="A1159" s="1447" t="n"/>
      <c r="B1159" s="1517" t="n"/>
      <c r="C1159" s="1449" t="n"/>
      <c r="D1159" s="1449" t="n"/>
      <c r="E1159" s="1449" t="n"/>
      <c r="F1159" s="1449" t="n"/>
      <c r="G1159" s="1450" t="n"/>
      <c r="H1159" s="1450" t="n"/>
      <c r="I1159" s="1450" t="n"/>
      <c r="J1159" s="1450" t="n"/>
      <c r="K1159" s="1449" t="n"/>
      <c r="L1159" s="1450" t="n"/>
      <c r="M1159" s="1450" t="n"/>
      <c r="N1159" s="1450" t="n"/>
      <c r="O1159" s="1450" t="n"/>
      <c r="P1159" s="1449" t="n"/>
      <c r="Q1159" s="1450" t="n"/>
      <c r="R1159" s="1450" t="n"/>
      <c r="S1159" s="1450" t="n"/>
      <c r="T1159" s="1450" t="n"/>
      <c r="U1159" s="1449" t="n"/>
      <c r="V1159" s="1450" t="n"/>
      <c r="W1159" s="1450" t="n"/>
      <c r="X1159" s="1450" t="n"/>
      <c r="Y1159" s="1450" t="n"/>
      <c r="Z1159" s="1449" t="n"/>
      <c r="AA1159" s="1450" t="n"/>
      <c r="AB1159" s="1450" t="n"/>
      <c r="AC1159" s="1450" t="n"/>
      <c r="AD1159" s="1450" t="n"/>
      <c r="AE1159" s="1449" t="n"/>
      <c r="AF1159" s="1450" t="n"/>
      <c r="AG1159" s="1450" t="n"/>
      <c r="AH1159" s="1450" t="n"/>
      <c r="AI1159" s="1450" t="n"/>
      <c r="AJ1159" s="1449" t="n"/>
      <c r="AK1159" s="1450" t="n"/>
      <c r="AL1159" s="1450" t="n"/>
      <c r="AM1159" s="1450" t="n"/>
      <c r="AN1159" s="1450" t="n"/>
      <c r="AO1159" s="1449" t="n"/>
      <c r="AP1159" s="1450" t="n"/>
      <c r="AQ1159" s="1450" t="n"/>
      <c r="AR1159" s="1450" t="n"/>
      <c r="AS1159" s="1450" t="n"/>
      <c r="AT1159" s="1449" t="n"/>
      <c r="AU1159" s="1450" t="n"/>
      <c r="AV1159" s="1450" t="n"/>
      <c r="AW1159" s="1450" t="n"/>
      <c r="AX1159" s="1450" t="n"/>
      <c r="AY1159" s="1449" t="n"/>
      <c r="AZ1159" s="1450" t="n"/>
      <c r="BA1159" s="1450" t="n"/>
      <c r="BB1159" s="1450" t="n"/>
      <c r="BC1159" s="1450" t="n"/>
      <c r="BD1159" s="1449" t="n"/>
      <c r="BE1159" s="1450" t="n"/>
      <c r="BF1159" s="1450" t="n"/>
      <c r="BG1159" s="1450" t="n"/>
      <c r="BH1159" s="1450" t="n"/>
      <c r="BI1159" s="1449" t="n"/>
      <c r="BJ1159" s="1450" t="n"/>
      <c r="BK1159" s="1450" t="n"/>
      <c r="BL1159" s="1450" t="n"/>
      <c r="BM1159" s="1450" t="n"/>
      <c r="BN1159" s="1449" t="n"/>
      <c r="BO1159" s="1450" t="n"/>
      <c r="BP1159" s="1450" t="n"/>
      <c r="BQ1159" s="1451" t="n"/>
      <c r="BR1159" s="1450" t="n"/>
      <c r="BS1159" s="1449" t="n"/>
      <c r="BT1159" s="1450" t="n"/>
      <c r="BU1159" s="1450" t="n"/>
      <c r="BV1159" s="1450" t="n"/>
      <c r="BW1159" s="1450" t="n"/>
      <c r="BX1159" s="1449" t="n"/>
      <c r="BY1159" s="1449" t="n"/>
      <c r="BZ1159" s="1449" t="n"/>
      <c r="CA1159" s="1449" t="n"/>
      <c r="CB1159" s="1375" t="n"/>
    </row>
    <row r="1160" ht="14.4" customFormat="1" customHeight="1" s="1359">
      <c r="A1160" s="1585" t="inlineStr">
        <is>
          <t>CF Check</t>
        </is>
      </c>
      <c r="B1160" s="1585" t="n"/>
      <c r="C1160" s="1586">
        <f>ROUND(C1155-C1205,6)</f>
        <v/>
      </c>
      <c r="D1160" s="1586">
        <f>ROUND(D1155-D1205,6)</f>
        <v/>
      </c>
      <c r="E1160" s="1586">
        <f>ROUND(E1155-E1205,6)</f>
        <v/>
      </c>
      <c r="F1160" s="1586">
        <f>ROUND(F1155-F1205,6)</f>
        <v/>
      </c>
      <c r="G1160" s="1586">
        <f>ROUND(G1155-G1205,6)</f>
        <v/>
      </c>
      <c r="H1160" s="1586">
        <f>ROUND(H1155-H1205,6)</f>
        <v/>
      </c>
      <c r="I1160" s="1586">
        <f>ROUND(I1155-I1205,6)</f>
        <v/>
      </c>
      <c r="J1160" s="1586">
        <f>ROUND(J1155-J1205,6)</f>
        <v/>
      </c>
      <c r="K1160" s="1586">
        <f>ROUND(K1155-K1205,6)</f>
        <v/>
      </c>
      <c r="L1160" s="1586">
        <f>ROUND(L1155-L1205,6)</f>
        <v/>
      </c>
      <c r="M1160" s="1586">
        <f>ROUND(M1155-M1205,6)</f>
        <v/>
      </c>
      <c r="N1160" s="1586">
        <f>ROUND(N1155-N1205,6)</f>
        <v/>
      </c>
      <c r="O1160" s="1586">
        <f>ROUND(O1155-O1205,6)</f>
        <v/>
      </c>
      <c r="P1160" s="1586">
        <f>ROUND(P1155-P1205,6)</f>
        <v/>
      </c>
      <c r="Q1160" s="1586">
        <f>ROUND(Q1155-Q1205,6)</f>
        <v/>
      </c>
      <c r="R1160" s="1586">
        <f>ROUND(R1155-R1205,6)</f>
        <v/>
      </c>
      <c r="S1160" s="1586">
        <f>ROUND(S1155-S1205,6)</f>
        <v/>
      </c>
      <c r="T1160" s="1586">
        <f>ROUND(T1155-T1205,6)</f>
        <v/>
      </c>
      <c r="U1160" s="1586">
        <f>ROUND(U1155-U1205,6)</f>
        <v/>
      </c>
      <c r="V1160" s="1586">
        <f>ROUND(V1155-V1205,6)</f>
        <v/>
      </c>
      <c r="W1160" s="1586">
        <f>ROUND(W1155-W1205,6)</f>
        <v/>
      </c>
      <c r="X1160" s="1586">
        <f>ROUND(X1155-X1205,6)</f>
        <v/>
      </c>
      <c r="Y1160" s="1586">
        <f>ROUND(Y1155-Y1205,6)</f>
        <v/>
      </c>
      <c r="Z1160" s="1586">
        <f>ROUND(Z1155-Z1205,6)</f>
        <v/>
      </c>
      <c r="AA1160" s="1586">
        <f>ROUND(AA1155-AA1205,6)</f>
        <v/>
      </c>
      <c r="AB1160" s="1586">
        <f>ROUND(AB1155-AB1205,6)</f>
        <v/>
      </c>
      <c r="AC1160" s="1586">
        <f>ROUND(AC1155-AC1205,6)</f>
        <v/>
      </c>
      <c r="AD1160" s="1586">
        <f>ROUND(AD1155-AD1205,6)</f>
        <v/>
      </c>
      <c r="AE1160" s="1586">
        <f>ROUND(AE1155-AE1205,6)</f>
        <v/>
      </c>
      <c r="AF1160" s="1586">
        <f>ROUND(AF1155-AF1205,6)</f>
        <v/>
      </c>
      <c r="AG1160" s="1586">
        <f>ROUND(AG1155-AG1205,6)</f>
        <v/>
      </c>
      <c r="AH1160" s="1586">
        <f>ROUND(AH1155-AH1205,6)</f>
        <v/>
      </c>
      <c r="AI1160" s="1586">
        <f>ROUND(AI1155-AI1205,6)</f>
        <v/>
      </c>
      <c r="AJ1160" s="1586">
        <f>ROUND(AJ1155-AJ1205,6)</f>
        <v/>
      </c>
      <c r="AK1160" s="1586">
        <f>ROUND(AK1155-AK1205,6)</f>
        <v/>
      </c>
      <c r="AL1160" s="1586">
        <f>ROUND(AL1155-AL1205,6)</f>
        <v/>
      </c>
      <c r="AM1160" s="1586">
        <f>ROUND(AM1155-AM1205,6)</f>
        <v/>
      </c>
      <c r="AN1160" s="1586">
        <f>ROUND(AN1155-AN1205,6)</f>
        <v/>
      </c>
      <c r="AO1160" s="1586">
        <f>ROUND(AO1155-AO1205,6)</f>
        <v/>
      </c>
      <c r="AP1160" s="1586">
        <f>ROUND(AP1155-AP1205,6)</f>
        <v/>
      </c>
      <c r="AQ1160" s="1586">
        <f>ROUND(AQ1155-AQ1205,6)</f>
        <v/>
      </c>
      <c r="AR1160" s="1586">
        <f>ROUND(AR1155-AR1205,6)</f>
        <v/>
      </c>
      <c r="AS1160" s="1586">
        <f>ROUND(AS1155-AS1205,6)</f>
        <v/>
      </c>
      <c r="AT1160" s="1586">
        <f>ROUND(AT1155-AT1205,6)</f>
        <v/>
      </c>
      <c r="AU1160" s="1586">
        <f>ROUND(AU1155-AU1205,6)</f>
        <v/>
      </c>
      <c r="AV1160" s="1586">
        <f>ROUND(AV1155-AV1205,6)</f>
        <v/>
      </c>
      <c r="AW1160" s="1586">
        <f>ROUND(AW1155-AW1205,6)</f>
        <v/>
      </c>
      <c r="AX1160" s="1586">
        <f>ROUND(AX1155-AX1205,6)</f>
        <v/>
      </c>
      <c r="AY1160" s="1586">
        <f>ROUND(AY1155-AY1205,6)</f>
        <v/>
      </c>
      <c r="AZ1160" s="1586">
        <f>ROUND(AZ1155-AZ1205,6)</f>
        <v/>
      </c>
      <c r="BA1160" s="1586">
        <f>ROUND(BA1155-BA1205,6)</f>
        <v/>
      </c>
      <c r="BB1160" s="1586">
        <f>ROUND(BB1155-BB1205,6)</f>
        <v/>
      </c>
      <c r="BC1160" s="1586">
        <f>ROUND(BC1155-BC1205,6)</f>
        <v/>
      </c>
      <c r="BD1160" s="1586">
        <f>ROUND(BD1155-BD1205,6)</f>
        <v/>
      </c>
      <c r="BE1160" s="1586">
        <f>ROUND(BE1155-BE1205,6)</f>
        <v/>
      </c>
      <c r="BF1160" s="1586">
        <f>ROUND(BF1155-BF1205,6)</f>
        <v/>
      </c>
      <c r="BG1160" s="1586">
        <f>ROUND(BG1155-BG1205,6)</f>
        <v/>
      </c>
      <c r="BH1160" s="1586">
        <f>ROUND(BH1155-BH1205,6)</f>
        <v/>
      </c>
      <c r="BI1160" s="1586">
        <f>ROUND(BI1155-BI1205,6)</f>
        <v/>
      </c>
      <c r="BJ1160" s="1586">
        <f>ROUND(BJ1155-BJ1205,6)</f>
        <v/>
      </c>
      <c r="BK1160" s="1586">
        <f>ROUND(BK1155-BK1205,6)</f>
        <v/>
      </c>
      <c r="BL1160" s="1586">
        <f>ROUND(BL1155-BL1205,6)</f>
        <v/>
      </c>
      <c r="BM1160" s="1586">
        <f>ROUND(BM1155-BM1205,6)</f>
        <v/>
      </c>
      <c r="BN1160" s="1586">
        <f>ROUND(BN1155-BN1205,6)</f>
        <v/>
      </c>
      <c r="BO1160" s="1586">
        <f>ROUND(BO1155-BO1205,6)</f>
        <v/>
      </c>
      <c r="BP1160" s="1586">
        <f>ROUND(BP1155-BP1205,6)</f>
        <v/>
      </c>
      <c r="BQ1160" s="1587">
        <f>ROUND(BQ1155-BQ1205,6)</f>
        <v/>
      </c>
      <c r="BR1160" s="1586">
        <f>ROUND(BR1155-BR1205,6)</f>
        <v/>
      </c>
      <c r="BS1160" s="1586">
        <f>ROUND(BS1155-BS1205,6)</f>
        <v/>
      </c>
      <c r="BT1160" s="1586">
        <f>ROUND(BT1155-BT1205,6)</f>
        <v/>
      </c>
      <c r="BU1160" s="1586">
        <f>ROUND(BU1155-BU1205,6)</f>
        <v/>
      </c>
      <c r="BV1160" s="1586">
        <f>ROUND(BV1155-BV1205,6)</f>
        <v/>
      </c>
      <c r="BW1160" s="1586">
        <f>ROUND(BW1155-BW1205,6)</f>
        <v/>
      </c>
      <c r="BX1160" s="1586">
        <f>ROUND(BX1155-BX1205,6)</f>
        <v/>
      </c>
      <c r="BY1160" s="1586">
        <f>ROUND(BY1155-BY1205,6)</f>
        <v/>
      </c>
      <c r="BZ1160" s="1586">
        <f>ROUND(BZ1155-BZ1205,6)</f>
        <v/>
      </c>
      <c r="CA1160" s="1586">
        <f>ROUND(CA1155-CA1205,6)</f>
        <v/>
      </c>
      <c r="CB1160" s="1364" t="n"/>
    </row>
    <row r="1161" ht="14.4" customFormat="1" customHeight="1" s="1372">
      <c r="A1161" s="1447" t="n"/>
      <c r="B1161" s="1517" t="n"/>
      <c r="C1161" s="1449" t="n"/>
      <c r="D1161" s="1449" t="n"/>
      <c r="E1161" s="1449" t="n"/>
      <c r="F1161" s="1449" t="n"/>
      <c r="G1161" s="1450" t="n"/>
      <c r="H1161" s="1450" t="n"/>
      <c r="I1161" s="1450" t="n"/>
      <c r="J1161" s="1450" t="n"/>
      <c r="K1161" s="1449" t="n"/>
      <c r="L1161" s="1450" t="n"/>
      <c r="M1161" s="1450" t="n"/>
      <c r="N1161" s="1450" t="n"/>
      <c r="O1161" s="1450" t="n"/>
      <c r="P1161" s="1449" t="n"/>
      <c r="Q1161" s="1450" t="n"/>
      <c r="R1161" s="1450" t="n"/>
      <c r="S1161" s="1450" t="n"/>
      <c r="T1161" s="1450" t="n"/>
      <c r="U1161" s="1449" t="n"/>
      <c r="V1161" s="1450" t="n"/>
      <c r="W1161" s="1450" t="n"/>
      <c r="X1161" s="1450" t="n"/>
      <c r="Y1161" s="1450" t="n"/>
      <c r="Z1161" s="1449" t="n"/>
      <c r="AA1161" s="1450" t="n"/>
      <c r="AB1161" s="1450" t="n"/>
      <c r="AC1161" s="1450" t="n"/>
      <c r="AD1161" s="1450" t="n"/>
      <c r="AE1161" s="1449" t="n"/>
      <c r="AF1161" s="1450" t="n"/>
      <c r="AG1161" s="1450" t="n"/>
      <c r="AH1161" s="1450" t="n"/>
      <c r="AI1161" s="1450" t="n"/>
      <c r="AJ1161" s="1449" t="n"/>
      <c r="AK1161" s="1450" t="n"/>
      <c r="AL1161" s="1450" t="n"/>
      <c r="AM1161" s="1450" t="n"/>
      <c r="AN1161" s="1450" t="n"/>
      <c r="AO1161" s="1449" t="n"/>
      <c r="AP1161" s="1450" t="n"/>
      <c r="AQ1161" s="1450" t="n"/>
      <c r="AR1161" s="1450" t="n"/>
      <c r="AS1161" s="1450" t="n"/>
      <c r="AT1161" s="1449" t="n"/>
      <c r="AU1161" s="1450" t="n"/>
      <c r="AV1161" s="1450" t="n"/>
      <c r="AW1161" s="1450" t="n"/>
      <c r="AX1161" s="1450" t="n"/>
      <c r="AY1161" s="1449" t="n"/>
      <c r="AZ1161" s="1450" t="n"/>
      <c r="BA1161" s="1450" t="n"/>
      <c r="BB1161" s="1450" t="n"/>
      <c r="BC1161" s="1450" t="n"/>
      <c r="BD1161" s="1449" t="n"/>
      <c r="BE1161" s="1450" t="n"/>
      <c r="BF1161" s="1450" t="n"/>
      <c r="BG1161" s="1450" t="n"/>
      <c r="BH1161" s="1450" t="n"/>
      <c r="BI1161" s="1449" t="n"/>
      <c r="BJ1161" s="1450" t="n"/>
      <c r="BK1161" s="1450" t="n"/>
      <c r="BL1161" s="1450" t="n"/>
      <c r="BM1161" s="1450" t="n"/>
      <c r="BN1161" s="1449" t="n"/>
      <c r="BO1161" s="1450" t="n"/>
      <c r="BP1161" s="1450" t="n"/>
      <c r="BQ1161" s="1451" t="n"/>
      <c r="BR1161" s="1450" t="n"/>
      <c r="BS1161" s="1449" t="n"/>
      <c r="BT1161" s="1450" t="n"/>
      <c r="BU1161" s="1450" t="n"/>
      <c r="BV1161" s="1450" t="n"/>
      <c r="BW1161" s="1450" t="n"/>
      <c r="BX1161" s="1449" t="n"/>
      <c r="BY1161" s="1449" t="n"/>
      <c r="BZ1161" s="1449" t="n"/>
      <c r="CA1161" s="1449" t="n"/>
      <c r="CB1161" s="1375" t="n"/>
    </row>
    <row r="1162" ht="14.4" customFormat="1" customHeight="1" s="1372">
      <c r="A1162" s="1766" t="inlineStr">
        <is>
          <t>D&amp;A Forecasting</t>
        </is>
      </c>
      <c r="B1162" s="1682" t="n"/>
      <c r="C1162" s="1928" t="n"/>
      <c r="D1162" s="1928" t="n"/>
      <c r="E1162" s="1928" t="n"/>
      <c r="F1162" s="1928" t="n"/>
      <c r="G1162" s="1928" t="n"/>
      <c r="H1162" s="1928" t="n"/>
      <c r="I1162" s="1928" t="n"/>
      <c r="J1162" s="1928" t="n"/>
      <c r="K1162" s="1928" t="n"/>
      <c r="L1162" s="1928" t="n"/>
      <c r="M1162" s="1928" t="n"/>
      <c r="N1162" s="1928" t="n"/>
      <c r="O1162" s="1928" t="n"/>
      <c r="P1162" s="1928" t="n"/>
      <c r="Q1162" s="1928" t="n"/>
      <c r="R1162" s="1928" t="n"/>
      <c r="S1162" s="1928" t="n"/>
      <c r="T1162" s="1928" t="n"/>
      <c r="U1162" s="1928" t="n"/>
      <c r="V1162" s="1928" t="n"/>
      <c r="W1162" s="1928" t="n"/>
      <c r="X1162" s="1928" t="n"/>
      <c r="Y1162" s="1928" t="n"/>
      <c r="Z1162" s="1928" t="n"/>
      <c r="AA1162" s="1928" t="n"/>
      <c r="AB1162" s="1928" t="n"/>
      <c r="AC1162" s="1928" t="n"/>
      <c r="AD1162" s="1928" t="n"/>
      <c r="AE1162" s="1928" t="n"/>
      <c r="AF1162" s="1928" t="n"/>
      <c r="AG1162" s="1928" t="n"/>
      <c r="AH1162" s="1928" t="n"/>
      <c r="AI1162" s="1928" t="n"/>
      <c r="AJ1162" s="1928" t="n"/>
      <c r="AK1162" s="1928" t="n"/>
      <c r="AL1162" s="1928" t="n"/>
      <c r="AM1162" s="1928" t="n"/>
      <c r="AN1162" s="1928" t="n"/>
      <c r="AO1162" s="1928" t="n"/>
      <c r="AP1162" s="1928" t="n"/>
      <c r="AQ1162" s="1928" t="n"/>
      <c r="AR1162" s="1928" t="n"/>
      <c r="AS1162" s="1928" t="n"/>
      <c r="AT1162" s="1928" t="n"/>
      <c r="AU1162" s="1928" t="n"/>
      <c r="AV1162" s="1928" t="n"/>
      <c r="AW1162" s="1928" t="n"/>
      <c r="AX1162" s="1928" t="n"/>
      <c r="AY1162" s="1928" t="n"/>
      <c r="AZ1162" s="1928" t="n"/>
      <c r="BA1162" s="1928" t="n"/>
      <c r="BB1162" s="1928" t="n"/>
      <c r="BC1162" s="1928" t="n"/>
      <c r="BD1162" s="1928" t="n"/>
      <c r="BE1162" s="1928" t="n"/>
      <c r="BF1162" s="1928" t="n"/>
      <c r="BG1162" s="1928" t="n"/>
      <c r="BH1162" s="1928" t="n"/>
      <c r="BI1162" s="1928" t="n"/>
      <c r="BJ1162" s="1928" t="n"/>
      <c r="BK1162" s="1928" t="n"/>
      <c r="BL1162" s="1928" t="n"/>
      <c r="BM1162" s="1928" t="n"/>
      <c r="BN1162" s="1928" t="n"/>
      <c r="BO1162" s="1928" t="n"/>
      <c r="BP1162" s="1928" t="n"/>
      <c r="BQ1162" s="1929" t="n"/>
      <c r="BR1162" s="1928" t="n"/>
      <c r="BS1162" s="1928" t="n"/>
      <c r="BT1162" s="1928" t="n"/>
      <c r="BU1162" s="1928" t="n"/>
      <c r="BV1162" s="1928" t="n"/>
      <c r="BW1162" s="1928" t="n"/>
      <c r="BX1162" s="1928" t="n"/>
      <c r="BY1162" s="1928" t="n"/>
      <c r="BZ1162" s="1928" t="n"/>
      <c r="CA1162" s="1928" t="n"/>
      <c r="CB1162" s="1375" t="n"/>
    </row>
    <row r="1163" ht="14.4" customFormat="1" customHeight="1" s="1372">
      <c r="A1163" s="1447" t="inlineStr">
        <is>
          <t>PP&amp;E BoP, mm</t>
        </is>
      </c>
      <c r="B1163" s="1517" t="n"/>
      <c r="C1163" s="1930" t="n"/>
      <c r="D1163" s="1930">
        <f>C1167</f>
        <v/>
      </c>
      <c r="E1163" s="1930">
        <f>D1167</f>
        <v/>
      </c>
      <c r="F1163" s="1930">
        <f>E1167</f>
        <v/>
      </c>
      <c r="G1163" s="1931">
        <f>F1167</f>
        <v/>
      </c>
      <c r="H1163" s="1931">
        <f>G1167</f>
        <v/>
      </c>
      <c r="I1163" s="1931">
        <f>H1167</f>
        <v/>
      </c>
      <c r="J1163" s="1931">
        <f>I1167</f>
        <v/>
      </c>
      <c r="K1163" s="1930">
        <f>F1167</f>
        <v/>
      </c>
      <c r="L1163" s="1931">
        <f>K1167</f>
        <v/>
      </c>
      <c r="M1163" s="1931">
        <f>L1167</f>
        <v/>
      </c>
      <c r="N1163" s="1931">
        <f>M1167</f>
        <v/>
      </c>
      <c r="O1163" s="1931">
        <f>N1167</f>
        <v/>
      </c>
      <c r="P1163" s="1930">
        <f>K1167</f>
        <v/>
      </c>
      <c r="Q1163" s="1931">
        <f>P1167</f>
        <v/>
      </c>
      <c r="R1163" s="1931">
        <f>Q1167</f>
        <v/>
      </c>
      <c r="S1163" s="1931">
        <f>R1167</f>
        <v/>
      </c>
      <c r="T1163" s="1931">
        <f>S1167</f>
        <v/>
      </c>
      <c r="U1163" s="1930">
        <f>P1167</f>
        <v/>
      </c>
      <c r="V1163" s="1931">
        <f>U1167</f>
        <v/>
      </c>
      <c r="W1163" s="1931">
        <f>V1167</f>
        <v/>
      </c>
      <c r="X1163" s="1931">
        <f>W1167</f>
        <v/>
      </c>
      <c r="Y1163" s="1931">
        <f>X1167</f>
        <v/>
      </c>
      <c r="Z1163" s="1930">
        <f>U1167</f>
        <v/>
      </c>
      <c r="AA1163" s="1931">
        <f>Z1167</f>
        <v/>
      </c>
      <c r="AB1163" s="1931">
        <f>AA1167</f>
        <v/>
      </c>
      <c r="AC1163" s="1931">
        <f>AB1167</f>
        <v/>
      </c>
      <c r="AD1163" s="1931">
        <f>AC1167</f>
        <v/>
      </c>
      <c r="AE1163" s="1930">
        <f>Z1167</f>
        <v/>
      </c>
      <c r="AF1163" s="1931">
        <f>AE1167</f>
        <v/>
      </c>
      <c r="AG1163" s="1931">
        <f>AF1167</f>
        <v/>
      </c>
      <c r="AH1163" s="1931">
        <f>AG1167</f>
        <v/>
      </c>
      <c r="AI1163" s="1931">
        <f>AH1167</f>
        <v/>
      </c>
      <c r="AJ1163" s="1930">
        <f>AE1167</f>
        <v/>
      </c>
      <c r="AK1163" s="1931">
        <f>AJ1167</f>
        <v/>
      </c>
      <c r="AL1163" s="1931">
        <f>AK1167</f>
        <v/>
      </c>
      <c r="AM1163" s="1931">
        <f>AL1167</f>
        <v/>
      </c>
      <c r="AN1163" s="1931">
        <f>AM1167</f>
        <v/>
      </c>
      <c r="AO1163" s="1930">
        <f>AJ1167</f>
        <v/>
      </c>
      <c r="AP1163" s="1931">
        <f>AO1167</f>
        <v/>
      </c>
      <c r="AQ1163" s="1931">
        <f>AP1167</f>
        <v/>
      </c>
      <c r="AR1163" s="1931">
        <f>AQ1167</f>
        <v/>
      </c>
      <c r="AS1163" s="1931">
        <f>AR1167</f>
        <v/>
      </c>
      <c r="AT1163" s="1930">
        <f>AO1167</f>
        <v/>
      </c>
      <c r="AU1163" s="1931">
        <f>AT1167</f>
        <v/>
      </c>
      <c r="AV1163" s="1931">
        <f>AU1167</f>
        <v/>
      </c>
      <c r="AW1163" s="1931">
        <f>AV1167</f>
        <v/>
      </c>
      <c r="AX1163" s="1931">
        <f>AW1167</f>
        <v/>
      </c>
      <c r="AY1163" s="1930">
        <f>AT1167</f>
        <v/>
      </c>
      <c r="AZ1163" s="1931">
        <f>AY1167</f>
        <v/>
      </c>
      <c r="BA1163" s="1931">
        <f>AZ1167</f>
        <v/>
      </c>
      <c r="BB1163" s="1931">
        <f>BA1167</f>
        <v/>
      </c>
      <c r="BC1163" s="1931">
        <f>BB1167</f>
        <v/>
      </c>
      <c r="BD1163" s="1930">
        <f>AY1167</f>
        <v/>
      </c>
      <c r="BE1163" s="1931">
        <f>BD1167</f>
        <v/>
      </c>
      <c r="BF1163" s="1931">
        <f>BE1167</f>
        <v/>
      </c>
      <c r="BG1163" s="1931">
        <f>BF1167</f>
        <v/>
      </c>
      <c r="BH1163" s="1931">
        <f>BG1167</f>
        <v/>
      </c>
      <c r="BI1163" s="1930">
        <f>BD1167</f>
        <v/>
      </c>
      <c r="BJ1163" s="1931">
        <f>BI1167</f>
        <v/>
      </c>
      <c r="BK1163" s="1931">
        <f>BJ1167</f>
        <v/>
      </c>
      <c r="BL1163" s="1931">
        <f>BK1167</f>
        <v/>
      </c>
      <c r="BM1163" s="1931">
        <f>BL1167</f>
        <v/>
      </c>
      <c r="BN1163" s="1930">
        <f>BI1167</f>
        <v/>
      </c>
      <c r="BO1163" s="1931">
        <f>BN1167</f>
        <v/>
      </c>
      <c r="BP1163" s="1931">
        <f>BO1167</f>
        <v/>
      </c>
      <c r="BQ1163" s="1932">
        <f>BP1167</f>
        <v/>
      </c>
      <c r="BR1163" s="1931">
        <f>BQ1167</f>
        <v/>
      </c>
      <c r="BS1163" s="1930">
        <f>BN1167</f>
        <v/>
      </c>
      <c r="BT1163" s="1931">
        <f>BS1167</f>
        <v/>
      </c>
      <c r="BU1163" s="1931">
        <f>BT1167</f>
        <v/>
      </c>
      <c r="BV1163" s="1931">
        <f>BU1167</f>
        <v/>
      </c>
      <c r="BW1163" s="1931">
        <f>BV1167</f>
        <v/>
      </c>
      <c r="BX1163" s="1930">
        <f>BS1167</f>
        <v/>
      </c>
      <c r="BY1163" s="1930">
        <f>BX1167</f>
        <v/>
      </c>
      <c r="BZ1163" s="1930">
        <f>BY1167</f>
        <v/>
      </c>
      <c r="CA1163" s="1930">
        <f>BZ1167</f>
        <v/>
      </c>
      <c r="CB1163" s="1375" t="n"/>
    </row>
    <row r="1164" ht="14.4" customFormat="1" customHeight="1" s="1372">
      <c r="A1164" s="1474" t="inlineStr">
        <is>
          <t>Depreciation of fixed assets, mm</t>
        </is>
      </c>
      <c r="B1164" s="1512" t="n"/>
      <c r="C1164" s="1554" t="n"/>
      <c r="D1164" s="1554">
        <f>-D165</f>
        <v/>
      </c>
      <c r="E1164" s="1554">
        <f>-E165</f>
        <v/>
      </c>
      <c r="F1164" s="1554">
        <f>-F165</f>
        <v/>
      </c>
      <c r="G1164" s="1553">
        <f>-G165</f>
        <v/>
      </c>
      <c r="H1164" s="1553">
        <f>-H165</f>
        <v/>
      </c>
      <c r="I1164" s="1553">
        <f>-I165</f>
        <v/>
      </c>
      <c r="J1164" s="1553">
        <f>-J165</f>
        <v/>
      </c>
      <c r="K1164" s="1554">
        <f>-K165</f>
        <v/>
      </c>
      <c r="L1164" s="1553">
        <f>-L165</f>
        <v/>
      </c>
      <c r="M1164" s="1553">
        <f>-M165</f>
        <v/>
      </c>
      <c r="N1164" s="1553">
        <f>-N165</f>
        <v/>
      </c>
      <c r="O1164" s="1553">
        <f>-O165</f>
        <v/>
      </c>
      <c r="P1164" s="1554">
        <f>-P165</f>
        <v/>
      </c>
      <c r="Q1164" s="1553">
        <f>-Q165</f>
        <v/>
      </c>
      <c r="R1164" s="1553">
        <f>-R165</f>
        <v/>
      </c>
      <c r="S1164" s="1553">
        <f>-S165</f>
        <v/>
      </c>
      <c r="T1164" s="1553">
        <f>-T165</f>
        <v/>
      </c>
      <c r="U1164" s="1554">
        <f>-U165</f>
        <v/>
      </c>
      <c r="V1164" s="1553">
        <f>-V165</f>
        <v/>
      </c>
      <c r="W1164" s="1553">
        <f>-W165</f>
        <v/>
      </c>
      <c r="X1164" s="1553">
        <f>-X165</f>
        <v/>
      </c>
      <c r="Y1164" s="1553">
        <f>-Y165</f>
        <v/>
      </c>
      <c r="Z1164" s="1554">
        <f>-Z165</f>
        <v/>
      </c>
      <c r="AA1164" s="1553">
        <f>-AA165</f>
        <v/>
      </c>
      <c r="AB1164" s="1553">
        <f>-AB165</f>
        <v/>
      </c>
      <c r="AC1164" s="1553">
        <f>-AC165</f>
        <v/>
      </c>
      <c r="AD1164" s="1553">
        <f>-AD165</f>
        <v/>
      </c>
      <c r="AE1164" s="1554">
        <f>-AE165</f>
        <v/>
      </c>
      <c r="AF1164" s="1553">
        <f>-AF165</f>
        <v/>
      </c>
      <c r="AG1164" s="1553">
        <f>-AG165</f>
        <v/>
      </c>
      <c r="AH1164" s="1553">
        <f>-AH165</f>
        <v/>
      </c>
      <c r="AI1164" s="1553">
        <f>-AI165</f>
        <v/>
      </c>
      <c r="AJ1164" s="1554">
        <f>-AJ165</f>
        <v/>
      </c>
      <c r="AK1164" s="1553">
        <f>-AK165</f>
        <v/>
      </c>
      <c r="AL1164" s="1553">
        <f>-AL165</f>
        <v/>
      </c>
      <c r="AM1164" s="1553">
        <f>-AM165</f>
        <v/>
      </c>
      <c r="AN1164" s="1553">
        <f>-AN165</f>
        <v/>
      </c>
      <c r="AO1164" s="1554">
        <f>-AO165</f>
        <v/>
      </c>
      <c r="AP1164" s="1553">
        <f>-AP165</f>
        <v/>
      </c>
      <c r="AQ1164" s="1553">
        <f>-AQ165</f>
        <v/>
      </c>
      <c r="AR1164" s="1553">
        <f>-AR165</f>
        <v/>
      </c>
      <c r="AS1164" s="1553">
        <f>-AS165</f>
        <v/>
      </c>
      <c r="AT1164" s="1554">
        <f>-AT165</f>
        <v/>
      </c>
      <c r="AU1164" s="1553">
        <f>-AU165</f>
        <v/>
      </c>
      <c r="AV1164" s="1553">
        <f>-AV165</f>
        <v/>
      </c>
      <c r="AW1164" s="1553">
        <f>-AW165</f>
        <v/>
      </c>
      <c r="AX1164" s="1553">
        <f>-AX165</f>
        <v/>
      </c>
      <c r="AY1164" s="1554">
        <f>-AY165</f>
        <v/>
      </c>
      <c r="AZ1164" s="1553">
        <f>-AZ165</f>
        <v/>
      </c>
      <c r="BA1164" s="1553">
        <f>-BA165</f>
        <v/>
      </c>
      <c r="BB1164" s="1553">
        <f>-BB165</f>
        <v/>
      </c>
      <c r="BC1164" s="1553">
        <f>-BC165</f>
        <v/>
      </c>
      <c r="BD1164" s="1554">
        <f>-BD165</f>
        <v/>
      </c>
      <c r="BE1164" s="1553">
        <f>-BE165</f>
        <v/>
      </c>
      <c r="BF1164" s="1553">
        <f>-BF165</f>
        <v/>
      </c>
      <c r="BG1164" s="1553">
        <f>-BG165</f>
        <v/>
      </c>
      <c r="BH1164" s="1553">
        <f>-BH165</f>
        <v/>
      </c>
      <c r="BI1164" s="1554">
        <f>-BI165</f>
        <v/>
      </c>
      <c r="BJ1164" s="1553">
        <f>-BJ165</f>
        <v/>
      </c>
      <c r="BK1164" s="1553">
        <f>-BK165</f>
        <v/>
      </c>
      <c r="BL1164" s="1553">
        <f>-BL165</f>
        <v/>
      </c>
      <c r="BM1164" s="1553">
        <f>-BM165</f>
        <v/>
      </c>
      <c r="BN1164" s="1554">
        <f>-BN165</f>
        <v/>
      </c>
      <c r="BO1164" s="1553">
        <f>-BO165</f>
        <v/>
      </c>
      <c r="BP1164" s="1553">
        <f>-BP165</f>
        <v/>
      </c>
      <c r="BQ1164" s="1556">
        <f>-BQ165</f>
        <v/>
      </c>
      <c r="BR1164" s="1553">
        <f>-BR1163*BR1178*BR3/BS3</f>
        <v/>
      </c>
      <c r="BS1164" s="1554">
        <f>IF(OR(ISBLANK(BO1164),ISBLANK(BP1164),ISBLANK(BQ1164),ISBLANK(BR1164)),"n/a",SUM(BO1164,BP1164,BQ1164,BR1164))</f>
        <v/>
      </c>
      <c r="BT1164" s="1553">
        <f>-BT1163*BT1178*BT3/BX3</f>
        <v/>
      </c>
      <c r="BU1164" s="1553">
        <f>-BU1163*BU1178*BU3/BX3</f>
        <v/>
      </c>
      <c r="BV1164" s="1553">
        <f>-BV1163*BV1178*BV3/BX3</f>
        <v/>
      </c>
      <c r="BW1164" s="1553">
        <f>-BW1163*BW1178*BW3/BX3</f>
        <v/>
      </c>
      <c r="BX1164" s="1554">
        <f>IF(OR(ISBLANK(BT1164),ISBLANK(BU1164),ISBLANK(BV1164),ISBLANK(BW1164)),"n/a",SUM(BT1164,BU1164,BV1164,BW1164))</f>
        <v/>
      </c>
      <c r="BY1164" s="1554">
        <f>-BY1163*BY1178</f>
        <v/>
      </c>
      <c r="BZ1164" s="1554">
        <f>-BZ1163*BZ1178</f>
        <v/>
      </c>
      <c r="CA1164" s="1554">
        <f>-CA1163*CA1178</f>
        <v/>
      </c>
      <c r="CB1164" s="1375" t="n"/>
    </row>
    <row r="1165" ht="14.4" customFormat="1" customHeight="1" s="1372">
      <c r="A1165" s="1474" t="inlineStr">
        <is>
          <t>Capex of PP&amp;E, mm</t>
        </is>
      </c>
      <c r="B1165" s="1512" t="n"/>
      <c r="C1165" s="1554" t="n"/>
      <c r="D1165" s="1554">
        <f>-D1122</f>
        <v/>
      </c>
      <c r="E1165" s="1554">
        <f>-E1122</f>
        <v/>
      </c>
      <c r="F1165" s="1554">
        <f>-F1122</f>
        <v/>
      </c>
      <c r="G1165" s="1553">
        <f>-G1122</f>
        <v/>
      </c>
      <c r="H1165" s="1553">
        <f>-H1122</f>
        <v/>
      </c>
      <c r="I1165" s="1553">
        <f>-I1122</f>
        <v/>
      </c>
      <c r="J1165" s="1553">
        <f>-J1122</f>
        <v/>
      </c>
      <c r="K1165" s="1554">
        <f>-K1122</f>
        <v/>
      </c>
      <c r="L1165" s="1553">
        <f>-L1122</f>
        <v/>
      </c>
      <c r="M1165" s="1553">
        <f>-M1122</f>
        <v/>
      </c>
      <c r="N1165" s="1553">
        <f>-N1122</f>
        <v/>
      </c>
      <c r="O1165" s="1553">
        <f>-O1122</f>
        <v/>
      </c>
      <c r="P1165" s="1554">
        <f>-P1122</f>
        <v/>
      </c>
      <c r="Q1165" s="1553">
        <f>-Q1122</f>
        <v/>
      </c>
      <c r="R1165" s="1553">
        <f>-R1122</f>
        <v/>
      </c>
      <c r="S1165" s="1553">
        <f>-S1122</f>
        <v/>
      </c>
      <c r="T1165" s="1553">
        <f>-T1122</f>
        <v/>
      </c>
      <c r="U1165" s="1554">
        <f>-U1122</f>
        <v/>
      </c>
      <c r="V1165" s="1553">
        <f>-V1122</f>
        <v/>
      </c>
      <c r="W1165" s="1553">
        <f>-W1122</f>
        <v/>
      </c>
      <c r="X1165" s="1553">
        <f>-X1122</f>
        <v/>
      </c>
      <c r="Y1165" s="1553">
        <f>-Y1122</f>
        <v/>
      </c>
      <c r="Z1165" s="1554">
        <f>-Z1122</f>
        <v/>
      </c>
      <c r="AA1165" s="1553">
        <f>-AA1122</f>
        <v/>
      </c>
      <c r="AB1165" s="1553">
        <f>-AB1122</f>
        <v/>
      </c>
      <c r="AC1165" s="1553">
        <f>-AC1122</f>
        <v/>
      </c>
      <c r="AD1165" s="1553">
        <f>-AD1122</f>
        <v/>
      </c>
      <c r="AE1165" s="1554">
        <f>-AE1122</f>
        <v/>
      </c>
      <c r="AF1165" s="1553">
        <f>-AF1122</f>
        <v/>
      </c>
      <c r="AG1165" s="1553">
        <f>-AG1122</f>
        <v/>
      </c>
      <c r="AH1165" s="1553">
        <f>-AH1122</f>
        <v/>
      </c>
      <c r="AI1165" s="1553">
        <f>-AI1122</f>
        <v/>
      </c>
      <c r="AJ1165" s="1554">
        <f>-AJ1122</f>
        <v/>
      </c>
      <c r="AK1165" s="1553">
        <f>-AK1122</f>
        <v/>
      </c>
      <c r="AL1165" s="1553">
        <f>-AL1122</f>
        <v/>
      </c>
      <c r="AM1165" s="1553">
        <f>-AM1122</f>
        <v/>
      </c>
      <c r="AN1165" s="1553">
        <f>-AN1122</f>
        <v/>
      </c>
      <c r="AO1165" s="1554">
        <f>-AO1122</f>
        <v/>
      </c>
      <c r="AP1165" s="1553">
        <f>-AP1122</f>
        <v/>
      </c>
      <c r="AQ1165" s="1553">
        <f>-AQ1122</f>
        <v/>
      </c>
      <c r="AR1165" s="1553">
        <f>-AR1122</f>
        <v/>
      </c>
      <c r="AS1165" s="1553">
        <f>-AS1122</f>
        <v/>
      </c>
      <c r="AT1165" s="1554">
        <f>-AT1122</f>
        <v/>
      </c>
      <c r="AU1165" s="1553">
        <f>-AU1122</f>
        <v/>
      </c>
      <c r="AV1165" s="1553">
        <f>-AV1122</f>
        <v/>
      </c>
      <c r="AW1165" s="1553">
        <f>-AW1122</f>
        <v/>
      </c>
      <c r="AX1165" s="1553">
        <f>-AX1122</f>
        <v/>
      </c>
      <c r="AY1165" s="1554">
        <f>-AY1122</f>
        <v/>
      </c>
      <c r="AZ1165" s="1553">
        <f>-AZ1122</f>
        <v/>
      </c>
      <c r="BA1165" s="1553">
        <f>-BA1122</f>
        <v/>
      </c>
      <c r="BB1165" s="1553">
        <f>-BB1122</f>
        <v/>
      </c>
      <c r="BC1165" s="1553">
        <f>-BC1122</f>
        <v/>
      </c>
      <c r="BD1165" s="1554">
        <f>-BD1122</f>
        <v/>
      </c>
      <c r="BE1165" s="1553">
        <f>-BE1122</f>
        <v/>
      </c>
      <c r="BF1165" s="1553">
        <f>-BF1122</f>
        <v/>
      </c>
      <c r="BG1165" s="1553">
        <f>-BG1122</f>
        <v/>
      </c>
      <c r="BH1165" s="1553">
        <f>-BH1122</f>
        <v/>
      </c>
      <c r="BI1165" s="1554">
        <f>-BI1122</f>
        <v/>
      </c>
      <c r="BJ1165" s="1553">
        <f>-BJ1122</f>
        <v/>
      </c>
      <c r="BK1165" s="1553">
        <f>-BK1122</f>
        <v/>
      </c>
      <c r="BL1165" s="1553">
        <f>-BL1122</f>
        <v/>
      </c>
      <c r="BM1165" s="1553">
        <f>-BM1122</f>
        <v/>
      </c>
      <c r="BN1165" s="1554">
        <f>-BN1122</f>
        <v/>
      </c>
      <c r="BO1165" s="1553">
        <f>-BO1122</f>
        <v/>
      </c>
      <c r="BP1165" s="1553">
        <f>-BP1122</f>
        <v/>
      </c>
      <c r="BQ1165" s="1556">
        <f>-BQ1122</f>
        <v/>
      </c>
      <c r="BR1165" s="1553">
        <f>BR1184*BR1185+BR1188*BR1189</f>
        <v/>
      </c>
      <c r="BS1165" s="1554">
        <f>IF(OR(ISBLANK(BO1165),ISBLANK(BP1165),ISBLANK(BQ1165),ISBLANK(BR1165)),"n/a",SUM(BO1165,BP1165,BQ1165,BR1165))</f>
        <v/>
      </c>
      <c r="BT1165" s="1553">
        <f>BT1184*BT1185+BT1188*BT1189</f>
        <v/>
      </c>
      <c r="BU1165" s="1553">
        <f>BU1184*BU1185+BU1188*BU1189</f>
        <v/>
      </c>
      <c r="BV1165" s="1553">
        <f>BV1184*BV1185+BV1188*BV1189</f>
        <v/>
      </c>
      <c r="BW1165" s="1553">
        <f>BW1184*BW1185+BW1188*BW1189</f>
        <v/>
      </c>
      <c r="BX1165" s="1554">
        <f>IF(OR(ISBLANK(BT1165),ISBLANK(BU1165),ISBLANK(BV1165),ISBLANK(BW1165)),"n/a",SUM(BT1165,BU1165,BV1165,BW1165))</f>
        <v/>
      </c>
      <c r="BY1165" s="1554">
        <f>BY1184*BY1185+BY1188*BY1189</f>
        <v/>
      </c>
      <c r="BZ1165" s="1554">
        <f>BZ1184*BZ1185+BZ1188*BZ1189</f>
        <v/>
      </c>
      <c r="CA1165" s="1554">
        <f>CA1184*CA1185+CA1188*CA1189</f>
        <v/>
      </c>
      <c r="CB1165" s="1375" t="n"/>
    </row>
    <row r="1166" ht="14.4" customFormat="1" customHeight="1" s="1372">
      <c r="A1166" s="1474" t="inlineStr">
        <is>
          <t>Other net additions to PP&amp;E, mm</t>
        </is>
      </c>
      <c r="B1166" s="1512" t="n"/>
      <c r="C1166" s="1554" t="n"/>
      <c r="D1166" s="1554">
        <f>ROUND(D1167-D1163-D1164-D1165,6)</f>
        <v/>
      </c>
      <c r="E1166" s="1554">
        <f>ROUND(E1167-E1163-E1164-E1165,6)</f>
        <v/>
      </c>
      <c r="F1166" s="1554">
        <f>ROUND(F1167-F1163-F1164-F1165,6)</f>
        <v/>
      </c>
      <c r="G1166" s="1553">
        <f>ROUND(G1167-G1163-G1164-G1165,6)</f>
        <v/>
      </c>
      <c r="H1166" s="1553">
        <f>ROUND(H1167-H1163-H1164-H1165,6)</f>
        <v/>
      </c>
      <c r="I1166" s="1553">
        <f>ROUND(I1167-I1163-I1164-I1165,6)</f>
        <v/>
      </c>
      <c r="J1166" s="1553">
        <f>ROUND(J1167-J1163-J1164-J1165,6)</f>
        <v/>
      </c>
      <c r="K1166" s="1554">
        <f>ROUND(K1167-K1163-K1164-K1165,6)</f>
        <v/>
      </c>
      <c r="L1166" s="1553">
        <f>ROUND(L1167-L1163-L1164-L1165,6)</f>
        <v/>
      </c>
      <c r="M1166" s="1553">
        <f>ROUND(M1167-M1163-M1164-M1165,6)</f>
        <v/>
      </c>
      <c r="N1166" s="1553">
        <f>ROUND(N1167-N1163-N1164-N1165,6)</f>
        <v/>
      </c>
      <c r="O1166" s="1553">
        <f>ROUND(O1167-O1163-O1164-O1165,6)</f>
        <v/>
      </c>
      <c r="P1166" s="1554">
        <f>ROUND(P1167-P1163-P1164-P1165,6)</f>
        <v/>
      </c>
      <c r="Q1166" s="1553">
        <f>ROUND(Q1167-Q1163-Q1164-Q1165,6)</f>
        <v/>
      </c>
      <c r="R1166" s="1553">
        <f>ROUND(R1167-R1163-R1164-R1165,6)</f>
        <v/>
      </c>
      <c r="S1166" s="1553">
        <f>ROUND(S1167-S1163-S1164-S1165,6)</f>
        <v/>
      </c>
      <c r="T1166" s="1553">
        <f>ROUND(T1167-T1163-T1164-T1165,6)</f>
        <v/>
      </c>
      <c r="U1166" s="1554">
        <f>ROUND(U1167-U1163-U1164-U1165,6)</f>
        <v/>
      </c>
      <c r="V1166" s="1553">
        <f>ROUND(V1167-V1163-V1164-V1165,6)</f>
        <v/>
      </c>
      <c r="W1166" s="1553">
        <f>ROUND(W1167-W1163-W1164-W1165,6)</f>
        <v/>
      </c>
      <c r="X1166" s="1553">
        <f>ROUND(X1167-X1163-X1164-X1165,6)</f>
        <v/>
      </c>
      <c r="Y1166" s="1553">
        <f>ROUND(Y1167-Y1163-Y1164-Y1165,6)</f>
        <v/>
      </c>
      <c r="Z1166" s="1554">
        <f>ROUND(Z1167-Z1163-Z1164-Z1165,6)</f>
        <v/>
      </c>
      <c r="AA1166" s="1553">
        <f>ROUND(AA1167-AA1163-AA1164-AA1165,6)</f>
        <v/>
      </c>
      <c r="AB1166" s="1553">
        <f>ROUND(AB1167-AB1163-AB1164-AB1165,6)</f>
        <v/>
      </c>
      <c r="AC1166" s="1553">
        <f>ROUND(AC1167-AC1163-AC1164-AC1165,6)</f>
        <v/>
      </c>
      <c r="AD1166" s="1553">
        <f>ROUND(AD1167-AD1163-AD1164-AD1165,6)</f>
        <v/>
      </c>
      <c r="AE1166" s="1554">
        <f>ROUND(AE1167-AE1163-AE1164-AE1165,6)</f>
        <v/>
      </c>
      <c r="AF1166" s="1553">
        <f>ROUND(AF1167-AF1163-AF1164-AF1165,6)</f>
        <v/>
      </c>
      <c r="AG1166" s="1553">
        <f>ROUND(AG1167-AG1163-AG1164-AG1165,6)</f>
        <v/>
      </c>
      <c r="AH1166" s="1553">
        <f>ROUND(AH1167-AH1163-AH1164-AH1165,6)</f>
        <v/>
      </c>
      <c r="AI1166" s="1553">
        <f>ROUND(AI1167-AI1163-AI1164-AI1165,6)</f>
        <v/>
      </c>
      <c r="AJ1166" s="1554">
        <f>ROUND(AJ1167-AJ1163-AJ1164-AJ1165,6)</f>
        <v/>
      </c>
      <c r="AK1166" s="1553">
        <f>ROUND(AK1167-AK1163-AK1164-AK1165,6)</f>
        <v/>
      </c>
      <c r="AL1166" s="1553">
        <f>ROUND(AL1167-AL1163-AL1164-AL1165,6)</f>
        <v/>
      </c>
      <c r="AM1166" s="1553">
        <f>ROUND(AM1167-AM1163-AM1164-AM1165,6)</f>
        <v/>
      </c>
      <c r="AN1166" s="1553">
        <f>ROUND(AN1167-AN1163-AN1164-AN1165,6)</f>
        <v/>
      </c>
      <c r="AO1166" s="1554">
        <f>ROUND(AO1167-AO1163-AO1164-AO1165,6)</f>
        <v/>
      </c>
      <c r="AP1166" s="1553">
        <f>ROUND(AP1167-AP1163-AP1164-AP1165,6)</f>
        <v/>
      </c>
      <c r="AQ1166" s="1553">
        <f>ROUND(AQ1167-AQ1163-AQ1164-AQ1165,6)</f>
        <v/>
      </c>
      <c r="AR1166" s="1553">
        <f>ROUND(AR1167-AR1163-AR1164-AR1165,6)</f>
        <v/>
      </c>
      <c r="AS1166" s="1553">
        <f>ROUND(AS1167-AS1163-AS1164-AS1165,6)</f>
        <v/>
      </c>
      <c r="AT1166" s="1554">
        <f>ROUND(AT1167-AT1163-AT1164-AT1165,6)</f>
        <v/>
      </c>
      <c r="AU1166" s="1553">
        <f>ROUND(AU1167-AU1163-AU1164-AU1165,6)</f>
        <v/>
      </c>
      <c r="AV1166" s="1553">
        <f>ROUND(AV1167-AV1163-AV1164-AV1165,6)</f>
        <v/>
      </c>
      <c r="AW1166" s="1553">
        <f>ROUND(AW1167-AW1163-AW1164-AW1165,6)</f>
        <v/>
      </c>
      <c r="AX1166" s="1553">
        <f>ROUND(AX1167-AX1163-AX1164-AX1165,6)</f>
        <v/>
      </c>
      <c r="AY1166" s="1554">
        <f>ROUND(AY1167-AY1163-AY1164-AY1165,6)</f>
        <v/>
      </c>
      <c r="AZ1166" s="1553">
        <f>ROUND(AZ1167-AZ1163-AZ1164-AZ1165,6)</f>
        <v/>
      </c>
      <c r="BA1166" s="1553">
        <f>ROUND(BA1167-BA1163-BA1164-BA1165,6)</f>
        <v/>
      </c>
      <c r="BB1166" s="1553">
        <f>ROUND(BB1167-BB1163-BB1164-BB1165,6)</f>
        <v/>
      </c>
      <c r="BC1166" s="1553">
        <f>ROUND(BC1167-BC1163-BC1164-BC1165,6)</f>
        <v/>
      </c>
      <c r="BD1166" s="1554">
        <f>ROUND(BD1167-BD1163-BD1164-BD1165,6)</f>
        <v/>
      </c>
      <c r="BE1166" s="1553">
        <f>ROUND(BE1167-BE1163-BE1164-BE1165,6)</f>
        <v/>
      </c>
      <c r="BF1166" s="1553">
        <f>ROUND(BF1167-BF1163-BF1164-BF1165,6)</f>
        <v/>
      </c>
      <c r="BG1166" s="1553">
        <f>ROUND(BG1167-BG1163-BG1164-BG1165,6)</f>
        <v/>
      </c>
      <c r="BH1166" s="1553">
        <f>ROUND(BH1167-BH1163-BH1164-BH1165,6)</f>
        <v/>
      </c>
      <c r="BI1166" s="1554">
        <f>ROUND(BI1167-BI1163-BI1164-BI1165,6)</f>
        <v/>
      </c>
      <c r="BJ1166" s="1553">
        <f>ROUND(BJ1167-BJ1163-BJ1164-BJ1165,6)</f>
        <v/>
      </c>
      <c r="BK1166" s="1553">
        <f>ROUND(BK1167-BK1163-BK1164-BK1165,6)</f>
        <v/>
      </c>
      <c r="BL1166" s="1553">
        <f>ROUND(BL1167-BL1163-BL1164-BL1165,6)</f>
        <v/>
      </c>
      <c r="BM1166" s="1553">
        <f>ROUND(BM1167-BM1163-BM1164-BM1165,6)</f>
        <v/>
      </c>
      <c r="BN1166" s="1554">
        <f>ROUND(BN1167-BN1163-BN1164-BN1165,6)</f>
        <v/>
      </c>
      <c r="BO1166" s="1553">
        <f>ROUND(BO1167-BO1163-BO1164-BO1165,6)</f>
        <v/>
      </c>
      <c r="BP1166" s="1553">
        <f>ROUND(BP1167-BP1163-BP1164-BP1165,6)</f>
        <v/>
      </c>
      <c r="BQ1166" s="1556">
        <f>ROUND(BQ1167-BQ1163-BQ1164-BQ1165,6)</f>
        <v/>
      </c>
      <c r="BR1166" s="1553">
        <f>ROUND(BR1167-BR1163-BR1164-BR1165,6)</f>
        <v/>
      </c>
      <c r="BS1166" s="1554">
        <f>ROUND(BS1167-BS1163-IF(ISNUMBER(BS1164),BS1164,0)-IF(ISNUMBER(BS1165),BS1165,0),6)</f>
        <v/>
      </c>
      <c r="BT1166" s="1553">
        <f>ROUND(BT1167-BT1163-BT1164-BT1165,6)</f>
        <v/>
      </c>
      <c r="BU1166" s="1553">
        <f>ROUND(BU1167-BU1163-BU1164-BU1165,6)</f>
        <v/>
      </c>
      <c r="BV1166" s="1553">
        <f>ROUND(BV1167-BV1163-BV1164-BV1165,6)</f>
        <v/>
      </c>
      <c r="BW1166" s="1553">
        <f>ROUND(BW1167-BW1163-BW1164-BW1165,6)</f>
        <v/>
      </c>
      <c r="BX1166" s="1554">
        <f>ROUND(BX1167-BX1163-IF(ISNUMBER(BX1164),BX1164,0)-IF(ISNUMBER(BX1165),BX1165,0),6)</f>
        <v/>
      </c>
      <c r="BY1166" s="1554">
        <f>ROUND(BY1167-BY1163-BY1164-BY1165,6)</f>
        <v/>
      </c>
      <c r="BZ1166" s="1554">
        <f>ROUND(BZ1167-BZ1163-BZ1164-BZ1165,6)</f>
        <v/>
      </c>
      <c r="CA1166" s="1554">
        <f>ROUND(CA1167-CA1163-CA1164-CA1165,6)</f>
        <v/>
      </c>
      <c r="CB1166" s="1375" t="n"/>
    </row>
    <row r="1167" ht="14.4" customFormat="1" customHeight="1" s="1372">
      <c r="A1167" s="1933" t="inlineStr">
        <is>
          <t>PP&amp;E EoP, mm</t>
        </is>
      </c>
      <c r="B1167" s="1756" t="n"/>
      <c r="C1167" s="1934">
        <f>C1214</f>
        <v/>
      </c>
      <c r="D1167" s="1934">
        <f>D1214</f>
        <v/>
      </c>
      <c r="E1167" s="1934">
        <f>E1214</f>
        <v/>
      </c>
      <c r="F1167" s="1934">
        <f>F1214</f>
        <v/>
      </c>
      <c r="G1167" s="1935">
        <f>G1214</f>
        <v/>
      </c>
      <c r="H1167" s="1935">
        <f>H1214</f>
        <v/>
      </c>
      <c r="I1167" s="1935">
        <f>I1214</f>
        <v/>
      </c>
      <c r="J1167" s="1935">
        <f>J1214</f>
        <v/>
      </c>
      <c r="K1167" s="1934">
        <f>K1214</f>
        <v/>
      </c>
      <c r="L1167" s="1935">
        <f>L1214</f>
        <v/>
      </c>
      <c r="M1167" s="1935">
        <f>M1214</f>
        <v/>
      </c>
      <c r="N1167" s="1935">
        <f>N1214</f>
        <v/>
      </c>
      <c r="O1167" s="1935">
        <f>O1214</f>
        <v/>
      </c>
      <c r="P1167" s="1934">
        <f>P1214</f>
        <v/>
      </c>
      <c r="Q1167" s="1935">
        <f>Q1214</f>
        <v/>
      </c>
      <c r="R1167" s="1935">
        <f>R1214</f>
        <v/>
      </c>
      <c r="S1167" s="1935">
        <f>S1214</f>
        <v/>
      </c>
      <c r="T1167" s="1935">
        <f>T1214</f>
        <v/>
      </c>
      <c r="U1167" s="1934">
        <f>U1214</f>
        <v/>
      </c>
      <c r="V1167" s="1935">
        <f>V1214</f>
        <v/>
      </c>
      <c r="W1167" s="1935">
        <f>W1214</f>
        <v/>
      </c>
      <c r="X1167" s="1935">
        <f>X1214</f>
        <v/>
      </c>
      <c r="Y1167" s="1935">
        <f>Y1214</f>
        <v/>
      </c>
      <c r="Z1167" s="1934">
        <f>Z1214</f>
        <v/>
      </c>
      <c r="AA1167" s="1935">
        <f>AA1214</f>
        <v/>
      </c>
      <c r="AB1167" s="1935">
        <f>AB1214</f>
        <v/>
      </c>
      <c r="AC1167" s="1935">
        <f>AC1214</f>
        <v/>
      </c>
      <c r="AD1167" s="1935">
        <f>AD1214</f>
        <v/>
      </c>
      <c r="AE1167" s="1934">
        <f>AE1214</f>
        <v/>
      </c>
      <c r="AF1167" s="1935">
        <f>AF1214</f>
        <v/>
      </c>
      <c r="AG1167" s="1935">
        <f>AG1214</f>
        <v/>
      </c>
      <c r="AH1167" s="1935">
        <f>AH1214</f>
        <v/>
      </c>
      <c r="AI1167" s="1935">
        <f>AI1214</f>
        <v/>
      </c>
      <c r="AJ1167" s="1934">
        <f>AJ1214</f>
        <v/>
      </c>
      <c r="AK1167" s="1935">
        <f>AK1214</f>
        <v/>
      </c>
      <c r="AL1167" s="1935">
        <f>AL1214</f>
        <v/>
      </c>
      <c r="AM1167" s="1935">
        <f>AM1214</f>
        <v/>
      </c>
      <c r="AN1167" s="1935">
        <f>AN1214</f>
        <v/>
      </c>
      <c r="AO1167" s="1934">
        <f>AO1214</f>
        <v/>
      </c>
      <c r="AP1167" s="1935">
        <f>AP1214</f>
        <v/>
      </c>
      <c r="AQ1167" s="1935">
        <f>AQ1214</f>
        <v/>
      </c>
      <c r="AR1167" s="1935">
        <f>AR1214</f>
        <v/>
      </c>
      <c r="AS1167" s="1935">
        <f>AS1214</f>
        <v/>
      </c>
      <c r="AT1167" s="1934">
        <f>AT1214</f>
        <v/>
      </c>
      <c r="AU1167" s="1935">
        <f>AU1214</f>
        <v/>
      </c>
      <c r="AV1167" s="1935">
        <f>AV1214</f>
        <v/>
      </c>
      <c r="AW1167" s="1935">
        <f>AW1214</f>
        <v/>
      </c>
      <c r="AX1167" s="1935">
        <f>AX1214</f>
        <v/>
      </c>
      <c r="AY1167" s="1934">
        <f>AY1214</f>
        <v/>
      </c>
      <c r="AZ1167" s="1935">
        <f>AZ1214</f>
        <v/>
      </c>
      <c r="BA1167" s="1935">
        <f>BA1214</f>
        <v/>
      </c>
      <c r="BB1167" s="1935">
        <f>BB1214</f>
        <v/>
      </c>
      <c r="BC1167" s="1935">
        <f>BC1214</f>
        <v/>
      </c>
      <c r="BD1167" s="1934">
        <f>BD1214</f>
        <v/>
      </c>
      <c r="BE1167" s="1935">
        <f>BE1214</f>
        <v/>
      </c>
      <c r="BF1167" s="1935">
        <f>BF1214</f>
        <v/>
      </c>
      <c r="BG1167" s="1935">
        <f>BG1214</f>
        <v/>
      </c>
      <c r="BH1167" s="1935">
        <f>BH1214</f>
        <v/>
      </c>
      <c r="BI1167" s="1934">
        <f>BI1214</f>
        <v/>
      </c>
      <c r="BJ1167" s="1935">
        <f>BJ1214</f>
        <v/>
      </c>
      <c r="BK1167" s="1935">
        <f>BK1214</f>
        <v/>
      </c>
      <c r="BL1167" s="1935">
        <f>BL1214</f>
        <v/>
      </c>
      <c r="BM1167" s="1935">
        <f>BM1214</f>
        <v/>
      </c>
      <c r="BN1167" s="1934">
        <f>BN1214</f>
        <v/>
      </c>
      <c r="BO1167" s="1935">
        <f>BO1214</f>
        <v/>
      </c>
      <c r="BP1167" s="1935">
        <f>BP1214</f>
        <v/>
      </c>
      <c r="BQ1167" s="1936">
        <f>BQ1214</f>
        <v/>
      </c>
      <c r="BR1167" s="1935">
        <f>BR1214</f>
        <v/>
      </c>
      <c r="BS1167" s="1934">
        <f>BS1214</f>
        <v/>
      </c>
      <c r="BT1167" s="1935">
        <f>BT1214</f>
        <v/>
      </c>
      <c r="BU1167" s="1935">
        <f>BU1214</f>
        <v/>
      </c>
      <c r="BV1167" s="1935">
        <f>BV1214</f>
        <v/>
      </c>
      <c r="BW1167" s="1935">
        <f>BW1214</f>
        <v/>
      </c>
      <c r="BX1167" s="1934">
        <f>BX1214</f>
        <v/>
      </c>
      <c r="BY1167" s="1934">
        <f>BY1214</f>
        <v/>
      </c>
      <c r="BZ1167" s="1934">
        <f>BZ1214</f>
        <v/>
      </c>
      <c r="CA1167" s="1934">
        <f>CA1214</f>
        <v/>
      </c>
      <c r="CB1167" s="1375" t="n"/>
    </row>
    <row r="1168" ht="14.4" customFormat="1" customHeight="1" s="1372">
      <c r="A1168" s="1474" t="n"/>
      <c r="B1168" s="1512" t="n"/>
      <c r="C1168" s="1554" t="n"/>
      <c r="D1168" s="1554" t="n"/>
      <c r="E1168" s="1554" t="n"/>
      <c r="F1168" s="1554" t="n"/>
      <c r="G1168" s="1553" t="n"/>
      <c r="H1168" s="1553" t="n"/>
      <c r="I1168" s="1553" t="n"/>
      <c r="J1168" s="1553" t="n"/>
      <c r="K1168" s="1554" t="n"/>
      <c r="L1168" s="1553" t="n"/>
      <c r="M1168" s="1553" t="n"/>
      <c r="N1168" s="1553" t="n"/>
      <c r="O1168" s="1553" t="n"/>
      <c r="P1168" s="1554" t="n"/>
      <c r="Q1168" s="1553" t="n"/>
      <c r="R1168" s="1553" t="n"/>
      <c r="S1168" s="1553" t="n"/>
      <c r="T1168" s="1553" t="n"/>
      <c r="U1168" s="1554" t="n"/>
      <c r="V1168" s="1553" t="n"/>
      <c r="W1168" s="1553" t="n"/>
      <c r="X1168" s="1553" t="n"/>
      <c r="Y1168" s="1553" t="n"/>
      <c r="Z1168" s="1554" t="n"/>
      <c r="AA1168" s="1553" t="n"/>
      <c r="AB1168" s="1553" t="n"/>
      <c r="AC1168" s="1553" t="n"/>
      <c r="AD1168" s="1553" t="n"/>
      <c r="AE1168" s="1554" t="n"/>
      <c r="AF1168" s="1553" t="n"/>
      <c r="AG1168" s="1553" t="n"/>
      <c r="AH1168" s="1553" t="n"/>
      <c r="AI1168" s="1553" t="n"/>
      <c r="AJ1168" s="1554" t="n"/>
      <c r="AK1168" s="1553" t="n"/>
      <c r="AL1168" s="1553" t="n"/>
      <c r="AM1168" s="1553" t="n"/>
      <c r="AN1168" s="1553" t="n"/>
      <c r="AO1168" s="1554" t="n"/>
      <c r="AP1168" s="1553" t="n"/>
      <c r="AQ1168" s="1553" t="n"/>
      <c r="AR1168" s="1553" t="n"/>
      <c r="AS1168" s="1553" t="n"/>
      <c r="AT1168" s="1554" t="n"/>
      <c r="AU1168" s="1553" t="n"/>
      <c r="AV1168" s="1553" t="n"/>
      <c r="AW1168" s="1553" t="n"/>
      <c r="AX1168" s="1553" t="n"/>
      <c r="AY1168" s="1554" t="n"/>
      <c r="AZ1168" s="1553" t="n"/>
      <c r="BA1168" s="1553" t="n"/>
      <c r="BB1168" s="1553" t="n"/>
      <c r="BC1168" s="1553" t="n"/>
      <c r="BD1168" s="1554" t="n"/>
      <c r="BE1168" s="1553" t="n"/>
      <c r="BF1168" s="1553" t="n"/>
      <c r="BG1168" s="1553" t="n"/>
      <c r="BH1168" s="1553" t="n"/>
      <c r="BI1168" s="1554" t="n"/>
      <c r="BJ1168" s="1553" t="n"/>
      <c r="BK1168" s="1553" t="n"/>
      <c r="BL1168" s="1553" t="n"/>
      <c r="BM1168" s="1553" t="n"/>
      <c r="BN1168" s="1554" t="n"/>
      <c r="BO1168" s="1553" t="n"/>
      <c r="BP1168" s="1553" t="n"/>
      <c r="BQ1168" s="1556" t="n"/>
      <c r="BR1168" s="1553" t="n"/>
      <c r="BS1168" s="1554" t="n"/>
      <c r="BT1168" s="1553" t="n"/>
      <c r="BU1168" s="1553" t="n"/>
      <c r="BV1168" s="1553" t="n"/>
      <c r="BW1168" s="1553" t="n"/>
      <c r="BX1168" s="1554" t="n"/>
      <c r="BY1168" s="1554" t="n"/>
      <c r="BZ1168" s="1554" t="n"/>
      <c r="CA1168" s="1554" t="n"/>
      <c r="CB1168" s="1375" t="n"/>
    </row>
    <row r="1169" ht="14.4" customFormat="1" customHeight="1" s="1372">
      <c r="A1169" s="1447" t="inlineStr">
        <is>
          <t>Intangibles BoP, mm</t>
        </is>
      </c>
      <c r="B1169" s="1517" t="n"/>
      <c r="C1169" s="1930" t="n"/>
      <c r="D1169" s="1930">
        <f>C1173</f>
        <v/>
      </c>
      <c r="E1169" s="1930">
        <f>D1173</f>
        <v/>
      </c>
      <c r="F1169" s="1930">
        <f>E1173</f>
        <v/>
      </c>
      <c r="G1169" s="1931">
        <f>F1173</f>
        <v/>
      </c>
      <c r="H1169" s="1931">
        <f>G1173</f>
        <v/>
      </c>
      <c r="I1169" s="1931">
        <f>H1173</f>
        <v/>
      </c>
      <c r="J1169" s="1931">
        <f>I1173</f>
        <v/>
      </c>
      <c r="K1169" s="1930">
        <f>F1173</f>
        <v/>
      </c>
      <c r="L1169" s="1931">
        <f>K1173</f>
        <v/>
      </c>
      <c r="M1169" s="1931">
        <f>L1173</f>
        <v/>
      </c>
      <c r="N1169" s="1931">
        <f>M1173</f>
        <v/>
      </c>
      <c r="O1169" s="1931">
        <f>N1173</f>
        <v/>
      </c>
      <c r="P1169" s="1930">
        <f>K1173</f>
        <v/>
      </c>
      <c r="Q1169" s="1931">
        <f>P1173</f>
        <v/>
      </c>
      <c r="R1169" s="1931">
        <f>Q1173</f>
        <v/>
      </c>
      <c r="S1169" s="1931">
        <f>R1173</f>
        <v/>
      </c>
      <c r="T1169" s="1931">
        <f>S1173</f>
        <v/>
      </c>
      <c r="U1169" s="1930">
        <f>P1173</f>
        <v/>
      </c>
      <c r="V1169" s="1931">
        <f>U1173</f>
        <v/>
      </c>
      <c r="W1169" s="1931">
        <f>V1173</f>
        <v/>
      </c>
      <c r="X1169" s="1931">
        <f>W1173</f>
        <v/>
      </c>
      <c r="Y1169" s="1931">
        <f>X1173</f>
        <v/>
      </c>
      <c r="Z1169" s="1930">
        <f>U1173</f>
        <v/>
      </c>
      <c r="AA1169" s="1931">
        <f>Z1173</f>
        <v/>
      </c>
      <c r="AB1169" s="1931">
        <f>AA1173</f>
        <v/>
      </c>
      <c r="AC1169" s="1931">
        <f>AB1173</f>
        <v/>
      </c>
      <c r="AD1169" s="1931">
        <f>AC1173</f>
        <v/>
      </c>
      <c r="AE1169" s="1930">
        <f>Z1173</f>
        <v/>
      </c>
      <c r="AF1169" s="1931">
        <f>AE1173</f>
        <v/>
      </c>
      <c r="AG1169" s="1931">
        <f>AF1173</f>
        <v/>
      </c>
      <c r="AH1169" s="1931">
        <f>AG1173</f>
        <v/>
      </c>
      <c r="AI1169" s="1931">
        <f>AH1173</f>
        <v/>
      </c>
      <c r="AJ1169" s="1930">
        <f>AE1173</f>
        <v/>
      </c>
      <c r="AK1169" s="1931">
        <f>AJ1173</f>
        <v/>
      </c>
      <c r="AL1169" s="1931">
        <f>AK1173</f>
        <v/>
      </c>
      <c r="AM1169" s="1931">
        <f>AL1173</f>
        <v/>
      </c>
      <c r="AN1169" s="1931">
        <f>AM1173</f>
        <v/>
      </c>
      <c r="AO1169" s="1930">
        <f>AJ1173</f>
        <v/>
      </c>
      <c r="AP1169" s="1931">
        <f>AO1173</f>
        <v/>
      </c>
      <c r="AQ1169" s="1931">
        <f>AP1173</f>
        <v/>
      </c>
      <c r="AR1169" s="1931">
        <f>AQ1173</f>
        <v/>
      </c>
      <c r="AS1169" s="1931">
        <f>AR1173</f>
        <v/>
      </c>
      <c r="AT1169" s="1930">
        <f>AO1173</f>
        <v/>
      </c>
      <c r="AU1169" s="1931">
        <f>AT1173</f>
        <v/>
      </c>
      <c r="AV1169" s="1931">
        <f>AU1173</f>
        <v/>
      </c>
      <c r="AW1169" s="1931">
        <f>AV1173</f>
        <v/>
      </c>
      <c r="AX1169" s="1931">
        <f>AW1173</f>
        <v/>
      </c>
      <c r="AY1169" s="1930">
        <f>AT1173</f>
        <v/>
      </c>
      <c r="AZ1169" s="1931">
        <f>AY1173</f>
        <v/>
      </c>
      <c r="BA1169" s="1931">
        <f>AZ1173</f>
        <v/>
      </c>
      <c r="BB1169" s="1931">
        <f>BA1173</f>
        <v/>
      </c>
      <c r="BC1169" s="1931">
        <f>BB1173</f>
        <v/>
      </c>
      <c r="BD1169" s="1930">
        <f>AY1173</f>
        <v/>
      </c>
      <c r="BE1169" s="1931">
        <f>BD1173</f>
        <v/>
      </c>
      <c r="BF1169" s="1931">
        <f>BE1173</f>
        <v/>
      </c>
      <c r="BG1169" s="1931">
        <f>BF1173</f>
        <v/>
      </c>
      <c r="BH1169" s="1931">
        <f>BG1173</f>
        <v/>
      </c>
      <c r="BI1169" s="1930">
        <f>BD1173</f>
        <v/>
      </c>
      <c r="BJ1169" s="1931">
        <f>BI1173</f>
        <v/>
      </c>
      <c r="BK1169" s="1931">
        <f>BJ1173</f>
        <v/>
      </c>
      <c r="BL1169" s="1931">
        <f>BK1173</f>
        <v/>
      </c>
      <c r="BM1169" s="1931">
        <f>BL1173</f>
        <v/>
      </c>
      <c r="BN1169" s="1930">
        <f>BI1173</f>
        <v/>
      </c>
      <c r="BO1169" s="1931">
        <f>BN1173</f>
        <v/>
      </c>
      <c r="BP1169" s="1931">
        <f>BO1173</f>
        <v/>
      </c>
      <c r="BQ1169" s="1932">
        <f>BP1173</f>
        <v/>
      </c>
      <c r="BR1169" s="1931">
        <f>BQ1173</f>
        <v/>
      </c>
      <c r="BS1169" s="1930">
        <f>BN1173</f>
        <v/>
      </c>
      <c r="BT1169" s="1931">
        <f>BS1173</f>
        <v/>
      </c>
      <c r="BU1169" s="1931">
        <f>BT1173</f>
        <v/>
      </c>
      <c r="BV1169" s="1931">
        <f>BU1173</f>
        <v/>
      </c>
      <c r="BW1169" s="1931">
        <f>BV1173</f>
        <v/>
      </c>
      <c r="BX1169" s="1930">
        <f>BS1173</f>
        <v/>
      </c>
      <c r="BY1169" s="1930">
        <f>BX1173</f>
        <v/>
      </c>
      <c r="BZ1169" s="1930">
        <f>BY1173</f>
        <v/>
      </c>
      <c r="CA1169" s="1930">
        <f>BZ1173</f>
        <v/>
      </c>
      <c r="CB1169" s="1375" t="n"/>
    </row>
    <row r="1170" ht="14.4" customFormat="1" customHeight="1" s="1372">
      <c r="A1170" s="1474" t="inlineStr">
        <is>
          <t>Amortization of intangibles, mm</t>
        </is>
      </c>
      <c r="B1170" s="1512" t="n"/>
      <c r="C1170" s="1554" t="n"/>
      <c r="D1170" s="1554">
        <f>-D500</f>
        <v/>
      </c>
      <c r="E1170" s="1554">
        <f>-E500</f>
        <v/>
      </c>
      <c r="F1170" s="1554">
        <f>-F500</f>
        <v/>
      </c>
      <c r="G1170" s="1553">
        <f>-G500</f>
        <v/>
      </c>
      <c r="H1170" s="1553">
        <f>-H500</f>
        <v/>
      </c>
      <c r="I1170" s="1553">
        <f>-I500</f>
        <v/>
      </c>
      <c r="J1170" s="1553">
        <f>-J500</f>
        <v/>
      </c>
      <c r="K1170" s="1554">
        <f>-K500</f>
        <v/>
      </c>
      <c r="L1170" s="1553">
        <f>-L500</f>
        <v/>
      </c>
      <c r="M1170" s="1553">
        <f>-M500</f>
        <v/>
      </c>
      <c r="N1170" s="1553">
        <f>-N500</f>
        <v/>
      </c>
      <c r="O1170" s="1553">
        <f>-O500</f>
        <v/>
      </c>
      <c r="P1170" s="1554">
        <f>-P500</f>
        <v/>
      </c>
      <c r="Q1170" s="1553">
        <f>-Q500</f>
        <v/>
      </c>
      <c r="R1170" s="1553">
        <f>-R500</f>
        <v/>
      </c>
      <c r="S1170" s="1553">
        <f>-S500</f>
        <v/>
      </c>
      <c r="T1170" s="1553">
        <f>-T500</f>
        <v/>
      </c>
      <c r="U1170" s="1554">
        <f>-U500</f>
        <v/>
      </c>
      <c r="V1170" s="1553">
        <f>-V500</f>
        <v/>
      </c>
      <c r="W1170" s="1553">
        <f>-W500</f>
        <v/>
      </c>
      <c r="X1170" s="1553">
        <f>-X500</f>
        <v/>
      </c>
      <c r="Y1170" s="1553">
        <f>-Y500</f>
        <v/>
      </c>
      <c r="Z1170" s="1554">
        <f>-Z500</f>
        <v/>
      </c>
      <c r="AA1170" s="1553">
        <f>-AA500</f>
        <v/>
      </c>
      <c r="AB1170" s="1553">
        <f>-AB500</f>
        <v/>
      </c>
      <c r="AC1170" s="1553">
        <f>-AC500</f>
        <v/>
      </c>
      <c r="AD1170" s="1553">
        <f>-AD500</f>
        <v/>
      </c>
      <c r="AE1170" s="1554">
        <f>-AE500</f>
        <v/>
      </c>
      <c r="AF1170" s="1553">
        <f>-AF500</f>
        <v/>
      </c>
      <c r="AG1170" s="1553">
        <f>-AG500</f>
        <v/>
      </c>
      <c r="AH1170" s="1553">
        <f>-AH500</f>
        <v/>
      </c>
      <c r="AI1170" s="1553">
        <f>-AI500</f>
        <v/>
      </c>
      <c r="AJ1170" s="1554">
        <f>-AJ500</f>
        <v/>
      </c>
      <c r="AK1170" s="1553">
        <f>-AK500</f>
        <v/>
      </c>
      <c r="AL1170" s="1553">
        <f>-AL500</f>
        <v/>
      </c>
      <c r="AM1170" s="1553">
        <f>-AM500</f>
        <v/>
      </c>
      <c r="AN1170" s="1553">
        <f>-AN500</f>
        <v/>
      </c>
      <c r="AO1170" s="1554">
        <f>-AO500</f>
        <v/>
      </c>
      <c r="AP1170" s="1553">
        <f>-AP500</f>
        <v/>
      </c>
      <c r="AQ1170" s="1553">
        <f>-AQ500</f>
        <v/>
      </c>
      <c r="AR1170" s="1553">
        <f>-AR500</f>
        <v/>
      </c>
      <c r="AS1170" s="1553">
        <f>-AS500</f>
        <v/>
      </c>
      <c r="AT1170" s="1554">
        <f>-AT500</f>
        <v/>
      </c>
      <c r="AU1170" s="1553">
        <f>-AU500</f>
        <v/>
      </c>
      <c r="AV1170" s="1553">
        <f>-AV500</f>
        <v/>
      </c>
      <c r="AW1170" s="1553">
        <f>-AW500</f>
        <v/>
      </c>
      <c r="AX1170" s="1553">
        <f>-AX500</f>
        <v/>
      </c>
      <c r="AY1170" s="1554">
        <f>-AY500</f>
        <v/>
      </c>
      <c r="AZ1170" s="1553">
        <f>-AZ500</f>
        <v/>
      </c>
      <c r="BA1170" s="1553">
        <f>-BA500</f>
        <v/>
      </c>
      <c r="BB1170" s="1553">
        <f>-BB500</f>
        <v/>
      </c>
      <c r="BC1170" s="1553">
        <f>-BC500</f>
        <v/>
      </c>
      <c r="BD1170" s="1554">
        <f>-BD500</f>
        <v/>
      </c>
      <c r="BE1170" s="1553">
        <f>-BE500</f>
        <v/>
      </c>
      <c r="BF1170" s="1553">
        <f>-BF500</f>
        <v/>
      </c>
      <c r="BG1170" s="1553">
        <f>-BG500</f>
        <v/>
      </c>
      <c r="BH1170" s="1553">
        <f>-BH500</f>
        <v/>
      </c>
      <c r="BI1170" s="1554">
        <f>-BI500</f>
        <v/>
      </c>
      <c r="BJ1170" s="1553">
        <f>-BJ500</f>
        <v/>
      </c>
      <c r="BK1170" s="1553">
        <f>-BK500</f>
        <v/>
      </c>
      <c r="BL1170" s="1553">
        <f>-BL500</f>
        <v/>
      </c>
      <c r="BM1170" s="1553">
        <f>-BM500</f>
        <v/>
      </c>
      <c r="BN1170" s="1554">
        <f>-BN500</f>
        <v/>
      </c>
      <c r="BO1170" s="1553">
        <f>-BO500</f>
        <v/>
      </c>
      <c r="BP1170" s="1553">
        <f>-BP500</f>
        <v/>
      </c>
      <c r="BQ1170" s="1556">
        <f>-BQ500</f>
        <v/>
      </c>
      <c r="BR1170" s="1553">
        <f>-BR1169*BR1179*BR3/BS3</f>
        <v/>
      </c>
      <c r="BS1170" s="1554">
        <f>IF(OR(ISBLANK(BO1170),ISBLANK(BP1170),ISBLANK(BQ1170),ISBLANK(BR1170)),"n/a",SUM(BO1170,BP1170,BQ1170,BR1170))</f>
        <v/>
      </c>
      <c r="BT1170" s="1553">
        <f>-BT1169*BT1179*BT3/BX3</f>
        <v/>
      </c>
      <c r="BU1170" s="1553">
        <f>-BU1169*BU1179*BU3/BX3</f>
        <v/>
      </c>
      <c r="BV1170" s="1553">
        <f>-BV1169*BV1179*BV3/BX3</f>
        <v/>
      </c>
      <c r="BW1170" s="1553">
        <f>-BW1169*BW1179*BW3/BX3</f>
        <v/>
      </c>
      <c r="BX1170" s="1554">
        <f>IF(OR(ISBLANK(BT1170),ISBLANK(BU1170),ISBLANK(BV1170),ISBLANK(BW1170)),"n/a",SUM(BT1170,BU1170,BV1170,BW1170))</f>
        <v/>
      </c>
      <c r="BY1170" s="1554">
        <f>-BY1169*BY1179</f>
        <v/>
      </c>
      <c r="BZ1170" s="1554">
        <f>-BZ1169*BZ1179</f>
        <v/>
      </c>
      <c r="CA1170" s="1554">
        <f>-CA1169*CA1179</f>
        <v/>
      </c>
      <c r="CB1170" s="1375" t="n"/>
    </row>
    <row r="1171" ht="14.4" customFormat="1" customHeight="1" s="1372">
      <c r="A1171" s="1474" t="inlineStr">
        <is>
          <t>Additions to acquired intangibles, mm</t>
        </is>
      </c>
      <c r="B1171" s="1512" t="n"/>
      <c r="C1171" s="1554" t="n"/>
      <c r="D1171" s="1554">
        <f>-D1123-D1124</f>
        <v/>
      </c>
      <c r="E1171" s="1554">
        <f>-E1123-E1124</f>
        <v/>
      </c>
      <c r="F1171" s="1554">
        <f>-F1123-F1124</f>
        <v/>
      </c>
      <c r="G1171" s="1553">
        <f>-G1123-G1124</f>
        <v/>
      </c>
      <c r="H1171" s="1553">
        <f>-H1123-H1124</f>
        <v/>
      </c>
      <c r="I1171" s="1553">
        <f>-I1123-I1124</f>
        <v/>
      </c>
      <c r="J1171" s="1553">
        <f>-J1123-J1124</f>
        <v/>
      </c>
      <c r="K1171" s="1554">
        <f>-K1123-K1124</f>
        <v/>
      </c>
      <c r="L1171" s="1553">
        <f>-L1123-L1124</f>
        <v/>
      </c>
      <c r="M1171" s="1553">
        <f>-M1123-M1124</f>
        <v/>
      </c>
      <c r="N1171" s="1553">
        <f>-N1123-N1124</f>
        <v/>
      </c>
      <c r="O1171" s="1553">
        <f>-O1123-O1124</f>
        <v/>
      </c>
      <c r="P1171" s="1554">
        <f>-P1123-P1124</f>
        <v/>
      </c>
      <c r="Q1171" s="1553">
        <f>-Q1123-Q1124</f>
        <v/>
      </c>
      <c r="R1171" s="1553">
        <f>-R1123-R1124</f>
        <v/>
      </c>
      <c r="S1171" s="1553">
        <f>-S1123-S1124</f>
        <v/>
      </c>
      <c r="T1171" s="1553">
        <f>-T1123-T1124</f>
        <v/>
      </c>
      <c r="U1171" s="1554">
        <f>-U1123-U1124</f>
        <v/>
      </c>
      <c r="V1171" s="1553">
        <f>-V1123-V1124</f>
        <v/>
      </c>
      <c r="W1171" s="1553">
        <f>-W1123-W1124</f>
        <v/>
      </c>
      <c r="X1171" s="1553">
        <f>-X1123-X1124</f>
        <v/>
      </c>
      <c r="Y1171" s="1553">
        <f>-Y1123-Y1124</f>
        <v/>
      </c>
      <c r="Z1171" s="1554">
        <f>-Z1123-Z1124</f>
        <v/>
      </c>
      <c r="AA1171" s="1553">
        <f>-AA1123-AA1124</f>
        <v/>
      </c>
      <c r="AB1171" s="1553">
        <f>-AB1123-AB1124</f>
        <v/>
      </c>
      <c r="AC1171" s="1553">
        <f>-AC1123-AC1124</f>
        <v/>
      </c>
      <c r="AD1171" s="1553">
        <f>-AD1123-AD1124</f>
        <v/>
      </c>
      <c r="AE1171" s="1554">
        <f>-AE1123-AE1124</f>
        <v/>
      </c>
      <c r="AF1171" s="1553">
        <f>-AF1123-AF1124</f>
        <v/>
      </c>
      <c r="AG1171" s="1553">
        <f>-AG1123-AG1124</f>
        <v/>
      </c>
      <c r="AH1171" s="1553">
        <f>-AH1123-AH1124</f>
        <v/>
      </c>
      <c r="AI1171" s="1553">
        <f>-AI1123-AI1124</f>
        <v/>
      </c>
      <c r="AJ1171" s="1554">
        <f>-AJ1123-AJ1124</f>
        <v/>
      </c>
      <c r="AK1171" s="1553">
        <f>-AK1123-AK1124</f>
        <v/>
      </c>
      <c r="AL1171" s="1553">
        <f>-AL1123-AL1124</f>
        <v/>
      </c>
      <c r="AM1171" s="1553">
        <f>-AM1123-AM1124</f>
        <v/>
      </c>
      <c r="AN1171" s="1553">
        <f>-AN1123-AN1124</f>
        <v/>
      </c>
      <c r="AO1171" s="1554">
        <f>-AO1123-AO1124</f>
        <v/>
      </c>
      <c r="AP1171" s="1553">
        <f>-AP1123-AP1124</f>
        <v/>
      </c>
      <c r="AQ1171" s="1553">
        <f>-AQ1123-AQ1124</f>
        <v/>
      </c>
      <c r="AR1171" s="1553">
        <f>-AR1123-AR1124</f>
        <v/>
      </c>
      <c r="AS1171" s="1553">
        <f>-AS1123-AS1124</f>
        <v/>
      </c>
      <c r="AT1171" s="1554">
        <f>-AT1123-AT1124</f>
        <v/>
      </c>
      <c r="AU1171" s="1553">
        <f>-AU1123-AU1124</f>
        <v/>
      </c>
      <c r="AV1171" s="1553">
        <f>-AV1123-AV1124</f>
        <v/>
      </c>
      <c r="AW1171" s="1553">
        <f>-AW1123-AW1124</f>
        <v/>
      </c>
      <c r="AX1171" s="1553">
        <f>-AX1123-AX1124</f>
        <v/>
      </c>
      <c r="AY1171" s="1554">
        <f>-AY1123-AY1124</f>
        <v/>
      </c>
      <c r="AZ1171" s="1553">
        <f>-AZ1123-AZ1124</f>
        <v/>
      </c>
      <c r="BA1171" s="1553">
        <f>-BA1123-BA1124</f>
        <v/>
      </c>
      <c r="BB1171" s="1553">
        <f>-BB1123-BB1124</f>
        <v/>
      </c>
      <c r="BC1171" s="1553">
        <f>-BC1123-BC1124</f>
        <v/>
      </c>
      <c r="BD1171" s="1554">
        <f>-BD1123-BD1124</f>
        <v/>
      </c>
      <c r="BE1171" s="1553">
        <f>-BE1123-BE1124</f>
        <v/>
      </c>
      <c r="BF1171" s="1553">
        <f>-BF1123-BF1124</f>
        <v/>
      </c>
      <c r="BG1171" s="1553">
        <f>-BG1123-BG1124</f>
        <v/>
      </c>
      <c r="BH1171" s="1553">
        <f>-BH1123-BH1124</f>
        <v/>
      </c>
      <c r="BI1171" s="1554">
        <f>-BI1123-BI1124</f>
        <v/>
      </c>
      <c r="BJ1171" s="1553">
        <f>-BJ1123-BJ1124</f>
        <v/>
      </c>
      <c r="BK1171" s="1553">
        <f>-BK1123-BK1124</f>
        <v/>
      </c>
      <c r="BL1171" s="1553">
        <f>-BL1123-BL1124</f>
        <v/>
      </c>
      <c r="BM1171" s="1553">
        <f>-BM1123-BM1124</f>
        <v/>
      </c>
      <c r="BN1171" s="1554">
        <f>-BN1123-BN1124</f>
        <v/>
      </c>
      <c r="BO1171" s="1553">
        <f>-BO1123-BO1124</f>
        <v/>
      </c>
      <c r="BP1171" s="1553">
        <f>-BP1123-BP1124</f>
        <v/>
      </c>
      <c r="BQ1171" s="1556">
        <f>-BQ1123-BQ1124</f>
        <v/>
      </c>
      <c r="BR1171" s="1553">
        <f>BR1188*BR1190+BR1184*BR1186</f>
        <v/>
      </c>
      <c r="BS1171" s="1554">
        <f>IF(OR(ISBLANK(BO1171),ISBLANK(BP1171),ISBLANK(BQ1171),ISBLANK(BR1171)),"n/a",SUM(BO1171,BP1171,BQ1171,BR1171))</f>
        <v/>
      </c>
      <c r="BT1171" s="1553">
        <f>BT1188*BT1190+BT1184*BT1186</f>
        <v/>
      </c>
      <c r="BU1171" s="1553">
        <f>BU1188*BU1190+BU1184*BU1186</f>
        <v/>
      </c>
      <c r="BV1171" s="1553">
        <f>BV1188*BV1190+BV1184*BV1186</f>
        <v/>
      </c>
      <c r="BW1171" s="1553">
        <f>BW1188*BW1190+BW1184*BW1186</f>
        <v/>
      </c>
      <c r="BX1171" s="1554">
        <f>IF(OR(ISBLANK(BT1171),ISBLANK(BU1171),ISBLANK(BV1171),ISBLANK(BW1171)),"n/a",SUM(BT1171,BU1171,BV1171,BW1171))</f>
        <v/>
      </c>
      <c r="BY1171" s="1554">
        <f>BY1188*BY1190+BY1184*BY1186</f>
        <v/>
      </c>
      <c r="BZ1171" s="1554">
        <f>BZ1188*BZ1190+BZ1184*BZ1186</f>
        <v/>
      </c>
      <c r="CA1171" s="1554">
        <f>CA1188*CA1190+CA1184*CA1186</f>
        <v/>
      </c>
      <c r="CB1171" s="1375" t="n"/>
    </row>
    <row r="1172" ht="14.4" customFormat="1" customHeight="1" s="1372">
      <c r="A1172" s="1474" t="inlineStr">
        <is>
          <t>Other net additions to intangibles, mm</t>
        </is>
      </c>
      <c r="B1172" s="1512" t="n"/>
      <c r="C1172" s="1554" t="n"/>
      <c r="D1172" s="1554">
        <f>ROUND(D1173-D1169-D1170-D1171,6)</f>
        <v/>
      </c>
      <c r="E1172" s="1554">
        <f>ROUND(E1173-E1169-E1170-E1171,6)</f>
        <v/>
      </c>
      <c r="F1172" s="1554">
        <f>ROUND(F1173-F1169-F1170-F1171,6)</f>
        <v/>
      </c>
      <c r="G1172" s="1553">
        <f>ROUND(G1173-G1169-G1170-G1171,6)</f>
        <v/>
      </c>
      <c r="H1172" s="1553">
        <f>ROUND(H1173-H1169-H1170-H1171,6)</f>
        <v/>
      </c>
      <c r="I1172" s="1553">
        <f>ROUND(I1173-I1169-I1170-I1171,6)</f>
        <v/>
      </c>
      <c r="J1172" s="1553">
        <f>ROUND(J1173-J1169-J1170-J1171,6)</f>
        <v/>
      </c>
      <c r="K1172" s="1554">
        <f>ROUND(K1173-K1169-K1170-K1171,6)</f>
        <v/>
      </c>
      <c r="L1172" s="1553">
        <f>ROUND(L1173-L1169-L1170-L1171,6)</f>
        <v/>
      </c>
      <c r="M1172" s="1553">
        <f>ROUND(M1173-M1169-M1170-M1171,6)</f>
        <v/>
      </c>
      <c r="N1172" s="1553">
        <f>ROUND(N1173-N1169-N1170-N1171,6)</f>
        <v/>
      </c>
      <c r="O1172" s="1553">
        <f>ROUND(O1173-O1169-O1170-O1171,6)</f>
        <v/>
      </c>
      <c r="P1172" s="1554">
        <f>ROUND(P1173-P1169-P1170-P1171,6)</f>
        <v/>
      </c>
      <c r="Q1172" s="1553">
        <f>ROUND(Q1173-Q1169-Q1170-Q1171,6)</f>
        <v/>
      </c>
      <c r="R1172" s="1553">
        <f>ROUND(R1173-R1169-R1170-R1171,6)</f>
        <v/>
      </c>
      <c r="S1172" s="1553">
        <f>ROUND(S1173-S1169-S1170-S1171,6)</f>
        <v/>
      </c>
      <c r="T1172" s="1553">
        <f>ROUND(T1173-T1169-T1170-T1171,6)</f>
        <v/>
      </c>
      <c r="U1172" s="1554">
        <f>ROUND(U1173-U1169-U1170-U1171,6)</f>
        <v/>
      </c>
      <c r="V1172" s="1553">
        <f>ROUND(V1173-V1169-V1170-V1171,6)</f>
        <v/>
      </c>
      <c r="W1172" s="1553">
        <f>ROUND(W1173-W1169-W1170-W1171,6)</f>
        <v/>
      </c>
      <c r="X1172" s="1553">
        <f>ROUND(X1173-X1169-X1170-X1171,6)</f>
        <v/>
      </c>
      <c r="Y1172" s="1553">
        <f>ROUND(Y1173-Y1169-Y1170-Y1171,6)</f>
        <v/>
      </c>
      <c r="Z1172" s="1554">
        <f>ROUND(Z1173-Z1169-Z1170-Z1171,6)</f>
        <v/>
      </c>
      <c r="AA1172" s="1553">
        <f>ROUND(AA1173-AA1169-AA1170-AA1171,6)</f>
        <v/>
      </c>
      <c r="AB1172" s="1553">
        <f>ROUND(AB1173-AB1169-AB1170-AB1171,6)</f>
        <v/>
      </c>
      <c r="AC1172" s="1553">
        <f>ROUND(AC1173-AC1169-AC1170-AC1171,6)</f>
        <v/>
      </c>
      <c r="AD1172" s="1553">
        <f>ROUND(AD1173-AD1169-AD1170-AD1171,6)</f>
        <v/>
      </c>
      <c r="AE1172" s="1554">
        <f>ROUND(AE1173-AE1169-AE1170-AE1171,6)</f>
        <v/>
      </c>
      <c r="AF1172" s="1553">
        <f>ROUND(AF1173-AF1169-AF1170-AF1171,6)</f>
        <v/>
      </c>
      <c r="AG1172" s="1553">
        <f>ROUND(AG1173-AG1169-AG1170-AG1171,6)</f>
        <v/>
      </c>
      <c r="AH1172" s="1553">
        <f>ROUND(AH1173-AH1169-AH1170-AH1171,6)</f>
        <v/>
      </c>
      <c r="AI1172" s="1553">
        <f>ROUND(AI1173-AI1169-AI1170-AI1171,6)</f>
        <v/>
      </c>
      <c r="AJ1172" s="1554">
        <f>ROUND(AJ1173-AJ1169-AJ1170-AJ1171,6)</f>
        <v/>
      </c>
      <c r="AK1172" s="1553">
        <f>ROUND(AK1173-AK1169-AK1170-AK1171,6)</f>
        <v/>
      </c>
      <c r="AL1172" s="1553">
        <f>ROUND(AL1173-AL1169-AL1170-AL1171,6)</f>
        <v/>
      </c>
      <c r="AM1172" s="1553">
        <f>ROUND(AM1173-AM1169-AM1170-AM1171,6)</f>
        <v/>
      </c>
      <c r="AN1172" s="1553">
        <f>ROUND(AN1173-AN1169-AN1170-AN1171,6)</f>
        <v/>
      </c>
      <c r="AO1172" s="1554">
        <f>ROUND(AO1173-AO1169-AO1170-AO1171,6)</f>
        <v/>
      </c>
      <c r="AP1172" s="1553">
        <f>ROUND(AP1173-AP1169-AP1170-AP1171,6)</f>
        <v/>
      </c>
      <c r="AQ1172" s="1553">
        <f>ROUND(AQ1173-AQ1169-AQ1170-AQ1171,6)</f>
        <v/>
      </c>
      <c r="AR1172" s="1553">
        <f>ROUND(AR1173-AR1169-AR1170-AR1171,6)</f>
        <v/>
      </c>
      <c r="AS1172" s="1553">
        <f>ROUND(AS1173-AS1169-AS1170-AS1171,6)</f>
        <v/>
      </c>
      <c r="AT1172" s="1554">
        <f>ROUND(AT1173-AT1169-AT1170-AT1171,6)</f>
        <v/>
      </c>
      <c r="AU1172" s="1553">
        <f>ROUND(AU1173-AU1169-AU1170-AU1171,6)</f>
        <v/>
      </c>
      <c r="AV1172" s="1553">
        <f>ROUND(AV1173-AV1169-AV1170-AV1171,6)</f>
        <v/>
      </c>
      <c r="AW1172" s="1553">
        <f>ROUND(AW1173-AW1169-AW1170-AW1171,6)</f>
        <v/>
      </c>
      <c r="AX1172" s="1553">
        <f>ROUND(AX1173-AX1169-AX1170-AX1171,6)</f>
        <v/>
      </c>
      <c r="AY1172" s="1554">
        <f>ROUND(AY1173-AY1169-AY1170-AY1171,6)</f>
        <v/>
      </c>
      <c r="AZ1172" s="1553">
        <f>ROUND(AZ1173-AZ1169-AZ1170-AZ1171,6)</f>
        <v/>
      </c>
      <c r="BA1172" s="1553">
        <f>ROUND(BA1173-BA1169-BA1170-BA1171,6)</f>
        <v/>
      </c>
      <c r="BB1172" s="1553">
        <f>ROUND(BB1173-BB1169-BB1170-BB1171,6)</f>
        <v/>
      </c>
      <c r="BC1172" s="1553">
        <f>ROUND(BC1173-BC1169-BC1170-BC1171,6)</f>
        <v/>
      </c>
      <c r="BD1172" s="1554">
        <f>ROUND(BD1173-BD1169-BD1170-BD1171,6)</f>
        <v/>
      </c>
      <c r="BE1172" s="1553">
        <f>ROUND(BE1173-BE1169-BE1170-BE1171,6)</f>
        <v/>
      </c>
      <c r="BF1172" s="1553">
        <f>ROUND(BF1173-BF1169-BF1170-BF1171,6)</f>
        <v/>
      </c>
      <c r="BG1172" s="1553">
        <f>ROUND(BG1173-BG1169-BG1170-BG1171,6)</f>
        <v/>
      </c>
      <c r="BH1172" s="1553">
        <f>ROUND(BH1173-BH1169-BH1170-BH1171,6)</f>
        <v/>
      </c>
      <c r="BI1172" s="1554">
        <f>ROUND(BI1173-BI1169-BI1170-BI1171,6)</f>
        <v/>
      </c>
      <c r="BJ1172" s="1553">
        <f>ROUND(BJ1173-BJ1169-BJ1170-BJ1171,6)</f>
        <v/>
      </c>
      <c r="BK1172" s="1553">
        <f>ROUND(BK1173-BK1169-BK1170-BK1171,6)</f>
        <v/>
      </c>
      <c r="BL1172" s="1553">
        <f>ROUND(BL1173-BL1169-BL1170-BL1171,6)</f>
        <v/>
      </c>
      <c r="BM1172" s="1553">
        <f>ROUND(BM1173-BM1169-BM1170-BM1171,6)</f>
        <v/>
      </c>
      <c r="BN1172" s="1554">
        <f>ROUND(BN1173-BN1169-BN1170-BN1171,6)</f>
        <v/>
      </c>
      <c r="BO1172" s="1553">
        <f>ROUND(BO1173-BO1169-BO1170-BO1171,6)</f>
        <v/>
      </c>
      <c r="BP1172" s="1553">
        <f>ROUND(BP1173-BP1169-BP1170-BP1171,6)</f>
        <v/>
      </c>
      <c r="BQ1172" s="1556">
        <f>ROUND(BQ1173-BQ1169-BQ1170-BQ1171,6)</f>
        <v/>
      </c>
      <c r="BR1172" s="1553">
        <f>ROUND(BR1173-BR1169-BR1170-BR1171,6)</f>
        <v/>
      </c>
      <c r="BS1172" s="1554">
        <f>ROUND(BS1173-BS1169-IF(ISNUMBER(BS1170),BS1170,0)-IF(ISNUMBER(BS1171),BS1171,0),6)</f>
        <v/>
      </c>
      <c r="BT1172" s="1553">
        <f>ROUND(BT1173-BT1169-BT1170-BT1171,6)</f>
        <v/>
      </c>
      <c r="BU1172" s="1553">
        <f>ROUND(BU1173-BU1169-BU1170-BU1171,6)</f>
        <v/>
      </c>
      <c r="BV1172" s="1553">
        <f>ROUND(BV1173-BV1169-BV1170-BV1171,6)</f>
        <v/>
      </c>
      <c r="BW1172" s="1553">
        <f>ROUND(BW1173-BW1169-BW1170-BW1171,6)</f>
        <v/>
      </c>
      <c r="BX1172" s="1554">
        <f>ROUND(BX1173-BX1169-IF(ISNUMBER(BX1170),BX1170,0)-IF(ISNUMBER(BX1171),BX1171,0),6)</f>
        <v/>
      </c>
      <c r="BY1172" s="1554">
        <f>ROUND(BY1173-BY1169-BY1170-BY1171,6)</f>
        <v/>
      </c>
      <c r="BZ1172" s="1554">
        <f>ROUND(BZ1173-BZ1169-BZ1170-BZ1171,6)</f>
        <v/>
      </c>
      <c r="CA1172" s="1554">
        <f>ROUND(CA1173-CA1169-CA1170-CA1171,6)</f>
        <v/>
      </c>
      <c r="CB1172" s="1375" t="n"/>
    </row>
    <row r="1173" ht="14.4" customFormat="1" customHeight="1" s="1372">
      <c r="A1173" s="1933" t="inlineStr">
        <is>
          <t>Intangibles EoP, mm</t>
        </is>
      </c>
      <c r="B1173" s="1756" t="n"/>
      <c r="C1173" s="1934">
        <f>C1216</f>
        <v/>
      </c>
      <c r="D1173" s="1934">
        <f>D1216</f>
        <v/>
      </c>
      <c r="E1173" s="1934">
        <f>E1216</f>
        <v/>
      </c>
      <c r="F1173" s="1934">
        <f>F1216</f>
        <v/>
      </c>
      <c r="G1173" s="1935">
        <f>G1216</f>
        <v/>
      </c>
      <c r="H1173" s="1935">
        <f>H1216</f>
        <v/>
      </c>
      <c r="I1173" s="1935">
        <f>I1216</f>
        <v/>
      </c>
      <c r="J1173" s="1935">
        <f>J1216</f>
        <v/>
      </c>
      <c r="K1173" s="1934">
        <f>K1216</f>
        <v/>
      </c>
      <c r="L1173" s="1935">
        <f>L1216</f>
        <v/>
      </c>
      <c r="M1173" s="1935">
        <f>M1216</f>
        <v/>
      </c>
      <c r="N1173" s="1935">
        <f>N1216</f>
        <v/>
      </c>
      <c r="O1173" s="1935">
        <f>O1216</f>
        <v/>
      </c>
      <c r="P1173" s="1934">
        <f>P1216</f>
        <v/>
      </c>
      <c r="Q1173" s="1935">
        <f>Q1216</f>
        <v/>
      </c>
      <c r="R1173" s="1935">
        <f>R1216</f>
        <v/>
      </c>
      <c r="S1173" s="1935">
        <f>S1216</f>
        <v/>
      </c>
      <c r="T1173" s="1935">
        <f>T1216</f>
        <v/>
      </c>
      <c r="U1173" s="1934">
        <f>U1216</f>
        <v/>
      </c>
      <c r="V1173" s="1935">
        <f>V1216</f>
        <v/>
      </c>
      <c r="W1173" s="1935">
        <f>W1216</f>
        <v/>
      </c>
      <c r="X1173" s="1935">
        <f>X1216</f>
        <v/>
      </c>
      <c r="Y1173" s="1935">
        <f>Y1216</f>
        <v/>
      </c>
      <c r="Z1173" s="1934">
        <f>Z1216</f>
        <v/>
      </c>
      <c r="AA1173" s="1935">
        <f>AA1216</f>
        <v/>
      </c>
      <c r="AB1173" s="1935">
        <f>AB1216</f>
        <v/>
      </c>
      <c r="AC1173" s="1935">
        <f>AC1216</f>
        <v/>
      </c>
      <c r="AD1173" s="1935">
        <f>AD1216</f>
        <v/>
      </c>
      <c r="AE1173" s="1934">
        <f>AE1216</f>
        <v/>
      </c>
      <c r="AF1173" s="1935">
        <f>AF1216</f>
        <v/>
      </c>
      <c r="AG1173" s="1935">
        <f>AG1216</f>
        <v/>
      </c>
      <c r="AH1173" s="1935">
        <f>AH1216</f>
        <v/>
      </c>
      <c r="AI1173" s="1935">
        <f>AI1216</f>
        <v/>
      </c>
      <c r="AJ1173" s="1934">
        <f>AJ1216</f>
        <v/>
      </c>
      <c r="AK1173" s="1935">
        <f>AK1216</f>
        <v/>
      </c>
      <c r="AL1173" s="1935">
        <f>AL1216</f>
        <v/>
      </c>
      <c r="AM1173" s="1935">
        <f>AM1216</f>
        <v/>
      </c>
      <c r="AN1173" s="1935">
        <f>AN1216</f>
        <v/>
      </c>
      <c r="AO1173" s="1934">
        <f>AO1216</f>
        <v/>
      </c>
      <c r="AP1173" s="1935">
        <f>AP1216</f>
        <v/>
      </c>
      <c r="AQ1173" s="1935">
        <f>AQ1216</f>
        <v/>
      </c>
      <c r="AR1173" s="1935">
        <f>AR1216</f>
        <v/>
      </c>
      <c r="AS1173" s="1935">
        <f>AS1216</f>
        <v/>
      </c>
      <c r="AT1173" s="1934">
        <f>AT1216</f>
        <v/>
      </c>
      <c r="AU1173" s="1935">
        <f>AU1216</f>
        <v/>
      </c>
      <c r="AV1173" s="1935">
        <f>AV1216</f>
        <v/>
      </c>
      <c r="AW1173" s="1935">
        <f>AW1216</f>
        <v/>
      </c>
      <c r="AX1173" s="1935">
        <f>AX1216</f>
        <v/>
      </c>
      <c r="AY1173" s="1934">
        <f>AY1216</f>
        <v/>
      </c>
      <c r="AZ1173" s="1935">
        <f>AZ1216</f>
        <v/>
      </c>
      <c r="BA1173" s="1935">
        <f>BA1216</f>
        <v/>
      </c>
      <c r="BB1173" s="1935">
        <f>BB1216</f>
        <v/>
      </c>
      <c r="BC1173" s="1935">
        <f>BC1216</f>
        <v/>
      </c>
      <c r="BD1173" s="1934">
        <f>BD1216</f>
        <v/>
      </c>
      <c r="BE1173" s="1935">
        <f>BE1216</f>
        <v/>
      </c>
      <c r="BF1173" s="1935">
        <f>BF1216</f>
        <v/>
      </c>
      <c r="BG1173" s="1935">
        <f>BG1216</f>
        <v/>
      </c>
      <c r="BH1173" s="1935">
        <f>BH1216</f>
        <v/>
      </c>
      <c r="BI1173" s="1934">
        <f>BI1216</f>
        <v/>
      </c>
      <c r="BJ1173" s="1935">
        <f>BJ1216</f>
        <v/>
      </c>
      <c r="BK1173" s="1935">
        <f>BK1216</f>
        <v/>
      </c>
      <c r="BL1173" s="1935">
        <f>BL1216</f>
        <v/>
      </c>
      <c r="BM1173" s="1935">
        <f>BM1216</f>
        <v/>
      </c>
      <c r="BN1173" s="1934">
        <f>BN1216</f>
        <v/>
      </c>
      <c r="BO1173" s="1935">
        <f>BO1216</f>
        <v/>
      </c>
      <c r="BP1173" s="1935">
        <f>BP1216</f>
        <v/>
      </c>
      <c r="BQ1173" s="1936">
        <f>BQ1216</f>
        <v/>
      </c>
      <c r="BR1173" s="1935">
        <f>BR1216</f>
        <v/>
      </c>
      <c r="BS1173" s="1934">
        <f>BS1216</f>
        <v/>
      </c>
      <c r="BT1173" s="1935">
        <f>BT1216</f>
        <v/>
      </c>
      <c r="BU1173" s="1935">
        <f>BU1216</f>
        <v/>
      </c>
      <c r="BV1173" s="1935">
        <f>BV1216</f>
        <v/>
      </c>
      <c r="BW1173" s="1935">
        <f>BW1216</f>
        <v/>
      </c>
      <c r="BX1173" s="1934">
        <f>BX1216</f>
        <v/>
      </c>
      <c r="BY1173" s="1934">
        <f>BY1216</f>
        <v/>
      </c>
      <c r="BZ1173" s="1934">
        <f>BZ1216</f>
        <v/>
      </c>
      <c r="CA1173" s="1934">
        <f>CA1216</f>
        <v/>
      </c>
      <c r="CB1173" s="1375" t="n"/>
    </row>
    <row r="1174" ht="14.4" customFormat="1" customHeight="1" s="1372">
      <c r="A1174" s="1474" t="n"/>
      <c r="B1174" s="1512" t="n"/>
      <c r="C1174" s="1554" t="n"/>
      <c r="D1174" s="1554" t="n"/>
      <c r="E1174" s="1554" t="n"/>
      <c r="F1174" s="1554" t="n"/>
      <c r="G1174" s="1553" t="n"/>
      <c r="H1174" s="1553" t="n"/>
      <c r="I1174" s="1553" t="n"/>
      <c r="J1174" s="1553" t="n"/>
      <c r="K1174" s="1554" t="n"/>
      <c r="L1174" s="1553" t="n"/>
      <c r="M1174" s="1553" t="n"/>
      <c r="N1174" s="1553" t="n"/>
      <c r="O1174" s="1553" t="n"/>
      <c r="P1174" s="1554" t="n"/>
      <c r="Q1174" s="1553" t="n"/>
      <c r="R1174" s="1553" t="n"/>
      <c r="S1174" s="1553" t="n"/>
      <c r="T1174" s="1553" t="n"/>
      <c r="U1174" s="1554" t="n"/>
      <c r="V1174" s="1553" t="n"/>
      <c r="W1174" s="1553" t="n"/>
      <c r="X1174" s="1553" t="n"/>
      <c r="Y1174" s="1553" t="n"/>
      <c r="Z1174" s="1554" t="n"/>
      <c r="AA1174" s="1553" t="n"/>
      <c r="AB1174" s="1553" t="n"/>
      <c r="AC1174" s="1553" t="n"/>
      <c r="AD1174" s="1553" t="n"/>
      <c r="AE1174" s="1554" t="n"/>
      <c r="AF1174" s="1553" t="n"/>
      <c r="AG1174" s="1553" t="n"/>
      <c r="AH1174" s="1553" t="n"/>
      <c r="AI1174" s="1553" t="n"/>
      <c r="AJ1174" s="1554" t="n"/>
      <c r="AK1174" s="1553" t="n"/>
      <c r="AL1174" s="1553" t="n"/>
      <c r="AM1174" s="1553" t="n"/>
      <c r="AN1174" s="1553" t="n"/>
      <c r="AO1174" s="1554" t="n"/>
      <c r="AP1174" s="1553" t="n"/>
      <c r="AQ1174" s="1553" t="n"/>
      <c r="AR1174" s="1553" t="n"/>
      <c r="AS1174" s="1553" t="n"/>
      <c r="AT1174" s="1554" t="n"/>
      <c r="AU1174" s="1553" t="n"/>
      <c r="AV1174" s="1553" t="n"/>
      <c r="AW1174" s="1553" t="n"/>
      <c r="AX1174" s="1553" t="n"/>
      <c r="AY1174" s="1554" t="n"/>
      <c r="AZ1174" s="1553" t="n"/>
      <c r="BA1174" s="1553" t="n"/>
      <c r="BB1174" s="1553" t="n"/>
      <c r="BC1174" s="1553" t="n"/>
      <c r="BD1174" s="1554" t="n"/>
      <c r="BE1174" s="1553" t="n"/>
      <c r="BF1174" s="1553" t="n"/>
      <c r="BG1174" s="1553" t="n"/>
      <c r="BH1174" s="1553" t="n"/>
      <c r="BI1174" s="1554" t="n"/>
      <c r="BJ1174" s="1553" t="n"/>
      <c r="BK1174" s="1553" t="n"/>
      <c r="BL1174" s="1553" t="n"/>
      <c r="BM1174" s="1553" t="n"/>
      <c r="BN1174" s="1554" t="n"/>
      <c r="BO1174" s="1553" t="n"/>
      <c r="BP1174" s="1553" t="n"/>
      <c r="BQ1174" s="1556" t="n"/>
      <c r="BR1174" s="1553" t="n"/>
      <c r="BS1174" s="1554" t="n"/>
      <c r="BT1174" s="1553" t="n"/>
      <c r="BU1174" s="1553" t="n"/>
      <c r="BV1174" s="1553" t="n"/>
      <c r="BW1174" s="1553" t="n"/>
      <c r="BX1174" s="1554" t="n"/>
      <c r="BY1174" s="1554" t="n"/>
      <c r="BZ1174" s="1554" t="n"/>
      <c r="CA1174" s="1554" t="n"/>
      <c r="CB1174" s="1375" t="n"/>
    </row>
    <row r="1175" ht="14.4" customFormat="1" customHeight="1" s="1372">
      <c r="A1175" s="1937" t="inlineStr">
        <is>
          <t>Percentage of amortization of intangible assets allocated to COGS, %</t>
        </is>
      </c>
      <c r="B1175" s="1590" t="n"/>
      <c r="C1175" s="1484" t="n"/>
      <c r="D1175" s="1484">
        <f>IFERROR(D460/D1170,"n/a")</f>
        <v/>
      </c>
      <c r="E1175" s="1484">
        <f>IFERROR(E460/E1170,"n/a")</f>
        <v/>
      </c>
      <c r="F1175" s="1484">
        <f>IFERROR(F460/F1170,"n/a")</f>
        <v/>
      </c>
      <c r="G1175" s="1483">
        <f>IFERROR(G460/G1170,"n/a")</f>
        <v/>
      </c>
      <c r="H1175" s="1483">
        <f>IFERROR(H460/H1170,"n/a")</f>
        <v/>
      </c>
      <c r="I1175" s="1483">
        <f>IFERROR(I460/I1170,"n/a")</f>
        <v/>
      </c>
      <c r="J1175" s="1483">
        <f>IFERROR(J460/J1170,"n/a")</f>
        <v/>
      </c>
      <c r="K1175" s="1484">
        <f>IFERROR(K460/K1170,"n/a")</f>
        <v/>
      </c>
      <c r="L1175" s="1483">
        <f>IFERROR(L460/L1170,"n/a")</f>
        <v/>
      </c>
      <c r="M1175" s="1483">
        <f>IFERROR(M460/M1170,"n/a")</f>
        <v/>
      </c>
      <c r="N1175" s="1483">
        <f>IFERROR(N460/N1170,"n/a")</f>
        <v/>
      </c>
      <c r="O1175" s="1483">
        <f>IFERROR(O460/O1170,"n/a")</f>
        <v/>
      </c>
      <c r="P1175" s="1484">
        <f>IFERROR(P460/P1170,"n/a")</f>
        <v/>
      </c>
      <c r="Q1175" s="1483">
        <f>IFERROR(Q460/Q1170,"n/a")</f>
        <v/>
      </c>
      <c r="R1175" s="1483">
        <f>IFERROR(R460/R1170,"n/a")</f>
        <v/>
      </c>
      <c r="S1175" s="1483">
        <f>IFERROR(S460/S1170,"n/a")</f>
        <v/>
      </c>
      <c r="T1175" s="1483">
        <f>IFERROR(T460/T1170,"n/a")</f>
        <v/>
      </c>
      <c r="U1175" s="1484">
        <f>IFERROR(U460/U1170,"n/a")</f>
        <v/>
      </c>
      <c r="V1175" s="1483">
        <f>IFERROR(V460/V1170,"n/a")</f>
        <v/>
      </c>
      <c r="W1175" s="1483">
        <f>IFERROR(W460/W1170,"n/a")</f>
        <v/>
      </c>
      <c r="X1175" s="1483">
        <f>IFERROR(X460/X1170,"n/a")</f>
        <v/>
      </c>
      <c r="Y1175" s="1483">
        <f>IFERROR(Y460/Y1170,"n/a")</f>
        <v/>
      </c>
      <c r="Z1175" s="1484">
        <f>IFERROR(Z460/Z1170,"n/a")</f>
        <v/>
      </c>
      <c r="AA1175" s="1483">
        <f>IFERROR(AA460/AA1170,"n/a")</f>
        <v/>
      </c>
      <c r="AB1175" s="1483">
        <f>IFERROR(AB460/AB1170,"n/a")</f>
        <v/>
      </c>
      <c r="AC1175" s="1483">
        <f>IFERROR(AC460/AC1170,"n/a")</f>
        <v/>
      </c>
      <c r="AD1175" s="1483">
        <f>IFERROR(AD460/AD1170,"n/a")</f>
        <v/>
      </c>
      <c r="AE1175" s="1484">
        <f>IFERROR(AE460/AE1170,"n/a")</f>
        <v/>
      </c>
      <c r="AF1175" s="1483">
        <f>IFERROR(AF460/AF1170,"n/a")</f>
        <v/>
      </c>
      <c r="AG1175" s="1483">
        <f>IFERROR(AG460/AG1170,"n/a")</f>
        <v/>
      </c>
      <c r="AH1175" s="1483">
        <f>IFERROR(AH460/AH1170,"n/a")</f>
        <v/>
      </c>
      <c r="AI1175" s="1483">
        <f>IFERROR(AI460/AI1170,"n/a")</f>
        <v/>
      </c>
      <c r="AJ1175" s="1484">
        <f>IFERROR(AJ460/AJ1170,"n/a")</f>
        <v/>
      </c>
      <c r="AK1175" s="1483">
        <f>IFERROR(AK460/AK1170,"n/a")</f>
        <v/>
      </c>
      <c r="AL1175" s="1483">
        <f>IFERROR(AL460/AL1170,"n/a")</f>
        <v/>
      </c>
      <c r="AM1175" s="1483">
        <f>IFERROR(AM460/AM1170,"n/a")</f>
        <v/>
      </c>
      <c r="AN1175" s="1483">
        <f>IFERROR(AN460/AN1170,"n/a")</f>
        <v/>
      </c>
      <c r="AO1175" s="1484">
        <f>IFERROR(AO460/AO1170,"n/a")</f>
        <v/>
      </c>
      <c r="AP1175" s="1483">
        <f>IFERROR(AP460/AP1170,"n/a")</f>
        <v/>
      </c>
      <c r="AQ1175" s="1483">
        <f>IFERROR(AQ460/AQ1170,"n/a")</f>
        <v/>
      </c>
      <c r="AR1175" s="1483">
        <f>IFERROR(AR460/AR1170,"n/a")</f>
        <v/>
      </c>
      <c r="AS1175" s="1483">
        <f>IFERROR(AS460/AS1170,"n/a")</f>
        <v/>
      </c>
      <c r="AT1175" s="1484">
        <f>IFERROR(AT460/AT1170,"n/a")</f>
        <v/>
      </c>
      <c r="AU1175" s="1483">
        <f>IFERROR(AU460/AU1170,"n/a")</f>
        <v/>
      </c>
      <c r="AV1175" s="1483">
        <f>IFERROR(AV460/AV1170,"n/a")</f>
        <v/>
      </c>
      <c r="AW1175" s="1483">
        <f>IFERROR(AW460/AW1170,"n/a")</f>
        <v/>
      </c>
      <c r="AX1175" s="1483">
        <f>IFERROR(AX460/AX1170,"n/a")</f>
        <v/>
      </c>
      <c r="AY1175" s="1484">
        <f>IFERROR(AY460/AY1170,"n/a")</f>
        <v/>
      </c>
      <c r="AZ1175" s="1483">
        <f>IFERROR(AZ460/AZ1170,"n/a")</f>
        <v/>
      </c>
      <c r="BA1175" s="1483">
        <f>IFERROR(BA460/BA1170,"n/a")</f>
        <v/>
      </c>
      <c r="BB1175" s="1483">
        <f>IFERROR(BB460/BB1170,"n/a")</f>
        <v/>
      </c>
      <c r="BC1175" s="1483">
        <f>IFERROR(BC460/BC1170,"n/a")</f>
        <v/>
      </c>
      <c r="BD1175" s="1484">
        <f>IFERROR(BD460/BD1170,"n/a")</f>
        <v/>
      </c>
      <c r="BE1175" s="1483">
        <f>IFERROR(BE460/BE1170,"n/a")</f>
        <v/>
      </c>
      <c r="BF1175" s="1483">
        <f>IFERROR(BF460/BF1170,"n/a")</f>
        <v/>
      </c>
      <c r="BG1175" s="1483">
        <f>IFERROR(BG460/BG1170,"n/a")</f>
        <v/>
      </c>
      <c r="BH1175" s="1483">
        <f>IFERROR(BH460/BH1170,"n/a")</f>
        <v/>
      </c>
      <c r="BI1175" s="1484">
        <f>IFERROR(BI460/BI1170,"n/a")</f>
        <v/>
      </c>
      <c r="BJ1175" s="1483">
        <f>IFERROR(BJ460/BJ1170,"n/a")</f>
        <v/>
      </c>
      <c r="BK1175" s="1483">
        <f>IFERROR(BK460/BK1170,"n/a")</f>
        <v/>
      </c>
      <c r="BL1175" s="1483">
        <f>IFERROR(BL460/BL1170,"n/a")</f>
        <v/>
      </c>
      <c r="BM1175" s="1483">
        <f>IFERROR(BM460/BM1170,"n/a")</f>
        <v/>
      </c>
      <c r="BN1175" s="1484">
        <f>IFERROR(BN460/BN1170,"n/a")</f>
        <v/>
      </c>
      <c r="BO1175" s="1483">
        <f>IFERROR(BO460/BO1170,"n/a")</f>
        <v/>
      </c>
      <c r="BP1175" s="1483">
        <f>IFERROR(BP460/BP1170,"n/a")</f>
        <v/>
      </c>
      <c r="BQ1175" s="1938">
        <f>IFERROR(BQ460/BQ1170,"n/a")</f>
        <v/>
      </c>
      <c r="BR1175" s="1939" t="n">
        <v>0.6889999999999999</v>
      </c>
      <c r="BS1175" s="1484">
        <f>IFERROR(BS460/BS1170,"n/a")</f>
        <v/>
      </c>
      <c r="BT1175" s="1939" t="n">
        <v>0.6889999999999999</v>
      </c>
      <c r="BU1175" s="1939" t="n">
        <v>0.6889999999999999</v>
      </c>
      <c r="BV1175" s="1939" t="n">
        <v>0.6889999999999999</v>
      </c>
      <c r="BW1175" s="1939" t="n">
        <v>0.6889999999999999</v>
      </c>
      <c r="BX1175" s="1484">
        <f>IFERROR(BX460/BX1170,"n/a")</f>
        <v/>
      </c>
      <c r="BY1175" s="1940" t="n">
        <v>0.6889999999999999</v>
      </c>
      <c r="BZ1175" s="1940" t="n">
        <v>0.6889999999999999</v>
      </c>
      <c r="CA1175" s="1940" t="n">
        <v>0.6889999999999999</v>
      </c>
      <c r="CB1175" s="1375" t="n"/>
    </row>
    <row r="1176" ht="14.4" customFormat="1" customHeight="1" s="1372">
      <c r="A1176" s="1937" t="inlineStr">
        <is>
          <t>Percentage of amortization of intangible assets allocated to Opex, %</t>
        </is>
      </c>
      <c r="B1176" s="1590" t="n"/>
      <c r="C1176" s="1484" t="n"/>
      <c r="D1176" s="1484">
        <f>IFERROR(-D167/D1170,"n/a")</f>
        <v/>
      </c>
      <c r="E1176" s="1484">
        <f>IFERROR(-E167/E1170,"n/a")</f>
        <v/>
      </c>
      <c r="F1176" s="1484">
        <f>IFERROR(-F167/F1170,"n/a")</f>
        <v/>
      </c>
      <c r="G1176" s="1483">
        <f>IFERROR(-G167/G1170,"n/a")</f>
        <v/>
      </c>
      <c r="H1176" s="1483">
        <f>IFERROR(-H167/H1170,"n/a")</f>
        <v/>
      </c>
      <c r="I1176" s="1483">
        <f>IFERROR(-I167/I1170,"n/a")</f>
        <v/>
      </c>
      <c r="J1176" s="1483">
        <f>IFERROR(-J167/J1170,"n/a")</f>
        <v/>
      </c>
      <c r="K1176" s="1484">
        <f>IFERROR(-K167/K1170,"n/a")</f>
        <v/>
      </c>
      <c r="L1176" s="1483">
        <f>IFERROR(-L167/L1170,"n/a")</f>
        <v/>
      </c>
      <c r="M1176" s="1483">
        <f>IFERROR(-M167/M1170,"n/a")</f>
        <v/>
      </c>
      <c r="N1176" s="1483">
        <f>IFERROR(-N167/N1170,"n/a")</f>
        <v/>
      </c>
      <c r="O1176" s="1483">
        <f>IFERROR(-O167/O1170,"n/a")</f>
        <v/>
      </c>
      <c r="P1176" s="1484">
        <f>IFERROR(-P167/P1170,"n/a")</f>
        <v/>
      </c>
      <c r="Q1176" s="1483">
        <f>IFERROR(-Q167/Q1170,"n/a")</f>
        <v/>
      </c>
      <c r="R1176" s="1483">
        <f>IFERROR(-R167/R1170,"n/a")</f>
        <v/>
      </c>
      <c r="S1176" s="1483">
        <f>IFERROR(-S167/S1170,"n/a")</f>
        <v/>
      </c>
      <c r="T1176" s="1483">
        <f>IFERROR(-T167/T1170,"n/a")</f>
        <v/>
      </c>
      <c r="U1176" s="1484">
        <f>IFERROR(-U167/U1170,"n/a")</f>
        <v/>
      </c>
      <c r="V1176" s="1483">
        <f>IFERROR(-V167/V1170,"n/a")</f>
        <v/>
      </c>
      <c r="W1176" s="1483">
        <f>IFERROR(-W167/W1170,"n/a")</f>
        <v/>
      </c>
      <c r="X1176" s="1483">
        <f>IFERROR(-X167/X1170,"n/a")</f>
        <v/>
      </c>
      <c r="Y1176" s="1483">
        <f>IFERROR(-Y167/Y1170,"n/a")</f>
        <v/>
      </c>
      <c r="Z1176" s="1484">
        <f>IFERROR(-Z167/Z1170,"n/a")</f>
        <v/>
      </c>
      <c r="AA1176" s="1483">
        <f>IFERROR(-AA167/AA1170,"n/a")</f>
        <v/>
      </c>
      <c r="AB1176" s="1483">
        <f>IFERROR(-AB167/AB1170,"n/a")</f>
        <v/>
      </c>
      <c r="AC1176" s="1483">
        <f>IFERROR(-AC167/AC1170,"n/a")</f>
        <v/>
      </c>
      <c r="AD1176" s="1483">
        <f>IFERROR(-AD167/AD1170,"n/a")</f>
        <v/>
      </c>
      <c r="AE1176" s="1484">
        <f>IFERROR(-AE167/AE1170,"n/a")</f>
        <v/>
      </c>
      <c r="AF1176" s="1483">
        <f>IFERROR(-AF167/AF1170,"n/a")</f>
        <v/>
      </c>
      <c r="AG1176" s="1483">
        <f>IFERROR(-AG167/AG1170,"n/a")</f>
        <v/>
      </c>
      <c r="AH1176" s="1483">
        <f>IFERROR(-AH167/AH1170,"n/a")</f>
        <v/>
      </c>
      <c r="AI1176" s="1483">
        <f>IFERROR(-AI167/AI1170,"n/a")</f>
        <v/>
      </c>
      <c r="AJ1176" s="1484">
        <f>IFERROR(-AJ167/AJ1170,"n/a")</f>
        <v/>
      </c>
      <c r="AK1176" s="1483">
        <f>IFERROR(-AK167/AK1170,"n/a")</f>
        <v/>
      </c>
      <c r="AL1176" s="1483">
        <f>IFERROR(-AL167/AL1170,"n/a")</f>
        <v/>
      </c>
      <c r="AM1176" s="1483">
        <f>IFERROR(-AM167/AM1170,"n/a")</f>
        <v/>
      </c>
      <c r="AN1176" s="1483">
        <f>IFERROR(-AN167/AN1170,"n/a")</f>
        <v/>
      </c>
      <c r="AO1176" s="1484">
        <f>IFERROR(-AO167/AO1170,"n/a")</f>
        <v/>
      </c>
      <c r="AP1176" s="1483">
        <f>IFERROR(-AP167/AP1170,"n/a")</f>
        <v/>
      </c>
      <c r="AQ1176" s="1483">
        <f>IFERROR(-AQ167/AQ1170,"n/a")</f>
        <v/>
      </c>
      <c r="AR1176" s="1483">
        <f>IFERROR(-AR167/AR1170,"n/a")</f>
        <v/>
      </c>
      <c r="AS1176" s="1483">
        <f>IFERROR(-AS167/AS1170,"n/a")</f>
        <v/>
      </c>
      <c r="AT1176" s="1484">
        <f>IFERROR(-AT167/AT1170,"n/a")</f>
        <v/>
      </c>
      <c r="AU1176" s="1483">
        <f>IFERROR(-AU167/AU1170,"n/a")</f>
        <v/>
      </c>
      <c r="AV1176" s="1483">
        <f>IFERROR(-AV167/AV1170,"n/a")</f>
        <v/>
      </c>
      <c r="AW1176" s="1483">
        <f>IFERROR(-AW167/AW1170,"n/a")</f>
        <v/>
      </c>
      <c r="AX1176" s="1483">
        <f>IFERROR(-AX167/AX1170,"n/a")</f>
        <v/>
      </c>
      <c r="AY1176" s="1484">
        <f>IFERROR(-AY167/AY1170,"n/a")</f>
        <v/>
      </c>
      <c r="AZ1176" s="1483">
        <f>IFERROR(-AZ167/AZ1170,"n/a")</f>
        <v/>
      </c>
      <c r="BA1176" s="1483">
        <f>IFERROR(-BA167/BA1170,"n/a")</f>
        <v/>
      </c>
      <c r="BB1176" s="1483">
        <f>IFERROR(-BB167/BB1170,"n/a")</f>
        <v/>
      </c>
      <c r="BC1176" s="1483">
        <f>IFERROR(-BC167/BC1170,"n/a")</f>
        <v/>
      </c>
      <c r="BD1176" s="1484">
        <f>IFERROR(-BD167/BD1170,"n/a")</f>
        <v/>
      </c>
      <c r="BE1176" s="1483">
        <f>IFERROR(-BE167/BE1170,"n/a")</f>
        <v/>
      </c>
      <c r="BF1176" s="1483">
        <f>IFERROR(-BF167/BF1170,"n/a")</f>
        <v/>
      </c>
      <c r="BG1176" s="1483">
        <f>IFERROR(-BG167/BG1170,"n/a")</f>
        <v/>
      </c>
      <c r="BH1176" s="1483">
        <f>IFERROR(-BH167/BH1170,"n/a")</f>
        <v/>
      </c>
      <c r="BI1176" s="1484">
        <f>IFERROR(-BI167/BI1170,"n/a")</f>
        <v/>
      </c>
      <c r="BJ1176" s="1483">
        <f>IFERROR(-BJ167/BJ1170,"n/a")</f>
        <v/>
      </c>
      <c r="BK1176" s="1483">
        <f>IFERROR(-BK167/BK1170,"n/a")</f>
        <v/>
      </c>
      <c r="BL1176" s="1483">
        <f>IFERROR(-BL167/BL1170,"n/a")</f>
        <v/>
      </c>
      <c r="BM1176" s="1483">
        <f>IFERROR(-BM167/BM1170,"n/a")</f>
        <v/>
      </c>
      <c r="BN1176" s="1484">
        <f>IFERROR(-BN167/BN1170,"n/a")</f>
        <v/>
      </c>
      <c r="BO1176" s="1483">
        <f>IFERROR(-BO167/BO1170,"n/a")</f>
        <v/>
      </c>
      <c r="BP1176" s="1483">
        <f>IFERROR(-BP167/BP1170,"n/a")</f>
        <v/>
      </c>
      <c r="BQ1176" s="1938">
        <f>IFERROR(-BQ167/BQ1170,"n/a")</f>
        <v/>
      </c>
      <c r="BR1176" s="1483">
        <f>1-BR1175</f>
        <v/>
      </c>
      <c r="BS1176" s="1484">
        <f>IFERROR(-BS167/BS1170,"n/a")</f>
        <v/>
      </c>
      <c r="BT1176" s="1483">
        <f>1-BT1175</f>
        <v/>
      </c>
      <c r="BU1176" s="1483">
        <f>1-BU1175</f>
        <v/>
      </c>
      <c r="BV1176" s="1483">
        <f>1-BV1175</f>
        <v/>
      </c>
      <c r="BW1176" s="1483">
        <f>1-BW1175</f>
        <v/>
      </c>
      <c r="BX1176" s="1484">
        <f>IFERROR(-BX167/BX1170,"n/a")</f>
        <v/>
      </c>
      <c r="BY1176" s="1484">
        <f>1-BY1175</f>
        <v/>
      </c>
      <c r="BZ1176" s="1484">
        <f>1-BZ1175</f>
        <v/>
      </c>
      <c r="CA1176" s="1484">
        <f>1-CA1175</f>
        <v/>
      </c>
      <c r="CB1176" s="1375" t="n"/>
    </row>
    <row r="1177" ht="14.4" customFormat="1" customHeight="1" s="1372">
      <c r="A1177" s="1474" t="n"/>
      <c r="B1177" s="1512" t="n"/>
      <c r="C1177" s="1554" t="n"/>
      <c r="D1177" s="1554" t="n"/>
      <c r="E1177" s="1554" t="n"/>
      <c r="F1177" s="1554" t="n"/>
      <c r="G1177" s="1553" t="n"/>
      <c r="H1177" s="1553" t="n"/>
      <c r="I1177" s="1553" t="n"/>
      <c r="J1177" s="1553" t="n"/>
      <c r="K1177" s="1554" t="n"/>
      <c r="L1177" s="1553" t="n"/>
      <c r="M1177" s="1553" t="n"/>
      <c r="N1177" s="1553" t="n"/>
      <c r="O1177" s="1553" t="n"/>
      <c r="P1177" s="1554" t="n"/>
      <c r="Q1177" s="1553" t="n"/>
      <c r="R1177" s="1553" t="n"/>
      <c r="S1177" s="1553" t="n"/>
      <c r="T1177" s="1553" t="n"/>
      <c r="U1177" s="1554" t="n"/>
      <c r="V1177" s="1553" t="n"/>
      <c r="W1177" s="1553" t="n"/>
      <c r="X1177" s="1553" t="n"/>
      <c r="Y1177" s="1553" t="n"/>
      <c r="Z1177" s="1554" t="n"/>
      <c r="AA1177" s="1553" t="n"/>
      <c r="AB1177" s="1553" t="n"/>
      <c r="AC1177" s="1553" t="n"/>
      <c r="AD1177" s="1553" t="n"/>
      <c r="AE1177" s="1554" t="n"/>
      <c r="AF1177" s="1553" t="n"/>
      <c r="AG1177" s="1553" t="n"/>
      <c r="AH1177" s="1553" t="n"/>
      <c r="AI1177" s="1553" t="n"/>
      <c r="AJ1177" s="1554" t="n"/>
      <c r="AK1177" s="1553" t="n"/>
      <c r="AL1177" s="1553" t="n"/>
      <c r="AM1177" s="1553" t="n"/>
      <c r="AN1177" s="1553" t="n"/>
      <c r="AO1177" s="1554" t="n"/>
      <c r="AP1177" s="1553" t="n"/>
      <c r="AQ1177" s="1553" t="n"/>
      <c r="AR1177" s="1553" t="n"/>
      <c r="AS1177" s="1553" t="n"/>
      <c r="AT1177" s="1554" t="n"/>
      <c r="AU1177" s="1553" t="n"/>
      <c r="AV1177" s="1553" t="n"/>
      <c r="AW1177" s="1553" t="n"/>
      <c r="AX1177" s="1553" t="n"/>
      <c r="AY1177" s="1554" t="n"/>
      <c r="AZ1177" s="1553" t="n"/>
      <c r="BA1177" s="1553" t="n"/>
      <c r="BB1177" s="1553" t="n"/>
      <c r="BC1177" s="1553" t="n"/>
      <c r="BD1177" s="1554" t="n"/>
      <c r="BE1177" s="1553" t="n"/>
      <c r="BF1177" s="1553" t="n"/>
      <c r="BG1177" s="1553" t="n"/>
      <c r="BH1177" s="1553" t="n"/>
      <c r="BI1177" s="1554" t="n"/>
      <c r="BJ1177" s="1553" t="n"/>
      <c r="BK1177" s="1553" t="n"/>
      <c r="BL1177" s="1553" t="n"/>
      <c r="BM1177" s="1553" t="n"/>
      <c r="BN1177" s="1554" t="n"/>
      <c r="BO1177" s="1553" t="n"/>
      <c r="BP1177" s="1553" t="n"/>
      <c r="BQ1177" s="1556" t="n"/>
      <c r="BR1177" s="1553" t="n"/>
      <c r="BS1177" s="1554" t="n"/>
      <c r="BT1177" s="1553" t="n"/>
      <c r="BU1177" s="1553" t="n"/>
      <c r="BV1177" s="1553" t="n"/>
      <c r="BW1177" s="1553" t="n"/>
      <c r="BX1177" s="1554" t="n"/>
      <c r="BY1177" s="1554" t="n"/>
      <c r="BZ1177" s="1554" t="n"/>
      <c r="CA1177" s="1554" t="n"/>
      <c r="CB1177" s="1375" t="n"/>
    </row>
    <row r="1178" ht="14.4" customFormat="1" customHeight="1" s="1372">
      <c r="A1178" s="1937" t="inlineStr">
        <is>
          <t>Depreciation as percentage of PP&amp;E BoP, %</t>
        </is>
      </c>
      <c r="B1178" s="1590" t="n"/>
      <c r="C1178" s="1484" t="n"/>
      <c r="D1178" s="1484">
        <f>IFERROR(-D1164/D1163,"n/a")</f>
        <v/>
      </c>
      <c r="E1178" s="1484">
        <f>IFERROR(-E1164/E1163,"n/a")</f>
        <v/>
      </c>
      <c r="F1178" s="1484">
        <f>IFERROR(-F1164/F1163,"n/a")</f>
        <v/>
      </c>
      <c r="G1178" s="1483">
        <f>IFERROR(-G1164/G1163*K3/G3,"n/a")</f>
        <v/>
      </c>
      <c r="H1178" s="1483">
        <f>IFERROR(-H1164/H1163*K3/H3,"n/a")</f>
        <v/>
      </c>
      <c r="I1178" s="1483">
        <f>IFERROR(-I1164/I1163*K3/I3,"n/a")</f>
        <v/>
      </c>
      <c r="J1178" s="1483">
        <f>IFERROR(-J1164/J1163*K3/J3,"n/a")</f>
        <v/>
      </c>
      <c r="K1178" s="1484">
        <f>IFERROR(-K1164/K1163,"n/a")</f>
        <v/>
      </c>
      <c r="L1178" s="1483">
        <f>IFERROR(-L1164/L1163*P3/L3,"n/a")</f>
        <v/>
      </c>
      <c r="M1178" s="1483">
        <f>IFERROR(-M1164/M1163*P3/M3,"n/a")</f>
        <v/>
      </c>
      <c r="N1178" s="1483">
        <f>IFERROR(-N1164/N1163*P3/N3,"n/a")</f>
        <v/>
      </c>
      <c r="O1178" s="1483">
        <f>IFERROR(-O1164/O1163*P3/O3,"n/a")</f>
        <v/>
      </c>
      <c r="P1178" s="1484">
        <f>IFERROR(-P1164/P1163,"n/a")</f>
        <v/>
      </c>
      <c r="Q1178" s="1483">
        <f>IFERROR(-Q1164/Q1163*U3/Q3,"n/a")</f>
        <v/>
      </c>
      <c r="R1178" s="1483">
        <f>IFERROR(-R1164/R1163*U3/R3,"n/a")</f>
        <v/>
      </c>
      <c r="S1178" s="1483">
        <f>IFERROR(-S1164/S1163*U3/S3,"n/a")</f>
        <v/>
      </c>
      <c r="T1178" s="1483">
        <f>IFERROR(-T1164/T1163*U3/T3,"n/a")</f>
        <v/>
      </c>
      <c r="U1178" s="1484">
        <f>IFERROR(-U1164/U1163,"n/a")</f>
        <v/>
      </c>
      <c r="V1178" s="1483">
        <f>IFERROR(-V1164/V1163*Z3/V3,"n/a")</f>
        <v/>
      </c>
      <c r="W1178" s="1483">
        <f>IFERROR(-W1164/W1163*Z3/W3,"n/a")</f>
        <v/>
      </c>
      <c r="X1178" s="1483">
        <f>IFERROR(-X1164/X1163*Z3/X3,"n/a")</f>
        <v/>
      </c>
      <c r="Y1178" s="1483">
        <f>IFERROR(-Y1164/Y1163*Z3/Y3,"n/a")</f>
        <v/>
      </c>
      <c r="Z1178" s="1484">
        <f>IFERROR(-Z1164/Z1163,"n/a")</f>
        <v/>
      </c>
      <c r="AA1178" s="1483">
        <f>IFERROR(-AA1164/AA1163*AE3/AA3,"n/a")</f>
        <v/>
      </c>
      <c r="AB1178" s="1483">
        <f>IFERROR(-AB1164/AB1163*AE3/AB3,"n/a")</f>
        <v/>
      </c>
      <c r="AC1178" s="1483">
        <f>IFERROR(-AC1164/AC1163*AE3/AC3,"n/a")</f>
        <v/>
      </c>
      <c r="AD1178" s="1483">
        <f>IFERROR(-AD1164/AD1163*AE3/AD3,"n/a")</f>
        <v/>
      </c>
      <c r="AE1178" s="1484">
        <f>IFERROR(-AE1164/AE1163,"n/a")</f>
        <v/>
      </c>
      <c r="AF1178" s="1483">
        <f>IFERROR(-AF1164/AF1163*AJ3/AF3,"n/a")</f>
        <v/>
      </c>
      <c r="AG1178" s="1483">
        <f>IFERROR(-AG1164/AG1163*AJ3/AG3,"n/a")</f>
        <v/>
      </c>
      <c r="AH1178" s="1483">
        <f>IFERROR(-AH1164/AH1163*AJ3/AH3,"n/a")</f>
        <v/>
      </c>
      <c r="AI1178" s="1483">
        <f>IFERROR(-AI1164/AI1163*AJ3/AI3,"n/a")</f>
        <v/>
      </c>
      <c r="AJ1178" s="1484">
        <f>IFERROR(-AJ1164/AJ1163,"n/a")</f>
        <v/>
      </c>
      <c r="AK1178" s="1483">
        <f>IFERROR(-AK1164/AK1163*AO3/AK3,"n/a")</f>
        <v/>
      </c>
      <c r="AL1178" s="1483">
        <f>IFERROR(-AL1164/AL1163*AO3/AL3,"n/a")</f>
        <v/>
      </c>
      <c r="AM1178" s="1483">
        <f>IFERROR(-AM1164/AM1163*AO3/AM3,"n/a")</f>
        <v/>
      </c>
      <c r="AN1178" s="1483">
        <f>IFERROR(-AN1164/AN1163*AO3/AN3,"n/a")</f>
        <v/>
      </c>
      <c r="AO1178" s="1484">
        <f>IFERROR(-AO1164/AO1163,"n/a")</f>
        <v/>
      </c>
      <c r="AP1178" s="1483">
        <f>IFERROR(-AP1164/AP1163*AT3/AP3,"n/a")</f>
        <v/>
      </c>
      <c r="AQ1178" s="1483">
        <f>IFERROR(-AQ1164/AQ1163*AT3/AQ3,"n/a")</f>
        <v/>
      </c>
      <c r="AR1178" s="1483">
        <f>IFERROR(-AR1164/AR1163*AT3/AR3,"n/a")</f>
        <v/>
      </c>
      <c r="AS1178" s="1483">
        <f>IFERROR(-AS1164/AS1163*AT3/AS3,"n/a")</f>
        <v/>
      </c>
      <c r="AT1178" s="1484">
        <f>IFERROR(-AT1164/AT1163,"n/a")</f>
        <v/>
      </c>
      <c r="AU1178" s="1483">
        <f>IFERROR(-AU1164/AU1163*AY3/AU3,"n/a")</f>
        <v/>
      </c>
      <c r="AV1178" s="1483">
        <f>IFERROR(-AV1164/AV1163*AY3/AV3,"n/a")</f>
        <v/>
      </c>
      <c r="AW1178" s="1483">
        <f>IFERROR(-AW1164/AW1163*AY3/AW3,"n/a")</f>
        <v/>
      </c>
      <c r="AX1178" s="1483">
        <f>IFERROR(-AX1164/AX1163*AY3/AX3,"n/a")</f>
        <v/>
      </c>
      <c r="AY1178" s="1484">
        <f>IFERROR(-AY1164/AY1163,"n/a")</f>
        <v/>
      </c>
      <c r="AZ1178" s="1483">
        <f>IFERROR(-AZ1164/AZ1163*BD3/AZ3,"n/a")</f>
        <v/>
      </c>
      <c r="BA1178" s="1483">
        <f>IFERROR(-BA1164/BA1163*BD3/BA3,"n/a")</f>
        <v/>
      </c>
      <c r="BB1178" s="1483">
        <f>IFERROR(-BB1164/BB1163*BD3/BB3,"n/a")</f>
        <v/>
      </c>
      <c r="BC1178" s="1483">
        <f>IFERROR(-BC1164/BC1163*BD3/BC3,"n/a")</f>
        <v/>
      </c>
      <c r="BD1178" s="1484">
        <f>IFERROR(-BD1164/BD1163,"n/a")</f>
        <v/>
      </c>
      <c r="BE1178" s="1483">
        <f>IFERROR(-BE1164/BE1163*BI3/BE3,"n/a")</f>
        <v/>
      </c>
      <c r="BF1178" s="1483">
        <f>IFERROR(-BF1164/BF1163*BI3/BF3,"n/a")</f>
        <v/>
      </c>
      <c r="BG1178" s="1483">
        <f>IFERROR(-BG1164/BG1163*BI3/BG3,"n/a")</f>
        <v/>
      </c>
      <c r="BH1178" s="1483">
        <f>IFERROR(-BH1164/BH1163*BI3/BH3,"n/a")</f>
        <v/>
      </c>
      <c r="BI1178" s="1484">
        <f>IFERROR(-BI1164/BI1163,"n/a")</f>
        <v/>
      </c>
      <c r="BJ1178" s="1483">
        <f>IFERROR(-BJ1164/BJ1163*BN3/BJ3,"n/a")</f>
        <v/>
      </c>
      <c r="BK1178" s="1483">
        <f>IFERROR(-BK1164/BK1163*BN3/BK3,"n/a")</f>
        <v/>
      </c>
      <c r="BL1178" s="1483">
        <f>IFERROR(-BL1164/BL1163*BN3/BL3,"n/a")</f>
        <v/>
      </c>
      <c r="BM1178" s="1483">
        <f>IFERROR(-BM1164/BM1163*BN3/BM3,"n/a")</f>
        <v/>
      </c>
      <c r="BN1178" s="1484">
        <f>IFERROR(-BN1164/BN1163,"n/a")</f>
        <v/>
      </c>
      <c r="BO1178" s="1483">
        <f>IFERROR(-BO1164/BO1163*BS3/BO3,"n/a")</f>
        <v/>
      </c>
      <c r="BP1178" s="1483">
        <f>IFERROR(-BP1164/BP1163*BS3/BP3,"n/a")</f>
        <v/>
      </c>
      <c r="BQ1178" s="1938">
        <f>IFERROR(-BQ1164/BQ1163*BS3/BQ3,"n/a")</f>
        <v/>
      </c>
      <c r="BR1178" s="1939" t="n">
        <v>0.198</v>
      </c>
      <c r="BS1178" s="1484">
        <f>AVERAGE(BO1178,BP1178,BQ1178,BR1178)</f>
        <v/>
      </c>
      <c r="BT1178" s="1939" t="n">
        <v>0.198</v>
      </c>
      <c r="BU1178" s="1939" t="n">
        <v>0.198</v>
      </c>
      <c r="BV1178" s="1939" t="n">
        <v>0.198</v>
      </c>
      <c r="BW1178" s="1939" t="n">
        <v>0.198</v>
      </c>
      <c r="BX1178" s="1484">
        <f>AVERAGE(BT1178,BU1178,BV1178,BW1178)</f>
        <v/>
      </c>
      <c r="BY1178" s="1940" t="n">
        <v>0.198</v>
      </c>
      <c r="BZ1178" s="1940" t="n">
        <v>0.198</v>
      </c>
      <c r="CA1178" s="1940" t="n">
        <v>0.198</v>
      </c>
      <c r="CB1178" s="1375" t="n"/>
    </row>
    <row r="1179" ht="14.4" customFormat="1" customHeight="1" s="1372">
      <c r="A1179" s="1937" t="inlineStr">
        <is>
          <t>Amortization as percentage of Intangibles BoP, %</t>
        </is>
      </c>
      <c r="B1179" s="1590" t="n"/>
      <c r="C1179" s="1484" t="n"/>
      <c r="D1179" s="1484">
        <f>IFERROR(-D1170/D1169,"n/a")</f>
        <v/>
      </c>
      <c r="E1179" s="1484">
        <f>IFERROR(-E1170/E1169,"n/a")</f>
        <v/>
      </c>
      <c r="F1179" s="1484">
        <f>IFERROR(-F1170/F1169,"n/a")</f>
        <v/>
      </c>
      <c r="G1179" s="1483">
        <f>IFERROR(-G1170/G1169*K3/G3,"n/a")</f>
        <v/>
      </c>
      <c r="H1179" s="1483">
        <f>IFERROR(-H1170/H1169*K3/H3,"n/a")</f>
        <v/>
      </c>
      <c r="I1179" s="1483">
        <f>IFERROR(-I1170/I1169*K3/I3,"n/a")</f>
        <v/>
      </c>
      <c r="J1179" s="1483">
        <f>IFERROR(-J1170/J1169*K3/J3,"n/a")</f>
        <v/>
      </c>
      <c r="K1179" s="1484">
        <f>IFERROR(-K1170/K1169,"n/a")</f>
        <v/>
      </c>
      <c r="L1179" s="1483">
        <f>IFERROR(-L1170/L1169*P3/L3,"n/a")</f>
        <v/>
      </c>
      <c r="M1179" s="1483">
        <f>IFERROR(-M1170/M1169*P3/M3,"n/a")</f>
        <v/>
      </c>
      <c r="N1179" s="1483">
        <f>IFERROR(-N1170/N1169*P3/N3,"n/a")</f>
        <v/>
      </c>
      <c r="O1179" s="1483">
        <f>IFERROR(-O1170/O1169*P3/O3,"n/a")</f>
        <v/>
      </c>
      <c r="P1179" s="1484">
        <f>IFERROR(-P1170/P1169,"n/a")</f>
        <v/>
      </c>
      <c r="Q1179" s="1483">
        <f>IFERROR(-Q1170/Q1169*U3/Q3,"n/a")</f>
        <v/>
      </c>
      <c r="R1179" s="1483">
        <f>IFERROR(-R1170/R1169*U3/R3,"n/a")</f>
        <v/>
      </c>
      <c r="S1179" s="1483">
        <f>IFERROR(-S1170/S1169*U3/S3,"n/a")</f>
        <v/>
      </c>
      <c r="T1179" s="1483">
        <f>IFERROR(-T1170/T1169*U3/T3,"n/a")</f>
        <v/>
      </c>
      <c r="U1179" s="1484">
        <f>IFERROR(-U1170/U1169,"n/a")</f>
        <v/>
      </c>
      <c r="V1179" s="1483">
        <f>IFERROR(-V1170/V1169*Z3/V3,"n/a")</f>
        <v/>
      </c>
      <c r="W1179" s="1483">
        <f>IFERROR(-W1170/W1169*Z3/W3,"n/a")</f>
        <v/>
      </c>
      <c r="X1179" s="1483">
        <f>IFERROR(-X1170/X1169*Z3/X3,"n/a")</f>
        <v/>
      </c>
      <c r="Y1179" s="1483">
        <f>IFERROR(-Y1170/Y1169*Z3/Y3,"n/a")</f>
        <v/>
      </c>
      <c r="Z1179" s="1484">
        <f>IFERROR(-Z1170/Z1169,"n/a")</f>
        <v/>
      </c>
      <c r="AA1179" s="1483">
        <f>IFERROR(-AA1170/AA1169*AE3/AA3,"n/a")</f>
        <v/>
      </c>
      <c r="AB1179" s="1483">
        <f>IFERROR(-AB1170/AB1169*AE3/AB3,"n/a")</f>
        <v/>
      </c>
      <c r="AC1179" s="1483">
        <f>IFERROR(-AC1170/AC1169*AE3/AC3,"n/a")</f>
        <v/>
      </c>
      <c r="AD1179" s="1483">
        <f>IFERROR(-AD1170/AD1169*AE3/AD3,"n/a")</f>
        <v/>
      </c>
      <c r="AE1179" s="1484">
        <f>IFERROR(-AE1170/AE1169,"n/a")</f>
        <v/>
      </c>
      <c r="AF1179" s="1483">
        <f>IFERROR(-AF1170/AF1169*AJ3/AF3,"n/a")</f>
        <v/>
      </c>
      <c r="AG1179" s="1483">
        <f>IFERROR(-AG1170/AG1169*AJ3/AG3,"n/a")</f>
        <v/>
      </c>
      <c r="AH1179" s="1483">
        <f>IFERROR(-AH1170/AH1169*AJ3/AH3,"n/a")</f>
        <v/>
      </c>
      <c r="AI1179" s="1483">
        <f>IFERROR(-AI1170/AI1169*AJ3/AI3,"n/a")</f>
        <v/>
      </c>
      <c r="AJ1179" s="1484">
        <f>IFERROR(-AJ1170/AJ1169,"n/a")</f>
        <v/>
      </c>
      <c r="AK1179" s="1483">
        <f>IFERROR(-AK1170/AK1169*AO3/AK3,"n/a")</f>
        <v/>
      </c>
      <c r="AL1179" s="1483">
        <f>IFERROR(-AL1170/AL1169*AO3/AL3,"n/a")</f>
        <v/>
      </c>
      <c r="AM1179" s="1483">
        <f>IFERROR(-AM1170/AM1169*AO3/AM3,"n/a")</f>
        <v/>
      </c>
      <c r="AN1179" s="1483">
        <f>IFERROR(-AN1170/AN1169*AO3/AN3,"n/a")</f>
        <v/>
      </c>
      <c r="AO1179" s="1484">
        <f>IFERROR(-AO1170/AO1169,"n/a")</f>
        <v/>
      </c>
      <c r="AP1179" s="1483">
        <f>IFERROR(-AP1170/AP1169*AT3/AP3,"n/a")</f>
        <v/>
      </c>
      <c r="AQ1179" s="1483">
        <f>IFERROR(-AQ1170/AQ1169*AT3/AQ3,"n/a")</f>
        <v/>
      </c>
      <c r="AR1179" s="1483">
        <f>IFERROR(-AR1170/AR1169*AT3/AR3,"n/a")</f>
        <v/>
      </c>
      <c r="AS1179" s="1483">
        <f>IFERROR(-AS1170/AS1169*AT3/AS3,"n/a")</f>
        <v/>
      </c>
      <c r="AT1179" s="1484">
        <f>IFERROR(-AT1170/AT1169,"n/a")</f>
        <v/>
      </c>
      <c r="AU1179" s="1483">
        <f>IFERROR(-AU1170/AU1169*AY3/AU3,"n/a")</f>
        <v/>
      </c>
      <c r="AV1179" s="1483">
        <f>IFERROR(-AV1170/AV1169*AY3/AV3,"n/a")</f>
        <v/>
      </c>
      <c r="AW1179" s="1483">
        <f>IFERROR(-AW1170/AW1169*AY3/AW3,"n/a")</f>
        <v/>
      </c>
      <c r="AX1179" s="1483">
        <f>IFERROR(-AX1170/AX1169*AY3/AX3,"n/a")</f>
        <v/>
      </c>
      <c r="AY1179" s="1484">
        <f>IFERROR(-AY1170/AY1169,"n/a")</f>
        <v/>
      </c>
      <c r="AZ1179" s="1483">
        <f>IFERROR(-AZ1170/AZ1169*BD3/AZ3,"n/a")</f>
        <v/>
      </c>
      <c r="BA1179" s="1483">
        <f>IFERROR(-BA1170/BA1169*BD3/BA3,"n/a")</f>
        <v/>
      </c>
      <c r="BB1179" s="1483">
        <f>IFERROR(-BB1170/BB1169*BD3/BB3,"n/a")</f>
        <v/>
      </c>
      <c r="BC1179" s="1483">
        <f>IFERROR(-BC1170/BC1169*BD3/BC3,"n/a")</f>
        <v/>
      </c>
      <c r="BD1179" s="1484">
        <f>IFERROR(-BD1170/BD1169,"n/a")</f>
        <v/>
      </c>
      <c r="BE1179" s="1483">
        <f>IFERROR(-BE1170/BE1169*BI3/BE3,"n/a")</f>
        <v/>
      </c>
      <c r="BF1179" s="1483">
        <f>IFERROR(-BF1170/BF1169*BI3/BF3,"n/a")</f>
        <v/>
      </c>
      <c r="BG1179" s="1483">
        <f>IFERROR(-BG1170/BG1169*BI3/BG3,"n/a")</f>
        <v/>
      </c>
      <c r="BH1179" s="1483">
        <f>IFERROR(-BH1170/BH1169*BI3/BH3,"n/a")</f>
        <v/>
      </c>
      <c r="BI1179" s="1484">
        <f>IFERROR(-BI1170/BI1169,"n/a")</f>
        <v/>
      </c>
      <c r="BJ1179" s="1483">
        <f>IFERROR(-BJ1170/BJ1169*BN3/BJ3,"n/a")</f>
        <v/>
      </c>
      <c r="BK1179" s="1483">
        <f>IFERROR(-BK1170/BK1169*BN3/BK3,"n/a")</f>
        <v/>
      </c>
      <c r="BL1179" s="1483">
        <f>IFERROR(-BL1170/BL1169*BN3/BL3,"n/a")</f>
        <v/>
      </c>
      <c r="BM1179" s="1483">
        <f>IFERROR(-BM1170/BM1169*BN3/BM3,"n/a")</f>
        <v/>
      </c>
      <c r="BN1179" s="1484">
        <f>IFERROR(-BN1170/BN1169,"n/a")</f>
        <v/>
      </c>
      <c r="BO1179" s="1483">
        <f>IFERROR(-BO1170/BO1169*BS3/BO3,"n/a")</f>
        <v/>
      </c>
      <c r="BP1179" s="1483">
        <f>IFERROR(-BP1170/BP1169*BS3/BP3,"n/a")</f>
        <v/>
      </c>
      <c r="BQ1179" s="1938">
        <f>IFERROR(-BQ1170/BQ1169*BS3/BQ3,"n/a")</f>
        <v/>
      </c>
      <c r="BR1179" s="1939" t="n">
        <v>0.175</v>
      </c>
      <c r="BS1179" s="1484">
        <f>AVERAGE(BO1179,BP1179,BQ1179,BR1179)</f>
        <v/>
      </c>
      <c r="BT1179" s="1939" t="n">
        <v>0.175</v>
      </c>
      <c r="BU1179" s="1939" t="n">
        <v>0.175</v>
      </c>
      <c r="BV1179" s="1939" t="n">
        <v>0.175</v>
      </c>
      <c r="BW1179" s="1939" t="n">
        <v>0.175</v>
      </c>
      <c r="BX1179" s="1484">
        <f>AVERAGE(BT1179,BU1179,BV1179,BW1179)</f>
        <v/>
      </c>
      <c r="BY1179" s="1940" t="n">
        <v>0.175</v>
      </c>
      <c r="BZ1179" s="1940" t="n">
        <v>0.175</v>
      </c>
      <c r="CA1179" s="1940" t="n">
        <v>0.175</v>
      </c>
      <c r="CB1179" s="1375" t="n"/>
    </row>
    <row r="1180" ht="14.4" customFormat="1" customHeight="1" s="1372">
      <c r="A1180" s="1447" t="inlineStr">
        <is>
          <t>Implied life of fixed assets, yr</t>
        </is>
      </c>
      <c r="B1180" s="1517" t="n"/>
      <c r="C1180" s="1941" t="n"/>
      <c r="D1180" s="1941">
        <f>IFERROR(-D1163/D1164,"n/a")</f>
        <v/>
      </c>
      <c r="E1180" s="1941">
        <f>IFERROR(-E1163/E1164,"n/a")</f>
        <v/>
      </c>
      <c r="F1180" s="1941">
        <f>IFERROR(-F1163/F1164,"n/a")</f>
        <v/>
      </c>
      <c r="G1180" s="1942">
        <f>IFERROR(-G1163/G1164*G3/K3,"n/a")</f>
        <v/>
      </c>
      <c r="H1180" s="1942">
        <f>IFERROR(-H1163/H1164*H3/K3,"n/a")</f>
        <v/>
      </c>
      <c r="I1180" s="1942">
        <f>IFERROR(-I1163/I1164*I3/K3,"n/a")</f>
        <v/>
      </c>
      <c r="J1180" s="1942">
        <f>IFERROR(-J1163/J1164*J3/K3,"n/a")</f>
        <v/>
      </c>
      <c r="K1180" s="1941">
        <f>IFERROR(-K1163/K1164,"n/a")</f>
        <v/>
      </c>
      <c r="L1180" s="1942">
        <f>IFERROR(-L1163/L1164*L3/P3,"n/a")</f>
        <v/>
      </c>
      <c r="M1180" s="1942">
        <f>IFERROR(-M1163/M1164*M3/P3,"n/a")</f>
        <v/>
      </c>
      <c r="N1180" s="1942">
        <f>IFERROR(-N1163/N1164*N3/P3,"n/a")</f>
        <v/>
      </c>
      <c r="O1180" s="1942">
        <f>IFERROR(-O1163/O1164*O3/P3,"n/a")</f>
        <v/>
      </c>
      <c r="P1180" s="1941">
        <f>IFERROR(-P1163/P1164,"n/a")</f>
        <v/>
      </c>
      <c r="Q1180" s="1942">
        <f>IFERROR(-Q1163/Q1164*Q3/U3,"n/a")</f>
        <v/>
      </c>
      <c r="R1180" s="1942">
        <f>IFERROR(-R1163/R1164*R3/U3,"n/a")</f>
        <v/>
      </c>
      <c r="S1180" s="1942">
        <f>IFERROR(-S1163/S1164*S3/U3,"n/a")</f>
        <v/>
      </c>
      <c r="T1180" s="1942">
        <f>IFERROR(-T1163/T1164*T3/U3,"n/a")</f>
        <v/>
      </c>
      <c r="U1180" s="1941">
        <f>IFERROR(-U1163/U1164,"n/a")</f>
        <v/>
      </c>
      <c r="V1180" s="1942">
        <f>IFERROR(-V1163/V1164*V3/Z3,"n/a")</f>
        <v/>
      </c>
      <c r="W1180" s="1942">
        <f>IFERROR(-W1163/W1164*W3/Z3,"n/a")</f>
        <v/>
      </c>
      <c r="X1180" s="1942">
        <f>IFERROR(-X1163/X1164*X3/Z3,"n/a")</f>
        <v/>
      </c>
      <c r="Y1180" s="1942">
        <f>IFERROR(-Y1163/Y1164*Y3/Z3,"n/a")</f>
        <v/>
      </c>
      <c r="Z1180" s="1941">
        <f>IFERROR(-Z1163/Z1164,"n/a")</f>
        <v/>
      </c>
      <c r="AA1180" s="1942">
        <f>IFERROR(-AA1163/AA1164*AA3/AE3,"n/a")</f>
        <v/>
      </c>
      <c r="AB1180" s="1942">
        <f>IFERROR(-AB1163/AB1164*AB3/AE3,"n/a")</f>
        <v/>
      </c>
      <c r="AC1180" s="1942">
        <f>IFERROR(-AC1163/AC1164*AC3/AE3,"n/a")</f>
        <v/>
      </c>
      <c r="AD1180" s="1942">
        <f>IFERROR(-AD1163/AD1164*AD3/AE3,"n/a")</f>
        <v/>
      </c>
      <c r="AE1180" s="1941">
        <f>IFERROR(-AE1163/AE1164,"n/a")</f>
        <v/>
      </c>
      <c r="AF1180" s="1942">
        <f>IFERROR(-AF1163/AF1164*AF3/AJ3,"n/a")</f>
        <v/>
      </c>
      <c r="AG1180" s="1942">
        <f>IFERROR(-AG1163/AG1164*AG3/AJ3,"n/a")</f>
        <v/>
      </c>
      <c r="AH1180" s="1942">
        <f>IFERROR(-AH1163/AH1164*AH3/AJ3,"n/a")</f>
        <v/>
      </c>
      <c r="AI1180" s="1942">
        <f>IFERROR(-AI1163/AI1164*AI3/AJ3,"n/a")</f>
        <v/>
      </c>
      <c r="AJ1180" s="1941">
        <f>IFERROR(-AJ1163/AJ1164,"n/a")</f>
        <v/>
      </c>
      <c r="AK1180" s="1942">
        <f>IFERROR(-AK1163/AK1164*AK3/AO3,"n/a")</f>
        <v/>
      </c>
      <c r="AL1180" s="1942">
        <f>IFERROR(-AL1163/AL1164*AL3/AO3,"n/a")</f>
        <v/>
      </c>
      <c r="AM1180" s="1942">
        <f>IFERROR(-AM1163/AM1164*AM3/AO3,"n/a")</f>
        <v/>
      </c>
      <c r="AN1180" s="1942">
        <f>IFERROR(-AN1163/AN1164*AN3/AO3,"n/a")</f>
        <v/>
      </c>
      <c r="AO1180" s="1941">
        <f>IFERROR(-AO1163/AO1164,"n/a")</f>
        <v/>
      </c>
      <c r="AP1180" s="1942">
        <f>IFERROR(-AP1163/AP1164*AP3/AT3,"n/a")</f>
        <v/>
      </c>
      <c r="AQ1180" s="1942">
        <f>IFERROR(-AQ1163/AQ1164*AQ3/AT3,"n/a")</f>
        <v/>
      </c>
      <c r="AR1180" s="1942">
        <f>IFERROR(-AR1163/AR1164*AR3/AT3,"n/a")</f>
        <v/>
      </c>
      <c r="AS1180" s="1942">
        <f>IFERROR(-AS1163/AS1164*AS3/AT3,"n/a")</f>
        <v/>
      </c>
      <c r="AT1180" s="1941">
        <f>IFERROR(-AT1163/AT1164,"n/a")</f>
        <v/>
      </c>
      <c r="AU1180" s="1942">
        <f>IFERROR(-AU1163/AU1164*AU3/AY3,"n/a")</f>
        <v/>
      </c>
      <c r="AV1180" s="1942">
        <f>IFERROR(-AV1163/AV1164*AV3/AY3,"n/a")</f>
        <v/>
      </c>
      <c r="AW1180" s="1942">
        <f>IFERROR(-AW1163/AW1164*AW3/AY3,"n/a")</f>
        <v/>
      </c>
      <c r="AX1180" s="1942">
        <f>IFERROR(-AX1163/AX1164*AX3/AY3,"n/a")</f>
        <v/>
      </c>
      <c r="AY1180" s="1941">
        <f>IFERROR(-AY1163/AY1164,"n/a")</f>
        <v/>
      </c>
      <c r="AZ1180" s="1942">
        <f>IFERROR(-AZ1163/AZ1164*AZ3/BD3,"n/a")</f>
        <v/>
      </c>
      <c r="BA1180" s="1942">
        <f>IFERROR(-BA1163/BA1164*BA3/BD3,"n/a")</f>
        <v/>
      </c>
      <c r="BB1180" s="1942">
        <f>IFERROR(-BB1163/BB1164*BB3/BD3,"n/a")</f>
        <v/>
      </c>
      <c r="BC1180" s="1942">
        <f>IFERROR(-BC1163/BC1164*BC3/BD3,"n/a")</f>
        <v/>
      </c>
      <c r="BD1180" s="1941">
        <f>IFERROR(-BD1163/BD1164,"n/a")</f>
        <v/>
      </c>
      <c r="BE1180" s="1942">
        <f>IFERROR(-BE1163/BE1164*BE3/BI3,"n/a")</f>
        <v/>
      </c>
      <c r="BF1180" s="1942">
        <f>IFERROR(-BF1163/BF1164*BF3/BI3,"n/a")</f>
        <v/>
      </c>
      <c r="BG1180" s="1942">
        <f>IFERROR(-BG1163/BG1164*BG3/BI3,"n/a")</f>
        <v/>
      </c>
      <c r="BH1180" s="1942">
        <f>IFERROR(-BH1163/BH1164*BH3/BI3,"n/a")</f>
        <v/>
      </c>
      <c r="BI1180" s="1941">
        <f>IFERROR(-BI1163/BI1164,"n/a")</f>
        <v/>
      </c>
      <c r="BJ1180" s="1942">
        <f>IFERROR(-BJ1163/BJ1164*BJ3/BN3,"n/a")</f>
        <v/>
      </c>
      <c r="BK1180" s="1942">
        <f>IFERROR(-BK1163/BK1164*BK3/BN3,"n/a")</f>
        <v/>
      </c>
      <c r="BL1180" s="1942">
        <f>IFERROR(-BL1163/BL1164*BL3/BN3,"n/a")</f>
        <v/>
      </c>
      <c r="BM1180" s="1942">
        <f>IFERROR(-BM1163/BM1164*BM3/BN3,"n/a")</f>
        <v/>
      </c>
      <c r="BN1180" s="1941">
        <f>IFERROR(-BN1163/BN1164,"n/a")</f>
        <v/>
      </c>
      <c r="BO1180" s="1942">
        <f>IFERROR(-BO1163/BO1164*BO3/BS3,"n/a")</f>
        <v/>
      </c>
      <c r="BP1180" s="1942">
        <f>IFERROR(-BP1163/BP1164*BP3/BS3,"n/a")</f>
        <v/>
      </c>
      <c r="BQ1180" s="1943">
        <f>IFERROR(-BQ1163/BQ1164*BQ3/BS3,"n/a")</f>
        <v/>
      </c>
      <c r="BR1180" s="1942">
        <f>IFERROR(-BR1163/BR1164*BR3/BS3,"n/a")</f>
        <v/>
      </c>
      <c r="BS1180" s="1941">
        <f>AVERAGE(BO1180,BP1180,BQ1180,BR1180)</f>
        <v/>
      </c>
      <c r="BT1180" s="1942">
        <f>IFERROR(-BT1163/BT1164*BT3/BX3,"n/a")</f>
        <v/>
      </c>
      <c r="BU1180" s="1942">
        <f>IFERROR(-BU1163/BU1164*BU3/BX3,"n/a")</f>
        <v/>
      </c>
      <c r="BV1180" s="1942">
        <f>IFERROR(-BV1163/BV1164*BV3/BX3,"n/a")</f>
        <v/>
      </c>
      <c r="BW1180" s="1942">
        <f>IFERROR(-BW1163/BW1164*BW3/BX3,"n/a")</f>
        <v/>
      </c>
      <c r="BX1180" s="1941">
        <f>AVERAGE(BT1180,BU1180,BV1180,BW1180)</f>
        <v/>
      </c>
      <c r="BY1180" s="1941">
        <f>IFERROR(-BY1163/BY1164,"n/a")</f>
        <v/>
      </c>
      <c r="BZ1180" s="1941">
        <f>IFERROR(-BZ1163/BZ1164,"n/a")</f>
        <v/>
      </c>
      <c r="CA1180" s="1941">
        <f>IFERROR(-CA1163/CA1164,"n/a")</f>
        <v/>
      </c>
      <c r="CB1180" s="1375" t="n"/>
    </row>
    <row r="1181" ht="14.4" customFormat="1" customHeight="1" s="1372">
      <c r="A1181" s="1447" t="inlineStr">
        <is>
          <t>Implied life of intangibles, yr</t>
        </is>
      </c>
      <c r="B1181" s="1517" t="n"/>
      <c r="C1181" s="1941" t="n"/>
      <c r="D1181" s="1941">
        <f>IFERROR(-D1169/D1170,"n/a")</f>
        <v/>
      </c>
      <c r="E1181" s="1941">
        <f>IFERROR(-E1169/E1170,"n/a")</f>
        <v/>
      </c>
      <c r="F1181" s="1941">
        <f>IFERROR(-F1169/F1170,"n/a")</f>
        <v/>
      </c>
      <c r="G1181" s="1942">
        <f>IFERROR(-G1169/G1170*G3/K3,"n/a")</f>
        <v/>
      </c>
      <c r="H1181" s="1942">
        <f>IFERROR(-H1169/H1170*H3/K3,"n/a")</f>
        <v/>
      </c>
      <c r="I1181" s="1942">
        <f>IFERROR(-I1169/I1170*I3/K3,"n/a")</f>
        <v/>
      </c>
      <c r="J1181" s="1942">
        <f>IFERROR(-J1169/J1170*J3/K3,"n/a")</f>
        <v/>
      </c>
      <c r="K1181" s="1941">
        <f>IFERROR(-K1169/K1170,"n/a")</f>
        <v/>
      </c>
      <c r="L1181" s="1942">
        <f>IFERROR(-L1169/L1170*L3/P3,"n/a")</f>
        <v/>
      </c>
      <c r="M1181" s="1942">
        <f>IFERROR(-M1169/M1170*M3/P3,"n/a")</f>
        <v/>
      </c>
      <c r="N1181" s="1942">
        <f>IFERROR(-N1169/N1170*N3/P3,"n/a")</f>
        <v/>
      </c>
      <c r="O1181" s="1942">
        <f>IFERROR(-O1169/O1170*O3/P3,"n/a")</f>
        <v/>
      </c>
      <c r="P1181" s="1941">
        <f>IFERROR(-P1169/P1170,"n/a")</f>
        <v/>
      </c>
      <c r="Q1181" s="1942">
        <f>IFERROR(-Q1169/Q1170*Q3/U3,"n/a")</f>
        <v/>
      </c>
      <c r="R1181" s="1942">
        <f>IFERROR(-R1169/R1170*R3/U3,"n/a")</f>
        <v/>
      </c>
      <c r="S1181" s="1942">
        <f>IFERROR(-S1169/S1170*S3/U3,"n/a")</f>
        <v/>
      </c>
      <c r="T1181" s="1942">
        <f>IFERROR(-T1169/T1170*T3/U3,"n/a")</f>
        <v/>
      </c>
      <c r="U1181" s="1941">
        <f>IFERROR(-U1169/U1170,"n/a")</f>
        <v/>
      </c>
      <c r="V1181" s="1942">
        <f>IFERROR(-V1169/V1170*V3/Z3,"n/a")</f>
        <v/>
      </c>
      <c r="W1181" s="1942">
        <f>IFERROR(-W1169/W1170*W3/Z3,"n/a")</f>
        <v/>
      </c>
      <c r="X1181" s="1942">
        <f>IFERROR(-X1169/X1170*X3/Z3,"n/a")</f>
        <v/>
      </c>
      <c r="Y1181" s="1942">
        <f>IFERROR(-Y1169/Y1170*Y3/Z3,"n/a")</f>
        <v/>
      </c>
      <c r="Z1181" s="1941">
        <f>IFERROR(-Z1169/Z1170,"n/a")</f>
        <v/>
      </c>
      <c r="AA1181" s="1942">
        <f>IFERROR(-AA1169/AA1170*AA3/AE3,"n/a")</f>
        <v/>
      </c>
      <c r="AB1181" s="1942">
        <f>IFERROR(-AB1169/AB1170*AB3/AE3,"n/a")</f>
        <v/>
      </c>
      <c r="AC1181" s="1942">
        <f>IFERROR(-AC1169/AC1170*AC3/AE3,"n/a")</f>
        <v/>
      </c>
      <c r="AD1181" s="1942">
        <f>IFERROR(-AD1169/AD1170*AD3/AE3,"n/a")</f>
        <v/>
      </c>
      <c r="AE1181" s="1941">
        <f>IFERROR(-AE1169/AE1170,"n/a")</f>
        <v/>
      </c>
      <c r="AF1181" s="1942">
        <f>IFERROR(-AF1169/AF1170*AF3/AJ3,"n/a")</f>
        <v/>
      </c>
      <c r="AG1181" s="1942">
        <f>IFERROR(-AG1169/AG1170*AG3/AJ3,"n/a")</f>
        <v/>
      </c>
      <c r="AH1181" s="1942">
        <f>IFERROR(-AH1169/AH1170*AH3/AJ3,"n/a")</f>
        <v/>
      </c>
      <c r="AI1181" s="1942">
        <f>IFERROR(-AI1169/AI1170*AI3/AJ3,"n/a")</f>
        <v/>
      </c>
      <c r="AJ1181" s="1941">
        <f>IFERROR(-AJ1169/AJ1170,"n/a")</f>
        <v/>
      </c>
      <c r="AK1181" s="1942">
        <f>IFERROR(-AK1169/AK1170*AK3/AO3,"n/a")</f>
        <v/>
      </c>
      <c r="AL1181" s="1942">
        <f>IFERROR(-AL1169/AL1170*AL3/AO3,"n/a")</f>
        <v/>
      </c>
      <c r="AM1181" s="1942">
        <f>IFERROR(-AM1169/AM1170*AM3/AO3,"n/a")</f>
        <v/>
      </c>
      <c r="AN1181" s="1942">
        <f>IFERROR(-AN1169/AN1170*AN3/AO3,"n/a")</f>
        <v/>
      </c>
      <c r="AO1181" s="1941">
        <f>IFERROR(-AO1169/AO1170,"n/a")</f>
        <v/>
      </c>
      <c r="AP1181" s="1942">
        <f>IFERROR(-AP1169/AP1170*AP3/AT3,"n/a")</f>
        <v/>
      </c>
      <c r="AQ1181" s="1942">
        <f>IFERROR(-AQ1169/AQ1170*AQ3/AT3,"n/a")</f>
        <v/>
      </c>
      <c r="AR1181" s="1942">
        <f>IFERROR(-AR1169/AR1170*AR3/AT3,"n/a")</f>
        <v/>
      </c>
      <c r="AS1181" s="1942">
        <f>IFERROR(-AS1169/AS1170*AS3/AT3,"n/a")</f>
        <v/>
      </c>
      <c r="AT1181" s="1941">
        <f>IFERROR(-AT1169/AT1170,"n/a")</f>
        <v/>
      </c>
      <c r="AU1181" s="1942">
        <f>IFERROR(-AU1169/AU1170*AU3/AY3,"n/a")</f>
        <v/>
      </c>
      <c r="AV1181" s="1942">
        <f>IFERROR(-AV1169/AV1170*AV3/AY3,"n/a")</f>
        <v/>
      </c>
      <c r="AW1181" s="1942">
        <f>IFERROR(-AW1169/AW1170*AW3/AY3,"n/a")</f>
        <v/>
      </c>
      <c r="AX1181" s="1942">
        <f>IFERROR(-AX1169/AX1170*AX3/AY3,"n/a")</f>
        <v/>
      </c>
      <c r="AY1181" s="1941">
        <f>IFERROR(-AY1169/AY1170,"n/a")</f>
        <v/>
      </c>
      <c r="AZ1181" s="1942">
        <f>IFERROR(-AZ1169/AZ1170*AZ3/BD3,"n/a")</f>
        <v/>
      </c>
      <c r="BA1181" s="1942">
        <f>IFERROR(-BA1169/BA1170*BA3/BD3,"n/a")</f>
        <v/>
      </c>
      <c r="BB1181" s="1942">
        <f>IFERROR(-BB1169/BB1170*BB3/BD3,"n/a")</f>
        <v/>
      </c>
      <c r="BC1181" s="1942">
        <f>IFERROR(-BC1169/BC1170*BC3/BD3,"n/a")</f>
        <v/>
      </c>
      <c r="BD1181" s="1941">
        <f>IFERROR(-BD1169/BD1170,"n/a")</f>
        <v/>
      </c>
      <c r="BE1181" s="1942">
        <f>IFERROR(-BE1169/BE1170*BE3/BI3,"n/a")</f>
        <v/>
      </c>
      <c r="BF1181" s="1942">
        <f>IFERROR(-BF1169/BF1170*BF3/BI3,"n/a")</f>
        <v/>
      </c>
      <c r="BG1181" s="1942">
        <f>IFERROR(-BG1169/BG1170*BG3/BI3,"n/a")</f>
        <v/>
      </c>
      <c r="BH1181" s="1942">
        <f>IFERROR(-BH1169/BH1170*BH3/BI3,"n/a")</f>
        <v/>
      </c>
      <c r="BI1181" s="1941">
        <f>IFERROR(-BI1169/BI1170,"n/a")</f>
        <v/>
      </c>
      <c r="BJ1181" s="1942">
        <f>IFERROR(-BJ1169/BJ1170*BJ3/BN3,"n/a")</f>
        <v/>
      </c>
      <c r="BK1181" s="1942">
        <f>IFERROR(-BK1169/BK1170*BK3/BN3,"n/a")</f>
        <v/>
      </c>
      <c r="BL1181" s="1942">
        <f>IFERROR(-BL1169/BL1170*BL3/BN3,"n/a")</f>
        <v/>
      </c>
      <c r="BM1181" s="1942">
        <f>IFERROR(-BM1169/BM1170*BM3/BN3,"n/a")</f>
        <v/>
      </c>
      <c r="BN1181" s="1941">
        <f>IFERROR(-BN1169/BN1170,"n/a")</f>
        <v/>
      </c>
      <c r="BO1181" s="1942">
        <f>IFERROR(-BO1169/BO1170*BO3/BS3,"n/a")</f>
        <v/>
      </c>
      <c r="BP1181" s="1942">
        <f>IFERROR(-BP1169/BP1170*BP3/BS3,"n/a")</f>
        <v/>
      </c>
      <c r="BQ1181" s="1943">
        <f>IFERROR(-BQ1169/BQ1170*BQ3/BS3,"n/a")</f>
        <v/>
      </c>
      <c r="BR1181" s="1942">
        <f>IFERROR(-BR1169/BR1170*BR3/BS3,"n/a")</f>
        <v/>
      </c>
      <c r="BS1181" s="1941">
        <f>AVERAGE(BO1181,BP1181,BQ1181,BR1181)</f>
        <v/>
      </c>
      <c r="BT1181" s="1942">
        <f>IFERROR(-BT1169/BT1170*BT3/BX3,"n/a")</f>
        <v/>
      </c>
      <c r="BU1181" s="1942">
        <f>IFERROR(-BU1169/BU1170*BU3/BX3,"n/a")</f>
        <v/>
      </c>
      <c r="BV1181" s="1942">
        <f>IFERROR(-BV1169/BV1170*BV3/BX3,"n/a")</f>
        <v/>
      </c>
      <c r="BW1181" s="1942">
        <f>IFERROR(-BW1169/BW1170*BW3/BX3,"n/a")</f>
        <v/>
      </c>
      <c r="BX1181" s="1941">
        <f>AVERAGE(BT1181,BU1181,BV1181,BW1181)</f>
        <v/>
      </c>
      <c r="BY1181" s="1941">
        <f>IFERROR(-BY1169/BY1170,"n/a")</f>
        <v/>
      </c>
      <c r="BZ1181" s="1941">
        <f>IFERROR(-BZ1169/BZ1170,"n/a")</f>
        <v/>
      </c>
      <c r="CA1181" s="1941">
        <f>IFERROR(-CA1169/CA1170,"n/a")</f>
        <v/>
      </c>
      <c r="CB1181" s="1375" t="n"/>
    </row>
    <row r="1182" ht="14.4" customFormat="1" customHeight="1" s="1372">
      <c r="A1182" s="1474" t="n"/>
      <c r="B1182" s="1512" t="n"/>
      <c r="C1182" s="1554" t="n"/>
      <c r="D1182" s="1554" t="n"/>
      <c r="E1182" s="1554" t="n"/>
      <c r="F1182" s="1554" t="n"/>
      <c r="G1182" s="1553" t="n"/>
      <c r="H1182" s="1553" t="n"/>
      <c r="I1182" s="1553" t="n"/>
      <c r="J1182" s="1553" t="n"/>
      <c r="K1182" s="1554" t="n"/>
      <c r="L1182" s="1553" t="n"/>
      <c r="M1182" s="1553" t="n"/>
      <c r="N1182" s="1553" t="n"/>
      <c r="O1182" s="1553" t="n"/>
      <c r="P1182" s="1554" t="n"/>
      <c r="Q1182" s="1553" t="n"/>
      <c r="R1182" s="1553" t="n"/>
      <c r="S1182" s="1553" t="n"/>
      <c r="T1182" s="1553" t="n"/>
      <c r="U1182" s="1554" t="n"/>
      <c r="V1182" s="1553" t="n"/>
      <c r="W1182" s="1553" t="n"/>
      <c r="X1182" s="1553" t="n"/>
      <c r="Y1182" s="1553" t="n"/>
      <c r="Z1182" s="1554" t="n"/>
      <c r="AA1182" s="1553" t="n"/>
      <c r="AB1182" s="1553" t="n"/>
      <c r="AC1182" s="1553" t="n"/>
      <c r="AD1182" s="1553" t="n"/>
      <c r="AE1182" s="1554" t="n"/>
      <c r="AF1182" s="1553" t="n"/>
      <c r="AG1182" s="1553" t="n"/>
      <c r="AH1182" s="1553" t="n"/>
      <c r="AI1182" s="1553" t="n"/>
      <c r="AJ1182" s="1554" t="n"/>
      <c r="AK1182" s="1553" t="n"/>
      <c r="AL1182" s="1553" t="n"/>
      <c r="AM1182" s="1553" t="n"/>
      <c r="AN1182" s="1553" t="n"/>
      <c r="AO1182" s="1554" t="n"/>
      <c r="AP1182" s="1553" t="n"/>
      <c r="AQ1182" s="1553" t="n"/>
      <c r="AR1182" s="1553" t="n"/>
      <c r="AS1182" s="1553" t="n"/>
      <c r="AT1182" s="1554" t="n"/>
      <c r="AU1182" s="1553" t="n"/>
      <c r="AV1182" s="1553" t="n"/>
      <c r="AW1182" s="1553" t="n"/>
      <c r="AX1182" s="1553" t="n"/>
      <c r="AY1182" s="1554" t="n"/>
      <c r="AZ1182" s="1553" t="n"/>
      <c r="BA1182" s="1553" t="n"/>
      <c r="BB1182" s="1553" t="n"/>
      <c r="BC1182" s="1553" t="n"/>
      <c r="BD1182" s="1554" t="n"/>
      <c r="BE1182" s="1553" t="n"/>
      <c r="BF1182" s="1553" t="n"/>
      <c r="BG1182" s="1553" t="n"/>
      <c r="BH1182" s="1553" t="n"/>
      <c r="BI1182" s="1554" t="n"/>
      <c r="BJ1182" s="1553" t="n"/>
      <c r="BK1182" s="1553" t="n"/>
      <c r="BL1182" s="1553" t="n"/>
      <c r="BM1182" s="1553" t="n"/>
      <c r="BN1182" s="1554" t="n"/>
      <c r="BO1182" s="1553" t="n"/>
      <c r="BP1182" s="1553" t="n"/>
      <c r="BQ1182" s="1556" t="n"/>
      <c r="BR1182" s="1553" t="n"/>
      <c r="BS1182" s="1554" t="n"/>
      <c r="BT1182" s="1553" t="n"/>
      <c r="BU1182" s="1553" t="n"/>
      <c r="BV1182" s="1553" t="n"/>
      <c r="BW1182" s="1553" t="n"/>
      <c r="BX1182" s="1554" t="n"/>
      <c r="BY1182" s="1554" t="n"/>
      <c r="BZ1182" s="1554" t="n"/>
      <c r="CA1182" s="1554" t="n"/>
      <c r="CB1182" s="1375" t="n"/>
    </row>
    <row r="1183" ht="14.4" customFormat="1" customHeight="1" s="1372">
      <c r="A1183" s="1447" t="inlineStr">
        <is>
          <t>D&amp;A of PPE and Intangibles, mm</t>
        </is>
      </c>
      <c r="B1183" s="1517" t="n"/>
      <c r="C1183" s="1930">
        <f>C482+C500</f>
        <v/>
      </c>
      <c r="D1183" s="1930">
        <f>D482+D500</f>
        <v/>
      </c>
      <c r="E1183" s="1930">
        <f>E482+E500</f>
        <v/>
      </c>
      <c r="F1183" s="1930">
        <f>F482+F500</f>
        <v/>
      </c>
      <c r="G1183" s="1931">
        <f>G482+G500</f>
        <v/>
      </c>
      <c r="H1183" s="1931">
        <f>H482+H500</f>
        <v/>
      </c>
      <c r="I1183" s="1931">
        <f>I482+I500</f>
        <v/>
      </c>
      <c r="J1183" s="1931">
        <f>J482+J500</f>
        <v/>
      </c>
      <c r="K1183" s="1930">
        <f>K482+K500</f>
        <v/>
      </c>
      <c r="L1183" s="1931">
        <f>L482+L500</f>
        <v/>
      </c>
      <c r="M1183" s="1931">
        <f>M482+M500</f>
        <v/>
      </c>
      <c r="N1183" s="1931">
        <f>N482+N500</f>
        <v/>
      </c>
      <c r="O1183" s="1931">
        <f>O482+O500</f>
        <v/>
      </c>
      <c r="P1183" s="1930">
        <f>P482+P500</f>
        <v/>
      </c>
      <c r="Q1183" s="1931">
        <f>Q482+Q500</f>
        <v/>
      </c>
      <c r="R1183" s="1931">
        <f>R482+R500</f>
        <v/>
      </c>
      <c r="S1183" s="1931">
        <f>S482+S500</f>
        <v/>
      </c>
      <c r="T1183" s="1931">
        <f>T482+T500</f>
        <v/>
      </c>
      <c r="U1183" s="1930">
        <f>U482+U500</f>
        <v/>
      </c>
      <c r="V1183" s="1931">
        <f>V482+V500</f>
        <v/>
      </c>
      <c r="W1183" s="1931">
        <f>W482+W500</f>
        <v/>
      </c>
      <c r="X1183" s="1931">
        <f>X482+X500</f>
        <v/>
      </c>
      <c r="Y1183" s="1931">
        <f>Y482+Y500</f>
        <v/>
      </c>
      <c r="Z1183" s="1930">
        <f>Z482+Z500</f>
        <v/>
      </c>
      <c r="AA1183" s="1931">
        <f>AA482+AA500</f>
        <v/>
      </c>
      <c r="AB1183" s="1931">
        <f>AB482+AB500</f>
        <v/>
      </c>
      <c r="AC1183" s="1931">
        <f>AC482+AC500</f>
        <v/>
      </c>
      <c r="AD1183" s="1931">
        <f>AD482+AD500</f>
        <v/>
      </c>
      <c r="AE1183" s="1930">
        <f>AE482+AE500</f>
        <v/>
      </c>
      <c r="AF1183" s="1931">
        <f>AF482+AF500</f>
        <v/>
      </c>
      <c r="AG1183" s="1931">
        <f>AG482+AG500</f>
        <v/>
      </c>
      <c r="AH1183" s="1931">
        <f>AH482+AH500</f>
        <v/>
      </c>
      <c r="AI1183" s="1931">
        <f>AI482+AI500</f>
        <v/>
      </c>
      <c r="AJ1183" s="1930">
        <f>AJ482+AJ500</f>
        <v/>
      </c>
      <c r="AK1183" s="1931">
        <f>AK482+AK500</f>
        <v/>
      </c>
      <c r="AL1183" s="1931">
        <f>AL482+AL500</f>
        <v/>
      </c>
      <c r="AM1183" s="1931">
        <f>AM482+AM500</f>
        <v/>
      </c>
      <c r="AN1183" s="1931">
        <f>AN482+AN500</f>
        <v/>
      </c>
      <c r="AO1183" s="1930">
        <f>AO482+AO500</f>
        <v/>
      </c>
      <c r="AP1183" s="1931">
        <f>AP482+AP500</f>
        <v/>
      </c>
      <c r="AQ1183" s="1931">
        <f>AQ482+AQ500</f>
        <v/>
      </c>
      <c r="AR1183" s="1931">
        <f>AR482+AR500</f>
        <v/>
      </c>
      <c r="AS1183" s="1931">
        <f>AS482+AS500</f>
        <v/>
      </c>
      <c r="AT1183" s="1930">
        <f>AT482+AT500</f>
        <v/>
      </c>
      <c r="AU1183" s="1931">
        <f>AU482+AU500</f>
        <v/>
      </c>
      <c r="AV1183" s="1931">
        <f>AV482+AV500</f>
        <v/>
      </c>
      <c r="AW1183" s="1931">
        <f>AW482+AW500</f>
        <v/>
      </c>
      <c r="AX1183" s="1931">
        <f>AX482+AX500</f>
        <v/>
      </c>
      <c r="AY1183" s="1930">
        <f>AY482+AY500</f>
        <v/>
      </c>
      <c r="AZ1183" s="1931">
        <f>AZ482+AZ500</f>
        <v/>
      </c>
      <c r="BA1183" s="1931">
        <f>BA482+BA500</f>
        <v/>
      </c>
      <c r="BB1183" s="1931">
        <f>BB482+BB500</f>
        <v/>
      </c>
      <c r="BC1183" s="1931">
        <f>BC482+BC500</f>
        <v/>
      </c>
      <c r="BD1183" s="1930">
        <f>BD482+BD500</f>
        <v/>
      </c>
      <c r="BE1183" s="1931">
        <f>BE482+BE500</f>
        <v/>
      </c>
      <c r="BF1183" s="1931">
        <f>BF482+BF500</f>
        <v/>
      </c>
      <c r="BG1183" s="1931">
        <f>BG482+BG500</f>
        <v/>
      </c>
      <c r="BH1183" s="1931">
        <f>BH482+BH500</f>
        <v/>
      </c>
      <c r="BI1183" s="1930">
        <f>BI482+BI500</f>
        <v/>
      </c>
      <c r="BJ1183" s="1931">
        <f>BJ482+BJ500</f>
        <v/>
      </c>
      <c r="BK1183" s="1931">
        <f>BK482+BK500</f>
        <v/>
      </c>
      <c r="BL1183" s="1931">
        <f>BL482+BL500</f>
        <v/>
      </c>
      <c r="BM1183" s="1931">
        <f>BM482+BM500</f>
        <v/>
      </c>
      <c r="BN1183" s="1930">
        <f>BN482+BN500</f>
        <v/>
      </c>
      <c r="BO1183" s="1931">
        <f>BO482+BO500</f>
        <v/>
      </c>
      <c r="BP1183" s="1931">
        <f>BP482+BP500</f>
        <v/>
      </c>
      <c r="BQ1183" s="1932">
        <f>BQ482+BQ500</f>
        <v/>
      </c>
      <c r="BR1183" s="1931">
        <f>BR482+BR500</f>
        <v/>
      </c>
      <c r="BS1183" s="1930">
        <f>BS482+BS500</f>
        <v/>
      </c>
      <c r="BT1183" s="1931">
        <f>BT482+BT500</f>
        <v/>
      </c>
      <c r="BU1183" s="1931">
        <f>BU482+BU500</f>
        <v/>
      </c>
      <c r="BV1183" s="1931">
        <f>BV482+BV500</f>
        <v/>
      </c>
      <c r="BW1183" s="1931">
        <f>BW482+BW500</f>
        <v/>
      </c>
      <c r="BX1183" s="1930">
        <f>BX482+BX500</f>
        <v/>
      </c>
      <c r="BY1183" s="1930">
        <f>BY482+BY500</f>
        <v/>
      </c>
      <c r="BZ1183" s="1930">
        <f>BZ482+BZ500</f>
        <v/>
      </c>
      <c r="CA1183" s="1930">
        <f>CA482+CA500</f>
        <v/>
      </c>
      <c r="CB1183" s="1375" t="n"/>
    </row>
    <row r="1184" ht="14.4" customFormat="1" customHeight="1" s="1372">
      <c r="A1184" s="1447" t="inlineStr">
        <is>
          <t>Capex of PPE and Intangibles, mm</t>
        </is>
      </c>
      <c r="B1184" s="1517" t="n"/>
      <c r="C1184" s="1930">
        <f>-C938</f>
        <v/>
      </c>
      <c r="D1184" s="1930">
        <f>-D938</f>
        <v/>
      </c>
      <c r="E1184" s="1930">
        <f>-E938</f>
        <v/>
      </c>
      <c r="F1184" s="1930">
        <f>-F938</f>
        <v/>
      </c>
      <c r="G1184" s="1931">
        <f>-G938</f>
        <v/>
      </c>
      <c r="H1184" s="1931">
        <f>-H938</f>
        <v/>
      </c>
      <c r="I1184" s="1931">
        <f>-I938</f>
        <v/>
      </c>
      <c r="J1184" s="1931">
        <f>-J938</f>
        <v/>
      </c>
      <c r="K1184" s="1930">
        <f>-K938</f>
        <v/>
      </c>
      <c r="L1184" s="1931">
        <f>-L938</f>
        <v/>
      </c>
      <c r="M1184" s="1931">
        <f>-M938</f>
        <v/>
      </c>
      <c r="N1184" s="1931">
        <f>-N938</f>
        <v/>
      </c>
      <c r="O1184" s="1931">
        <f>-O938</f>
        <v/>
      </c>
      <c r="P1184" s="1930">
        <f>-P938</f>
        <v/>
      </c>
      <c r="Q1184" s="1931">
        <f>-Q938</f>
        <v/>
      </c>
      <c r="R1184" s="1931">
        <f>-R938</f>
        <v/>
      </c>
      <c r="S1184" s="1931">
        <f>-S938</f>
        <v/>
      </c>
      <c r="T1184" s="1931">
        <f>-T938</f>
        <v/>
      </c>
      <c r="U1184" s="1930">
        <f>-U938</f>
        <v/>
      </c>
      <c r="V1184" s="1931">
        <f>-V938</f>
        <v/>
      </c>
      <c r="W1184" s="1931">
        <f>-W938</f>
        <v/>
      </c>
      <c r="X1184" s="1931">
        <f>-X938</f>
        <v/>
      </c>
      <c r="Y1184" s="1931">
        <f>-Y938</f>
        <v/>
      </c>
      <c r="Z1184" s="1930">
        <f>-Z938</f>
        <v/>
      </c>
      <c r="AA1184" s="1931">
        <f>-AA938</f>
        <v/>
      </c>
      <c r="AB1184" s="1931">
        <f>-AB938</f>
        <v/>
      </c>
      <c r="AC1184" s="1931">
        <f>-AC938</f>
        <v/>
      </c>
      <c r="AD1184" s="1931">
        <f>-AD938</f>
        <v/>
      </c>
      <c r="AE1184" s="1930">
        <f>-AE938</f>
        <v/>
      </c>
      <c r="AF1184" s="1931">
        <f>-AF938</f>
        <v/>
      </c>
      <c r="AG1184" s="1931">
        <f>-AG938</f>
        <v/>
      </c>
      <c r="AH1184" s="1931">
        <f>-AH938</f>
        <v/>
      </c>
      <c r="AI1184" s="1931">
        <f>-AI938</f>
        <v/>
      </c>
      <c r="AJ1184" s="1930">
        <f>-AJ938</f>
        <v/>
      </c>
      <c r="AK1184" s="1931">
        <f>-AK938</f>
        <v/>
      </c>
      <c r="AL1184" s="1931">
        <f>-AL938</f>
        <v/>
      </c>
      <c r="AM1184" s="1931">
        <f>-AM938</f>
        <v/>
      </c>
      <c r="AN1184" s="1931">
        <f>-AN938</f>
        <v/>
      </c>
      <c r="AO1184" s="1930">
        <f>-AO938</f>
        <v/>
      </c>
      <c r="AP1184" s="1931">
        <f>-AP938</f>
        <v/>
      </c>
      <c r="AQ1184" s="1931">
        <f>-AQ938</f>
        <v/>
      </c>
      <c r="AR1184" s="1931">
        <f>-AR938</f>
        <v/>
      </c>
      <c r="AS1184" s="1931">
        <f>-AS938</f>
        <v/>
      </c>
      <c r="AT1184" s="1930">
        <f>-AT938</f>
        <v/>
      </c>
      <c r="AU1184" s="1931">
        <f>-AU938</f>
        <v/>
      </c>
      <c r="AV1184" s="1931">
        <f>-AV938</f>
        <v/>
      </c>
      <c r="AW1184" s="1931">
        <f>-AW938</f>
        <v/>
      </c>
      <c r="AX1184" s="1931">
        <f>-AX938</f>
        <v/>
      </c>
      <c r="AY1184" s="1930">
        <f>-AY938</f>
        <v/>
      </c>
      <c r="AZ1184" s="1931">
        <f>-AZ938</f>
        <v/>
      </c>
      <c r="BA1184" s="1931">
        <f>-BA938</f>
        <v/>
      </c>
      <c r="BB1184" s="1931">
        <f>-BB938</f>
        <v/>
      </c>
      <c r="BC1184" s="1931">
        <f>-BC938</f>
        <v/>
      </c>
      <c r="BD1184" s="1930">
        <f>-BD938</f>
        <v/>
      </c>
      <c r="BE1184" s="1931">
        <f>-BE938</f>
        <v/>
      </c>
      <c r="BF1184" s="1931">
        <f>-BF938</f>
        <v/>
      </c>
      <c r="BG1184" s="1931">
        <f>-BG938</f>
        <v/>
      </c>
      <c r="BH1184" s="1931">
        <f>-BH938</f>
        <v/>
      </c>
      <c r="BI1184" s="1930">
        <f>-BI938</f>
        <v/>
      </c>
      <c r="BJ1184" s="1931">
        <f>-BJ938</f>
        <v/>
      </c>
      <c r="BK1184" s="1931">
        <f>-BK938</f>
        <v/>
      </c>
      <c r="BL1184" s="1931">
        <f>-BL938</f>
        <v/>
      </c>
      <c r="BM1184" s="1931">
        <f>-BM938</f>
        <v/>
      </c>
      <c r="BN1184" s="1930">
        <f>-BN938</f>
        <v/>
      </c>
      <c r="BO1184" s="1931">
        <f>-BO938</f>
        <v/>
      </c>
      <c r="BP1184" s="1931">
        <f>-BP938</f>
        <v/>
      </c>
      <c r="BQ1184" s="1932">
        <f>-BQ938</f>
        <v/>
      </c>
      <c r="BR1184" s="1931">
        <f>-BR938</f>
        <v/>
      </c>
      <c r="BS1184" s="1930">
        <f>-BS938</f>
        <v/>
      </c>
      <c r="BT1184" s="1931">
        <f>-BT938</f>
        <v/>
      </c>
      <c r="BU1184" s="1931">
        <f>-BU938</f>
        <v/>
      </c>
      <c r="BV1184" s="1931">
        <f>-BV938</f>
        <v/>
      </c>
      <c r="BW1184" s="1931">
        <f>-BW938</f>
        <v/>
      </c>
      <c r="BX1184" s="1930">
        <f>-BX938</f>
        <v/>
      </c>
      <c r="BY1184" s="1930">
        <f>-BY938</f>
        <v/>
      </c>
      <c r="BZ1184" s="1930">
        <f>-BZ938</f>
        <v/>
      </c>
      <c r="CA1184" s="1930">
        <f>-CA938</f>
        <v/>
      </c>
      <c r="CB1184" s="1375" t="n"/>
    </row>
    <row r="1185" ht="14.4" customFormat="1" customHeight="1" s="1372">
      <c r="A1185" s="1937" t="inlineStr">
        <is>
          <t>Percentage of capex allocated to PPE, %</t>
        </is>
      </c>
      <c r="B1185" s="1590" t="n"/>
      <c r="C1185" s="1484" t="n"/>
      <c r="D1185" s="1484">
        <f>D1165/D1184</f>
        <v/>
      </c>
      <c r="E1185" s="1484">
        <f>E1165/E1184</f>
        <v/>
      </c>
      <c r="F1185" s="1484">
        <f>F1165/F1184</f>
        <v/>
      </c>
      <c r="G1185" s="1483">
        <f>G1165/G1184</f>
        <v/>
      </c>
      <c r="H1185" s="1483">
        <f>H1165/H1184</f>
        <v/>
      </c>
      <c r="I1185" s="1483">
        <f>I1165/I1184</f>
        <v/>
      </c>
      <c r="J1185" s="1483">
        <f>J1165/J1184</f>
        <v/>
      </c>
      <c r="K1185" s="1484">
        <f>K1165/K1184</f>
        <v/>
      </c>
      <c r="L1185" s="1483">
        <f>L1165/L1184</f>
        <v/>
      </c>
      <c r="M1185" s="1483">
        <f>M1165/M1184</f>
        <v/>
      </c>
      <c r="N1185" s="1483">
        <f>N1165/N1184</f>
        <v/>
      </c>
      <c r="O1185" s="1483">
        <f>O1165/O1184</f>
        <v/>
      </c>
      <c r="P1185" s="1484">
        <f>P1165/P1184</f>
        <v/>
      </c>
      <c r="Q1185" s="1483">
        <f>Q1165/Q1184</f>
        <v/>
      </c>
      <c r="R1185" s="1483">
        <f>R1165/R1184</f>
        <v/>
      </c>
      <c r="S1185" s="1483">
        <f>S1165/S1184</f>
        <v/>
      </c>
      <c r="T1185" s="1483">
        <f>T1165/T1184</f>
        <v/>
      </c>
      <c r="U1185" s="1484">
        <f>U1165/U1184</f>
        <v/>
      </c>
      <c r="V1185" s="1483">
        <f>V1165/V1184</f>
        <v/>
      </c>
      <c r="W1185" s="1483">
        <f>W1165/W1184</f>
        <v/>
      </c>
      <c r="X1185" s="1483">
        <f>X1165/X1184</f>
        <v/>
      </c>
      <c r="Y1185" s="1483">
        <f>Y1165/Y1184</f>
        <v/>
      </c>
      <c r="Z1185" s="1484">
        <f>Z1165/Z1184</f>
        <v/>
      </c>
      <c r="AA1185" s="1483">
        <f>AA1165/AA1184</f>
        <v/>
      </c>
      <c r="AB1185" s="1483">
        <f>AB1165/AB1184</f>
        <v/>
      </c>
      <c r="AC1185" s="1483">
        <f>AC1165/AC1184</f>
        <v/>
      </c>
      <c r="AD1185" s="1483">
        <f>AD1165/AD1184</f>
        <v/>
      </c>
      <c r="AE1185" s="1484">
        <f>AE1165/AE1184</f>
        <v/>
      </c>
      <c r="AF1185" s="1483">
        <f>AF1165/AF1184</f>
        <v/>
      </c>
      <c r="AG1185" s="1483">
        <f>AG1165/AG1184</f>
        <v/>
      </c>
      <c r="AH1185" s="1483">
        <f>AH1165/AH1184</f>
        <v/>
      </c>
      <c r="AI1185" s="1483">
        <f>AI1165/AI1184</f>
        <v/>
      </c>
      <c r="AJ1185" s="1484">
        <f>AJ1165/AJ1184</f>
        <v/>
      </c>
      <c r="AK1185" s="1483">
        <f>AK1165/AK1184</f>
        <v/>
      </c>
      <c r="AL1185" s="1483">
        <f>AL1165/AL1184</f>
        <v/>
      </c>
      <c r="AM1185" s="1483">
        <f>AM1165/AM1184</f>
        <v/>
      </c>
      <c r="AN1185" s="1483">
        <f>AN1165/AN1184</f>
        <v/>
      </c>
      <c r="AO1185" s="1484">
        <f>AO1165/AO1184</f>
        <v/>
      </c>
      <c r="AP1185" s="1483">
        <f>AP1165/AP1184</f>
        <v/>
      </c>
      <c r="AQ1185" s="1483">
        <f>AQ1165/AQ1184</f>
        <v/>
      </c>
      <c r="AR1185" s="1483">
        <f>AR1165/AR1184</f>
        <v/>
      </c>
      <c r="AS1185" s="1483">
        <f>AS1165/AS1184</f>
        <v/>
      </c>
      <c r="AT1185" s="1484">
        <f>AT1165/AT1184</f>
        <v/>
      </c>
      <c r="AU1185" s="1483">
        <f>AU1165/AU1184</f>
        <v/>
      </c>
      <c r="AV1185" s="1483">
        <f>AV1165/AV1184</f>
        <v/>
      </c>
      <c r="AW1185" s="1483">
        <f>AW1165/AW1184</f>
        <v/>
      </c>
      <c r="AX1185" s="1483">
        <f>AX1165/AX1184</f>
        <v/>
      </c>
      <c r="AY1185" s="1484">
        <f>AY1165/AY1184</f>
        <v/>
      </c>
      <c r="AZ1185" s="1483">
        <f>AZ1165/AZ1184</f>
        <v/>
      </c>
      <c r="BA1185" s="1483">
        <f>BA1165/BA1184</f>
        <v/>
      </c>
      <c r="BB1185" s="1483">
        <f>BB1165/BB1184</f>
        <v/>
      </c>
      <c r="BC1185" s="1483">
        <f>BC1165/BC1184</f>
        <v/>
      </c>
      <c r="BD1185" s="1484">
        <f>BD1165/BD1184</f>
        <v/>
      </c>
      <c r="BE1185" s="1483">
        <f>BE1165/BE1184</f>
        <v/>
      </c>
      <c r="BF1185" s="1483">
        <f>BF1165/BF1184</f>
        <v/>
      </c>
      <c r="BG1185" s="1483">
        <f>BG1165/BG1184</f>
        <v/>
      </c>
      <c r="BH1185" s="1483">
        <f>BH1165/BH1184</f>
        <v/>
      </c>
      <c r="BI1185" s="1484">
        <f>BI1165/BI1184</f>
        <v/>
      </c>
      <c r="BJ1185" s="1483">
        <f>BJ1165/BJ1184</f>
        <v/>
      </c>
      <c r="BK1185" s="1483">
        <f>BK1165/BK1184</f>
        <v/>
      </c>
      <c r="BL1185" s="1483">
        <f>BL1165/BL1184</f>
        <v/>
      </c>
      <c r="BM1185" s="1483">
        <f>BM1165/BM1184</f>
        <v/>
      </c>
      <c r="BN1185" s="1484">
        <f>BN1165/BN1184</f>
        <v/>
      </c>
      <c r="BO1185" s="1483">
        <f>BO1165/BO1184</f>
        <v/>
      </c>
      <c r="BP1185" s="1483">
        <f>BP1165/BP1184</f>
        <v/>
      </c>
      <c r="BQ1185" s="1938">
        <f>BQ1165/BQ1184</f>
        <v/>
      </c>
      <c r="BR1185" s="1483">
        <f>1-BR1186</f>
        <v/>
      </c>
      <c r="BS1185" s="1484">
        <f>BS1165/BS1184</f>
        <v/>
      </c>
      <c r="BT1185" s="1483">
        <f>1-BT1186</f>
        <v/>
      </c>
      <c r="BU1185" s="1483">
        <f>1-BU1186</f>
        <v/>
      </c>
      <c r="BV1185" s="1483">
        <f>1-BV1186</f>
        <v/>
      </c>
      <c r="BW1185" s="1483">
        <f>1-BW1186</f>
        <v/>
      </c>
      <c r="BX1185" s="1484">
        <f>BX1165/BX1184</f>
        <v/>
      </c>
      <c r="BY1185" s="1484">
        <f>1-BY1186</f>
        <v/>
      </c>
      <c r="BZ1185" s="1484">
        <f>1-BZ1186</f>
        <v/>
      </c>
      <c r="CA1185" s="1484">
        <f>1-CA1186</f>
        <v/>
      </c>
      <c r="CB1185" s="1375" t="n"/>
    </row>
    <row r="1186" ht="14.4" customFormat="1" customHeight="1" s="1372">
      <c r="A1186" s="1937" t="inlineStr">
        <is>
          <t>Percentage of capex allocated to intangible assets, %</t>
        </is>
      </c>
      <c r="B1186" s="1590" t="n"/>
      <c r="C1186" s="1484" t="n"/>
      <c r="D1186" s="1484">
        <f>D1171/D1184</f>
        <v/>
      </c>
      <c r="E1186" s="1484">
        <f>E1171/E1184</f>
        <v/>
      </c>
      <c r="F1186" s="1484">
        <f>F1171/F1184</f>
        <v/>
      </c>
      <c r="G1186" s="1483">
        <f>G1171/G1184</f>
        <v/>
      </c>
      <c r="H1186" s="1483">
        <f>H1171/H1184</f>
        <v/>
      </c>
      <c r="I1186" s="1483">
        <f>I1171/I1184</f>
        <v/>
      </c>
      <c r="J1186" s="1483">
        <f>J1171/J1184</f>
        <v/>
      </c>
      <c r="K1186" s="1484">
        <f>K1171/K1184</f>
        <v/>
      </c>
      <c r="L1186" s="1483">
        <f>L1171/L1184</f>
        <v/>
      </c>
      <c r="M1186" s="1483">
        <f>M1171/M1184</f>
        <v/>
      </c>
      <c r="N1186" s="1483">
        <f>N1171/N1184</f>
        <v/>
      </c>
      <c r="O1186" s="1483">
        <f>O1171/O1184</f>
        <v/>
      </c>
      <c r="P1186" s="1484">
        <f>P1171/P1184</f>
        <v/>
      </c>
      <c r="Q1186" s="1483">
        <f>Q1171/Q1184</f>
        <v/>
      </c>
      <c r="R1186" s="1483">
        <f>R1171/R1184</f>
        <v/>
      </c>
      <c r="S1186" s="1483">
        <f>S1171/S1184</f>
        <v/>
      </c>
      <c r="T1186" s="1483">
        <f>T1171/T1184</f>
        <v/>
      </c>
      <c r="U1186" s="1484">
        <f>U1171/U1184</f>
        <v/>
      </c>
      <c r="V1186" s="1483">
        <f>V1171/V1184</f>
        <v/>
      </c>
      <c r="W1186" s="1483">
        <f>W1171/W1184</f>
        <v/>
      </c>
      <c r="X1186" s="1483">
        <f>X1171/X1184</f>
        <v/>
      </c>
      <c r="Y1186" s="1483">
        <f>Y1171/Y1184</f>
        <v/>
      </c>
      <c r="Z1186" s="1484">
        <f>Z1171/Z1184</f>
        <v/>
      </c>
      <c r="AA1186" s="1483">
        <f>AA1171/AA1184</f>
        <v/>
      </c>
      <c r="AB1186" s="1483">
        <f>AB1171/AB1184</f>
        <v/>
      </c>
      <c r="AC1186" s="1483">
        <f>AC1171/AC1184</f>
        <v/>
      </c>
      <c r="AD1186" s="1483">
        <f>AD1171/AD1184</f>
        <v/>
      </c>
      <c r="AE1186" s="1484">
        <f>AE1171/AE1184</f>
        <v/>
      </c>
      <c r="AF1186" s="1483">
        <f>AF1171/AF1184</f>
        <v/>
      </c>
      <c r="AG1186" s="1483">
        <f>AG1171/AG1184</f>
        <v/>
      </c>
      <c r="AH1186" s="1483">
        <f>AH1171/AH1184</f>
        <v/>
      </c>
      <c r="AI1186" s="1483">
        <f>AI1171/AI1184</f>
        <v/>
      </c>
      <c r="AJ1186" s="1484">
        <f>AJ1171/AJ1184</f>
        <v/>
      </c>
      <c r="AK1186" s="1483">
        <f>AK1171/AK1184</f>
        <v/>
      </c>
      <c r="AL1186" s="1483">
        <f>AL1171/AL1184</f>
        <v/>
      </c>
      <c r="AM1186" s="1483">
        <f>AM1171/AM1184</f>
        <v/>
      </c>
      <c r="AN1186" s="1483">
        <f>AN1171/AN1184</f>
        <v/>
      </c>
      <c r="AO1186" s="1484">
        <f>AO1171/AO1184</f>
        <v/>
      </c>
      <c r="AP1186" s="1483">
        <f>AP1171/AP1184</f>
        <v/>
      </c>
      <c r="AQ1186" s="1483">
        <f>AQ1171/AQ1184</f>
        <v/>
      </c>
      <c r="AR1186" s="1483">
        <f>AR1171/AR1184</f>
        <v/>
      </c>
      <c r="AS1186" s="1483">
        <f>AS1171/AS1184</f>
        <v/>
      </c>
      <c r="AT1186" s="1484">
        <f>AT1171/AT1184</f>
        <v/>
      </c>
      <c r="AU1186" s="1483">
        <f>AU1171/AU1184</f>
        <v/>
      </c>
      <c r="AV1186" s="1483">
        <f>AV1171/AV1184</f>
        <v/>
      </c>
      <c r="AW1186" s="1483">
        <f>AW1171/AW1184</f>
        <v/>
      </c>
      <c r="AX1186" s="1483">
        <f>AX1171/AX1184</f>
        <v/>
      </c>
      <c r="AY1186" s="1484">
        <f>AY1171/AY1184</f>
        <v/>
      </c>
      <c r="AZ1186" s="1483">
        <f>AZ1171/AZ1184</f>
        <v/>
      </c>
      <c r="BA1186" s="1483">
        <f>BA1171/BA1184</f>
        <v/>
      </c>
      <c r="BB1186" s="1483">
        <f>BB1171/BB1184</f>
        <v/>
      </c>
      <c r="BC1186" s="1483">
        <f>BC1171/BC1184</f>
        <v/>
      </c>
      <c r="BD1186" s="1484">
        <f>BD1171/BD1184</f>
        <v/>
      </c>
      <c r="BE1186" s="1483">
        <f>BE1171/BE1184</f>
        <v/>
      </c>
      <c r="BF1186" s="1483">
        <f>BF1171/BF1184</f>
        <v/>
      </c>
      <c r="BG1186" s="1483">
        <f>BG1171/BG1184</f>
        <v/>
      </c>
      <c r="BH1186" s="1483">
        <f>BH1171/BH1184</f>
        <v/>
      </c>
      <c r="BI1186" s="1484">
        <f>BI1171/BI1184</f>
        <v/>
      </c>
      <c r="BJ1186" s="1483">
        <f>BJ1171/BJ1184</f>
        <v/>
      </c>
      <c r="BK1186" s="1483">
        <f>BK1171/BK1184</f>
        <v/>
      </c>
      <c r="BL1186" s="1483">
        <f>BL1171/BL1184</f>
        <v/>
      </c>
      <c r="BM1186" s="1483">
        <f>BM1171/BM1184</f>
        <v/>
      </c>
      <c r="BN1186" s="1484">
        <f>BN1171/BN1184</f>
        <v/>
      </c>
      <c r="BO1186" s="1483">
        <f>BO1171/BO1184</f>
        <v/>
      </c>
      <c r="BP1186" s="1483">
        <f>BP1171/BP1184</f>
        <v/>
      </c>
      <c r="BQ1186" s="1938">
        <f>BQ1171/BQ1184</f>
        <v/>
      </c>
      <c r="BR1186" s="1939" t="n">
        <v>0</v>
      </c>
      <c r="BS1186" s="1484">
        <f>IFERROR(BS1171/BS1184,"n/a")</f>
        <v/>
      </c>
      <c r="BT1186" s="1939" t="n">
        <v>0</v>
      </c>
      <c r="BU1186" s="1939" t="n">
        <v>0</v>
      </c>
      <c r="BV1186" s="1939" t="n">
        <v>0</v>
      </c>
      <c r="BW1186" s="1939" t="n">
        <v>0</v>
      </c>
      <c r="BX1186" s="1484">
        <f>IFERROR(BX1171/BX1184,"n/a")</f>
        <v/>
      </c>
      <c r="BY1186" s="1940" t="n">
        <v>0</v>
      </c>
      <c r="BZ1186" s="1940" t="n">
        <v>0</v>
      </c>
      <c r="CA1186" s="1940" t="n">
        <v>0</v>
      </c>
      <c r="CB1186" s="1375" t="n"/>
    </row>
    <row r="1187" ht="14.4" customFormat="1" customHeight="1" s="1372">
      <c r="A1187" s="1937" t="n"/>
      <c r="B1187" s="1590" t="n"/>
      <c r="C1187" s="1484" t="n"/>
      <c r="D1187" s="1484" t="n"/>
      <c r="E1187" s="1484" t="n"/>
      <c r="F1187" s="1484" t="n"/>
      <c r="G1187" s="1483" t="n"/>
      <c r="H1187" s="1483" t="n"/>
      <c r="I1187" s="1483" t="n"/>
      <c r="J1187" s="1483" t="n"/>
      <c r="K1187" s="1484" t="n"/>
      <c r="L1187" s="1483" t="n"/>
      <c r="M1187" s="1483" t="n"/>
      <c r="N1187" s="1483" t="n"/>
      <c r="O1187" s="1483" t="n"/>
      <c r="P1187" s="1484" t="n"/>
      <c r="Q1187" s="1483" t="n"/>
      <c r="R1187" s="1483" t="n"/>
      <c r="S1187" s="1483" t="n"/>
      <c r="T1187" s="1483" t="n"/>
      <c r="U1187" s="1484" t="n"/>
      <c r="V1187" s="1483" t="n"/>
      <c r="W1187" s="1483" t="n"/>
      <c r="X1187" s="1483" t="n"/>
      <c r="Y1187" s="1483" t="n"/>
      <c r="Z1187" s="1484" t="n"/>
      <c r="AA1187" s="1483" t="n"/>
      <c r="AB1187" s="1483" t="n"/>
      <c r="AC1187" s="1483" t="n"/>
      <c r="AD1187" s="1483" t="n"/>
      <c r="AE1187" s="1484" t="n"/>
      <c r="AF1187" s="1483" t="n"/>
      <c r="AG1187" s="1483" t="n"/>
      <c r="AH1187" s="1483" t="n"/>
      <c r="AI1187" s="1483" t="n"/>
      <c r="AJ1187" s="1484" t="n"/>
      <c r="AK1187" s="1483" t="n"/>
      <c r="AL1187" s="1483" t="n"/>
      <c r="AM1187" s="1483" t="n"/>
      <c r="AN1187" s="1483" t="n"/>
      <c r="AO1187" s="1484" t="n"/>
      <c r="AP1187" s="1483" t="n"/>
      <c r="AQ1187" s="1483" t="n"/>
      <c r="AR1187" s="1483" t="n"/>
      <c r="AS1187" s="1483" t="n"/>
      <c r="AT1187" s="1484" t="n"/>
      <c r="AU1187" s="1483" t="n"/>
      <c r="AV1187" s="1483" t="n"/>
      <c r="AW1187" s="1483" t="n"/>
      <c r="AX1187" s="1483" t="n"/>
      <c r="AY1187" s="1484" t="n"/>
      <c r="AZ1187" s="1483" t="n"/>
      <c r="BA1187" s="1483" t="n"/>
      <c r="BB1187" s="1483" t="n"/>
      <c r="BC1187" s="1483" t="n"/>
      <c r="BD1187" s="1484" t="n"/>
      <c r="BE1187" s="1483" t="n"/>
      <c r="BF1187" s="1483" t="n"/>
      <c r="BG1187" s="1483" t="n"/>
      <c r="BH1187" s="1483" t="n"/>
      <c r="BI1187" s="1484" t="n"/>
      <c r="BJ1187" s="1483" t="n"/>
      <c r="BK1187" s="1483" t="n"/>
      <c r="BL1187" s="1483" t="n"/>
      <c r="BM1187" s="1483" t="n"/>
      <c r="BN1187" s="1484" t="n"/>
      <c r="BO1187" s="1483" t="n"/>
      <c r="BP1187" s="1483" t="n"/>
      <c r="BQ1187" s="1938" t="n"/>
      <c r="BR1187" s="1483" t="n"/>
      <c r="BS1187" s="1484" t="n"/>
      <c r="BT1187" s="1483" t="n"/>
      <c r="BU1187" s="1483" t="n"/>
      <c r="BV1187" s="1483" t="n"/>
      <c r="BW1187" s="1483" t="n"/>
      <c r="BX1187" s="1484" t="n"/>
      <c r="BY1187" s="1484" t="n"/>
      <c r="BZ1187" s="1484" t="n"/>
      <c r="CA1187" s="1484" t="n"/>
      <c r="CB1187" s="1375" t="n"/>
    </row>
    <row r="1188" ht="14.4" customFormat="1" customHeight="1" s="1372">
      <c r="A1188" s="1447" t="inlineStr">
        <is>
          <t>Total Acquisitions, mm</t>
        </is>
      </c>
      <c r="B1188" s="1517" t="n"/>
      <c r="C1188" s="1930">
        <f>-C941</f>
        <v/>
      </c>
      <c r="D1188" s="1930">
        <f>-D941</f>
        <v/>
      </c>
      <c r="E1188" s="1930">
        <f>-E941</f>
        <v/>
      </c>
      <c r="F1188" s="1930">
        <f>-F941</f>
        <v/>
      </c>
      <c r="G1188" s="1931">
        <f>-G941</f>
        <v/>
      </c>
      <c r="H1188" s="1931">
        <f>-H941</f>
        <v/>
      </c>
      <c r="I1188" s="1931">
        <f>-I941</f>
        <v/>
      </c>
      <c r="J1188" s="1931">
        <f>-J941</f>
        <v/>
      </c>
      <c r="K1188" s="1930">
        <f>-K941</f>
        <v/>
      </c>
      <c r="L1188" s="1931">
        <f>-L941</f>
        <v/>
      </c>
      <c r="M1188" s="1931">
        <f>-M941</f>
        <v/>
      </c>
      <c r="N1188" s="1931">
        <f>-N941</f>
        <v/>
      </c>
      <c r="O1188" s="1931">
        <f>-O941</f>
        <v/>
      </c>
      <c r="P1188" s="1930">
        <f>-P941</f>
        <v/>
      </c>
      <c r="Q1188" s="1931">
        <f>-Q941</f>
        <v/>
      </c>
      <c r="R1188" s="1931">
        <f>-R941</f>
        <v/>
      </c>
      <c r="S1188" s="1931">
        <f>-S941</f>
        <v/>
      </c>
      <c r="T1188" s="1931">
        <f>-T941</f>
        <v/>
      </c>
      <c r="U1188" s="1930">
        <f>-U941</f>
        <v/>
      </c>
      <c r="V1188" s="1931">
        <f>-V941</f>
        <v/>
      </c>
      <c r="W1188" s="1931">
        <f>-W941</f>
        <v/>
      </c>
      <c r="X1188" s="1931">
        <f>-X941</f>
        <v/>
      </c>
      <c r="Y1188" s="1931">
        <f>-Y941</f>
        <v/>
      </c>
      <c r="Z1188" s="1930">
        <f>-Z941</f>
        <v/>
      </c>
      <c r="AA1188" s="1931">
        <f>-AA941</f>
        <v/>
      </c>
      <c r="AB1188" s="1931">
        <f>-AB941</f>
        <v/>
      </c>
      <c r="AC1188" s="1931">
        <f>-AC941</f>
        <v/>
      </c>
      <c r="AD1188" s="1931">
        <f>-AD941</f>
        <v/>
      </c>
      <c r="AE1188" s="1930">
        <f>-AE941</f>
        <v/>
      </c>
      <c r="AF1188" s="1931">
        <f>-AF941</f>
        <v/>
      </c>
      <c r="AG1188" s="1931">
        <f>-AG941</f>
        <v/>
      </c>
      <c r="AH1188" s="1931">
        <f>-AH941</f>
        <v/>
      </c>
      <c r="AI1188" s="1931">
        <f>-AI941</f>
        <v/>
      </c>
      <c r="AJ1188" s="1930">
        <f>-AJ941</f>
        <v/>
      </c>
      <c r="AK1188" s="1931">
        <f>-AK941</f>
        <v/>
      </c>
      <c r="AL1188" s="1931">
        <f>-AL941</f>
        <v/>
      </c>
      <c r="AM1188" s="1931">
        <f>-AM941</f>
        <v/>
      </c>
      <c r="AN1188" s="1931">
        <f>-AN941</f>
        <v/>
      </c>
      <c r="AO1188" s="1930">
        <f>-AO941</f>
        <v/>
      </c>
      <c r="AP1188" s="1931">
        <f>-AP941</f>
        <v/>
      </c>
      <c r="AQ1188" s="1931">
        <f>-AQ941</f>
        <v/>
      </c>
      <c r="AR1188" s="1931">
        <f>-AR941</f>
        <v/>
      </c>
      <c r="AS1188" s="1931">
        <f>-AS941</f>
        <v/>
      </c>
      <c r="AT1188" s="1930">
        <f>-AT941</f>
        <v/>
      </c>
      <c r="AU1188" s="1931">
        <f>-AU941</f>
        <v/>
      </c>
      <c r="AV1188" s="1931">
        <f>-AV941</f>
        <v/>
      </c>
      <c r="AW1188" s="1931">
        <f>-AW941</f>
        <v/>
      </c>
      <c r="AX1188" s="1931">
        <f>-AX941</f>
        <v/>
      </c>
      <c r="AY1188" s="1930">
        <f>-AY941</f>
        <v/>
      </c>
      <c r="AZ1188" s="1931">
        <f>-AZ941</f>
        <v/>
      </c>
      <c r="BA1188" s="1931">
        <f>-BA941</f>
        <v/>
      </c>
      <c r="BB1188" s="1931">
        <f>-BB941</f>
        <v/>
      </c>
      <c r="BC1188" s="1931">
        <f>-BC941</f>
        <v/>
      </c>
      <c r="BD1188" s="1930">
        <f>-BD941</f>
        <v/>
      </c>
      <c r="BE1188" s="1931">
        <f>-BE941</f>
        <v/>
      </c>
      <c r="BF1188" s="1931">
        <f>-BF941</f>
        <v/>
      </c>
      <c r="BG1188" s="1931">
        <f>-BG941</f>
        <v/>
      </c>
      <c r="BH1188" s="1931">
        <f>-BH941</f>
        <v/>
      </c>
      <c r="BI1188" s="1930">
        <f>-BI941</f>
        <v/>
      </c>
      <c r="BJ1188" s="1931">
        <f>-BJ941</f>
        <v/>
      </c>
      <c r="BK1188" s="1931">
        <f>-BK941</f>
        <v/>
      </c>
      <c r="BL1188" s="1931">
        <f>-BL941</f>
        <v/>
      </c>
      <c r="BM1188" s="1931">
        <f>-BM941</f>
        <v/>
      </c>
      <c r="BN1188" s="1930">
        <f>-BN941</f>
        <v/>
      </c>
      <c r="BO1188" s="1931">
        <f>-BO941</f>
        <v/>
      </c>
      <c r="BP1188" s="1931">
        <f>-BP941</f>
        <v/>
      </c>
      <c r="BQ1188" s="1932">
        <f>-BQ941</f>
        <v/>
      </c>
      <c r="BR1188" s="1931">
        <f>-BR941</f>
        <v/>
      </c>
      <c r="BS1188" s="1930">
        <f>-BS941</f>
        <v/>
      </c>
      <c r="BT1188" s="1931">
        <f>-BT941</f>
        <v/>
      </c>
      <c r="BU1188" s="1931">
        <f>-BU941</f>
        <v/>
      </c>
      <c r="BV1188" s="1931">
        <f>-BV941</f>
        <v/>
      </c>
      <c r="BW1188" s="1931">
        <f>-BW941</f>
        <v/>
      </c>
      <c r="BX1188" s="1930">
        <f>-BX941</f>
        <v/>
      </c>
      <c r="BY1188" s="1930">
        <f>-BY941</f>
        <v/>
      </c>
      <c r="BZ1188" s="1930">
        <f>-BZ941</f>
        <v/>
      </c>
      <c r="CA1188" s="1930">
        <f>-CA941</f>
        <v/>
      </c>
      <c r="CB1188" s="1375" t="n"/>
    </row>
    <row r="1189" ht="14.4" customFormat="1" customHeight="1" s="1372">
      <c r="A1189" s="1937" t="inlineStr">
        <is>
          <t>Percentage of acquisition expenditure allocated to PPE, %</t>
        </is>
      </c>
      <c r="B1189" s="1590" t="n"/>
      <c r="C1189" s="1484" t="n"/>
      <c r="D1189" s="1484" t="n"/>
      <c r="E1189" s="1484" t="n"/>
      <c r="F1189" s="1484" t="n"/>
      <c r="G1189" s="1483" t="n"/>
      <c r="H1189" s="1483" t="n"/>
      <c r="I1189" s="1483" t="n"/>
      <c r="J1189" s="1483" t="n"/>
      <c r="K1189" s="1484" t="n"/>
      <c r="L1189" s="1483" t="n"/>
      <c r="M1189" s="1483" t="n"/>
      <c r="N1189" s="1483" t="n"/>
      <c r="O1189" s="1483" t="n"/>
      <c r="P1189" s="1484" t="n"/>
      <c r="Q1189" s="1483" t="n"/>
      <c r="R1189" s="1483" t="n"/>
      <c r="S1189" s="1483" t="n"/>
      <c r="T1189" s="1483" t="n"/>
      <c r="U1189" s="1484" t="n"/>
      <c r="V1189" s="1483" t="n"/>
      <c r="W1189" s="1483" t="n"/>
      <c r="X1189" s="1483" t="n"/>
      <c r="Y1189" s="1483" t="n"/>
      <c r="Z1189" s="1484" t="n"/>
      <c r="AA1189" s="1483" t="n"/>
      <c r="AB1189" s="1483" t="n"/>
      <c r="AC1189" s="1483" t="n"/>
      <c r="AD1189" s="1483" t="n"/>
      <c r="AE1189" s="1484" t="n"/>
      <c r="AF1189" s="1483" t="n"/>
      <c r="AG1189" s="1483" t="n"/>
      <c r="AH1189" s="1483" t="n"/>
      <c r="AI1189" s="1483" t="n"/>
      <c r="AJ1189" s="1484" t="n"/>
      <c r="AK1189" s="1483" t="n"/>
      <c r="AL1189" s="1483" t="n"/>
      <c r="AM1189" s="1483" t="n"/>
      <c r="AN1189" s="1483" t="n"/>
      <c r="AO1189" s="1484" t="n"/>
      <c r="AP1189" s="1483" t="n"/>
      <c r="AQ1189" s="1483" t="n"/>
      <c r="AR1189" s="1483" t="n"/>
      <c r="AS1189" s="1483" t="n"/>
      <c r="AT1189" s="1484" t="n"/>
      <c r="AU1189" s="1483" t="n"/>
      <c r="AV1189" s="1483" t="n"/>
      <c r="AW1189" s="1483" t="n"/>
      <c r="AX1189" s="1483" t="n"/>
      <c r="AY1189" s="1484" t="n"/>
      <c r="AZ1189" s="1483" t="n"/>
      <c r="BA1189" s="1483" t="n"/>
      <c r="BB1189" s="1483" t="n"/>
      <c r="BC1189" s="1483" t="n"/>
      <c r="BD1189" s="1484" t="n"/>
      <c r="BE1189" s="1483" t="n"/>
      <c r="BF1189" s="1483" t="n"/>
      <c r="BG1189" s="1483" t="n"/>
      <c r="BH1189" s="1483" t="n"/>
      <c r="BI1189" s="1484" t="n"/>
      <c r="BJ1189" s="1483" t="n"/>
      <c r="BK1189" s="1483" t="n"/>
      <c r="BL1189" s="1483" t="n"/>
      <c r="BM1189" s="1483" t="n"/>
      <c r="BN1189" s="1484" t="n"/>
      <c r="BO1189" s="1483" t="n"/>
      <c r="BP1189" s="1483" t="n"/>
      <c r="BQ1189" s="1938" t="n"/>
      <c r="BR1189" s="1939" t="n">
        <v>0</v>
      </c>
      <c r="BS1189" s="1484">
        <f>IFERROR((BO1188*BO1189+BP1188*BP1189+BQ1188*BQ1189+BR1188*BR1189)/BS1188,"N/A")</f>
        <v/>
      </c>
      <c r="BT1189" s="1939" t="n">
        <v>0</v>
      </c>
      <c r="BU1189" s="1939" t="n">
        <v>0</v>
      </c>
      <c r="BV1189" s="1939" t="n">
        <v>0</v>
      </c>
      <c r="BW1189" s="1939" t="n">
        <v>0</v>
      </c>
      <c r="BX1189" s="1484">
        <f>IFERROR((BT1188*BT1189+BU1188*BU1189+BV1188*BV1189+BW1188*BW1189)/BX1188,"N/A")</f>
        <v/>
      </c>
      <c r="BY1189" s="1940" t="n">
        <v>0</v>
      </c>
      <c r="BZ1189" s="1940" t="n">
        <v>0</v>
      </c>
      <c r="CA1189" s="1940" t="n">
        <v>0</v>
      </c>
      <c r="CB1189" s="1375" t="n"/>
    </row>
    <row r="1190" ht="14.4" customFormat="1" customHeight="1" s="1372">
      <c r="A1190" s="1937" t="inlineStr">
        <is>
          <t>Percentage of acquisition expenditure allocated to intangible assets, %</t>
        </is>
      </c>
      <c r="B1190" s="1590" t="n"/>
      <c r="C1190" s="1484" t="n"/>
      <c r="D1190" s="1484" t="n"/>
      <c r="E1190" s="1484" t="n"/>
      <c r="F1190" s="1484" t="n"/>
      <c r="G1190" s="1483" t="n"/>
      <c r="H1190" s="1483" t="n"/>
      <c r="I1190" s="1483" t="n"/>
      <c r="J1190" s="1483" t="n"/>
      <c r="K1190" s="1484" t="n"/>
      <c r="L1190" s="1483" t="n"/>
      <c r="M1190" s="1483" t="n"/>
      <c r="N1190" s="1483" t="n"/>
      <c r="O1190" s="1483" t="n"/>
      <c r="P1190" s="1484" t="n"/>
      <c r="Q1190" s="1483" t="n"/>
      <c r="R1190" s="1483" t="n"/>
      <c r="S1190" s="1483" t="n"/>
      <c r="T1190" s="1483" t="n"/>
      <c r="U1190" s="1484" t="n"/>
      <c r="V1190" s="1483" t="n"/>
      <c r="W1190" s="1483" t="n"/>
      <c r="X1190" s="1483" t="n"/>
      <c r="Y1190" s="1483" t="n"/>
      <c r="Z1190" s="1484" t="n"/>
      <c r="AA1190" s="1483" t="n"/>
      <c r="AB1190" s="1483" t="n"/>
      <c r="AC1190" s="1483" t="n"/>
      <c r="AD1190" s="1483" t="n"/>
      <c r="AE1190" s="1484" t="n"/>
      <c r="AF1190" s="1483" t="n"/>
      <c r="AG1190" s="1483" t="n"/>
      <c r="AH1190" s="1483" t="n"/>
      <c r="AI1190" s="1483" t="n"/>
      <c r="AJ1190" s="1484" t="n"/>
      <c r="AK1190" s="1483" t="n"/>
      <c r="AL1190" s="1483" t="n"/>
      <c r="AM1190" s="1483" t="n"/>
      <c r="AN1190" s="1483" t="n"/>
      <c r="AO1190" s="1484" t="n"/>
      <c r="AP1190" s="1483" t="n"/>
      <c r="AQ1190" s="1483" t="n"/>
      <c r="AR1190" s="1483" t="n"/>
      <c r="AS1190" s="1483" t="n"/>
      <c r="AT1190" s="1484" t="n"/>
      <c r="AU1190" s="1483" t="n"/>
      <c r="AV1190" s="1483" t="n"/>
      <c r="AW1190" s="1483" t="n"/>
      <c r="AX1190" s="1483" t="n"/>
      <c r="AY1190" s="1484" t="n"/>
      <c r="AZ1190" s="1483" t="n"/>
      <c r="BA1190" s="1483" t="n"/>
      <c r="BB1190" s="1483" t="n"/>
      <c r="BC1190" s="1483" t="n"/>
      <c r="BD1190" s="1484" t="n"/>
      <c r="BE1190" s="1483" t="n"/>
      <c r="BF1190" s="1483" t="n"/>
      <c r="BG1190" s="1483" t="n"/>
      <c r="BH1190" s="1483" t="n"/>
      <c r="BI1190" s="1484" t="n"/>
      <c r="BJ1190" s="1483" t="n"/>
      <c r="BK1190" s="1483" t="n"/>
      <c r="BL1190" s="1483" t="n"/>
      <c r="BM1190" s="1483" t="n"/>
      <c r="BN1190" s="1484" t="n"/>
      <c r="BO1190" s="1483" t="n"/>
      <c r="BP1190" s="1483" t="n"/>
      <c r="BQ1190" s="1938" t="n"/>
      <c r="BR1190" s="1939" t="n">
        <v>0</v>
      </c>
      <c r="BS1190" s="1484">
        <f>IFERROR((BO1188*BO1190+BP1188*BP1190+BQ1188*BQ1190+BR1188*BR1190)/BS1188,"N/A")</f>
        <v/>
      </c>
      <c r="BT1190" s="1939" t="n">
        <v>0</v>
      </c>
      <c r="BU1190" s="1939" t="n">
        <v>0</v>
      </c>
      <c r="BV1190" s="1939" t="n">
        <v>0</v>
      </c>
      <c r="BW1190" s="1939" t="n">
        <v>0</v>
      </c>
      <c r="BX1190" s="1484">
        <f>IFERROR((BT1188*BT1190+BU1188*BU1190+BV1188*BV1190+BW1188*BW1190)/BX1188,"N/A")</f>
        <v/>
      </c>
      <c r="BY1190" s="1940" t="n">
        <v>0</v>
      </c>
      <c r="BZ1190" s="1940" t="n">
        <v>0</v>
      </c>
      <c r="CA1190" s="1940" t="n">
        <v>0</v>
      </c>
      <c r="CB1190" s="1375" t="n"/>
    </row>
    <row r="1191" ht="14.4" customFormat="1" customHeight="1" s="1372">
      <c r="A1191" s="1474" t="n"/>
      <c r="B1191" s="1512" t="n"/>
      <c r="C1191" s="1554" t="n"/>
      <c r="D1191" s="1554" t="n"/>
      <c r="E1191" s="1554" t="n"/>
      <c r="F1191" s="1554" t="n"/>
      <c r="G1191" s="1553" t="n"/>
      <c r="H1191" s="1553" t="n"/>
      <c r="I1191" s="1553" t="n"/>
      <c r="J1191" s="1553" t="n"/>
      <c r="K1191" s="1554" t="n"/>
      <c r="L1191" s="1553" t="n"/>
      <c r="M1191" s="1553" t="n"/>
      <c r="N1191" s="1553" t="n"/>
      <c r="O1191" s="1553" t="n"/>
      <c r="P1191" s="1554" t="n"/>
      <c r="Q1191" s="1553" t="n"/>
      <c r="R1191" s="1553" t="n"/>
      <c r="S1191" s="1553" t="n"/>
      <c r="T1191" s="1553" t="n"/>
      <c r="U1191" s="1554" t="n"/>
      <c r="V1191" s="1553" t="n"/>
      <c r="W1191" s="1553" t="n"/>
      <c r="X1191" s="1553" t="n"/>
      <c r="Y1191" s="1553" t="n"/>
      <c r="Z1191" s="1554" t="n"/>
      <c r="AA1191" s="1553" t="n"/>
      <c r="AB1191" s="1553" t="n"/>
      <c r="AC1191" s="1553" t="n"/>
      <c r="AD1191" s="1553" t="n"/>
      <c r="AE1191" s="1554" t="n"/>
      <c r="AF1191" s="1553" t="n"/>
      <c r="AG1191" s="1553" t="n"/>
      <c r="AH1191" s="1553" t="n"/>
      <c r="AI1191" s="1553" t="n"/>
      <c r="AJ1191" s="1554" t="n"/>
      <c r="AK1191" s="1553" t="n"/>
      <c r="AL1191" s="1553" t="n"/>
      <c r="AM1191" s="1553" t="n"/>
      <c r="AN1191" s="1553" t="n"/>
      <c r="AO1191" s="1554" t="n"/>
      <c r="AP1191" s="1553" t="n"/>
      <c r="AQ1191" s="1553" t="n"/>
      <c r="AR1191" s="1553" t="n"/>
      <c r="AS1191" s="1553" t="n"/>
      <c r="AT1191" s="1554" t="n"/>
      <c r="AU1191" s="1553" t="n"/>
      <c r="AV1191" s="1553" t="n"/>
      <c r="AW1191" s="1553" t="n"/>
      <c r="AX1191" s="1553" t="n"/>
      <c r="AY1191" s="1554" t="n"/>
      <c r="AZ1191" s="1553" t="n"/>
      <c r="BA1191" s="1553" t="n"/>
      <c r="BB1191" s="1553" t="n"/>
      <c r="BC1191" s="1553" t="n"/>
      <c r="BD1191" s="1554" t="n"/>
      <c r="BE1191" s="1553" t="n"/>
      <c r="BF1191" s="1553" t="n"/>
      <c r="BG1191" s="1553" t="n"/>
      <c r="BH1191" s="1553" t="n"/>
      <c r="BI1191" s="1554" t="n"/>
      <c r="BJ1191" s="1553" t="n"/>
      <c r="BK1191" s="1553" t="n"/>
      <c r="BL1191" s="1553" t="n"/>
      <c r="BM1191" s="1553" t="n"/>
      <c r="BN1191" s="1554" t="n"/>
      <c r="BO1191" s="1553" t="n"/>
      <c r="BP1191" s="1553" t="n"/>
      <c r="BQ1191" s="1556" t="n"/>
      <c r="BR1191" s="1553" t="n"/>
      <c r="BS1191" s="1554" t="n"/>
      <c r="BT1191" s="1553" t="n"/>
      <c r="BU1191" s="1553" t="n"/>
      <c r="BV1191" s="1553" t="n"/>
      <c r="BW1191" s="1553" t="n"/>
      <c r="BX1191" s="1554" t="n"/>
      <c r="BY1191" s="1554" t="n"/>
      <c r="BZ1191" s="1554" t="n"/>
      <c r="CA1191" s="1554" t="n"/>
      <c r="CB1191" s="1375" t="n"/>
    </row>
    <row r="1192" ht="14.4" customFormat="1" customHeight="1" s="1372">
      <c r="A1192" s="1766" t="inlineStr">
        <is>
          <t>Working Capital Forecasting</t>
        </is>
      </c>
      <c r="B1192" s="1682" t="n"/>
      <c r="C1192" s="1373" t="n"/>
      <c r="D1192" s="1373" t="n"/>
      <c r="E1192" s="1373" t="n"/>
      <c r="F1192" s="1373" t="n"/>
      <c r="G1192" s="1373" t="n"/>
      <c r="H1192" s="1373" t="n"/>
      <c r="I1192" s="1373" t="n"/>
      <c r="J1192" s="1373" t="n"/>
      <c r="K1192" s="1373" t="n"/>
      <c r="L1192" s="1373" t="n"/>
      <c r="M1192" s="1373" t="n"/>
      <c r="N1192" s="1373" t="n"/>
      <c r="O1192" s="1373" t="n"/>
      <c r="P1192" s="1373" t="n"/>
      <c r="Q1192" s="1373" t="n"/>
      <c r="R1192" s="1373" t="n"/>
      <c r="S1192" s="1373" t="n"/>
      <c r="T1192" s="1373" t="n"/>
      <c r="U1192" s="1373" t="n"/>
      <c r="V1192" s="1373" t="n"/>
      <c r="W1192" s="1373" t="n"/>
      <c r="X1192" s="1373" t="n"/>
      <c r="Y1192" s="1373" t="n"/>
      <c r="Z1192" s="1373" t="n"/>
      <c r="AA1192" s="1373" t="n"/>
      <c r="AB1192" s="1373" t="n"/>
      <c r="AC1192" s="1373" t="n"/>
      <c r="AD1192" s="1373" t="n"/>
      <c r="AE1192" s="1373" t="n"/>
      <c r="AF1192" s="1373" t="n"/>
      <c r="AG1192" s="1373" t="n"/>
      <c r="AH1192" s="1373" t="n"/>
      <c r="AI1192" s="1373" t="n"/>
      <c r="AJ1192" s="1373" t="n"/>
      <c r="AK1192" s="1373" t="n"/>
      <c r="AL1192" s="1373" t="n"/>
      <c r="AM1192" s="1373" t="n"/>
      <c r="AN1192" s="1373" t="n"/>
      <c r="AO1192" s="1373" t="n"/>
      <c r="AP1192" s="1373" t="n"/>
      <c r="AQ1192" s="1373" t="n"/>
      <c r="AR1192" s="1373" t="n"/>
      <c r="AS1192" s="1373" t="n"/>
      <c r="AT1192" s="1373" t="n"/>
      <c r="AU1192" s="1373" t="n"/>
      <c r="AV1192" s="1373" t="n"/>
      <c r="AW1192" s="1373" t="n"/>
      <c r="AX1192" s="1373" t="n"/>
      <c r="AY1192" s="1373" t="n"/>
      <c r="AZ1192" s="1373" t="n"/>
      <c r="BA1192" s="1373" t="n"/>
      <c r="BB1192" s="1373" t="n"/>
      <c r="BC1192" s="1373" t="n"/>
      <c r="BD1192" s="1373" t="n"/>
      <c r="BE1192" s="1373" t="n"/>
      <c r="BF1192" s="1373" t="n"/>
      <c r="BG1192" s="1373" t="n"/>
      <c r="BH1192" s="1373" t="n"/>
      <c r="BI1192" s="1373" t="n"/>
      <c r="BJ1192" s="1373" t="n"/>
      <c r="BK1192" s="1373" t="n"/>
      <c r="BL1192" s="1373" t="n"/>
      <c r="BM1192" s="1373" t="n"/>
      <c r="BN1192" s="1373" t="n"/>
      <c r="BO1192" s="1373" t="n"/>
      <c r="BP1192" s="1373" t="n"/>
      <c r="BQ1192" s="1374" t="n"/>
      <c r="BR1192" s="1373" t="n"/>
      <c r="BS1192" s="1373" t="n"/>
      <c r="BT1192" s="1373" t="n"/>
      <c r="BU1192" s="1373" t="n"/>
      <c r="BV1192" s="1373" t="n"/>
      <c r="BW1192" s="1373" t="n"/>
      <c r="BX1192" s="1373" t="n"/>
      <c r="BY1192" s="1373" t="n"/>
      <c r="BZ1192" s="1373" t="n"/>
      <c r="CA1192" s="1373" t="n"/>
      <c r="CB1192" s="1375" t="n"/>
    </row>
    <row r="1193" ht="14.4" customFormat="1" customHeight="1" s="1504">
      <c r="A1193" s="1944" t="inlineStr">
        <is>
          <t>Receivables, net, % of LTM Sales</t>
        </is>
      </c>
      <c r="B1193" s="1945" t="n"/>
      <c r="C1193" s="1946">
        <f>C1207/C$454</f>
        <v/>
      </c>
      <c r="D1193" s="1946">
        <f>D1207/D$454</f>
        <v/>
      </c>
      <c r="E1193" s="1946">
        <f>E1207/E$454</f>
        <v/>
      </c>
      <c r="F1193" s="1946">
        <f>F1207/F$454</f>
        <v/>
      </c>
      <c r="G1193" s="1533" t="n"/>
      <c r="H1193" s="1533" t="n"/>
      <c r="I1193" s="1533" t="n"/>
      <c r="J1193" s="1533" t="n"/>
      <c r="K1193" s="1946">
        <f>K1207/K$454</f>
        <v/>
      </c>
      <c r="L1193" s="1507">
        <f>L1207/(L$454+J$454+I$454+H$454)</f>
        <v/>
      </c>
      <c r="M1193" s="1507">
        <f>M1207/(M$454+L$454+J$454+I$454)</f>
        <v/>
      </c>
      <c r="N1193" s="1507">
        <f>N1207/(N$454+M$454+L$454+J$454)</f>
        <v/>
      </c>
      <c r="O1193" s="1507">
        <f>O1207/(O$454+N$454+M$454+L$454)</f>
        <v/>
      </c>
      <c r="P1193" s="1946">
        <f>P1207/P$454</f>
        <v/>
      </c>
      <c r="Q1193" s="1507">
        <f>Q1207/(Q$454+O$454+N$454+M$454)</f>
        <v/>
      </c>
      <c r="R1193" s="1507">
        <f>R1207/(R$454+Q$454+O$454+N$454)</f>
        <v/>
      </c>
      <c r="S1193" s="1507">
        <f>S1207/(S$454+R$454+Q$454+O$454)</f>
        <v/>
      </c>
      <c r="T1193" s="1507">
        <f>T1207/(T$454+S$454+R$454+Q$454)</f>
        <v/>
      </c>
      <c r="U1193" s="1946">
        <f>U1207/U$454</f>
        <v/>
      </c>
      <c r="V1193" s="1507">
        <f>V1207/(V$454+T$454+S$454+R$454)</f>
        <v/>
      </c>
      <c r="W1193" s="1507">
        <f>W1207/(W$454+V$454+T$454+S$454)</f>
        <v/>
      </c>
      <c r="X1193" s="1507">
        <f>X1207/(X$454+W$454+V$454+T$454)</f>
        <v/>
      </c>
      <c r="Y1193" s="1507">
        <f>Y1207/(Y$454+X$454+W$454+V$454)</f>
        <v/>
      </c>
      <c r="Z1193" s="1946">
        <f>Z1207/Z$454</f>
        <v/>
      </c>
      <c r="AA1193" s="1507">
        <f>AA1207/(AA$454+Y$454+X$454+W$454)</f>
        <v/>
      </c>
      <c r="AB1193" s="1507">
        <f>AB1207/(AB$454+AA$454+Y$454+X$454)</f>
        <v/>
      </c>
      <c r="AC1193" s="1507">
        <f>AC1207/(AC$454+AB$454+AA$454+Y$454)</f>
        <v/>
      </c>
      <c r="AD1193" s="1507">
        <f>AD1207/(AD$454+AC$454+AB$454+AA$454)</f>
        <v/>
      </c>
      <c r="AE1193" s="1946">
        <f>AE1207/AE$454</f>
        <v/>
      </c>
      <c r="AF1193" s="1507">
        <f>AF1207/(AF$454+AD$454+AC$454+AB$454)</f>
        <v/>
      </c>
      <c r="AG1193" s="1507">
        <f>AG1207/(AG$454+AF$454+AD$454+AC$454)</f>
        <v/>
      </c>
      <c r="AH1193" s="1507">
        <f>AH1207/(AH$454+AG$454+AF$454+AD$454)</f>
        <v/>
      </c>
      <c r="AI1193" s="1507">
        <f>AI1207/(AI$454+AH$454+AG$454+AF$454)</f>
        <v/>
      </c>
      <c r="AJ1193" s="1946">
        <f>AJ1207/AJ$454</f>
        <v/>
      </c>
      <c r="AK1193" s="1507">
        <f>AK1207/(AK$454+AI$454+AH$454+AG$454)</f>
        <v/>
      </c>
      <c r="AL1193" s="1507">
        <f>AL1207/(AL$454+AK$454+AI$454+AH$454)</f>
        <v/>
      </c>
      <c r="AM1193" s="1507">
        <f>AM1207/(AM$454+AL$454+AK$454+AI$454)</f>
        <v/>
      </c>
      <c r="AN1193" s="1507">
        <f>AN1207/(AN$454+AM$454+AL$454+AK$454)</f>
        <v/>
      </c>
      <c r="AO1193" s="1946">
        <f>AO1207/AO$454</f>
        <v/>
      </c>
      <c r="AP1193" s="1507">
        <f>AP1207/(AP$454+AN$454+AM$454+AL$454)</f>
        <v/>
      </c>
      <c r="AQ1193" s="1507">
        <f>AQ1207/(AQ$454+AP$454+AN$454+AM$454)</f>
        <v/>
      </c>
      <c r="AR1193" s="1507">
        <f>AR1207/(AR$454+AQ$454+AP$454+AN$454)</f>
        <v/>
      </c>
      <c r="AS1193" s="1507">
        <f>AS1207/(AS$454+AR$454+AQ$454+AP$454)</f>
        <v/>
      </c>
      <c r="AT1193" s="1946">
        <f>AT1207/AT$454</f>
        <v/>
      </c>
      <c r="AU1193" s="1507">
        <f>AU1207/(AU$454+AS$454+AR$454+AQ$454)</f>
        <v/>
      </c>
      <c r="AV1193" s="1507">
        <f>AV1207/(AV$454+AU$454+AS$454+AR$454)</f>
        <v/>
      </c>
      <c r="AW1193" s="1507">
        <f>AW1207/(AW$454+AV$454+AU$454+AS$454)</f>
        <v/>
      </c>
      <c r="AX1193" s="1507">
        <f>AX1207/(AX$454+AW$454+AV$454+AU$454)</f>
        <v/>
      </c>
      <c r="AY1193" s="1946">
        <f>AY1207/AY$454</f>
        <v/>
      </c>
      <c r="AZ1193" s="1507">
        <f>AZ1207/(AZ$454+AX$454+AW$454+AV$454)</f>
        <v/>
      </c>
      <c r="BA1193" s="1507">
        <f>BA1207/(BA$454+AZ$454+AX$454+AW$454)</f>
        <v/>
      </c>
      <c r="BB1193" s="1507">
        <f>BB1207/(BB$454+BA$454+AZ$454+AX$454)</f>
        <v/>
      </c>
      <c r="BC1193" s="1507">
        <f>BC1207/(BC$454+BB$454+BA$454+AZ$454)</f>
        <v/>
      </c>
      <c r="BD1193" s="1946">
        <f>BD1207/BD$454</f>
        <v/>
      </c>
      <c r="BE1193" s="1507">
        <f>BE1207/(BE$454+BC$454+BB$454+BA$454)</f>
        <v/>
      </c>
      <c r="BF1193" s="1507">
        <f>BF1207/(BF$454+BE$454+BC$454+BB$454)</f>
        <v/>
      </c>
      <c r="BG1193" s="1507">
        <f>BG1207/(BG$454+BF$454+BE$454+BC$454)</f>
        <v/>
      </c>
      <c r="BH1193" s="1507">
        <f>BH1207/(BH$454+BG$454+BF$454+BE$454)</f>
        <v/>
      </c>
      <c r="BI1193" s="1946">
        <f>BI1207/BI$454</f>
        <v/>
      </c>
      <c r="BJ1193" s="1507">
        <f>BJ1207/(BJ$454+BH$454+BG$454+BF$454)</f>
        <v/>
      </c>
      <c r="BK1193" s="1507">
        <f>BK1207/(BK$454+BJ$454+BH$454+BG$454)</f>
        <v/>
      </c>
      <c r="BL1193" s="1507">
        <f>BL1207/(BL$454+BK$454+BJ$454+BH$454)</f>
        <v/>
      </c>
      <c r="BM1193" s="1507">
        <f>BM1207/(BM$454+BL$454+BK$454+BJ$454)</f>
        <v/>
      </c>
      <c r="BN1193" s="1946">
        <f>BN1207/BN$454</f>
        <v/>
      </c>
      <c r="BO1193" s="1507">
        <f>BO1207/(BO$454+BM$454+BL$454+BK$454)</f>
        <v/>
      </c>
      <c r="BP1193" s="1507">
        <f>BP1207/(BP$454+BO$454+BM$454+BL$454)</f>
        <v/>
      </c>
      <c r="BQ1193" s="1947">
        <f>BQ1207/(BQ$454+BP$454+BO$454+BM$454)</f>
        <v/>
      </c>
      <c r="BR1193" s="1533">
        <f>BM1193+BR1198</f>
        <v/>
      </c>
      <c r="BS1193" s="1532">
        <f>BS1207/BS$454</f>
        <v/>
      </c>
      <c r="BT1193" s="1533">
        <f>BO1193+BT1198</f>
        <v/>
      </c>
      <c r="BU1193" s="1533">
        <f>BP1193+BU1198</f>
        <v/>
      </c>
      <c r="BV1193" s="1533">
        <f>BQ1193+BV1198</f>
        <v/>
      </c>
      <c r="BW1193" s="1533">
        <f>BR1193+BW1198</f>
        <v/>
      </c>
      <c r="BX1193" s="1532">
        <f>BX1207/BX$454</f>
        <v/>
      </c>
      <c r="BY1193" s="1532">
        <f>BX1193+BY1198</f>
        <v/>
      </c>
      <c r="BZ1193" s="1532">
        <f>BY1193+BZ1198</f>
        <v/>
      </c>
      <c r="CA1193" s="1532">
        <f>BZ1193+CA1198</f>
        <v/>
      </c>
      <c r="CB1193" s="1507" t="n"/>
    </row>
    <row r="1194" ht="14.4" customFormat="1" customHeight="1" s="1504">
      <c r="A1194" s="1944" t="inlineStr">
        <is>
          <t>Accounts payable and accrued liabilities, % of LTM Sales</t>
        </is>
      </c>
      <c r="B1194" s="1945" t="n"/>
      <c r="C1194" s="1946">
        <f>C1230/C$454</f>
        <v/>
      </c>
      <c r="D1194" s="1946">
        <f>D1230/D$454</f>
        <v/>
      </c>
      <c r="E1194" s="1946">
        <f>E1230/E$454</f>
        <v/>
      </c>
      <c r="F1194" s="1946">
        <f>F1230/F$454</f>
        <v/>
      </c>
      <c r="G1194" s="1533" t="n"/>
      <c r="H1194" s="1533" t="n"/>
      <c r="I1194" s="1533" t="n"/>
      <c r="J1194" s="1533" t="n"/>
      <c r="K1194" s="1946">
        <f>K1230/K$454</f>
        <v/>
      </c>
      <c r="L1194" s="1507">
        <f>L1230/(L$454+J$454+I$454+H$454)</f>
        <v/>
      </c>
      <c r="M1194" s="1507">
        <f>M1230/(M$454+L$454+J$454+I$454)</f>
        <v/>
      </c>
      <c r="N1194" s="1507">
        <f>N1230/(N$454+M$454+L$454+J$454)</f>
        <v/>
      </c>
      <c r="O1194" s="1507">
        <f>O1230/(O$454+N$454+M$454+L$454)</f>
        <v/>
      </c>
      <c r="P1194" s="1946">
        <f>P1230/P$454</f>
        <v/>
      </c>
      <c r="Q1194" s="1507">
        <f>Q1230/(Q$454+O$454+N$454+M$454)</f>
        <v/>
      </c>
      <c r="R1194" s="1507">
        <f>R1230/(R$454+Q$454+O$454+N$454)</f>
        <v/>
      </c>
      <c r="S1194" s="1507">
        <f>S1230/(S$454+R$454+Q$454+O$454)</f>
        <v/>
      </c>
      <c r="T1194" s="1507">
        <f>T1230/(T$454+S$454+R$454+Q$454)</f>
        <v/>
      </c>
      <c r="U1194" s="1946">
        <f>U1230/U$454</f>
        <v/>
      </c>
      <c r="V1194" s="1507">
        <f>V1230/(V$454+T$454+S$454+R$454)</f>
        <v/>
      </c>
      <c r="W1194" s="1507">
        <f>W1230/(W$454+V$454+T$454+S$454)</f>
        <v/>
      </c>
      <c r="X1194" s="1507">
        <f>X1230/(X$454+W$454+V$454+T$454)</f>
        <v/>
      </c>
      <c r="Y1194" s="1507">
        <f>Y1230/(Y$454+X$454+W$454+V$454)</f>
        <v/>
      </c>
      <c r="Z1194" s="1946">
        <f>Z1230/Z$454</f>
        <v/>
      </c>
      <c r="AA1194" s="1507">
        <f>AA1230/(AA$454+Y$454+X$454+W$454)</f>
        <v/>
      </c>
      <c r="AB1194" s="1507">
        <f>AB1230/(AB$454+AA$454+Y$454+X$454)</f>
        <v/>
      </c>
      <c r="AC1194" s="1507">
        <f>AC1230/(AC$454+AB$454+AA$454+Y$454)</f>
        <v/>
      </c>
      <c r="AD1194" s="1507">
        <f>AD1230/(AD$454+AC$454+AB$454+AA$454)</f>
        <v/>
      </c>
      <c r="AE1194" s="1946">
        <f>AE1230/AE$454</f>
        <v/>
      </c>
      <c r="AF1194" s="1507">
        <f>AF1230/(AF$454+AD$454+AC$454+AB$454)</f>
        <v/>
      </c>
      <c r="AG1194" s="1507">
        <f>AG1230/(AG$454+AF$454+AD$454+AC$454)</f>
        <v/>
      </c>
      <c r="AH1194" s="1507">
        <f>AH1230/(AH$454+AG$454+AF$454+AD$454)</f>
        <v/>
      </c>
      <c r="AI1194" s="1507">
        <f>AI1230/(AI$454+AH$454+AG$454+AF$454)</f>
        <v/>
      </c>
      <c r="AJ1194" s="1946">
        <f>AJ1230/AJ$454</f>
        <v/>
      </c>
      <c r="AK1194" s="1507">
        <f>AK1230/(AK$454+AI$454+AH$454+AG$454)</f>
        <v/>
      </c>
      <c r="AL1194" s="1507">
        <f>AL1230/(AL$454+AK$454+AI$454+AH$454)</f>
        <v/>
      </c>
      <c r="AM1194" s="1507">
        <f>AM1230/(AM$454+AL$454+AK$454+AI$454)</f>
        <v/>
      </c>
      <c r="AN1194" s="1507">
        <f>AN1230/(AN$454+AM$454+AL$454+AK$454)</f>
        <v/>
      </c>
      <c r="AO1194" s="1946">
        <f>AO1230/AO$454</f>
        <v/>
      </c>
      <c r="AP1194" s="1507">
        <f>AP1230/(AP$454+AN$454+AM$454+AL$454)</f>
        <v/>
      </c>
      <c r="AQ1194" s="1507">
        <f>AQ1230/(AQ$454+AP$454+AN$454+AM$454)</f>
        <v/>
      </c>
      <c r="AR1194" s="1507">
        <f>AR1230/(AR$454+AQ$454+AP$454+AN$454)</f>
        <v/>
      </c>
      <c r="AS1194" s="1507">
        <f>AS1230/(AS$454+AR$454+AQ$454+AP$454)</f>
        <v/>
      </c>
      <c r="AT1194" s="1946">
        <f>AT1230/AT$454</f>
        <v/>
      </c>
      <c r="AU1194" s="1507">
        <f>AU1230/(AU$454+AS$454+AR$454+AQ$454)</f>
        <v/>
      </c>
      <c r="AV1194" s="1507">
        <f>AV1230/(AV$454+AU$454+AS$454+AR$454)</f>
        <v/>
      </c>
      <c r="AW1194" s="1507">
        <f>AW1230/(AW$454+AV$454+AU$454+AS$454)</f>
        <v/>
      </c>
      <c r="AX1194" s="1507">
        <f>AX1230/(AX$454+AW$454+AV$454+AU$454)</f>
        <v/>
      </c>
      <c r="AY1194" s="1946">
        <f>AY1230/AY$454</f>
        <v/>
      </c>
      <c r="AZ1194" s="1507">
        <f>AZ1230/(AZ$454+AX$454+AW$454+AV$454)</f>
        <v/>
      </c>
      <c r="BA1194" s="1507">
        <f>BA1230/(BA$454+AZ$454+AX$454+AW$454)</f>
        <v/>
      </c>
      <c r="BB1194" s="1507">
        <f>BB1230/(BB$454+BA$454+AZ$454+AX$454)</f>
        <v/>
      </c>
      <c r="BC1194" s="1507">
        <f>BC1230/(BC$454+BB$454+BA$454+AZ$454)</f>
        <v/>
      </c>
      <c r="BD1194" s="1946">
        <f>BD1230/BD$454</f>
        <v/>
      </c>
      <c r="BE1194" s="1507">
        <f>BE1230/(BE$454+BC$454+BB$454+BA$454)</f>
        <v/>
      </c>
      <c r="BF1194" s="1507">
        <f>BF1230/(BF$454+BE$454+BC$454+BB$454)</f>
        <v/>
      </c>
      <c r="BG1194" s="1507">
        <f>BG1230/(BG$454+BF$454+BE$454+BC$454)</f>
        <v/>
      </c>
      <c r="BH1194" s="1507">
        <f>BH1230/(BH$454+BG$454+BF$454+BE$454)</f>
        <v/>
      </c>
      <c r="BI1194" s="1946">
        <f>BI1230/BI$454</f>
        <v/>
      </c>
      <c r="BJ1194" s="1507">
        <f>BJ1230/(BJ$454+BH$454+BG$454+BF$454)</f>
        <v/>
      </c>
      <c r="BK1194" s="1507">
        <f>BK1230/(BK$454+BJ$454+BH$454+BG$454)</f>
        <v/>
      </c>
      <c r="BL1194" s="1507">
        <f>BL1230/(BL$454+BK$454+BJ$454+BH$454)</f>
        <v/>
      </c>
      <c r="BM1194" s="1507">
        <f>BM1230/(BM$454+BL$454+BK$454+BJ$454)</f>
        <v/>
      </c>
      <c r="BN1194" s="1946">
        <f>BN1230/BN$454</f>
        <v/>
      </c>
      <c r="BO1194" s="1507">
        <f>BO1230/(BO$454+BM$454+BL$454+BK$454)</f>
        <v/>
      </c>
      <c r="BP1194" s="1507">
        <f>BP1230/(BP$454+BO$454+BM$454+BL$454)</f>
        <v/>
      </c>
      <c r="BQ1194" s="1947">
        <f>BQ1230/(BQ$454+BP$454+BO$454+BM$454)</f>
        <v/>
      </c>
      <c r="BR1194" s="1533">
        <f>BM1194+BR1199</f>
        <v/>
      </c>
      <c r="BS1194" s="1532">
        <f>BS1230/BS$454</f>
        <v/>
      </c>
      <c r="BT1194" s="1533">
        <f>BO1194+BT1199</f>
        <v/>
      </c>
      <c r="BU1194" s="1533">
        <f>BP1194+BU1199</f>
        <v/>
      </c>
      <c r="BV1194" s="1533">
        <f>BQ1194+BV1199</f>
        <v/>
      </c>
      <c r="BW1194" s="1533">
        <f>BR1194+BW1199</f>
        <v/>
      </c>
      <c r="BX1194" s="1532">
        <f>BX1230/BX$454</f>
        <v/>
      </c>
      <c r="BY1194" s="1532">
        <f>BX1194+BY1199</f>
        <v/>
      </c>
      <c r="BZ1194" s="1532">
        <f>BY1194+BZ1199</f>
        <v/>
      </c>
      <c r="CA1194" s="1532">
        <f>BZ1194+CA1199</f>
        <v/>
      </c>
      <c r="CB1194" s="1507" t="n"/>
    </row>
    <row r="1195" ht="14.4" customFormat="1" customHeight="1" s="1504">
      <c r="A1195" s="1944" t="inlineStr">
        <is>
          <t>Current portion of deferred revenue, % of LTM Sales</t>
        </is>
      </c>
      <c r="B1195" s="1945" t="n"/>
      <c r="C1195" s="1946">
        <f>C1231/C$454</f>
        <v/>
      </c>
      <c r="D1195" s="1946">
        <f>D1231/D$454</f>
        <v/>
      </c>
      <c r="E1195" s="1946">
        <f>E1231/E$454</f>
        <v/>
      </c>
      <c r="F1195" s="1946">
        <f>F1231/F$454</f>
        <v/>
      </c>
      <c r="G1195" s="1533" t="n"/>
      <c r="H1195" s="1533" t="n"/>
      <c r="I1195" s="1533" t="n"/>
      <c r="J1195" s="1533" t="n"/>
      <c r="K1195" s="1946">
        <f>K1231/K$454</f>
        <v/>
      </c>
      <c r="L1195" s="1507">
        <f>L1231/(L$454+J$454+I$454+H$454)</f>
        <v/>
      </c>
      <c r="M1195" s="1507">
        <f>M1231/(M$454+L$454+J$454+I$454)</f>
        <v/>
      </c>
      <c r="N1195" s="1507">
        <f>N1231/(N$454+M$454+L$454+J$454)</f>
        <v/>
      </c>
      <c r="O1195" s="1507">
        <f>O1231/(O$454+N$454+M$454+L$454)</f>
        <v/>
      </c>
      <c r="P1195" s="1946">
        <f>P1231/P$454</f>
        <v/>
      </c>
      <c r="Q1195" s="1507">
        <f>Q1231/(Q$454+O$454+N$454+M$454)</f>
        <v/>
      </c>
      <c r="R1195" s="1507">
        <f>R1231/(R$454+Q$454+O$454+N$454)</f>
        <v/>
      </c>
      <c r="S1195" s="1507">
        <f>S1231/(S$454+R$454+Q$454+O$454)</f>
        <v/>
      </c>
      <c r="T1195" s="1507">
        <f>T1231/(T$454+S$454+R$454+Q$454)</f>
        <v/>
      </c>
      <c r="U1195" s="1946">
        <f>U1231/U$454</f>
        <v/>
      </c>
      <c r="V1195" s="1507">
        <f>V1231/(V$454+T$454+S$454+R$454)</f>
        <v/>
      </c>
      <c r="W1195" s="1507">
        <f>W1231/(W$454+V$454+T$454+S$454)</f>
        <v/>
      </c>
      <c r="X1195" s="1507">
        <f>X1231/(X$454+W$454+V$454+T$454)</f>
        <v/>
      </c>
      <c r="Y1195" s="1507">
        <f>Y1231/(Y$454+X$454+W$454+V$454)</f>
        <v/>
      </c>
      <c r="Z1195" s="1946">
        <f>Z1231/Z$454</f>
        <v/>
      </c>
      <c r="AA1195" s="1507">
        <f>AA1231/(AA$454+Y$454+X$454+W$454)</f>
        <v/>
      </c>
      <c r="AB1195" s="1507">
        <f>AB1231/(AB$454+AA$454+Y$454+X$454)</f>
        <v/>
      </c>
      <c r="AC1195" s="1507">
        <f>AC1231/(AC$454+AB$454+AA$454+Y$454)</f>
        <v/>
      </c>
      <c r="AD1195" s="1507">
        <f>AD1231/(AD$454+AC$454+AB$454+AA$454)</f>
        <v/>
      </c>
      <c r="AE1195" s="1946">
        <f>AE1231/AE$454</f>
        <v/>
      </c>
      <c r="AF1195" s="1507">
        <f>AF1231/(AF$454+AD$454+AC$454+AB$454)</f>
        <v/>
      </c>
      <c r="AG1195" s="1507">
        <f>AG1231/(AG$454+AF$454+AD$454+AC$454)</f>
        <v/>
      </c>
      <c r="AH1195" s="1507">
        <f>AH1231/(AH$454+AG$454+AF$454+AD$454)</f>
        <v/>
      </c>
      <c r="AI1195" s="1507">
        <f>AI1231/(AI$454+AH$454+AG$454+AF$454)</f>
        <v/>
      </c>
      <c r="AJ1195" s="1946">
        <f>AJ1231/AJ$454</f>
        <v/>
      </c>
      <c r="AK1195" s="1507">
        <f>AK1231/(AK$454+AI$454+AH$454+AG$454)</f>
        <v/>
      </c>
      <c r="AL1195" s="1507">
        <f>AL1231/(AL$454+AK$454+AI$454+AH$454)</f>
        <v/>
      </c>
      <c r="AM1195" s="1507">
        <f>AM1231/(AM$454+AL$454+AK$454+AI$454)</f>
        <v/>
      </c>
      <c r="AN1195" s="1507">
        <f>AN1231/(AN$454+AM$454+AL$454+AK$454)</f>
        <v/>
      </c>
      <c r="AO1195" s="1946">
        <f>AO1231/AO$454</f>
        <v/>
      </c>
      <c r="AP1195" s="1507">
        <f>AP1231/(AP$454+AN$454+AM$454+AL$454)</f>
        <v/>
      </c>
      <c r="AQ1195" s="1507">
        <f>AQ1231/(AQ$454+AP$454+AN$454+AM$454)</f>
        <v/>
      </c>
      <c r="AR1195" s="1507">
        <f>AR1231/(AR$454+AQ$454+AP$454+AN$454)</f>
        <v/>
      </c>
      <c r="AS1195" s="1507">
        <f>AS1231/(AS$454+AR$454+AQ$454+AP$454)</f>
        <v/>
      </c>
      <c r="AT1195" s="1946">
        <f>AT1231/AT$454</f>
        <v/>
      </c>
      <c r="AU1195" s="1507">
        <f>AU1231/(AU$454+AS$454+AR$454+AQ$454)</f>
        <v/>
      </c>
      <c r="AV1195" s="1507">
        <f>AV1231/(AV$454+AU$454+AS$454+AR$454)</f>
        <v/>
      </c>
      <c r="AW1195" s="1507">
        <f>AW1231/(AW$454+AV$454+AU$454+AS$454)</f>
        <v/>
      </c>
      <c r="AX1195" s="1507">
        <f>AX1231/(AX$454+AW$454+AV$454+AU$454)</f>
        <v/>
      </c>
      <c r="AY1195" s="1946">
        <f>AY1231/AY$454</f>
        <v/>
      </c>
      <c r="AZ1195" s="1507">
        <f>AZ1231/(AZ$454+AX$454+AW$454+AV$454)</f>
        <v/>
      </c>
      <c r="BA1195" s="1507">
        <f>BA1231/(BA$454+AZ$454+AX$454+AW$454)</f>
        <v/>
      </c>
      <c r="BB1195" s="1507">
        <f>BB1231/(BB$454+BA$454+AZ$454+AX$454)</f>
        <v/>
      </c>
      <c r="BC1195" s="1507">
        <f>BC1231/(BC$454+BB$454+BA$454+AZ$454)</f>
        <v/>
      </c>
      <c r="BD1195" s="1946">
        <f>BD1231/BD$454</f>
        <v/>
      </c>
      <c r="BE1195" s="1507">
        <f>BE1231/(BE$454+BC$454+BB$454+BA$454)</f>
        <v/>
      </c>
      <c r="BF1195" s="1507">
        <f>BF1231/(BF$454+BE$454+BC$454+BB$454)</f>
        <v/>
      </c>
      <c r="BG1195" s="1507">
        <f>BG1231/(BG$454+BF$454+BE$454+BC$454)</f>
        <v/>
      </c>
      <c r="BH1195" s="1507">
        <f>BH1231/(BH$454+BG$454+BF$454+BE$454)</f>
        <v/>
      </c>
      <c r="BI1195" s="1946">
        <f>BI1231/BI$454</f>
        <v/>
      </c>
      <c r="BJ1195" s="1507">
        <f>BJ1231/(BJ$454+BH$454+BG$454+BF$454)</f>
        <v/>
      </c>
      <c r="BK1195" s="1507">
        <f>BK1231/(BK$454+BJ$454+BH$454+BG$454)</f>
        <v/>
      </c>
      <c r="BL1195" s="1507">
        <f>BL1231/(BL$454+BK$454+BJ$454+BH$454)</f>
        <v/>
      </c>
      <c r="BM1195" s="1507">
        <f>BM1231/(BM$454+BL$454+BK$454+BJ$454)</f>
        <v/>
      </c>
      <c r="BN1195" s="1946">
        <f>BN1231/BN$454</f>
        <v/>
      </c>
      <c r="BO1195" s="1507">
        <f>BO1231/(BO$454+BM$454+BL$454+BK$454)</f>
        <v/>
      </c>
      <c r="BP1195" s="1507">
        <f>BP1231/(BP$454+BO$454+BM$454+BL$454)</f>
        <v/>
      </c>
      <c r="BQ1195" s="1947">
        <f>BQ1231/(BQ$454+BP$454+BO$454+BM$454)</f>
        <v/>
      </c>
      <c r="BR1195" s="1533">
        <f>BM1195+BR1200</f>
        <v/>
      </c>
      <c r="BS1195" s="1532">
        <f>BS1231/BS$454</f>
        <v/>
      </c>
      <c r="BT1195" s="1533">
        <f>BO1195+BT1200</f>
        <v/>
      </c>
      <c r="BU1195" s="1533">
        <f>BP1195+BU1200</f>
        <v/>
      </c>
      <c r="BV1195" s="1533">
        <f>BQ1195+BV1200</f>
        <v/>
      </c>
      <c r="BW1195" s="1533">
        <f>BR1195+BW1200</f>
        <v/>
      </c>
      <c r="BX1195" s="1532">
        <f>BX1231/BX$454</f>
        <v/>
      </c>
      <c r="BY1195" s="1532">
        <f>BX1195+BY1200</f>
        <v/>
      </c>
      <c r="BZ1195" s="1532">
        <f>BY1195+BZ1200</f>
        <v/>
      </c>
      <c r="CA1195" s="1532">
        <f>BZ1195+CA1200</f>
        <v/>
      </c>
      <c r="CB1195" s="1507" t="n"/>
    </row>
    <row r="1196" ht="14.4" customFormat="1" customHeight="1" s="1504">
      <c r="A1196" s="1948" t="inlineStr">
        <is>
          <t>Prepaid expenses and other, % of LTM Sales</t>
        </is>
      </c>
      <c r="B1196" s="1945" t="n"/>
      <c r="C1196" s="1532">
        <f>C1210/C454</f>
        <v/>
      </c>
      <c r="D1196" s="1532">
        <f>D1210/D454</f>
        <v/>
      </c>
      <c r="E1196" s="1532">
        <f>E1210/E454</f>
        <v/>
      </c>
      <c r="F1196" s="1532">
        <f>F1210/F454</f>
        <v/>
      </c>
      <c r="G1196" s="1533" t="n"/>
      <c r="H1196" s="1533" t="n"/>
      <c r="I1196" s="1533" t="n"/>
      <c r="J1196" s="1533" t="n"/>
      <c r="K1196" s="1532">
        <f>K1210/K454</f>
        <v/>
      </c>
      <c r="L1196" s="1533">
        <f>L1210/SUM(L454,J454,I454,H454)</f>
        <v/>
      </c>
      <c r="M1196" s="1533">
        <f>M1210/SUM(M454,L454,J454,I454)</f>
        <v/>
      </c>
      <c r="N1196" s="1533">
        <f>N1210/SUM(N454,M454,L454,J454)</f>
        <v/>
      </c>
      <c r="O1196" s="1533">
        <f>O1210/SUM(O454,N454,M454,L454)</f>
        <v/>
      </c>
      <c r="P1196" s="1532">
        <f>P1210/P454</f>
        <v/>
      </c>
      <c r="Q1196" s="1533">
        <f>Q1210/SUM(Q454,O454,N454,M454)</f>
        <v/>
      </c>
      <c r="R1196" s="1533">
        <f>R1210/SUM(R454,Q454,O454,N454)</f>
        <v/>
      </c>
      <c r="S1196" s="1533">
        <f>S1210/SUM(S454,R454,Q454,O454)</f>
        <v/>
      </c>
      <c r="T1196" s="1533">
        <f>T1210/SUM(T454,S454,R454,Q454)</f>
        <v/>
      </c>
      <c r="U1196" s="1532">
        <f>U1210/U454</f>
        <v/>
      </c>
      <c r="V1196" s="1533">
        <f>V1210/SUM(V454,T454,S454,R454)</f>
        <v/>
      </c>
      <c r="W1196" s="1533">
        <f>W1210/SUM(W454,V454,T454,S454)</f>
        <v/>
      </c>
      <c r="X1196" s="1533">
        <f>X1210/SUM(X454,W454,V454,T454)</f>
        <v/>
      </c>
      <c r="Y1196" s="1533">
        <f>Y1210/SUM(Y454,X454,W454,V454)</f>
        <v/>
      </c>
      <c r="Z1196" s="1532">
        <f>Z1210/Z454</f>
        <v/>
      </c>
      <c r="AA1196" s="1533">
        <f>AA1210/SUM(AA454,Y454,X454,W454)</f>
        <v/>
      </c>
      <c r="AB1196" s="1533">
        <f>AB1210/SUM(AB454,AA454,Y454,X454)</f>
        <v/>
      </c>
      <c r="AC1196" s="1533">
        <f>AC1210/SUM(AC454,AB454,AA454,Y454)</f>
        <v/>
      </c>
      <c r="AD1196" s="1533">
        <f>AD1210/SUM(AD454,AC454,AB454,AA454)</f>
        <v/>
      </c>
      <c r="AE1196" s="1532">
        <f>AE1210/AE454</f>
        <v/>
      </c>
      <c r="AF1196" s="1533">
        <f>AF1210/SUM(AF454,AD454,AC454,AB454)</f>
        <v/>
      </c>
      <c r="AG1196" s="1533">
        <f>AG1210/SUM(AG454,AF454,AD454,AC454)</f>
        <v/>
      </c>
      <c r="AH1196" s="1533">
        <f>AH1210/SUM(AH454,AG454,AF454,AD454)</f>
        <v/>
      </c>
      <c r="AI1196" s="1533">
        <f>AI1210/SUM(AI454,AH454,AG454,AF454)</f>
        <v/>
      </c>
      <c r="AJ1196" s="1532">
        <f>AJ1210/AJ454</f>
        <v/>
      </c>
      <c r="AK1196" s="1533">
        <f>AK1210/SUM(AK454,AI454,AH454,AG454)</f>
        <v/>
      </c>
      <c r="AL1196" s="1533">
        <f>AL1210/SUM(AL454,AK454,AI454,AH454)</f>
        <v/>
      </c>
      <c r="AM1196" s="1533">
        <f>AM1210/SUM(AM454,AL454,AK454,AI454)</f>
        <v/>
      </c>
      <c r="AN1196" s="1533">
        <f>AN1210/SUM(AN454,AM454,AL454,AK454)</f>
        <v/>
      </c>
      <c r="AO1196" s="1532">
        <f>AO1210/AO454</f>
        <v/>
      </c>
      <c r="AP1196" s="1533">
        <f>AP1210/SUM(AP454,AN454,AM454,AL454)</f>
        <v/>
      </c>
      <c r="AQ1196" s="1533">
        <f>AQ1210/SUM(AQ454,AP454,AN454,AM454)</f>
        <v/>
      </c>
      <c r="AR1196" s="1533">
        <f>AR1210/SUM(AR454,AQ454,AP454,AN454)</f>
        <v/>
      </c>
      <c r="AS1196" s="1533">
        <f>AS1210/SUM(AS454,AR454,AQ454,AP454)</f>
        <v/>
      </c>
      <c r="AT1196" s="1532">
        <f>AT1210/AT454</f>
        <v/>
      </c>
      <c r="AU1196" s="1533">
        <f>AU1210/SUM(AU454,AS454,AR454,AQ454)</f>
        <v/>
      </c>
      <c r="AV1196" s="1533">
        <f>AV1210/SUM(AV454,AU454,AS454,AR454)</f>
        <v/>
      </c>
      <c r="AW1196" s="1533">
        <f>AW1210/SUM(AW454,AV454,AU454,AS454)</f>
        <v/>
      </c>
      <c r="AX1196" s="1533">
        <f>AX1210/SUM(AX454,AW454,AV454,AU454)</f>
        <v/>
      </c>
      <c r="AY1196" s="1532">
        <f>AY1210/AY454</f>
        <v/>
      </c>
      <c r="AZ1196" s="1533">
        <f>AZ1210/SUM(AZ454,AX454,AW454,AV454)</f>
        <v/>
      </c>
      <c r="BA1196" s="1533">
        <f>BA1210/SUM(BA454,AZ454,AX454,AW454)</f>
        <v/>
      </c>
      <c r="BB1196" s="1533">
        <f>BB1210/SUM(BB454,BA454,AZ454,AX454)</f>
        <v/>
      </c>
      <c r="BC1196" s="1533">
        <f>BC1210/SUM(BC454,BB454,BA454,AZ454)</f>
        <v/>
      </c>
      <c r="BD1196" s="1532">
        <f>BD1210/BD454</f>
        <v/>
      </c>
      <c r="BE1196" s="1533">
        <f>BE1210/SUM(BE454,BC454,BB454,BA454)</f>
        <v/>
      </c>
      <c r="BF1196" s="1533">
        <f>BF1210/SUM(BF454,BE454,BC454,BB454)</f>
        <v/>
      </c>
      <c r="BG1196" s="1533">
        <f>BG1210/SUM(BG454,BF454,BE454,BC454)</f>
        <v/>
      </c>
      <c r="BH1196" s="1533">
        <f>BH1210/SUM(BH454,BG454,BF454,BE454)</f>
        <v/>
      </c>
      <c r="BI1196" s="1532">
        <f>BI1210/BI454</f>
        <v/>
      </c>
      <c r="BJ1196" s="1533">
        <f>BJ1210/SUM(BJ454,BH454,BG454,BF454)</f>
        <v/>
      </c>
      <c r="BK1196" s="1533">
        <f>BK1210/SUM(BK454,BJ454,BH454,BG454)</f>
        <v/>
      </c>
      <c r="BL1196" s="1533">
        <f>BL1210/SUM(BL454,BK454,BJ454,BH454)</f>
        <v/>
      </c>
      <c r="BM1196" s="1533">
        <f>BM1210/SUM(BM454,BL454,BK454,BJ454)</f>
        <v/>
      </c>
      <c r="BN1196" s="1532">
        <f>BN1210/BN454</f>
        <v/>
      </c>
      <c r="BO1196" s="1533">
        <f>BO1210/SUM(BO454,BM454,BL454,BK454)</f>
        <v/>
      </c>
      <c r="BP1196" s="1533">
        <f>BP1210/SUM(BP454,BO454,BM454,BL454)</f>
        <v/>
      </c>
      <c r="BQ1196" s="1534">
        <f>BQ1210/SUM(BQ454,BP454,BO454,BM454)</f>
        <v/>
      </c>
      <c r="BR1196" s="1533">
        <f>BM1196+BR1201</f>
        <v/>
      </c>
      <c r="BS1196" s="1532">
        <f>BS1210/BS454</f>
        <v/>
      </c>
      <c r="BT1196" s="1533">
        <f>BO1196+BT1201</f>
        <v/>
      </c>
      <c r="BU1196" s="1533">
        <f>BP1196+BU1201</f>
        <v/>
      </c>
      <c r="BV1196" s="1533">
        <f>BQ1196+BV1201</f>
        <v/>
      </c>
      <c r="BW1196" s="1533">
        <f>BR1196+BW1201</f>
        <v/>
      </c>
      <c r="BX1196" s="1532">
        <f>BX1210/BX454</f>
        <v/>
      </c>
      <c r="BY1196" s="1532">
        <f>BX1196+BY1201</f>
        <v/>
      </c>
      <c r="BZ1196" s="1532">
        <f>BY1196+BZ1201</f>
        <v/>
      </c>
      <c r="CA1196" s="1532">
        <f>BZ1196+CA1201</f>
        <v/>
      </c>
      <c r="CB1196" s="1507" t="n"/>
    </row>
    <row r="1197" ht="14.4" customFormat="1" customHeight="1" s="1504">
      <c r="A1197" s="1948" t="n"/>
      <c r="B1197" s="1945" t="n"/>
      <c r="C1197" s="1532" t="n"/>
      <c r="D1197" s="1532" t="n"/>
      <c r="E1197" s="1532" t="n"/>
      <c r="F1197" s="1532" t="n"/>
      <c r="G1197" s="1533" t="n"/>
      <c r="H1197" s="1533" t="n"/>
      <c r="I1197" s="1533" t="n"/>
      <c r="J1197" s="1533" t="n"/>
      <c r="K1197" s="1532" t="n"/>
      <c r="L1197" s="1533" t="n"/>
      <c r="M1197" s="1533" t="n"/>
      <c r="N1197" s="1533" t="n"/>
      <c r="O1197" s="1533" t="n"/>
      <c r="P1197" s="1532" t="n"/>
      <c r="Q1197" s="1533" t="n"/>
      <c r="R1197" s="1533" t="n"/>
      <c r="S1197" s="1533" t="n"/>
      <c r="T1197" s="1533" t="n"/>
      <c r="U1197" s="1532" t="n"/>
      <c r="V1197" s="1533" t="n"/>
      <c r="W1197" s="1533" t="n"/>
      <c r="X1197" s="1533" t="n"/>
      <c r="Y1197" s="1533" t="n"/>
      <c r="Z1197" s="1532" t="n"/>
      <c r="AA1197" s="1533" t="n"/>
      <c r="AB1197" s="1533" t="n"/>
      <c r="AC1197" s="1533" t="n"/>
      <c r="AD1197" s="1533" t="n"/>
      <c r="AE1197" s="1532" t="n"/>
      <c r="AF1197" s="1533" t="n"/>
      <c r="AG1197" s="1533" t="n"/>
      <c r="AH1197" s="1533" t="n"/>
      <c r="AI1197" s="1533" t="n"/>
      <c r="AJ1197" s="1532" t="n"/>
      <c r="AK1197" s="1533" t="n"/>
      <c r="AL1197" s="1533" t="n"/>
      <c r="AM1197" s="1533" t="n"/>
      <c r="AN1197" s="1533" t="n"/>
      <c r="AO1197" s="1532" t="n"/>
      <c r="AP1197" s="1533" t="n"/>
      <c r="AQ1197" s="1533" t="n"/>
      <c r="AR1197" s="1533" t="n"/>
      <c r="AS1197" s="1533" t="n"/>
      <c r="AT1197" s="1532" t="n"/>
      <c r="AU1197" s="1533" t="n"/>
      <c r="AV1197" s="1533" t="n"/>
      <c r="AW1197" s="1533" t="n"/>
      <c r="AX1197" s="1533" t="n"/>
      <c r="AY1197" s="1532" t="n"/>
      <c r="AZ1197" s="1533" t="n"/>
      <c r="BA1197" s="1533" t="n"/>
      <c r="BB1197" s="1533" t="n"/>
      <c r="BC1197" s="1533" t="n"/>
      <c r="BD1197" s="1532" t="n"/>
      <c r="BE1197" s="1533" t="n"/>
      <c r="BF1197" s="1533" t="n"/>
      <c r="BG1197" s="1533" t="n"/>
      <c r="BH1197" s="1533" t="n"/>
      <c r="BI1197" s="1532" t="n"/>
      <c r="BJ1197" s="1533" t="n"/>
      <c r="BK1197" s="1533" t="n"/>
      <c r="BL1197" s="1533" t="n"/>
      <c r="BM1197" s="1533" t="n"/>
      <c r="BN1197" s="1532" t="n"/>
      <c r="BO1197" s="1533" t="n"/>
      <c r="BP1197" s="1533" t="n"/>
      <c r="BQ1197" s="1534" t="n"/>
      <c r="BR1197" s="1533" t="n"/>
      <c r="BS1197" s="1532" t="n"/>
      <c r="BT1197" s="1533" t="n"/>
      <c r="BU1197" s="1533" t="n"/>
      <c r="BV1197" s="1533" t="n"/>
      <c r="BW1197" s="1533" t="n"/>
      <c r="BX1197" s="1532" t="n"/>
      <c r="BY1197" s="1532" t="n"/>
      <c r="BZ1197" s="1532" t="n"/>
      <c r="CA1197" s="1532" t="n"/>
      <c r="CB1197" s="1507" t="n"/>
    </row>
    <row r="1198" ht="14.4" customFormat="1" customHeight="1" s="1504">
      <c r="A1198" s="1949" t="inlineStr">
        <is>
          <t>Receivables, net, Y/Y Change, %</t>
        </is>
      </c>
      <c r="B1198" s="1950" t="n"/>
      <c r="C1198" s="1770" t="n"/>
      <c r="D1198" s="1951">
        <f>D1193-C1193</f>
        <v/>
      </c>
      <c r="E1198" s="1951">
        <f>E1193-D1193</f>
        <v/>
      </c>
      <c r="F1198" s="1951">
        <f>F1193-E1193</f>
        <v/>
      </c>
      <c r="G1198" s="1771" t="n"/>
      <c r="H1198" s="1771" t="n"/>
      <c r="I1198" s="1771" t="n"/>
      <c r="J1198" s="1771" t="n"/>
      <c r="K1198" s="1951">
        <f>K1193-F1193</f>
        <v/>
      </c>
      <c r="L1198" s="1771" t="n"/>
      <c r="M1198" s="1771" t="n"/>
      <c r="N1198" s="1771" t="n"/>
      <c r="O1198" s="1771" t="n"/>
      <c r="P1198" s="1951">
        <f>P1193-K1193</f>
        <v/>
      </c>
      <c r="Q1198" s="1952">
        <f>Q1193-L1193</f>
        <v/>
      </c>
      <c r="R1198" s="1952">
        <f>R1193-M1193</f>
        <v/>
      </c>
      <c r="S1198" s="1952">
        <f>S1193-N1193</f>
        <v/>
      </c>
      <c r="T1198" s="1952">
        <f>T1193-O1193</f>
        <v/>
      </c>
      <c r="U1198" s="1951">
        <f>U1193-P1193</f>
        <v/>
      </c>
      <c r="V1198" s="1952">
        <f>V1193-Q1193</f>
        <v/>
      </c>
      <c r="W1198" s="1952">
        <f>W1193-R1193</f>
        <v/>
      </c>
      <c r="X1198" s="1952">
        <f>X1193-S1193</f>
        <v/>
      </c>
      <c r="Y1198" s="1952">
        <f>Y1193-T1193</f>
        <v/>
      </c>
      <c r="Z1198" s="1951">
        <f>Z1193-U1193</f>
        <v/>
      </c>
      <c r="AA1198" s="1952">
        <f>AA1193-V1193</f>
        <v/>
      </c>
      <c r="AB1198" s="1952">
        <f>AB1193-W1193</f>
        <v/>
      </c>
      <c r="AC1198" s="1952">
        <f>AC1193-X1193</f>
        <v/>
      </c>
      <c r="AD1198" s="1952">
        <f>AD1193-Y1193</f>
        <v/>
      </c>
      <c r="AE1198" s="1951">
        <f>AE1193-Z1193</f>
        <v/>
      </c>
      <c r="AF1198" s="1952">
        <f>AF1193-AA1193</f>
        <v/>
      </c>
      <c r="AG1198" s="1952">
        <f>AG1193-AB1193</f>
        <v/>
      </c>
      <c r="AH1198" s="1952">
        <f>AH1193-AC1193</f>
        <v/>
      </c>
      <c r="AI1198" s="1952">
        <f>AI1193-AD1193</f>
        <v/>
      </c>
      <c r="AJ1198" s="1951">
        <f>AJ1193-AE1193</f>
        <v/>
      </c>
      <c r="AK1198" s="1952">
        <f>AK1193-AF1193</f>
        <v/>
      </c>
      <c r="AL1198" s="1952">
        <f>AL1193-AG1193</f>
        <v/>
      </c>
      <c r="AM1198" s="1952">
        <f>AM1193-AH1193</f>
        <v/>
      </c>
      <c r="AN1198" s="1952">
        <f>AN1193-AI1193</f>
        <v/>
      </c>
      <c r="AO1198" s="1951">
        <f>AO1193-AJ1193</f>
        <v/>
      </c>
      <c r="AP1198" s="1952">
        <f>AP1193-AK1193</f>
        <v/>
      </c>
      <c r="AQ1198" s="1952">
        <f>AQ1193-AL1193</f>
        <v/>
      </c>
      <c r="AR1198" s="1952">
        <f>AR1193-AM1193</f>
        <v/>
      </c>
      <c r="AS1198" s="1952">
        <f>AS1193-AN1193</f>
        <v/>
      </c>
      <c r="AT1198" s="1951">
        <f>AT1193-AO1193</f>
        <v/>
      </c>
      <c r="AU1198" s="1952">
        <f>AU1193-AP1193</f>
        <v/>
      </c>
      <c r="AV1198" s="1952">
        <f>AV1193-AQ1193</f>
        <v/>
      </c>
      <c r="AW1198" s="1952">
        <f>AW1193-AR1193</f>
        <v/>
      </c>
      <c r="AX1198" s="1952">
        <f>AX1193-AS1193</f>
        <v/>
      </c>
      <c r="AY1198" s="1951">
        <f>AY1193-AT1193</f>
        <v/>
      </c>
      <c r="AZ1198" s="1952">
        <f>AZ1193-AU1193</f>
        <v/>
      </c>
      <c r="BA1198" s="1952">
        <f>BA1193-AV1193</f>
        <v/>
      </c>
      <c r="BB1198" s="1952">
        <f>BB1193-AW1193</f>
        <v/>
      </c>
      <c r="BC1198" s="1952">
        <f>BC1193-AX1193</f>
        <v/>
      </c>
      <c r="BD1198" s="1951">
        <f>BD1193-AY1193</f>
        <v/>
      </c>
      <c r="BE1198" s="1952">
        <f>BE1193-AZ1193</f>
        <v/>
      </c>
      <c r="BF1198" s="1952">
        <f>BF1193-BA1193</f>
        <v/>
      </c>
      <c r="BG1198" s="1952">
        <f>BG1193-BB1193</f>
        <v/>
      </c>
      <c r="BH1198" s="1952">
        <f>BH1193-BC1193</f>
        <v/>
      </c>
      <c r="BI1198" s="1951">
        <f>BI1193-BD1193</f>
        <v/>
      </c>
      <c r="BJ1198" s="1952">
        <f>BJ1193-BE1193</f>
        <v/>
      </c>
      <c r="BK1198" s="1952">
        <f>BK1193-BF1193</f>
        <v/>
      </c>
      <c r="BL1198" s="1952">
        <f>BL1193-BG1193</f>
        <v/>
      </c>
      <c r="BM1198" s="1952">
        <f>BM1193-BH1193</f>
        <v/>
      </c>
      <c r="BN1198" s="1951">
        <f>BN1193-BI1193</f>
        <v/>
      </c>
      <c r="BO1198" s="1952">
        <f>BO1193-BJ1193</f>
        <v/>
      </c>
      <c r="BP1198" s="1952">
        <f>BP1193-BK1193</f>
        <v/>
      </c>
      <c r="BQ1198" s="1953">
        <f>BQ1193-BL1193</f>
        <v/>
      </c>
      <c r="BR1198" s="1954" t="n">
        <v>0.02</v>
      </c>
      <c r="BS1198" s="1770">
        <f>BS1193-BN1193</f>
        <v/>
      </c>
      <c r="BT1198" s="1954" t="n">
        <v>0</v>
      </c>
      <c r="BU1198" s="1954" t="n">
        <v>0</v>
      </c>
      <c r="BV1198" s="1954" t="n">
        <v>0</v>
      </c>
      <c r="BW1198" s="1954" t="n">
        <v>0</v>
      </c>
      <c r="BX1198" s="1770">
        <f>BX1193-BS1193</f>
        <v/>
      </c>
      <c r="BY1198" s="1955" t="n">
        <v>0</v>
      </c>
      <c r="BZ1198" s="1955" t="n">
        <v>0</v>
      </c>
      <c r="CA1198" s="1955" t="n">
        <v>0</v>
      </c>
      <c r="CB1198" s="1507" t="n"/>
    </row>
    <row r="1199" ht="14.4" customFormat="1" customHeight="1" s="1504">
      <c r="A1199" s="1949" t="inlineStr">
        <is>
          <t>Accounts payable and accrued liabilities, Y/Y Change, %</t>
        </is>
      </c>
      <c r="B1199" s="1950" t="n"/>
      <c r="C1199" s="1770" t="n"/>
      <c r="D1199" s="1951">
        <f>D1194-C1194</f>
        <v/>
      </c>
      <c r="E1199" s="1951">
        <f>E1194-D1194</f>
        <v/>
      </c>
      <c r="F1199" s="1951">
        <f>F1194-E1194</f>
        <v/>
      </c>
      <c r="G1199" s="1771" t="n"/>
      <c r="H1199" s="1771" t="n"/>
      <c r="I1199" s="1771" t="n"/>
      <c r="J1199" s="1771" t="n"/>
      <c r="K1199" s="1951">
        <f>K1194-F1194</f>
        <v/>
      </c>
      <c r="L1199" s="1771" t="n"/>
      <c r="M1199" s="1771" t="n"/>
      <c r="N1199" s="1771" t="n"/>
      <c r="O1199" s="1771" t="n"/>
      <c r="P1199" s="1951">
        <f>P1194-K1194</f>
        <v/>
      </c>
      <c r="Q1199" s="1952">
        <f>Q1194-L1194</f>
        <v/>
      </c>
      <c r="R1199" s="1952">
        <f>R1194-M1194</f>
        <v/>
      </c>
      <c r="S1199" s="1952">
        <f>S1194-N1194</f>
        <v/>
      </c>
      <c r="T1199" s="1952">
        <f>T1194-O1194</f>
        <v/>
      </c>
      <c r="U1199" s="1951">
        <f>U1194-P1194</f>
        <v/>
      </c>
      <c r="V1199" s="1952">
        <f>V1194-Q1194</f>
        <v/>
      </c>
      <c r="W1199" s="1952">
        <f>W1194-R1194</f>
        <v/>
      </c>
      <c r="X1199" s="1952">
        <f>X1194-S1194</f>
        <v/>
      </c>
      <c r="Y1199" s="1952">
        <f>Y1194-T1194</f>
        <v/>
      </c>
      <c r="Z1199" s="1951">
        <f>Z1194-U1194</f>
        <v/>
      </c>
      <c r="AA1199" s="1952">
        <f>AA1194-V1194</f>
        <v/>
      </c>
      <c r="AB1199" s="1952">
        <f>AB1194-W1194</f>
        <v/>
      </c>
      <c r="AC1199" s="1952">
        <f>AC1194-X1194</f>
        <v/>
      </c>
      <c r="AD1199" s="1952">
        <f>AD1194-Y1194</f>
        <v/>
      </c>
      <c r="AE1199" s="1951">
        <f>AE1194-Z1194</f>
        <v/>
      </c>
      <c r="AF1199" s="1952">
        <f>AF1194-AA1194</f>
        <v/>
      </c>
      <c r="AG1199" s="1952">
        <f>AG1194-AB1194</f>
        <v/>
      </c>
      <c r="AH1199" s="1952">
        <f>AH1194-AC1194</f>
        <v/>
      </c>
      <c r="AI1199" s="1952">
        <f>AI1194-AD1194</f>
        <v/>
      </c>
      <c r="AJ1199" s="1951">
        <f>AJ1194-AE1194</f>
        <v/>
      </c>
      <c r="AK1199" s="1952">
        <f>AK1194-AF1194</f>
        <v/>
      </c>
      <c r="AL1199" s="1952">
        <f>AL1194-AG1194</f>
        <v/>
      </c>
      <c r="AM1199" s="1952">
        <f>AM1194-AH1194</f>
        <v/>
      </c>
      <c r="AN1199" s="1952">
        <f>AN1194-AI1194</f>
        <v/>
      </c>
      <c r="AO1199" s="1951">
        <f>AO1194-AJ1194</f>
        <v/>
      </c>
      <c r="AP1199" s="1952">
        <f>AP1194-AK1194</f>
        <v/>
      </c>
      <c r="AQ1199" s="1952">
        <f>AQ1194-AL1194</f>
        <v/>
      </c>
      <c r="AR1199" s="1952">
        <f>AR1194-AM1194</f>
        <v/>
      </c>
      <c r="AS1199" s="1952">
        <f>AS1194-AN1194</f>
        <v/>
      </c>
      <c r="AT1199" s="1951">
        <f>AT1194-AO1194</f>
        <v/>
      </c>
      <c r="AU1199" s="1952">
        <f>AU1194-AP1194</f>
        <v/>
      </c>
      <c r="AV1199" s="1952">
        <f>AV1194-AQ1194</f>
        <v/>
      </c>
      <c r="AW1199" s="1952">
        <f>AW1194-AR1194</f>
        <v/>
      </c>
      <c r="AX1199" s="1952">
        <f>AX1194-AS1194</f>
        <v/>
      </c>
      <c r="AY1199" s="1951">
        <f>AY1194-AT1194</f>
        <v/>
      </c>
      <c r="AZ1199" s="1952">
        <f>AZ1194-AU1194</f>
        <v/>
      </c>
      <c r="BA1199" s="1952">
        <f>BA1194-AV1194</f>
        <v/>
      </c>
      <c r="BB1199" s="1952">
        <f>BB1194-AW1194</f>
        <v/>
      </c>
      <c r="BC1199" s="1952">
        <f>BC1194-AX1194</f>
        <v/>
      </c>
      <c r="BD1199" s="1951">
        <f>BD1194-AY1194</f>
        <v/>
      </c>
      <c r="BE1199" s="1952">
        <f>BE1194-AZ1194</f>
        <v/>
      </c>
      <c r="BF1199" s="1952">
        <f>BF1194-BA1194</f>
        <v/>
      </c>
      <c r="BG1199" s="1952">
        <f>BG1194-BB1194</f>
        <v/>
      </c>
      <c r="BH1199" s="1952">
        <f>BH1194-BC1194</f>
        <v/>
      </c>
      <c r="BI1199" s="1951">
        <f>BI1194-BD1194</f>
        <v/>
      </c>
      <c r="BJ1199" s="1952">
        <f>BJ1194-BE1194</f>
        <v/>
      </c>
      <c r="BK1199" s="1952">
        <f>BK1194-BF1194</f>
        <v/>
      </c>
      <c r="BL1199" s="1952">
        <f>BL1194-BG1194</f>
        <v/>
      </c>
      <c r="BM1199" s="1952">
        <f>BM1194-BH1194</f>
        <v/>
      </c>
      <c r="BN1199" s="1951">
        <f>BN1194-BI1194</f>
        <v/>
      </c>
      <c r="BO1199" s="1952">
        <f>BO1194-BJ1194</f>
        <v/>
      </c>
      <c r="BP1199" s="1952">
        <f>BP1194-BK1194</f>
        <v/>
      </c>
      <c r="BQ1199" s="1953">
        <f>BQ1194-BL1194</f>
        <v/>
      </c>
      <c r="BR1199" s="1954" t="n">
        <v>-0.02</v>
      </c>
      <c r="BS1199" s="1770">
        <f>BS1194-BN1194</f>
        <v/>
      </c>
      <c r="BT1199" s="1954" t="n">
        <v>0</v>
      </c>
      <c r="BU1199" s="1954" t="n">
        <v>0</v>
      </c>
      <c r="BV1199" s="1954" t="n">
        <v>0</v>
      </c>
      <c r="BW1199" s="1954" t="n">
        <v>0</v>
      </c>
      <c r="BX1199" s="1770">
        <f>BX1194-BS1194</f>
        <v/>
      </c>
      <c r="BY1199" s="1955" t="n">
        <v>0</v>
      </c>
      <c r="BZ1199" s="1955" t="n">
        <v>0</v>
      </c>
      <c r="CA1199" s="1955" t="n">
        <v>0</v>
      </c>
      <c r="CB1199" s="1507" t="n"/>
    </row>
    <row r="1200" ht="14.4" customFormat="1" customHeight="1" s="1504">
      <c r="A1200" s="1949" t="inlineStr">
        <is>
          <t>Current portion of deferred revenue, Y/Y Change, %</t>
        </is>
      </c>
      <c r="B1200" s="1950" t="n"/>
      <c r="C1200" s="1770" t="n"/>
      <c r="D1200" s="1951">
        <f>D1195-C1195</f>
        <v/>
      </c>
      <c r="E1200" s="1951">
        <f>E1195-D1195</f>
        <v/>
      </c>
      <c r="F1200" s="1951">
        <f>F1195-E1195</f>
        <v/>
      </c>
      <c r="G1200" s="1771" t="n"/>
      <c r="H1200" s="1771" t="n"/>
      <c r="I1200" s="1771" t="n"/>
      <c r="J1200" s="1771" t="n"/>
      <c r="K1200" s="1951">
        <f>K1195-F1195</f>
        <v/>
      </c>
      <c r="L1200" s="1771" t="n"/>
      <c r="M1200" s="1771" t="n"/>
      <c r="N1200" s="1771" t="n"/>
      <c r="O1200" s="1771" t="n"/>
      <c r="P1200" s="1951">
        <f>P1195-K1195</f>
        <v/>
      </c>
      <c r="Q1200" s="1952">
        <f>Q1195-L1195</f>
        <v/>
      </c>
      <c r="R1200" s="1952">
        <f>R1195-M1195</f>
        <v/>
      </c>
      <c r="S1200" s="1952">
        <f>S1195-N1195</f>
        <v/>
      </c>
      <c r="T1200" s="1952">
        <f>T1195-O1195</f>
        <v/>
      </c>
      <c r="U1200" s="1951">
        <f>U1195-P1195</f>
        <v/>
      </c>
      <c r="V1200" s="1952">
        <f>V1195-Q1195</f>
        <v/>
      </c>
      <c r="W1200" s="1952">
        <f>W1195-R1195</f>
        <v/>
      </c>
      <c r="X1200" s="1952">
        <f>X1195-S1195</f>
        <v/>
      </c>
      <c r="Y1200" s="1952">
        <f>Y1195-T1195</f>
        <v/>
      </c>
      <c r="Z1200" s="1951">
        <f>Z1195-U1195</f>
        <v/>
      </c>
      <c r="AA1200" s="1952">
        <f>AA1195-V1195</f>
        <v/>
      </c>
      <c r="AB1200" s="1952">
        <f>AB1195-W1195</f>
        <v/>
      </c>
      <c r="AC1200" s="1952">
        <f>AC1195-X1195</f>
        <v/>
      </c>
      <c r="AD1200" s="1952">
        <f>AD1195-Y1195</f>
        <v/>
      </c>
      <c r="AE1200" s="1951">
        <f>AE1195-Z1195</f>
        <v/>
      </c>
      <c r="AF1200" s="1952">
        <f>AF1195-AA1195</f>
        <v/>
      </c>
      <c r="AG1200" s="1952">
        <f>AG1195-AB1195</f>
        <v/>
      </c>
      <c r="AH1200" s="1952">
        <f>AH1195-AC1195</f>
        <v/>
      </c>
      <c r="AI1200" s="1952">
        <f>AI1195-AD1195</f>
        <v/>
      </c>
      <c r="AJ1200" s="1951">
        <f>AJ1195-AE1195</f>
        <v/>
      </c>
      <c r="AK1200" s="1952">
        <f>AK1195-AF1195</f>
        <v/>
      </c>
      <c r="AL1200" s="1952">
        <f>AL1195-AG1195</f>
        <v/>
      </c>
      <c r="AM1200" s="1952">
        <f>AM1195-AH1195</f>
        <v/>
      </c>
      <c r="AN1200" s="1952">
        <f>AN1195-AI1195</f>
        <v/>
      </c>
      <c r="AO1200" s="1951">
        <f>AO1195-AJ1195</f>
        <v/>
      </c>
      <c r="AP1200" s="1952">
        <f>AP1195-AK1195</f>
        <v/>
      </c>
      <c r="AQ1200" s="1952">
        <f>AQ1195-AL1195</f>
        <v/>
      </c>
      <c r="AR1200" s="1952">
        <f>AR1195-AM1195</f>
        <v/>
      </c>
      <c r="AS1200" s="1952">
        <f>AS1195-AN1195</f>
        <v/>
      </c>
      <c r="AT1200" s="1951">
        <f>AT1195-AO1195</f>
        <v/>
      </c>
      <c r="AU1200" s="1952">
        <f>AU1195-AP1195</f>
        <v/>
      </c>
      <c r="AV1200" s="1952">
        <f>AV1195-AQ1195</f>
        <v/>
      </c>
      <c r="AW1200" s="1952">
        <f>AW1195-AR1195</f>
        <v/>
      </c>
      <c r="AX1200" s="1952">
        <f>AX1195-AS1195</f>
        <v/>
      </c>
      <c r="AY1200" s="1951">
        <f>AY1195-AT1195</f>
        <v/>
      </c>
      <c r="AZ1200" s="1952">
        <f>AZ1195-AU1195</f>
        <v/>
      </c>
      <c r="BA1200" s="1952">
        <f>BA1195-AV1195</f>
        <v/>
      </c>
      <c r="BB1200" s="1952">
        <f>BB1195-AW1195</f>
        <v/>
      </c>
      <c r="BC1200" s="1952">
        <f>BC1195-AX1195</f>
        <v/>
      </c>
      <c r="BD1200" s="1951">
        <f>BD1195-AY1195</f>
        <v/>
      </c>
      <c r="BE1200" s="1952">
        <f>BE1195-AZ1195</f>
        <v/>
      </c>
      <c r="BF1200" s="1952">
        <f>BF1195-BA1195</f>
        <v/>
      </c>
      <c r="BG1200" s="1952">
        <f>BG1195-BB1195</f>
        <v/>
      </c>
      <c r="BH1200" s="1952">
        <f>BH1195-BC1195</f>
        <v/>
      </c>
      <c r="BI1200" s="1951">
        <f>BI1195-BD1195</f>
        <v/>
      </c>
      <c r="BJ1200" s="1952">
        <f>BJ1195-BE1195</f>
        <v/>
      </c>
      <c r="BK1200" s="1952">
        <f>BK1195-BF1195</f>
        <v/>
      </c>
      <c r="BL1200" s="1952">
        <f>BL1195-BG1195</f>
        <v/>
      </c>
      <c r="BM1200" s="1952">
        <f>BM1195-BH1195</f>
        <v/>
      </c>
      <c r="BN1200" s="1951">
        <f>BN1195-BI1195</f>
        <v/>
      </c>
      <c r="BO1200" s="1952">
        <f>BO1195-BJ1195</f>
        <v/>
      </c>
      <c r="BP1200" s="1952">
        <f>BP1195-BK1195</f>
        <v/>
      </c>
      <c r="BQ1200" s="1953">
        <f>BQ1195-BL1195</f>
        <v/>
      </c>
      <c r="BR1200" s="1954" t="n">
        <v>0</v>
      </c>
      <c r="BS1200" s="1770">
        <f>BS1195-BN1195</f>
        <v/>
      </c>
      <c r="BT1200" s="1954" t="n">
        <v>0</v>
      </c>
      <c r="BU1200" s="1954" t="n">
        <v>0</v>
      </c>
      <c r="BV1200" s="1954" t="n">
        <v>0</v>
      </c>
      <c r="BW1200" s="1954" t="n">
        <v>0</v>
      </c>
      <c r="BX1200" s="1770">
        <f>BX1195-BS1195</f>
        <v/>
      </c>
      <c r="BY1200" s="1955" t="n">
        <v>0</v>
      </c>
      <c r="BZ1200" s="1955" t="n">
        <v>0</v>
      </c>
      <c r="CA1200" s="1955" t="n">
        <v>0</v>
      </c>
      <c r="CB1200" s="1507" t="n"/>
    </row>
    <row r="1201" ht="14.4" customFormat="1" customHeight="1" s="1504">
      <c r="A1201" s="1949" t="inlineStr">
        <is>
          <t>Prepaid expenses and other, Y/Y Change, %</t>
        </is>
      </c>
      <c r="B1201" s="1950" t="n"/>
      <c r="C1201" s="1770" t="n"/>
      <c r="D1201" s="1951">
        <f>D1196-C1196</f>
        <v/>
      </c>
      <c r="E1201" s="1951">
        <f>E1196-D1196</f>
        <v/>
      </c>
      <c r="F1201" s="1951">
        <f>F1196-E1196</f>
        <v/>
      </c>
      <c r="G1201" s="1771" t="n"/>
      <c r="H1201" s="1771" t="n"/>
      <c r="I1201" s="1771" t="n"/>
      <c r="J1201" s="1771" t="n"/>
      <c r="K1201" s="1951">
        <f>K1196-F1196</f>
        <v/>
      </c>
      <c r="L1201" s="1771" t="n"/>
      <c r="M1201" s="1771" t="n"/>
      <c r="N1201" s="1771" t="n"/>
      <c r="O1201" s="1771" t="n"/>
      <c r="P1201" s="1951">
        <f>P1196-K1196</f>
        <v/>
      </c>
      <c r="Q1201" s="1952">
        <f>Q1196-L1196</f>
        <v/>
      </c>
      <c r="R1201" s="1952">
        <f>R1196-M1196</f>
        <v/>
      </c>
      <c r="S1201" s="1952">
        <f>S1196-N1196</f>
        <v/>
      </c>
      <c r="T1201" s="1952">
        <f>T1196-O1196</f>
        <v/>
      </c>
      <c r="U1201" s="1951">
        <f>U1196-P1196</f>
        <v/>
      </c>
      <c r="V1201" s="1952">
        <f>V1196-Q1196</f>
        <v/>
      </c>
      <c r="W1201" s="1952">
        <f>W1196-R1196</f>
        <v/>
      </c>
      <c r="X1201" s="1952">
        <f>X1196-S1196</f>
        <v/>
      </c>
      <c r="Y1201" s="1952">
        <f>Y1196-T1196</f>
        <v/>
      </c>
      <c r="Z1201" s="1951">
        <f>Z1196-U1196</f>
        <v/>
      </c>
      <c r="AA1201" s="1952">
        <f>AA1196-V1196</f>
        <v/>
      </c>
      <c r="AB1201" s="1952">
        <f>AB1196-W1196</f>
        <v/>
      </c>
      <c r="AC1201" s="1952">
        <f>AC1196-X1196</f>
        <v/>
      </c>
      <c r="AD1201" s="1952">
        <f>AD1196-Y1196</f>
        <v/>
      </c>
      <c r="AE1201" s="1951">
        <f>AE1196-Z1196</f>
        <v/>
      </c>
      <c r="AF1201" s="1952">
        <f>AF1196-AA1196</f>
        <v/>
      </c>
      <c r="AG1201" s="1952">
        <f>AG1196-AB1196</f>
        <v/>
      </c>
      <c r="AH1201" s="1952">
        <f>AH1196-AC1196</f>
        <v/>
      </c>
      <c r="AI1201" s="1952">
        <f>AI1196-AD1196</f>
        <v/>
      </c>
      <c r="AJ1201" s="1951">
        <f>AJ1196-AE1196</f>
        <v/>
      </c>
      <c r="AK1201" s="1952">
        <f>AK1196-AF1196</f>
        <v/>
      </c>
      <c r="AL1201" s="1952">
        <f>AL1196-AG1196</f>
        <v/>
      </c>
      <c r="AM1201" s="1952">
        <f>AM1196-AH1196</f>
        <v/>
      </c>
      <c r="AN1201" s="1952">
        <f>AN1196-AI1196</f>
        <v/>
      </c>
      <c r="AO1201" s="1951">
        <f>AO1196-AJ1196</f>
        <v/>
      </c>
      <c r="AP1201" s="1952">
        <f>AP1196-AK1196</f>
        <v/>
      </c>
      <c r="AQ1201" s="1952">
        <f>AQ1196-AL1196</f>
        <v/>
      </c>
      <c r="AR1201" s="1952">
        <f>AR1196-AM1196</f>
        <v/>
      </c>
      <c r="AS1201" s="1952">
        <f>AS1196-AN1196</f>
        <v/>
      </c>
      <c r="AT1201" s="1951">
        <f>AT1196-AO1196</f>
        <v/>
      </c>
      <c r="AU1201" s="1952">
        <f>AU1196-AP1196</f>
        <v/>
      </c>
      <c r="AV1201" s="1952">
        <f>AV1196-AQ1196</f>
        <v/>
      </c>
      <c r="AW1201" s="1952">
        <f>AW1196-AR1196</f>
        <v/>
      </c>
      <c r="AX1201" s="1952">
        <f>AX1196-AS1196</f>
        <v/>
      </c>
      <c r="AY1201" s="1951">
        <f>AY1196-AT1196</f>
        <v/>
      </c>
      <c r="AZ1201" s="1952">
        <f>AZ1196-AU1196</f>
        <v/>
      </c>
      <c r="BA1201" s="1952">
        <f>BA1196-AV1196</f>
        <v/>
      </c>
      <c r="BB1201" s="1952">
        <f>BB1196-AW1196</f>
        <v/>
      </c>
      <c r="BC1201" s="1952">
        <f>BC1196-AX1196</f>
        <v/>
      </c>
      <c r="BD1201" s="1951">
        <f>BD1196-AY1196</f>
        <v/>
      </c>
      <c r="BE1201" s="1952">
        <f>BE1196-AZ1196</f>
        <v/>
      </c>
      <c r="BF1201" s="1952">
        <f>BF1196-BA1196</f>
        <v/>
      </c>
      <c r="BG1201" s="1952">
        <f>BG1196-BB1196</f>
        <v/>
      </c>
      <c r="BH1201" s="1952">
        <f>BH1196-BC1196</f>
        <v/>
      </c>
      <c r="BI1201" s="1951">
        <f>BI1196-BD1196</f>
        <v/>
      </c>
      <c r="BJ1201" s="1952">
        <f>BJ1196-BE1196</f>
        <v/>
      </c>
      <c r="BK1201" s="1952">
        <f>BK1196-BF1196</f>
        <v/>
      </c>
      <c r="BL1201" s="1952">
        <f>BL1196-BG1196</f>
        <v/>
      </c>
      <c r="BM1201" s="1952">
        <f>BM1196-BH1196</f>
        <v/>
      </c>
      <c r="BN1201" s="1951">
        <f>BN1196-BI1196</f>
        <v/>
      </c>
      <c r="BO1201" s="1952">
        <f>BO1196-BJ1196</f>
        <v/>
      </c>
      <c r="BP1201" s="1952">
        <f>BP1196-BK1196</f>
        <v/>
      </c>
      <c r="BQ1201" s="1953">
        <f>BQ1196-BL1196</f>
        <v/>
      </c>
      <c r="BR1201" s="1954" t="n">
        <v>0</v>
      </c>
      <c r="BS1201" s="1770">
        <f>BS1196-BN1196</f>
        <v/>
      </c>
      <c r="BT1201" s="1954" t="n">
        <v>0</v>
      </c>
      <c r="BU1201" s="1954" t="n">
        <v>0</v>
      </c>
      <c r="BV1201" s="1954" t="n">
        <v>0</v>
      </c>
      <c r="BW1201" s="1954" t="n">
        <v>0</v>
      </c>
      <c r="BX1201" s="1770">
        <f>BX1196-BS1196</f>
        <v/>
      </c>
      <c r="BY1201" s="1955" t="n">
        <v>0</v>
      </c>
      <c r="BZ1201" s="1955" t="n">
        <v>0</v>
      </c>
      <c r="CA1201" s="1955" t="n">
        <v>0</v>
      </c>
      <c r="CB1201" s="1507" t="n"/>
    </row>
    <row r="1202" ht="14.4" customFormat="1" customHeight="1" s="1372">
      <c r="A1202" s="1474" t="n"/>
      <c r="B1202" s="1512" t="n"/>
      <c r="C1202" s="1554" t="n"/>
      <c r="D1202" s="1554" t="n"/>
      <c r="E1202" s="1554" t="n"/>
      <c r="F1202" s="1554" t="n"/>
      <c r="G1202" s="1553" t="n"/>
      <c r="H1202" s="1553" t="n"/>
      <c r="I1202" s="1553" t="n"/>
      <c r="J1202" s="1553" t="n"/>
      <c r="K1202" s="1554" t="n"/>
      <c r="L1202" s="1553" t="n"/>
      <c r="M1202" s="1553" t="n"/>
      <c r="N1202" s="1553" t="n"/>
      <c r="O1202" s="1553" t="n"/>
      <c r="P1202" s="1554" t="n"/>
      <c r="Q1202" s="1553" t="n"/>
      <c r="R1202" s="1553" t="n"/>
      <c r="S1202" s="1553" t="n"/>
      <c r="T1202" s="1553" t="n"/>
      <c r="U1202" s="1554" t="n"/>
      <c r="V1202" s="1553" t="n"/>
      <c r="W1202" s="1553" t="n"/>
      <c r="X1202" s="1553" t="n"/>
      <c r="Y1202" s="1553" t="n"/>
      <c r="Z1202" s="1554" t="n"/>
      <c r="AA1202" s="1553" t="n"/>
      <c r="AB1202" s="1553" t="n"/>
      <c r="AC1202" s="1553" t="n"/>
      <c r="AD1202" s="1553" t="n"/>
      <c r="AE1202" s="1554" t="n"/>
      <c r="AF1202" s="1553" t="n"/>
      <c r="AG1202" s="1553" t="n"/>
      <c r="AH1202" s="1553" t="n"/>
      <c r="AI1202" s="1553" t="n"/>
      <c r="AJ1202" s="1554" t="n"/>
      <c r="AK1202" s="1553" t="n"/>
      <c r="AL1202" s="1553" t="n"/>
      <c r="AM1202" s="1553" t="n"/>
      <c r="AN1202" s="1553" t="n"/>
      <c r="AO1202" s="1554" t="n"/>
      <c r="AP1202" s="1553" t="n"/>
      <c r="AQ1202" s="1553" t="n"/>
      <c r="AR1202" s="1553" t="n"/>
      <c r="AS1202" s="1553" t="n"/>
      <c r="AT1202" s="1554" t="n"/>
      <c r="AU1202" s="1553" t="n"/>
      <c r="AV1202" s="1553" t="n"/>
      <c r="AW1202" s="1553" t="n"/>
      <c r="AX1202" s="1553" t="n"/>
      <c r="AY1202" s="1554" t="n"/>
      <c r="AZ1202" s="1553" t="n"/>
      <c r="BA1202" s="1553" t="n"/>
      <c r="BB1202" s="1553" t="n"/>
      <c r="BC1202" s="1553" t="n"/>
      <c r="BD1202" s="1554" t="n"/>
      <c r="BE1202" s="1553" t="n"/>
      <c r="BF1202" s="1553" t="n"/>
      <c r="BG1202" s="1553" t="n"/>
      <c r="BH1202" s="1553" t="n"/>
      <c r="BI1202" s="1554" t="n"/>
      <c r="BJ1202" s="1553" t="n"/>
      <c r="BK1202" s="1553" t="n"/>
      <c r="BL1202" s="1553" t="n"/>
      <c r="BM1202" s="1553" t="n"/>
      <c r="BN1202" s="1554" t="n"/>
      <c r="BO1202" s="1553" t="n"/>
      <c r="BP1202" s="1553" t="n"/>
      <c r="BQ1202" s="1556" t="n"/>
      <c r="BR1202" s="1553" t="n"/>
      <c r="BS1202" s="1554" t="n"/>
      <c r="BT1202" s="1553" t="n"/>
      <c r="BU1202" s="1553" t="n"/>
      <c r="BV1202" s="1553" t="n"/>
      <c r="BW1202" s="1553" t="n"/>
      <c r="BX1202" s="1554" t="n"/>
      <c r="BY1202" s="1554" t="n"/>
      <c r="BZ1202" s="1554" t="n"/>
      <c r="CA1202" s="1554" t="n"/>
      <c r="CB1202" s="1375" t="n"/>
    </row>
    <row r="1203" ht="14.4" customFormat="1" customHeight="1" s="1372">
      <c r="A1203" s="1373" t="inlineStr">
        <is>
          <t>Balance Sheet</t>
        </is>
      </c>
      <c r="B1203" s="1373" t="n"/>
      <c r="C1203" s="1373" t="n"/>
      <c r="D1203" s="1373" t="n"/>
      <c r="E1203" s="1373" t="n"/>
      <c r="F1203" s="1373" t="n"/>
      <c r="G1203" s="1373" t="n"/>
      <c r="H1203" s="1373" t="n"/>
      <c r="I1203" s="1373" t="n"/>
      <c r="J1203" s="1373" t="n"/>
      <c r="K1203" s="1373" t="n"/>
      <c r="L1203" s="1373" t="n"/>
      <c r="M1203" s="1373" t="n"/>
      <c r="N1203" s="1373" t="n"/>
      <c r="O1203" s="1373" t="n"/>
      <c r="P1203" s="1373" t="n"/>
      <c r="Q1203" s="1373" t="n"/>
      <c r="R1203" s="1373" t="n"/>
      <c r="S1203" s="1373" t="n"/>
      <c r="T1203" s="1373" t="n"/>
      <c r="U1203" s="1373" t="n"/>
      <c r="V1203" s="1373" t="n"/>
      <c r="W1203" s="1373" t="n"/>
      <c r="X1203" s="1373" t="n"/>
      <c r="Y1203" s="1373" t="n"/>
      <c r="Z1203" s="1373" t="n"/>
      <c r="AA1203" s="1373" t="n"/>
      <c r="AB1203" s="1373" t="n"/>
      <c r="AC1203" s="1373" t="n"/>
      <c r="AD1203" s="1373" t="n"/>
      <c r="AE1203" s="1373" t="n"/>
      <c r="AF1203" s="1373" t="n"/>
      <c r="AG1203" s="1373" t="n"/>
      <c r="AH1203" s="1373" t="n"/>
      <c r="AI1203" s="1373" t="n"/>
      <c r="AJ1203" s="1373" t="n"/>
      <c r="AK1203" s="1373" t="n"/>
      <c r="AL1203" s="1373" t="n"/>
      <c r="AM1203" s="1373" t="n"/>
      <c r="AN1203" s="1373" t="n"/>
      <c r="AO1203" s="1373" t="n"/>
      <c r="AP1203" s="1373" t="n"/>
      <c r="AQ1203" s="1373" t="n"/>
      <c r="AR1203" s="1373" t="n"/>
      <c r="AS1203" s="1373" t="n"/>
      <c r="AT1203" s="1373" t="n"/>
      <c r="AU1203" s="1373" t="n"/>
      <c r="AV1203" s="1373" t="n"/>
      <c r="AW1203" s="1373" t="n"/>
      <c r="AX1203" s="1373" t="n"/>
      <c r="AY1203" s="1373" t="n"/>
      <c r="AZ1203" s="1373" t="n"/>
      <c r="BA1203" s="1373" t="n"/>
      <c r="BB1203" s="1373" t="n"/>
      <c r="BC1203" s="1373" t="n"/>
      <c r="BD1203" s="1373" t="n"/>
      <c r="BE1203" s="1373" t="n"/>
      <c r="BF1203" s="1373" t="n"/>
      <c r="BG1203" s="1373" t="n"/>
      <c r="BH1203" s="1373" t="n"/>
      <c r="BI1203" s="1373" t="n"/>
      <c r="BJ1203" s="1373" t="n"/>
      <c r="BK1203" s="1373" t="n"/>
      <c r="BL1203" s="1373" t="n"/>
      <c r="BM1203" s="1373" t="n"/>
      <c r="BN1203" s="1373" t="n"/>
      <c r="BO1203" s="1373" t="n"/>
      <c r="BP1203" s="1373" t="n"/>
      <c r="BQ1203" s="1374" t="n"/>
      <c r="BR1203" s="1373" t="n"/>
      <c r="BS1203" s="1373" t="n"/>
      <c r="BT1203" s="1373" t="n"/>
      <c r="BU1203" s="1373" t="n"/>
      <c r="BV1203" s="1373" t="n"/>
      <c r="BW1203" s="1373" t="n"/>
      <c r="BX1203" s="1373" t="n"/>
      <c r="BY1203" s="1373" t="n"/>
      <c r="BZ1203" s="1373" t="n"/>
      <c r="CA1203" s="1373" t="n"/>
      <c r="CB1203" s="1375" t="n"/>
    </row>
    <row r="1204" ht="14.4" customFormat="1" customHeight="1" s="1372">
      <c r="A1204" s="1452" t="inlineStr">
        <is>
          <t>Current Assets</t>
        </is>
      </c>
      <c r="B1204" s="1517" t="n"/>
      <c r="C1204" s="1449" t="n"/>
      <c r="D1204" s="1449" t="n"/>
      <c r="E1204" s="1449" t="n"/>
      <c r="F1204" s="1449" t="n"/>
      <c r="G1204" s="1450" t="n"/>
      <c r="H1204" s="1450" t="n"/>
      <c r="I1204" s="1450" t="n"/>
      <c r="J1204" s="1450" t="n"/>
      <c r="K1204" s="1449" t="n"/>
      <c r="L1204" s="1450" t="n"/>
      <c r="M1204" s="1450" t="n"/>
      <c r="N1204" s="1450" t="n"/>
      <c r="O1204" s="1450" t="n"/>
      <c r="P1204" s="1449" t="n"/>
      <c r="Q1204" s="1450" t="n"/>
      <c r="R1204" s="1450" t="n"/>
      <c r="S1204" s="1450" t="n"/>
      <c r="T1204" s="1450" t="n"/>
      <c r="U1204" s="1449" t="n"/>
      <c r="V1204" s="1450" t="n"/>
      <c r="W1204" s="1450" t="n"/>
      <c r="X1204" s="1450" t="n"/>
      <c r="Y1204" s="1450" t="n"/>
      <c r="Z1204" s="1449" t="n"/>
      <c r="AA1204" s="1450" t="n"/>
      <c r="AB1204" s="1450" t="n"/>
      <c r="AC1204" s="1450" t="n"/>
      <c r="AD1204" s="1450" t="n"/>
      <c r="AE1204" s="1449" t="n"/>
      <c r="AF1204" s="1450" t="n"/>
      <c r="AG1204" s="1450" t="n"/>
      <c r="AH1204" s="1450" t="n"/>
      <c r="AI1204" s="1450" t="n"/>
      <c r="AJ1204" s="1449" t="n"/>
      <c r="AK1204" s="1450" t="n"/>
      <c r="AL1204" s="1450" t="n"/>
      <c r="AM1204" s="1450" t="n"/>
      <c r="AN1204" s="1450" t="n"/>
      <c r="AO1204" s="1449" t="n"/>
      <c r="AP1204" s="1450" t="n"/>
      <c r="AQ1204" s="1450" t="n"/>
      <c r="AR1204" s="1450" t="n"/>
      <c r="AS1204" s="1450" t="n"/>
      <c r="AT1204" s="1449" t="n"/>
      <c r="AU1204" s="1450" t="n"/>
      <c r="AV1204" s="1450" t="n"/>
      <c r="AW1204" s="1450" t="n"/>
      <c r="AX1204" s="1450" t="n"/>
      <c r="AY1204" s="1449" t="n"/>
      <c r="AZ1204" s="1450" t="n"/>
      <c r="BA1204" s="1450" t="n"/>
      <c r="BB1204" s="1450" t="n"/>
      <c r="BC1204" s="1450" t="n"/>
      <c r="BD1204" s="1449" t="n"/>
      <c r="BE1204" s="1450" t="n"/>
      <c r="BF1204" s="1450" t="n"/>
      <c r="BG1204" s="1450" t="n"/>
      <c r="BH1204" s="1450" t="n"/>
      <c r="BI1204" s="1449" t="n"/>
      <c r="BJ1204" s="1450" t="n"/>
      <c r="BK1204" s="1450" t="n"/>
      <c r="BL1204" s="1450" t="n"/>
      <c r="BM1204" s="1450" t="n"/>
      <c r="BN1204" s="1449" t="n"/>
      <c r="BO1204" s="1450" t="n"/>
      <c r="BP1204" s="1450" t="n"/>
      <c r="BQ1204" s="1451" t="n"/>
      <c r="BR1204" s="1450" t="n"/>
      <c r="BS1204" s="1449" t="n"/>
      <c r="BT1204" s="1450" t="n"/>
      <c r="BU1204" s="1450" t="n"/>
      <c r="BV1204" s="1450" t="n"/>
      <c r="BW1204" s="1450" t="n"/>
      <c r="BX1204" s="1449" t="n"/>
      <c r="BY1204" s="1449" t="n"/>
      <c r="BZ1204" s="1449" t="n"/>
      <c r="CA1204" s="1449" t="n"/>
      <c r="CB1204" s="1375" t="n"/>
    </row>
    <row r="1205" ht="14.4" customFormat="1" customHeight="1" s="1359">
      <c r="A1205" s="1394" t="inlineStr">
        <is>
          <t>Cash and cash equivalents</t>
        </is>
      </c>
      <c r="B1205" s="1512" t="n"/>
      <c r="C1205" s="1494" t="n">
        <v>569.115</v>
      </c>
      <c r="D1205" s="1494" t="n">
        <v>557.409</v>
      </c>
      <c r="E1205" s="1494" t="n">
        <v>601.602</v>
      </c>
      <c r="F1205" s="1494" t="n">
        <v>726.357</v>
      </c>
      <c r="G1205" s="1493" t="n">
        <v>810.152</v>
      </c>
      <c r="H1205" s="1493" t="n">
        <v>577.2329999999999</v>
      </c>
      <c r="I1205" s="1493" t="n">
        <v>620.403</v>
      </c>
      <c r="J1205" s="1493" t="n">
        <v>536.26</v>
      </c>
      <c r="K1205" s="1494" t="n">
        <v>536.26</v>
      </c>
      <c r="L1205" s="1493" t="n">
        <v>532.761</v>
      </c>
      <c r="M1205" s="1493" t="n">
        <v>557.4160000000001</v>
      </c>
      <c r="N1205" s="1493" t="n">
        <v>500.483</v>
      </c>
      <c r="O1205" s="1493" t="n">
        <v>932.1609999999999</v>
      </c>
      <c r="P1205" s="1494" t="n">
        <v>932.1609999999999</v>
      </c>
      <c r="Q1205" s="1493" t="n">
        <v>887.736</v>
      </c>
      <c r="R1205" s="1493" t="n">
        <v>647.851</v>
      </c>
      <c r="S1205" s="1493" t="n">
        <v>616.091</v>
      </c>
      <c r="T1205" s="1493" t="n">
        <v>616.686</v>
      </c>
      <c r="U1205" s="1494" t="n">
        <v>616.686</v>
      </c>
      <c r="V1205" s="1493" t="n">
        <v>810.4</v>
      </c>
      <c r="W1205" s="1493" t="n">
        <v>669.573</v>
      </c>
      <c r="X1205" s="1493" t="n">
        <v>524.333</v>
      </c>
      <c r="Y1205" s="1361">
        <f>Z1205</f>
        <v/>
      </c>
      <c r="Z1205" s="1494" t="n">
        <v>465.232</v>
      </c>
      <c r="AA1205" s="1493" t="n">
        <v>544.128</v>
      </c>
      <c r="AB1205" s="1493" t="n">
        <v>655.998</v>
      </c>
      <c r="AC1205" s="1493" t="n">
        <v>678.284</v>
      </c>
      <c r="AD1205" s="1361">
        <f>AE1205</f>
        <v/>
      </c>
      <c r="AE1205" s="1494" t="n">
        <v>688.087</v>
      </c>
      <c r="AF1205" s="1493" t="n">
        <v>746.968</v>
      </c>
      <c r="AG1205" s="1493" t="n">
        <v>819.54</v>
      </c>
      <c r="AH1205" s="1493" t="n">
        <v>544.585</v>
      </c>
      <c r="AI1205" s="1361">
        <f>AJ1205</f>
        <v/>
      </c>
      <c r="AJ1205" s="1494" t="n">
        <v>533.298</v>
      </c>
      <c r="AK1205" s="1493" t="n">
        <v>538.898</v>
      </c>
      <c r="AL1205" s="1493" t="n">
        <v>633.415</v>
      </c>
      <c r="AM1205" s="1493" t="n">
        <v>655.216</v>
      </c>
      <c r="AN1205" s="1361">
        <f>AO1205</f>
        <v/>
      </c>
      <c r="AO1205" s="1494" t="n">
        <v>705.21</v>
      </c>
      <c r="AP1205" s="1493" t="n">
        <v>946.285</v>
      </c>
      <c r="AQ1205" s="1493" t="n">
        <v>1189.186</v>
      </c>
      <c r="AR1205" s="1493" t="n">
        <v>1306.564</v>
      </c>
      <c r="AS1205" s="1361">
        <f>AT1205</f>
        <v/>
      </c>
      <c r="AT1205" s="1494" t="n">
        <v>928.432</v>
      </c>
      <c r="AU1205" s="1493" t="n">
        <v>742.981</v>
      </c>
      <c r="AV1205" s="1493" t="n">
        <v>847.16</v>
      </c>
      <c r="AW1205" s="1493" t="n">
        <v>1013.819</v>
      </c>
      <c r="AX1205" s="1361">
        <f>AY1205</f>
        <v/>
      </c>
      <c r="AY1205" s="1494" t="n">
        <v>1088.94</v>
      </c>
      <c r="AZ1205" s="1493" t="n">
        <v>1134.752</v>
      </c>
      <c r="BA1205" s="1493" t="n">
        <v>1029.544</v>
      </c>
      <c r="BB1205" s="1493" t="n">
        <v>1026.051</v>
      </c>
      <c r="BC1205" s="1361">
        <f>BD1205</f>
        <v/>
      </c>
      <c r="BD1205" s="1494" t="n">
        <v>882.325</v>
      </c>
      <c r="BE1205" s="1493" t="n">
        <v>916.963</v>
      </c>
      <c r="BF1205" s="1493" t="n">
        <v>873.925</v>
      </c>
      <c r="BG1205" s="1493" t="n">
        <v>961.982</v>
      </c>
      <c r="BH1205" s="1361">
        <f>BI1205</f>
        <v/>
      </c>
      <c r="BI1205" s="1494" t="n">
        <v>1008.152</v>
      </c>
      <c r="BJ1205" s="1493" t="n">
        <v>1012.418</v>
      </c>
      <c r="BK1205" s="1493" t="n">
        <v>1058.955</v>
      </c>
      <c r="BL1205" s="1493" t="n">
        <v>2786.04</v>
      </c>
      <c r="BM1205" s="1361">
        <f>BN1205</f>
        <v/>
      </c>
      <c r="BN1205" s="1494" t="n">
        <v>2644.03</v>
      </c>
      <c r="BO1205" s="1493" t="n">
        <v>2777.674</v>
      </c>
      <c r="BP1205" s="1493" t="n">
        <v>2822.762</v>
      </c>
      <c r="BQ1205" s="1502" t="n">
        <v>2753.246</v>
      </c>
      <c r="BR1205" s="1361">
        <f>BQ1205+BR1152</f>
        <v/>
      </c>
      <c r="BS1205" s="1379">
        <f>BR1205</f>
        <v/>
      </c>
      <c r="BT1205" s="1361">
        <f>BS1205+BT1152</f>
        <v/>
      </c>
      <c r="BU1205" s="1361">
        <f>BT1205+BU1152</f>
        <v/>
      </c>
      <c r="BV1205" s="1361">
        <f>BU1205+BV1152</f>
        <v/>
      </c>
      <c r="BW1205" s="1361">
        <f>BV1205+BW1152</f>
        <v/>
      </c>
      <c r="BX1205" s="1379">
        <f>BW1205</f>
        <v/>
      </c>
      <c r="BY1205" s="1379">
        <f>BX1205+BY1152</f>
        <v/>
      </c>
      <c r="BZ1205" s="1379">
        <f>BY1205+BZ1152</f>
        <v/>
      </c>
      <c r="CA1205" s="1379">
        <f>BZ1205+CA1152</f>
        <v/>
      </c>
      <c r="CB1205" s="1364" t="n"/>
    </row>
    <row r="1206" ht="14.4" customFormat="1" customHeight="1" s="1359">
      <c r="A1206" s="1394" t="inlineStr">
        <is>
          <t>Short-term investments</t>
        </is>
      </c>
      <c r="B1206" s="1512" t="n"/>
      <c r="C1206" s="1494" t="n">
        <v>2.184</v>
      </c>
      <c r="D1206" s="1494" t="n">
        <v>12.715</v>
      </c>
      <c r="E1206" s="1494" t="n">
        <v>3.037</v>
      </c>
      <c r="F1206" s="1494" t="n">
        <v>100.704</v>
      </c>
      <c r="G1206" s="1493" t="n">
        <v>100.992</v>
      </c>
      <c r="H1206" s="1493" t="n">
        <v>101.251</v>
      </c>
      <c r="I1206" s="1493" t="n">
        <v>96.01900000000001</v>
      </c>
      <c r="J1206" s="1493" t="n">
        <v>96.788</v>
      </c>
      <c r="K1206" s="1494" t="n">
        <v>96.788</v>
      </c>
      <c r="L1206" s="1493" t="n">
        <v>97.006</v>
      </c>
      <c r="M1206" s="1493" t="n">
        <v>97.91</v>
      </c>
      <c r="N1206" s="1493" t="n">
        <v>94.97</v>
      </c>
      <c r="O1206" s="1493" t="n">
        <v>90.44499999999999</v>
      </c>
      <c r="P1206" s="1494" t="n">
        <v>90.44499999999999</v>
      </c>
      <c r="Q1206" s="1493" t="n">
        <v>92.64</v>
      </c>
      <c r="R1206" s="1493" t="n">
        <v>96.56</v>
      </c>
      <c r="S1206" s="1493" t="n">
        <v>95.104</v>
      </c>
      <c r="T1206" s="1493" t="n">
        <v>94.498</v>
      </c>
      <c r="U1206" s="1494" t="n">
        <v>94.498</v>
      </c>
      <c r="V1206" s="1493" t="n">
        <v>96.31699999999999</v>
      </c>
      <c r="W1206" s="1493" t="n">
        <v>34.745</v>
      </c>
      <c r="X1206" s="1493" t="n">
        <v>8.503</v>
      </c>
      <c r="Y1206" s="1361">
        <f>Z1206</f>
        <v/>
      </c>
      <c r="Z1206" s="1494" t="n">
        <v>3.057</v>
      </c>
      <c r="AA1206" s="1493" t="n">
        <v>3.479</v>
      </c>
      <c r="AB1206" s="1493" t="n">
        <v>3.229</v>
      </c>
      <c r="AC1206" s="1493" t="n">
        <v>4.135</v>
      </c>
      <c r="AD1206" s="1361">
        <f>AE1206</f>
        <v/>
      </c>
      <c r="AE1206" s="1494" t="n">
        <v>4.455</v>
      </c>
      <c r="AF1206" s="1493" t="n">
        <v>5.466</v>
      </c>
      <c r="AG1206" s="1493" t="n">
        <v>5.842</v>
      </c>
      <c r="AH1206" s="1493" t="n">
        <v>5.446</v>
      </c>
      <c r="AI1206" s="1361">
        <f>AJ1206</f>
        <v/>
      </c>
      <c r="AJ1206" s="1379" t="n"/>
      <c r="AK1206" s="1361" t="n"/>
      <c r="AL1206" s="1361" t="n"/>
      <c r="AM1206" s="1361" t="n"/>
      <c r="AN1206" s="1361">
        <f>AO1206</f>
        <v/>
      </c>
      <c r="AO1206" s="1379" t="n"/>
      <c r="AP1206" s="1361" t="n"/>
      <c r="AQ1206" s="1361" t="n"/>
      <c r="AR1206" s="1361" t="n"/>
      <c r="AS1206" s="1361">
        <f>AT1206</f>
        <v/>
      </c>
      <c r="AT1206" s="1379" t="n"/>
      <c r="AU1206" s="1361" t="n"/>
      <c r="AV1206" s="1361" t="n"/>
      <c r="AW1206" s="1361" t="n"/>
      <c r="AX1206" s="1361">
        <f>AY1206</f>
        <v/>
      </c>
      <c r="AY1206" s="1379" t="n"/>
      <c r="AZ1206" s="1361" t="n"/>
      <c r="BA1206" s="1361" t="n"/>
      <c r="BB1206" s="1361" t="n"/>
      <c r="BC1206" s="1361">
        <f>BD1206</f>
        <v/>
      </c>
      <c r="BD1206" s="1379" t="n"/>
      <c r="BE1206" s="1361" t="n"/>
      <c r="BF1206" s="1361" t="n"/>
      <c r="BG1206" s="1361" t="n"/>
      <c r="BH1206" s="1361">
        <f>BI1206</f>
        <v/>
      </c>
      <c r="BI1206" s="1379" t="n"/>
      <c r="BJ1206" s="1361" t="n"/>
      <c r="BK1206" s="1361" t="n"/>
      <c r="BL1206" s="1361" t="n"/>
      <c r="BM1206" s="1361">
        <f>BN1206</f>
        <v/>
      </c>
      <c r="BN1206" s="1379" t="n"/>
      <c r="BO1206" s="1361" t="n"/>
      <c r="BP1206" s="1361" t="n"/>
      <c r="BQ1206" s="1363" t="n"/>
      <c r="BR1206" s="1361">
        <f>BQ1206</f>
        <v/>
      </c>
      <c r="BS1206" s="1379">
        <f>BR1206</f>
        <v/>
      </c>
      <c r="BT1206" s="1361">
        <f>BS1206</f>
        <v/>
      </c>
      <c r="BU1206" s="1361">
        <f>BT1206</f>
        <v/>
      </c>
      <c r="BV1206" s="1361">
        <f>BU1206</f>
        <v/>
      </c>
      <c r="BW1206" s="1361">
        <f>BV1206</f>
        <v/>
      </c>
      <c r="BX1206" s="1379">
        <f>BW1206</f>
        <v/>
      </c>
      <c r="BY1206" s="1379">
        <f>BX1206</f>
        <v/>
      </c>
      <c r="BZ1206" s="1379">
        <f>BY1206</f>
        <v/>
      </c>
      <c r="CA1206" s="1379">
        <f>BZ1206</f>
        <v/>
      </c>
      <c r="CB1206" s="1364" t="n"/>
    </row>
    <row r="1207" ht="14.4" customFormat="1" customHeight="1" s="1359">
      <c r="A1207" s="1394" t="inlineStr">
        <is>
          <t>Receivables, net</t>
        </is>
      </c>
      <c r="B1207" s="1512" t="n"/>
      <c r="C1207" s="1494" t="n">
        <v>200.628</v>
      </c>
      <c r="D1207" s="1494" t="n">
        <v>191.893</v>
      </c>
      <c r="E1207" s="1494" t="n">
        <v>136.772</v>
      </c>
      <c r="F1207" s="1494" t="n">
        <v>97.821</v>
      </c>
      <c r="G1207" s="1493" t="n">
        <v>75.253</v>
      </c>
      <c r="H1207" s="1493" t="n">
        <v>92.581</v>
      </c>
      <c r="I1207" s="1493" t="n">
        <v>101.896</v>
      </c>
      <c r="J1207" s="1493" t="n">
        <v>107.624</v>
      </c>
      <c r="K1207" s="1494" t="n">
        <v>107.624</v>
      </c>
      <c r="L1207" s="1493" t="n">
        <v>106.322</v>
      </c>
      <c r="M1207" s="1493" t="n">
        <v>101.924</v>
      </c>
      <c r="N1207" s="1493" t="n">
        <v>107.634</v>
      </c>
      <c r="O1207" s="1493" t="n">
        <v>122.492</v>
      </c>
      <c r="P1207" s="1494" t="n">
        <v>122.492</v>
      </c>
      <c r="Q1207" s="1493" t="n">
        <v>133.924</v>
      </c>
      <c r="R1207" s="1493" t="n">
        <v>131.325</v>
      </c>
      <c r="S1207" s="1493" t="n">
        <v>133.665</v>
      </c>
      <c r="T1207" s="1493" t="n">
        <v>164.848</v>
      </c>
      <c r="U1207" s="1494" t="n">
        <v>164.848</v>
      </c>
      <c r="V1207" s="1493" t="n">
        <v>147.533</v>
      </c>
      <c r="W1207" s="1493" t="n">
        <v>156.444</v>
      </c>
      <c r="X1207" s="1493" t="n">
        <v>152.025</v>
      </c>
      <c r="Y1207" s="1361">
        <f>Z1207</f>
        <v/>
      </c>
      <c r="Z1207" s="1494" t="n">
        <v>157.171</v>
      </c>
      <c r="AA1207" s="1493" t="n">
        <v>180.571</v>
      </c>
      <c r="AB1207" s="1493" t="n">
        <v>153.154</v>
      </c>
      <c r="AC1207" s="1493" t="n">
        <v>170.312</v>
      </c>
      <c r="AD1207" s="1361">
        <f>AE1207</f>
        <v/>
      </c>
      <c r="AE1207" s="1494" t="n">
        <v>190.426</v>
      </c>
      <c r="AF1207" s="1493" t="n">
        <v>225.822</v>
      </c>
      <c r="AG1207" s="1493" t="n">
        <v>219.072</v>
      </c>
      <c r="AH1207" s="1493" t="n">
        <v>240.836</v>
      </c>
      <c r="AI1207" s="1361">
        <f>AJ1207</f>
        <v/>
      </c>
      <c r="AJ1207" s="1494" t="n">
        <v>297.082</v>
      </c>
      <c r="AK1207" s="1493" t="n">
        <v>264.767</v>
      </c>
      <c r="AL1207" s="1493" t="n">
        <v>237.609</v>
      </c>
      <c r="AM1207" s="1493" t="n">
        <v>274.914</v>
      </c>
      <c r="AN1207" s="1361">
        <f>AO1207</f>
        <v/>
      </c>
      <c r="AO1207" s="1494" t="n">
        <v>304.546</v>
      </c>
      <c r="AP1207" s="1493" t="n">
        <v>284.093</v>
      </c>
      <c r="AQ1207" s="1493" t="n">
        <v>312.758</v>
      </c>
      <c r="AR1207" s="1493" t="n">
        <v>300.413</v>
      </c>
      <c r="AS1207" s="1361">
        <f>AT1207</f>
        <v/>
      </c>
      <c r="AT1207" s="1494" t="n">
        <v>338.487</v>
      </c>
      <c r="AU1207" s="1493" t="n">
        <v>388.666</v>
      </c>
      <c r="AV1207" s="1493" t="n">
        <v>389.986</v>
      </c>
      <c r="AW1207" s="1493" t="n">
        <v>327.191</v>
      </c>
      <c r="AX1207" s="1361">
        <f>AY1207</f>
        <v/>
      </c>
      <c r="AY1207" s="1494" t="n">
        <v>337.596</v>
      </c>
      <c r="AZ1207" s="1493" t="n">
        <v>361.789</v>
      </c>
      <c r="BA1207" s="1493" t="n">
        <v>391.738</v>
      </c>
      <c r="BB1207" s="1493" t="n">
        <v>391.181</v>
      </c>
      <c r="BC1207" s="1361">
        <f>BD1207</f>
        <v/>
      </c>
      <c r="BD1207" s="1494" t="n">
        <v>486.71</v>
      </c>
      <c r="BE1207" s="1493" t="n">
        <v>488.237</v>
      </c>
      <c r="BF1207" s="1493" t="n">
        <v>440.915</v>
      </c>
      <c r="BG1207" s="1493" t="n">
        <v>426.505</v>
      </c>
      <c r="BH1207" s="1361">
        <f>BI1207</f>
        <v/>
      </c>
      <c r="BI1207" s="1494" t="n">
        <v>489.224</v>
      </c>
      <c r="BJ1207" s="1493" t="n">
        <v>389.865</v>
      </c>
      <c r="BK1207" s="1493" t="n">
        <v>564.851</v>
      </c>
      <c r="BL1207" s="1493" t="n">
        <v>560.973</v>
      </c>
      <c r="BM1207" s="1361">
        <f>BN1207</f>
        <v/>
      </c>
      <c r="BN1207" s="1494" t="n">
        <v>680.46</v>
      </c>
      <c r="BO1207" s="1493" t="n">
        <v>580.8869999999999</v>
      </c>
      <c r="BP1207" s="1493" t="n">
        <v>670.1660000000001</v>
      </c>
      <c r="BQ1207" s="1502" t="n">
        <v>755.265</v>
      </c>
      <c r="BR1207" s="1361">
        <f>(BR$454+BQ$454+BP$454+BO$454)*BR1193</f>
        <v/>
      </c>
      <c r="BS1207" s="1379">
        <f>BR1207</f>
        <v/>
      </c>
      <c r="BT1207" s="1361">
        <f>(BT$454+BR$454+BQ$454+BP$454)*BT1193</f>
        <v/>
      </c>
      <c r="BU1207" s="1361">
        <f>(BU$454+BT$454+BR$454+BQ$454)*BU1193</f>
        <v/>
      </c>
      <c r="BV1207" s="1361">
        <f>(BV$454+BU$454+BT$454+BR$454)*BV1193</f>
        <v/>
      </c>
      <c r="BW1207" s="1361">
        <f>(BW$454+BV$454+BU$454+BT$454)*BW1193</f>
        <v/>
      </c>
      <c r="BX1207" s="1379">
        <f>BW1207</f>
        <v/>
      </c>
      <c r="BY1207" s="1379">
        <f>BY454*BY1193</f>
        <v/>
      </c>
      <c r="BZ1207" s="1379">
        <f>BZ454*BZ1193</f>
        <v/>
      </c>
      <c r="CA1207" s="1379">
        <f>CA454*CA1193</f>
        <v/>
      </c>
      <c r="CB1207" s="1364" t="n"/>
    </row>
    <row r="1208" ht="14.4" customFormat="1" customHeight="1" s="1359">
      <c r="A1208" s="1394" t="inlineStr">
        <is>
          <t>Inventories</t>
        </is>
      </c>
      <c r="B1208" s="1512" t="n"/>
      <c r="C1208" s="1494" t="n">
        <v>24.165</v>
      </c>
      <c r="D1208" s="1494" t="n">
        <v>39.034</v>
      </c>
      <c r="E1208" s="1494" t="n">
        <v>43.243</v>
      </c>
      <c r="F1208" s="1494" t="n">
        <v>36.163</v>
      </c>
      <c r="G1208" s="1493" t="n">
        <v>37.016</v>
      </c>
      <c r="H1208" s="1493" t="n">
        <v>38.705</v>
      </c>
      <c r="I1208" s="1493" t="n">
        <v>45.877</v>
      </c>
      <c r="J1208" s="1493" t="n">
        <v>50.22</v>
      </c>
      <c r="K1208" s="1494" t="n">
        <v>50.22</v>
      </c>
      <c r="L1208" s="1493" t="n">
        <v>55.605</v>
      </c>
      <c r="M1208" s="1493" t="n">
        <v>58.311</v>
      </c>
      <c r="N1208" s="1493" t="n">
        <v>61.096</v>
      </c>
      <c r="O1208" s="1493" t="n">
        <v>56.394</v>
      </c>
      <c r="P1208" s="1494" t="n">
        <v>56.394</v>
      </c>
      <c r="Q1208" s="1493" t="n">
        <v>54.45</v>
      </c>
      <c r="R1208" s="1493" t="n">
        <v>62.172</v>
      </c>
      <c r="S1208" s="1493" t="n">
        <v>57.69</v>
      </c>
      <c r="T1208" s="1493" t="n">
        <v>56.762</v>
      </c>
      <c r="U1208" s="1494" t="n">
        <v>56.762</v>
      </c>
      <c r="V1208" s="1493" t="n">
        <v>56.634</v>
      </c>
      <c r="W1208" s="1493" t="n">
        <v>61.932</v>
      </c>
      <c r="X1208" s="1493" t="n">
        <v>64.476</v>
      </c>
      <c r="Y1208" s="1361">
        <f>Z1208</f>
        <v/>
      </c>
      <c r="Z1208" s="1494" t="n">
        <v>39.475</v>
      </c>
      <c r="AA1208" s="1493" t="n">
        <v>30.734</v>
      </c>
      <c r="AB1208" s="1493" t="n">
        <v>31.894</v>
      </c>
      <c r="AC1208" s="1493" t="n">
        <v>36</v>
      </c>
      <c r="AD1208" s="1361">
        <f>AE1208</f>
        <v/>
      </c>
      <c r="AE1208" s="1494" t="n">
        <v>33.209</v>
      </c>
      <c r="AF1208" s="1493" t="n">
        <v>30.09</v>
      </c>
      <c r="AG1208" s="1493" t="n">
        <v>28.558</v>
      </c>
      <c r="AH1208" s="1493" t="n">
        <v>30.535</v>
      </c>
      <c r="AI1208" s="1361">
        <f>AJ1208</f>
        <v/>
      </c>
      <c r="AJ1208" s="1494" t="n">
        <v>28.162</v>
      </c>
      <c r="AK1208" s="1493" t="n">
        <v>37.48</v>
      </c>
      <c r="AL1208" s="1493" t="n">
        <v>49.299</v>
      </c>
      <c r="AM1208" s="1493" t="n">
        <v>66.745</v>
      </c>
      <c r="AN1208" s="1361">
        <f>AO1208</f>
        <v/>
      </c>
      <c r="AO1208" s="1494" t="n">
        <v>55.802</v>
      </c>
      <c r="AP1208" s="1493" t="n">
        <v>60.575</v>
      </c>
      <c r="AQ1208" s="1493" t="n">
        <v>43.924</v>
      </c>
      <c r="AR1208" s="1493" t="n">
        <v>47.979</v>
      </c>
      <c r="AS1208" s="1361">
        <f>AT1208</f>
        <v/>
      </c>
      <c r="AT1208" s="1494" t="n">
        <v>75.956</v>
      </c>
      <c r="AU1208" s="1493" t="n">
        <v>76.592</v>
      </c>
      <c r="AV1208" s="1493" t="n">
        <v>90.479</v>
      </c>
      <c r="AW1208" s="1493" t="n">
        <v>101.575</v>
      </c>
      <c r="AX1208" s="1361">
        <f>AY1208</f>
        <v/>
      </c>
      <c r="AY1208" s="1494" t="n">
        <v>115.721</v>
      </c>
      <c r="AZ1208" s="1493" t="n">
        <v>110.213</v>
      </c>
      <c r="BA1208" s="1493" t="n">
        <v>106.372</v>
      </c>
      <c r="BB1208" s="1493" t="n">
        <v>114.283</v>
      </c>
      <c r="BC1208" s="1361">
        <f>BD1208</f>
        <v/>
      </c>
      <c r="BD1208" s="1494" t="n">
        <v>128.005</v>
      </c>
      <c r="BE1208" s="1493" t="n">
        <v>127.566</v>
      </c>
      <c r="BF1208" s="1493" t="n">
        <v>139.576</v>
      </c>
      <c r="BG1208" s="1493" t="n">
        <v>163.693</v>
      </c>
      <c r="BH1208" s="1361">
        <f>BI1208</f>
        <v/>
      </c>
      <c r="BI1208" s="1494" t="n">
        <v>181.661</v>
      </c>
      <c r="BJ1208" s="1493" t="n">
        <v>185.784</v>
      </c>
      <c r="BK1208" s="1493" t="n">
        <v>171.508</v>
      </c>
      <c r="BL1208" s="1493" t="n">
        <v>293.35</v>
      </c>
      <c r="BM1208" s="1361">
        <f>BN1208</f>
        <v/>
      </c>
      <c r="BN1208" s="1494" t="n">
        <v>257.711</v>
      </c>
      <c r="BO1208" s="1493" t="n">
        <v>225.621</v>
      </c>
      <c r="BP1208" s="1493" t="n">
        <v>226.162</v>
      </c>
      <c r="BQ1208" s="1502" t="n">
        <v>286.193</v>
      </c>
      <c r="BR1208" s="1361">
        <f>BQ1208</f>
        <v/>
      </c>
      <c r="BS1208" s="1379">
        <f>BR1208</f>
        <v/>
      </c>
      <c r="BT1208" s="1361">
        <f>BS1208</f>
        <v/>
      </c>
      <c r="BU1208" s="1361">
        <f>BT1208</f>
        <v/>
      </c>
      <c r="BV1208" s="1361">
        <f>BU1208</f>
        <v/>
      </c>
      <c r="BW1208" s="1361">
        <f>BV1208</f>
        <v/>
      </c>
      <c r="BX1208" s="1379">
        <f>BW1208</f>
        <v/>
      </c>
      <c r="BY1208" s="1379">
        <f>BX1208</f>
        <v/>
      </c>
      <c r="BZ1208" s="1379">
        <f>BY1208</f>
        <v/>
      </c>
      <c r="CA1208" s="1379">
        <f>BZ1208</f>
        <v/>
      </c>
      <c r="CB1208" s="1364" t="n"/>
    </row>
    <row r="1209" ht="14.4" customFormat="1" customHeight="1" s="1359">
      <c r="A1209" s="1394" t="inlineStr">
        <is>
          <t>2015 notes hedges</t>
        </is>
      </c>
      <c r="B1209" s="1512" t="n"/>
      <c r="C1209" s="1379" t="n"/>
      <c r="D1209" s="1494" t="n">
        <v>0</v>
      </c>
      <c r="E1209" s="1494" t="n">
        <v>215.113</v>
      </c>
      <c r="F1209" s="1494" t="n">
        <v>303.154</v>
      </c>
      <c r="G1209" s="1493" t="n">
        <v>315.895</v>
      </c>
      <c r="H1209" s="1493" t="n">
        <v>335.131</v>
      </c>
      <c r="I1209" s="1493" t="n">
        <v>292.511</v>
      </c>
      <c r="J1209" s="1493" t="n">
        <v>306.817</v>
      </c>
      <c r="K1209" s="1494" t="n">
        <v>306.817</v>
      </c>
      <c r="L1209" s="1493" t="n">
        <v>369.731</v>
      </c>
      <c r="M1209" s="1493" t="n">
        <v>455.844</v>
      </c>
      <c r="N1209" s="1493" t="n">
        <v>452.498</v>
      </c>
      <c r="O1209" s="1493" t="n">
        <v>523.9299999999999</v>
      </c>
      <c r="P1209" s="1494" t="n">
        <v>523.9299999999999</v>
      </c>
      <c r="Q1209" s="1493" t="n">
        <v>429.847</v>
      </c>
      <c r="R1209" s="1493" t="n">
        <v>0</v>
      </c>
      <c r="S1209" s="1493" t="n">
        <v>0</v>
      </c>
      <c r="T1209" s="1493" t="n">
        <v>0</v>
      </c>
      <c r="U1209" s="1494" t="n">
        <v>0</v>
      </c>
      <c r="V1209" s="1361" t="n"/>
      <c r="W1209" s="1493" t="n">
        <v>0</v>
      </c>
      <c r="X1209" s="1493" t="n">
        <v>0</v>
      </c>
      <c r="Y1209" s="1361">
        <f>Z1209</f>
        <v/>
      </c>
      <c r="Z1209" s="1494" t="n">
        <v>0</v>
      </c>
      <c r="AA1209" s="1361" t="n"/>
      <c r="AB1209" s="1361" t="n"/>
      <c r="AC1209" s="1361" t="n"/>
      <c r="AD1209" s="1361">
        <f>AE1209</f>
        <v/>
      </c>
      <c r="AE1209" s="1379" t="n"/>
      <c r="AF1209" s="1361" t="n"/>
      <c r="AG1209" s="1361" t="n"/>
      <c r="AH1209" s="1361" t="n"/>
      <c r="AI1209" s="1361">
        <f>AJ1209</f>
        <v/>
      </c>
      <c r="AJ1209" s="1379" t="n"/>
      <c r="AK1209" s="1361" t="n"/>
      <c r="AL1209" s="1361" t="n"/>
      <c r="AM1209" s="1361" t="n"/>
      <c r="AN1209" s="1361">
        <f>AO1209</f>
        <v/>
      </c>
      <c r="AO1209" s="1379" t="n"/>
      <c r="AP1209" s="1361" t="n"/>
      <c r="AQ1209" s="1361" t="n"/>
      <c r="AR1209" s="1361" t="n"/>
      <c r="AS1209" s="1361">
        <f>AT1209</f>
        <v/>
      </c>
      <c r="AT1209" s="1379" t="n"/>
      <c r="AU1209" s="1361" t="n"/>
      <c r="AV1209" s="1361" t="n"/>
      <c r="AW1209" s="1361" t="n"/>
      <c r="AX1209" s="1361">
        <f>AY1209</f>
        <v/>
      </c>
      <c r="AY1209" s="1379" t="n"/>
      <c r="AZ1209" s="1361" t="n"/>
      <c r="BA1209" s="1361" t="n"/>
      <c r="BB1209" s="1361" t="n"/>
      <c r="BC1209" s="1361">
        <f>BD1209</f>
        <v/>
      </c>
      <c r="BD1209" s="1379" t="n"/>
      <c r="BE1209" s="1361" t="n"/>
      <c r="BF1209" s="1361" t="n"/>
      <c r="BG1209" s="1361" t="n"/>
      <c r="BH1209" s="1361">
        <f>BI1209</f>
        <v/>
      </c>
      <c r="BI1209" s="1379" t="n"/>
      <c r="BJ1209" s="1361" t="n"/>
      <c r="BK1209" s="1361" t="n"/>
      <c r="BL1209" s="1361" t="n"/>
      <c r="BM1209" s="1361">
        <f>BN1209</f>
        <v/>
      </c>
      <c r="BN1209" s="1379" t="n"/>
      <c r="BO1209" s="1361" t="n"/>
      <c r="BP1209" s="1361" t="n"/>
      <c r="BQ1209" s="1363" t="n"/>
      <c r="BR1209" s="1361">
        <f>BQ1209</f>
        <v/>
      </c>
      <c r="BS1209" s="1379">
        <f>BR1209</f>
        <v/>
      </c>
      <c r="BT1209" s="1361">
        <f>BS1209</f>
        <v/>
      </c>
      <c r="BU1209" s="1361">
        <f>BT1209</f>
        <v/>
      </c>
      <c r="BV1209" s="1361">
        <f>BU1209</f>
        <v/>
      </c>
      <c r="BW1209" s="1361">
        <f>BV1209</f>
        <v/>
      </c>
      <c r="BX1209" s="1379">
        <f>BW1209</f>
        <v/>
      </c>
      <c r="BY1209" s="1379">
        <f>BX1209</f>
        <v/>
      </c>
      <c r="BZ1209" s="1379">
        <f>BY1209</f>
        <v/>
      </c>
      <c r="CA1209" s="1379">
        <f>BZ1209</f>
        <v/>
      </c>
      <c r="CB1209" s="1364" t="n"/>
    </row>
    <row r="1210" ht="14.4" customFormat="1" customHeight="1" s="1359">
      <c r="A1210" s="1453" t="inlineStr">
        <is>
          <t>Prepaid expenses and other</t>
        </is>
      </c>
      <c r="B1210" s="1514" t="n"/>
      <c r="C1210" s="1480" t="n">
        <v>54.655</v>
      </c>
      <c r="D1210" s="1480" t="n">
        <v>78.355</v>
      </c>
      <c r="E1210" s="1480" t="n">
        <v>64.21599999999999</v>
      </c>
      <c r="F1210" s="1480" t="n">
        <v>127.036</v>
      </c>
      <c r="G1210" s="1479" t="n">
        <v>122.604</v>
      </c>
      <c r="H1210" s="1479" t="n">
        <v>120.598</v>
      </c>
      <c r="I1210" s="1479" t="n">
        <v>117.457</v>
      </c>
      <c r="J1210" s="1479" t="n">
        <v>123.382</v>
      </c>
      <c r="K1210" s="1480" t="n">
        <v>123.382</v>
      </c>
      <c r="L1210" s="1479" t="n">
        <v>136.3</v>
      </c>
      <c r="M1210" s="1479" t="n">
        <v>143.314</v>
      </c>
      <c r="N1210" s="1479" t="n">
        <v>134.929</v>
      </c>
      <c r="O1210" s="1479" t="n">
        <v>126.313</v>
      </c>
      <c r="P1210" s="1480" t="n">
        <v>126.313</v>
      </c>
      <c r="Q1210" s="1479" t="n">
        <v>135.047</v>
      </c>
      <c r="R1210" s="1479" t="n">
        <v>129.32</v>
      </c>
      <c r="S1210" s="1479" t="n">
        <v>139.534</v>
      </c>
      <c r="T1210" s="1479" t="n">
        <v>31.441</v>
      </c>
      <c r="U1210" s="1480" t="n">
        <v>31.441</v>
      </c>
      <c r="V1210" s="1479" t="n">
        <v>41.36</v>
      </c>
      <c r="W1210" s="1479" t="n">
        <v>39.485</v>
      </c>
      <c r="X1210" s="1479" t="n">
        <v>42.953</v>
      </c>
      <c r="Y1210" s="1456">
        <f>Z1210</f>
        <v/>
      </c>
      <c r="Z1210" s="1480" t="n">
        <v>37.099</v>
      </c>
      <c r="AA1210" s="1479" t="n">
        <v>41.092</v>
      </c>
      <c r="AB1210" s="1479" t="n">
        <v>39.175</v>
      </c>
      <c r="AC1210" s="1479" t="n">
        <v>42.374</v>
      </c>
      <c r="AD1210" s="1456">
        <f>AE1210</f>
        <v/>
      </c>
      <c r="AE1210" s="1480" t="n">
        <v>63.811</v>
      </c>
      <c r="AF1210" s="1479" t="n">
        <v>61.597</v>
      </c>
      <c r="AG1210" s="1479" t="n">
        <v>56.042</v>
      </c>
      <c r="AH1210" s="1479" t="n">
        <v>66.979</v>
      </c>
      <c r="AI1210" s="1456">
        <f>AJ1210</f>
        <v/>
      </c>
      <c r="AJ1210" s="1480" t="n">
        <v>92.55</v>
      </c>
      <c r="AK1210" s="1479" t="n">
        <v>76.80200000000001</v>
      </c>
      <c r="AL1210" s="1479" t="n">
        <v>58.918</v>
      </c>
      <c r="AM1210" s="1479" t="n">
        <v>53.074</v>
      </c>
      <c r="AN1210" s="1456">
        <f>AO1210</f>
        <v/>
      </c>
      <c r="AO1210" s="1480" t="n">
        <v>103.785</v>
      </c>
      <c r="AP1210" s="1479" t="n">
        <v>108.554</v>
      </c>
      <c r="AQ1210" s="1479" t="n">
        <v>93.91500000000001</v>
      </c>
      <c r="AR1210" s="1479" t="n">
        <v>81.526</v>
      </c>
      <c r="AS1210" s="1456">
        <f>AT1210</f>
        <v/>
      </c>
      <c r="AT1210" s="1480" t="n">
        <v>135.712</v>
      </c>
      <c r="AU1210" s="1479" t="n">
        <v>141.49</v>
      </c>
      <c r="AV1210" s="1479" t="n">
        <v>129.442</v>
      </c>
      <c r="AW1210" s="1479" t="n">
        <v>100.428</v>
      </c>
      <c r="AX1210" s="1456">
        <f>AY1210</f>
        <v/>
      </c>
      <c r="AY1210" s="1480" t="n">
        <v>173.512</v>
      </c>
      <c r="AZ1210" s="1479" t="n">
        <v>128.143</v>
      </c>
      <c r="BA1210" s="1479" t="n">
        <v>129.966</v>
      </c>
      <c r="BB1210" s="1479" t="n">
        <v>138.968</v>
      </c>
      <c r="BC1210" s="1456">
        <f>BD1210</f>
        <v/>
      </c>
      <c r="BD1210" s="1480" t="n">
        <v>209.727</v>
      </c>
      <c r="BE1210" s="1479" t="n">
        <v>165.778</v>
      </c>
      <c r="BF1210" s="1479" t="n">
        <v>188.634</v>
      </c>
      <c r="BG1210" s="1479" t="n">
        <v>272.283</v>
      </c>
      <c r="BH1210" s="1456">
        <f>BI1210</f>
        <v/>
      </c>
      <c r="BI1210" s="1480" t="n">
        <v>297.18</v>
      </c>
      <c r="BJ1210" s="1479" t="n">
        <v>341.865</v>
      </c>
      <c r="BK1210" s="1479" t="n">
        <v>401.074</v>
      </c>
      <c r="BL1210" s="1479" t="n">
        <v>459.56</v>
      </c>
      <c r="BM1210" s="1456">
        <f>BN1210</f>
        <v/>
      </c>
      <c r="BN1210" s="1480" t="n">
        <v>433.878</v>
      </c>
      <c r="BO1210" s="1479" t="n">
        <v>413.905</v>
      </c>
      <c r="BP1210" s="1479" t="n">
        <v>503.453</v>
      </c>
      <c r="BQ1210" s="1515" t="n">
        <v>492.336</v>
      </c>
      <c r="BR1210" s="1456">
        <f>SUM(BR454,BQ454,BP454,BO454)*BR1196</f>
        <v/>
      </c>
      <c r="BS1210" s="1455">
        <f>BR1210</f>
        <v/>
      </c>
      <c r="BT1210" s="1456">
        <f>SUM(BT454,BR454,BQ454,BP454)*BT1196</f>
        <v/>
      </c>
      <c r="BU1210" s="1456">
        <f>SUM(BU454,BT454,BR454,BQ454)*BU1196</f>
        <v/>
      </c>
      <c r="BV1210" s="1456">
        <f>SUM(BV454,BU454,BT454,BR454)*BV1196</f>
        <v/>
      </c>
      <c r="BW1210" s="1456">
        <f>SUM(BW454,BV454,BU454,BT454)*BW1196</f>
        <v/>
      </c>
      <c r="BX1210" s="1455">
        <f>BW1210</f>
        <v/>
      </c>
      <c r="BY1210" s="1455">
        <f>BY454*BY1196</f>
        <v/>
      </c>
      <c r="BZ1210" s="1455">
        <f>BZ454*BZ1196</f>
        <v/>
      </c>
      <c r="CA1210" s="1455">
        <f>CA454*CA1196</f>
        <v/>
      </c>
      <c r="CB1210" s="1364" t="n"/>
    </row>
    <row r="1211" ht="14.4" customFormat="1" customHeight="1" s="1372">
      <c r="A1211" s="1400" t="inlineStr">
        <is>
          <t>Total Current Assets</t>
        </is>
      </c>
      <c r="B1211" s="1516" t="n"/>
      <c r="C1211" s="1402">
        <f>SUM(C1205:C1210)</f>
        <v/>
      </c>
      <c r="D1211" s="1402">
        <f>SUM(D1205:D1210)</f>
        <v/>
      </c>
      <c r="E1211" s="1402">
        <f>SUM(E1205:E1210)</f>
        <v/>
      </c>
      <c r="F1211" s="1402">
        <f>SUM(F1205:F1210)</f>
        <v/>
      </c>
      <c r="G1211" s="1403">
        <f>SUM(G1205:G1210)</f>
        <v/>
      </c>
      <c r="H1211" s="1403">
        <f>SUM(H1205:H1210)</f>
        <v/>
      </c>
      <c r="I1211" s="1403">
        <f>SUM(I1205:I1210)</f>
        <v/>
      </c>
      <c r="J1211" s="1403">
        <f>SUM(J1205:J1210)</f>
        <v/>
      </c>
      <c r="K1211" s="1402">
        <f>SUM(K1205:K1210)</f>
        <v/>
      </c>
      <c r="L1211" s="1403">
        <f>SUM(L1205:L1210)</f>
        <v/>
      </c>
      <c r="M1211" s="1403">
        <f>SUM(M1205:M1210)</f>
        <v/>
      </c>
      <c r="N1211" s="1403">
        <f>SUM(N1205:N1210)</f>
        <v/>
      </c>
      <c r="O1211" s="1403">
        <f>SUM(O1205:O1210)</f>
        <v/>
      </c>
      <c r="P1211" s="1402">
        <f>SUM(P1205:P1210)</f>
        <v/>
      </c>
      <c r="Q1211" s="1403">
        <f>SUM(Q1205:Q1210)</f>
        <v/>
      </c>
      <c r="R1211" s="1403">
        <f>SUM(R1205:R1210)</f>
        <v/>
      </c>
      <c r="S1211" s="1403">
        <f>SUM(S1205:S1210)</f>
        <v/>
      </c>
      <c r="T1211" s="1403">
        <f>SUM(T1205:T1210)</f>
        <v/>
      </c>
      <c r="U1211" s="1402">
        <f>SUM(U1205:U1210)</f>
        <v/>
      </c>
      <c r="V1211" s="1403">
        <f>SUM(V1205:V1210)</f>
        <v/>
      </c>
      <c r="W1211" s="1403">
        <f>SUM(W1205:W1210)</f>
        <v/>
      </c>
      <c r="X1211" s="1403">
        <f>SUM(X1205:X1210)</f>
        <v/>
      </c>
      <c r="Y1211" s="1404">
        <f>SUM(Y1205:Y1210)</f>
        <v/>
      </c>
      <c r="Z1211" s="1405">
        <f>SUM(Z1205:Z1210)</f>
        <v/>
      </c>
      <c r="AA1211" s="1403">
        <f>SUM(AA1205:AA1210)</f>
        <v/>
      </c>
      <c r="AB1211" s="1403">
        <f>SUM(AB1205:AB1210)</f>
        <v/>
      </c>
      <c r="AC1211" s="1403">
        <f>SUM(AC1205:AC1210)</f>
        <v/>
      </c>
      <c r="AD1211" s="1404">
        <f>SUM(AD1205:AD1210)</f>
        <v/>
      </c>
      <c r="AE1211" s="1405">
        <f>SUM(AE1205:AE1210)</f>
        <v/>
      </c>
      <c r="AF1211" s="1403">
        <f>SUM(AF1205:AF1210)</f>
        <v/>
      </c>
      <c r="AG1211" s="1403">
        <f>SUM(AG1205:AG1210)</f>
        <v/>
      </c>
      <c r="AH1211" s="1403">
        <f>SUM(AH1205:AH1210)</f>
        <v/>
      </c>
      <c r="AI1211" s="1404">
        <f>SUM(AI1205:AI1210)</f>
        <v/>
      </c>
      <c r="AJ1211" s="1405">
        <f>SUM(AJ1205:AJ1210)</f>
        <v/>
      </c>
      <c r="AK1211" s="1403">
        <f>SUM(AK1205:AK1210)</f>
        <v/>
      </c>
      <c r="AL1211" s="1403">
        <f>SUM(AL1205:AL1210)</f>
        <v/>
      </c>
      <c r="AM1211" s="1403">
        <f>SUM(AM1205:AM1210)</f>
        <v/>
      </c>
      <c r="AN1211" s="1404">
        <f>SUM(AN1205:AN1210)</f>
        <v/>
      </c>
      <c r="AO1211" s="1405">
        <f>SUM(AO1205:AO1210)</f>
        <v/>
      </c>
      <c r="AP1211" s="1403">
        <f>SUM(AP1205:AP1210)</f>
        <v/>
      </c>
      <c r="AQ1211" s="1403">
        <f>SUM(AQ1205:AQ1210)</f>
        <v/>
      </c>
      <c r="AR1211" s="1403">
        <f>SUM(AR1205:AR1210)</f>
        <v/>
      </c>
      <c r="AS1211" s="1404">
        <f>SUM(AS1205:AS1210)</f>
        <v/>
      </c>
      <c r="AT1211" s="1405">
        <f>SUM(AT1205:AT1210)</f>
        <v/>
      </c>
      <c r="AU1211" s="1403">
        <f>SUM(AU1205:AU1210)</f>
        <v/>
      </c>
      <c r="AV1211" s="1403">
        <f>SUM(AV1205:AV1210)</f>
        <v/>
      </c>
      <c r="AW1211" s="1403">
        <f>SUM(AW1205:AW1210)</f>
        <v/>
      </c>
      <c r="AX1211" s="1404">
        <f>SUM(AX1205:AX1210)</f>
        <v/>
      </c>
      <c r="AY1211" s="1405">
        <f>SUM(AY1205:AY1210)</f>
        <v/>
      </c>
      <c r="AZ1211" s="1403">
        <f>SUM(AZ1205:AZ1210)</f>
        <v/>
      </c>
      <c r="BA1211" s="1403">
        <f>SUM(BA1205:BA1210)</f>
        <v/>
      </c>
      <c r="BB1211" s="1403">
        <f>SUM(BB1205:BB1210)</f>
        <v/>
      </c>
      <c r="BC1211" s="1404">
        <f>SUM(BC1205:BC1210)</f>
        <v/>
      </c>
      <c r="BD1211" s="1405">
        <f>SUM(BD1205:BD1210)</f>
        <v/>
      </c>
      <c r="BE1211" s="1403">
        <f>SUM(BE1205:BE1210)</f>
        <v/>
      </c>
      <c r="BF1211" s="1403">
        <f>SUM(BF1205:BF1210)</f>
        <v/>
      </c>
      <c r="BG1211" s="1403">
        <f>SUM(BG1205:BG1210)</f>
        <v/>
      </c>
      <c r="BH1211" s="1404">
        <f>SUM(BH1205:BH1210)</f>
        <v/>
      </c>
      <c r="BI1211" s="1405">
        <f>SUM(BI1205:BI1210)</f>
        <v/>
      </c>
      <c r="BJ1211" s="1403">
        <f>SUM(BJ1205:BJ1210)</f>
        <v/>
      </c>
      <c r="BK1211" s="1403">
        <f>SUM(BK1205:BK1210)</f>
        <v/>
      </c>
      <c r="BL1211" s="1403">
        <f>SUM(BL1205:BL1210)</f>
        <v/>
      </c>
      <c r="BM1211" s="1404">
        <f>SUM(BM1205:BM1210)</f>
        <v/>
      </c>
      <c r="BN1211" s="1405">
        <f>SUM(BN1205:BN1210)</f>
        <v/>
      </c>
      <c r="BO1211" s="1403">
        <f>SUM(BO1205:BO1210)</f>
        <v/>
      </c>
      <c r="BP1211" s="1403">
        <f>SUM(BP1205:BP1210)</f>
        <v/>
      </c>
      <c r="BQ1211" s="1406">
        <f>SUM(BQ1205:BQ1210)</f>
        <v/>
      </c>
      <c r="BR1211" s="1404">
        <f>SUM(BR1205:BR1210)</f>
        <v/>
      </c>
      <c r="BS1211" s="1405">
        <f>SUM(BS1205:BS1210)</f>
        <v/>
      </c>
      <c r="BT1211" s="1404">
        <f>SUM(BT1205:BT1210)</f>
        <v/>
      </c>
      <c r="BU1211" s="1404">
        <f>SUM(BU1205:BU1210)</f>
        <v/>
      </c>
      <c r="BV1211" s="1404">
        <f>SUM(BV1205:BV1210)</f>
        <v/>
      </c>
      <c r="BW1211" s="1404">
        <f>SUM(BW1205:BW1210)</f>
        <v/>
      </c>
      <c r="BX1211" s="1405">
        <f>SUM(BX1205:BX1210)</f>
        <v/>
      </c>
      <c r="BY1211" s="1405">
        <f>SUM(BY1205:BY1210)</f>
        <v/>
      </c>
      <c r="BZ1211" s="1405">
        <f>SUM(BZ1205:BZ1210)</f>
        <v/>
      </c>
      <c r="CA1211" s="1405">
        <f>SUM(CA1205:CA1210)</f>
        <v/>
      </c>
      <c r="CB1211" s="1375" t="n"/>
    </row>
    <row r="1212" ht="14.4" customFormat="1" customHeight="1" s="1372">
      <c r="A1212" s="1447" t="n"/>
      <c r="B1212" s="1517" t="n"/>
      <c r="C1212" s="1449" t="n"/>
      <c r="D1212" s="1449" t="n"/>
      <c r="E1212" s="1449" t="n"/>
      <c r="F1212" s="1449" t="n"/>
      <c r="G1212" s="1450" t="n"/>
      <c r="H1212" s="1450" t="n"/>
      <c r="I1212" s="1450" t="n"/>
      <c r="J1212" s="1450" t="n"/>
      <c r="K1212" s="1449" t="n"/>
      <c r="L1212" s="1450" t="n"/>
      <c r="M1212" s="1450" t="n"/>
      <c r="N1212" s="1450" t="n"/>
      <c r="O1212" s="1450" t="n"/>
      <c r="P1212" s="1449" t="n"/>
      <c r="Q1212" s="1450" t="n"/>
      <c r="R1212" s="1450" t="n"/>
      <c r="S1212" s="1450" t="n"/>
      <c r="T1212" s="1450" t="n"/>
      <c r="U1212" s="1449" t="n"/>
      <c r="V1212" s="1450" t="n"/>
      <c r="W1212" s="1450" t="n"/>
      <c r="X1212" s="1450" t="n"/>
      <c r="Y1212" s="1450" t="n"/>
      <c r="Z1212" s="1449" t="n"/>
      <c r="AA1212" s="1450" t="n"/>
      <c r="AB1212" s="1450" t="n"/>
      <c r="AC1212" s="1450" t="n"/>
      <c r="AD1212" s="1450" t="n"/>
      <c r="AE1212" s="1449" t="n"/>
      <c r="AF1212" s="1450" t="n"/>
      <c r="AG1212" s="1450" t="n"/>
      <c r="AH1212" s="1450" t="n"/>
      <c r="AI1212" s="1450" t="n"/>
      <c r="AJ1212" s="1449" t="n"/>
      <c r="AK1212" s="1450" t="n"/>
      <c r="AL1212" s="1450" t="n"/>
      <c r="AM1212" s="1450" t="n"/>
      <c r="AN1212" s="1450" t="n"/>
      <c r="AO1212" s="1449" t="n"/>
      <c r="AP1212" s="1450" t="n"/>
      <c r="AQ1212" s="1450" t="n"/>
      <c r="AR1212" s="1450" t="n"/>
      <c r="AS1212" s="1450" t="n"/>
      <c r="AT1212" s="1449" t="n"/>
      <c r="AU1212" s="1450" t="n"/>
      <c r="AV1212" s="1450" t="n"/>
      <c r="AW1212" s="1450" t="n"/>
      <c r="AX1212" s="1450" t="n"/>
      <c r="AY1212" s="1449" t="n"/>
      <c r="AZ1212" s="1450" t="n"/>
      <c r="BA1212" s="1450" t="n"/>
      <c r="BB1212" s="1450" t="n"/>
      <c r="BC1212" s="1450" t="n"/>
      <c r="BD1212" s="1449" t="n"/>
      <c r="BE1212" s="1450" t="n"/>
      <c r="BF1212" s="1450" t="n"/>
      <c r="BG1212" s="1450" t="n"/>
      <c r="BH1212" s="1450" t="n"/>
      <c r="BI1212" s="1449" t="n"/>
      <c r="BJ1212" s="1450" t="n"/>
      <c r="BK1212" s="1450" t="n"/>
      <c r="BL1212" s="1450" t="n"/>
      <c r="BM1212" s="1450" t="n"/>
      <c r="BN1212" s="1449" t="n"/>
      <c r="BO1212" s="1450" t="n"/>
      <c r="BP1212" s="1450" t="n"/>
      <c r="BQ1212" s="1451" t="n"/>
      <c r="BR1212" s="1450" t="n"/>
      <c r="BS1212" s="1449" t="n"/>
      <c r="BT1212" s="1450" t="n"/>
      <c r="BU1212" s="1450" t="n"/>
      <c r="BV1212" s="1450" t="n"/>
      <c r="BW1212" s="1450" t="n"/>
      <c r="BX1212" s="1449" t="n"/>
      <c r="BY1212" s="1449" t="n"/>
      <c r="BZ1212" s="1449" t="n"/>
      <c r="CA1212" s="1449" t="n"/>
      <c r="CB1212" s="1375" t="n"/>
    </row>
    <row r="1213" ht="14.4" customFormat="1" customHeight="1" s="1372">
      <c r="A1213" s="1837" t="inlineStr">
        <is>
          <t>Non-Current Assets</t>
        </is>
      </c>
      <c r="B1213" s="1517" t="n"/>
      <c r="C1213" s="1449" t="n"/>
      <c r="D1213" s="1449" t="n"/>
      <c r="E1213" s="1449" t="n"/>
      <c r="F1213" s="1449" t="n"/>
      <c r="G1213" s="1450" t="n"/>
      <c r="H1213" s="1450" t="n"/>
      <c r="I1213" s="1450" t="n"/>
      <c r="J1213" s="1450" t="n"/>
      <c r="K1213" s="1449" t="n"/>
      <c r="L1213" s="1450" t="n"/>
      <c r="M1213" s="1450" t="n"/>
      <c r="N1213" s="1450" t="n"/>
      <c r="O1213" s="1450" t="n"/>
      <c r="P1213" s="1449" t="n"/>
      <c r="Q1213" s="1450" t="n"/>
      <c r="R1213" s="1450" t="n"/>
      <c r="S1213" s="1450" t="n"/>
      <c r="T1213" s="1450" t="n"/>
      <c r="U1213" s="1449" t="n"/>
      <c r="V1213" s="1450" t="n"/>
      <c r="W1213" s="1450" t="n"/>
      <c r="X1213" s="1450" t="n"/>
      <c r="Y1213" s="1450" t="n"/>
      <c r="Z1213" s="1449" t="n"/>
      <c r="AA1213" s="1450" t="n"/>
      <c r="AB1213" s="1450" t="n"/>
      <c r="AC1213" s="1450" t="n"/>
      <c r="AD1213" s="1450" t="n"/>
      <c r="AE1213" s="1449" t="n"/>
      <c r="AF1213" s="1450" t="n"/>
      <c r="AG1213" s="1450" t="n"/>
      <c r="AH1213" s="1450" t="n"/>
      <c r="AI1213" s="1450" t="n"/>
      <c r="AJ1213" s="1449" t="n"/>
      <c r="AK1213" s="1450" t="n"/>
      <c r="AL1213" s="1450" t="n"/>
      <c r="AM1213" s="1450" t="n"/>
      <c r="AN1213" s="1450" t="n"/>
      <c r="AO1213" s="1449" t="n"/>
      <c r="AP1213" s="1450" t="n"/>
      <c r="AQ1213" s="1450" t="n"/>
      <c r="AR1213" s="1450" t="n"/>
      <c r="AS1213" s="1450" t="n"/>
      <c r="AT1213" s="1449" t="n"/>
      <c r="AU1213" s="1450" t="n"/>
      <c r="AV1213" s="1450" t="n"/>
      <c r="AW1213" s="1450" t="n"/>
      <c r="AX1213" s="1450" t="n"/>
      <c r="AY1213" s="1449" t="n"/>
      <c r="AZ1213" s="1450" t="n"/>
      <c r="BA1213" s="1450" t="n"/>
      <c r="BB1213" s="1450" t="n"/>
      <c r="BC1213" s="1450" t="n"/>
      <c r="BD1213" s="1449" t="n"/>
      <c r="BE1213" s="1450" t="n"/>
      <c r="BF1213" s="1450" t="n"/>
      <c r="BG1213" s="1450" t="n"/>
      <c r="BH1213" s="1450" t="n"/>
      <c r="BI1213" s="1449" t="n"/>
      <c r="BJ1213" s="1450" t="n"/>
      <c r="BK1213" s="1450" t="n"/>
      <c r="BL1213" s="1450" t="n"/>
      <c r="BM1213" s="1450" t="n"/>
      <c r="BN1213" s="1449" t="n"/>
      <c r="BO1213" s="1450" t="n"/>
      <c r="BP1213" s="1450" t="n"/>
      <c r="BQ1213" s="1451" t="n"/>
      <c r="BR1213" s="1450" t="n"/>
      <c r="BS1213" s="1449" t="n"/>
      <c r="BT1213" s="1450" t="n"/>
      <c r="BU1213" s="1450" t="n"/>
      <c r="BV1213" s="1450" t="n"/>
      <c r="BW1213" s="1450" t="n"/>
      <c r="BX1213" s="1449" t="n"/>
      <c r="BY1213" s="1449" t="n"/>
      <c r="BZ1213" s="1449" t="n"/>
      <c r="CA1213" s="1449" t="n"/>
      <c r="CB1213" s="1375" t="n"/>
    </row>
    <row r="1214" ht="14.4" customFormat="1" customHeight="1" s="1359">
      <c r="A1214" s="1394" t="inlineStr">
        <is>
          <t>Property, plant and equipment</t>
        </is>
      </c>
      <c r="B1214" s="1512" t="n"/>
      <c r="C1214" s="1494" t="n">
        <v>311.502</v>
      </c>
      <c r="D1214" s="1494" t="n">
        <v>285.115</v>
      </c>
      <c r="E1214" s="1494" t="n">
        <v>262.517</v>
      </c>
      <c r="F1214" s="1494" t="n">
        <v>244.439</v>
      </c>
      <c r="G1214" s="1493" t="n">
        <v>237.455</v>
      </c>
      <c r="H1214" s="1493" t="n">
        <v>243.288</v>
      </c>
      <c r="I1214" s="1493" t="n">
        <v>241.965</v>
      </c>
      <c r="J1214" s="1493" t="n">
        <v>238.715</v>
      </c>
      <c r="K1214" s="1494" t="n">
        <v>238.715</v>
      </c>
      <c r="L1214" s="1493" t="n">
        <v>239.425</v>
      </c>
      <c r="M1214" s="1493" t="n">
        <v>239.314</v>
      </c>
      <c r="N1214" s="1493" t="n">
        <v>231.337</v>
      </c>
      <c r="O1214" s="1493" t="n">
        <v>230.112</v>
      </c>
      <c r="P1214" s="1494" t="n">
        <v>230.112</v>
      </c>
      <c r="Q1214" s="1493" t="n">
        <v>225.556</v>
      </c>
      <c r="R1214" s="1493" t="n">
        <v>229.838</v>
      </c>
      <c r="S1214" s="1493" t="n">
        <v>227.689</v>
      </c>
      <c r="T1214" s="1493" t="n">
        <v>228.599</v>
      </c>
      <c r="U1214" s="1494" t="n">
        <v>228.599</v>
      </c>
      <c r="V1214" s="1493" t="n">
        <v>231.18</v>
      </c>
      <c r="W1214" s="1493" t="n">
        <v>235.911</v>
      </c>
      <c r="X1214" s="1493" t="n">
        <v>240.59</v>
      </c>
      <c r="Y1214" s="1361">
        <f>Z1214</f>
        <v/>
      </c>
      <c r="Z1214" s="1494" t="n">
        <v>238.607</v>
      </c>
      <c r="AA1214" s="1493" t="n">
        <v>243.949</v>
      </c>
      <c r="AB1214" s="1493" t="n">
        <v>249.14</v>
      </c>
      <c r="AC1214" s="1493" t="n">
        <v>244.62</v>
      </c>
      <c r="AD1214" s="1361">
        <f>AE1214</f>
        <v/>
      </c>
      <c r="AE1214" s="1494" t="n">
        <v>251.342</v>
      </c>
      <c r="AF1214" s="1493" t="n">
        <v>249.81</v>
      </c>
      <c r="AG1214" s="1493" t="n">
        <v>252.193</v>
      </c>
      <c r="AH1214" s="1493" t="n">
        <v>248.165</v>
      </c>
      <c r="AI1214" s="1361">
        <f>AJ1214</f>
        <v/>
      </c>
      <c r="AJ1214" s="1494" t="n">
        <v>252.63</v>
      </c>
      <c r="AK1214" s="1493" t="n">
        <v>253.392</v>
      </c>
      <c r="AL1214" s="1493" t="n">
        <v>257.882</v>
      </c>
      <c r="AM1214" s="1493" t="n">
        <v>259.453</v>
      </c>
      <c r="AN1214" s="1361">
        <f>AO1214</f>
        <v/>
      </c>
      <c r="AO1214" s="1494" t="n">
        <v>275.855</v>
      </c>
      <c r="AP1214" s="1493" t="n">
        <v>281.207</v>
      </c>
      <c r="AQ1214" s="1493" t="n">
        <v>282.738</v>
      </c>
      <c r="AR1214" s="1493" t="n">
        <v>288.163</v>
      </c>
      <c r="AS1214" s="1361">
        <f>AT1214</f>
        <v/>
      </c>
      <c r="AT1214" s="1494" t="n">
        <v>311.125</v>
      </c>
      <c r="AU1214" s="1493" t="n">
        <v>305.089</v>
      </c>
      <c r="AV1214" s="1493" t="n">
        <v>301.979</v>
      </c>
      <c r="AW1214" s="1493" t="n">
        <v>303.313</v>
      </c>
      <c r="AX1214" s="1361">
        <f>AY1214</f>
        <v/>
      </c>
      <c r="AY1214" s="1494" t="n">
        <v>305.911</v>
      </c>
      <c r="AZ1214" s="1493" t="n">
        <v>310.69</v>
      </c>
      <c r="BA1214" s="1493" t="n">
        <v>316.741</v>
      </c>
      <c r="BB1214" s="1493" t="n">
        <v>348.238</v>
      </c>
      <c r="BC1214" s="1361">
        <f>BD1214</f>
        <v/>
      </c>
      <c r="BD1214" s="1494" t="n">
        <v>371.451</v>
      </c>
      <c r="BE1214" s="1493" t="n">
        <v>372.956</v>
      </c>
      <c r="BF1214" s="1493" t="n">
        <v>370.193</v>
      </c>
      <c r="BG1214" s="1493" t="n">
        <v>379.776</v>
      </c>
      <c r="BH1214" s="1361">
        <f>BI1214</f>
        <v/>
      </c>
      <c r="BI1214" s="1494" t="n">
        <v>403.213</v>
      </c>
      <c r="BJ1214" s="1493" t="n">
        <v>433.016</v>
      </c>
      <c r="BK1214" s="1493" t="n">
        <v>449.422</v>
      </c>
      <c r="BL1214" s="1493" t="n">
        <v>448.652</v>
      </c>
      <c r="BM1214" s="1361">
        <f>BN1214</f>
        <v/>
      </c>
      <c r="BN1214" s="1494" t="n">
        <v>458.2</v>
      </c>
      <c r="BO1214" s="1493" t="n">
        <v>466.322</v>
      </c>
      <c r="BP1214" s="1493" t="n">
        <v>482.131</v>
      </c>
      <c r="BQ1214" s="1502" t="n">
        <v>494.701</v>
      </c>
      <c r="BR1214" s="1361">
        <f>BQ1214-BR1118+BR1165+BR1164</f>
        <v/>
      </c>
      <c r="BS1214" s="1379">
        <f>BR1214</f>
        <v/>
      </c>
      <c r="BT1214" s="1361">
        <f>BS1214-BT1118+BT1165+BT1164</f>
        <v/>
      </c>
      <c r="BU1214" s="1361">
        <f>BT1214-BU1118+BU1165+BU1164</f>
        <v/>
      </c>
      <c r="BV1214" s="1361">
        <f>BU1214-BV1118+BV1165+BV1164</f>
        <v/>
      </c>
      <c r="BW1214" s="1361">
        <f>BV1214-BW1118+BW1165+BW1164</f>
        <v/>
      </c>
      <c r="BX1214" s="1379">
        <f>BW1214</f>
        <v/>
      </c>
      <c r="BY1214" s="1379">
        <f>BX1214-BY1118+BY1165+BY1164</f>
        <v/>
      </c>
      <c r="BZ1214" s="1379">
        <f>BY1214-BZ1118+BZ1165+BZ1164</f>
        <v/>
      </c>
      <c r="CA1214" s="1379">
        <f>BZ1214-CA1118+CA1165+CA1164</f>
        <v/>
      </c>
      <c r="CB1214" s="1364" t="n"/>
    </row>
    <row r="1215" ht="14.4" customFormat="1" customHeight="1" s="1359">
      <c r="A1215" s="1394" t="inlineStr">
        <is>
          <t>Goodwill</t>
        </is>
      </c>
      <c r="B1215" s="1512" t="n"/>
      <c r="C1215" s="1494" t="n">
        <v>0</v>
      </c>
      <c r="D1215" s="1494" t="n">
        <v>158.893</v>
      </c>
      <c r="E1215" s="1494" t="n">
        <v>192.125</v>
      </c>
      <c r="F1215" s="1494" t="n">
        <v>233.266</v>
      </c>
      <c r="G1215" s="1493" t="n">
        <v>232.608</v>
      </c>
      <c r="H1215" s="1493" t="n">
        <v>457.556</v>
      </c>
      <c r="I1215" s="1493" t="n">
        <v>456.267</v>
      </c>
      <c r="J1215" s="1493" t="n">
        <v>456.905</v>
      </c>
      <c r="K1215" s="1494" t="n">
        <v>456.905</v>
      </c>
      <c r="L1215" s="1493" t="n">
        <v>478.99</v>
      </c>
      <c r="M1215" s="1493" t="n">
        <v>559.957</v>
      </c>
      <c r="N1215" s="1493" t="n">
        <v>557.252</v>
      </c>
      <c r="O1215" s="1493" t="n">
        <v>553.7670000000001</v>
      </c>
      <c r="P1215" s="1494" t="n">
        <v>553.7670000000001</v>
      </c>
      <c r="Q1215" s="1493" t="n">
        <v>553.942</v>
      </c>
      <c r="R1215" s="1493" t="n">
        <v>553.831</v>
      </c>
      <c r="S1215" s="1493" t="n">
        <v>552.4109999999999</v>
      </c>
      <c r="T1215" s="1493" t="n">
        <v>551.772</v>
      </c>
      <c r="U1215" s="1494" t="n">
        <v>551.772</v>
      </c>
      <c r="V1215" s="1493" t="n">
        <v>551.897</v>
      </c>
      <c r="W1215" s="1493" t="n">
        <v>573.7140000000001</v>
      </c>
      <c r="X1215" s="1493" t="n">
        <v>573.89</v>
      </c>
      <c r="Y1215" s="1361">
        <f>Z1215</f>
        <v/>
      </c>
      <c r="Z1215" s="1494" t="n">
        <v>572.764</v>
      </c>
      <c r="AA1215" s="1493" t="n">
        <v>574.545</v>
      </c>
      <c r="AB1215" s="1493" t="n">
        <v>575.025</v>
      </c>
      <c r="AC1215" s="1493" t="n">
        <v>574.912</v>
      </c>
      <c r="AD1215" s="1361">
        <f>AE1215</f>
        <v/>
      </c>
      <c r="AE1215" s="1494" t="n">
        <v>666.009</v>
      </c>
      <c r="AF1215" s="1493" t="n">
        <v>665.615</v>
      </c>
      <c r="AG1215" s="1493" t="n">
        <v>663.3200000000001</v>
      </c>
      <c r="AH1215" s="1493" t="n">
        <v>661.341</v>
      </c>
      <c r="AI1215" s="1361">
        <f>AJ1215</f>
        <v/>
      </c>
      <c r="AJ1215" s="1494" t="n">
        <v>662.272</v>
      </c>
      <c r="AK1215" s="1493" t="n">
        <v>662.871</v>
      </c>
      <c r="AL1215" s="1493" t="n">
        <v>662.713</v>
      </c>
      <c r="AM1215" s="1493" t="n">
        <v>661.678</v>
      </c>
      <c r="AN1215" s="1361">
        <f>AO1215</f>
        <v/>
      </c>
      <c r="AO1215" s="1494" t="n">
        <v>661.856</v>
      </c>
      <c r="AP1215" s="1493" t="n">
        <v>778.992</v>
      </c>
      <c r="AQ1215" s="1493" t="n">
        <v>778.857</v>
      </c>
      <c r="AR1215" s="1493" t="n">
        <v>780.842</v>
      </c>
      <c r="AS1215" s="1361">
        <f>AT1215</f>
        <v/>
      </c>
      <c r="AT1215" s="1494" t="n">
        <v>782.087</v>
      </c>
      <c r="AU1215" s="1493" t="n">
        <v>912.603</v>
      </c>
      <c r="AV1215" s="1493" t="n">
        <v>929.525</v>
      </c>
      <c r="AW1215" s="1493" t="n">
        <v>925.949</v>
      </c>
      <c r="AX1215" s="1361">
        <f>AY1215</f>
        <v/>
      </c>
      <c r="AY1215" s="1494" t="n">
        <v>928.3579999999999</v>
      </c>
      <c r="AZ1215" s="1493" t="n">
        <v>923.7190000000001</v>
      </c>
      <c r="BA1215" s="1493" t="n">
        <v>924.46</v>
      </c>
      <c r="BB1215" s="1493" t="n">
        <v>1348.494</v>
      </c>
      <c r="BC1215" s="1361">
        <f>BD1215</f>
        <v/>
      </c>
      <c r="BD1215" s="1494" t="n">
        <v>1374.268</v>
      </c>
      <c r="BE1215" s="1493" t="n">
        <v>1377.625</v>
      </c>
      <c r="BF1215" s="1493" t="n">
        <v>1428.772</v>
      </c>
      <c r="BG1215" s="1493" t="n">
        <v>1500.442</v>
      </c>
      <c r="BH1215" s="1361">
        <f>BI1215</f>
        <v/>
      </c>
      <c r="BI1215" s="1494" t="n">
        <v>1535.845</v>
      </c>
      <c r="BJ1215" s="1493" t="n">
        <v>1575.107</v>
      </c>
      <c r="BK1215" s="1493" t="n">
        <v>2417.747</v>
      </c>
      <c r="BL1215" s="1493" t="n">
        <v>2493.467</v>
      </c>
      <c r="BM1215" s="1361">
        <f>BN1215</f>
        <v/>
      </c>
      <c r="BN1215" s="1494" t="n">
        <v>2378.671</v>
      </c>
      <c r="BO1215" s="1493" t="n">
        <v>2419.717</v>
      </c>
      <c r="BP1215" s="1493" t="n">
        <v>2599.798</v>
      </c>
      <c r="BQ1215" s="1502" t="n">
        <v>2644.91</v>
      </c>
      <c r="BR1215" s="1361">
        <f>BQ1215+BR1188*(1-BR1189-BR1190)</f>
        <v/>
      </c>
      <c r="BS1215" s="1379">
        <f>BR1215</f>
        <v/>
      </c>
      <c r="BT1215" s="1361">
        <f>BS1215+BT1188*(1-BT1189-BT1190)</f>
        <v/>
      </c>
      <c r="BU1215" s="1361">
        <f>BT1215+BU1188*(1-BU1189-BU1190)</f>
        <v/>
      </c>
      <c r="BV1215" s="1361">
        <f>BU1215+BV1188*(1-BV1189-BV1190)</f>
        <v/>
      </c>
      <c r="BW1215" s="1361">
        <f>BV1215+BW1188*(1-BW1189-BW1190)</f>
        <v/>
      </c>
      <c r="BX1215" s="1379">
        <f>BW1215</f>
        <v/>
      </c>
      <c r="BY1215" s="1379">
        <f>BX1215+BY1188*(1-BY1189-BY1190)</f>
        <v/>
      </c>
      <c r="BZ1215" s="1379">
        <f>BY1215+BZ1188*(1-BZ1189-BZ1190)</f>
        <v/>
      </c>
      <c r="CA1215" s="1379">
        <f>BZ1215+CA1188*(1-CA1189-CA1190)</f>
        <v/>
      </c>
      <c r="CB1215" s="1364" t="n"/>
    </row>
    <row r="1216" ht="14.4" customFormat="1" customHeight="1" s="1359">
      <c r="A1216" s="1394" t="inlineStr">
        <is>
          <t>Acquired intangibles</t>
        </is>
      </c>
      <c r="B1216" s="1512" t="n"/>
      <c r="C1216" s="1494" t="n">
        <v>28.841</v>
      </c>
      <c r="D1216" s="1494" t="n">
        <v>179.198</v>
      </c>
      <c r="E1216" s="1494" t="n">
        <v>173.234</v>
      </c>
      <c r="F1216" s="1494" t="n">
        <v>184.938</v>
      </c>
      <c r="G1216" s="1493" t="n">
        <v>177.891</v>
      </c>
      <c r="H1216" s="1493" t="n">
        <v>337.705</v>
      </c>
      <c r="I1216" s="1493" t="n">
        <v>323.807</v>
      </c>
      <c r="J1216" s="1493" t="n">
        <v>311.693</v>
      </c>
      <c r="K1216" s="1494" t="n">
        <v>311.693</v>
      </c>
      <c r="L1216" s="1493" t="n">
        <v>316.498</v>
      </c>
      <c r="M1216" s="1493" t="n">
        <v>395.43</v>
      </c>
      <c r="N1216" s="1493" t="n">
        <v>378.827</v>
      </c>
      <c r="O1216" s="1493" t="n">
        <v>360.932</v>
      </c>
      <c r="P1216" s="1494" t="n">
        <v>360.932</v>
      </c>
      <c r="Q1216" s="1493" t="n">
        <v>344.45</v>
      </c>
      <c r="R1216" s="1493" t="n">
        <v>328.338</v>
      </c>
      <c r="S1216" s="1493" t="n">
        <v>312.405</v>
      </c>
      <c r="T1216" s="1493" t="n">
        <v>296.482</v>
      </c>
      <c r="U1216" s="1494" t="n">
        <v>296.482</v>
      </c>
      <c r="V1216" s="1493" t="n">
        <v>283.825</v>
      </c>
      <c r="W1216" s="1493" t="n">
        <v>287.888</v>
      </c>
      <c r="X1216" s="1493" t="n">
        <v>273.381</v>
      </c>
      <c r="Y1216" s="1361">
        <f>Z1216</f>
        <v/>
      </c>
      <c r="Z1216" s="1494" t="n">
        <v>258.814</v>
      </c>
      <c r="AA1216" s="1493" t="n">
        <v>244.445</v>
      </c>
      <c r="AB1216" s="1493" t="n">
        <v>229.783</v>
      </c>
      <c r="AC1216" s="1493" t="n">
        <v>216.177</v>
      </c>
      <c r="AD1216" s="1361">
        <f>AE1216</f>
        <v/>
      </c>
      <c r="AE1216" s="1494" t="n">
        <v>278.835</v>
      </c>
      <c r="AF1216" s="1493" t="n">
        <v>264.927</v>
      </c>
      <c r="AG1216" s="1493" t="n">
        <v>251.385</v>
      </c>
      <c r="AH1216" s="1493" t="n">
        <v>238.385</v>
      </c>
      <c r="AI1216" s="1361">
        <f>AJ1216</f>
        <v/>
      </c>
      <c r="AJ1216" s="1494" t="n">
        <v>225.457</v>
      </c>
      <c r="AK1216" s="1493" t="n">
        <v>212.298</v>
      </c>
      <c r="AL1216" s="1493" t="n">
        <v>197.84</v>
      </c>
      <c r="AM1216" s="1493" t="n">
        <v>185.037</v>
      </c>
      <c r="AN1216" s="1361">
        <f>AO1216</f>
        <v/>
      </c>
      <c r="AO1216" s="1494" t="n">
        <v>172.375</v>
      </c>
      <c r="AP1216" s="1493" t="n">
        <v>258.617</v>
      </c>
      <c r="AQ1216" s="1493" t="n">
        <v>242.543</v>
      </c>
      <c r="AR1216" s="1493" t="n">
        <v>227.753</v>
      </c>
      <c r="AS1216" s="1361">
        <f>AT1216</f>
        <v/>
      </c>
      <c r="AT1216" s="1494" t="n">
        <v>210.59</v>
      </c>
      <c r="AU1216" s="1493" t="n">
        <v>264.671</v>
      </c>
      <c r="AV1216" s="1493" t="n">
        <v>264.789</v>
      </c>
      <c r="AW1216" s="1493" t="n">
        <v>247.628</v>
      </c>
      <c r="AX1216" s="1361">
        <f>AY1216</f>
        <v/>
      </c>
      <c r="AY1216" s="1494" t="n">
        <v>233.265</v>
      </c>
      <c r="AZ1216" s="1493" t="n">
        <v>219.11</v>
      </c>
      <c r="BA1216" s="1493" t="n">
        <v>215.781</v>
      </c>
      <c r="BB1216" s="1493" t="n">
        <v>353.912</v>
      </c>
      <c r="BC1216" s="1361">
        <f>BD1216</f>
        <v/>
      </c>
      <c r="BD1216" s="1494" t="n">
        <v>354.617</v>
      </c>
      <c r="BE1216" s="1493" t="n">
        <v>341.738</v>
      </c>
      <c r="BF1216" s="1493" t="n">
        <v>340.742</v>
      </c>
      <c r="BG1216" s="1493" t="n">
        <v>347.617</v>
      </c>
      <c r="BH1216" s="1361">
        <f>BI1216</f>
        <v/>
      </c>
      <c r="BI1216" s="1494" t="n">
        <v>336.843</v>
      </c>
      <c r="BJ1216" s="1493" t="n">
        <v>334.644</v>
      </c>
      <c r="BK1216" s="1493" t="n">
        <v>664.038</v>
      </c>
      <c r="BL1216" s="1493" t="n">
        <v>662.343</v>
      </c>
      <c r="BM1216" s="1361">
        <f>BN1216</f>
        <v/>
      </c>
      <c r="BN1216" s="1494" t="n">
        <v>594.734</v>
      </c>
      <c r="BO1216" s="1493" t="n">
        <v>584.228</v>
      </c>
      <c r="BP1216" s="1493" t="n">
        <v>618.952</v>
      </c>
      <c r="BQ1216" s="1502" t="n">
        <v>672.508</v>
      </c>
      <c r="BR1216" s="1361">
        <f>BQ1216+BR1171+BR1170</f>
        <v/>
      </c>
      <c r="BS1216" s="1379">
        <f>BR1216</f>
        <v/>
      </c>
      <c r="BT1216" s="1361">
        <f>BS1216+BT1171+BT1170</f>
        <v/>
      </c>
      <c r="BU1216" s="1361">
        <f>BT1216+BU1171+BU1170</f>
        <v/>
      </c>
      <c r="BV1216" s="1361">
        <f>BU1216+BV1171+BV1170</f>
        <v/>
      </c>
      <c r="BW1216" s="1361">
        <f>BV1216+BW1171+BW1170</f>
        <v/>
      </c>
      <c r="BX1216" s="1379">
        <f>BW1216</f>
        <v/>
      </c>
      <c r="BY1216" s="1379">
        <f>BX1216+BY1171+BY1170</f>
        <v/>
      </c>
      <c r="BZ1216" s="1379">
        <f>BY1216+BZ1171+BZ1170</f>
        <v/>
      </c>
      <c r="CA1216" s="1379">
        <f>BZ1216+CA1171+CA1170</f>
        <v/>
      </c>
      <c r="CB1216" s="1364" t="n"/>
    </row>
    <row r="1217" ht="14.4" customFormat="1" customHeight="1" s="1359">
      <c r="A1217" s="1394" t="inlineStr">
        <is>
          <t>Long-term receivables</t>
        </is>
      </c>
      <c r="B1217" s="1512" t="n"/>
      <c r="C1217" s="1494" t="n">
        <v>58.448</v>
      </c>
      <c r="D1217" s="1494" t="n">
        <v>23.38</v>
      </c>
      <c r="E1217" s="1494" t="n">
        <v>11.371</v>
      </c>
      <c r="F1217" s="1494" t="n">
        <v>7.559</v>
      </c>
      <c r="G1217" s="1493" t="n">
        <v>3.734</v>
      </c>
      <c r="H1217" s="1493" t="n">
        <v>5.929</v>
      </c>
      <c r="I1217" s="1493" t="n">
        <v>3.994</v>
      </c>
      <c r="J1217" s="1493" t="n">
        <v>3.672</v>
      </c>
      <c r="K1217" s="1494" t="n">
        <v>3.672</v>
      </c>
      <c r="L1217" s="1493" t="n">
        <v>6.193</v>
      </c>
      <c r="M1217" s="1493" t="n">
        <v>5.611</v>
      </c>
      <c r="N1217" s="1493" t="n">
        <v>4.957</v>
      </c>
      <c r="O1217" s="1493" t="n">
        <v>3.644</v>
      </c>
      <c r="P1217" s="1494" t="n">
        <v>3.644</v>
      </c>
      <c r="Q1217" s="1493" t="n">
        <v>3.619</v>
      </c>
      <c r="R1217" s="1493" t="n">
        <v>1.628</v>
      </c>
      <c r="S1217" s="1493" t="n">
        <v>1.568</v>
      </c>
      <c r="T1217" s="1493" t="n">
        <v>4.498</v>
      </c>
      <c r="U1217" s="1494" t="n">
        <v>4.498</v>
      </c>
      <c r="V1217" s="1493" t="n">
        <v>11.365</v>
      </c>
      <c r="W1217" s="1493" t="n">
        <v>17.368</v>
      </c>
      <c r="X1217" s="1493" t="n">
        <v>14.961</v>
      </c>
      <c r="Y1217" s="1361">
        <f>Z1217</f>
        <v/>
      </c>
      <c r="Z1217" s="1494" t="n">
        <v>12.949</v>
      </c>
      <c r="AA1217" s="1493" t="n">
        <v>13.127</v>
      </c>
      <c r="AB1217" s="1493" t="n">
        <v>13.34</v>
      </c>
      <c r="AC1217" s="1493" t="n">
        <v>11.59</v>
      </c>
      <c r="AD1217" s="1361">
        <f>AE1217</f>
        <v/>
      </c>
      <c r="AE1217" s="1494" t="n">
        <v>12.239</v>
      </c>
      <c r="AF1217" s="1493" t="n">
        <v>9.380000000000001</v>
      </c>
      <c r="AG1217" s="1493" t="n">
        <v>4.74</v>
      </c>
      <c r="AH1217" s="1493" t="n">
        <v>4.395</v>
      </c>
      <c r="AI1217" s="1361">
        <f>AJ1217</f>
        <v/>
      </c>
      <c r="AJ1217" s="1494" t="n">
        <v>5.972</v>
      </c>
      <c r="AK1217" s="1493" t="n">
        <v>3.241</v>
      </c>
      <c r="AL1217" s="1493" t="n">
        <v>2.14</v>
      </c>
      <c r="AM1217" s="1493" t="n">
        <v>1.204</v>
      </c>
      <c r="AN1217" s="1361">
        <f>AO1217</f>
        <v/>
      </c>
      <c r="AO1217" s="1494" t="n">
        <v>0</v>
      </c>
      <c r="AP1217" s="1493" t="n">
        <v>0</v>
      </c>
      <c r="AQ1217" s="1361" t="n"/>
      <c r="AR1217" s="1361" t="n"/>
      <c r="AS1217" s="1361">
        <f>AT1217</f>
        <v/>
      </c>
      <c r="AT1217" s="1379" t="n"/>
      <c r="AU1217" s="1361" t="n"/>
      <c r="AV1217" s="1361" t="n"/>
      <c r="AW1217" s="1361" t="n"/>
      <c r="AX1217" s="1361">
        <f>AY1217</f>
        <v/>
      </c>
      <c r="AY1217" s="1379" t="n"/>
      <c r="AZ1217" s="1361" t="n"/>
      <c r="BA1217" s="1361" t="n"/>
      <c r="BB1217" s="1361" t="n"/>
      <c r="BC1217" s="1361">
        <f>BD1217</f>
        <v/>
      </c>
      <c r="BD1217" s="1379" t="n"/>
      <c r="BE1217" s="1361" t="n"/>
      <c r="BF1217" s="1361" t="n"/>
      <c r="BG1217" s="1361" t="n"/>
      <c r="BH1217" s="1361">
        <f>BI1217</f>
        <v/>
      </c>
      <c r="BI1217" s="1379" t="n"/>
      <c r="BJ1217" s="1361" t="n"/>
      <c r="BK1217" s="1361" t="n"/>
      <c r="BL1217" s="1361" t="n"/>
      <c r="BM1217" s="1361">
        <f>BN1217</f>
        <v/>
      </c>
      <c r="BN1217" s="1379" t="n"/>
      <c r="BO1217" s="1361" t="n"/>
      <c r="BP1217" s="1361" t="n"/>
      <c r="BQ1217" s="1363" t="n"/>
      <c r="BR1217" s="1361">
        <f>BQ1217</f>
        <v/>
      </c>
      <c r="BS1217" s="1379">
        <f>BR1217</f>
        <v/>
      </c>
      <c r="BT1217" s="1361">
        <f>BS1217</f>
        <v/>
      </c>
      <c r="BU1217" s="1361">
        <f>BT1217</f>
        <v/>
      </c>
      <c r="BV1217" s="1361">
        <f>BU1217</f>
        <v/>
      </c>
      <c r="BW1217" s="1361">
        <f>BV1217</f>
        <v/>
      </c>
      <c r="BX1217" s="1379">
        <f>BW1217</f>
        <v/>
      </c>
      <c r="BY1217" s="1379">
        <f>BX1217</f>
        <v/>
      </c>
      <c r="BZ1217" s="1379">
        <f>BY1217</f>
        <v/>
      </c>
      <c r="CA1217" s="1379">
        <f>BZ1217</f>
        <v/>
      </c>
      <c r="CB1217" s="1364" t="n"/>
    </row>
    <row r="1218" ht="14.4" customFormat="1" customHeight="1" s="1359">
      <c r="A1218" s="1394" t="inlineStr">
        <is>
          <t>2015 Notes Hedges</t>
        </is>
      </c>
      <c r="B1218" s="1512" t="n"/>
      <c r="C1218" s="1379" t="n"/>
      <c r="D1218" s="1494" t="n">
        <v>130.211</v>
      </c>
      <c r="E1218" s="1379" t="n"/>
      <c r="F1218" s="1379" t="n"/>
      <c r="G1218" s="1361" t="n"/>
      <c r="H1218" s="1361" t="n"/>
      <c r="I1218" s="1361" t="n"/>
      <c r="J1218" s="1493" t="n">
        <v>0</v>
      </c>
      <c r="K1218" s="1379" t="n"/>
      <c r="L1218" s="1361" t="n"/>
      <c r="M1218" s="1361" t="n"/>
      <c r="N1218" s="1361" t="n"/>
      <c r="O1218" s="1493" t="n">
        <v>0</v>
      </c>
      <c r="P1218" s="1379" t="n"/>
      <c r="Q1218" s="1361" t="n"/>
      <c r="R1218" s="1361" t="n"/>
      <c r="S1218" s="1361" t="n"/>
      <c r="T1218" s="1493" t="n">
        <v>0</v>
      </c>
      <c r="U1218" s="1379" t="n"/>
      <c r="V1218" s="1361" t="n"/>
      <c r="W1218" s="1493" t="n">
        <v>0</v>
      </c>
      <c r="X1218" s="1364">
        <f>W1218</f>
        <v/>
      </c>
      <c r="Y1218" s="1361">
        <f>Z1218</f>
        <v/>
      </c>
      <c r="Z1218" s="1494" t="n">
        <v>0</v>
      </c>
      <c r="AA1218" s="1361" t="n"/>
      <c r="AB1218" s="1361" t="n"/>
      <c r="AC1218" s="1361" t="n"/>
      <c r="AD1218" s="1361">
        <f>AE1218</f>
        <v/>
      </c>
      <c r="AE1218" s="1379" t="n"/>
      <c r="AF1218" s="1361" t="n"/>
      <c r="AG1218" s="1361" t="n"/>
      <c r="AH1218" s="1361" t="n"/>
      <c r="AI1218" s="1361">
        <f>AJ1218</f>
        <v/>
      </c>
      <c r="AJ1218" s="1379" t="n"/>
      <c r="AK1218" s="1361" t="n"/>
      <c r="AL1218" s="1361" t="n"/>
      <c r="AM1218" s="1361" t="n"/>
      <c r="AN1218" s="1361">
        <f>AO1218</f>
        <v/>
      </c>
      <c r="AO1218" s="1494" t="n">
        <v>0</v>
      </c>
      <c r="AP1218" s="1361" t="n"/>
      <c r="AQ1218" s="1361" t="n"/>
      <c r="AR1218" s="1361" t="n"/>
      <c r="AS1218" s="1361">
        <f>AT1218</f>
        <v/>
      </c>
      <c r="AT1218" s="1379" t="n"/>
      <c r="AU1218" s="1361" t="n"/>
      <c r="AV1218" s="1361" t="n"/>
      <c r="AW1218" s="1361" t="n"/>
      <c r="AX1218" s="1361">
        <f>AY1218</f>
        <v/>
      </c>
      <c r="AY1218" s="1379" t="n"/>
      <c r="AZ1218" s="1361" t="n"/>
      <c r="BA1218" s="1361" t="n"/>
      <c r="BB1218" s="1361" t="n"/>
      <c r="BC1218" s="1361">
        <f>BD1218</f>
        <v/>
      </c>
      <c r="BD1218" s="1379" t="n"/>
      <c r="BE1218" s="1361" t="n"/>
      <c r="BF1218" s="1361" t="n"/>
      <c r="BG1218" s="1361" t="n"/>
      <c r="BH1218" s="1361">
        <f>BI1218</f>
        <v/>
      </c>
      <c r="BI1218" s="1379" t="n"/>
      <c r="BJ1218" s="1361" t="n"/>
      <c r="BK1218" s="1361" t="n"/>
      <c r="BL1218" s="1361" t="n"/>
      <c r="BM1218" s="1361">
        <f>BN1218</f>
        <v/>
      </c>
      <c r="BN1218" s="1379" t="n"/>
      <c r="BO1218" s="1361" t="n"/>
      <c r="BP1218" s="1361" t="n"/>
      <c r="BQ1218" s="1363" t="n"/>
      <c r="BR1218" s="1361">
        <f>BQ1218</f>
        <v/>
      </c>
      <c r="BS1218" s="1379">
        <f>BR1218</f>
        <v/>
      </c>
      <c r="BT1218" s="1361">
        <f>BS1218</f>
        <v/>
      </c>
      <c r="BU1218" s="1361">
        <f>BT1218</f>
        <v/>
      </c>
      <c r="BV1218" s="1361">
        <f>BU1218</f>
        <v/>
      </c>
      <c r="BW1218" s="1361">
        <f>BV1218</f>
        <v/>
      </c>
      <c r="BX1218" s="1379">
        <f>BW1218</f>
        <v/>
      </c>
      <c r="BY1218" s="1379">
        <f>BX1218</f>
        <v/>
      </c>
      <c r="BZ1218" s="1379">
        <f>BY1218</f>
        <v/>
      </c>
      <c r="CA1218" s="1379">
        <f>BZ1218</f>
        <v/>
      </c>
      <c r="CB1218" s="1364" t="n"/>
    </row>
    <row r="1219" ht="14.4" customFormat="1" customHeight="1" s="1359">
      <c r="A1219" s="1394" t="inlineStr">
        <is>
          <t>Deferred taxes</t>
        </is>
      </c>
      <c r="B1219" s="1512" t="n"/>
      <c r="C1219" s="1379" t="n"/>
      <c r="D1219" s="1379" t="n"/>
      <c r="E1219" s="1379" t="n"/>
      <c r="F1219" s="1379" t="n"/>
      <c r="G1219" s="1361" t="n"/>
      <c r="H1219" s="1361" t="n"/>
      <c r="I1219" s="1361" t="n"/>
      <c r="J1219" s="1361" t="n"/>
      <c r="K1219" s="1379" t="n"/>
      <c r="L1219" s="1361" t="n"/>
      <c r="M1219" s="1361" t="n"/>
      <c r="N1219" s="1361" t="n"/>
      <c r="O1219" s="1361" t="n"/>
      <c r="P1219" s="1379" t="n"/>
      <c r="Q1219" s="1361" t="n"/>
      <c r="R1219" s="1361" t="n"/>
      <c r="S1219" s="1361" t="n"/>
      <c r="T1219" s="1361" t="n"/>
      <c r="U1219" s="1379" t="n"/>
      <c r="V1219" s="1361" t="n"/>
      <c r="W1219" s="1361" t="n"/>
      <c r="X1219" s="1361" t="n"/>
      <c r="Y1219" s="1361" t="n"/>
      <c r="Z1219" s="1379" t="n"/>
      <c r="AA1219" s="1361" t="n"/>
      <c r="AB1219" s="1361" t="n"/>
      <c r="AC1219" s="1361" t="n"/>
      <c r="AD1219" s="1361" t="n"/>
      <c r="AE1219" s="1379" t="n"/>
      <c r="AF1219" s="1361" t="n"/>
      <c r="AG1219" s="1361" t="n"/>
      <c r="AH1219" s="1361" t="n"/>
      <c r="AI1219" s="1361" t="n"/>
      <c r="AJ1219" s="1379" t="n"/>
      <c r="AK1219" s="1361" t="n"/>
      <c r="AL1219" s="1361" t="n"/>
      <c r="AM1219" s="1361" t="n"/>
      <c r="AN1219" s="1361">
        <f>AO1219</f>
        <v/>
      </c>
      <c r="AO1219" s="1494" t="n">
        <v>732.367</v>
      </c>
      <c r="AP1219" s="1493" t="n">
        <v>699.194</v>
      </c>
      <c r="AQ1219" s="1493" t="n">
        <v>704.8819999999999</v>
      </c>
      <c r="AR1219" s="1493" t="n">
        <v>722.6559999999999</v>
      </c>
      <c r="AS1219" s="1361">
        <f>AT1219</f>
        <v/>
      </c>
      <c r="AT1219" s="1494" t="n">
        <v>732.29</v>
      </c>
      <c r="AU1219" s="1493" t="n">
        <v>729.296</v>
      </c>
      <c r="AV1219" s="1493" t="n">
        <v>729.79</v>
      </c>
      <c r="AW1219" s="1493" t="n">
        <v>766.0359999999999</v>
      </c>
      <c r="AX1219" s="1361">
        <f>AY1219</f>
        <v/>
      </c>
      <c r="AY1219" s="1494" t="n">
        <v>763.77</v>
      </c>
      <c r="AZ1219" s="1493" t="n">
        <v>787.111</v>
      </c>
      <c r="BA1219" s="1493" t="n">
        <v>802.886</v>
      </c>
      <c r="BB1219" s="1493" t="n">
        <v>783.3150000000001</v>
      </c>
      <c r="BC1219" s="1361">
        <f>BD1219</f>
        <v/>
      </c>
      <c r="BD1219" s="1494" t="n">
        <v>853.691</v>
      </c>
      <c r="BE1219" s="1493" t="n">
        <v>864.75</v>
      </c>
      <c r="BF1219" s="1493" t="n">
        <v>872.151</v>
      </c>
      <c r="BG1219" s="1493" t="n">
        <v>874.8049999999999</v>
      </c>
      <c r="BH1219" s="1361">
        <f>BI1219</f>
        <v/>
      </c>
      <c r="BI1219" s="1494" t="n">
        <v>880.001</v>
      </c>
      <c r="BJ1219" s="1493" t="n">
        <v>886.576</v>
      </c>
      <c r="BK1219" s="1493" t="n">
        <v>892.963</v>
      </c>
      <c r="BL1219" s="1493" t="n">
        <v>889.939</v>
      </c>
      <c r="BM1219" s="1361">
        <f>BN1219</f>
        <v/>
      </c>
      <c r="BN1219" s="1494" t="n">
        <v>982.057</v>
      </c>
      <c r="BO1219" s="1493" t="n">
        <v>986.191</v>
      </c>
      <c r="BP1219" s="1493" t="n">
        <v>980.223</v>
      </c>
      <c r="BQ1219" s="1502" t="n">
        <v>892.568</v>
      </c>
      <c r="BR1219" s="1361">
        <f>BQ1219</f>
        <v/>
      </c>
      <c r="BS1219" s="1379">
        <f>BR1219</f>
        <v/>
      </c>
      <c r="BT1219" s="1361">
        <f>BS1219</f>
        <v/>
      </c>
      <c r="BU1219" s="1361">
        <f>BT1219</f>
        <v/>
      </c>
      <c r="BV1219" s="1361">
        <f>BU1219</f>
        <v/>
      </c>
      <c r="BW1219" s="1361">
        <f>BV1219</f>
        <v/>
      </c>
      <c r="BX1219" s="1379">
        <f>BW1219</f>
        <v/>
      </c>
      <c r="BY1219" s="1379">
        <f>BX1219</f>
        <v/>
      </c>
      <c r="BZ1219" s="1379">
        <f>BY1219</f>
        <v/>
      </c>
      <c r="CA1219" s="1379">
        <f>BZ1219</f>
        <v/>
      </c>
      <c r="CB1219" s="1364" t="n"/>
    </row>
    <row r="1220" ht="14.4" customFormat="1" customHeight="1" s="1359">
      <c r="A1220" s="1453" t="inlineStr">
        <is>
          <t>Other assets</t>
        </is>
      </c>
      <c r="B1220" s="1514" t="n"/>
      <c r="C1220" s="1480" t="n">
        <v>161.049</v>
      </c>
      <c r="D1220" s="1480" t="n">
        <v>75.913</v>
      </c>
      <c r="E1220" s="1480" t="n">
        <v>58.039</v>
      </c>
      <c r="F1220" s="1480" t="n">
        <v>225.566</v>
      </c>
      <c r="G1220" s="1479" t="n">
        <v>209.663</v>
      </c>
      <c r="H1220" s="1479" t="n">
        <v>253.112</v>
      </c>
      <c r="I1220" s="1479" t="n">
        <v>257.191</v>
      </c>
      <c r="J1220" s="1479" t="n">
        <v>196.525</v>
      </c>
      <c r="K1220" s="1480" t="n">
        <v>196.525</v>
      </c>
      <c r="L1220" s="1479" t="n">
        <v>185.389</v>
      </c>
      <c r="M1220" s="1479" t="n">
        <v>170.802</v>
      </c>
      <c r="N1220" s="1479" t="n">
        <v>181.958</v>
      </c>
      <c r="O1220" s="1479" t="n">
        <v>209.366</v>
      </c>
      <c r="P1220" s="1480" t="n">
        <v>209.366</v>
      </c>
      <c r="Q1220" s="1479" t="n">
        <v>201.354</v>
      </c>
      <c r="R1220" s="1479" t="n">
        <v>199.79</v>
      </c>
      <c r="S1220" s="1479" t="n">
        <v>194.983</v>
      </c>
      <c r="T1220" s="1479" t="n">
        <v>299.929</v>
      </c>
      <c r="U1220" s="1480" t="n">
        <v>299.929</v>
      </c>
      <c r="V1220" s="1479" t="n">
        <v>308.513</v>
      </c>
      <c r="W1220" s="1479" t="n">
        <v>300.813</v>
      </c>
      <c r="X1220" s="1479" t="n">
        <v>298.975</v>
      </c>
      <c r="Y1220" s="1456">
        <f>Z1220</f>
        <v/>
      </c>
      <c r="Z1220" s="1480" t="n">
        <v>311.74</v>
      </c>
      <c r="AA1220" s="1479" t="n">
        <v>315.128</v>
      </c>
      <c r="AB1220" s="1479" t="n">
        <v>316.961</v>
      </c>
      <c r="AC1220" s="1479" t="n">
        <v>326.823</v>
      </c>
      <c r="AD1220" s="1456">
        <f>AE1220</f>
        <v/>
      </c>
      <c r="AE1220" s="1480" t="n">
        <v>230.301</v>
      </c>
      <c r="AF1220" s="1479" t="n">
        <v>226.998</v>
      </c>
      <c r="AG1220" s="1479" t="n">
        <v>227.173</v>
      </c>
      <c r="AH1220" s="1479" t="n">
        <v>232.54</v>
      </c>
      <c r="AI1220" s="1456">
        <f>AJ1220</f>
        <v/>
      </c>
      <c r="AJ1220" s="1480" t="n">
        <v>371.231</v>
      </c>
      <c r="AK1220" s="1479" t="n">
        <v>496.562</v>
      </c>
      <c r="AL1220" s="1479" t="n">
        <v>512.509</v>
      </c>
      <c r="AM1220" s="1479" t="n">
        <v>504.877</v>
      </c>
      <c r="AN1220" s="1456">
        <f>AO1220</f>
        <v/>
      </c>
      <c r="AO1220" s="1480" t="n">
        <v>345.429</v>
      </c>
      <c r="AP1220" s="1479" t="n">
        <v>350.456</v>
      </c>
      <c r="AQ1220" s="1479" t="n">
        <v>350.694</v>
      </c>
      <c r="AR1220" s="1479" t="n">
        <v>384.256</v>
      </c>
      <c r="AS1220" s="1456">
        <f>AT1220</f>
        <v/>
      </c>
      <c r="AT1220" s="1480" t="n">
        <v>436.106</v>
      </c>
      <c r="AU1220" s="1479" t="n">
        <v>437.571</v>
      </c>
      <c r="AV1220" s="1479" t="n">
        <v>439.398</v>
      </c>
      <c r="AW1220" s="1479" t="n">
        <v>427.936</v>
      </c>
      <c r="AX1220" s="1456">
        <f>AY1220</f>
        <v/>
      </c>
      <c r="AY1220" s="1480" t="n">
        <v>439.226</v>
      </c>
      <c r="AZ1220" s="1479" t="n">
        <v>419.54</v>
      </c>
      <c r="BA1220" s="1479" t="n">
        <v>443.786</v>
      </c>
      <c r="BB1220" s="1479" t="n">
        <v>463.645</v>
      </c>
      <c r="BC1220" s="1456">
        <f>BD1220</f>
        <v/>
      </c>
      <c r="BD1220" s="1480" t="n">
        <v>476.277</v>
      </c>
      <c r="BE1220" s="1479" t="n">
        <v>516.006</v>
      </c>
      <c r="BF1220" s="1479" t="n">
        <v>500.216</v>
      </c>
      <c r="BG1220" s="1479" t="n">
        <v>504.272</v>
      </c>
      <c r="BH1220" s="1456">
        <f>BI1220</f>
        <v/>
      </c>
      <c r="BI1220" s="1480" t="n">
        <v>537.372</v>
      </c>
      <c r="BJ1220" s="1479" t="n">
        <v>562.855</v>
      </c>
      <c r="BK1220" s="1479" t="n">
        <v>605.183</v>
      </c>
      <c r="BL1220" s="1479" t="n">
        <v>572.707</v>
      </c>
      <c r="BM1220" s="1456">
        <f>BN1220</f>
        <v/>
      </c>
      <c r="BN1220" s="1480" t="n">
        <v>544.741</v>
      </c>
      <c r="BO1220" s="1479" t="n">
        <v>558.941</v>
      </c>
      <c r="BP1220" s="1479" t="n">
        <v>605.051</v>
      </c>
      <c r="BQ1220" s="1515" t="n">
        <v>607.544</v>
      </c>
      <c r="BR1220" s="1456">
        <f>BQ1220-BR169</f>
        <v/>
      </c>
      <c r="BS1220" s="1455">
        <f>BR1220</f>
        <v/>
      </c>
      <c r="BT1220" s="1456">
        <f>BS1220-BT169</f>
        <v/>
      </c>
      <c r="BU1220" s="1456">
        <f>BT1220-BU169</f>
        <v/>
      </c>
      <c r="BV1220" s="1456">
        <f>BU1220-BV169</f>
        <v/>
      </c>
      <c r="BW1220" s="1456">
        <f>BV1220-BW169</f>
        <v/>
      </c>
      <c r="BX1220" s="1455">
        <f>BW1220</f>
        <v/>
      </c>
      <c r="BY1220" s="1455">
        <f>BX1220-BY169</f>
        <v/>
      </c>
      <c r="BZ1220" s="1455">
        <f>BY1220-BZ169</f>
        <v/>
      </c>
      <c r="CA1220" s="1455">
        <f>BZ1220-CA169</f>
        <v/>
      </c>
      <c r="CB1220" s="1364" t="n"/>
    </row>
    <row r="1221" ht="14.4" customFormat="1" customHeight="1" s="1372">
      <c r="A1221" s="1400" t="inlineStr">
        <is>
          <t>Total Non-Current Assets</t>
        </is>
      </c>
      <c r="B1221" s="1516" t="n"/>
      <c r="C1221" s="1402">
        <f>SUM(C1214:C1220)</f>
        <v/>
      </c>
      <c r="D1221" s="1402">
        <f>SUM(D1214:D1220)</f>
        <v/>
      </c>
      <c r="E1221" s="1402">
        <f>SUM(E1214:E1220)</f>
        <v/>
      </c>
      <c r="F1221" s="1402">
        <f>SUM(F1214:F1220)</f>
        <v/>
      </c>
      <c r="G1221" s="1403">
        <f>SUM(G1214:G1220)</f>
        <v/>
      </c>
      <c r="H1221" s="1403">
        <f>SUM(H1214:H1220)</f>
        <v/>
      </c>
      <c r="I1221" s="1403">
        <f>SUM(I1214:I1220)</f>
        <v/>
      </c>
      <c r="J1221" s="1403">
        <f>SUM(J1214:J1220)</f>
        <v/>
      </c>
      <c r="K1221" s="1402">
        <f>SUM(K1214:K1220)</f>
        <v/>
      </c>
      <c r="L1221" s="1403">
        <f>SUM(L1214:L1220)</f>
        <v/>
      </c>
      <c r="M1221" s="1403">
        <f>SUM(M1214:M1220)</f>
        <v/>
      </c>
      <c r="N1221" s="1403">
        <f>SUM(N1214:N1220)</f>
        <v/>
      </c>
      <c r="O1221" s="1403">
        <f>SUM(O1214:O1220)</f>
        <v/>
      </c>
      <c r="P1221" s="1402">
        <f>SUM(P1214:P1220)</f>
        <v/>
      </c>
      <c r="Q1221" s="1403">
        <f>SUM(Q1214:Q1220)</f>
        <v/>
      </c>
      <c r="R1221" s="1403">
        <f>SUM(R1214:R1220)</f>
        <v/>
      </c>
      <c r="S1221" s="1403">
        <f>SUM(S1214:S1220)</f>
        <v/>
      </c>
      <c r="T1221" s="1403">
        <f>SUM(T1214:T1220)</f>
        <v/>
      </c>
      <c r="U1221" s="1402">
        <f>SUM(U1214:U1220)</f>
        <v/>
      </c>
      <c r="V1221" s="1403">
        <f>SUM(V1214:V1220)</f>
        <v/>
      </c>
      <c r="W1221" s="1403">
        <f>SUM(W1214:W1220)</f>
        <v/>
      </c>
      <c r="X1221" s="1403">
        <f>SUM(X1214:X1220)</f>
        <v/>
      </c>
      <c r="Y1221" s="1404">
        <f>SUM(Y1214:Y1220)</f>
        <v/>
      </c>
      <c r="Z1221" s="1405">
        <f>SUM(Z1214:Z1220)</f>
        <v/>
      </c>
      <c r="AA1221" s="1403">
        <f>SUM(AA1214:AA1220)</f>
        <v/>
      </c>
      <c r="AB1221" s="1403">
        <f>SUM(AB1214:AB1220)</f>
        <v/>
      </c>
      <c r="AC1221" s="1403">
        <f>SUM(AC1214:AC1220)</f>
        <v/>
      </c>
      <c r="AD1221" s="1404">
        <f>SUM(AD1214:AD1220)</f>
        <v/>
      </c>
      <c r="AE1221" s="1405">
        <f>SUM(AE1214:AE1220)</f>
        <v/>
      </c>
      <c r="AF1221" s="1403">
        <f>SUM(AF1214:AF1220)</f>
        <v/>
      </c>
      <c r="AG1221" s="1403">
        <f>SUM(AG1214:AG1220)</f>
        <v/>
      </c>
      <c r="AH1221" s="1403">
        <f>SUM(AH1214:AH1220)</f>
        <v/>
      </c>
      <c r="AI1221" s="1404">
        <f>SUM(AI1214:AI1220)</f>
        <v/>
      </c>
      <c r="AJ1221" s="1405">
        <f>SUM(AJ1214:AJ1220)</f>
        <v/>
      </c>
      <c r="AK1221" s="1403">
        <f>SUM(AK1214:AK1220)</f>
        <v/>
      </c>
      <c r="AL1221" s="1403">
        <f>SUM(AL1214:AL1220)</f>
        <v/>
      </c>
      <c r="AM1221" s="1403">
        <f>SUM(AM1214:AM1220)</f>
        <v/>
      </c>
      <c r="AN1221" s="1404">
        <f>SUM(AN1214:AN1220)</f>
        <v/>
      </c>
      <c r="AO1221" s="1405">
        <f>SUM(AO1214:AO1220)</f>
        <v/>
      </c>
      <c r="AP1221" s="1403">
        <f>SUM(AP1214:AP1220)</f>
        <v/>
      </c>
      <c r="AQ1221" s="1403">
        <f>SUM(AQ1214:AQ1220)</f>
        <v/>
      </c>
      <c r="AR1221" s="1403">
        <f>SUM(AR1214:AR1220)</f>
        <v/>
      </c>
      <c r="AS1221" s="1404">
        <f>SUM(AS1214:AS1220)</f>
        <v/>
      </c>
      <c r="AT1221" s="1405">
        <f>SUM(AT1214:AT1220)</f>
        <v/>
      </c>
      <c r="AU1221" s="1403">
        <f>SUM(AU1214:AU1220)</f>
        <v/>
      </c>
      <c r="AV1221" s="1403">
        <f>SUM(AV1214:AV1220)</f>
        <v/>
      </c>
      <c r="AW1221" s="1403">
        <f>SUM(AW1214:AW1220)</f>
        <v/>
      </c>
      <c r="AX1221" s="1404">
        <f>SUM(AX1214:AX1220)</f>
        <v/>
      </c>
      <c r="AY1221" s="1405">
        <f>SUM(AY1214:AY1220)</f>
        <v/>
      </c>
      <c r="AZ1221" s="1403">
        <f>SUM(AZ1214:AZ1220)</f>
        <v/>
      </c>
      <c r="BA1221" s="1403">
        <f>SUM(BA1214:BA1220)</f>
        <v/>
      </c>
      <c r="BB1221" s="1403">
        <f>SUM(BB1214:BB1220)</f>
        <v/>
      </c>
      <c r="BC1221" s="1404">
        <f>SUM(BC1214:BC1220)</f>
        <v/>
      </c>
      <c r="BD1221" s="1405">
        <f>SUM(BD1214:BD1220)</f>
        <v/>
      </c>
      <c r="BE1221" s="1403">
        <f>SUM(BE1214:BE1220)</f>
        <v/>
      </c>
      <c r="BF1221" s="1403">
        <f>SUM(BF1214:BF1220)</f>
        <v/>
      </c>
      <c r="BG1221" s="1403">
        <f>SUM(BG1214:BG1220)</f>
        <v/>
      </c>
      <c r="BH1221" s="1404">
        <f>SUM(BH1214:BH1220)</f>
        <v/>
      </c>
      <c r="BI1221" s="1405">
        <f>SUM(BI1214:BI1220)</f>
        <v/>
      </c>
      <c r="BJ1221" s="1403">
        <f>SUM(BJ1214:BJ1220)</f>
        <v/>
      </c>
      <c r="BK1221" s="1403">
        <f>SUM(BK1214:BK1220)</f>
        <v/>
      </c>
      <c r="BL1221" s="1403">
        <f>SUM(BL1214:BL1220)</f>
        <v/>
      </c>
      <c r="BM1221" s="1404">
        <f>SUM(BM1214:BM1220)</f>
        <v/>
      </c>
      <c r="BN1221" s="1405">
        <f>SUM(BN1214:BN1220)</f>
        <v/>
      </c>
      <c r="BO1221" s="1403">
        <f>SUM(BO1214:BO1220)</f>
        <v/>
      </c>
      <c r="BP1221" s="1403">
        <f>SUM(BP1214:BP1220)</f>
        <v/>
      </c>
      <c r="BQ1221" s="1406">
        <f>SUM(BQ1214:BQ1220)</f>
        <v/>
      </c>
      <c r="BR1221" s="1404">
        <f>SUM(BR1214:BR1220)</f>
        <v/>
      </c>
      <c r="BS1221" s="1405">
        <f>SUM(BS1214:BS1220)</f>
        <v/>
      </c>
      <c r="BT1221" s="1404">
        <f>SUM(BT1214:BT1220)</f>
        <v/>
      </c>
      <c r="BU1221" s="1404">
        <f>SUM(BU1214:BU1220)</f>
        <v/>
      </c>
      <c r="BV1221" s="1404">
        <f>SUM(BV1214:BV1220)</f>
        <v/>
      </c>
      <c r="BW1221" s="1404">
        <f>SUM(BW1214:BW1220)</f>
        <v/>
      </c>
      <c r="BX1221" s="1405">
        <f>SUM(BX1214:BX1220)</f>
        <v/>
      </c>
      <c r="BY1221" s="1405">
        <f>SUM(BY1214:BY1220)</f>
        <v/>
      </c>
      <c r="BZ1221" s="1405">
        <f>SUM(BZ1214:BZ1220)</f>
        <v/>
      </c>
      <c r="CA1221" s="1405">
        <f>SUM(CA1214:CA1220)</f>
        <v/>
      </c>
      <c r="CB1221" s="1375" t="n"/>
    </row>
    <row r="1222" ht="14.4" customFormat="1" customHeight="1" s="1372">
      <c r="A1222" s="1452" t="inlineStr">
        <is>
          <t>Total Assets</t>
        </is>
      </c>
      <c r="B1222" s="1517" t="n"/>
      <c r="C1222" s="1458">
        <f>C1211+C1221</f>
        <v/>
      </c>
      <c r="D1222" s="1458">
        <f>D1211+D1221</f>
        <v/>
      </c>
      <c r="E1222" s="1458">
        <f>E1211+E1221</f>
        <v/>
      </c>
      <c r="F1222" s="1458">
        <f>F1211+F1221</f>
        <v/>
      </c>
      <c r="G1222" s="1375">
        <f>G1211+G1221</f>
        <v/>
      </c>
      <c r="H1222" s="1375">
        <f>H1211+H1221</f>
        <v/>
      </c>
      <c r="I1222" s="1375">
        <f>I1211+I1221</f>
        <v/>
      </c>
      <c r="J1222" s="1375">
        <f>J1211+J1221</f>
        <v/>
      </c>
      <c r="K1222" s="1458">
        <f>K1211+K1221</f>
        <v/>
      </c>
      <c r="L1222" s="1375">
        <f>L1211+L1221</f>
        <v/>
      </c>
      <c r="M1222" s="1375">
        <f>M1211+M1221</f>
        <v/>
      </c>
      <c r="N1222" s="1375">
        <f>N1211+N1221</f>
        <v/>
      </c>
      <c r="O1222" s="1375">
        <f>O1211+O1221</f>
        <v/>
      </c>
      <c r="P1222" s="1458">
        <f>P1211+P1221</f>
        <v/>
      </c>
      <c r="Q1222" s="1375">
        <f>Q1211+Q1221</f>
        <v/>
      </c>
      <c r="R1222" s="1375">
        <f>R1211+R1221</f>
        <v/>
      </c>
      <c r="S1222" s="1375">
        <f>S1211+S1221</f>
        <v/>
      </c>
      <c r="T1222" s="1375">
        <f>T1211+T1221</f>
        <v/>
      </c>
      <c r="U1222" s="1458">
        <f>U1211+U1221</f>
        <v/>
      </c>
      <c r="V1222" s="1375">
        <f>V1211+V1221</f>
        <v/>
      </c>
      <c r="W1222" s="1375">
        <f>W1211+W1221</f>
        <v/>
      </c>
      <c r="X1222" s="1375">
        <f>X1211+X1221</f>
        <v/>
      </c>
      <c r="Y1222" s="1450">
        <f>Y1211+Y1221</f>
        <v/>
      </c>
      <c r="Z1222" s="1449">
        <f>Z1211+Z1221</f>
        <v/>
      </c>
      <c r="AA1222" s="1375">
        <f>AA1211+AA1221</f>
        <v/>
      </c>
      <c r="AB1222" s="1375">
        <f>AB1211+AB1221</f>
        <v/>
      </c>
      <c r="AC1222" s="1375">
        <f>AC1211+AC1221</f>
        <v/>
      </c>
      <c r="AD1222" s="1450">
        <f>AD1211+AD1221</f>
        <v/>
      </c>
      <c r="AE1222" s="1449">
        <f>AE1211+AE1221</f>
        <v/>
      </c>
      <c r="AF1222" s="1375">
        <f>AF1211+AF1221</f>
        <v/>
      </c>
      <c r="AG1222" s="1375">
        <f>AG1211+AG1221</f>
        <v/>
      </c>
      <c r="AH1222" s="1375">
        <f>AH1211+AH1221</f>
        <v/>
      </c>
      <c r="AI1222" s="1450">
        <f>AI1211+AI1221</f>
        <v/>
      </c>
      <c r="AJ1222" s="1449">
        <f>AJ1211+AJ1221</f>
        <v/>
      </c>
      <c r="AK1222" s="1375">
        <f>AK1211+AK1221</f>
        <v/>
      </c>
      <c r="AL1222" s="1375">
        <f>AL1211+AL1221</f>
        <v/>
      </c>
      <c r="AM1222" s="1375">
        <f>AM1211+AM1221</f>
        <v/>
      </c>
      <c r="AN1222" s="1450">
        <f>AN1211+AN1221</f>
        <v/>
      </c>
      <c r="AO1222" s="1449">
        <f>AO1211+AO1221</f>
        <v/>
      </c>
      <c r="AP1222" s="1375">
        <f>AP1211+AP1221</f>
        <v/>
      </c>
      <c r="AQ1222" s="1375">
        <f>AQ1211+AQ1221</f>
        <v/>
      </c>
      <c r="AR1222" s="1375">
        <f>AR1211+AR1221</f>
        <v/>
      </c>
      <c r="AS1222" s="1450">
        <f>AS1211+AS1221</f>
        <v/>
      </c>
      <c r="AT1222" s="1449">
        <f>AT1211+AT1221</f>
        <v/>
      </c>
      <c r="AU1222" s="1375">
        <f>AU1211+AU1221</f>
        <v/>
      </c>
      <c r="AV1222" s="1375">
        <f>AV1211+AV1221</f>
        <v/>
      </c>
      <c r="AW1222" s="1375">
        <f>AW1211+AW1221</f>
        <v/>
      </c>
      <c r="AX1222" s="1450">
        <f>AX1211+AX1221</f>
        <v/>
      </c>
      <c r="AY1222" s="1449">
        <f>AY1211+AY1221</f>
        <v/>
      </c>
      <c r="AZ1222" s="1375">
        <f>AZ1211+AZ1221</f>
        <v/>
      </c>
      <c r="BA1222" s="1375">
        <f>BA1211+BA1221</f>
        <v/>
      </c>
      <c r="BB1222" s="1375">
        <f>BB1211+BB1221</f>
        <v/>
      </c>
      <c r="BC1222" s="1450">
        <f>BC1211+BC1221</f>
        <v/>
      </c>
      <c r="BD1222" s="1449">
        <f>BD1211+BD1221</f>
        <v/>
      </c>
      <c r="BE1222" s="1375">
        <f>BE1211+BE1221</f>
        <v/>
      </c>
      <c r="BF1222" s="1375">
        <f>BF1211+BF1221</f>
        <v/>
      </c>
      <c r="BG1222" s="1375">
        <f>BG1211+BG1221</f>
        <v/>
      </c>
      <c r="BH1222" s="1450">
        <f>BH1211+BH1221</f>
        <v/>
      </c>
      <c r="BI1222" s="1449">
        <f>BI1211+BI1221</f>
        <v/>
      </c>
      <c r="BJ1222" s="1375">
        <f>BJ1211+BJ1221</f>
        <v/>
      </c>
      <c r="BK1222" s="1375">
        <f>BK1211+BK1221</f>
        <v/>
      </c>
      <c r="BL1222" s="1375">
        <f>BL1211+BL1221</f>
        <v/>
      </c>
      <c r="BM1222" s="1450">
        <f>BM1211+BM1221</f>
        <v/>
      </c>
      <c r="BN1222" s="1449">
        <f>BN1211+BN1221</f>
        <v/>
      </c>
      <c r="BO1222" s="1375">
        <f>BO1211+BO1221</f>
        <v/>
      </c>
      <c r="BP1222" s="1375">
        <f>BP1211+BP1221</f>
        <v/>
      </c>
      <c r="BQ1222" s="1459">
        <f>BQ1211+BQ1221</f>
        <v/>
      </c>
      <c r="BR1222" s="1450">
        <f>BR1211+BR1221</f>
        <v/>
      </c>
      <c r="BS1222" s="1449">
        <f>BS1211+BS1221</f>
        <v/>
      </c>
      <c r="BT1222" s="1450">
        <f>BT1211+BT1221</f>
        <v/>
      </c>
      <c r="BU1222" s="1450">
        <f>BU1211+BU1221</f>
        <v/>
      </c>
      <c r="BV1222" s="1450">
        <f>BV1211+BV1221</f>
        <v/>
      </c>
      <c r="BW1222" s="1450">
        <f>BW1211+BW1221</f>
        <v/>
      </c>
      <c r="BX1222" s="1449">
        <f>BX1211+BX1221</f>
        <v/>
      </c>
      <c r="BY1222" s="1449">
        <f>BY1211+BY1221</f>
        <v/>
      </c>
      <c r="BZ1222" s="1449">
        <f>BZ1211+BZ1221</f>
        <v/>
      </c>
      <c r="CA1222" s="1449">
        <f>CA1211+CA1221</f>
        <v/>
      </c>
      <c r="CB1222" s="1375" t="n"/>
    </row>
    <row r="1223" ht="14.4" customFormat="1" customHeight="1" s="1372">
      <c r="A1223" s="1447" t="n"/>
      <c r="B1223" s="1517" t="n"/>
      <c r="C1223" s="1449" t="n"/>
      <c r="D1223" s="1449" t="n"/>
      <c r="E1223" s="1449" t="n"/>
      <c r="F1223" s="1449" t="n"/>
      <c r="G1223" s="1450" t="n"/>
      <c r="H1223" s="1450" t="n"/>
      <c r="I1223" s="1450" t="n"/>
      <c r="J1223" s="1450" t="n"/>
      <c r="K1223" s="1449" t="n"/>
      <c r="L1223" s="1450" t="n"/>
      <c r="M1223" s="1450" t="n"/>
      <c r="N1223" s="1450" t="n"/>
      <c r="O1223" s="1450" t="n"/>
      <c r="P1223" s="1449" t="n"/>
      <c r="Q1223" s="1450" t="n"/>
      <c r="R1223" s="1450" t="n"/>
      <c r="S1223" s="1450" t="n"/>
      <c r="T1223" s="1450" t="n"/>
      <c r="U1223" s="1449" t="n"/>
      <c r="V1223" s="1450" t="n"/>
      <c r="W1223" s="1450" t="n"/>
      <c r="X1223" s="1450" t="n"/>
      <c r="Y1223" s="1450" t="n"/>
      <c r="Z1223" s="1449" t="n"/>
      <c r="AA1223" s="1450" t="n"/>
      <c r="AB1223" s="1450" t="n"/>
      <c r="AC1223" s="1450" t="n"/>
      <c r="AD1223" s="1450" t="n"/>
      <c r="AE1223" s="1449" t="n"/>
      <c r="AF1223" s="1450" t="n"/>
      <c r="AG1223" s="1450" t="n"/>
      <c r="AH1223" s="1450" t="n"/>
      <c r="AI1223" s="1450" t="n"/>
      <c r="AJ1223" s="1449" t="n"/>
      <c r="AK1223" s="1450" t="n"/>
      <c r="AL1223" s="1450" t="n"/>
      <c r="AM1223" s="1450" t="n"/>
      <c r="AN1223" s="1450" t="n"/>
      <c r="AO1223" s="1449" t="n"/>
      <c r="AP1223" s="1450" t="n"/>
      <c r="AQ1223" s="1450" t="n"/>
      <c r="AR1223" s="1450" t="n"/>
      <c r="AS1223" s="1450" t="n"/>
      <c r="AT1223" s="1449" t="n"/>
      <c r="AU1223" s="1450" t="n"/>
      <c r="AV1223" s="1450" t="n"/>
      <c r="AW1223" s="1450" t="n"/>
      <c r="AX1223" s="1450" t="n"/>
      <c r="AY1223" s="1449" t="n"/>
      <c r="AZ1223" s="1450" t="n"/>
      <c r="BA1223" s="1450" t="n"/>
      <c r="BB1223" s="1450" t="n"/>
      <c r="BC1223" s="1450" t="n"/>
      <c r="BD1223" s="1449" t="n"/>
      <c r="BE1223" s="1450" t="n"/>
      <c r="BF1223" s="1450" t="n"/>
      <c r="BG1223" s="1450" t="n"/>
      <c r="BH1223" s="1450" t="n"/>
      <c r="BI1223" s="1449" t="n"/>
      <c r="BJ1223" s="1450" t="n"/>
      <c r="BK1223" s="1450" t="n"/>
      <c r="BL1223" s="1450" t="n"/>
      <c r="BM1223" s="1450" t="n"/>
      <c r="BN1223" s="1449" t="n"/>
      <c r="BO1223" s="1450" t="n"/>
      <c r="BP1223" s="1450" t="n"/>
      <c r="BQ1223" s="1451" t="n"/>
      <c r="BR1223" s="1450" t="n"/>
      <c r="BS1223" s="1449" t="n"/>
      <c r="BT1223" s="1450" t="n"/>
      <c r="BU1223" s="1450" t="n"/>
      <c r="BV1223" s="1450" t="n"/>
      <c r="BW1223" s="1450" t="n"/>
      <c r="BX1223" s="1449" t="n"/>
      <c r="BY1223" s="1449" t="n"/>
      <c r="BZ1223" s="1449" t="n"/>
      <c r="CA1223" s="1449" t="n"/>
      <c r="CB1223" s="1375" t="n"/>
    </row>
    <row r="1224" ht="14.4" customFormat="1" customHeight="1" s="1372">
      <c r="A1224" s="1452" t="inlineStr">
        <is>
          <t>Current Liabilities</t>
        </is>
      </c>
      <c r="B1224" s="1517" t="n"/>
      <c r="C1224" s="1449" t="n"/>
      <c r="D1224" s="1449" t="n"/>
      <c r="E1224" s="1449" t="n"/>
      <c r="F1224" s="1449" t="n"/>
      <c r="G1224" s="1450" t="n"/>
      <c r="H1224" s="1450" t="n"/>
      <c r="I1224" s="1450" t="n"/>
      <c r="J1224" s="1450" t="n"/>
      <c r="K1224" s="1449" t="n"/>
      <c r="L1224" s="1450" t="n"/>
      <c r="M1224" s="1450" t="n"/>
      <c r="N1224" s="1450" t="n"/>
      <c r="O1224" s="1450" t="n"/>
      <c r="P1224" s="1449" t="n"/>
      <c r="Q1224" s="1450" t="n"/>
      <c r="R1224" s="1450" t="n"/>
      <c r="S1224" s="1450" t="n"/>
      <c r="T1224" s="1450" t="n"/>
      <c r="U1224" s="1449" t="n"/>
      <c r="V1224" s="1450" t="n"/>
      <c r="W1224" s="1450" t="n"/>
      <c r="X1224" s="1450" t="n"/>
      <c r="Y1224" s="1450" t="n"/>
      <c r="Z1224" s="1449" t="n"/>
      <c r="AA1224" s="1450" t="n"/>
      <c r="AB1224" s="1450" t="n"/>
      <c r="AC1224" s="1450" t="n"/>
      <c r="AD1224" s="1450" t="n"/>
      <c r="AE1224" s="1449" t="n"/>
      <c r="AF1224" s="1450" t="n"/>
      <c r="AG1224" s="1450" t="n"/>
      <c r="AH1224" s="1450" t="n"/>
      <c r="AI1224" s="1450" t="n"/>
      <c r="AJ1224" s="1449" t="n"/>
      <c r="AK1224" s="1450" t="n"/>
      <c r="AL1224" s="1450" t="n"/>
      <c r="AM1224" s="1450" t="n"/>
      <c r="AN1224" s="1450" t="n"/>
      <c r="AO1224" s="1449" t="n"/>
      <c r="AP1224" s="1450" t="n"/>
      <c r="AQ1224" s="1450" t="n"/>
      <c r="AR1224" s="1450" t="n"/>
      <c r="AS1224" s="1450" t="n"/>
      <c r="AT1224" s="1449" t="n"/>
      <c r="AU1224" s="1450" t="n"/>
      <c r="AV1224" s="1450" t="n"/>
      <c r="AW1224" s="1450" t="n"/>
      <c r="AX1224" s="1450" t="n"/>
      <c r="AY1224" s="1449" t="n"/>
      <c r="AZ1224" s="1450" t="n"/>
      <c r="BA1224" s="1450" t="n"/>
      <c r="BB1224" s="1450" t="n"/>
      <c r="BC1224" s="1450" t="n"/>
      <c r="BD1224" s="1449" t="n"/>
      <c r="BE1224" s="1450" t="n"/>
      <c r="BF1224" s="1450" t="n"/>
      <c r="BG1224" s="1450" t="n"/>
      <c r="BH1224" s="1450" t="n"/>
      <c r="BI1224" s="1449" t="n"/>
      <c r="BJ1224" s="1450" t="n"/>
      <c r="BK1224" s="1450" t="n"/>
      <c r="BL1224" s="1450" t="n"/>
      <c r="BM1224" s="1450" t="n"/>
      <c r="BN1224" s="1449" t="n"/>
      <c r="BO1224" s="1450" t="n"/>
      <c r="BP1224" s="1450" t="n"/>
      <c r="BQ1224" s="1451" t="n"/>
      <c r="BR1224" s="1450" t="n"/>
      <c r="BS1224" s="1449" t="n"/>
      <c r="BT1224" s="1450" t="n"/>
      <c r="BU1224" s="1450" t="n"/>
      <c r="BV1224" s="1450" t="n"/>
      <c r="BW1224" s="1450" t="n"/>
      <c r="BX1224" s="1449" t="n"/>
      <c r="BY1224" s="1449" t="n"/>
      <c r="BZ1224" s="1449" t="n"/>
      <c r="CA1224" s="1449" t="n"/>
      <c r="CB1224" s="1375" t="n"/>
    </row>
    <row r="1225" ht="14.4" customFormat="1" customHeight="1" s="1359">
      <c r="A1225" s="1474" t="inlineStr">
        <is>
          <t>Convertible notes</t>
        </is>
      </c>
      <c r="B1225" s="1512" t="n"/>
      <c r="C1225" s="1494" t="n">
        <v>0</v>
      </c>
      <c r="D1225" s="1494" t="n">
        <v>143.258</v>
      </c>
      <c r="E1225" s="1494" t="n">
        <v>294.061</v>
      </c>
      <c r="F1225" s="1494" t="n">
        <v>447.011</v>
      </c>
      <c r="G1225" s="1493" t="n">
        <v>452.571</v>
      </c>
      <c r="H1225" s="1493" t="n">
        <v>458.179</v>
      </c>
      <c r="I1225" s="1493" t="n">
        <v>463.837</v>
      </c>
      <c r="J1225" s="1493" t="n">
        <v>324.826</v>
      </c>
      <c r="K1225" s="1494" t="n">
        <v>324.826</v>
      </c>
      <c r="L1225" s="1493" t="n">
        <v>329.058</v>
      </c>
      <c r="M1225" s="1493" t="n">
        <v>333.333</v>
      </c>
      <c r="N1225" s="1493" t="n">
        <v>337.711</v>
      </c>
      <c r="O1225" s="1493" t="n">
        <v>342.499</v>
      </c>
      <c r="P1225" s="1494" t="n">
        <v>342.499</v>
      </c>
      <c r="Q1225" s="1493" t="n">
        <v>293.667</v>
      </c>
      <c r="R1225" s="1493" t="n">
        <v>0</v>
      </c>
      <c r="S1225" s="1493" t="n">
        <v>0</v>
      </c>
      <c r="T1225" s="1493" t="n">
        <v>0</v>
      </c>
      <c r="U1225" s="1494" t="n">
        <v>0</v>
      </c>
      <c r="V1225" s="1493" t="n">
        <v>0</v>
      </c>
      <c r="W1225" s="1361">
        <f>V1225</f>
        <v/>
      </c>
      <c r="X1225" s="1361">
        <f>W1225</f>
        <v/>
      </c>
      <c r="Y1225" s="1361">
        <f>Z1225</f>
        <v/>
      </c>
      <c r="Z1225" s="1494" t="n">
        <v>0</v>
      </c>
      <c r="AA1225" s="1493" t="n">
        <v>0</v>
      </c>
      <c r="AB1225" s="1361">
        <f>AA1225</f>
        <v/>
      </c>
      <c r="AC1225" s="1361" t="n"/>
      <c r="AD1225" s="1361">
        <f>AE1225</f>
        <v/>
      </c>
      <c r="AE1225" s="1379" t="n"/>
      <c r="AF1225" s="1361" t="n"/>
      <c r="AG1225" s="1361" t="n"/>
      <c r="AH1225" s="1361" t="n"/>
      <c r="AI1225" s="1361">
        <f>AJ1225</f>
        <v/>
      </c>
      <c r="AJ1225" s="1379" t="n"/>
      <c r="AK1225" s="1361" t="n"/>
      <c r="AL1225" s="1361" t="n"/>
      <c r="AM1225" s="1361" t="n"/>
      <c r="AN1225" s="1361">
        <f>AO1225</f>
        <v/>
      </c>
      <c r="AO1225" s="1379" t="n"/>
      <c r="AP1225" s="1361" t="n"/>
      <c r="AQ1225" s="1361" t="n"/>
      <c r="AR1225" s="1361" t="n"/>
      <c r="AS1225" s="1361">
        <f>AT1225</f>
        <v/>
      </c>
      <c r="AT1225" s="1379" t="n"/>
      <c r="AU1225" s="1361" t="n"/>
      <c r="AV1225" s="1361" t="n"/>
      <c r="AW1225" s="1361" t="n"/>
      <c r="AX1225" s="1361">
        <f>AY1225</f>
        <v/>
      </c>
      <c r="AY1225" s="1379" t="n"/>
      <c r="AZ1225" s="1361" t="n"/>
      <c r="BA1225" s="1361" t="n"/>
      <c r="BB1225" s="1361" t="n"/>
      <c r="BC1225" s="1361">
        <f>BD1225</f>
        <v/>
      </c>
      <c r="BD1225" s="1379" t="n"/>
      <c r="BE1225" s="1361" t="n"/>
      <c r="BF1225" s="1361" t="n"/>
      <c r="BG1225" s="1361" t="n"/>
      <c r="BH1225" s="1361" t="n"/>
      <c r="BI1225" s="1379" t="n"/>
      <c r="BJ1225" s="1361" t="n"/>
      <c r="BK1225" s="1361" t="n"/>
      <c r="BL1225" s="1361" t="n"/>
      <c r="BM1225" s="1361" t="n"/>
      <c r="BN1225" s="1379" t="n"/>
      <c r="BO1225" s="1361" t="n"/>
      <c r="BP1225" s="1361" t="n"/>
      <c r="BQ1225" s="1363" t="n"/>
      <c r="BR1225" s="1361">
        <f>BR602+BR619+BR636+BR653+BR670-BR1237</f>
        <v/>
      </c>
      <c r="BS1225" s="1379">
        <f>BR1225</f>
        <v/>
      </c>
      <c r="BT1225" s="1361">
        <f>BT602+BT619+BT636+BT653+BT670-BT1237</f>
        <v/>
      </c>
      <c r="BU1225" s="1361">
        <f>BU602+BU619+BU636+BU653+BU670-BU1237</f>
        <v/>
      </c>
      <c r="BV1225" s="1361">
        <f>BV602+BV619+BV636+BV653+BV670-BV1237</f>
        <v/>
      </c>
      <c r="BW1225" s="1361">
        <f>BW602+BW619+BW636+BW653+BW670-BW1237</f>
        <v/>
      </c>
      <c r="BX1225" s="1379">
        <f>BW1225</f>
        <v/>
      </c>
      <c r="BY1225" s="1379">
        <f>BY602+BY619+BY636+BY653+BY670-BY1237</f>
        <v/>
      </c>
      <c r="BZ1225" s="1379">
        <f>BZ602+BZ619+BZ636+BZ653+BZ670-BZ1237</f>
        <v/>
      </c>
      <c r="CA1225" s="1379">
        <f>CA602+CA619+CA636+CA653+CA670-CA1237</f>
        <v/>
      </c>
      <c r="CB1225" s="1361" t="n"/>
    </row>
    <row r="1226" ht="14.4" customFormat="1" customHeight="1" s="1359">
      <c r="A1226" s="1394" t="inlineStr">
        <is>
          <t>2015 notes embedded conversion derivative</t>
        </is>
      </c>
      <c r="B1226" s="1512" t="n"/>
      <c r="C1226" s="1379" t="n"/>
      <c r="D1226" s="1494" t="n">
        <v>0</v>
      </c>
      <c r="E1226" s="1494" t="n">
        <v>215.113</v>
      </c>
      <c r="F1226" s="1494" t="n">
        <v>303.154</v>
      </c>
      <c r="G1226" s="1493" t="n">
        <v>315.895</v>
      </c>
      <c r="H1226" s="1493" t="n">
        <v>335.131</v>
      </c>
      <c r="I1226" s="1493" t="n">
        <v>292.511</v>
      </c>
      <c r="J1226" s="1493" t="n">
        <v>306.817</v>
      </c>
      <c r="K1226" s="1494" t="n">
        <v>306.817</v>
      </c>
      <c r="L1226" s="1493" t="n">
        <v>369.731</v>
      </c>
      <c r="M1226" s="1493" t="n">
        <v>455.844</v>
      </c>
      <c r="N1226" s="1493" t="n">
        <v>452.498</v>
      </c>
      <c r="O1226" s="1493" t="n">
        <v>523.9299999999999</v>
      </c>
      <c r="P1226" s="1494" t="n">
        <v>523.9299999999999</v>
      </c>
      <c r="Q1226" s="1493" t="n">
        <v>429.847</v>
      </c>
      <c r="R1226" s="1493" t="n">
        <v>0</v>
      </c>
      <c r="S1226" s="1493" t="n">
        <v>0</v>
      </c>
      <c r="T1226" s="1493" t="n">
        <v>0</v>
      </c>
      <c r="U1226" s="1494" t="n">
        <v>0</v>
      </c>
      <c r="V1226" s="1493" t="n">
        <v>0</v>
      </c>
      <c r="W1226" s="1364">
        <f>V1226</f>
        <v/>
      </c>
      <c r="X1226" s="1364">
        <f>W1226</f>
        <v/>
      </c>
      <c r="Y1226" s="1361">
        <f>Z1226</f>
        <v/>
      </c>
      <c r="Z1226" s="1494" t="n">
        <v>0</v>
      </c>
      <c r="AA1226" s="1493" t="n">
        <v>0</v>
      </c>
      <c r="AB1226" s="1364">
        <f>AA1226</f>
        <v/>
      </c>
      <c r="AC1226" s="1361" t="n"/>
      <c r="AD1226" s="1361">
        <f>AE1226</f>
        <v/>
      </c>
      <c r="AE1226" s="1379" t="n"/>
      <c r="AF1226" s="1361" t="n"/>
      <c r="AG1226" s="1361" t="n"/>
      <c r="AH1226" s="1361" t="n"/>
      <c r="AI1226" s="1361">
        <f>AJ1226</f>
        <v/>
      </c>
      <c r="AJ1226" s="1379" t="n"/>
      <c r="AK1226" s="1361" t="n"/>
      <c r="AL1226" s="1361" t="n"/>
      <c r="AM1226" s="1361" t="n"/>
      <c r="AN1226" s="1361">
        <f>AO1226</f>
        <v/>
      </c>
      <c r="AO1226" s="1379" t="n"/>
      <c r="AP1226" s="1361" t="n"/>
      <c r="AQ1226" s="1361" t="n"/>
      <c r="AR1226" s="1361" t="n"/>
      <c r="AS1226" s="1361">
        <f>AT1226</f>
        <v/>
      </c>
      <c r="AT1226" s="1379" t="n"/>
      <c r="AU1226" s="1361" t="n"/>
      <c r="AV1226" s="1361" t="n"/>
      <c r="AW1226" s="1361" t="n"/>
      <c r="AX1226" s="1361">
        <f>AY1226</f>
        <v/>
      </c>
      <c r="AY1226" s="1379" t="n"/>
      <c r="AZ1226" s="1361" t="n"/>
      <c r="BA1226" s="1361" t="n"/>
      <c r="BB1226" s="1361" t="n"/>
      <c r="BC1226" s="1361">
        <f>BD1226</f>
        <v/>
      </c>
      <c r="BD1226" s="1379" t="n"/>
      <c r="BE1226" s="1361" t="n"/>
      <c r="BF1226" s="1361" t="n"/>
      <c r="BG1226" s="1361" t="n"/>
      <c r="BH1226" s="1361" t="n"/>
      <c r="BI1226" s="1379" t="n"/>
      <c r="BJ1226" s="1361" t="n"/>
      <c r="BK1226" s="1361" t="n"/>
      <c r="BL1226" s="1361" t="n"/>
      <c r="BM1226" s="1361" t="n"/>
      <c r="BN1226" s="1379" t="n"/>
      <c r="BO1226" s="1361" t="n"/>
      <c r="BP1226" s="1361" t="n"/>
      <c r="BQ1226" s="1363" t="n"/>
      <c r="BR1226" s="1361" t="n"/>
      <c r="BS1226" s="1379" t="n"/>
      <c r="BT1226" s="1361" t="n"/>
      <c r="BU1226" s="1361" t="n"/>
      <c r="BV1226" s="1361" t="n"/>
      <c r="BW1226" s="1361" t="n"/>
      <c r="BX1226" s="1379" t="n"/>
      <c r="BY1226" s="1379" t="n"/>
      <c r="BZ1226" s="1379" t="n"/>
      <c r="CA1226" s="1379" t="n"/>
      <c r="CB1226" s="1364" t="n"/>
    </row>
    <row r="1227" ht="14.4" customFormat="1" customHeight="1" s="1359">
      <c r="A1227" s="1394" t="inlineStr">
        <is>
          <t>Deferred taxes</t>
        </is>
      </c>
      <c r="B1227" s="1512" t="n"/>
      <c r="C1227" s="1379" t="n"/>
      <c r="D1227" s="1379" t="n"/>
      <c r="E1227" s="1379" t="n"/>
      <c r="F1227" s="1379" t="n"/>
      <c r="G1227" s="1361" t="n"/>
      <c r="H1227" s="1361" t="n"/>
      <c r="I1227" s="1361" t="n"/>
      <c r="J1227" s="1361" t="n"/>
      <c r="K1227" s="1379" t="n"/>
      <c r="L1227" s="1361" t="n"/>
      <c r="M1227" s="1361" t="n"/>
      <c r="N1227" s="1361" t="n"/>
      <c r="O1227" s="1361" t="n"/>
      <c r="P1227" s="1379" t="n"/>
      <c r="Q1227" s="1361" t="n"/>
      <c r="R1227" s="1361" t="n"/>
      <c r="S1227" s="1361" t="n"/>
      <c r="T1227" s="1361" t="n"/>
      <c r="U1227" s="1379" t="n"/>
      <c r="V1227" s="1493" t="n">
        <v>0</v>
      </c>
      <c r="W1227" s="1493" t="n">
        <v>0</v>
      </c>
      <c r="X1227" s="1493" t="n">
        <v>0</v>
      </c>
      <c r="Y1227" s="1361">
        <f>Z1227</f>
        <v/>
      </c>
      <c r="Z1227" s="1494" t="n">
        <v>0</v>
      </c>
      <c r="AA1227" s="1493" t="n">
        <v>0</v>
      </c>
      <c r="AB1227" s="1361" t="n"/>
      <c r="AC1227" s="1361" t="n"/>
      <c r="AD1227" s="1361">
        <f>AE1227</f>
        <v/>
      </c>
      <c r="AE1227" s="1379" t="n"/>
      <c r="AF1227" s="1361" t="n"/>
      <c r="AG1227" s="1361" t="n"/>
      <c r="AH1227" s="1361" t="n"/>
      <c r="AI1227" s="1361">
        <f>AJ1227</f>
        <v/>
      </c>
      <c r="AJ1227" s="1379" t="n"/>
      <c r="AK1227" s="1361" t="n"/>
      <c r="AL1227" s="1361" t="n"/>
      <c r="AM1227" s="1361" t="n"/>
      <c r="AN1227" s="1361">
        <f>AO1227</f>
        <v/>
      </c>
      <c r="AO1227" s="1379" t="n"/>
      <c r="AP1227" s="1361" t="n"/>
      <c r="AQ1227" s="1361" t="n"/>
      <c r="AR1227" s="1361" t="n"/>
      <c r="AS1227" s="1361">
        <f>AT1227</f>
        <v/>
      </c>
      <c r="AT1227" s="1379" t="n"/>
      <c r="AU1227" s="1361" t="n"/>
      <c r="AV1227" s="1361" t="n"/>
      <c r="AW1227" s="1361" t="n"/>
      <c r="AX1227" s="1361">
        <f>AY1227</f>
        <v/>
      </c>
      <c r="AY1227" s="1379" t="n"/>
      <c r="AZ1227" s="1361" t="n"/>
      <c r="BA1227" s="1361" t="n"/>
      <c r="BB1227" s="1361" t="n"/>
      <c r="BC1227" s="1361">
        <f>BD1227</f>
        <v/>
      </c>
      <c r="BD1227" s="1379" t="n"/>
      <c r="BE1227" s="1361" t="n"/>
      <c r="BF1227" s="1361" t="n"/>
      <c r="BG1227" s="1361" t="n"/>
      <c r="BH1227" s="1361" t="n"/>
      <c r="BI1227" s="1379" t="n"/>
      <c r="BJ1227" s="1361" t="n"/>
      <c r="BK1227" s="1361" t="n"/>
      <c r="BL1227" s="1361" t="n"/>
      <c r="BM1227" s="1361" t="n"/>
      <c r="BN1227" s="1379" t="n"/>
      <c r="BO1227" s="1361" t="n"/>
      <c r="BP1227" s="1361" t="n"/>
      <c r="BQ1227" s="1363" t="n"/>
      <c r="BR1227" s="1361">
        <f>BQ1227+BR1096</f>
        <v/>
      </c>
      <c r="BS1227" s="1379">
        <f>BR1227</f>
        <v/>
      </c>
      <c r="BT1227" s="1361">
        <f>BS1227+BT1096</f>
        <v/>
      </c>
      <c r="BU1227" s="1361">
        <f>BT1227+BU1096</f>
        <v/>
      </c>
      <c r="BV1227" s="1361">
        <f>BU1227+BV1096</f>
        <v/>
      </c>
      <c r="BW1227" s="1361">
        <f>BV1227+BW1096</f>
        <v/>
      </c>
      <c r="BX1227" s="1379">
        <f>BW1227</f>
        <v/>
      </c>
      <c r="BY1227" s="1379">
        <f>BX1227+BY1096</f>
        <v/>
      </c>
      <c r="BZ1227" s="1379">
        <f>BY1227+BZ1096</f>
        <v/>
      </c>
      <c r="CA1227" s="1379">
        <f>BZ1227+CA1096</f>
        <v/>
      </c>
      <c r="CB1227" s="1364" t="n"/>
    </row>
    <row r="1228" ht="14.4" customFormat="1" customHeight="1" s="1359">
      <c r="A1228" s="1474" t="inlineStr">
        <is>
          <t>Revolving credit facility</t>
        </is>
      </c>
      <c r="B1228" s="1512" t="n"/>
      <c r="C1228" s="1379" t="n"/>
      <c r="D1228" s="1379" t="n"/>
      <c r="E1228" s="1379" t="n"/>
      <c r="F1228" s="1379" t="n"/>
      <c r="G1228" s="1361" t="n"/>
      <c r="H1228" s="1493" t="n">
        <v>100</v>
      </c>
      <c r="I1228" s="1493" t="n">
        <v>50</v>
      </c>
      <c r="J1228" s="1493" t="n">
        <v>0</v>
      </c>
      <c r="K1228" s="1379" t="n"/>
      <c r="L1228" s="1361" t="n"/>
      <c r="M1228" s="1493" t="n">
        <v>100</v>
      </c>
      <c r="N1228" s="1361" t="n"/>
      <c r="O1228" s="1493" t="n">
        <v>0</v>
      </c>
      <c r="P1228" s="1379" t="n"/>
      <c r="Q1228" s="1361" t="n"/>
      <c r="R1228" s="1361" t="n"/>
      <c r="S1228" s="1361" t="n"/>
      <c r="T1228" s="1493" t="n">
        <v>0</v>
      </c>
      <c r="U1228" s="1379" t="n"/>
      <c r="V1228" s="1493" t="n">
        <v>50</v>
      </c>
      <c r="W1228" s="1493" t="n">
        <v>50</v>
      </c>
      <c r="X1228" s="1361">
        <f>W1228</f>
        <v/>
      </c>
      <c r="Y1228" s="1361">
        <f>Z1228</f>
        <v/>
      </c>
      <c r="Z1228" s="1494" t="n">
        <v>50</v>
      </c>
      <c r="AA1228" s="1493" t="n">
        <v>50</v>
      </c>
      <c r="AB1228" s="1361" t="n"/>
      <c r="AC1228" s="1361" t="n"/>
      <c r="AD1228" s="1361">
        <f>AE1228</f>
        <v/>
      </c>
      <c r="AE1228" s="1494" t="n">
        <v>85</v>
      </c>
      <c r="AF1228" s="1493" t="n">
        <v>45</v>
      </c>
      <c r="AG1228" s="1493" t="n">
        <v>0</v>
      </c>
      <c r="AH1228" s="1361" t="n"/>
      <c r="AI1228" s="1361">
        <f>AJ1228</f>
        <v/>
      </c>
      <c r="AJ1228" s="1494" t="n">
        <v>100</v>
      </c>
      <c r="AK1228" s="1493" t="n">
        <v>50</v>
      </c>
      <c r="AL1228" s="1493" t="n">
        <v>0</v>
      </c>
      <c r="AM1228" s="1493" t="n">
        <v>0</v>
      </c>
      <c r="AN1228" s="1361">
        <f>AO1228</f>
        <v/>
      </c>
      <c r="AO1228" s="1379" t="n"/>
      <c r="AP1228" s="1493" t="n">
        <v>350</v>
      </c>
      <c r="AQ1228" s="1493" t="n">
        <v>350</v>
      </c>
      <c r="AR1228" s="1493" t="n">
        <v>350</v>
      </c>
      <c r="AS1228" s="1361">
        <f>AT1228</f>
        <v/>
      </c>
      <c r="AT1228" s="1379" t="n"/>
      <c r="AU1228" s="1361" t="n"/>
      <c r="AV1228" s="1361" t="n"/>
      <c r="AW1228" s="1493" t="n">
        <v>0</v>
      </c>
      <c r="AX1228" s="1361">
        <f>AY1228</f>
        <v/>
      </c>
      <c r="AY1228" s="1379" t="n"/>
      <c r="AZ1228" s="1361" t="n"/>
      <c r="BA1228" s="1361" t="n"/>
      <c r="BB1228" s="1493" t="n">
        <v>150</v>
      </c>
      <c r="BC1228" s="1361">
        <f>BD1228</f>
        <v/>
      </c>
      <c r="BD1228" s="1494" t="n">
        <v>100</v>
      </c>
      <c r="BE1228" s="1493" t="n">
        <v>30</v>
      </c>
      <c r="BF1228" s="1361" t="n"/>
      <c r="BG1228" s="1361" t="n"/>
      <c r="BH1228" s="1361" t="n"/>
      <c r="BI1228" s="1379" t="n"/>
      <c r="BJ1228" s="1361" t="n"/>
      <c r="BK1228" s="1361" t="n"/>
      <c r="BL1228" s="1361" t="n"/>
      <c r="BM1228" s="1361" t="n"/>
      <c r="BN1228" s="1379" t="n"/>
      <c r="BO1228" s="1361" t="n"/>
      <c r="BP1228" s="1361" t="n"/>
      <c r="BQ1228" s="1363" t="n"/>
      <c r="BR1228" s="1361">
        <f>IF(BQ1236+BR947&lt;0,BQ1228+BQ1236+BR947,BQ1228)</f>
        <v/>
      </c>
      <c r="BS1228" s="1379">
        <f>BR1228</f>
        <v/>
      </c>
      <c r="BT1228" s="1361">
        <f>IF(BS1236+BT947&lt;0,BS1228+BS1236+BT947,BS1228)</f>
        <v/>
      </c>
      <c r="BU1228" s="1361">
        <f>IF(BT1236+BU947&lt;0,BT1228+BT1236+BU947,BT1228)</f>
        <v/>
      </c>
      <c r="BV1228" s="1361">
        <f>IF(BU1236+BV947&lt;0,BU1228+BU1236+BV947,BU1228)</f>
        <v/>
      </c>
      <c r="BW1228" s="1361">
        <f>IF(BV1236+BW947&lt;0,BV1228+BV1236+BW947,BV1228)</f>
        <v/>
      </c>
      <c r="BX1228" s="1379">
        <f>BW1228</f>
        <v/>
      </c>
      <c r="BY1228" s="1379">
        <f>IF(BX1236+BY947&lt;0,BX1228+BX1236+BY947,BX1228)</f>
        <v/>
      </c>
      <c r="BZ1228" s="1379">
        <f>IF(BY1236+BZ947&lt;0,BY1228+BY1236+BZ947,BY1228)</f>
        <v/>
      </c>
      <c r="CA1228" s="1379">
        <f>IF(BZ1236+CA947&lt;0,BZ1228+BZ1236+CA947,BZ1228)</f>
        <v/>
      </c>
      <c r="CB1228" s="1361" t="n"/>
    </row>
    <row r="1229" ht="14.4" customFormat="1" customHeight="1" s="1359">
      <c r="A1229" s="1394" t="inlineStr">
        <is>
          <t>Current portion of long-term debt</t>
        </is>
      </c>
      <c r="B1229" s="1512" t="n"/>
      <c r="C1229" s="1379" t="n"/>
      <c r="D1229" s="1379" t="n"/>
      <c r="E1229" s="1379" t="n"/>
      <c r="F1229" s="1379" t="n"/>
      <c r="G1229" s="1361" t="n"/>
      <c r="H1229" s="1361" t="n"/>
      <c r="I1229" s="1361" t="n"/>
      <c r="J1229" s="1361" t="n"/>
      <c r="K1229" s="1379" t="n"/>
      <c r="L1229" s="1361" t="n"/>
      <c r="M1229" s="1361" t="n"/>
      <c r="N1229" s="1361" t="n"/>
      <c r="O1229" s="1361" t="n"/>
      <c r="P1229" s="1379" t="n"/>
      <c r="Q1229" s="1361" t="n"/>
      <c r="R1229" s="1361" t="n"/>
      <c r="S1229" s="1361" t="n"/>
      <c r="T1229" s="1361" t="n"/>
      <c r="U1229" s="1379" t="n"/>
      <c r="V1229" s="1361" t="n"/>
      <c r="W1229" s="1361" t="n"/>
      <c r="X1229" s="1361" t="n"/>
      <c r="Y1229" s="1361" t="n"/>
      <c r="Z1229" s="1379" t="n"/>
      <c r="AA1229" s="1361" t="n"/>
      <c r="AB1229" s="1361" t="n"/>
      <c r="AC1229" s="1361" t="n"/>
      <c r="AD1229" s="1361" t="n"/>
      <c r="AE1229" s="1379" t="n"/>
      <c r="AF1229" s="1493" t="n">
        <v>299.826</v>
      </c>
      <c r="AG1229" s="1493" t="n">
        <v>299.879</v>
      </c>
      <c r="AH1229" s="1361" t="n"/>
      <c r="AI1229" s="1361">
        <f>AJ1229</f>
        <v/>
      </c>
      <c r="AJ1229" s="1379" t="n"/>
      <c r="AK1229" s="1361" t="n"/>
      <c r="AL1229" s="1361" t="n"/>
      <c r="AM1229" s="1361" t="n"/>
      <c r="AN1229" s="1361">
        <f>AO1229</f>
        <v/>
      </c>
      <c r="AO1229" s="1379" t="n"/>
      <c r="AP1229" s="1361" t="n"/>
      <c r="AQ1229" s="1361" t="n"/>
      <c r="AR1229" s="1361" t="n"/>
      <c r="AS1229" s="1361">
        <f>AT1229</f>
        <v/>
      </c>
      <c r="AT1229" s="1379" t="n"/>
      <c r="AU1229" s="1361" t="n"/>
      <c r="AV1229" s="1361" t="n"/>
      <c r="AW1229" s="1361" t="n"/>
      <c r="AX1229" s="1361">
        <f>AY1229</f>
        <v/>
      </c>
      <c r="AY1229" s="1379" t="n"/>
      <c r="AZ1229" s="1361" t="n"/>
      <c r="BA1229" s="1361" t="n"/>
      <c r="BB1229" s="1361" t="n"/>
      <c r="BC1229" s="1361">
        <f>BD1229</f>
        <v/>
      </c>
      <c r="BD1229" s="1379" t="n"/>
      <c r="BE1229" s="1361" t="n"/>
      <c r="BF1229" s="1361" t="n"/>
      <c r="BG1229" s="1361" t="n"/>
      <c r="BH1229" s="1361">
        <f>BI1229</f>
        <v/>
      </c>
      <c r="BI1229" s="1494" t="n">
        <v>349.285</v>
      </c>
      <c r="BJ1229" s="1493" t="n">
        <v>349.507</v>
      </c>
      <c r="BK1229" s="1493" t="n">
        <v>349.732</v>
      </c>
      <c r="BL1229" s="1493" t="n">
        <v>349.958</v>
      </c>
      <c r="BM1229" s="1361">
        <f>BN1229</f>
        <v/>
      </c>
      <c r="BN1229" s="1494" t="n">
        <v>0</v>
      </c>
      <c r="BO1229" s="1361" t="n"/>
      <c r="BP1229" s="1361" t="n"/>
      <c r="BQ1229" s="1363" t="n"/>
      <c r="BR1229" s="1361">
        <f>BQ1229</f>
        <v/>
      </c>
      <c r="BS1229" s="1379">
        <f>BR1229</f>
        <v/>
      </c>
      <c r="BT1229" s="1361">
        <f>BS1229</f>
        <v/>
      </c>
      <c r="BU1229" s="1361">
        <f>BT1229</f>
        <v/>
      </c>
      <c r="BV1229" s="1361">
        <f>BU1229</f>
        <v/>
      </c>
      <c r="BW1229" s="1361">
        <f>BV1229</f>
        <v/>
      </c>
      <c r="BX1229" s="1379">
        <f>BW1229</f>
        <v/>
      </c>
      <c r="BY1229" s="1379">
        <f>BX1229</f>
        <v/>
      </c>
      <c r="BZ1229" s="1379">
        <f>BY1229</f>
        <v/>
      </c>
      <c r="CA1229" s="1379">
        <f>BZ1229</f>
        <v/>
      </c>
      <c r="CB1229" s="1364" t="n"/>
    </row>
    <row r="1230" ht="14.4" customFormat="1" customHeight="1" s="1359">
      <c r="A1230" s="1394" t="inlineStr">
        <is>
          <t>Accounts payable and accrued liabilities</t>
        </is>
      </c>
      <c r="B1230" s="1512" t="n"/>
      <c r="C1230" s="1494" t="n">
        <v>150.207</v>
      </c>
      <c r="D1230" s="1494" t="n">
        <v>216.864</v>
      </c>
      <c r="E1230" s="1494" t="n">
        <v>165.791</v>
      </c>
      <c r="F1230" s="1494" t="n">
        <v>171.318</v>
      </c>
      <c r="G1230" s="1493" t="n">
        <v>156.606</v>
      </c>
      <c r="H1230" s="1493" t="n">
        <v>185.809</v>
      </c>
      <c r="I1230" s="1493" t="n">
        <v>193.445</v>
      </c>
      <c r="J1230" s="1493" t="n">
        <v>216.594</v>
      </c>
      <c r="K1230" s="1494" t="n">
        <v>216.594</v>
      </c>
      <c r="L1230" s="1493" t="n">
        <v>189.2</v>
      </c>
      <c r="M1230" s="1493" t="n">
        <v>216.959</v>
      </c>
      <c r="N1230" s="1493" t="n">
        <v>205.647</v>
      </c>
      <c r="O1230" s="1493" t="n">
        <v>225.375</v>
      </c>
      <c r="P1230" s="1494" t="n">
        <v>225.375</v>
      </c>
      <c r="Q1230" s="1493" t="n">
        <v>178.474</v>
      </c>
      <c r="R1230" s="1493" t="n">
        <v>202.794</v>
      </c>
      <c r="S1230" s="1493" t="n">
        <v>194.427</v>
      </c>
      <c r="T1230" s="1493" t="n">
        <v>238.022</v>
      </c>
      <c r="U1230" s="1494" t="n">
        <v>238.022</v>
      </c>
      <c r="V1230" s="1493" t="n">
        <v>195.216</v>
      </c>
      <c r="W1230" s="1493" t="n">
        <v>224.685</v>
      </c>
      <c r="X1230" s="1493" t="n">
        <v>192.948</v>
      </c>
      <c r="Y1230" s="1361">
        <f>Z1230</f>
        <v/>
      </c>
      <c r="Z1230" s="1494" t="n">
        <v>239.496</v>
      </c>
      <c r="AA1230" s="1493" t="n">
        <v>193.978</v>
      </c>
      <c r="AB1230" s="1493" t="n">
        <v>222.216</v>
      </c>
      <c r="AC1230" s="1493" t="n">
        <v>199.672</v>
      </c>
      <c r="AD1230" s="1361">
        <f>AE1230</f>
        <v/>
      </c>
      <c r="AE1230" s="1494" t="n">
        <v>221.101</v>
      </c>
      <c r="AF1230" s="1493" t="n">
        <v>210.784</v>
      </c>
      <c r="AG1230" s="1493" t="n">
        <v>243.158</v>
      </c>
      <c r="AH1230" s="1493" t="n">
        <v>212.153</v>
      </c>
      <c r="AI1230" s="1361">
        <f>AJ1230</f>
        <v/>
      </c>
      <c r="AJ1230" s="1494" t="n">
        <v>256.526</v>
      </c>
      <c r="AK1230" s="1493" t="n">
        <v>235.688</v>
      </c>
      <c r="AL1230" s="1493" t="n">
        <v>246.591</v>
      </c>
      <c r="AM1230" s="1493" t="n">
        <v>274.882</v>
      </c>
      <c r="AN1230" s="1361">
        <f>AO1230</f>
        <v/>
      </c>
      <c r="AO1230" s="1494" t="n">
        <v>316.908</v>
      </c>
      <c r="AP1230" s="1493" t="n">
        <v>236.813</v>
      </c>
      <c r="AQ1230" s="1493" t="n">
        <v>306.948</v>
      </c>
      <c r="AR1230" s="1493" t="n">
        <v>290.886</v>
      </c>
      <c r="AS1230" s="1361">
        <f>AT1230</f>
        <v/>
      </c>
      <c r="AT1230" s="1494" t="n">
        <v>349.951</v>
      </c>
      <c r="AU1230" s="1493" t="n">
        <v>271.241</v>
      </c>
      <c r="AV1230" s="1493" t="n">
        <v>340.607</v>
      </c>
      <c r="AW1230" s="1493" t="n">
        <v>363.835</v>
      </c>
      <c r="AX1230" s="1361">
        <f>AY1230</f>
        <v/>
      </c>
      <c r="AY1230" s="1494" t="n">
        <v>417.283</v>
      </c>
      <c r="AZ1230" s="1493" t="n">
        <v>360.547</v>
      </c>
      <c r="BA1230" s="1493" t="n">
        <v>437.195</v>
      </c>
      <c r="BB1230" s="1493" t="n">
        <v>454.688</v>
      </c>
      <c r="BC1230" s="1361">
        <f>BD1230</f>
        <v/>
      </c>
      <c r="BD1230" s="1494" t="n">
        <v>557.158</v>
      </c>
      <c r="BE1230" s="1493" t="n">
        <v>430.135</v>
      </c>
      <c r="BF1230" s="1493" t="n">
        <v>510.007</v>
      </c>
      <c r="BG1230" s="1493" t="n">
        <v>598.261</v>
      </c>
      <c r="BH1230" s="1361">
        <f>BI1230</f>
        <v/>
      </c>
      <c r="BI1230" s="1494" t="n">
        <v>576.558</v>
      </c>
      <c r="BJ1230" s="1493" t="n">
        <v>456.608</v>
      </c>
      <c r="BK1230" s="1493" t="n">
        <v>505.392</v>
      </c>
      <c r="BL1230" s="1493" t="n">
        <v>627.2</v>
      </c>
      <c r="BM1230" s="1361">
        <f>BN1230</f>
        <v/>
      </c>
      <c r="BN1230" s="1494" t="n">
        <v>632.692</v>
      </c>
      <c r="BO1230" s="1493" t="n">
        <v>570.197</v>
      </c>
      <c r="BP1230" s="1493" t="n">
        <v>766.636</v>
      </c>
      <c r="BQ1230" s="1502" t="n">
        <v>631.273</v>
      </c>
      <c r="BR1230" s="1361">
        <f>(BR$454+BQ$454+BP$454+BO$454)*BR1194</f>
        <v/>
      </c>
      <c r="BS1230" s="1379">
        <f>BR1230</f>
        <v/>
      </c>
      <c r="BT1230" s="1361">
        <f>(BT$454+BR$454+BQ$454+BP$454)*BT1194</f>
        <v/>
      </c>
      <c r="BU1230" s="1361">
        <f>(BU$454+BT$454+BR$454+BQ$454)*BU1194</f>
        <v/>
      </c>
      <c r="BV1230" s="1361">
        <f>(BV$454+BU$454+BT$454+BR$454)*BV1194</f>
        <v/>
      </c>
      <c r="BW1230" s="1361">
        <f>(BW$454+BV$454+BU$454+BT$454)*BW1194</f>
        <v/>
      </c>
      <c r="BX1230" s="1379">
        <f>BW1230</f>
        <v/>
      </c>
      <c r="BY1230" s="1379">
        <f>BY454*BY1194</f>
        <v/>
      </c>
      <c r="BZ1230" s="1379">
        <f>BZ454*BZ1194</f>
        <v/>
      </c>
      <c r="CA1230" s="1379">
        <f>CA454*CA1194</f>
        <v/>
      </c>
      <c r="CB1230" s="1364" t="n"/>
    </row>
    <row r="1231" ht="14.4" customFormat="1" customHeight="1" s="1359">
      <c r="A1231" s="1453" t="inlineStr">
        <is>
          <t>Current portion of deferred revenue</t>
        </is>
      </c>
      <c r="B1231" s="1514" t="n"/>
      <c r="C1231" s="1480" t="n">
        <v>247.691</v>
      </c>
      <c r="D1231" s="1480" t="n">
        <v>337.426</v>
      </c>
      <c r="E1231" s="1480" t="n">
        <v>340.401</v>
      </c>
      <c r="F1231" s="1480" t="n">
        <v>295.787</v>
      </c>
      <c r="G1231" s="1479" t="n">
        <v>285.553</v>
      </c>
      <c r="H1231" s="1479" t="n">
        <v>282.784</v>
      </c>
      <c r="I1231" s="1479" t="n">
        <v>297.897</v>
      </c>
      <c r="J1231" s="1479" t="n">
        <v>299.973</v>
      </c>
      <c r="K1231" s="1480" t="n">
        <v>299.973</v>
      </c>
      <c r="L1231" s="1479" t="n">
        <v>304.705</v>
      </c>
      <c r="M1231" s="1479" t="n">
        <v>301.911</v>
      </c>
      <c r="N1231" s="1479" t="n">
        <v>300.188</v>
      </c>
      <c r="O1231" s="1479" t="n">
        <v>301.287</v>
      </c>
      <c r="P1231" s="1480" t="n">
        <v>301.287</v>
      </c>
      <c r="Q1231" s="1479" t="n">
        <v>324.448</v>
      </c>
      <c r="R1231" s="1479" t="n">
        <v>324.569</v>
      </c>
      <c r="S1231" s="1479" t="n">
        <v>315.22</v>
      </c>
      <c r="T1231" s="1479" t="n">
        <v>298.285</v>
      </c>
      <c r="U1231" s="1480" t="n">
        <v>298.285</v>
      </c>
      <c r="V1231" s="1479" t="n">
        <v>322.684</v>
      </c>
      <c r="W1231" s="1479" t="n">
        <v>289.786</v>
      </c>
      <c r="X1231" s="1479" t="n">
        <v>288.373</v>
      </c>
      <c r="Y1231" s="1456">
        <f>Z1231</f>
        <v/>
      </c>
      <c r="Z1231" s="1480" t="n">
        <v>296.066</v>
      </c>
      <c r="AA1231" s="1479" t="n">
        <v>331.848</v>
      </c>
      <c r="AB1231" s="1479" t="n">
        <v>322.509</v>
      </c>
      <c r="AC1231" s="1479" t="n">
        <v>320.462</v>
      </c>
      <c r="AD1231" s="1456">
        <f>AE1231</f>
        <v/>
      </c>
      <c r="AE1231" s="1480" t="n">
        <v>336.297</v>
      </c>
      <c r="AF1231" s="1479" t="n">
        <v>310.639</v>
      </c>
      <c r="AG1231" s="1479" t="n">
        <v>327.078</v>
      </c>
      <c r="AH1231" s="1479" t="n">
        <v>329.168</v>
      </c>
      <c r="AI1231" s="1456">
        <f>AJ1231</f>
        <v/>
      </c>
      <c r="AJ1231" s="1480" t="n">
        <v>352.456</v>
      </c>
      <c r="AK1231" s="1479" t="n">
        <v>345.751</v>
      </c>
      <c r="AL1231" s="1479" t="n">
        <v>363.592</v>
      </c>
      <c r="AM1231" s="1479" t="n">
        <v>344.1</v>
      </c>
      <c r="AN1231" s="1456">
        <f>AO1231</f>
        <v/>
      </c>
      <c r="AO1231" s="1480" t="n">
        <v>355.483</v>
      </c>
      <c r="AP1231" s="1479" t="n">
        <v>425.616</v>
      </c>
      <c r="AQ1231" s="1479" t="n">
        <v>494.939</v>
      </c>
      <c r="AR1231" s="1479" t="n">
        <v>477.003</v>
      </c>
      <c r="AS1231" s="1456">
        <f>AT1231</f>
        <v/>
      </c>
      <c r="AT1231" s="1480" t="n">
        <v>446.857</v>
      </c>
      <c r="AU1231" s="1479" t="n">
        <v>521.1</v>
      </c>
      <c r="AV1231" s="1479" t="n">
        <v>586.109</v>
      </c>
      <c r="AW1231" s="1479" t="n">
        <v>543.361</v>
      </c>
      <c r="AX1231" s="1456">
        <f>AY1231</f>
        <v/>
      </c>
      <c r="AY1231" s="1480" t="n">
        <v>553.942</v>
      </c>
      <c r="AZ1231" s="1479" t="n">
        <v>600.279</v>
      </c>
      <c r="BA1231" s="1479" t="n">
        <v>605.296</v>
      </c>
      <c r="BB1231" s="1479" t="n">
        <v>652.306</v>
      </c>
      <c r="BC1231" s="1456">
        <f>BD1231</f>
        <v/>
      </c>
      <c r="BD1231" s="1480" t="n">
        <v>690.538</v>
      </c>
      <c r="BE1231" s="1479" t="n">
        <v>721.246</v>
      </c>
      <c r="BF1231" s="1479" t="n">
        <v>686.293</v>
      </c>
      <c r="BG1231" s="1479" t="n">
        <v>665.9059999999999</v>
      </c>
      <c r="BH1231" s="1456">
        <f>BI1231</f>
        <v/>
      </c>
      <c r="BI1231" s="1480" t="n">
        <v>665.024</v>
      </c>
      <c r="BJ1231" s="1479" t="n">
        <v>659.628</v>
      </c>
      <c r="BK1231" s="1479" t="n">
        <v>678.598</v>
      </c>
      <c r="BL1231" s="1479" t="n">
        <v>697.836</v>
      </c>
      <c r="BM1231" s="1456">
        <f>BN1231</f>
        <v/>
      </c>
      <c r="BN1231" s="1480" t="n">
        <v>737.413</v>
      </c>
      <c r="BO1231" s="1479" t="n">
        <v>730.5700000000001</v>
      </c>
      <c r="BP1231" s="1479" t="n">
        <v>729.929</v>
      </c>
      <c r="BQ1231" s="1515" t="n">
        <v>775.284</v>
      </c>
      <c r="BR1231" s="1456">
        <f>(BR$454+BQ$454+BP$454+BO$454)*BR1195</f>
        <v/>
      </c>
      <c r="BS1231" s="1455">
        <f>BR1231</f>
        <v/>
      </c>
      <c r="BT1231" s="1456">
        <f>(BT$454+BR$454+BQ$454+BP$454)*BT1195</f>
        <v/>
      </c>
      <c r="BU1231" s="1456">
        <f>(BU$454+BT$454+BR$454+BQ$454)*BU1195</f>
        <v/>
      </c>
      <c r="BV1231" s="1456">
        <f>(BV$454+BU$454+BT$454+BR$454)*BV1195</f>
        <v/>
      </c>
      <c r="BW1231" s="1456">
        <f>(BW$454+BV$454+BU$454+BT$454)*BW1195</f>
        <v/>
      </c>
      <c r="BX1231" s="1455">
        <f>BW1231</f>
        <v/>
      </c>
      <c r="BY1231" s="1455">
        <f>BY454*BY1195</f>
        <v/>
      </c>
      <c r="BZ1231" s="1455">
        <f>BZ454*BZ1195</f>
        <v/>
      </c>
      <c r="CA1231" s="1455">
        <f>CA454*CA1195</f>
        <v/>
      </c>
      <c r="CB1231" s="1364" t="n"/>
    </row>
    <row r="1232" ht="14.4" customFormat="1" customHeight="1" s="1372">
      <c r="A1232" s="1400" t="inlineStr">
        <is>
          <t>Total Current Liabilities</t>
        </is>
      </c>
      <c r="B1232" s="1516" t="n"/>
      <c r="C1232" s="1402">
        <f>SUM(C1225:C1231)</f>
        <v/>
      </c>
      <c r="D1232" s="1402">
        <f>SUM(D1225:D1231)</f>
        <v/>
      </c>
      <c r="E1232" s="1402">
        <f>SUM(E1225:E1231)</f>
        <v/>
      </c>
      <c r="F1232" s="1402">
        <f>SUM(F1225:F1231)</f>
        <v/>
      </c>
      <c r="G1232" s="1403">
        <f>SUM(G1225:G1231)</f>
        <v/>
      </c>
      <c r="H1232" s="1403">
        <f>SUM(H1225:H1231)</f>
        <v/>
      </c>
      <c r="I1232" s="1403">
        <f>SUM(I1225:I1231)</f>
        <v/>
      </c>
      <c r="J1232" s="1403">
        <f>SUM(J1225:J1231)</f>
        <v/>
      </c>
      <c r="K1232" s="1402">
        <f>SUM(K1225:K1231)</f>
        <v/>
      </c>
      <c r="L1232" s="1403">
        <f>SUM(L1225:L1231)</f>
        <v/>
      </c>
      <c r="M1232" s="1403">
        <f>SUM(M1225:M1231)</f>
        <v/>
      </c>
      <c r="N1232" s="1403">
        <f>SUM(N1225:N1231)</f>
        <v/>
      </c>
      <c r="O1232" s="1403">
        <f>SUM(O1225:O1231)</f>
        <v/>
      </c>
      <c r="P1232" s="1402">
        <f>SUM(P1225:P1231)</f>
        <v/>
      </c>
      <c r="Q1232" s="1403">
        <f>SUM(Q1225:Q1231)</f>
        <v/>
      </c>
      <c r="R1232" s="1403">
        <f>SUM(R1225:R1231)</f>
        <v/>
      </c>
      <c r="S1232" s="1403">
        <f>SUM(S1225:S1231)</f>
        <v/>
      </c>
      <c r="T1232" s="1403">
        <f>SUM(T1225:T1231)</f>
        <v/>
      </c>
      <c r="U1232" s="1402">
        <f>SUM(U1225:U1231)</f>
        <v/>
      </c>
      <c r="V1232" s="1403">
        <f>SUM(V1225:V1231)</f>
        <v/>
      </c>
      <c r="W1232" s="1403">
        <f>SUM(W1225:W1231)</f>
        <v/>
      </c>
      <c r="X1232" s="1403">
        <f>SUM(X1225:X1231)</f>
        <v/>
      </c>
      <c r="Y1232" s="1404">
        <f>SUM(Y1225:Y1231)</f>
        <v/>
      </c>
      <c r="Z1232" s="1405">
        <f>SUM(Z1225:Z1231)</f>
        <v/>
      </c>
      <c r="AA1232" s="1403">
        <f>SUM(AA1225:AA1231)</f>
        <v/>
      </c>
      <c r="AB1232" s="1403">
        <f>SUM(AB1225:AB1231)</f>
        <v/>
      </c>
      <c r="AC1232" s="1403">
        <f>SUM(AC1225:AC1231)</f>
        <v/>
      </c>
      <c r="AD1232" s="1404">
        <f>SUM(AD1225:AD1231)</f>
        <v/>
      </c>
      <c r="AE1232" s="1405">
        <f>SUM(AE1225:AE1231)</f>
        <v/>
      </c>
      <c r="AF1232" s="1403">
        <f>SUM(AF1225:AF1231)</f>
        <v/>
      </c>
      <c r="AG1232" s="1403">
        <f>SUM(AG1225:AG1231)</f>
        <v/>
      </c>
      <c r="AH1232" s="1403">
        <f>SUM(AH1225:AH1231)</f>
        <v/>
      </c>
      <c r="AI1232" s="1404">
        <f>SUM(AI1225:AI1231)</f>
        <v/>
      </c>
      <c r="AJ1232" s="1405">
        <f>SUM(AJ1225:AJ1231)</f>
        <v/>
      </c>
      <c r="AK1232" s="1403">
        <f>SUM(AK1225:AK1231)</f>
        <v/>
      </c>
      <c r="AL1232" s="1403">
        <f>SUM(AL1225:AL1231)</f>
        <v/>
      </c>
      <c r="AM1232" s="1403">
        <f>SUM(AM1225:AM1231)</f>
        <v/>
      </c>
      <c r="AN1232" s="1404">
        <f>SUM(AN1225:AN1231)</f>
        <v/>
      </c>
      <c r="AO1232" s="1405">
        <f>SUM(AO1225:AO1231)</f>
        <v/>
      </c>
      <c r="AP1232" s="1403">
        <f>SUM(AP1225:AP1231)</f>
        <v/>
      </c>
      <c r="AQ1232" s="1403">
        <f>SUM(AQ1225:AQ1231)</f>
        <v/>
      </c>
      <c r="AR1232" s="1403">
        <f>SUM(AR1225:AR1231)</f>
        <v/>
      </c>
      <c r="AS1232" s="1404">
        <f>SUM(AS1225:AS1231)</f>
        <v/>
      </c>
      <c r="AT1232" s="1405">
        <f>SUM(AT1225:AT1231)</f>
        <v/>
      </c>
      <c r="AU1232" s="1403">
        <f>SUM(AU1225:AU1231)</f>
        <v/>
      </c>
      <c r="AV1232" s="1403">
        <f>SUM(AV1225:AV1231)</f>
        <v/>
      </c>
      <c r="AW1232" s="1403">
        <f>SUM(AW1225:AW1231)</f>
        <v/>
      </c>
      <c r="AX1232" s="1404">
        <f>SUM(AX1225:AX1231)</f>
        <v/>
      </c>
      <c r="AY1232" s="1405">
        <f>SUM(AY1225:AY1231)</f>
        <v/>
      </c>
      <c r="AZ1232" s="1403">
        <f>SUM(AZ1225:AZ1231)</f>
        <v/>
      </c>
      <c r="BA1232" s="1403">
        <f>SUM(BA1225:BA1231)</f>
        <v/>
      </c>
      <c r="BB1232" s="1403">
        <f>SUM(BB1225:BB1231)</f>
        <v/>
      </c>
      <c r="BC1232" s="1404">
        <f>SUM(BC1225:BC1231)</f>
        <v/>
      </c>
      <c r="BD1232" s="1405">
        <f>SUM(BD1225:BD1231)</f>
        <v/>
      </c>
      <c r="BE1232" s="1403">
        <f>SUM(BE1225:BE1231)</f>
        <v/>
      </c>
      <c r="BF1232" s="1403">
        <f>SUM(BF1225:BF1231)</f>
        <v/>
      </c>
      <c r="BG1232" s="1403">
        <f>SUM(BG1225:BG1231)</f>
        <v/>
      </c>
      <c r="BH1232" s="1404">
        <f>SUM(BH1225:BH1231)</f>
        <v/>
      </c>
      <c r="BI1232" s="1405">
        <f>SUM(BI1225:BI1231)</f>
        <v/>
      </c>
      <c r="BJ1232" s="1403">
        <f>SUM(BJ1225:BJ1231)</f>
        <v/>
      </c>
      <c r="BK1232" s="1403">
        <f>SUM(BK1225:BK1231)</f>
        <v/>
      </c>
      <c r="BL1232" s="1403">
        <f>SUM(BL1225:BL1231)</f>
        <v/>
      </c>
      <c r="BM1232" s="1404">
        <f>SUM(BM1225:BM1231)</f>
        <v/>
      </c>
      <c r="BN1232" s="1405">
        <f>SUM(BN1225:BN1231)</f>
        <v/>
      </c>
      <c r="BO1232" s="1403">
        <f>SUM(BO1225:BO1231)</f>
        <v/>
      </c>
      <c r="BP1232" s="1403">
        <f>SUM(BP1225:BP1231)</f>
        <v/>
      </c>
      <c r="BQ1232" s="1406">
        <f>SUM(BQ1225:BQ1231)</f>
        <v/>
      </c>
      <c r="BR1232" s="1404">
        <f>SUM(BR1225:BR1231)</f>
        <v/>
      </c>
      <c r="BS1232" s="1405">
        <f>SUM(BS1225:BS1231)</f>
        <v/>
      </c>
      <c r="BT1232" s="1404">
        <f>SUM(BT1225:BT1231)</f>
        <v/>
      </c>
      <c r="BU1232" s="1404">
        <f>SUM(BU1225:BU1231)</f>
        <v/>
      </c>
      <c r="BV1232" s="1404">
        <f>SUM(BV1225:BV1231)</f>
        <v/>
      </c>
      <c r="BW1232" s="1404">
        <f>SUM(BW1225:BW1231)</f>
        <v/>
      </c>
      <c r="BX1232" s="1405">
        <f>SUM(BX1225:BX1231)</f>
        <v/>
      </c>
      <c r="BY1232" s="1405">
        <f>SUM(BY1225:BY1231)</f>
        <v/>
      </c>
      <c r="BZ1232" s="1405">
        <f>SUM(BZ1225:BZ1231)</f>
        <v/>
      </c>
      <c r="CA1232" s="1405">
        <f>SUM(CA1225:CA1231)</f>
        <v/>
      </c>
      <c r="CB1232" s="1375" t="n"/>
    </row>
    <row r="1233" ht="14.4" customFormat="1" customHeight="1" s="1372">
      <c r="A1233" s="1447" t="n"/>
      <c r="B1233" s="1517" t="n"/>
      <c r="C1233" s="1449" t="n"/>
      <c r="D1233" s="1449" t="n"/>
      <c r="E1233" s="1449" t="n"/>
      <c r="F1233" s="1449" t="n"/>
      <c r="G1233" s="1450" t="n"/>
      <c r="H1233" s="1450" t="n"/>
      <c r="I1233" s="1450" t="n"/>
      <c r="J1233" s="1450" t="n"/>
      <c r="K1233" s="1449" t="n"/>
      <c r="L1233" s="1450" t="n"/>
      <c r="M1233" s="1450" t="n"/>
      <c r="N1233" s="1450" t="n"/>
      <c r="O1233" s="1450" t="n"/>
      <c r="P1233" s="1449" t="n"/>
      <c r="Q1233" s="1450" t="n"/>
      <c r="R1233" s="1450" t="n"/>
      <c r="S1233" s="1450" t="n"/>
      <c r="T1233" s="1450" t="n"/>
      <c r="U1233" s="1449" t="n"/>
      <c r="V1233" s="1450" t="n"/>
      <c r="W1233" s="1450" t="n"/>
      <c r="X1233" s="1450" t="n"/>
      <c r="Y1233" s="1450" t="n"/>
      <c r="Z1233" s="1449" t="n"/>
      <c r="AA1233" s="1450" t="n"/>
      <c r="AB1233" s="1450" t="n"/>
      <c r="AC1233" s="1450" t="n"/>
      <c r="AD1233" s="1450" t="n"/>
      <c r="AE1233" s="1449" t="n"/>
      <c r="AF1233" s="1450" t="n"/>
      <c r="AG1233" s="1450" t="n"/>
      <c r="AH1233" s="1450" t="n"/>
      <c r="AI1233" s="1450" t="n"/>
      <c r="AJ1233" s="1449" t="n"/>
      <c r="AK1233" s="1450" t="n"/>
      <c r="AL1233" s="1450" t="n"/>
      <c r="AM1233" s="1450" t="n"/>
      <c r="AN1233" s="1450" t="n"/>
      <c r="AO1233" s="1449" t="n"/>
      <c r="AP1233" s="1450" t="n"/>
      <c r="AQ1233" s="1450" t="n"/>
      <c r="AR1233" s="1450" t="n"/>
      <c r="AS1233" s="1450" t="n"/>
      <c r="AT1233" s="1449" t="n"/>
      <c r="AU1233" s="1450" t="n"/>
      <c r="AV1233" s="1450" t="n"/>
      <c r="AW1233" s="1450" t="n"/>
      <c r="AX1233" s="1450" t="n"/>
      <c r="AY1233" s="1449" t="n"/>
      <c r="AZ1233" s="1450" t="n"/>
      <c r="BA1233" s="1450" t="n"/>
      <c r="BB1233" s="1450" t="n"/>
      <c r="BC1233" s="1450" t="n"/>
      <c r="BD1233" s="1449" t="n"/>
      <c r="BE1233" s="1450" t="n"/>
      <c r="BF1233" s="1450" t="n"/>
      <c r="BG1233" s="1450" t="n"/>
      <c r="BH1233" s="1450" t="n"/>
      <c r="BI1233" s="1449" t="n"/>
      <c r="BJ1233" s="1450" t="n"/>
      <c r="BK1233" s="1450" t="n"/>
      <c r="BL1233" s="1450" t="n"/>
      <c r="BM1233" s="1450" t="n"/>
      <c r="BN1233" s="1449" t="n"/>
      <c r="BO1233" s="1450" t="n"/>
      <c r="BP1233" s="1450" t="n"/>
      <c r="BQ1233" s="1451" t="n"/>
      <c r="BR1233" s="1450" t="n"/>
      <c r="BS1233" s="1449" t="n"/>
      <c r="BT1233" s="1450" t="n"/>
      <c r="BU1233" s="1450" t="n"/>
      <c r="BV1233" s="1450" t="n"/>
      <c r="BW1233" s="1450" t="n"/>
      <c r="BX1233" s="1449" t="n"/>
      <c r="BY1233" s="1449" t="n"/>
      <c r="BZ1233" s="1449" t="n"/>
      <c r="CA1233" s="1449" t="n"/>
      <c r="CB1233" s="1375" t="n"/>
    </row>
    <row r="1234" ht="14.4" customFormat="1" customHeight="1" s="1372">
      <c r="A1234" s="1837" t="inlineStr">
        <is>
          <t>Non-Current Liabilities</t>
        </is>
      </c>
      <c r="B1234" s="1517" t="n"/>
      <c r="C1234" s="1449" t="n"/>
      <c r="D1234" s="1449" t="n"/>
      <c r="E1234" s="1449" t="n"/>
      <c r="F1234" s="1449" t="n"/>
      <c r="G1234" s="1450" t="n"/>
      <c r="H1234" s="1450" t="n"/>
      <c r="I1234" s="1450" t="n"/>
      <c r="J1234" s="1450" t="n"/>
      <c r="K1234" s="1449" t="n"/>
      <c r="L1234" s="1450" t="n"/>
      <c r="M1234" s="1450" t="n"/>
      <c r="N1234" s="1450" t="n"/>
      <c r="O1234" s="1450" t="n"/>
      <c r="P1234" s="1449" t="n"/>
      <c r="Q1234" s="1450" t="n"/>
      <c r="R1234" s="1450" t="n"/>
      <c r="S1234" s="1450" t="n"/>
      <c r="T1234" s="1450" t="n"/>
      <c r="U1234" s="1449" t="n"/>
      <c r="V1234" s="1450" t="n"/>
      <c r="W1234" s="1450" t="n"/>
      <c r="X1234" s="1450" t="n"/>
      <c r="Y1234" s="1450" t="n"/>
      <c r="Z1234" s="1449" t="n"/>
      <c r="AA1234" s="1450" t="n"/>
      <c r="AB1234" s="1450" t="n"/>
      <c r="AC1234" s="1450" t="n"/>
      <c r="AD1234" s="1450" t="n"/>
      <c r="AE1234" s="1449" t="n"/>
      <c r="AF1234" s="1450" t="n"/>
      <c r="AG1234" s="1450" t="n"/>
      <c r="AH1234" s="1450" t="n"/>
      <c r="AI1234" s="1450" t="n"/>
      <c r="AJ1234" s="1449" t="n"/>
      <c r="AK1234" s="1450" t="n"/>
      <c r="AL1234" s="1450" t="n"/>
      <c r="AM1234" s="1450" t="n"/>
      <c r="AN1234" s="1450" t="n"/>
      <c r="AO1234" s="1449" t="n"/>
      <c r="AP1234" s="1450" t="n"/>
      <c r="AQ1234" s="1450" t="n"/>
      <c r="AR1234" s="1450" t="n"/>
      <c r="AS1234" s="1450" t="n"/>
      <c r="AT1234" s="1449" t="n"/>
      <c r="AU1234" s="1450" t="n"/>
      <c r="AV1234" s="1450" t="n"/>
      <c r="AW1234" s="1450" t="n"/>
      <c r="AX1234" s="1450" t="n"/>
      <c r="AY1234" s="1449" t="n"/>
      <c r="AZ1234" s="1450" t="n"/>
      <c r="BA1234" s="1450" t="n"/>
      <c r="BB1234" s="1450" t="n"/>
      <c r="BC1234" s="1450" t="n"/>
      <c r="BD1234" s="1449" t="n"/>
      <c r="BE1234" s="1450" t="n"/>
      <c r="BF1234" s="1450" t="n"/>
      <c r="BG1234" s="1450" t="n"/>
      <c r="BH1234" s="1450" t="n"/>
      <c r="BI1234" s="1449" t="n"/>
      <c r="BJ1234" s="1450" t="n"/>
      <c r="BK1234" s="1450" t="n"/>
      <c r="BL1234" s="1450" t="n"/>
      <c r="BM1234" s="1450" t="n"/>
      <c r="BN1234" s="1449" t="n"/>
      <c r="BO1234" s="1450" t="n"/>
      <c r="BP1234" s="1450" t="n"/>
      <c r="BQ1234" s="1451" t="n"/>
      <c r="BR1234" s="1450" t="n"/>
      <c r="BS1234" s="1449" t="n"/>
      <c r="BT1234" s="1450" t="n"/>
      <c r="BU1234" s="1450" t="n"/>
      <c r="BV1234" s="1450" t="n"/>
      <c r="BW1234" s="1450" t="n"/>
      <c r="BX1234" s="1449" t="n"/>
      <c r="BY1234" s="1449" t="n"/>
      <c r="BZ1234" s="1449" t="n"/>
      <c r="CA1234" s="1449" t="n"/>
      <c r="CB1234" s="1375" t="n"/>
    </row>
    <row r="1235" ht="14.4" customFormat="1" customHeight="1" s="1359">
      <c r="A1235" s="1394" t="inlineStr">
        <is>
          <t>Long-term portion of deferred revenue</t>
        </is>
      </c>
      <c r="B1235" s="1512" t="n"/>
      <c r="C1235" s="1494" t="n">
        <v>92.298</v>
      </c>
      <c r="D1235" s="1494" t="n">
        <v>85.40000000000001</v>
      </c>
      <c r="E1235" s="1494" t="n">
        <v>73.959</v>
      </c>
      <c r="F1235" s="1494" t="n">
        <v>50.529</v>
      </c>
      <c r="G1235" s="1493" t="n">
        <v>41.432</v>
      </c>
      <c r="H1235" s="1493" t="n">
        <v>43.892</v>
      </c>
      <c r="I1235" s="1493" t="n">
        <v>48.229</v>
      </c>
      <c r="J1235" s="1493" t="n">
        <v>52.85</v>
      </c>
      <c r="K1235" s="1494" t="n">
        <v>52.85</v>
      </c>
      <c r="L1235" s="1493" t="n">
        <v>48.299</v>
      </c>
      <c r="M1235" s="1493" t="n">
        <v>46.8</v>
      </c>
      <c r="N1235" s="1493" t="n">
        <v>42.873</v>
      </c>
      <c r="O1235" s="1493" t="n">
        <v>54.726</v>
      </c>
      <c r="P1235" s="1494" t="n">
        <v>54.726</v>
      </c>
      <c r="Q1235" s="1493" t="n">
        <v>48.418</v>
      </c>
      <c r="R1235" s="1493" t="n">
        <v>36.402</v>
      </c>
      <c r="S1235" s="1493" t="n">
        <v>31.234</v>
      </c>
      <c r="T1235" s="1493" t="n">
        <v>30.209</v>
      </c>
      <c r="U1235" s="1494" t="n">
        <v>30.209</v>
      </c>
      <c r="V1235" s="1493" t="n">
        <v>38.447</v>
      </c>
      <c r="W1235" s="1493" t="n">
        <v>38.094</v>
      </c>
      <c r="X1235" s="1493" t="n">
        <v>36.338</v>
      </c>
      <c r="Y1235" s="1361">
        <f>Z1235</f>
        <v/>
      </c>
      <c r="Z1235" s="1494" t="n">
        <v>66.76900000000001</v>
      </c>
      <c r="AA1235" s="1493" t="n">
        <v>66.399</v>
      </c>
      <c r="AB1235" s="1493" t="n">
        <v>60.158</v>
      </c>
      <c r="AC1235" s="1493" t="n">
        <v>57.865</v>
      </c>
      <c r="AD1235" s="1361">
        <f>AE1235</f>
        <v/>
      </c>
      <c r="AE1235" s="1494" t="n">
        <v>61.513</v>
      </c>
      <c r="AF1235" s="1493" t="n">
        <v>56.276</v>
      </c>
      <c r="AG1235" s="1493" t="n">
        <v>46.912</v>
      </c>
      <c r="AH1235" s="1493" t="n">
        <v>49.343</v>
      </c>
      <c r="AI1235" s="1361">
        <f>AJ1235</f>
        <v/>
      </c>
      <c r="AJ1235" s="1494" t="n">
        <v>48.718</v>
      </c>
      <c r="AK1235" s="1493" t="n">
        <v>51.312</v>
      </c>
      <c r="AL1235" s="1493" t="n">
        <v>57.28</v>
      </c>
      <c r="AM1235" s="1493" t="n">
        <v>48.036</v>
      </c>
      <c r="AN1235" s="1361">
        <f>AO1235</f>
        <v/>
      </c>
      <c r="AO1235" s="1494" t="n">
        <v>73.40000000000001</v>
      </c>
      <c r="AP1235" s="1493" t="n">
        <v>95.503</v>
      </c>
      <c r="AQ1235" s="1493" t="n">
        <v>87.437</v>
      </c>
      <c r="AR1235" s="1493" t="n">
        <v>84.646</v>
      </c>
      <c r="AS1235" s="1361">
        <f>AT1235</f>
        <v/>
      </c>
      <c r="AT1235" s="1494" t="n">
        <v>107.064</v>
      </c>
      <c r="AU1235" s="1493" t="n">
        <v>92.574</v>
      </c>
      <c r="AV1235" s="1493" t="n">
        <v>98.408</v>
      </c>
      <c r="AW1235" s="1493" t="n">
        <v>95.991</v>
      </c>
      <c r="AX1235" s="1361">
        <f>AY1235</f>
        <v/>
      </c>
      <c r="AY1235" s="1494" t="n">
        <v>101.148</v>
      </c>
      <c r="AZ1235" s="1493" t="n">
        <v>106.838</v>
      </c>
      <c r="BA1235" s="1493" t="n">
        <v>114.573</v>
      </c>
      <c r="BB1235" s="1493" t="n">
        <v>102.167</v>
      </c>
      <c r="BC1235" s="1361">
        <f>BD1235</f>
        <v/>
      </c>
      <c r="BD1235" s="1494" t="n">
        <v>91.524</v>
      </c>
      <c r="BE1235" s="1493" t="n">
        <v>102.515</v>
      </c>
      <c r="BF1235" s="1493" t="n">
        <v>96.65300000000001</v>
      </c>
      <c r="BG1235" s="1493" t="n">
        <v>100.609</v>
      </c>
      <c r="BH1235" s="1361">
        <f>BI1235</f>
        <v/>
      </c>
      <c r="BI1235" s="1494" t="n">
        <v>98.931</v>
      </c>
      <c r="BJ1235" s="1493" t="n">
        <v>87.003</v>
      </c>
      <c r="BK1235" s="1493" t="n">
        <v>88.82299999999999</v>
      </c>
      <c r="BL1235" s="1493" t="n">
        <v>102.439</v>
      </c>
      <c r="BM1235" s="1361">
        <f>BN1235</f>
        <v/>
      </c>
      <c r="BN1235" s="1494" t="n">
        <v>115.168</v>
      </c>
      <c r="BO1235" s="1493" t="n">
        <v>110.702</v>
      </c>
      <c r="BP1235" s="1493" t="n">
        <v>154.448</v>
      </c>
      <c r="BQ1235" s="1502" t="n">
        <v>130.06</v>
      </c>
      <c r="BR1235" s="1361">
        <f>BQ1235</f>
        <v/>
      </c>
      <c r="BS1235" s="1379">
        <f>BR1235</f>
        <v/>
      </c>
      <c r="BT1235" s="1361">
        <f>BS1235</f>
        <v/>
      </c>
      <c r="BU1235" s="1361">
        <f>BT1235</f>
        <v/>
      </c>
      <c r="BV1235" s="1361">
        <f>BU1235</f>
        <v/>
      </c>
      <c r="BW1235" s="1361">
        <f>BV1235</f>
        <v/>
      </c>
      <c r="BX1235" s="1379">
        <f>BW1235</f>
        <v/>
      </c>
      <c r="BY1235" s="1379">
        <f>BX1235</f>
        <v/>
      </c>
      <c r="BZ1235" s="1379">
        <f>BY1235</f>
        <v/>
      </c>
      <c r="CA1235" s="1379">
        <f>BZ1235</f>
        <v/>
      </c>
      <c r="CB1235" s="1364" t="n"/>
    </row>
    <row r="1236" ht="14.4" customFormat="1" customHeight="1" s="1359">
      <c r="A1236" s="1474" t="inlineStr">
        <is>
          <t>Long-term debt</t>
        </is>
      </c>
      <c r="B1236" s="1512" t="n"/>
      <c r="C1236" s="1379" t="n"/>
      <c r="D1236" s="1379" t="n"/>
      <c r="E1236" s="1379" t="n"/>
      <c r="F1236" s="1379" t="n"/>
      <c r="G1236" s="1361" t="n"/>
      <c r="H1236" s="1361" t="n"/>
      <c r="I1236" s="1361" t="n"/>
      <c r="J1236" s="1493" t="n">
        <v>0</v>
      </c>
      <c r="K1236" s="1494" t="n">
        <v>0</v>
      </c>
      <c r="L1236" s="1361" t="n"/>
      <c r="M1236" s="1361" t="n"/>
      <c r="N1236" s="1361" t="n"/>
      <c r="O1236" s="1361">
        <f>348.676-O1237</f>
        <v/>
      </c>
      <c r="P1236" s="1494" t="n">
        <v>348.676</v>
      </c>
      <c r="Q1236" s="1493" t="n">
        <v>348.705</v>
      </c>
      <c r="R1236" s="1493" t="n">
        <v>348.733</v>
      </c>
      <c r="S1236" s="1493" t="n">
        <v>348.76</v>
      </c>
      <c r="T1236" s="1493" t="n">
        <v>343.288</v>
      </c>
      <c r="U1236" s="1494" t="n">
        <v>343.288</v>
      </c>
      <c r="V1236" s="1493" t="n">
        <v>642.862</v>
      </c>
      <c r="W1236" s="1493" t="n">
        <v>643.073</v>
      </c>
      <c r="X1236" s="1493" t="n">
        <v>643.277</v>
      </c>
      <c r="Y1236" s="1361">
        <f>Z1236</f>
        <v/>
      </c>
      <c r="Z1236" s="1494" t="n">
        <v>643.4930000000001</v>
      </c>
      <c r="AA1236" s="1493" t="n">
        <v>643.7089999999999</v>
      </c>
      <c r="AB1236" s="1493" t="n">
        <v>643.927</v>
      </c>
      <c r="AC1236" s="1493" t="n">
        <v>644.146</v>
      </c>
      <c r="AD1236" s="1361">
        <f>AE1236</f>
        <v/>
      </c>
      <c r="AE1236" s="1494" t="n">
        <v>644.369</v>
      </c>
      <c r="AF1236" s="1493" t="n">
        <v>344.766</v>
      </c>
      <c r="AG1236" s="1493" t="n">
        <v>344.939</v>
      </c>
      <c r="AH1236" s="1493" t="n">
        <v>345.113</v>
      </c>
      <c r="AI1236" s="1361">
        <f>AJ1236</f>
        <v/>
      </c>
      <c r="AJ1236" s="1494" t="n">
        <v>345.291</v>
      </c>
      <c r="AK1236" s="1493" t="n">
        <v>345.47</v>
      </c>
      <c r="AL1236" s="1493" t="n">
        <v>345.652</v>
      </c>
      <c r="AM1236" s="1493" t="n">
        <v>345.833</v>
      </c>
      <c r="AN1236" s="1361">
        <f>AO1236</f>
        <v/>
      </c>
      <c r="AO1236" s="1494" t="n">
        <v>346.019</v>
      </c>
      <c r="AP1236" s="1493" t="n">
        <v>346.205</v>
      </c>
      <c r="AQ1236" s="1493" t="n">
        <v>346.394</v>
      </c>
      <c r="AR1236" s="1493" t="n">
        <v>346.584</v>
      </c>
      <c r="AS1236" s="1361">
        <f>AT1236</f>
        <v/>
      </c>
      <c r="AT1236" s="1494" t="n">
        <v>346.793</v>
      </c>
      <c r="AU1236" s="1493" t="n">
        <v>346.988</v>
      </c>
      <c r="AV1236" s="1493" t="n">
        <v>347.186</v>
      </c>
      <c r="AW1236" s="1493" t="n">
        <v>347.385</v>
      </c>
      <c r="AX1236" s="1361">
        <f>AY1236</f>
        <v/>
      </c>
      <c r="AY1236" s="1494" t="n">
        <v>347.588</v>
      </c>
      <c r="AZ1236" s="1493" t="n">
        <v>347.792</v>
      </c>
      <c r="BA1236" s="1493" t="n">
        <v>347.999</v>
      </c>
      <c r="BB1236" s="1493" t="n">
        <v>647.799</v>
      </c>
      <c r="BC1236" s="1361">
        <f>BD1236</f>
        <v/>
      </c>
      <c r="BD1236" s="1494" t="n">
        <v>648.078</v>
      </c>
      <c r="BE1236" s="1493" t="n">
        <v>648.301</v>
      </c>
      <c r="BF1236" s="1493" t="n">
        <v>648.551</v>
      </c>
      <c r="BG1236" s="1493" t="n">
        <v>648.801</v>
      </c>
      <c r="BH1236" s="1361">
        <f>BI1236</f>
        <v/>
      </c>
      <c r="BI1236" s="1494" t="n">
        <v>299.771</v>
      </c>
      <c r="BJ1236" s="1493" t="n">
        <v>299.805</v>
      </c>
      <c r="BK1236" s="1493" t="n">
        <v>998.9349999999999</v>
      </c>
      <c r="BL1236" s="1493" t="n">
        <v>2475.232</v>
      </c>
      <c r="BM1236" s="1361">
        <f>BN1236</f>
        <v/>
      </c>
      <c r="BN1236" s="1494" t="n">
        <v>2476.183</v>
      </c>
      <c r="BO1236" s="1493" t="n">
        <v>2477.159</v>
      </c>
      <c r="BP1236" s="1493" t="n">
        <v>2478.145</v>
      </c>
      <c r="BQ1236" s="1502" t="n">
        <v>2479.142</v>
      </c>
      <c r="BR1236" s="1361">
        <f>MAX(BQ1236+BR1130,0)</f>
        <v/>
      </c>
      <c r="BS1236" s="1379">
        <f>BR1236</f>
        <v/>
      </c>
      <c r="BT1236" s="1361">
        <f>MAX(BS1236+BT1130,0)</f>
        <v/>
      </c>
      <c r="BU1236" s="1361">
        <f>MAX(BT1236+BU1130,0)</f>
        <v/>
      </c>
      <c r="BV1236" s="1361">
        <f>MAX(BU1236+BV1130,0)</f>
        <v/>
      </c>
      <c r="BW1236" s="1361">
        <f>MAX(BV1236+BW1130,0)</f>
        <v/>
      </c>
      <c r="BX1236" s="1379">
        <f>BW1236</f>
        <v/>
      </c>
      <c r="BY1236" s="1379">
        <f>MAX(BX1236+BY1130,0)</f>
        <v/>
      </c>
      <c r="BZ1236" s="1379">
        <f>MAX(BY1236+BZ1130,0)</f>
        <v/>
      </c>
      <c r="CA1236" s="1379">
        <f>MAX(BZ1236+CA1130,0)</f>
        <v/>
      </c>
      <c r="CB1236" s="1361" t="n"/>
    </row>
    <row r="1237" ht="14.4" customFormat="1" customHeight="1" s="1359">
      <c r="A1237" s="1474" t="inlineStr">
        <is>
          <t>Convertible notes, long-term</t>
        </is>
      </c>
      <c r="B1237" s="1512" t="n"/>
      <c r="C1237" s="1494" t="n">
        <v>436.012</v>
      </c>
      <c r="D1237" s="1494" t="n">
        <v>406.404</v>
      </c>
      <c r="E1237" s="1494" t="n">
        <v>131.92</v>
      </c>
      <c r="F1237" s="1379" t="n"/>
      <c r="G1237" s="1361" t="n"/>
      <c r="H1237" s="1361" t="n"/>
      <c r="I1237" s="1361" t="n"/>
      <c r="J1237" s="1361" t="n"/>
      <c r="K1237" s="1379" t="n"/>
      <c r="L1237" s="1361" t="n"/>
      <c r="M1237" s="1361" t="n"/>
      <c r="N1237" s="1361" t="n"/>
      <c r="O1237" s="1361" t="n"/>
      <c r="P1237" s="1379" t="n"/>
      <c r="Q1237" s="1361" t="n"/>
      <c r="R1237" s="1361" t="n"/>
      <c r="S1237" s="1361" t="n"/>
      <c r="T1237" s="1361" t="n"/>
      <c r="U1237" s="1379" t="n"/>
      <c r="V1237" s="1361" t="n"/>
      <c r="W1237" s="1361" t="n"/>
      <c r="X1237" s="1361" t="n"/>
      <c r="Y1237" s="1361" t="n"/>
      <c r="Z1237" s="1379" t="n"/>
      <c r="AA1237" s="1361" t="n"/>
      <c r="AB1237" s="1361" t="n"/>
      <c r="AC1237" s="1361" t="n"/>
      <c r="AD1237" s="1361" t="n"/>
      <c r="AE1237" s="1379" t="n"/>
      <c r="AF1237" s="1361" t="n"/>
      <c r="AG1237" s="1361" t="n"/>
      <c r="AH1237" s="1361" t="n"/>
      <c r="AI1237" s="1361" t="n"/>
      <c r="AJ1237" s="1379" t="n"/>
      <c r="AK1237" s="1361" t="n"/>
      <c r="AL1237" s="1361" t="n"/>
      <c r="AM1237" s="1361" t="n"/>
      <c r="AN1237" s="1361" t="n"/>
      <c r="AO1237" s="1379" t="n"/>
      <c r="AP1237" s="1361" t="n"/>
      <c r="AQ1237" s="1361" t="n"/>
      <c r="AR1237" s="1361" t="n"/>
      <c r="AS1237" s="1361" t="n"/>
      <c r="AT1237" s="1379" t="n"/>
      <c r="AU1237" s="1361" t="n"/>
      <c r="AV1237" s="1361" t="n"/>
      <c r="AW1237" s="1361" t="n"/>
      <c r="AX1237" s="1361" t="n"/>
      <c r="AY1237" s="1379" t="n"/>
      <c r="AZ1237" s="1361" t="n"/>
      <c r="BA1237" s="1361" t="n"/>
      <c r="BB1237" s="1361" t="n"/>
      <c r="BC1237" s="1361" t="n"/>
      <c r="BD1237" s="1379" t="n"/>
      <c r="BE1237" s="1361" t="n"/>
      <c r="BF1237" s="1361" t="n"/>
      <c r="BG1237" s="1361" t="n"/>
      <c r="BH1237" s="1361" t="n"/>
      <c r="BI1237" s="1379" t="n"/>
      <c r="BJ1237" s="1361" t="n"/>
      <c r="BK1237" s="1361" t="n"/>
      <c r="BL1237" s="1361" t="n"/>
      <c r="BM1237" s="1361" t="n"/>
      <c r="BN1237" s="1379" t="n"/>
      <c r="BO1237" s="1361" t="n"/>
      <c r="BP1237" s="1361" t="n"/>
      <c r="BQ1237" s="1363" t="n"/>
      <c r="BR1237" s="1361">
        <f>IF(BQ1237=0,0,MAX(BQ1237+BR602-BQ602+BR619-BQ619+BR636-BQ636+BR653-BQ653+BR670-BQ670,0))</f>
        <v/>
      </c>
      <c r="BS1237" s="1379">
        <f>BR1237</f>
        <v/>
      </c>
      <c r="BT1237" s="1361">
        <f>IF(BS1237=0,0,MAX(BS1237+BT602-BS602+BT619-BS619+BT636-BS636+BT653-BS653+BT670-BS670,0))</f>
        <v/>
      </c>
      <c r="BU1237" s="1361">
        <f>IF(BT1237=0,0,MAX(BT1237+BU602-BT602+BU619-BT619+BU636-BT636+BU653-BT653+BU670-BT670,0))</f>
        <v/>
      </c>
      <c r="BV1237" s="1361">
        <f>IF(BU1237=0,0,MAX(BU1237+BV602-BU602+BV619-BU619+BV636-BU636+BV653-BU653+BV670-BU670,0))</f>
        <v/>
      </c>
      <c r="BW1237" s="1361">
        <f>IF(BV1237=0,0,MAX(BV1237+BW602-BV602+BW619-BV619+BW636-BV636+BW653-BV653+BW670-BV670,0))</f>
        <v/>
      </c>
      <c r="BX1237" s="1379">
        <f>BW1237</f>
        <v/>
      </c>
      <c r="BY1237" s="1379">
        <f>IF(BX1237=0,0,MAX(BX1237+BY602-BX602+BY619-BX619+BY636-BX636+BY653-BX653+BY670-BX670,0))</f>
        <v/>
      </c>
      <c r="BZ1237" s="1379">
        <f>IF(BY1237=0,0,MAX(BY1237+BZ602-BY602+BZ619-BY619+BZ636-BY636+BZ653-BY653+BZ670-BY670,0))</f>
        <v/>
      </c>
      <c r="CA1237" s="1379">
        <f>IF(BZ1237=0,0,MAX(BZ1237+CA602-BZ602+CA619-BZ619+CA636-BZ636+CA653-BZ653+CA670-BZ670,0))</f>
        <v/>
      </c>
      <c r="CB1237" s="1361" t="n"/>
    </row>
    <row r="1238" ht="14.4" customFormat="1" customHeight="1" s="1359">
      <c r="A1238" s="1394" t="inlineStr">
        <is>
          <t>2015 Notes Embedded Conversion Derivative</t>
        </is>
      </c>
      <c r="B1238" s="1512" t="n"/>
      <c r="C1238" s="1379" t="n"/>
      <c r="D1238" s="1494" t="n">
        <v>130.211</v>
      </c>
      <c r="E1238" s="1379" t="n"/>
      <c r="F1238" s="1379" t="n"/>
      <c r="G1238" s="1361" t="n"/>
      <c r="H1238" s="1361" t="n"/>
      <c r="I1238" s="1361" t="n"/>
      <c r="J1238" s="1493" t="n">
        <v>0</v>
      </c>
      <c r="K1238" s="1379" t="n"/>
      <c r="L1238" s="1361" t="n"/>
      <c r="M1238" s="1361" t="n"/>
      <c r="N1238" s="1361" t="n"/>
      <c r="O1238" s="1361" t="n"/>
      <c r="P1238" s="1379" t="n"/>
      <c r="Q1238" s="1361" t="n"/>
      <c r="R1238" s="1361" t="n"/>
      <c r="S1238" s="1361" t="n"/>
      <c r="T1238" s="1361" t="n"/>
      <c r="U1238" s="1379" t="n"/>
      <c r="V1238" s="1361" t="n"/>
      <c r="W1238" s="1364">
        <f>V1238</f>
        <v/>
      </c>
      <c r="X1238" s="1361" t="n"/>
      <c r="Y1238" s="1361">
        <f>Z1238</f>
        <v/>
      </c>
      <c r="Z1238" s="1494" t="n">
        <v>0</v>
      </c>
      <c r="AA1238" s="1361" t="n"/>
      <c r="AB1238" s="1361" t="n"/>
      <c r="AC1238" s="1361" t="n"/>
      <c r="AD1238" s="1361">
        <f>AE1238</f>
        <v/>
      </c>
      <c r="AE1238" s="1379" t="n"/>
      <c r="AF1238" s="1361" t="n"/>
      <c r="AG1238" s="1361" t="n"/>
      <c r="AH1238" s="1361" t="n"/>
      <c r="AI1238" s="1361">
        <f>AJ1238</f>
        <v/>
      </c>
      <c r="AJ1238" s="1379" t="n"/>
      <c r="AK1238" s="1361" t="n"/>
      <c r="AL1238" s="1361" t="n"/>
      <c r="AM1238" s="1361" t="n"/>
      <c r="AN1238" s="1361">
        <f>AO1238</f>
        <v/>
      </c>
      <c r="AO1238" s="1379" t="n"/>
      <c r="AP1238" s="1361" t="n"/>
      <c r="AQ1238" s="1361" t="n"/>
      <c r="AR1238" s="1361" t="n"/>
      <c r="AS1238" s="1361">
        <f>AT1238</f>
        <v/>
      </c>
      <c r="AT1238" s="1379" t="n"/>
      <c r="AU1238" s="1361" t="n"/>
      <c r="AV1238" s="1361" t="n"/>
      <c r="AW1238" s="1361" t="n"/>
      <c r="AX1238" s="1361">
        <f>AY1238</f>
        <v/>
      </c>
      <c r="AY1238" s="1379" t="n"/>
      <c r="AZ1238" s="1361" t="n"/>
      <c r="BA1238" s="1361" t="n"/>
      <c r="BB1238" s="1361" t="n"/>
      <c r="BC1238" s="1361">
        <f>BD1238</f>
        <v/>
      </c>
      <c r="BD1238" s="1379" t="n"/>
      <c r="BE1238" s="1361" t="n"/>
      <c r="BF1238" s="1361" t="n"/>
      <c r="BG1238" s="1361" t="n"/>
      <c r="BH1238" s="1361">
        <f>BI1238</f>
        <v/>
      </c>
      <c r="BI1238" s="1379" t="n"/>
      <c r="BJ1238" s="1361" t="n"/>
      <c r="BK1238" s="1361" t="n"/>
      <c r="BL1238" s="1361" t="n"/>
      <c r="BM1238" s="1361">
        <f>BN1238</f>
        <v/>
      </c>
      <c r="BN1238" s="1379" t="n"/>
      <c r="BO1238" s="1361" t="n"/>
      <c r="BP1238" s="1361" t="n"/>
      <c r="BQ1238" s="1363" t="n"/>
      <c r="BR1238" s="1361" t="n"/>
      <c r="BS1238" s="1379" t="n"/>
      <c r="BT1238" s="1361" t="n"/>
      <c r="BU1238" s="1361" t="n"/>
      <c r="BV1238" s="1361" t="n"/>
      <c r="BW1238" s="1361" t="n"/>
      <c r="BX1238" s="1379" t="n"/>
      <c r="BY1238" s="1379" t="n"/>
      <c r="BZ1238" s="1379" t="n"/>
      <c r="CA1238" s="1379" t="n"/>
      <c r="CB1238" s="1364" t="n"/>
    </row>
    <row r="1239" ht="14.4" customFormat="1" customHeight="1" s="1359">
      <c r="A1239" s="1394" t="inlineStr">
        <is>
          <t>Operating lease liabilities</t>
        </is>
      </c>
      <c r="B1239" s="1512" t="n"/>
      <c r="C1239" s="1379" t="n"/>
      <c r="D1239" s="1379" t="n"/>
      <c r="E1239" s="1379" t="n"/>
      <c r="F1239" s="1379" t="n"/>
      <c r="G1239" s="1361" t="n"/>
      <c r="H1239" s="1361" t="n"/>
      <c r="I1239" s="1361" t="n"/>
      <c r="J1239" s="1361" t="n"/>
      <c r="K1239" s="1379" t="n"/>
      <c r="L1239" s="1361" t="n"/>
      <c r="M1239" s="1361" t="n"/>
      <c r="N1239" s="1361" t="n"/>
      <c r="O1239" s="1361" t="n"/>
      <c r="P1239" s="1379" t="n"/>
      <c r="Q1239" s="1361" t="n"/>
      <c r="R1239" s="1361" t="n"/>
      <c r="S1239" s="1361" t="n"/>
      <c r="T1239" s="1361" t="n"/>
      <c r="U1239" s="1379" t="n"/>
      <c r="V1239" s="1361" t="n"/>
      <c r="W1239" s="1361" t="n"/>
      <c r="X1239" s="1361" t="n"/>
      <c r="Y1239" s="1361" t="n"/>
      <c r="Z1239" s="1379" t="n"/>
      <c r="AA1239" s="1361" t="n"/>
      <c r="AB1239" s="1361" t="n"/>
      <c r="AC1239" s="1361" t="n"/>
      <c r="AD1239" s="1361" t="n"/>
      <c r="AE1239" s="1379" t="n"/>
      <c r="AF1239" s="1361" t="n"/>
      <c r="AG1239" s="1361" t="n"/>
      <c r="AH1239" s="1361" t="n"/>
      <c r="AI1239" s="1361" t="n"/>
      <c r="AJ1239" s="1379" t="n"/>
      <c r="AK1239" s="1361" t="n"/>
      <c r="AL1239" s="1361" t="n"/>
      <c r="AM1239" s="1361" t="n"/>
      <c r="AN1239" s="1361">
        <f>AO1239</f>
        <v/>
      </c>
      <c r="AO1239" s="1494" t="n">
        <v>84.782</v>
      </c>
      <c r="AP1239" s="1361">
        <f>AO1239</f>
        <v/>
      </c>
      <c r="AQ1239" s="1361">
        <f>AO1239</f>
        <v/>
      </c>
      <c r="AR1239" s="1361">
        <f>AO1239</f>
        <v/>
      </c>
      <c r="AS1239" s="1361">
        <f>AT1239</f>
        <v/>
      </c>
      <c r="AT1239" s="1494" t="n">
        <v>113.916</v>
      </c>
      <c r="AU1239" s="1361">
        <f>AT1239</f>
        <v/>
      </c>
      <c r="AV1239" s="1361">
        <f>AT1239</f>
        <v/>
      </c>
      <c r="AW1239" s="1361">
        <f>AT1239</f>
        <v/>
      </c>
      <c r="AX1239" s="1361">
        <f>AY1239</f>
        <v/>
      </c>
      <c r="AY1239" s="1494" t="n">
        <v>107.121</v>
      </c>
      <c r="AZ1239" s="1361">
        <f>AY1239</f>
        <v/>
      </c>
      <c r="BA1239" s="1361">
        <f>AY1239</f>
        <v/>
      </c>
      <c r="BB1239" s="1361">
        <f>AY1239</f>
        <v/>
      </c>
      <c r="BC1239" s="1361">
        <f>BD1239</f>
        <v/>
      </c>
      <c r="BD1239" s="1494" t="n">
        <v>139.337</v>
      </c>
      <c r="BE1239" s="1361">
        <f>BD1239</f>
        <v/>
      </c>
      <c r="BF1239" s="1361">
        <f>BD1239</f>
        <v/>
      </c>
      <c r="BG1239" s="1361">
        <f>BD1239</f>
        <v/>
      </c>
      <c r="BH1239" s="1361">
        <f>BI1239</f>
        <v/>
      </c>
      <c r="BI1239" s="1494" t="n">
        <v>115.358</v>
      </c>
      <c r="BJ1239" s="1361">
        <f>BI1239</f>
        <v/>
      </c>
      <c r="BK1239" s="1361">
        <f>BI1239</f>
        <v/>
      </c>
      <c r="BL1239" s="1361">
        <f>BI1239</f>
        <v/>
      </c>
      <c r="BM1239" s="1361">
        <f>BN1239</f>
        <v/>
      </c>
      <c r="BN1239" s="1494" t="n">
        <v>108.893</v>
      </c>
      <c r="BO1239" s="1361">
        <f>BN1239</f>
        <v/>
      </c>
      <c r="BP1239" s="1361">
        <f>BN1239</f>
        <v/>
      </c>
      <c r="BQ1239" s="1363">
        <f>BN1239</f>
        <v/>
      </c>
      <c r="BR1239" s="1361">
        <f>BQ1239</f>
        <v/>
      </c>
      <c r="BS1239" s="1379">
        <f>BR1239</f>
        <v/>
      </c>
      <c r="BT1239" s="1361">
        <f>BS1239</f>
        <v/>
      </c>
      <c r="BU1239" s="1361">
        <f>BT1239</f>
        <v/>
      </c>
      <c r="BV1239" s="1361">
        <f>BU1239</f>
        <v/>
      </c>
      <c r="BW1239" s="1361">
        <f>BV1239</f>
        <v/>
      </c>
      <c r="BX1239" s="1379">
        <f>BW1239</f>
        <v/>
      </c>
      <c r="BY1239" s="1379">
        <f>BX1239</f>
        <v/>
      </c>
      <c r="BZ1239" s="1379">
        <f>BY1239</f>
        <v/>
      </c>
      <c r="CA1239" s="1379">
        <f>BZ1239</f>
        <v/>
      </c>
      <c r="CB1239" s="1364" t="n"/>
    </row>
    <row r="1240" ht="14.4" customFormat="1" customHeight="1" s="1359">
      <c r="A1240" s="1453" t="inlineStr">
        <is>
          <t>Other long-term liabilities</t>
        </is>
      </c>
      <c r="B1240" s="1514" t="n"/>
      <c r="C1240" s="1480" t="n">
        <v>376.006</v>
      </c>
      <c r="D1240" s="1480" t="n">
        <v>135.899</v>
      </c>
      <c r="E1240" s="1480" t="n">
        <v>128.894</v>
      </c>
      <c r="F1240" s="1480" t="n">
        <v>104.033</v>
      </c>
      <c r="G1240" s="1479" t="n">
        <v>51.533</v>
      </c>
      <c r="H1240" s="1479" t="n">
        <v>117.034</v>
      </c>
      <c r="I1240" s="1479" t="n">
        <v>115.262</v>
      </c>
      <c r="J1240" s="1479" t="n">
        <v>71.43600000000001</v>
      </c>
      <c r="K1240" s="1480" t="n">
        <v>71.43600000000001</v>
      </c>
      <c r="L1240" s="1479" t="n">
        <v>69.02500000000001</v>
      </c>
      <c r="M1240" s="1479" t="n">
        <v>70.502</v>
      </c>
      <c r="N1240" s="1479" t="n">
        <v>82.297</v>
      </c>
      <c r="O1240" s="1479" t="n">
        <v>79.489</v>
      </c>
      <c r="P1240" s="1480" t="n">
        <v>79.489</v>
      </c>
      <c r="Q1240" s="1479" t="n">
        <v>75.816</v>
      </c>
      <c r="R1240" s="1479" t="n">
        <v>70.94</v>
      </c>
      <c r="S1240" s="1479" t="n">
        <v>56.937</v>
      </c>
      <c r="T1240" s="1479" t="n">
        <v>59.596</v>
      </c>
      <c r="U1240" s="1480" t="n">
        <v>59.596</v>
      </c>
      <c r="V1240" s="1479" t="n">
        <v>55.763</v>
      </c>
      <c r="W1240" s="1479" t="n">
        <v>56.842</v>
      </c>
      <c r="X1240" s="1479" t="n">
        <v>56.355</v>
      </c>
      <c r="Y1240" s="1456">
        <f>Z1240</f>
        <v/>
      </c>
      <c r="Z1240" s="1480" t="n">
        <v>59.314</v>
      </c>
      <c r="AA1240" s="1479" t="n">
        <v>64.672</v>
      </c>
      <c r="AB1240" s="1479" t="n">
        <v>67.096</v>
      </c>
      <c r="AC1240" s="1479" t="n">
        <v>72.342</v>
      </c>
      <c r="AD1240" s="1456">
        <f>AE1240</f>
        <v/>
      </c>
      <c r="AE1240" s="1480" t="n">
        <v>81.232</v>
      </c>
      <c r="AF1240" s="1479" t="n">
        <v>77.084</v>
      </c>
      <c r="AG1240" s="1479" t="n">
        <v>77.911</v>
      </c>
      <c r="AH1240" s="1479" t="n">
        <v>80.01300000000001</v>
      </c>
      <c r="AI1240" s="1456">
        <f>AJ1240</f>
        <v/>
      </c>
      <c r="AJ1240" s="1480" t="n">
        <v>77.262</v>
      </c>
      <c r="AK1240" s="1479" t="n">
        <v>152.253</v>
      </c>
      <c r="AL1240" s="1479" t="n">
        <v>168.665</v>
      </c>
      <c r="AM1240" s="1479" t="n">
        <v>169.085</v>
      </c>
      <c r="AN1240" s="1456">
        <f>AO1240</f>
        <v/>
      </c>
      <c r="AO1240" s="1455">
        <f>162.521-AO1239</f>
        <v/>
      </c>
      <c r="AP1240" s="1510">
        <f>155.842-AP1239</f>
        <v/>
      </c>
      <c r="AQ1240" s="1510">
        <f>157.148-AQ1239</f>
        <v/>
      </c>
      <c r="AR1240" s="1510">
        <f>195.315-AR1239</f>
        <v/>
      </c>
      <c r="AS1240" s="1456">
        <f>AT1240</f>
        <v/>
      </c>
      <c r="AT1240" s="1455">
        <f>207.102-AT1239</f>
        <v/>
      </c>
      <c r="AU1240" s="1510">
        <f>224.624-AU1239</f>
        <v/>
      </c>
      <c r="AV1240" s="1510">
        <f>233.495-AV1239</f>
        <v/>
      </c>
      <c r="AW1240" s="1510">
        <f>232.041-AW1239</f>
        <v/>
      </c>
      <c r="AX1240" s="1456">
        <f>AY1240</f>
        <v/>
      </c>
      <c r="AY1240" s="1455">
        <f>225.663-AY1239</f>
        <v/>
      </c>
      <c r="AZ1240" s="1510">
        <f>219.428-AZ1239</f>
        <v/>
      </c>
      <c r="BA1240" s="1510">
        <f>230.982-BA1239</f>
        <v/>
      </c>
      <c r="BB1240" s="1510">
        <f>252.999-BB1239</f>
        <v/>
      </c>
      <c r="BC1240" s="1456">
        <f>BD1240</f>
        <v/>
      </c>
      <c r="BD1240" s="1455">
        <f>304.66-BD1239</f>
        <v/>
      </c>
      <c r="BE1240" s="1510">
        <f>298.546-BE1239</f>
        <v/>
      </c>
      <c r="BF1240" s="1510">
        <f>305.165-BF1239</f>
        <v/>
      </c>
      <c r="BG1240" s="1510">
        <f>303.904-BG1239</f>
        <v/>
      </c>
      <c r="BH1240" s="1456">
        <f>BI1240</f>
        <v/>
      </c>
      <c r="BI1240" s="1455">
        <f>275.651-BI1239</f>
        <v/>
      </c>
      <c r="BJ1240" s="1510">
        <f>301.983-BJ1239</f>
        <v/>
      </c>
      <c r="BK1240" s="1510">
        <f>343.369-BK1239</f>
        <v/>
      </c>
      <c r="BL1240" s="1510">
        <f>351.028-BL1239</f>
        <v/>
      </c>
      <c r="BM1240" s="1456">
        <f>BN1240</f>
        <v/>
      </c>
      <c r="BN1240" s="1455">
        <f>339.448-BN1239</f>
        <v/>
      </c>
      <c r="BO1240" s="1510">
        <f>348.601-BO1239</f>
        <v/>
      </c>
      <c r="BP1240" s="1510">
        <f>373.002-BP1239</f>
        <v/>
      </c>
      <c r="BQ1240" s="1511">
        <f>384.51-BQ1239</f>
        <v/>
      </c>
      <c r="BR1240" s="1456">
        <f>BQ1240</f>
        <v/>
      </c>
      <c r="BS1240" s="1455">
        <f>BR1240</f>
        <v/>
      </c>
      <c r="BT1240" s="1456">
        <f>BS1240</f>
        <v/>
      </c>
      <c r="BU1240" s="1456">
        <f>BT1240</f>
        <v/>
      </c>
      <c r="BV1240" s="1456">
        <f>BU1240</f>
        <v/>
      </c>
      <c r="BW1240" s="1456">
        <f>BV1240</f>
        <v/>
      </c>
      <c r="BX1240" s="1455">
        <f>BW1240</f>
        <v/>
      </c>
      <c r="BY1240" s="1455">
        <f>BX1240</f>
        <v/>
      </c>
      <c r="BZ1240" s="1455">
        <f>BY1240</f>
        <v/>
      </c>
      <c r="CA1240" s="1455">
        <f>BZ1240</f>
        <v/>
      </c>
      <c r="CB1240" s="1364" t="n"/>
    </row>
    <row r="1241" ht="14.4" customFormat="1" customHeight="1" s="1372">
      <c r="A1241" s="1400" t="inlineStr">
        <is>
          <t>Total Non-Current liabilities</t>
        </is>
      </c>
      <c r="B1241" s="1516" t="n"/>
      <c r="C1241" s="1402">
        <f>SUM(C1235:C1240)</f>
        <v/>
      </c>
      <c r="D1241" s="1402">
        <f>SUM(D1235:D1240)</f>
        <v/>
      </c>
      <c r="E1241" s="1402">
        <f>SUM(E1235:E1240)</f>
        <v/>
      </c>
      <c r="F1241" s="1402">
        <f>SUM(F1235:F1240)</f>
        <v/>
      </c>
      <c r="G1241" s="1403">
        <f>SUM(G1235:G1240)</f>
        <v/>
      </c>
      <c r="H1241" s="1403">
        <f>SUM(H1235:H1240)</f>
        <v/>
      </c>
      <c r="I1241" s="1403">
        <f>SUM(I1235:I1240)</f>
        <v/>
      </c>
      <c r="J1241" s="1403">
        <f>SUM(J1235:J1240)</f>
        <v/>
      </c>
      <c r="K1241" s="1402">
        <f>SUM(K1235:K1240)</f>
        <v/>
      </c>
      <c r="L1241" s="1403">
        <f>SUM(L1235:L1240)</f>
        <v/>
      </c>
      <c r="M1241" s="1403">
        <f>SUM(M1235:M1240)</f>
        <v/>
      </c>
      <c r="N1241" s="1403">
        <f>SUM(N1235:N1240)</f>
        <v/>
      </c>
      <c r="O1241" s="1403">
        <f>SUM(O1235:O1240)</f>
        <v/>
      </c>
      <c r="P1241" s="1402">
        <f>SUM(P1235:P1240)</f>
        <v/>
      </c>
      <c r="Q1241" s="1403">
        <f>SUM(Q1235:Q1240)</f>
        <v/>
      </c>
      <c r="R1241" s="1403">
        <f>SUM(R1235:R1240)</f>
        <v/>
      </c>
      <c r="S1241" s="1403">
        <f>SUM(S1235:S1240)</f>
        <v/>
      </c>
      <c r="T1241" s="1403">
        <f>SUM(T1235:T1240)</f>
        <v/>
      </c>
      <c r="U1241" s="1402">
        <f>SUM(U1235:U1240)</f>
        <v/>
      </c>
      <c r="V1241" s="1403">
        <f>SUM(V1235:V1240)</f>
        <v/>
      </c>
      <c r="W1241" s="1403">
        <f>SUM(W1235:W1240)</f>
        <v/>
      </c>
      <c r="X1241" s="1403">
        <f>SUM(X1235:X1240)</f>
        <v/>
      </c>
      <c r="Y1241" s="1404">
        <f>SUM(Y1235:Y1240)</f>
        <v/>
      </c>
      <c r="Z1241" s="1405">
        <f>SUM(Z1235:Z1240)</f>
        <v/>
      </c>
      <c r="AA1241" s="1403">
        <f>SUM(AA1235:AA1240)</f>
        <v/>
      </c>
      <c r="AB1241" s="1403">
        <f>SUM(AB1235:AB1240)</f>
        <v/>
      </c>
      <c r="AC1241" s="1403">
        <f>SUM(AC1235:AC1240)</f>
        <v/>
      </c>
      <c r="AD1241" s="1404">
        <f>SUM(AD1235:AD1240)</f>
        <v/>
      </c>
      <c r="AE1241" s="1405">
        <f>SUM(AE1235:AE1240)</f>
        <v/>
      </c>
      <c r="AF1241" s="1403">
        <f>SUM(AF1235:AF1240)</f>
        <v/>
      </c>
      <c r="AG1241" s="1403">
        <f>SUM(AG1235:AG1240)</f>
        <v/>
      </c>
      <c r="AH1241" s="1403">
        <f>SUM(AH1235:AH1240)</f>
        <v/>
      </c>
      <c r="AI1241" s="1404">
        <f>SUM(AI1235:AI1240)</f>
        <v/>
      </c>
      <c r="AJ1241" s="1405">
        <f>SUM(AJ1235:AJ1240)</f>
        <v/>
      </c>
      <c r="AK1241" s="1403">
        <f>SUM(AK1235:AK1240)</f>
        <v/>
      </c>
      <c r="AL1241" s="1403">
        <f>SUM(AL1235:AL1240)</f>
        <v/>
      </c>
      <c r="AM1241" s="1403">
        <f>SUM(AM1235:AM1240)</f>
        <v/>
      </c>
      <c r="AN1241" s="1404">
        <f>SUM(AN1235:AN1240)</f>
        <v/>
      </c>
      <c r="AO1241" s="1405">
        <f>SUM(AO1235:AO1240)</f>
        <v/>
      </c>
      <c r="AP1241" s="1403">
        <f>SUM(AP1235:AP1240)</f>
        <v/>
      </c>
      <c r="AQ1241" s="1403">
        <f>SUM(AQ1235:AQ1240)</f>
        <v/>
      </c>
      <c r="AR1241" s="1403">
        <f>SUM(AR1235:AR1240)</f>
        <v/>
      </c>
      <c r="AS1241" s="1404">
        <f>SUM(AS1235:AS1240)</f>
        <v/>
      </c>
      <c r="AT1241" s="1405">
        <f>SUM(AT1235:AT1240)</f>
        <v/>
      </c>
      <c r="AU1241" s="1403">
        <f>SUM(AU1235:AU1240)</f>
        <v/>
      </c>
      <c r="AV1241" s="1403">
        <f>SUM(AV1235:AV1240)</f>
        <v/>
      </c>
      <c r="AW1241" s="1403">
        <f>SUM(AW1235:AW1240)</f>
        <v/>
      </c>
      <c r="AX1241" s="1404">
        <f>SUM(AX1235:AX1240)</f>
        <v/>
      </c>
      <c r="AY1241" s="1405">
        <f>SUM(AY1235:AY1240)</f>
        <v/>
      </c>
      <c r="AZ1241" s="1403">
        <f>SUM(AZ1235:AZ1240)</f>
        <v/>
      </c>
      <c r="BA1241" s="1403">
        <f>SUM(BA1235:BA1240)</f>
        <v/>
      </c>
      <c r="BB1241" s="1403">
        <f>SUM(BB1235:BB1240)</f>
        <v/>
      </c>
      <c r="BC1241" s="1404">
        <f>SUM(BC1235:BC1240)</f>
        <v/>
      </c>
      <c r="BD1241" s="1405">
        <f>SUM(BD1235:BD1240)</f>
        <v/>
      </c>
      <c r="BE1241" s="1403">
        <f>SUM(BE1235:BE1240)</f>
        <v/>
      </c>
      <c r="BF1241" s="1403">
        <f>SUM(BF1235:BF1240)</f>
        <v/>
      </c>
      <c r="BG1241" s="1403">
        <f>SUM(BG1235:BG1240)</f>
        <v/>
      </c>
      <c r="BH1241" s="1404">
        <f>SUM(BH1235:BH1240)</f>
        <v/>
      </c>
      <c r="BI1241" s="1405">
        <f>SUM(BI1235:BI1240)</f>
        <v/>
      </c>
      <c r="BJ1241" s="1403">
        <f>SUM(BJ1235:BJ1240)</f>
        <v/>
      </c>
      <c r="BK1241" s="1403">
        <f>SUM(BK1235:BK1240)</f>
        <v/>
      </c>
      <c r="BL1241" s="1403">
        <f>SUM(BL1235:BL1240)</f>
        <v/>
      </c>
      <c r="BM1241" s="1404">
        <f>SUM(BM1235:BM1240)</f>
        <v/>
      </c>
      <c r="BN1241" s="1405">
        <f>SUM(BN1235:BN1240)</f>
        <v/>
      </c>
      <c r="BO1241" s="1403">
        <f>SUM(BO1235:BO1240)</f>
        <v/>
      </c>
      <c r="BP1241" s="1403">
        <f>SUM(BP1235:BP1240)</f>
        <v/>
      </c>
      <c r="BQ1241" s="1406">
        <f>SUM(BQ1235:BQ1240)</f>
        <v/>
      </c>
      <c r="BR1241" s="1404">
        <f>SUM(BR1235:BR1240)</f>
        <v/>
      </c>
      <c r="BS1241" s="1405">
        <f>SUM(BS1235:BS1240)</f>
        <v/>
      </c>
      <c r="BT1241" s="1404">
        <f>SUM(BT1235:BT1240)</f>
        <v/>
      </c>
      <c r="BU1241" s="1404">
        <f>SUM(BU1235:BU1240)</f>
        <v/>
      </c>
      <c r="BV1241" s="1404">
        <f>SUM(BV1235:BV1240)</f>
        <v/>
      </c>
      <c r="BW1241" s="1404">
        <f>SUM(BW1235:BW1240)</f>
        <v/>
      </c>
      <c r="BX1241" s="1405">
        <f>SUM(BX1235:BX1240)</f>
        <v/>
      </c>
      <c r="BY1241" s="1405">
        <f>SUM(BY1235:BY1240)</f>
        <v/>
      </c>
      <c r="BZ1241" s="1405">
        <f>SUM(BZ1235:BZ1240)</f>
        <v/>
      </c>
      <c r="CA1241" s="1405">
        <f>SUM(CA1235:CA1240)</f>
        <v/>
      </c>
      <c r="CB1241" s="1375" t="n"/>
    </row>
    <row r="1242" ht="14.4" customFormat="1" customHeight="1" s="1372">
      <c r="A1242" s="1452" t="inlineStr">
        <is>
          <t>Total Liabilities</t>
        </is>
      </c>
      <c r="B1242" s="1517" t="n"/>
      <c r="C1242" s="1458">
        <f>C1232+C1241</f>
        <v/>
      </c>
      <c r="D1242" s="1458">
        <f>D1232+D1241</f>
        <v/>
      </c>
      <c r="E1242" s="1458">
        <f>E1232+E1241</f>
        <v/>
      </c>
      <c r="F1242" s="1458">
        <f>F1232+F1241</f>
        <v/>
      </c>
      <c r="G1242" s="1375">
        <f>G1232+G1241</f>
        <v/>
      </c>
      <c r="H1242" s="1375">
        <f>H1232+H1241</f>
        <v/>
      </c>
      <c r="I1242" s="1375">
        <f>I1232+I1241</f>
        <v/>
      </c>
      <c r="J1242" s="1375">
        <f>J1232+J1241</f>
        <v/>
      </c>
      <c r="K1242" s="1458">
        <f>K1232+K1241</f>
        <v/>
      </c>
      <c r="L1242" s="1375">
        <f>L1232+L1241</f>
        <v/>
      </c>
      <c r="M1242" s="1375">
        <f>M1232+M1241</f>
        <v/>
      </c>
      <c r="N1242" s="1375">
        <f>N1232+N1241</f>
        <v/>
      </c>
      <c r="O1242" s="1375">
        <f>O1232+O1241</f>
        <v/>
      </c>
      <c r="P1242" s="1458">
        <f>P1232+P1241</f>
        <v/>
      </c>
      <c r="Q1242" s="1375">
        <f>Q1232+Q1241</f>
        <v/>
      </c>
      <c r="R1242" s="1375">
        <f>R1232+R1241</f>
        <v/>
      </c>
      <c r="S1242" s="1375">
        <f>S1232+S1241</f>
        <v/>
      </c>
      <c r="T1242" s="1375">
        <f>T1232+T1241</f>
        <v/>
      </c>
      <c r="U1242" s="1458">
        <f>U1232+U1241</f>
        <v/>
      </c>
      <c r="V1242" s="1375">
        <f>V1232+V1241</f>
        <v/>
      </c>
      <c r="W1242" s="1375">
        <f>W1232+W1241</f>
        <v/>
      </c>
      <c r="X1242" s="1375">
        <f>X1232+X1241</f>
        <v/>
      </c>
      <c r="Y1242" s="1450">
        <f>Y1232+Y1241</f>
        <v/>
      </c>
      <c r="Z1242" s="1449">
        <f>Z1232+Z1241</f>
        <v/>
      </c>
      <c r="AA1242" s="1375">
        <f>AA1232+AA1241</f>
        <v/>
      </c>
      <c r="AB1242" s="1375">
        <f>AB1232+AB1241</f>
        <v/>
      </c>
      <c r="AC1242" s="1375">
        <f>AC1232+AC1241</f>
        <v/>
      </c>
      <c r="AD1242" s="1450">
        <f>AD1232+AD1241</f>
        <v/>
      </c>
      <c r="AE1242" s="1449">
        <f>AE1232+AE1241</f>
        <v/>
      </c>
      <c r="AF1242" s="1375">
        <f>AF1232+AF1241</f>
        <v/>
      </c>
      <c r="AG1242" s="1375">
        <f>AG1232+AG1241</f>
        <v/>
      </c>
      <c r="AH1242" s="1375">
        <f>AH1232+AH1241</f>
        <v/>
      </c>
      <c r="AI1242" s="1450">
        <f>AI1232+AI1241</f>
        <v/>
      </c>
      <c r="AJ1242" s="1449">
        <f>AJ1232+AJ1241</f>
        <v/>
      </c>
      <c r="AK1242" s="1375">
        <f>AK1232+AK1241</f>
        <v/>
      </c>
      <c r="AL1242" s="1375">
        <f>AL1232+AL1241</f>
        <v/>
      </c>
      <c r="AM1242" s="1375">
        <f>AM1232+AM1241</f>
        <v/>
      </c>
      <c r="AN1242" s="1450">
        <f>AN1232+AN1241</f>
        <v/>
      </c>
      <c r="AO1242" s="1449">
        <f>AO1232+AO1241</f>
        <v/>
      </c>
      <c r="AP1242" s="1375">
        <f>AP1232+AP1241</f>
        <v/>
      </c>
      <c r="AQ1242" s="1375">
        <f>AQ1232+AQ1241</f>
        <v/>
      </c>
      <c r="AR1242" s="1375">
        <f>AR1232+AR1241</f>
        <v/>
      </c>
      <c r="AS1242" s="1450">
        <f>AS1232+AS1241</f>
        <v/>
      </c>
      <c r="AT1242" s="1449">
        <f>AT1232+AT1241</f>
        <v/>
      </c>
      <c r="AU1242" s="1375">
        <f>AU1232+AU1241</f>
        <v/>
      </c>
      <c r="AV1242" s="1375">
        <f>AV1232+AV1241</f>
        <v/>
      </c>
      <c r="AW1242" s="1375">
        <f>AW1232+AW1241</f>
        <v/>
      </c>
      <c r="AX1242" s="1450">
        <f>AX1232+AX1241</f>
        <v/>
      </c>
      <c r="AY1242" s="1449">
        <f>AY1232+AY1241</f>
        <v/>
      </c>
      <c r="AZ1242" s="1375">
        <f>AZ1232+AZ1241</f>
        <v/>
      </c>
      <c r="BA1242" s="1375">
        <f>BA1232+BA1241</f>
        <v/>
      </c>
      <c r="BB1242" s="1375">
        <f>BB1232+BB1241</f>
        <v/>
      </c>
      <c r="BC1242" s="1450">
        <f>BC1232+BC1241</f>
        <v/>
      </c>
      <c r="BD1242" s="1449">
        <f>BD1232+BD1241</f>
        <v/>
      </c>
      <c r="BE1242" s="1375">
        <f>BE1232+BE1241</f>
        <v/>
      </c>
      <c r="BF1242" s="1375">
        <f>BF1232+BF1241</f>
        <v/>
      </c>
      <c r="BG1242" s="1375">
        <f>BG1232+BG1241</f>
        <v/>
      </c>
      <c r="BH1242" s="1450">
        <f>BH1232+BH1241</f>
        <v/>
      </c>
      <c r="BI1242" s="1449">
        <f>BI1232+BI1241</f>
        <v/>
      </c>
      <c r="BJ1242" s="1375">
        <f>BJ1232+BJ1241</f>
        <v/>
      </c>
      <c r="BK1242" s="1375">
        <f>BK1232+BK1241</f>
        <v/>
      </c>
      <c r="BL1242" s="1375">
        <f>BL1232+BL1241</f>
        <v/>
      </c>
      <c r="BM1242" s="1450">
        <f>BM1232+BM1241</f>
        <v/>
      </c>
      <c r="BN1242" s="1449">
        <f>BN1232+BN1241</f>
        <v/>
      </c>
      <c r="BO1242" s="1375">
        <f>BO1232+BO1241</f>
        <v/>
      </c>
      <c r="BP1242" s="1375">
        <f>BP1232+BP1241</f>
        <v/>
      </c>
      <c r="BQ1242" s="1459">
        <f>BQ1232+BQ1241</f>
        <v/>
      </c>
      <c r="BR1242" s="1450">
        <f>BR1232+BR1241</f>
        <v/>
      </c>
      <c r="BS1242" s="1449">
        <f>BS1232+BS1241</f>
        <v/>
      </c>
      <c r="BT1242" s="1450">
        <f>BT1232+BT1241</f>
        <v/>
      </c>
      <c r="BU1242" s="1450">
        <f>BU1232+BU1241</f>
        <v/>
      </c>
      <c r="BV1242" s="1450">
        <f>BV1232+BV1241</f>
        <v/>
      </c>
      <c r="BW1242" s="1450">
        <f>BW1232+BW1241</f>
        <v/>
      </c>
      <c r="BX1242" s="1449">
        <f>BX1232+BX1241</f>
        <v/>
      </c>
      <c r="BY1242" s="1449">
        <f>BY1232+BY1241</f>
        <v/>
      </c>
      <c r="BZ1242" s="1449">
        <f>BZ1232+BZ1241</f>
        <v/>
      </c>
      <c r="CA1242" s="1449">
        <f>CA1232+CA1241</f>
        <v/>
      </c>
      <c r="CB1242" s="1375" t="n"/>
    </row>
    <row r="1243" ht="14.4" customFormat="1" customHeight="1" s="1372">
      <c r="A1243" s="1447" t="n"/>
      <c r="B1243" s="1517" t="n"/>
      <c r="C1243" s="1449" t="n"/>
      <c r="D1243" s="1449" t="n"/>
      <c r="E1243" s="1449" t="n"/>
      <c r="F1243" s="1449" t="n"/>
      <c r="G1243" s="1450" t="n"/>
      <c r="H1243" s="1450" t="n"/>
      <c r="I1243" s="1450" t="n"/>
      <c r="J1243" s="1450" t="n"/>
      <c r="K1243" s="1449" t="n"/>
      <c r="L1243" s="1450" t="n"/>
      <c r="M1243" s="1450" t="n"/>
      <c r="N1243" s="1450" t="n"/>
      <c r="O1243" s="1450" t="n"/>
      <c r="P1243" s="1449" t="n"/>
      <c r="Q1243" s="1450" t="n"/>
      <c r="R1243" s="1450" t="n"/>
      <c r="S1243" s="1450" t="n"/>
      <c r="T1243" s="1450" t="n"/>
      <c r="U1243" s="1449" t="n"/>
      <c r="V1243" s="1450" t="n"/>
      <c r="W1243" s="1450" t="n"/>
      <c r="X1243" s="1450" t="n"/>
      <c r="Y1243" s="1450" t="n"/>
      <c r="Z1243" s="1449" t="n"/>
      <c r="AA1243" s="1450" t="n"/>
      <c r="AB1243" s="1450" t="n"/>
      <c r="AC1243" s="1450" t="n"/>
      <c r="AD1243" s="1450" t="n"/>
      <c r="AE1243" s="1449" t="n"/>
      <c r="AF1243" s="1450" t="n"/>
      <c r="AG1243" s="1450" t="n"/>
      <c r="AH1243" s="1450" t="n"/>
      <c r="AI1243" s="1450" t="n"/>
      <c r="AJ1243" s="1449" t="n"/>
      <c r="AK1243" s="1450" t="n"/>
      <c r="AL1243" s="1450" t="n"/>
      <c r="AM1243" s="1450" t="n"/>
      <c r="AN1243" s="1450" t="n"/>
      <c r="AO1243" s="1449" t="n"/>
      <c r="AP1243" s="1450" t="n"/>
      <c r="AQ1243" s="1450" t="n"/>
      <c r="AR1243" s="1450" t="n"/>
      <c r="AS1243" s="1450" t="n"/>
      <c r="AT1243" s="1449" t="n"/>
      <c r="AU1243" s="1450" t="n"/>
      <c r="AV1243" s="1450" t="n"/>
      <c r="AW1243" s="1450" t="n"/>
      <c r="AX1243" s="1450" t="n"/>
      <c r="AY1243" s="1449" t="n"/>
      <c r="AZ1243" s="1450" t="n"/>
      <c r="BA1243" s="1450" t="n"/>
      <c r="BB1243" s="1450" t="n"/>
      <c r="BC1243" s="1450" t="n"/>
      <c r="BD1243" s="1449" t="n"/>
      <c r="BE1243" s="1450" t="n"/>
      <c r="BF1243" s="1450" t="n"/>
      <c r="BG1243" s="1450" t="n"/>
      <c r="BH1243" s="1450" t="n"/>
      <c r="BI1243" s="1449" t="n"/>
      <c r="BJ1243" s="1450" t="n"/>
      <c r="BK1243" s="1450" t="n"/>
      <c r="BL1243" s="1450" t="n"/>
      <c r="BM1243" s="1450" t="n"/>
      <c r="BN1243" s="1449" t="n"/>
      <c r="BO1243" s="1450" t="n"/>
      <c r="BP1243" s="1450" t="n"/>
      <c r="BQ1243" s="1451" t="n"/>
      <c r="BR1243" s="1450" t="n"/>
      <c r="BS1243" s="1449" t="n"/>
      <c r="BT1243" s="1450" t="n"/>
      <c r="BU1243" s="1450" t="n"/>
      <c r="BV1243" s="1450" t="n"/>
      <c r="BW1243" s="1450" t="n"/>
      <c r="BX1243" s="1449" t="n"/>
      <c r="BY1243" s="1449" t="n"/>
      <c r="BZ1243" s="1449" t="n"/>
      <c r="CA1243" s="1449" t="n"/>
      <c r="CB1243" s="1375" t="n"/>
    </row>
    <row r="1244" ht="14.4" customFormat="1" customHeight="1" s="1372">
      <c r="A1244" s="1837" t="inlineStr">
        <is>
          <t>Shareholders' Equity</t>
        </is>
      </c>
      <c r="B1244" s="1517" t="n"/>
      <c r="C1244" s="1449" t="n"/>
      <c r="D1244" s="1449" t="n"/>
      <c r="E1244" s="1449" t="n"/>
      <c r="F1244" s="1449" t="n"/>
      <c r="G1244" s="1450" t="n"/>
      <c r="H1244" s="1450" t="n"/>
      <c r="I1244" s="1450" t="n"/>
      <c r="J1244" s="1450" t="n"/>
      <c r="K1244" s="1449" t="n"/>
      <c r="L1244" s="1450" t="n"/>
      <c r="M1244" s="1450" t="n"/>
      <c r="N1244" s="1450" t="n"/>
      <c r="O1244" s="1450" t="n"/>
      <c r="P1244" s="1449" t="n"/>
      <c r="Q1244" s="1450" t="n"/>
      <c r="R1244" s="1450" t="n"/>
      <c r="S1244" s="1450" t="n"/>
      <c r="T1244" s="1450" t="n"/>
      <c r="U1244" s="1449" t="n"/>
      <c r="V1244" s="1450" t="n"/>
      <c r="W1244" s="1450" t="n"/>
      <c r="X1244" s="1450" t="n"/>
      <c r="Y1244" s="1450" t="n"/>
      <c r="Z1244" s="1449" t="n"/>
      <c r="AA1244" s="1450" t="n"/>
      <c r="AB1244" s="1450" t="n"/>
      <c r="AC1244" s="1450" t="n"/>
      <c r="AD1244" s="1450" t="n"/>
      <c r="AE1244" s="1449" t="n"/>
      <c r="AF1244" s="1450" t="n"/>
      <c r="AG1244" s="1450" t="n"/>
      <c r="AH1244" s="1450" t="n"/>
      <c r="AI1244" s="1450" t="n"/>
      <c r="AJ1244" s="1449" t="n"/>
      <c r="AK1244" s="1450" t="n"/>
      <c r="AL1244" s="1450" t="n"/>
      <c r="AM1244" s="1450" t="n"/>
      <c r="AN1244" s="1450" t="n"/>
      <c r="AO1244" s="1449" t="n"/>
      <c r="AP1244" s="1450" t="n"/>
      <c r="AQ1244" s="1450" t="n"/>
      <c r="AR1244" s="1450" t="n"/>
      <c r="AS1244" s="1450" t="n"/>
      <c r="AT1244" s="1449" t="n"/>
      <c r="AU1244" s="1450" t="n"/>
      <c r="AV1244" s="1450" t="n"/>
      <c r="AW1244" s="1450" t="n"/>
      <c r="AX1244" s="1450" t="n"/>
      <c r="AY1244" s="1449" t="n"/>
      <c r="AZ1244" s="1450" t="n"/>
      <c r="BA1244" s="1450" t="n"/>
      <c r="BB1244" s="1450" t="n"/>
      <c r="BC1244" s="1450" t="n"/>
      <c r="BD1244" s="1449" t="n"/>
      <c r="BE1244" s="1450" t="n"/>
      <c r="BF1244" s="1450" t="n"/>
      <c r="BG1244" s="1450" t="n"/>
      <c r="BH1244" s="1450" t="n"/>
      <c r="BI1244" s="1449" t="n"/>
      <c r="BJ1244" s="1450" t="n"/>
      <c r="BK1244" s="1450" t="n"/>
      <c r="BL1244" s="1450" t="n"/>
      <c r="BM1244" s="1450" t="n"/>
      <c r="BN1244" s="1449" t="n"/>
      <c r="BO1244" s="1450" t="n"/>
      <c r="BP1244" s="1450" t="n"/>
      <c r="BQ1244" s="1451" t="n"/>
      <c r="BR1244" s="1450" t="n"/>
      <c r="BS1244" s="1449" t="n"/>
      <c r="BT1244" s="1450" t="n"/>
      <c r="BU1244" s="1450" t="n"/>
      <c r="BV1244" s="1450" t="n"/>
      <c r="BW1244" s="1450" t="n"/>
      <c r="BX1244" s="1449" t="n"/>
      <c r="BY1244" s="1449" t="n"/>
      <c r="BZ1244" s="1449" t="n"/>
      <c r="CA1244" s="1449" t="n"/>
      <c r="CB1244" s="1375" t="n"/>
    </row>
    <row r="1245" ht="14.4" customFormat="1" customHeight="1" s="1359">
      <c r="A1245" s="1394" t="inlineStr">
        <is>
          <t>Preferred stock</t>
        </is>
      </c>
      <c r="B1245" s="1512" t="n"/>
      <c r="C1245" s="1379" t="n"/>
      <c r="D1245" s="1379" t="n"/>
      <c r="E1245" s="1379" t="n"/>
      <c r="F1245" s="1379" t="n"/>
      <c r="G1245" s="1361" t="n"/>
      <c r="H1245" s="1361" t="n"/>
      <c r="I1245" s="1361" t="n"/>
      <c r="J1245" s="1361" t="n"/>
      <c r="K1245" s="1379" t="n"/>
      <c r="L1245" s="1361" t="n"/>
      <c r="M1245" s="1361" t="n"/>
      <c r="N1245" s="1361" t="n"/>
      <c r="O1245" s="1361" t="n"/>
      <c r="P1245" s="1379" t="n"/>
      <c r="Q1245" s="1361" t="n"/>
      <c r="R1245" s="1361" t="n"/>
      <c r="S1245" s="1361" t="n"/>
      <c r="T1245" s="1361" t="n"/>
      <c r="U1245" s="1379" t="n"/>
      <c r="V1245" s="1361" t="n"/>
      <c r="W1245" s="1361" t="n"/>
      <c r="X1245" s="1361" t="n"/>
      <c r="Y1245" s="1361" t="n"/>
      <c r="Z1245" s="1379" t="n"/>
      <c r="AA1245" s="1361" t="n"/>
      <c r="AB1245" s="1361" t="n"/>
      <c r="AC1245" s="1361" t="n"/>
      <c r="AD1245" s="1361" t="n"/>
      <c r="AE1245" s="1379" t="n"/>
      <c r="AF1245" s="1361" t="n"/>
      <c r="AG1245" s="1361" t="n"/>
      <c r="AH1245" s="1361" t="n"/>
      <c r="AI1245" s="1361" t="n"/>
      <c r="AJ1245" s="1379" t="n"/>
      <c r="AK1245" s="1361" t="n"/>
      <c r="AL1245" s="1361" t="n"/>
      <c r="AM1245" s="1361" t="n"/>
      <c r="AN1245" s="1361" t="n"/>
      <c r="AO1245" s="1379" t="n"/>
      <c r="AP1245" s="1361" t="n"/>
      <c r="AQ1245" s="1361" t="n"/>
      <c r="AR1245" s="1361" t="n"/>
      <c r="AS1245" s="1361" t="n"/>
      <c r="AT1245" s="1379" t="n"/>
      <c r="AU1245" s="1361" t="n"/>
      <c r="AV1245" s="1361" t="n"/>
      <c r="AW1245" s="1361" t="n"/>
      <c r="AX1245" s="1361" t="n"/>
      <c r="AY1245" s="1379" t="n"/>
      <c r="AZ1245" s="1361" t="n"/>
      <c r="BA1245" s="1361" t="n"/>
      <c r="BB1245" s="1361" t="n"/>
      <c r="BC1245" s="1361" t="n"/>
      <c r="BD1245" s="1379" t="n"/>
      <c r="BE1245" s="1361" t="n"/>
      <c r="BF1245" s="1361" t="n"/>
      <c r="BG1245" s="1361" t="n"/>
      <c r="BH1245" s="1361" t="n"/>
      <c r="BI1245" s="1379" t="n"/>
      <c r="BJ1245" s="1361" t="n"/>
      <c r="BK1245" s="1361" t="n"/>
      <c r="BL1245" s="1361" t="n"/>
      <c r="BM1245" s="1361" t="n"/>
      <c r="BN1245" s="1379" t="n"/>
      <c r="BO1245" s="1361" t="n"/>
      <c r="BP1245" s="1361" t="n"/>
      <c r="BQ1245" s="1363" t="n"/>
      <c r="BR1245" s="1361" t="n"/>
      <c r="BS1245" s="1379" t="n"/>
      <c r="BT1245" s="1361" t="n"/>
      <c r="BU1245" s="1361" t="n"/>
      <c r="BV1245" s="1361" t="n"/>
      <c r="BW1245" s="1361" t="n"/>
      <c r="BX1245" s="1379" t="n"/>
      <c r="BY1245" s="1379" t="n"/>
      <c r="BZ1245" s="1379" t="n"/>
      <c r="CA1245" s="1379" t="n"/>
      <c r="CB1245" s="1364" t="n"/>
    </row>
    <row r="1246" ht="14.4" customFormat="1" customHeight="1" s="1359">
      <c r="A1246" s="1474" t="inlineStr">
        <is>
          <t>Common stock and capital in excess of par value</t>
        </is>
      </c>
      <c r="B1246" s="1512" t="n"/>
      <c r="C1246" s="1494" t="n">
        <v>1674.396</v>
      </c>
      <c r="D1246" s="1494" t="n">
        <v>1715.541</v>
      </c>
      <c r="E1246" s="1494" t="n">
        <v>1733.884</v>
      </c>
      <c r="F1246" s="1494" t="n">
        <v>1721.556</v>
      </c>
      <c r="G1246" s="1493" t="n">
        <v>1727.901</v>
      </c>
      <c r="H1246" s="1493" t="n">
        <v>1744.261</v>
      </c>
      <c r="I1246" s="1493" t="n">
        <v>1739.677</v>
      </c>
      <c r="J1246" s="1493" t="n">
        <v>1757.242</v>
      </c>
      <c r="K1246" s="1494" t="n">
        <v>1757.242</v>
      </c>
      <c r="L1246" s="1493" t="n">
        <v>1785.069</v>
      </c>
      <c r="M1246" s="1493" t="n">
        <v>1812.175</v>
      </c>
      <c r="N1246" s="1493" t="n">
        <v>1820.332</v>
      </c>
      <c r="O1246" s="1493" t="n">
        <v>1851.427</v>
      </c>
      <c r="P1246" s="1494" t="n">
        <v>1851.427</v>
      </c>
      <c r="Q1246" s="1493" t="n">
        <v>1869.104</v>
      </c>
      <c r="R1246" s="1493" t="n">
        <v>1886.421</v>
      </c>
      <c r="S1246" s="1493" t="n">
        <v>1853.284</v>
      </c>
      <c r="T1246" s="1493" t="n">
        <v>1863.086</v>
      </c>
      <c r="U1246" s="1494" t="n">
        <v>1863.086</v>
      </c>
      <c r="V1246" s="1493" t="n">
        <v>1844.287</v>
      </c>
      <c r="W1246" s="1493" t="n">
        <v>1851.724</v>
      </c>
      <c r="X1246" s="1493" t="n">
        <v>1801.125</v>
      </c>
      <c r="Y1246" s="1361">
        <f>Z1246</f>
        <v/>
      </c>
      <c r="Z1246" s="1494" t="n">
        <v>1820.081</v>
      </c>
      <c r="AA1246" s="1493" t="n">
        <v>1824.306</v>
      </c>
      <c r="AB1246" s="1493" t="n">
        <v>1848.719</v>
      </c>
      <c r="AC1246" s="1493" t="n">
        <v>1807.839</v>
      </c>
      <c r="AD1246" s="1361">
        <f>AE1246</f>
        <v/>
      </c>
      <c r="AE1246" s="1494" t="n">
        <v>1829.95</v>
      </c>
      <c r="AF1246" s="1493" t="n">
        <v>1858.692</v>
      </c>
      <c r="AG1246" s="1493" t="n">
        <v>1861.135</v>
      </c>
      <c r="AH1246" s="1493" t="n">
        <v>1897.749</v>
      </c>
      <c r="AI1246" s="1361">
        <f>AJ1246</f>
        <v/>
      </c>
      <c r="AJ1246" s="1494" t="n">
        <v>1936.124</v>
      </c>
      <c r="AK1246" s="1493" t="n">
        <v>1944.895</v>
      </c>
      <c r="AL1246" s="1493" t="n">
        <v>1984.464</v>
      </c>
      <c r="AM1246" s="1493" t="n">
        <v>2007.268</v>
      </c>
      <c r="AN1246" s="1361">
        <f>AO1246</f>
        <v/>
      </c>
      <c r="AO1246" s="1494" t="n">
        <v>2046.237</v>
      </c>
      <c r="AP1246" s="1493" t="n">
        <v>2099.425</v>
      </c>
      <c r="AQ1246" s="1493" t="n">
        <v>2143.016</v>
      </c>
      <c r="AR1246" s="1493" t="n">
        <v>2186.85</v>
      </c>
      <c r="AS1246" s="1361">
        <f>AT1246</f>
        <v/>
      </c>
      <c r="AT1246" s="1494" t="n">
        <v>2217.939</v>
      </c>
      <c r="AU1246" s="1493" t="n">
        <v>2307.965</v>
      </c>
      <c r="AV1246" s="1493" t="n">
        <v>2354.801</v>
      </c>
      <c r="AW1246" s="1493" t="n">
        <v>2411.791</v>
      </c>
      <c r="AX1246" s="1361">
        <f>AY1246</f>
        <v/>
      </c>
      <c r="AY1246" s="1494" t="n">
        <v>2467.701</v>
      </c>
      <c r="AZ1246" s="1493" t="n">
        <v>2552.207</v>
      </c>
      <c r="BA1246" s="1493" t="n">
        <v>2590.893</v>
      </c>
      <c r="BB1246" s="1493" t="n">
        <v>2697.632</v>
      </c>
      <c r="BC1246" s="1361">
        <f>BD1246</f>
        <v/>
      </c>
      <c r="BD1246" s="1494" t="n">
        <v>2765.673</v>
      </c>
      <c r="BE1246" s="1493" t="n">
        <v>2878.749</v>
      </c>
      <c r="BF1246" s="1493" t="n">
        <v>2897.885</v>
      </c>
      <c r="BG1246" s="1493" t="n">
        <v>3077.954</v>
      </c>
      <c r="BH1246" s="1361">
        <f>BI1246</f>
        <v/>
      </c>
      <c r="BI1246" s="1494" t="n">
        <v>3166.964</v>
      </c>
      <c r="BJ1246" s="1493" t="n">
        <v>3331.547</v>
      </c>
      <c r="BK1246" s="1493" t="n">
        <v>3928.477</v>
      </c>
      <c r="BL1246" s="1493" t="n">
        <v>4067.586</v>
      </c>
      <c r="BM1246" s="1361">
        <f>BN1246</f>
        <v/>
      </c>
      <c r="BN1246" s="1494" t="n">
        <v>4181.737</v>
      </c>
      <c r="BO1246" s="1493" t="n">
        <v>4327.187</v>
      </c>
      <c r="BP1246" s="1493" t="n">
        <v>4445.872</v>
      </c>
      <c r="BQ1246" s="1502" t="n">
        <v>4605.23</v>
      </c>
      <c r="BR1246" s="1361">
        <f>BQ1246+BR1088+BR1139+BR1134+(-BR599+BQ599-BR616+BQ616-BR633+BQ633-BR650+BQ650-BR667+BQ667)</f>
        <v/>
      </c>
      <c r="BS1246" s="1379">
        <f>BR1246</f>
        <v/>
      </c>
      <c r="BT1246" s="1361">
        <f>BS1246+BT1088+BT1139+BT1134+(-BT599+BS599-BT616+BS616-BT633+BS633-BT650+BS650-BT667+BS667)</f>
        <v/>
      </c>
      <c r="BU1246" s="1361">
        <f>BT1246+BU1088+BU1139+BU1134+(-BU599+BT599-BU616+BT616-BU633+BT633-BU650+BT650-BU667+BT667)</f>
        <v/>
      </c>
      <c r="BV1246" s="1361">
        <f>BU1246+BV1088+BV1139+BV1134+(-BV599+BU599-BV616+BU616-BV633+BU633-BV650+BU650-BV667+BU667)</f>
        <v/>
      </c>
      <c r="BW1246" s="1361">
        <f>BV1246+BW1088+BW1139+BW1134+(-BW599+BV599-BW616+BV616-BW633+BV633-BW650+BV650-BW667+BV667)</f>
        <v/>
      </c>
      <c r="BX1246" s="1379">
        <f>BW1246</f>
        <v/>
      </c>
      <c r="BY1246" s="1379">
        <f>BX1246+BY1088+BY1139+BY1134+(-BY599+BX599-BY616+BX616-BY633+BX633-BY650+BX650-BY667+BX667)</f>
        <v/>
      </c>
      <c r="BZ1246" s="1379">
        <f>BY1246+BZ1088+BZ1139+BZ1134+(-BZ599+BY599-BZ616+BY616-BZ633+BY633-BZ650+BY650-BZ667+BY667)</f>
        <v/>
      </c>
      <c r="CA1246" s="1379">
        <f>BZ1246+CA1088+CA1139+CA1134+(-CA599+BZ599-CA616+BZ616-CA633+BZ633-CA650+BZ650-CA667+BZ667)</f>
        <v/>
      </c>
      <c r="CB1246" s="1361" t="n"/>
    </row>
    <row r="1247" ht="14.4" customFormat="1" customHeight="1" s="1359">
      <c r="A1247" s="1394" t="inlineStr">
        <is>
          <t>Treasury stock, at cost</t>
        </is>
      </c>
      <c r="B1247" s="1512" t="n"/>
      <c r="C1247" s="1494" t="n">
        <v>-431.31</v>
      </c>
      <c r="D1247" s="1494" t="n">
        <v>-353.09</v>
      </c>
      <c r="E1247" s="1494" t="n">
        <v>-290.462</v>
      </c>
      <c r="F1247" s="1494" t="n">
        <v>-200.786</v>
      </c>
      <c r="G1247" s="1493" t="n">
        <v>-175.11</v>
      </c>
      <c r="H1247" s="1493" t="n">
        <v>-168.573</v>
      </c>
      <c r="I1247" s="1493" t="n">
        <v>-141.344</v>
      </c>
      <c r="J1247" s="1493" t="n">
        <v>-140.142</v>
      </c>
      <c r="K1247" s="1494" t="n">
        <v>-140.142</v>
      </c>
      <c r="L1247" s="1493" t="n">
        <v>-147.621</v>
      </c>
      <c r="M1247" s="1493" t="n">
        <v>-154.839</v>
      </c>
      <c r="N1247" s="1493" t="n">
        <v>-169.511</v>
      </c>
      <c r="O1247" s="1493" t="n">
        <v>-203.792</v>
      </c>
      <c r="P1247" s="1494" t="n">
        <v>-203.792</v>
      </c>
      <c r="Q1247" s="1493" t="n">
        <v>-219.578</v>
      </c>
      <c r="R1247" s="1493" t="n">
        <v>-256.476</v>
      </c>
      <c r="S1247" s="1493" t="n">
        <v>-307.408</v>
      </c>
      <c r="T1247" s="1493" t="n">
        <v>-400.555</v>
      </c>
      <c r="U1247" s="1494" t="n">
        <v>-400.555</v>
      </c>
      <c r="V1247" s="1493" t="n">
        <v>-587.348</v>
      </c>
      <c r="W1247" s="1493" t="n">
        <v>-800.059</v>
      </c>
      <c r="X1247" s="1493" t="n">
        <v>-963.604</v>
      </c>
      <c r="Y1247" s="1361">
        <f>Z1247</f>
        <v/>
      </c>
      <c r="Z1247" s="1494" t="n">
        <v>-1190.053</v>
      </c>
      <c r="AA1247" s="1493" t="n">
        <v>-1166.599</v>
      </c>
      <c r="AB1247" s="1493" t="n">
        <v>-1156.626</v>
      </c>
      <c r="AC1247" s="1493" t="n">
        <v>-1142.524</v>
      </c>
      <c r="AD1247" s="1361">
        <f>AE1247</f>
        <v/>
      </c>
      <c r="AE1247" s="1494" t="n">
        <v>-1178.121</v>
      </c>
      <c r="AF1247" s="1493" t="n">
        <v>-1222.151</v>
      </c>
      <c r="AG1247" s="1493" t="n">
        <v>-1234.941</v>
      </c>
      <c r="AH1247" s="1493" t="n">
        <v>-1292.265</v>
      </c>
      <c r="AI1247" s="1361">
        <f>AJ1247</f>
        <v/>
      </c>
      <c r="AJ1247" s="1494" t="n">
        <v>-1395.652</v>
      </c>
      <c r="AK1247" s="1493" t="n">
        <v>-1446.247</v>
      </c>
      <c r="AL1247" s="1493" t="n">
        <v>-1526.421</v>
      </c>
      <c r="AM1247" s="1493" t="n">
        <v>-1589.027</v>
      </c>
      <c r="AN1247" s="1361">
        <f>AO1247</f>
        <v/>
      </c>
      <c r="AO1247" s="1494" t="n">
        <v>-1668.105</v>
      </c>
      <c r="AP1247" s="1493" t="n">
        <v>-1778.533</v>
      </c>
      <c r="AQ1247" s="1493" t="n">
        <v>-1856.333</v>
      </c>
      <c r="AR1247" s="1493" t="n">
        <v>-1934.107</v>
      </c>
      <c r="AS1247" s="1361">
        <f>AT1247</f>
        <v/>
      </c>
      <c r="AT1247" s="1494" t="n">
        <v>-2057.829</v>
      </c>
      <c r="AU1247" s="1493" t="n">
        <v>-2275.998</v>
      </c>
      <c r="AV1247" s="1493" t="n">
        <v>-2509.668</v>
      </c>
      <c r="AW1247" s="1493" t="n">
        <v>-2622.675</v>
      </c>
      <c r="AX1247" s="1361">
        <f>AY1247</f>
        <v/>
      </c>
      <c r="AY1247" s="1494" t="n">
        <v>-2740.003</v>
      </c>
      <c r="AZ1247" s="1493" t="n">
        <v>-3025.728</v>
      </c>
      <c r="BA1247" s="1493" t="n">
        <v>-3352.827</v>
      </c>
      <c r="BB1247" s="1493" t="n">
        <v>-3522.219</v>
      </c>
      <c r="BC1247" s="1361">
        <f>BD1247</f>
        <v/>
      </c>
      <c r="BD1247" s="1494" t="n">
        <v>-3824.163</v>
      </c>
      <c r="BE1247" s="1493" t="n">
        <v>-3987.528</v>
      </c>
      <c r="BF1247" s="1493" t="n">
        <v>-4257.084</v>
      </c>
      <c r="BG1247" s="1493" t="n">
        <v>-4463.484</v>
      </c>
      <c r="BH1247" s="1361">
        <f>BI1247</f>
        <v/>
      </c>
      <c r="BI1247" s="1494" t="n">
        <v>-4604.323</v>
      </c>
      <c r="BJ1247" s="1493" t="n">
        <v>-4840.181</v>
      </c>
      <c r="BK1247" s="1493" t="n">
        <v>-4971.955</v>
      </c>
      <c r="BL1247" s="1493" t="n">
        <v>-5141.957</v>
      </c>
      <c r="BM1247" s="1361">
        <f>BN1247</f>
        <v/>
      </c>
      <c r="BN1247" s="1494" t="n">
        <v>-5309.579</v>
      </c>
      <c r="BO1247" s="1493" t="n">
        <v>-5693.2</v>
      </c>
      <c r="BP1247" s="1493" t="n">
        <v>-5888.804</v>
      </c>
      <c r="BQ1247" s="1502" t="n">
        <v>-6126.147</v>
      </c>
      <c r="BR1247" s="1361">
        <f>BQ1247+BR1146</f>
        <v/>
      </c>
      <c r="BS1247" s="1379">
        <f>BR1247</f>
        <v/>
      </c>
      <c r="BT1247" s="1361">
        <f>BS1247+BT1146</f>
        <v/>
      </c>
      <c r="BU1247" s="1361">
        <f>BT1247+BU1146</f>
        <v/>
      </c>
      <c r="BV1247" s="1361">
        <f>BU1247+BV1146</f>
        <v/>
      </c>
      <c r="BW1247" s="1361">
        <f>BV1247+BW1146</f>
        <v/>
      </c>
      <c r="BX1247" s="1379">
        <f>BW1247</f>
        <v/>
      </c>
      <c r="BY1247" s="1379">
        <f>BX1247+BY1146</f>
        <v/>
      </c>
      <c r="BZ1247" s="1379">
        <f>BY1247+BZ1146</f>
        <v/>
      </c>
      <c r="CA1247" s="1379">
        <f>BZ1247+CA1146</f>
        <v/>
      </c>
      <c r="CB1247" s="1364" t="n"/>
    </row>
    <row r="1248" ht="14.4" customFormat="1" customHeight="1" s="1359">
      <c r="A1248" s="1394" t="inlineStr">
        <is>
          <t>Retained earnings</t>
        </is>
      </c>
      <c r="B1248" s="1512" t="n"/>
      <c r="C1248" s="1494" t="n">
        <v>-1177.983</v>
      </c>
      <c r="D1248" s="1494" t="n">
        <v>-1138.853</v>
      </c>
      <c r="E1248" s="1494" t="n">
        <v>-1083.245</v>
      </c>
      <c r="F1248" s="1494" t="n">
        <v>-649.549</v>
      </c>
      <c r="G1248" s="1493" t="n">
        <v>-570.9400000000001</v>
      </c>
      <c r="H1248" s="1493" t="n">
        <v>-561.511</v>
      </c>
      <c r="I1248" s="1493" t="n">
        <v>-523.011</v>
      </c>
      <c r="J1248" s="1493" t="n">
        <v>-485.306</v>
      </c>
      <c r="K1248" s="1494" t="n">
        <v>-485.306</v>
      </c>
      <c r="L1248" s="1493" t="n">
        <v>-452.236</v>
      </c>
      <c r="M1248" s="1493" t="n">
        <v>-428.973</v>
      </c>
      <c r="N1248" s="1493" t="n">
        <v>-391.438</v>
      </c>
      <c r="O1248" s="1493" t="n">
        <v>-326.408</v>
      </c>
      <c r="P1248" s="1494" t="n">
        <v>-326.408</v>
      </c>
      <c r="Q1248" s="1493" t="n">
        <v>-290.149</v>
      </c>
      <c r="R1248" s="1493" t="n">
        <v>-231.989</v>
      </c>
      <c r="S1248" s="1493" t="n">
        <v>-154.365</v>
      </c>
      <c r="T1248" s="1493" t="n">
        <v>-73.991</v>
      </c>
      <c r="U1248" s="1494" t="n">
        <v>-73.991</v>
      </c>
      <c r="V1248" s="1493" t="n">
        <v>-15.622</v>
      </c>
      <c r="W1248" s="1493" t="n">
        <v>33.713</v>
      </c>
      <c r="X1248" s="1493" t="n">
        <v>98.425</v>
      </c>
      <c r="Y1248" s="1361">
        <f>Z1248</f>
        <v/>
      </c>
      <c r="Z1248" s="1494" t="n">
        <v>136.902</v>
      </c>
      <c r="AA1248" s="1493" t="n">
        <v>205.161</v>
      </c>
      <c r="AB1248" s="1493" t="n">
        <v>274.288</v>
      </c>
      <c r="AC1248" s="1493" t="n">
        <v>355.445</v>
      </c>
      <c r="AD1248" s="1361">
        <f>AE1248</f>
        <v/>
      </c>
      <c r="AE1248" s="1494" t="n">
        <v>341.003</v>
      </c>
      <c r="AF1248" s="1493" t="n">
        <v>499.817</v>
      </c>
      <c r="AG1248" s="1493" t="n">
        <v>574.966</v>
      </c>
      <c r="AH1248" s="1493" t="n">
        <v>674.284</v>
      </c>
      <c r="AI1248" s="1361">
        <f>AJ1248</f>
        <v/>
      </c>
      <c r="AJ1248" s="1494" t="n">
        <v>772.7089999999999</v>
      </c>
      <c r="AK1248" s="1493" t="n">
        <v>893.264</v>
      </c>
      <c r="AL1248" s="1493" t="n">
        <v>1000.499</v>
      </c>
      <c r="AM1248" s="1493" t="n">
        <v>1102.013</v>
      </c>
      <c r="AN1248" s="1361">
        <f>AO1248</f>
        <v/>
      </c>
      <c r="AO1248" s="1494" t="n">
        <v>1761.688</v>
      </c>
      <c r="AP1248" s="1493" t="n">
        <v>1883.677</v>
      </c>
      <c r="AQ1248" s="1493" t="n">
        <v>2014.965</v>
      </c>
      <c r="AR1248" s="1493" t="n">
        <v>2176.595</v>
      </c>
      <c r="AS1248" s="1361">
        <f>AT1248</f>
        <v/>
      </c>
      <c r="AT1248" s="1494" t="n">
        <v>2350.333</v>
      </c>
      <c r="AU1248" s="1493" t="n">
        <v>2537.502</v>
      </c>
      <c r="AV1248" s="1493" t="n">
        <v>2693.402</v>
      </c>
      <c r="AW1248" s="1493" t="n">
        <v>2869.709</v>
      </c>
      <c r="AX1248" s="1361">
        <f>AY1248</f>
        <v/>
      </c>
      <c r="AY1248" s="1494" t="n">
        <v>3046.288</v>
      </c>
      <c r="AZ1248" s="1493" t="n">
        <v>3281.623</v>
      </c>
      <c r="BA1248" s="1493" t="n">
        <v>3468.543</v>
      </c>
      <c r="BB1248" s="1493" t="n">
        <v>3654.848</v>
      </c>
      <c r="BC1248" s="1361">
        <f>BD1248</f>
        <v/>
      </c>
      <c r="BD1248" s="1494" t="n">
        <v>3895.24</v>
      </c>
      <c r="BE1248" s="1493" t="n">
        <v>4137.044</v>
      </c>
      <c r="BF1248" s="1493" t="n">
        <v>4358.164</v>
      </c>
      <c r="BG1248" s="1493" t="n">
        <v>4612.485</v>
      </c>
      <c r="BH1248" s="1361">
        <f>BI1248</f>
        <v/>
      </c>
      <c r="BI1248" s="1494" t="n">
        <v>4936.384</v>
      </c>
      <c r="BJ1248" s="1493" t="n">
        <v>5184.027</v>
      </c>
      <c r="BK1248" s="1493" t="n">
        <v>5413.547</v>
      </c>
      <c r="BL1248" s="1493" t="n">
        <v>5651.658</v>
      </c>
      <c r="BM1248" s="1361">
        <f>BN1248</f>
        <v/>
      </c>
      <c r="BN1248" s="1494" t="n">
        <v>5991.868</v>
      </c>
      <c r="BO1248" s="1493" t="n">
        <v>6265.447</v>
      </c>
      <c r="BP1248" s="1493" t="n">
        <v>6425.498</v>
      </c>
      <c r="BQ1248" s="1502" t="n">
        <v>6712.62</v>
      </c>
      <c r="BR1248" s="1361">
        <f>BQ1248+BR1084+BR1148</f>
        <v/>
      </c>
      <c r="BS1248" s="1379">
        <f>BR1248</f>
        <v/>
      </c>
      <c r="BT1248" s="1361">
        <f>BS1248+BT1084+BT1148</f>
        <v/>
      </c>
      <c r="BU1248" s="1361">
        <f>BT1248+BU1084+BU1148</f>
        <v/>
      </c>
      <c r="BV1248" s="1361">
        <f>BU1248+BV1084+BV1148</f>
        <v/>
      </c>
      <c r="BW1248" s="1361">
        <f>BV1248+BW1084+BW1148</f>
        <v/>
      </c>
      <c r="BX1248" s="1379">
        <f>BW1248</f>
        <v/>
      </c>
      <c r="BY1248" s="1379">
        <f>BX1248+BY1084+BY1148</f>
        <v/>
      </c>
      <c r="BZ1248" s="1379">
        <f>BY1248+BZ1084+BZ1148</f>
        <v/>
      </c>
      <c r="CA1248" s="1379">
        <f>BZ1248+CA1084+CA1148</f>
        <v/>
      </c>
      <c r="CB1248" s="1364" t="n"/>
    </row>
    <row r="1249" ht="14.4" customFormat="1" customHeight="1" s="1359">
      <c r="A1249" s="1453" t="inlineStr">
        <is>
          <t>Accumulated other comprehensive loss</t>
        </is>
      </c>
      <c r="B1249" s="1514" t="n"/>
      <c r="C1249" s="1480" t="n">
        <v>43.27</v>
      </c>
      <c r="D1249" s="1480" t="n">
        <v>53.056</v>
      </c>
      <c r="E1249" s="1480" t="n">
        <v>50.953</v>
      </c>
      <c r="F1249" s="1480" t="n">
        <v>43.95</v>
      </c>
      <c r="G1249" s="1479" t="n">
        <v>37.822</v>
      </c>
      <c r="H1249" s="1479" t="n">
        <v>26.083</v>
      </c>
      <c r="I1249" s="1479" t="n">
        <v>20.884</v>
      </c>
      <c r="J1249" s="1479" t="n">
        <v>24.311</v>
      </c>
      <c r="K1249" s="1480" t="n">
        <v>24.311</v>
      </c>
      <c r="L1249" s="1479" t="n">
        <v>28.99</v>
      </c>
      <c r="M1249" s="1479" t="n">
        <v>32.121</v>
      </c>
      <c r="N1249" s="1479" t="n">
        <v>25.344</v>
      </c>
      <c r="O1249" s="1479" t="n">
        <v>12.347</v>
      </c>
      <c r="P1249" s="1480" t="n">
        <v>12.347</v>
      </c>
      <c r="Q1249" s="1479" t="n">
        <v>3.813</v>
      </c>
      <c r="R1249" s="1479" t="n">
        <v>-0.741</v>
      </c>
      <c r="S1249" s="1479" t="n">
        <v>-6.949</v>
      </c>
      <c r="T1249" s="1479" t="n">
        <v>-12.425</v>
      </c>
      <c r="U1249" s="1480" t="n">
        <v>-12.425</v>
      </c>
      <c r="V1249" s="1479" t="n">
        <v>-7.265</v>
      </c>
      <c r="W1249" s="1479" t="n">
        <v>-9.984999999999999</v>
      </c>
      <c r="X1249" s="1479" t="n">
        <v>-9.15</v>
      </c>
      <c r="Y1249" s="1456">
        <f>Z1249</f>
        <v/>
      </c>
      <c r="Z1249" s="1480" t="n">
        <v>-25.16</v>
      </c>
      <c r="AA1249" s="1479" t="n">
        <v>-22.276</v>
      </c>
      <c r="AB1249" s="1479" t="n">
        <v>-14.588</v>
      </c>
      <c r="AC1249" s="1479" t="n">
        <v>-10.02</v>
      </c>
      <c r="AD1249" s="1456">
        <f>AE1249</f>
        <v/>
      </c>
      <c r="AE1249" s="1480" t="n">
        <v>-3.63</v>
      </c>
      <c r="AF1249" s="1479" t="n">
        <v>5.94</v>
      </c>
      <c r="AG1249" s="1479" t="n">
        <v>-13.172</v>
      </c>
      <c r="AH1249" s="1479" t="n">
        <v>-22.351</v>
      </c>
      <c r="AI1249" s="1456">
        <f>AJ1249</f>
        <v/>
      </c>
      <c r="AJ1249" s="1480" t="n">
        <v>-24.78</v>
      </c>
      <c r="AK1249" s="1479" t="n">
        <v>-26.075</v>
      </c>
      <c r="AL1249" s="1479" t="n">
        <v>-27.997</v>
      </c>
      <c r="AM1249" s="1479" t="n">
        <v>-39.992</v>
      </c>
      <c r="AN1249" s="1456">
        <f>AO1249</f>
        <v/>
      </c>
      <c r="AO1249" s="1480" t="n">
        <v>-36.926</v>
      </c>
      <c r="AP1249" s="1479" t="n">
        <v>-46.575</v>
      </c>
      <c r="AQ1249" s="1479" t="n">
        <v>-45.017</v>
      </c>
      <c r="AR1249" s="1479" t="n">
        <v>-33.62</v>
      </c>
      <c r="AS1249" s="1456">
        <f>AT1249</f>
        <v/>
      </c>
      <c r="AT1249" s="1480" t="n">
        <v>-17.425</v>
      </c>
      <c r="AU1249" s="1479" t="n">
        <v>-27.037</v>
      </c>
      <c r="AV1249" s="1479" t="n">
        <v>-21.792</v>
      </c>
      <c r="AW1249" s="1479" t="n">
        <v>-27.563</v>
      </c>
      <c r="AX1249" s="1456">
        <f>AY1249</f>
        <v/>
      </c>
      <c r="AY1249" s="1480" t="n">
        <v>-33.311</v>
      </c>
      <c r="AZ1249" s="1479" t="n">
        <v>-47.919</v>
      </c>
      <c r="BA1249" s="1479" t="n">
        <v>-81.38</v>
      </c>
      <c r="BB1249" s="1479" t="n">
        <v>-122.133</v>
      </c>
      <c r="BC1249" s="1456">
        <f>BD1249</f>
        <v/>
      </c>
      <c r="BD1249" s="1480" t="n">
        <v>-91.637</v>
      </c>
      <c r="BE1249" s="1479" t="n">
        <v>-87.389</v>
      </c>
      <c r="BF1249" s="1479" t="n">
        <v>-90.51000000000001</v>
      </c>
      <c r="BG1249" s="1479" t="n">
        <v>-113.061</v>
      </c>
      <c r="BH1249" s="1456">
        <f>BI1249</f>
        <v/>
      </c>
      <c r="BI1249" s="1480" t="n">
        <v>-94.754</v>
      </c>
      <c r="BJ1249" s="1479" t="n">
        <v>-107.797</v>
      </c>
      <c r="BK1249" s="1479" t="n">
        <v>-109.177</v>
      </c>
      <c r="BL1249" s="1479" t="n">
        <v>-13.949</v>
      </c>
      <c r="BM1249" s="1456">
        <f>BN1249</f>
        <v/>
      </c>
      <c r="BN1249" s="1480" t="n">
        <v>-190.448</v>
      </c>
      <c r="BO1249" s="1479" t="n">
        <v>-123.177</v>
      </c>
      <c r="BP1249" s="1479" t="n">
        <v>23.972</v>
      </c>
      <c r="BQ1249" s="1515" t="n">
        <v>7.299</v>
      </c>
      <c r="BR1249" s="1456">
        <f>BQ1249</f>
        <v/>
      </c>
      <c r="BS1249" s="1455">
        <f>BR1249</f>
        <v/>
      </c>
      <c r="BT1249" s="1456">
        <f>BS1249</f>
        <v/>
      </c>
      <c r="BU1249" s="1456">
        <f>BT1249</f>
        <v/>
      </c>
      <c r="BV1249" s="1456">
        <f>BU1249</f>
        <v/>
      </c>
      <c r="BW1249" s="1456">
        <f>BV1249</f>
        <v/>
      </c>
      <c r="BX1249" s="1455">
        <f>BW1249</f>
        <v/>
      </c>
      <c r="BY1249" s="1455">
        <f>BX1249</f>
        <v/>
      </c>
      <c r="BZ1249" s="1455">
        <f>BY1249</f>
        <v/>
      </c>
      <c r="CA1249" s="1455">
        <f>BZ1249</f>
        <v/>
      </c>
      <c r="CB1249" s="1364" t="n"/>
    </row>
    <row r="1250" ht="14.4" customFormat="1" customHeight="1" s="1372">
      <c r="A1250" s="1400" t="inlineStr">
        <is>
          <t>Total SE</t>
        </is>
      </c>
      <c r="B1250" s="1516" t="n"/>
      <c r="C1250" s="1402">
        <f>SUM(C1245:C1249)</f>
        <v/>
      </c>
      <c r="D1250" s="1402">
        <f>SUM(D1245:D1249)</f>
        <v/>
      </c>
      <c r="E1250" s="1402">
        <f>SUM(E1245:E1249)</f>
        <v/>
      </c>
      <c r="F1250" s="1402">
        <f>SUM(F1245:F1249)</f>
        <v/>
      </c>
      <c r="G1250" s="1403">
        <f>SUM(G1245:G1249)</f>
        <v/>
      </c>
      <c r="H1250" s="1403">
        <f>SUM(H1245:H1249)</f>
        <v/>
      </c>
      <c r="I1250" s="1403">
        <f>SUM(I1245:I1249)</f>
        <v/>
      </c>
      <c r="J1250" s="1403">
        <f>SUM(J1245:J1249)</f>
        <v/>
      </c>
      <c r="K1250" s="1402">
        <f>SUM(K1245:K1249)</f>
        <v/>
      </c>
      <c r="L1250" s="1403">
        <f>SUM(L1245:L1249)</f>
        <v/>
      </c>
      <c r="M1250" s="1403">
        <f>SUM(M1245:M1249)</f>
        <v/>
      </c>
      <c r="N1250" s="1403">
        <f>SUM(N1245:N1249)</f>
        <v/>
      </c>
      <c r="O1250" s="1403">
        <f>SUM(O1245:O1249)</f>
        <v/>
      </c>
      <c r="P1250" s="1402">
        <f>SUM(P1245:P1249)</f>
        <v/>
      </c>
      <c r="Q1250" s="1403">
        <f>SUM(Q1245:Q1249)</f>
        <v/>
      </c>
      <c r="R1250" s="1403">
        <f>SUM(R1245:R1249)</f>
        <v/>
      </c>
      <c r="S1250" s="1403">
        <f>SUM(S1245:S1249)</f>
        <v/>
      </c>
      <c r="T1250" s="1403">
        <f>SUM(T1245:T1249)</f>
        <v/>
      </c>
      <c r="U1250" s="1402">
        <f>SUM(U1245:U1249)</f>
        <v/>
      </c>
      <c r="V1250" s="1403">
        <f>SUM(V1245:V1249)</f>
        <v/>
      </c>
      <c r="W1250" s="1403">
        <f>SUM(W1245:W1249)</f>
        <v/>
      </c>
      <c r="X1250" s="1403">
        <f>SUM(X1245:X1249)</f>
        <v/>
      </c>
      <c r="Y1250" s="1404">
        <f>SUM(Y1245:Y1249)</f>
        <v/>
      </c>
      <c r="Z1250" s="1405">
        <f>SUM(Z1245:Z1249)</f>
        <v/>
      </c>
      <c r="AA1250" s="1403">
        <f>SUM(AA1245:AA1249)</f>
        <v/>
      </c>
      <c r="AB1250" s="1403">
        <f>SUM(AB1245:AB1249)</f>
        <v/>
      </c>
      <c r="AC1250" s="1403">
        <f>SUM(AC1245:AC1249)</f>
        <v/>
      </c>
      <c r="AD1250" s="1404">
        <f>SUM(AD1245:AD1249)</f>
        <v/>
      </c>
      <c r="AE1250" s="1405">
        <f>SUM(AE1245:AE1249)</f>
        <v/>
      </c>
      <c r="AF1250" s="1403">
        <f>SUM(AF1245:AF1249)</f>
        <v/>
      </c>
      <c r="AG1250" s="1403">
        <f>SUM(AG1245:AG1249)</f>
        <v/>
      </c>
      <c r="AH1250" s="1403">
        <f>SUM(AH1245:AH1249)</f>
        <v/>
      </c>
      <c r="AI1250" s="1404">
        <f>SUM(AI1245:AI1249)</f>
        <v/>
      </c>
      <c r="AJ1250" s="1405">
        <f>SUM(AJ1245:AJ1249)</f>
        <v/>
      </c>
      <c r="AK1250" s="1403">
        <f>SUM(AK1245:AK1249)</f>
        <v/>
      </c>
      <c r="AL1250" s="1403">
        <f>SUM(AL1245:AL1249)</f>
        <v/>
      </c>
      <c r="AM1250" s="1403">
        <f>SUM(AM1245:AM1249)</f>
        <v/>
      </c>
      <c r="AN1250" s="1404">
        <f>AO1250</f>
        <v/>
      </c>
      <c r="AO1250" s="1546" t="n">
        <v>2102.894</v>
      </c>
      <c r="AP1250" s="1403">
        <f>SUM(AP1245:AP1249)</f>
        <v/>
      </c>
      <c r="AQ1250" s="1403">
        <f>SUM(AQ1245:AQ1249)</f>
        <v/>
      </c>
      <c r="AR1250" s="1403">
        <f>SUM(AR1245:AR1249)</f>
        <v/>
      </c>
      <c r="AS1250" s="1404">
        <f>AT1250</f>
        <v/>
      </c>
      <c r="AT1250" s="1405">
        <f>SUM(AT1246:AT1249)</f>
        <v/>
      </c>
      <c r="AU1250" s="1403">
        <f>SUM(AU1246:AU1249)</f>
        <v/>
      </c>
      <c r="AV1250" s="1403">
        <f>SUM(AV1245:AV1249)</f>
        <v/>
      </c>
      <c r="AW1250" s="1403">
        <f>SUM(AW1245:AW1249)</f>
        <v/>
      </c>
      <c r="AX1250" s="1404">
        <f>AY1250</f>
        <v/>
      </c>
      <c r="AY1250" s="1405">
        <f>SUM(AY1246:AY1249)</f>
        <v/>
      </c>
      <c r="AZ1250" s="1403">
        <f>SUM(AZ1246:AZ1249)</f>
        <v/>
      </c>
      <c r="BA1250" s="1403">
        <f>SUM(BA1245:BA1249)</f>
        <v/>
      </c>
      <c r="BB1250" s="1403">
        <f>SUM(BB1245:BB1249)</f>
        <v/>
      </c>
      <c r="BC1250" s="1404">
        <f>BD1250</f>
        <v/>
      </c>
      <c r="BD1250" s="1405">
        <f>SUM(BD1246:BD1249)</f>
        <v/>
      </c>
      <c r="BE1250" s="1403">
        <f>SUM(BE1246:BE1249)</f>
        <v/>
      </c>
      <c r="BF1250" s="1403">
        <f>SUM(BF1245:BF1249)</f>
        <v/>
      </c>
      <c r="BG1250" s="1403">
        <f>SUM(BG1245:BG1249)</f>
        <v/>
      </c>
      <c r="BH1250" s="1404">
        <f>BI1250</f>
        <v/>
      </c>
      <c r="BI1250" s="1405">
        <f>SUM(BI1246:BI1249)</f>
        <v/>
      </c>
      <c r="BJ1250" s="1403">
        <f>SUM(BJ1246:BJ1249)</f>
        <v/>
      </c>
      <c r="BK1250" s="1403">
        <f>SUM(BK1246:BK1249)</f>
        <v/>
      </c>
      <c r="BL1250" s="1404">
        <f>SUM(BL1246:BL1249)</f>
        <v/>
      </c>
      <c r="BM1250" s="1404">
        <f>BN1250</f>
        <v/>
      </c>
      <c r="BN1250" s="1405">
        <f>SUM(BN1246:BN1249)</f>
        <v/>
      </c>
      <c r="BO1250" s="1404">
        <f>SUM(BO1246:BO1249)</f>
        <v/>
      </c>
      <c r="BP1250" s="1404">
        <f>SUM(BP1246:BP1249)</f>
        <v/>
      </c>
      <c r="BQ1250" s="1536">
        <f>SUM(BQ1246:BQ1249)</f>
        <v/>
      </c>
      <c r="BR1250" s="1404">
        <f>SUM(BR1246:BR1249)</f>
        <v/>
      </c>
      <c r="BS1250" s="1405">
        <f>BR1250</f>
        <v/>
      </c>
      <c r="BT1250" s="1404">
        <f>SUM(BT1246:BT1249)</f>
        <v/>
      </c>
      <c r="BU1250" s="1404">
        <f>SUM(BU1246:BU1249)</f>
        <v/>
      </c>
      <c r="BV1250" s="1404">
        <f>SUM(BV1246:BV1249)</f>
        <v/>
      </c>
      <c r="BW1250" s="1404">
        <f>SUM(BW1246:BW1249)</f>
        <v/>
      </c>
      <c r="BX1250" s="1405">
        <f>BW1250</f>
        <v/>
      </c>
      <c r="BY1250" s="1405">
        <f>SUM(BY1246:BY1249)</f>
        <v/>
      </c>
      <c r="BZ1250" s="1405">
        <f>SUM(BZ1246:BZ1249)</f>
        <v/>
      </c>
      <c r="CA1250" s="1405">
        <f>SUM(CA1246:CA1249)</f>
        <v/>
      </c>
      <c r="CB1250" s="1375" t="n"/>
    </row>
    <row r="1251" ht="14.4" customFormat="1" customHeight="1" s="1359">
      <c r="A1251" s="1394" t="inlineStr">
        <is>
          <t>NCI</t>
        </is>
      </c>
      <c r="B1251" s="1512" t="n"/>
      <c r="C1251" s="1379" t="n"/>
      <c r="D1251" s="1379" t="n"/>
      <c r="E1251" s="1379" t="n"/>
      <c r="F1251" s="1379" t="n"/>
      <c r="G1251" s="1361" t="n"/>
      <c r="H1251" s="1361" t="n"/>
      <c r="I1251" s="1361" t="n"/>
      <c r="J1251" s="1361" t="n"/>
      <c r="K1251" s="1379" t="n"/>
      <c r="L1251" s="1361" t="n"/>
      <c r="M1251" s="1361" t="n"/>
      <c r="N1251" s="1361" t="n"/>
      <c r="O1251" s="1361" t="n"/>
      <c r="P1251" s="1379" t="n"/>
      <c r="Q1251" s="1361" t="n"/>
      <c r="R1251" s="1361" t="n"/>
      <c r="S1251" s="1361" t="n"/>
      <c r="T1251" s="1361" t="n"/>
      <c r="U1251" s="1379" t="n"/>
      <c r="V1251" s="1361" t="n"/>
      <c r="W1251" s="1361" t="n"/>
      <c r="X1251" s="1361" t="n"/>
      <c r="Y1251" s="1361" t="n"/>
      <c r="Z1251" s="1379" t="n"/>
      <c r="AA1251" s="1361" t="n"/>
      <c r="AB1251" s="1361" t="n"/>
      <c r="AC1251" s="1361" t="n"/>
      <c r="AD1251" s="1361" t="n"/>
      <c r="AE1251" s="1379" t="n"/>
      <c r="AF1251" s="1361" t="n"/>
      <c r="AG1251" s="1361" t="n"/>
      <c r="AH1251" s="1361" t="n"/>
      <c r="AI1251" s="1361" t="n"/>
      <c r="AJ1251" s="1379" t="n"/>
      <c r="AK1251" s="1361" t="n"/>
      <c r="AL1251" s="1361" t="n"/>
      <c r="AM1251" s="1361" t="n"/>
      <c r="AN1251" s="1361" t="n"/>
      <c r="AO1251" s="1379" t="n"/>
      <c r="AP1251" s="1361" t="n"/>
      <c r="AQ1251" s="1361" t="n"/>
      <c r="AR1251" s="1361" t="n"/>
      <c r="AS1251" s="1361" t="n"/>
      <c r="AT1251" s="1379" t="n"/>
      <c r="AU1251" s="1361" t="n"/>
      <c r="AV1251" s="1361" t="n"/>
      <c r="AW1251" s="1361" t="n"/>
      <c r="AX1251" s="1361" t="n"/>
      <c r="AY1251" s="1379" t="n"/>
      <c r="AZ1251" s="1361" t="n"/>
      <c r="BA1251" s="1361" t="n"/>
      <c r="BB1251" s="1361" t="n"/>
      <c r="BC1251" s="1361" t="n"/>
      <c r="BD1251" s="1379" t="n"/>
      <c r="BE1251" s="1361" t="n"/>
      <c r="BF1251" s="1361" t="n"/>
      <c r="BG1251" s="1361" t="n"/>
      <c r="BH1251" s="1361" t="n"/>
      <c r="BI1251" s="1379" t="n"/>
      <c r="BJ1251" s="1361" t="n"/>
      <c r="BK1251" s="1361" t="n"/>
      <c r="BL1251" s="1361" t="n"/>
      <c r="BM1251" s="1361" t="n"/>
      <c r="BN1251" s="1379" t="n"/>
      <c r="BO1251" s="1361" t="n"/>
      <c r="BP1251" s="1361" t="n"/>
      <c r="BQ1251" s="1363" t="n"/>
      <c r="BR1251" s="1361">
        <f>BQ1251</f>
        <v/>
      </c>
      <c r="BS1251" s="1379">
        <f>BR1251</f>
        <v/>
      </c>
      <c r="BT1251" s="1361">
        <f>BS1251</f>
        <v/>
      </c>
      <c r="BU1251" s="1361">
        <f>BT1251</f>
        <v/>
      </c>
      <c r="BV1251" s="1361">
        <f>BU1251</f>
        <v/>
      </c>
      <c r="BW1251" s="1361">
        <f>BV1251</f>
        <v/>
      </c>
      <c r="BX1251" s="1379">
        <f>BW1251</f>
        <v/>
      </c>
      <c r="BY1251" s="1379">
        <f>BX1251</f>
        <v/>
      </c>
      <c r="BZ1251" s="1379">
        <f>BY1251</f>
        <v/>
      </c>
      <c r="CA1251" s="1379">
        <f>BZ1251</f>
        <v/>
      </c>
      <c r="CB1251" s="1364" t="n"/>
    </row>
    <row r="1252" ht="14.4" customFormat="1" customHeight="1" s="1372">
      <c r="A1252" s="1452" t="inlineStr">
        <is>
          <t>Total Liabilities &amp; SE</t>
        </is>
      </c>
      <c r="B1252" s="1517" t="n"/>
      <c r="C1252" s="1458">
        <f>C1250+C1242+C1251</f>
        <v/>
      </c>
      <c r="D1252" s="1458">
        <f>D1250+D1242+D1251</f>
        <v/>
      </c>
      <c r="E1252" s="1458">
        <f>E1250+E1242+E1251</f>
        <v/>
      </c>
      <c r="F1252" s="1458">
        <f>F1250+F1242+F1251</f>
        <v/>
      </c>
      <c r="G1252" s="1375">
        <f>G1250+G1242+G1251</f>
        <v/>
      </c>
      <c r="H1252" s="1375">
        <f>H1250+H1242+H1251</f>
        <v/>
      </c>
      <c r="I1252" s="1375">
        <f>I1250+I1242+I1251</f>
        <v/>
      </c>
      <c r="J1252" s="1375">
        <f>J1250+J1242+J1251</f>
        <v/>
      </c>
      <c r="K1252" s="1458">
        <f>K1250+K1242+K1251</f>
        <v/>
      </c>
      <c r="L1252" s="1375">
        <f>L1250+L1242+L1251</f>
        <v/>
      </c>
      <c r="M1252" s="1375">
        <f>M1250+M1242+M1251</f>
        <v/>
      </c>
      <c r="N1252" s="1375">
        <f>N1250+N1242+N1251</f>
        <v/>
      </c>
      <c r="O1252" s="1375">
        <f>O1250+O1242+O1251</f>
        <v/>
      </c>
      <c r="P1252" s="1458">
        <f>P1250+P1242+P1251</f>
        <v/>
      </c>
      <c r="Q1252" s="1375">
        <f>Q1250+Q1242+Q1251</f>
        <v/>
      </c>
      <c r="R1252" s="1375">
        <f>R1250+R1242+R1251</f>
        <v/>
      </c>
      <c r="S1252" s="1375">
        <f>S1250+S1242+S1251</f>
        <v/>
      </c>
      <c r="T1252" s="1375">
        <f>T1250+T1242+T1251</f>
        <v/>
      </c>
      <c r="U1252" s="1458">
        <f>U1250+U1242+U1251</f>
        <v/>
      </c>
      <c r="V1252" s="1375">
        <f>V1250+V1242+V1251</f>
        <v/>
      </c>
      <c r="W1252" s="1375">
        <f>W1250+W1242+W1251</f>
        <v/>
      </c>
      <c r="X1252" s="1375">
        <f>X1250+X1242+X1251</f>
        <v/>
      </c>
      <c r="Y1252" s="1450">
        <f>Y1250+Y1242+Y1251</f>
        <v/>
      </c>
      <c r="Z1252" s="1449">
        <f>Z1250+Z1242+Z1251</f>
        <v/>
      </c>
      <c r="AA1252" s="1375">
        <f>AA1250+AA1242+AA1251</f>
        <v/>
      </c>
      <c r="AB1252" s="1375">
        <f>AB1250+AB1242+AB1251</f>
        <v/>
      </c>
      <c r="AC1252" s="1375">
        <f>AC1250+AC1242+AC1251</f>
        <v/>
      </c>
      <c r="AD1252" s="1450">
        <f>AD1250+AD1242+AD1251</f>
        <v/>
      </c>
      <c r="AE1252" s="1449">
        <f>AE1250+AE1242+AE1251</f>
        <v/>
      </c>
      <c r="AF1252" s="1375">
        <f>AF1250+AF1242+AF1251</f>
        <v/>
      </c>
      <c r="AG1252" s="1375">
        <f>AG1250+AG1242+AG1251</f>
        <v/>
      </c>
      <c r="AH1252" s="1375">
        <f>AH1250+AH1242+AH1251</f>
        <v/>
      </c>
      <c r="AI1252" s="1450">
        <f>AI1250+AI1242+AI1251</f>
        <v/>
      </c>
      <c r="AJ1252" s="1449">
        <f>AJ1250+AJ1242+AJ1251</f>
        <v/>
      </c>
      <c r="AK1252" s="1375">
        <f>AK1250+AK1242+AK1251</f>
        <v/>
      </c>
      <c r="AL1252" s="1375">
        <f>AL1250+AL1242+AL1251</f>
        <v/>
      </c>
      <c r="AM1252" s="1375">
        <f>AM1250+AM1242+AM1251</f>
        <v/>
      </c>
      <c r="AN1252" s="1450">
        <f>AN1250+AN1242+AN1251</f>
        <v/>
      </c>
      <c r="AO1252" s="1449">
        <f>AO1250+AO1242+AO1251</f>
        <v/>
      </c>
      <c r="AP1252" s="1375">
        <f>AP1250+AP1242+AP1251</f>
        <v/>
      </c>
      <c r="AQ1252" s="1375">
        <f>AQ1250+AQ1242+AQ1251</f>
        <v/>
      </c>
      <c r="AR1252" s="1375">
        <f>AR1250+AR1242+AR1251</f>
        <v/>
      </c>
      <c r="AS1252" s="1450">
        <f>AS1250+AS1242+AS1251</f>
        <v/>
      </c>
      <c r="AT1252" s="1449">
        <f>AT1250+AT1242+AT1251</f>
        <v/>
      </c>
      <c r="AU1252" s="1375">
        <f>AU1250+AU1242+AU1251</f>
        <v/>
      </c>
      <c r="AV1252" s="1375">
        <f>AV1250+AV1242+AV1251</f>
        <v/>
      </c>
      <c r="AW1252" s="1375">
        <f>AW1250+AW1242+AW1251</f>
        <v/>
      </c>
      <c r="AX1252" s="1450">
        <f>AX1250+AX1242+AX1251</f>
        <v/>
      </c>
      <c r="AY1252" s="1449">
        <f>AY1250+AY1242+AY1251</f>
        <v/>
      </c>
      <c r="AZ1252" s="1375">
        <f>AZ1250+AZ1242+AZ1251</f>
        <v/>
      </c>
      <c r="BA1252" s="1375">
        <f>BA1250+BA1242+BA1251</f>
        <v/>
      </c>
      <c r="BB1252" s="1375">
        <f>BB1250+BB1242+BB1251</f>
        <v/>
      </c>
      <c r="BC1252" s="1450">
        <f>BC1250+BC1242+BC1251</f>
        <v/>
      </c>
      <c r="BD1252" s="1449">
        <f>BD1250+BD1242+BD1251</f>
        <v/>
      </c>
      <c r="BE1252" s="1375">
        <f>BE1250+BE1242+BE1251</f>
        <v/>
      </c>
      <c r="BF1252" s="1375">
        <f>BF1250+BF1242+BF1251</f>
        <v/>
      </c>
      <c r="BG1252" s="1375">
        <f>BG1250+BG1242+BG1251</f>
        <v/>
      </c>
      <c r="BH1252" s="1450">
        <f>BH1250+BH1242+BH1251</f>
        <v/>
      </c>
      <c r="BI1252" s="1449">
        <f>BI1250+BI1242+BI1251</f>
        <v/>
      </c>
      <c r="BJ1252" s="1375">
        <f>BJ1250+BJ1242+BJ1251</f>
        <v/>
      </c>
      <c r="BK1252" s="1375">
        <f>BK1250+BK1242+BK1251</f>
        <v/>
      </c>
      <c r="BL1252" s="1375">
        <f>BL1250+BL1242+BL1251</f>
        <v/>
      </c>
      <c r="BM1252" s="1450">
        <f>BM1250+BM1242+BM1251</f>
        <v/>
      </c>
      <c r="BN1252" s="1449">
        <f>BN1250+BN1242+BN1251</f>
        <v/>
      </c>
      <c r="BO1252" s="1375">
        <f>BO1250+BO1242+BO1251</f>
        <v/>
      </c>
      <c r="BP1252" s="1375">
        <f>BP1250+BP1242+BP1251</f>
        <v/>
      </c>
      <c r="BQ1252" s="1459">
        <f>BQ1250+BQ1242+BQ1251</f>
        <v/>
      </c>
      <c r="BR1252" s="1450">
        <f>BR1250+BR1242+BR1251</f>
        <v/>
      </c>
      <c r="BS1252" s="1449">
        <f>BS1250+BS1242+BS1251</f>
        <v/>
      </c>
      <c r="BT1252" s="1450">
        <f>BT1250+BT1242+BT1251</f>
        <v/>
      </c>
      <c r="BU1252" s="1450">
        <f>BU1250+BU1242+BU1251</f>
        <v/>
      </c>
      <c r="BV1252" s="1450">
        <f>BV1250+BV1242+BV1251</f>
        <v/>
      </c>
      <c r="BW1252" s="1450">
        <f>BW1250+BW1242+BW1251</f>
        <v/>
      </c>
      <c r="BX1252" s="1449">
        <f>BX1250+BX1242+BX1251</f>
        <v/>
      </c>
      <c r="BY1252" s="1449">
        <f>BY1250+BY1242+BY1251</f>
        <v/>
      </c>
      <c r="BZ1252" s="1449">
        <f>BZ1250+BZ1242+BZ1251</f>
        <v/>
      </c>
      <c r="CA1252" s="1449">
        <f>CA1250+CA1242+CA1251</f>
        <v/>
      </c>
      <c r="CB1252" s="1375" t="n"/>
    </row>
    <row r="1253" ht="14.4" customFormat="1" customHeight="1" s="1359">
      <c r="A1253" s="1361" t="n"/>
      <c r="B1253" s="1361" t="n"/>
      <c r="C1253" s="1361" t="n"/>
      <c r="D1253" s="1361" t="n"/>
      <c r="E1253" s="1361" t="n"/>
      <c r="F1253" s="1361" t="n"/>
      <c r="G1253" s="1361" t="n"/>
      <c r="H1253" s="1361" t="n"/>
      <c r="I1253" s="1361" t="n"/>
      <c r="J1253" s="1361" t="n"/>
      <c r="K1253" s="1361" t="n"/>
      <c r="L1253" s="1361" t="n"/>
      <c r="M1253" s="1361" t="n"/>
      <c r="N1253" s="1361" t="n"/>
      <c r="O1253" s="1361" t="n"/>
      <c r="P1253" s="1361" t="n"/>
      <c r="Q1253" s="1361" t="n"/>
      <c r="R1253" s="1361" t="n"/>
      <c r="S1253" s="1361" t="n"/>
      <c r="T1253" s="1361" t="n"/>
      <c r="U1253" s="1361" t="n"/>
      <c r="V1253" s="1361" t="n"/>
      <c r="W1253" s="1361" t="n"/>
      <c r="X1253" s="1361" t="n"/>
      <c r="Y1253" s="1361" t="n"/>
      <c r="Z1253" s="1361" t="n"/>
      <c r="AA1253" s="1361" t="n"/>
      <c r="AB1253" s="1361" t="n"/>
      <c r="AC1253" s="1361" t="n"/>
      <c r="AD1253" s="1361" t="n"/>
      <c r="AE1253" s="1361" t="n"/>
      <c r="AF1253" s="1361" t="n"/>
      <c r="AG1253" s="1361" t="n"/>
      <c r="AH1253" s="1361" t="n"/>
      <c r="AI1253" s="1361" t="n"/>
      <c r="AJ1253" s="1361" t="n"/>
      <c r="AK1253" s="1361" t="n"/>
      <c r="AL1253" s="1361" t="n"/>
      <c r="AM1253" s="1361" t="n"/>
      <c r="AN1253" s="1361" t="n"/>
      <c r="AO1253" s="1361" t="n"/>
      <c r="AP1253" s="1361" t="n"/>
      <c r="AQ1253" s="1361" t="n"/>
      <c r="AR1253" s="1361" t="n"/>
      <c r="AS1253" s="1361" t="n"/>
      <c r="AT1253" s="1361" t="n"/>
      <c r="AU1253" s="1361" t="n"/>
      <c r="AV1253" s="1361" t="n"/>
      <c r="AW1253" s="1361" t="n"/>
      <c r="AX1253" s="1361" t="n"/>
      <c r="AY1253" s="1361" t="n"/>
      <c r="AZ1253" s="1361" t="n"/>
      <c r="BA1253" s="1361" t="n"/>
      <c r="BB1253" s="1361" t="n"/>
      <c r="BC1253" s="1361" t="n"/>
      <c r="BD1253" s="1361" t="n"/>
      <c r="BE1253" s="1361" t="n"/>
      <c r="BF1253" s="1361" t="n"/>
      <c r="BG1253" s="1361" t="n"/>
      <c r="BH1253" s="1361" t="n"/>
      <c r="BI1253" s="1361" t="n"/>
      <c r="BJ1253" s="1361" t="n"/>
      <c r="BK1253" s="1361" t="n"/>
      <c r="BL1253" s="1361" t="n"/>
      <c r="BM1253" s="1361" t="n"/>
      <c r="BN1253" s="1361" t="n"/>
      <c r="BO1253" s="1361" t="n"/>
      <c r="BP1253" s="1361" t="n"/>
      <c r="BQ1253" s="1363" t="n"/>
      <c r="BR1253" s="1361" t="n"/>
      <c r="BS1253" s="1361" t="n"/>
      <c r="BT1253" s="1361" t="n"/>
      <c r="BU1253" s="1361" t="n"/>
      <c r="BV1253" s="1361" t="n"/>
      <c r="BW1253" s="1361" t="n"/>
      <c r="BX1253" s="1361" t="n"/>
      <c r="BY1253" s="1361" t="n"/>
      <c r="BZ1253" s="1361" t="n"/>
      <c r="CA1253" s="1361" t="n"/>
      <c r="CB1253" s="1364" t="n"/>
    </row>
    <row r="1254" ht="14.4" customFormat="1" customHeight="1" s="1359">
      <c r="A1254" s="1585" t="inlineStr">
        <is>
          <t>BS Check</t>
        </is>
      </c>
      <c r="B1254" s="1585" t="n"/>
      <c r="C1254" s="1586">
        <f>ROUND(C1222-C1252,6)</f>
        <v/>
      </c>
      <c r="D1254" s="1586">
        <f>ROUND(D1222-D1252,6)</f>
        <v/>
      </c>
      <c r="E1254" s="1586">
        <f>ROUND(E1222-E1252,6)</f>
        <v/>
      </c>
      <c r="F1254" s="1586">
        <f>ROUND(F1222-F1252,6)</f>
        <v/>
      </c>
      <c r="G1254" s="1586">
        <f>ROUND(G1222-G1252,6)</f>
        <v/>
      </c>
      <c r="H1254" s="1586">
        <f>ROUND(H1222-H1252,6)</f>
        <v/>
      </c>
      <c r="I1254" s="1586">
        <f>ROUND(I1222-I1252,6)</f>
        <v/>
      </c>
      <c r="J1254" s="1586">
        <f>ROUND(J1222-J1252,6)</f>
        <v/>
      </c>
      <c r="K1254" s="1586">
        <f>ROUND(K1222-K1252,6)</f>
        <v/>
      </c>
      <c r="L1254" s="1586">
        <f>ROUND(L1222-L1252,6)</f>
        <v/>
      </c>
      <c r="M1254" s="1586">
        <f>ROUND(M1222-M1252,6)</f>
        <v/>
      </c>
      <c r="N1254" s="1586">
        <f>ROUND(N1222-N1252,6)</f>
        <v/>
      </c>
      <c r="O1254" s="1586">
        <f>ROUND(O1222-O1252,6)</f>
        <v/>
      </c>
      <c r="P1254" s="1586">
        <f>ROUND(P1222-P1252,6)</f>
        <v/>
      </c>
      <c r="Q1254" s="1586">
        <f>ROUND(Q1222-Q1252,6)</f>
        <v/>
      </c>
      <c r="R1254" s="1586">
        <f>ROUND(R1222-R1252,6)</f>
        <v/>
      </c>
      <c r="S1254" s="1586">
        <f>ROUND(S1222-S1252,6)</f>
        <v/>
      </c>
      <c r="T1254" s="1586">
        <f>ROUND(T1222-T1252,6)</f>
        <v/>
      </c>
      <c r="U1254" s="1586">
        <f>ROUND(U1222-U1252,6)</f>
        <v/>
      </c>
      <c r="V1254" s="1586">
        <f>ROUND(V1222-V1252,6)</f>
        <v/>
      </c>
      <c r="W1254" s="1586">
        <f>ROUND(W1222-W1252,6)</f>
        <v/>
      </c>
      <c r="X1254" s="1586">
        <f>ROUND(X1222-X1252,6)</f>
        <v/>
      </c>
      <c r="Y1254" s="1586">
        <f>ROUND(Y1222-Y1252,6)</f>
        <v/>
      </c>
      <c r="Z1254" s="1586">
        <f>ROUND(Z1222-Z1252,6)</f>
        <v/>
      </c>
      <c r="AA1254" s="1586">
        <f>ROUND(AA1222-AA1252,6)</f>
        <v/>
      </c>
      <c r="AB1254" s="1586">
        <f>ROUND(AB1222-AB1252,6)</f>
        <v/>
      </c>
      <c r="AC1254" s="1586">
        <f>ROUND(AC1222-AC1252,6)</f>
        <v/>
      </c>
      <c r="AD1254" s="1586">
        <f>ROUND(AD1222-AD1252,6)</f>
        <v/>
      </c>
      <c r="AE1254" s="1586">
        <f>ROUND(AE1222-AE1252,6)</f>
        <v/>
      </c>
      <c r="AF1254" s="1586">
        <f>ROUND(AF1222-AF1252,6)</f>
        <v/>
      </c>
      <c r="AG1254" s="1586">
        <f>ROUND(AG1222-AG1252,6)</f>
        <v/>
      </c>
      <c r="AH1254" s="1586">
        <f>ROUND(AH1222-AH1252,6)</f>
        <v/>
      </c>
      <c r="AI1254" s="1586">
        <f>ROUND(AI1222-AI1252,6)</f>
        <v/>
      </c>
      <c r="AJ1254" s="1586">
        <f>ROUND(AJ1222-AJ1252,6)</f>
        <v/>
      </c>
      <c r="AK1254" s="1586">
        <f>ROUND(AK1222-AK1252,6)</f>
        <v/>
      </c>
      <c r="AL1254" s="1586">
        <f>ROUND(AL1222-AL1252,6)</f>
        <v/>
      </c>
      <c r="AM1254" s="1586">
        <f>ROUND(AM1222-AM1252,6)</f>
        <v/>
      </c>
      <c r="AN1254" s="1586">
        <f>ROUND(AN1222-AN1252,6)</f>
        <v/>
      </c>
      <c r="AO1254" s="1586">
        <f>ROUND(AO1222-AO1252,6)</f>
        <v/>
      </c>
      <c r="AP1254" s="1586">
        <f>ROUND(AP1222-AP1252,6)</f>
        <v/>
      </c>
      <c r="AQ1254" s="1586">
        <f>ROUND(AQ1222-AQ1252,6)</f>
        <v/>
      </c>
      <c r="AR1254" s="1586">
        <f>ROUND(AR1222-AR1252,6)</f>
        <v/>
      </c>
      <c r="AS1254" s="1586">
        <f>ROUND(AS1222-AS1252,6)</f>
        <v/>
      </c>
      <c r="AT1254" s="1586">
        <f>ROUND(AT1222-AT1252,6)</f>
        <v/>
      </c>
      <c r="AU1254" s="1586">
        <f>ROUND(AU1222-AU1252,6)</f>
        <v/>
      </c>
      <c r="AV1254" s="1586">
        <f>ROUND(AV1222-AV1252,6)</f>
        <v/>
      </c>
      <c r="AW1254" s="1586">
        <f>ROUND(AW1222-AW1252,6)</f>
        <v/>
      </c>
      <c r="AX1254" s="1586">
        <f>ROUND(AX1222-AX1252,6)</f>
        <v/>
      </c>
      <c r="AY1254" s="1586">
        <f>ROUND(AY1222-AY1252,6)</f>
        <v/>
      </c>
      <c r="AZ1254" s="1586">
        <f>ROUND(AZ1222-AZ1252,6)</f>
        <v/>
      </c>
      <c r="BA1254" s="1586">
        <f>ROUND(BA1222-BA1252,6)</f>
        <v/>
      </c>
      <c r="BB1254" s="1586">
        <f>ROUND(BB1222-BB1252,6)</f>
        <v/>
      </c>
      <c r="BC1254" s="1586">
        <f>ROUND(BC1222-BC1252,6)</f>
        <v/>
      </c>
      <c r="BD1254" s="1586">
        <f>ROUND(BD1222-BD1252,6)</f>
        <v/>
      </c>
      <c r="BE1254" s="1586">
        <f>ROUND(BE1222-BE1252,6)</f>
        <v/>
      </c>
      <c r="BF1254" s="1586">
        <f>ROUND(BF1222-BF1252,6)</f>
        <v/>
      </c>
      <c r="BG1254" s="1586">
        <f>ROUND(BG1222-BG1252,6)</f>
        <v/>
      </c>
      <c r="BH1254" s="1586">
        <f>ROUND(BH1222-BH1252,6)</f>
        <v/>
      </c>
      <c r="BI1254" s="1586">
        <f>ROUND(BI1222-BI1252,6)</f>
        <v/>
      </c>
      <c r="BJ1254" s="1586">
        <f>ROUND(BJ1222-BJ1252,6)</f>
        <v/>
      </c>
      <c r="BK1254" s="1586">
        <f>ROUND(BK1222-BK1252,6)</f>
        <v/>
      </c>
      <c r="BL1254" s="1586">
        <f>ROUND(BL1222-BL1252,6)</f>
        <v/>
      </c>
      <c r="BM1254" s="1586">
        <f>ROUND(BM1222-BM1252,6)</f>
        <v/>
      </c>
      <c r="BN1254" s="1586">
        <f>ROUND(BN1222-BN1252,6)</f>
        <v/>
      </c>
      <c r="BO1254" s="1586">
        <f>ROUND(BO1222-BO1252,6)</f>
        <v/>
      </c>
      <c r="BP1254" s="1586">
        <f>ROUND(BP1222-BP1252,6)</f>
        <v/>
      </c>
      <c r="BQ1254" s="1587">
        <f>ROUND(BQ1222-BQ1252,6)</f>
        <v/>
      </c>
      <c r="BR1254" s="1586">
        <f>ROUND(BR1222-BR1252,6)</f>
        <v/>
      </c>
      <c r="BS1254" s="1586">
        <f>ROUND(BS1222-BS1252,6)</f>
        <v/>
      </c>
      <c r="BT1254" s="1586">
        <f>ROUND(BT1222-BT1252,6)</f>
        <v/>
      </c>
      <c r="BU1254" s="1586">
        <f>ROUND(BU1222-BU1252,6)</f>
        <v/>
      </c>
      <c r="BV1254" s="1586">
        <f>ROUND(BV1222-BV1252,6)</f>
        <v/>
      </c>
      <c r="BW1254" s="1586">
        <f>ROUND(BW1222-BW1252,6)</f>
        <v/>
      </c>
      <c r="BX1254" s="1586">
        <f>ROUND(BX1222-BX1252,6)</f>
        <v/>
      </c>
      <c r="BY1254" s="1586">
        <f>ROUND(BY1222-BY1252,6)</f>
        <v/>
      </c>
      <c r="BZ1254" s="1586">
        <f>ROUND(BZ1222-BZ1252,6)</f>
        <v/>
      </c>
      <c r="CA1254" s="1586">
        <f>ROUND(CA1222-CA1252,6)</f>
        <v/>
      </c>
      <c r="CB1254" s="1364" t="n"/>
    </row>
    <row r="1255" ht="14.4" customFormat="1" customHeight="1" s="1359">
      <c r="A1255" s="1361" t="n"/>
      <c r="B1255" s="1361" t="n"/>
      <c r="C1255" s="1361" t="n"/>
      <c r="D1255" s="1361" t="n"/>
      <c r="E1255" s="1361" t="n"/>
      <c r="F1255" s="1361" t="n"/>
      <c r="G1255" s="1361" t="n"/>
      <c r="H1255" s="1361" t="n"/>
      <c r="I1255" s="1361" t="n"/>
      <c r="J1255" s="1361" t="n"/>
      <c r="K1255" s="1361" t="n"/>
      <c r="L1255" s="1361" t="n"/>
      <c r="M1255" s="1361" t="n"/>
      <c r="N1255" s="1361" t="n"/>
      <c r="O1255" s="1361" t="n"/>
      <c r="P1255" s="1361" t="n"/>
      <c r="Q1255" s="1361" t="n"/>
      <c r="R1255" s="1361" t="n"/>
      <c r="S1255" s="1361" t="n"/>
      <c r="T1255" s="1361" t="n"/>
      <c r="U1255" s="1361" t="n"/>
      <c r="V1255" s="1361" t="n"/>
      <c r="W1255" s="1361" t="n"/>
      <c r="X1255" s="1361" t="n"/>
      <c r="Y1255" s="1361" t="n"/>
      <c r="Z1255" s="1361" t="n"/>
      <c r="AA1255" s="1361" t="n"/>
      <c r="AB1255" s="1361" t="n"/>
      <c r="AC1255" s="1361" t="n"/>
      <c r="AD1255" s="1361" t="n"/>
      <c r="AE1255" s="1361" t="n"/>
      <c r="AF1255" s="1361" t="n"/>
      <c r="AG1255" s="1361" t="n"/>
      <c r="AH1255" s="1361" t="n"/>
      <c r="AI1255" s="1361" t="n"/>
      <c r="AJ1255" s="1361" t="n"/>
      <c r="AK1255" s="1361" t="n"/>
      <c r="AL1255" s="1361" t="n"/>
      <c r="AM1255" s="1361" t="n"/>
      <c r="AN1255" s="1361" t="n"/>
      <c r="AO1255" s="1361" t="n"/>
      <c r="AP1255" s="1361" t="n"/>
      <c r="AQ1255" s="1361" t="n"/>
      <c r="AR1255" s="1361" t="n"/>
      <c r="AS1255" s="1361" t="n"/>
      <c r="AT1255" s="1361" t="n"/>
      <c r="AU1255" s="1361" t="n"/>
      <c r="AV1255" s="1361" t="n"/>
      <c r="AW1255" s="1361" t="n"/>
      <c r="AX1255" s="1361" t="n"/>
      <c r="AY1255" s="1361" t="n"/>
      <c r="AZ1255" s="1361" t="n"/>
      <c r="BA1255" s="1361" t="n"/>
      <c r="BB1255" s="1361" t="n"/>
      <c r="BC1255" s="1361" t="n"/>
      <c r="BD1255" s="1361" t="n"/>
      <c r="BE1255" s="1361" t="n"/>
      <c r="BF1255" s="1361" t="n"/>
      <c r="BG1255" s="1361" t="n"/>
      <c r="BH1255" s="1361" t="n"/>
      <c r="BI1255" s="1361" t="n"/>
      <c r="BJ1255" s="1361" t="n"/>
      <c r="BK1255" s="1361" t="n"/>
      <c r="BL1255" s="1361" t="n"/>
      <c r="BM1255" s="1361" t="n"/>
      <c r="BN1255" s="1361" t="n"/>
      <c r="BO1255" s="1361" t="n"/>
      <c r="BP1255" s="1361" t="n"/>
      <c r="BQ1255" s="1363" t="n"/>
      <c r="BR1255" s="1361" t="n"/>
      <c r="BS1255" s="1361" t="n"/>
      <c r="BT1255" s="1361" t="n"/>
      <c r="BU1255" s="1361" t="n"/>
      <c r="BV1255" s="1361" t="n"/>
      <c r="BW1255" s="1361" t="n"/>
      <c r="BX1255" s="1361" t="n"/>
      <c r="BY1255" s="1361" t="n"/>
      <c r="BZ1255" s="1361" t="n"/>
      <c r="CA1255" s="1361" t="n"/>
      <c r="CB1255" s="1364" t="n"/>
    </row>
    <row r="1256" ht="14.4" customFormat="1" customHeight="1" s="1372">
      <c r="A1256" s="1956" t="inlineStr">
        <is>
          <t>Model Checks</t>
        </is>
      </c>
      <c r="B1256" s="1956" t="n"/>
      <c r="C1256" s="1956" t="n"/>
      <c r="D1256" s="1956" t="n"/>
      <c r="E1256" s="1956" t="n"/>
      <c r="F1256" s="1956" t="n"/>
      <c r="G1256" s="1956" t="n"/>
      <c r="H1256" s="1956" t="n"/>
      <c r="I1256" s="1956" t="n"/>
      <c r="J1256" s="1956" t="n"/>
      <c r="K1256" s="1956" t="n"/>
      <c r="L1256" s="1956" t="n"/>
      <c r="M1256" s="1956" t="n"/>
      <c r="N1256" s="1956" t="n"/>
      <c r="O1256" s="1956" t="n"/>
      <c r="P1256" s="1956" t="n"/>
      <c r="Q1256" s="1956" t="n"/>
      <c r="R1256" s="1956" t="n"/>
      <c r="S1256" s="1956" t="n"/>
      <c r="T1256" s="1956" t="n"/>
      <c r="U1256" s="1956" t="n"/>
      <c r="V1256" s="1956" t="n"/>
      <c r="W1256" s="1956" t="n"/>
      <c r="X1256" s="1956" t="n"/>
      <c r="Y1256" s="1956" t="n"/>
      <c r="Z1256" s="1956" t="n"/>
      <c r="AA1256" s="1956" t="n"/>
      <c r="AB1256" s="1956" t="n"/>
      <c r="AC1256" s="1956" t="n"/>
      <c r="AD1256" s="1956" t="n"/>
      <c r="AE1256" s="1956" t="n"/>
      <c r="AF1256" s="1956" t="n"/>
      <c r="AG1256" s="1956" t="n"/>
      <c r="AH1256" s="1956" t="n"/>
      <c r="AI1256" s="1956" t="n"/>
      <c r="AJ1256" s="1956" t="n"/>
      <c r="AK1256" s="1956" t="n"/>
      <c r="AL1256" s="1956" t="n"/>
      <c r="AM1256" s="1956" t="n"/>
      <c r="AN1256" s="1956" t="n"/>
      <c r="AO1256" s="1956" t="n"/>
      <c r="AP1256" s="1956" t="n"/>
      <c r="AQ1256" s="1956" t="n"/>
      <c r="AR1256" s="1956" t="n"/>
      <c r="AS1256" s="1956" t="n"/>
      <c r="AT1256" s="1956" t="n"/>
      <c r="AU1256" s="1956" t="n"/>
      <c r="AV1256" s="1956" t="n"/>
      <c r="AW1256" s="1956" t="n"/>
      <c r="AX1256" s="1956" t="n"/>
      <c r="AY1256" s="1956" t="n"/>
      <c r="AZ1256" s="1956" t="n"/>
      <c r="BA1256" s="1956" t="n"/>
      <c r="BB1256" s="1956" t="n"/>
      <c r="BC1256" s="1956" t="n"/>
      <c r="BD1256" s="1956" t="n"/>
      <c r="BE1256" s="1956" t="n"/>
      <c r="BF1256" s="1956" t="n"/>
      <c r="BG1256" s="1956" t="n"/>
      <c r="BH1256" s="1956" t="n"/>
      <c r="BI1256" s="1956" t="n"/>
      <c r="BJ1256" s="1956" t="n"/>
      <c r="BK1256" s="1956" t="n"/>
      <c r="BL1256" s="1956" t="n"/>
      <c r="BM1256" s="1956" t="n"/>
      <c r="BN1256" s="1956" t="n"/>
      <c r="BO1256" s="1956" t="n"/>
      <c r="BP1256" s="1956" t="n"/>
      <c r="BQ1256" s="1957" t="n"/>
      <c r="BR1256" s="1956" t="n"/>
      <c r="BS1256" s="1956" t="n"/>
      <c r="BT1256" s="1956" t="n"/>
      <c r="BU1256" s="1956" t="n"/>
      <c r="BV1256" s="1956" t="n"/>
      <c r="BW1256" s="1956" t="n"/>
      <c r="BX1256" s="1956" t="n"/>
      <c r="BY1256" s="1956" t="n"/>
      <c r="BZ1256" s="1956" t="n"/>
      <c r="CA1256" s="1956" t="n"/>
      <c r="CB1256" s="1375" t="n"/>
    </row>
    <row r="1257" ht="14.4" customFormat="1" customHeight="1" s="1359">
      <c r="A1257" s="1364" t="inlineStr">
        <is>
          <t>Net Income on Revised IS = NI on CF statement</t>
        </is>
      </c>
      <c r="B1257" s="1553" t="n"/>
      <c r="C1257" s="1586">
        <f>IF(ISBLANK(INDEX(MO_IS_FirstRow,0,COLUMN())),0,ROUND(C1084-C505,6))</f>
        <v/>
      </c>
      <c r="D1257" s="1586">
        <f>IF(ISBLANK(INDEX(MO_IS_FirstRow,0,COLUMN())),0,ROUND(D1084-D505,6))</f>
        <v/>
      </c>
      <c r="E1257" s="1586">
        <f>IF(ISBLANK(INDEX(MO_IS_FirstRow,0,COLUMN())),0,ROUND(E1084-E505,6))</f>
        <v/>
      </c>
      <c r="F1257" s="1586">
        <f>IF(ISBLANK(INDEX(MO_IS_FirstRow,0,COLUMN())),0,ROUND(F1084-F505,6))</f>
        <v/>
      </c>
      <c r="G1257" s="1586">
        <f>IF(ISBLANK(INDEX(MO_IS_FirstRow,0,COLUMN())),0,ROUND(G1084-G505,6))</f>
        <v/>
      </c>
      <c r="H1257" s="1586">
        <f>IF(ISBLANK(INDEX(MO_IS_FirstRow,0,COLUMN())),0,ROUND(H1084-H505,6))</f>
        <v/>
      </c>
      <c r="I1257" s="1586">
        <f>IF(ISBLANK(INDEX(MO_IS_FirstRow,0,COLUMN())),0,ROUND(I1084-I505,6))</f>
        <v/>
      </c>
      <c r="J1257" s="1586">
        <f>IF(ISBLANK(INDEX(MO_IS_FirstRow,0,COLUMN())),0,ROUND(J1084-J505,6))</f>
        <v/>
      </c>
      <c r="K1257" s="1586">
        <f>IF(ISBLANK(INDEX(MO_IS_FirstRow,0,COLUMN())),0,ROUND(K1084-K505,6))</f>
        <v/>
      </c>
      <c r="L1257" s="1586">
        <f>IF(ISBLANK(INDEX(MO_IS_FirstRow,0,COLUMN())),0,ROUND(L1084-L505,6))</f>
        <v/>
      </c>
      <c r="M1257" s="1586">
        <f>IF(ISBLANK(INDEX(MO_IS_FirstRow,0,COLUMN())),0,ROUND(M1084-M505,6))</f>
        <v/>
      </c>
      <c r="N1257" s="1586">
        <f>IF(ISBLANK(INDEX(MO_IS_FirstRow,0,COLUMN())),0,ROUND(N1084-N505,6))</f>
        <v/>
      </c>
      <c r="O1257" s="1586">
        <f>IF(ISBLANK(INDEX(MO_IS_FirstRow,0,COLUMN())),0,ROUND(O1084-O505,6))</f>
        <v/>
      </c>
      <c r="P1257" s="1586">
        <f>IF(ISBLANK(INDEX(MO_IS_FirstRow,0,COLUMN())),0,ROUND(P1084-P505,6))</f>
        <v/>
      </c>
      <c r="Q1257" s="1586">
        <f>IF(ISBLANK(INDEX(MO_IS_FirstRow,0,COLUMN())),0,ROUND(Q1084-Q505,6))</f>
        <v/>
      </c>
      <c r="R1257" s="1586">
        <f>IF(ISBLANK(INDEX(MO_IS_FirstRow,0,COLUMN())),0,ROUND(R1084-R505,6))</f>
        <v/>
      </c>
      <c r="S1257" s="1586">
        <f>IF(ISBLANK(INDEX(MO_IS_FirstRow,0,COLUMN())),0,ROUND(S1084-S505,6))</f>
        <v/>
      </c>
      <c r="T1257" s="1586">
        <f>IF(ISBLANK(INDEX(MO_IS_FirstRow,0,COLUMN())),0,ROUND(T1084-T505,6))</f>
        <v/>
      </c>
      <c r="U1257" s="1586">
        <f>IF(ISBLANK(INDEX(MO_IS_FirstRow,0,COLUMN())),0,ROUND(U1084-U505,6))</f>
        <v/>
      </c>
      <c r="V1257" s="1586">
        <f>IF(ISBLANK(INDEX(MO_IS_FirstRow,0,COLUMN())),0,ROUND(V1084-V505,6))</f>
        <v/>
      </c>
      <c r="W1257" s="1586">
        <f>IF(ISBLANK(INDEX(MO_IS_FirstRow,0,COLUMN())),0,ROUND(W1084-W505,6))</f>
        <v/>
      </c>
      <c r="X1257" s="1586">
        <f>IF(ISBLANK(INDEX(MO_IS_FirstRow,0,COLUMN())),0,ROUND(X1084-X505,6))</f>
        <v/>
      </c>
      <c r="Y1257" s="1586">
        <f>IF(ISBLANK(INDEX(MO_IS_FirstRow,0,COLUMN())),0,ROUND(Y1084-Y505,6))</f>
        <v/>
      </c>
      <c r="Z1257" s="1586">
        <f>IF(ISBLANK(INDEX(MO_IS_FirstRow,0,COLUMN())),0,ROUND(Z1084-Z505,6))</f>
        <v/>
      </c>
      <c r="AA1257" s="1586">
        <f>IF(ISBLANK(INDEX(MO_IS_FirstRow,0,COLUMN())),0,ROUND(AA1084-AA505,6))</f>
        <v/>
      </c>
      <c r="AB1257" s="1586">
        <f>IF(ISBLANK(INDEX(MO_IS_FirstRow,0,COLUMN())),0,ROUND(AB1084-AB505,6))</f>
        <v/>
      </c>
      <c r="AC1257" s="1586">
        <f>IF(ISBLANK(INDEX(MO_IS_FirstRow,0,COLUMN())),0,ROUND(AC1084-AC505,6))</f>
        <v/>
      </c>
      <c r="AD1257" s="1586">
        <f>IF(ISBLANK(INDEX(MO_IS_FirstRow,0,COLUMN())),0,ROUND(AD1084-AD505,6))</f>
        <v/>
      </c>
      <c r="AE1257" s="1586">
        <f>IF(ISBLANK(INDEX(MO_IS_FirstRow,0,COLUMN())),0,ROUND(AE1084-AE505,6))</f>
        <v/>
      </c>
      <c r="AF1257" s="1586">
        <f>IF(ISBLANK(INDEX(MO_IS_FirstRow,0,COLUMN())),0,ROUND(AF1084-AF505,6))</f>
        <v/>
      </c>
      <c r="AG1257" s="1586">
        <f>IF(ISBLANK(INDEX(MO_IS_FirstRow,0,COLUMN())),0,ROUND(AG1084-AG505,6))</f>
        <v/>
      </c>
      <c r="AH1257" s="1586">
        <f>IF(ISBLANK(INDEX(MO_IS_FirstRow,0,COLUMN())),0,ROUND(AH1084-AH505,6))</f>
        <v/>
      </c>
      <c r="AI1257" s="1586">
        <f>IF(ISBLANK(INDEX(MO_IS_FirstRow,0,COLUMN())),0,ROUND(AI1084-AI505,6))</f>
        <v/>
      </c>
      <c r="AJ1257" s="1586">
        <f>IF(ISBLANK(INDEX(MO_IS_FirstRow,0,COLUMN())),0,ROUND(AJ1084-AJ505,6))</f>
        <v/>
      </c>
      <c r="AK1257" s="1586">
        <f>IF(ISBLANK(INDEX(MO_IS_FirstRow,0,COLUMN())),0,ROUND(AK1084-AK505,6))</f>
        <v/>
      </c>
      <c r="AL1257" s="1586">
        <f>IF(ISBLANK(INDEX(MO_IS_FirstRow,0,COLUMN())),0,ROUND(AL1084-AL505,6))</f>
        <v/>
      </c>
      <c r="AM1257" s="1586">
        <f>IF(ISBLANK(INDEX(MO_IS_FirstRow,0,COLUMN())),0,ROUND(AM1084-AM505,6))</f>
        <v/>
      </c>
      <c r="AN1257" s="1586">
        <f>IF(ISBLANK(INDEX(MO_IS_FirstRow,0,COLUMN())),0,ROUND(AN1084-AN505,6))</f>
        <v/>
      </c>
      <c r="AO1257" s="1586">
        <f>IF(ISBLANK(INDEX(MO_IS_FirstRow,0,COLUMN())),0,ROUND(AO1084-AO505,6))</f>
        <v/>
      </c>
      <c r="AP1257" s="1586">
        <f>IF(ISBLANK(INDEX(MO_IS_FirstRow,0,COLUMN())),0,ROUND(AP1084-AP505,6))</f>
        <v/>
      </c>
      <c r="AQ1257" s="1586">
        <f>IF(ISBLANK(INDEX(MO_IS_FirstRow,0,COLUMN())),0,ROUND(AQ1084-AQ505,6))</f>
        <v/>
      </c>
      <c r="AR1257" s="1586">
        <f>IF(ISBLANK(INDEX(MO_IS_FirstRow,0,COLUMN())),0,ROUND(AR1084-AR505,6))</f>
        <v/>
      </c>
      <c r="AS1257" s="1586">
        <f>IF(ISBLANK(INDEX(MO_IS_FirstRow,0,COLUMN())),0,ROUND(AS1084-AS505,6))</f>
        <v/>
      </c>
      <c r="AT1257" s="1586">
        <f>IF(ISBLANK(INDEX(MO_IS_FirstRow,0,COLUMN())),0,ROUND(AT1084-AT505,6))</f>
        <v/>
      </c>
      <c r="AU1257" s="1586">
        <f>IF(ISBLANK(INDEX(MO_IS_FirstRow,0,COLUMN())),0,ROUND(AU1084-AU505,6))</f>
        <v/>
      </c>
      <c r="AV1257" s="1586">
        <f>IF(ISBLANK(INDEX(MO_IS_FirstRow,0,COLUMN())),0,ROUND(AV1084-AV505,6))</f>
        <v/>
      </c>
      <c r="AW1257" s="1586">
        <f>IF(ISBLANK(INDEX(MO_IS_FirstRow,0,COLUMN())),0,ROUND(AW1084-AW505,6))</f>
        <v/>
      </c>
      <c r="AX1257" s="1586">
        <f>IF(ISBLANK(INDEX(MO_IS_FirstRow,0,COLUMN())),0,ROUND(AX1084-AX505,6))</f>
        <v/>
      </c>
      <c r="AY1257" s="1586">
        <f>IF(ISBLANK(INDEX(MO_IS_FirstRow,0,COLUMN())),0,ROUND(AY1084-AY505,6))</f>
        <v/>
      </c>
      <c r="AZ1257" s="1586">
        <f>IF(ISBLANK(INDEX(MO_IS_FirstRow,0,COLUMN())),0,ROUND(AZ1084-AZ505,6))</f>
        <v/>
      </c>
      <c r="BA1257" s="1586">
        <f>IF(ISBLANK(INDEX(MO_IS_FirstRow,0,COLUMN())),0,ROUND(BA1084-BA505,6))</f>
        <v/>
      </c>
      <c r="BB1257" s="1586">
        <f>IF(ISBLANK(INDEX(MO_IS_FirstRow,0,COLUMN())),0,ROUND(BB1084-BB505,6))</f>
        <v/>
      </c>
      <c r="BC1257" s="1586">
        <f>IF(ISBLANK(INDEX(MO_IS_FirstRow,0,COLUMN())),0,ROUND(BC1084-BC505,6))</f>
        <v/>
      </c>
      <c r="BD1257" s="1586">
        <f>IF(ISBLANK(INDEX(MO_IS_FirstRow,0,COLUMN())),0,ROUND(BD1084-BD505,6))</f>
        <v/>
      </c>
      <c r="BE1257" s="1586">
        <f>IF(ISBLANK(INDEX(MO_IS_FirstRow,0,COLUMN())),0,ROUND(BE1084-BE505,6))</f>
        <v/>
      </c>
      <c r="BF1257" s="1586">
        <f>IF(ISBLANK(INDEX(MO_IS_FirstRow,0,COLUMN())),0,ROUND(BF1084-BF505,6))</f>
        <v/>
      </c>
      <c r="BG1257" s="1586">
        <f>IF(ISBLANK(INDEX(MO_IS_FirstRow,0,COLUMN())),0,ROUND(BG1084-BG505,6))</f>
        <v/>
      </c>
      <c r="BH1257" s="1586">
        <f>IF(ISBLANK(INDEX(MO_IS_FirstRow,0,COLUMN())),0,ROUND(BH1084-BH505,6))</f>
        <v/>
      </c>
      <c r="BI1257" s="1586">
        <f>IF(ISBLANK(INDEX(MO_IS_FirstRow,0,COLUMN())),0,ROUND(BI1084-BI505,6))</f>
        <v/>
      </c>
      <c r="BJ1257" s="1586">
        <f>IF(ISBLANK(INDEX(MO_IS_FirstRow,0,COLUMN())),0,ROUND(BJ1084-BJ505,6))</f>
        <v/>
      </c>
      <c r="BK1257" s="1586">
        <f>IF(ISBLANK(INDEX(MO_IS_FirstRow,0,COLUMN())),0,ROUND(BK1084-BK505,6))</f>
        <v/>
      </c>
      <c r="BL1257" s="1586">
        <f>IF(ISBLANK(INDEX(MO_IS_FirstRow,0,COLUMN())),0,ROUND(BL1084-BL505,6))</f>
        <v/>
      </c>
      <c r="BM1257" s="1586">
        <f>IF(ISBLANK(INDEX(MO_IS_FirstRow,0,COLUMN())),0,ROUND(BM1084-BM505,6))</f>
        <v/>
      </c>
      <c r="BN1257" s="1586">
        <f>IF(ISBLANK(INDEX(MO_IS_FirstRow,0,COLUMN())),0,ROUND(BN1084-BN505,6))</f>
        <v/>
      </c>
      <c r="BO1257" s="1586">
        <f>IF(ISBLANK(INDEX(MO_IS_FirstRow,0,COLUMN())),0,ROUND(BO1084-BO505,6))</f>
        <v/>
      </c>
      <c r="BP1257" s="1586">
        <f>IF(ISBLANK(INDEX(MO_IS_FirstRow,0,COLUMN())),0,ROUND(BP1084-BP505,6))</f>
        <v/>
      </c>
      <c r="BQ1257" s="1587">
        <f>IF(ISBLANK(INDEX(MO_IS_FirstRow,0,COLUMN())),0,ROUND(BQ1084-BQ505,6))</f>
        <v/>
      </c>
      <c r="BR1257" s="1586">
        <f>IF(ISBLANK(INDEX(MO_IS_FirstRow,0,COLUMN())),0,ROUND(BR1084-BR505,6))</f>
        <v/>
      </c>
      <c r="BS1257" s="1586">
        <f>IF(ISBLANK(INDEX(MO_IS_FirstRow,0,COLUMN())),0,ROUND(BS1084-BS505,6))</f>
        <v/>
      </c>
      <c r="BT1257" s="1586">
        <f>IF(ISBLANK(INDEX(MO_IS_FirstRow,0,COLUMN())),0,ROUND(BT1084-BT505,6))</f>
        <v/>
      </c>
      <c r="BU1257" s="1586">
        <f>IF(ISBLANK(INDEX(MO_IS_FirstRow,0,COLUMN())),0,ROUND(BU1084-BU505,6))</f>
        <v/>
      </c>
      <c r="BV1257" s="1586">
        <f>IF(ISBLANK(INDEX(MO_IS_FirstRow,0,COLUMN())),0,ROUND(BV1084-BV505,6))</f>
        <v/>
      </c>
      <c r="BW1257" s="1586">
        <f>IF(ISBLANK(INDEX(MO_IS_FirstRow,0,COLUMN())),0,ROUND(BW1084-BW505,6))</f>
        <v/>
      </c>
      <c r="BX1257" s="1586">
        <f>IF(ISBLANK(INDEX(MO_IS_FirstRow,0,COLUMN())),0,ROUND(BX1084-BX505,6))</f>
        <v/>
      </c>
      <c r="BY1257" s="1586">
        <f>IF(ISBLANK(INDEX(MO_IS_FirstRow,0,COLUMN())),0,ROUND(BY1084-BY505,6))</f>
        <v/>
      </c>
      <c r="BZ1257" s="1586">
        <f>IF(ISBLANK(INDEX(MO_IS_FirstRow,0,COLUMN())),0,ROUND(BZ1084-BZ505,6))</f>
        <v/>
      </c>
      <c r="CA1257" s="1586">
        <f>IF(ISBLANK(INDEX(MO_IS_FirstRow,0,COLUMN())),0,ROUND(CA1084-CA505,6))</f>
        <v/>
      </c>
      <c r="CB1257" s="1364" t="n"/>
    </row>
    <row r="1258" ht="14.4" customFormat="1" customHeight="1" s="1359">
      <c r="A1258" s="1364" t="inlineStr">
        <is>
          <t>Net Income on Reported IS = NI on Revised</t>
        </is>
      </c>
      <c r="B1258" s="1553" t="n"/>
      <c r="C1258" s="1586">
        <f>IF(ISBLANK(INDEX(MO_IS_FirstRow,0,COLUMN())),0,ROUND(C505-C360,6))+IF(ISBLANK(C365),0,ROUND(C505-C365,6))</f>
        <v/>
      </c>
      <c r="D1258" s="1586">
        <f>IF(ISBLANK(INDEX(MO_IS_FirstRow,0,COLUMN())),0,ROUND(D505-D360,6))+IF(ISBLANK(D365),0,ROUND(D505-D365,6))</f>
        <v/>
      </c>
      <c r="E1258" s="1586">
        <f>IF(ISBLANK(INDEX(MO_IS_FirstRow,0,COLUMN())),0,ROUND(E505-E360,6))+IF(ISBLANK(E365),0,ROUND(E505-E365,6))</f>
        <v/>
      </c>
      <c r="F1258" s="1586">
        <f>IF(ISBLANK(INDEX(MO_IS_FirstRow,0,COLUMN())),0,ROUND(F505-F360,6))+IF(ISBLANK(F365),0,ROUND(F505-F365,6))</f>
        <v/>
      </c>
      <c r="G1258" s="1586">
        <f>IF(ISBLANK(INDEX(MO_IS_FirstRow,0,COLUMN())),0,ROUND(G505-G360,6))+IF(ISBLANK(G365),0,ROUND(G505-G365,6))</f>
        <v/>
      </c>
      <c r="H1258" s="1586">
        <f>IF(ISBLANK(INDEX(MO_IS_FirstRow,0,COLUMN())),0,ROUND(H505-H360,6))+IF(ISBLANK(H365),0,ROUND(H505-H365,6))</f>
        <v/>
      </c>
      <c r="I1258" s="1586">
        <f>IF(ISBLANK(INDEX(MO_IS_FirstRow,0,COLUMN())),0,ROUND(I505-I360,6))+IF(ISBLANK(I365),0,ROUND(I505-I365,6))</f>
        <v/>
      </c>
      <c r="J1258" s="1586">
        <f>IF(ISBLANK(INDEX(MO_IS_FirstRow,0,COLUMN())),0,ROUND(J505-J360,6))+IF(ISBLANK(J365),0,ROUND(J505-J365,6))</f>
        <v/>
      </c>
      <c r="K1258" s="1586">
        <f>IF(ISBLANK(INDEX(MO_IS_FirstRow,0,COLUMN())),0,ROUND(K505-K360,6))+IF(ISBLANK(K365),0,ROUND(K505-K365,6))</f>
        <v/>
      </c>
      <c r="L1258" s="1586">
        <f>IF(ISBLANK(INDEX(MO_IS_FirstRow,0,COLUMN())),0,ROUND(L505-L360,6))+IF(ISBLANK(L365),0,ROUND(L505-L365,6))</f>
        <v/>
      </c>
      <c r="M1258" s="1586">
        <f>IF(ISBLANK(INDEX(MO_IS_FirstRow,0,COLUMN())),0,ROUND(M505-M360,6))+IF(ISBLANK(M365),0,ROUND(M505-M365,6))</f>
        <v/>
      </c>
      <c r="N1258" s="1586">
        <f>IF(ISBLANK(INDEX(MO_IS_FirstRow,0,COLUMN())),0,ROUND(N505-N360,6))+IF(ISBLANK(N365),0,ROUND(N505-N365,6))</f>
        <v/>
      </c>
      <c r="O1258" s="1586">
        <f>IF(ISBLANK(INDEX(MO_IS_FirstRow,0,COLUMN())),0,ROUND(O505-O360,6))+IF(ISBLANK(O365),0,ROUND(O505-O365,6))</f>
        <v/>
      </c>
      <c r="P1258" s="1586">
        <f>IF(ISBLANK(INDEX(MO_IS_FirstRow,0,COLUMN())),0,ROUND(P505-P360,6))+IF(ISBLANK(P365),0,ROUND(P505-P365,6))</f>
        <v/>
      </c>
      <c r="Q1258" s="1586">
        <f>IF(ISBLANK(INDEX(MO_IS_FirstRow,0,COLUMN())),0,ROUND(Q505-Q360,6))+IF(ISBLANK(Q365),0,ROUND(Q505-Q365,6))</f>
        <v/>
      </c>
      <c r="R1258" s="1586">
        <f>IF(ISBLANK(INDEX(MO_IS_FirstRow,0,COLUMN())),0,ROUND(R505-R360,6))+IF(ISBLANK(R365),0,ROUND(R505-R365,6))</f>
        <v/>
      </c>
      <c r="S1258" s="1586">
        <f>IF(ISBLANK(INDEX(MO_IS_FirstRow,0,COLUMN())),0,ROUND(S505-S360,6))+IF(ISBLANK(S365),0,ROUND(S505-S365,6))</f>
        <v/>
      </c>
      <c r="T1258" s="1586">
        <f>IF(ISBLANK(INDEX(MO_IS_FirstRow,0,COLUMN())),0,ROUND(T505-T360,6))+IF(ISBLANK(T365),0,ROUND(T505-T365,6))</f>
        <v/>
      </c>
      <c r="U1258" s="1586">
        <f>IF(ISBLANK(INDEX(MO_IS_FirstRow,0,COLUMN())),0,ROUND(U505-U360,6))+IF(ISBLANK(U365),0,ROUND(U505-U365,6))</f>
        <v/>
      </c>
      <c r="V1258" s="1586">
        <f>IF(ISBLANK(INDEX(MO_IS_FirstRow,0,COLUMN())),0,ROUND(V505-V360,6))+IF(ISBLANK(V365),0,ROUND(V505-V365,6))</f>
        <v/>
      </c>
      <c r="W1258" s="1586">
        <f>IF(ISBLANK(INDEX(MO_IS_FirstRow,0,COLUMN())),0,ROUND(W505-W360,6))+IF(ISBLANK(W365),0,ROUND(W505-W365,6))</f>
        <v/>
      </c>
      <c r="X1258" s="1586">
        <f>IF(ISBLANK(INDEX(MO_IS_FirstRow,0,COLUMN())),0,ROUND(X505-X360,6))+IF(ISBLANK(X365),0,ROUND(X505-X365,6))</f>
        <v/>
      </c>
      <c r="Y1258" s="1586">
        <f>IF(ISBLANK(INDEX(MO_IS_FirstRow,0,COLUMN())),0,ROUND(Y505-Y360,6))+IF(ISBLANK(Y365),0,ROUND(Y505-Y365,6))</f>
        <v/>
      </c>
      <c r="Z1258" s="1586">
        <f>IF(ISBLANK(INDEX(MO_IS_FirstRow,0,COLUMN())),0,ROUND(Z505-Z360,6))+IF(ISBLANK(Z365),0,ROUND(Z505-Z365,6))</f>
        <v/>
      </c>
      <c r="AA1258" s="1586">
        <f>IF(ISBLANK(INDEX(MO_IS_FirstRow,0,COLUMN())),0,ROUND(AA505-AA360,6))+IF(ISBLANK(AA365),0,ROUND(AA505-AA365,6))</f>
        <v/>
      </c>
      <c r="AB1258" s="1586">
        <f>IF(ISBLANK(INDEX(MO_IS_FirstRow,0,COLUMN())),0,ROUND(AB505-AB360,6))+IF(ISBLANK(AB365),0,ROUND(AB505-AB365,6))</f>
        <v/>
      </c>
      <c r="AC1258" s="1586">
        <f>IF(ISBLANK(INDEX(MO_IS_FirstRow,0,COLUMN())),0,ROUND(AC505-AC360,6))+IF(ISBLANK(AC365),0,ROUND(AC505-AC365,6))</f>
        <v/>
      </c>
      <c r="AD1258" s="1586">
        <f>IF(ISBLANK(INDEX(MO_IS_FirstRow,0,COLUMN())),0,ROUND(AD505-AD360,6))+IF(ISBLANK(AD365),0,ROUND(AD505-AD365,6))</f>
        <v/>
      </c>
      <c r="AE1258" s="1586">
        <f>IF(ISBLANK(INDEX(MO_IS_FirstRow,0,COLUMN())),0,ROUND(AE505-AE360,6))+IF(ISBLANK(AE365),0,ROUND(AE505-AE365,6))</f>
        <v/>
      </c>
      <c r="AF1258" s="1586">
        <f>IF(ISBLANK(INDEX(MO_IS_FirstRow,0,COLUMN())),0,ROUND(AF505-AF360,6))+IF(ISBLANK(AF365),0,ROUND(AF505-AF365,6))</f>
        <v/>
      </c>
      <c r="AG1258" s="1586">
        <f>IF(ISBLANK(INDEX(MO_IS_FirstRow,0,COLUMN())),0,ROUND(AG505-AG360,6))+IF(ISBLANK(AG365),0,ROUND(AG505-AG365,6))</f>
        <v/>
      </c>
      <c r="AH1258" s="1586">
        <f>IF(ISBLANK(INDEX(MO_IS_FirstRow,0,COLUMN())),0,ROUND(AH505-AH360,6))+IF(ISBLANK(AH365),0,ROUND(AH505-AH365,6))</f>
        <v/>
      </c>
      <c r="AI1258" s="1586">
        <f>IF(ISBLANK(INDEX(MO_IS_FirstRow,0,COLUMN())),0,ROUND(AI505-AI360,6))+IF(ISBLANK(AI365),0,ROUND(AI505-AI365,6))</f>
        <v/>
      </c>
      <c r="AJ1258" s="1586">
        <f>IF(ISBLANK(INDEX(MO_IS_FirstRow,0,COLUMN())),0,ROUND(AJ505-AJ360,6))+IF(ISBLANK(AJ365),0,ROUND(AJ505-AJ365,6))</f>
        <v/>
      </c>
      <c r="AK1258" s="1586">
        <f>IF(ISBLANK(INDEX(MO_IS_FirstRow,0,COLUMN())),0,ROUND(AK505-AK360,6))+IF(ISBLANK(AK365),0,ROUND(AK505-AK365,6))</f>
        <v/>
      </c>
      <c r="AL1258" s="1586">
        <f>IF(ISBLANK(INDEX(MO_IS_FirstRow,0,COLUMN())),0,ROUND(AL505-AL360,6))+IF(ISBLANK(AL365),0,ROUND(AL505-AL365,6))</f>
        <v/>
      </c>
      <c r="AM1258" s="1586">
        <f>IF(ISBLANK(INDEX(MO_IS_FirstRow,0,COLUMN())),0,ROUND(AM505-AM360,6))+IF(ISBLANK(AM365),0,ROUND(AM505-AM365,6))</f>
        <v/>
      </c>
      <c r="AN1258" s="1586">
        <f>IF(ISBLANK(INDEX(MO_IS_FirstRow,0,COLUMN())),0,ROUND(AN505-AN360,6))+IF(ISBLANK(AN365),0,ROUND(AN505-AN365,6))</f>
        <v/>
      </c>
      <c r="AO1258" s="1586">
        <f>IF(ISBLANK(INDEX(MO_IS_FirstRow,0,COLUMN())),0,ROUND(AO505-AO360,6))+IF(ISBLANK(AO365),0,ROUND(AO505-AO365,6))</f>
        <v/>
      </c>
      <c r="AP1258" s="1586">
        <f>IF(ISBLANK(INDEX(MO_IS_FirstRow,0,COLUMN())),0,ROUND(AP505-AP360,6))+IF(ISBLANK(AP365),0,ROUND(AP505-AP365,6))</f>
        <v/>
      </c>
      <c r="AQ1258" s="1586">
        <f>IF(ISBLANK(INDEX(MO_IS_FirstRow,0,COLUMN())),0,ROUND(AQ505-AQ360,6))+IF(ISBLANK(AQ365),0,ROUND(AQ505-AQ365,6))</f>
        <v/>
      </c>
      <c r="AR1258" s="1586">
        <f>IF(ISBLANK(INDEX(MO_IS_FirstRow,0,COLUMN())),0,ROUND(AR505-AR360,6))+IF(ISBLANK(AR365),0,ROUND(AR505-AR365,6))</f>
        <v/>
      </c>
      <c r="AS1258" s="1586">
        <f>IF(ISBLANK(INDEX(MO_IS_FirstRow,0,COLUMN())),0,ROUND(AS505-AS360,6))+IF(ISBLANK(AS365),0,ROUND(AS505-AS365,6))</f>
        <v/>
      </c>
      <c r="AT1258" s="1586">
        <f>IF(ISBLANK(INDEX(MO_IS_FirstRow,0,COLUMN())),0,ROUND(AT505-AT360,6))+IF(ISBLANK(AT365),0,ROUND(AT505-AT365,6))</f>
        <v/>
      </c>
      <c r="AU1258" s="1586">
        <f>IF(ISBLANK(INDEX(MO_IS_FirstRow,0,COLUMN())),0,ROUND(AU505-AU360,6))+IF(ISBLANK(AU365),0,ROUND(AU505-AU365,6))</f>
        <v/>
      </c>
      <c r="AV1258" s="1586">
        <f>IF(ISBLANK(INDEX(MO_IS_FirstRow,0,COLUMN())),0,ROUND(AV505-AV360,6))+IF(ISBLANK(AV365),0,ROUND(AV505-AV365,6))</f>
        <v/>
      </c>
      <c r="AW1258" s="1586">
        <f>IF(ISBLANK(INDEX(MO_IS_FirstRow,0,COLUMN())),0,ROUND(AW505-AW360,6))+IF(ISBLANK(AW365),0,ROUND(AW505-AW365,6))</f>
        <v/>
      </c>
      <c r="AX1258" s="1586">
        <f>IF(ISBLANK(INDEX(MO_IS_FirstRow,0,COLUMN())),0,ROUND(AX505-AX360,6))+IF(ISBLANK(AX365),0,ROUND(AX505-AX365,6))</f>
        <v/>
      </c>
      <c r="AY1258" s="1586">
        <f>IF(ISBLANK(INDEX(MO_IS_FirstRow,0,COLUMN())),0,ROUND(AY505-AY360,6))+IF(ISBLANK(AY365),0,ROUND(AY505-AY365,6))</f>
        <v/>
      </c>
      <c r="AZ1258" s="1586">
        <f>IF(ISBLANK(INDEX(MO_IS_FirstRow,0,COLUMN())),0,ROUND(AZ505-AZ360,6))+IF(ISBLANK(AZ365),0,ROUND(AZ505-AZ365,6))</f>
        <v/>
      </c>
      <c r="BA1258" s="1586">
        <f>IF(ISBLANK(INDEX(MO_IS_FirstRow,0,COLUMN())),0,ROUND(BA505-BA360,6))+IF(ISBLANK(BA365),0,ROUND(BA505-BA365,6))</f>
        <v/>
      </c>
      <c r="BB1258" s="1586">
        <f>IF(ISBLANK(INDEX(MO_IS_FirstRow,0,COLUMN())),0,ROUND(BB505-BB360,6))+IF(ISBLANK(BB365),0,ROUND(BB505-BB365,6))</f>
        <v/>
      </c>
      <c r="BC1258" s="1586">
        <f>IF(ISBLANK(INDEX(MO_IS_FirstRow,0,COLUMN())),0,ROUND(BC505-BC360,6))+IF(ISBLANK(BC365),0,ROUND(BC505-BC365,6))</f>
        <v/>
      </c>
      <c r="BD1258" s="1586">
        <f>IF(ISBLANK(INDEX(MO_IS_FirstRow,0,COLUMN())),0,ROUND(BD505-BD360,6))+IF(ISBLANK(BD365),0,ROUND(BD505-BD365,6))</f>
        <v/>
      </c>
      <c r="BE1258" s="1586">
        <f>IF(ISBLANK(INDEX(MO_IS_FirstRow,0,COLUMN())),0,ROUND(BE505-BE360,6))+IF(ISBLANK(BE365),0,ROUND(BE505-BE365,6))</f>
        <v/>
      </c>
      <c r="BF1258" s="1586">
        <f>IF(ISBLANK(INDEX(MO_IS_FirstRow,0,COLUMN())),0,ROUND(BF505-BF360,6))+IF(ISBLANK(BF365),0,ROUND(BF505-BF365,6))</f>
        <v/>
      </c>
      <c r="BG1258" s="1586">
        <f>IF(ISBLANK(INDEX(MO_IS_FirstRow,0,COLUMN())),0,ROUND(BG505-BG360,6))+IF(ISBLANK(BG365),0,ROUND(BG505-BG365,6))</f>
        <v/>
      </c>
      <c r="BH1258" s="1586">
        <f>IF(ISBLANK(INDEX(MO_IS_FirstRow,0,COLUMN())),0,ROUND(BH505-BH360,6))+IF(ISBLANK(BH365),0,ROUND(BH505-BH365,6))</f>
        <v/>
      </c>
      <c r="BI1258" s="1586">
        <f>IF(ISBLANK(INDEX(MO_IS_FirstRow,0,COLUMN())),0,ROUND(BI505-BI360,6))+IF(ISBLANK(BI365),0,ROUND(BI505-BI365,6))</f>
        <v/>
      </c>
      <c r="BJ1258" s="1586">
        <f>IF(ISBLANK(INDEX(MO_IS_FirstRow,0,COLUMN())),0,ROUND(BJ505-BJ360,6))+IF(ISBLANK(BJ365),0,ROUND(BJ505-BJ365,6))</f>
        <v/>
      </c>
      <c r="BK1258" s="1586">
        <f>IF(ISBLANK(INDEX(MO_IS_FirstRow,0,COLUMN())),0,ROUND(BK505-BK360,6))+IF(ISBLANK(BK365),0,ROUND(BK505-BK365,6))</f>
        <v/>
      </c>
      <c r="BL1258" s="1586">
        <f>IF(ISBLANK(INDEX(MO_IS_FirstRow,0,COLUMN())),0,ROUND(BL505-BL360,6))+IF(ISBLANK(BL365),0,ROUND(BL505-BL365,6))</f>
        <v/>
      </c>
      <c r="BM1258" s="1586">
        <f>IF(ISBLANK(INDEX(MO_IS_FirstRow,0,COLUMN())),0,ROUND(BM505-BM360,6))+IF(ISBLANK(BM365),0,ROUND(BM505-BM365,6))</f>
        <v/>
      </c>
      <c r="BN1258" s="1586">
        <f>IF(ISBLANK(INDEX(MO_IS_FirstRow,0,COLUMN())),0,ROUND(BN505-BN360,6))+IF(ISBLANK(BN365),0,ROUND(BN505-BN365,6))</f>
        <v/>
      </c>
      <c r="BO1258" s="1586">
        <f>IF(ISBLANK(INDEX(MO_IS_FirstRow,0,COLUMN())),0,ROUND(BO505-BO360,6))+IF(ISBLANK(BO365),0,ROUND(BO505-BO365,6))</f>
        <v/>
      </c>
      <c r="BP1258" s="1586">
        <f>IF(ISBLANK(INDEX(MO_IS_FirstRow,0,COLUMN())),0,ROUND(BP505-BP360,6))+IF(ISBLANK(BP365),0,ROUND(BP505-BP365,6))</f>
        <v/>
      </c>
      <c r="BQ1258" s="1587">
        <f>IF(ISBLANK(INDEX(MO_IS_FirstRow,0,COLUMN())),0,ROUND(BQ505-BQ360,6))+IF(ISBLANK(BQ365),0,ROUND(BQ505-BQ365,6))</f>
        <v/>
      </c>
      <c r="BR1258" s="1586">
        <f>IF(ISBLANK(INDEX(MO_IS_FirstRow,0,COLUMN())),0,ROUND(BR505-BR360,6))+IF(ISBLANK(BR365),0,ROUND(BR505-BR365,6))</f>
        <v/>
      </c>
      <c r="BS1258" s="1586">
        <f>IF(ISBLANK(INDEX(MO_IS_FirstRow,0,COLUMN())),0,ROUND(BS505-BS360,6))+IF(ISBLANK(BS365),0,ROUND(BS505-BS365,6))</f>
        <v/>
      </c>
      <c r="BT1258" s="1586">
        <f>IF(ISBLANK(INDEX(MO_IS_FirstRow,0,COLUMN())),0,ROUND(BT505-BT360,6))+IF(ISBLANK(BT365),0,ROUND(BT505-BT365,6))</f>
        <v/>
      </c>
      <c r="BU1258" s="1586">
        <f>IF(ISBLANK(INDEX(MO_IS_FirstRow,0,COLUMN())),0,ROUND(BU505-BU360,6))+IF(ISBLANK(BU365),0,ROUND(BU505-BU365,6))</f>
        <v/>
      </c>
      <c r="BV1258" s="1586">
        <f>IF(ISBLANK(INDEX(MO_IS_FirstRow,0,COLUMN())),0,ROUND(BV505-BV360,6))+IF(ISBLANK(BV365),0,ROUND(BV505-BV365,6))</f>
        <v/>
      </c>
      <c r="BW1258" s="1586">
        <f>IF(ISBLANK(INDEX(MO_IS_FirstRow,0,COLUMN())),0,ROUND(BW505-BW360,6))+IF(ISBLANK(BW365),0,ROUND(BW505-BW365,6))</f>
        <v/>
      </c>
      <c r="BX1258" s="1586">
        <f>IF(ISBLANK(INDEX(MO_IS_FirstRow,0,COLUMN())),0,ROUND(BX505-BX360,6))+IF(ISBLANK(BX365),0,ROUND(BX505-BX365,6))</f>
        <v/>
      </c>
      <c r="BY1258" s="1586">
        <f>IF(ISBLANK(INDEX(MO_IS_FirstRow,0,COLUMN())),0,ROUND(BY505-BY360,6))+IF(ISBLANK(BY365),0,ROUND(BY505-BY365,6))</f>
        <v/>
      </c>
      <c r="BZ1258" s="1586">
        <f>IF(ISBLANK(INDEX(MO_IS_FirstRow,0,COLUMN())),0,ROUND(BZ505-BZ360,6))+IF(ISBLANK(BZ365),0,ROUND(BZ505-BZ365,6))</f>
        <v/>
      </c>
      <c r="CA1258" s="1586">
        <f>IF(ISBLANK(INDEX(MO_IS_FirstRow,0,COLUMN())),0,ROUND(CA505-CA360,6))+IF(ISBLANK(CA365),0,ROUND(CA505-CA365,6))</f>
        <v/>
      </c>
      <c r="CB1258" s="1364" t="n"/>
    </row>
    <row r="1259" ht="14.4" customFormat="1" customHeight="1" s="1359">
      <c r="A1259" s="1364" t="inlineStr">
        <is>
          <t>Cash is Positive</t>
        </is>
      </c>
      <c r="B1259" s="1553" t="n"/>
      <c r="C1259" s="1586">
        <f>IF(C962&lt;0,C962,0)</f>
        <v/>
      </c>
      <c r="D1259" s="1586">
        <f>IF(D962&lt;0,D962,0)</f>
        <v/>
      </c>
      <c r="E1259" s="1586">
        <f>IF(E962&lt;0,E962,0)</f>
        <v/>
      </c>
      <c r="F1259" s="1586">
        <f>IF(F962&lt;0,F962,0)</f>
        <v/>
      </c>
      <c r="G1259" s="1586">
        <f>IF(G962&lt;0,G962,0)</f>
        <v/>
      </c>
      <c r="H1259" s="1586">
        <f>IF(H962&lt;0,H962,0)</f>
        <v/>
      </c>
      <c r="I1259" s="1586">
        <f>IF(I962&lt;0,I962,0)</f>
        <v/>
      </c>
      <c r="J1259" s="1586">
        <f>IF(J962&lt;0,J962,0)</f>
        <v/>
      </c>
      <c r="K1259" s="1586">
        <f>IF(K962&lt;0,K962,0)</f>
        <v/>
      </c>
      <c r="L1259" s="1586">
        <f>IF(L962&lt;0,L962,0)</f>
        <v/>
      </c>
      <c r="M1259" s="1586">
        <f>IF(M962&lt;0,M962,0)</f>
        <v/>
      </c>
      <c r="N1259" s="1586">
        <f>IF(N962&lt;0,N962,0)</f>
        <v/>
      </c>
      <c r="O1259" s="1586">
        <f>IF(O962&lt;0,O962,0)</f>
        <v/>
      </c>
      <c r="P1259" s="1586">
        <f>IF(P962&lt;0,P962,0)</f>
        <v/>
      </c>
      <c r="Q1259" s="1586">
        <f>IF(Q962&lt;0,Q962,0)</f>
        <v/>
      </c>
      <c r="R1259" s="1586">
        <f>IF(R962&lt;0,R962,0)</f>
        <v/>
      </c>
      <c r="S1259" s="1586">
        <f>IF(S962&lt;0,S962,0)</f>
        <v/>
      </c>
      <c r="T1259" s="1586">
        <f>IF(T962&lt;0,T962,0)</f>
        <v/>
      </c>
      <c r="U1259" s="1586">
        <f>IF(U962&lt;0,U962,0)</f>
        <v/>
      </c>
      <c r="V1259" s="1586">
        <f>IF(V962&lt;0,V962,0)</f>
        <v/>
      </c>
      <c r="W1259" s="1586">
        <f>IF(W962&lt;0,W962,0)</f>
        <v/>
      </c>
      <c r="X1259" s="1586">
        <f>IF(X962&lt;0,X962,0)</f>
        <v/>
      </c>
      <c r="Y1259" s="1586">
        <f>IF(Y962&lt;0,Y962,0)</f>
        <v/>
      </c>
      <c r="Z1259" s="1586">
        <f>IF(Z962&lt;0,Z962,0)</f>
        <v/>
      </c>
      <c r="AA1259" s="1586">
        <f>IF(AA962&lt;0,AA962,0)</f>
        <v/>
      </c>
      <c r="AB1259" s="1586">
        <f>IF(AB962&lt;0,AB962,0)</f>
        <v/>
      </c>
      <c r="AC1259" s="1586">
        <f>IF(AC962&lt;0,AC962,0)</f>
        <v/>
      </c>
      <c r="AD1259" s="1586">
        <f>IF(AD962&lt;0,AD962,0)</f>
        <v/>
      </c>
      <c r="AE1259" s="1586">
        <f>IF(AE962&lt;0,AE962,0)</f>
        <v/>
      </c>
      <c r="AF1259" s="1586">
        <f>IF(AF962&lt;0,AF962,0)</f>
        <v/>
      </c>
      <c r="AG1259" s="1586">
        <f>IF(AG962&lt;0,AG962,0)</f>
        <v/>
      </c>
      <c r="AH1259" s="1586">
        <f>IF(AH962&lt;0,AH962,0)</f>
        <v/>
      </c>
      <c r="AI1259" s="1586">
        <f>IF(AI962&lt;0,AI962,0)</f>
        <v/>
      </c>
      <c r="AJ1259" s="1586">
        <f>IF(AJ962&lt;0,AJ962,0)</f>
        <v/>
      </c>
      <c r="AK1259" s="1586">
        <f>IF(AK962&lt;0,AK962,0)</f>
        <v/>
      </c>
      <c r="AL1259" s="1586">
        <f>IF(AL962&lt;0,AL962,0)</f>
        <v/>
      </c>
      <c r="AM1259" s="1586">
        <f>IF(AM962&lt;0,AM962,0)</f>
        <v/>
      </c>
      <c r="AN1259" s="1586">
        <f>IF(AN962&lt;0,AN962,0)</f>
        <v/>
      </c>
      <c r="AO1259" s="1586">
        <f>IF(AO962&lt;0,AO962,0)</f>
        <v/>
      </c>
      <c r="AP1259" s="1586">
        <f>IF(AP962&lt;0,AP962,0)</f>
        <v/>
      </c>
      <c r="AQ1259" s="1586">
        <f>IF(AQ962&lt;0,AQ962,0)</f>
        <v/>
      </c>
      <c r="AR1259" s="1586">
        <f>IF(AR962&lt;0,AR962,0)</f>
        <v/>
      </c>
      <c r="AS1259" s="1586">
        <f>IF(AS962&lt;0,AS962,0)</f>
        <v/>
      </c>
      <c r="AT1259" s="1586">
        <f>IF(AT962&lt;0,AT962,0)</f>
        <v/>
      </c>
      <c r="AU1259" s="1586">
        <f>IF(AU962&lt;0,AU962,0)</f>
        <v/>
      </c>
      <c r="AV1259" s="1586">
        <f>IF(AV962&lt;0,AV962,0)</f>
        <v/>
      </c>
      <c r="AW1259" s="1586">
        <f>IF(AW962&lt;0,AW962,0)</f>
        <v/>
      </c>
      <c r="AX1259" s="1586">
        <f>IF(AX962&lt;0,AX962,0)</f>
        <v/>
      </c>
      <c r="AY1259" s="1586">
        <f>IF(AY962&lt;0,AY962,0)</f>
        <v/>
      </c>
      <c r="AZ1259" s="1586">
        <f>IF(AZ962&lt;0,AZ962,0)</f>
        <v/>
      </c>
      <c r="BA1259" s="1586">
        <f>IF(BA962&lt;0,BA962,0)</f>
        <v/>
      </c>
      <c r="BB1259" s="1586">
        <f>IF(BB962&lt;0,BB962,0)</f>
        <v/>
      </c>
      <c r="BC1259" s="1586">
        <f>IF(BC962&lt;0,BC962,0)</f>
        <v/>
      </c>
      <c r="BD1259" s="1586">
        <f>IF(BD962&lt;0,BD962,0)</f>
        <v/>
      </c>
      <c r="BE1259" s="1586">
        <f>IF(BE962&lt;0,BE962,0)</f>
        <v/>
      </c>
      <c r="BF1259" s="1586">
        <f>IF(BF962&lt;0,BF962,0)</f>
        <v/>
      </c>
      <c r="BG1259" s="1586">
        <f>IF(BG962&lt;0,BG962,0)</f>
        <v/>
      </c>
      <c r="BH1259" s="1586">
        <f>IF(BH962&lt;0,BH962,0)</f>
        <v/>
      </c>
      <c r="BI1259" s="1586">
        <f>IF(BI962&lt;0,BI962,0)</f>
        <v/>
      </c>
      <c r="BJ1259" s="1586">
        <f>IF(BJ962&lt;0,BJ962,0)</f>
        <v/>
      </c>
      <c r="BK1259" s="1586">
        <f>IF(BK962&lt;0,BK962,0)</f>
        <v/>
      </c>
      <c r="BL1259" s="1586">
        <f>IF(BL962&lt;0,BL962,0)</f>
        <v/>
      </c>
      <c r="BM1259" s="1586">
        <f>IF(BM962&lt;0,BM962,0)</f>
        <v/>
      </c>
      <c r="BN1259" s="1586">
        <f>IF(BN962&lt;0,BN962,0)</f>
        <v/>
      </c>
      <c r="BO1259" s="1586">
        <f>IF(BO962&lt;0,BO962,0)</f>
        <v/>
      </c>
      <c r="BP1259" s="1586">
        <f>IF(BP962&lt;0,BP962,0)</f>
        <v/>
      </c>
      <c r="BQ1259" s="1587">
        <f>IF(BQ962&lt;0,BQ962,0)</f>
        <v/>
      </c>
      <c r="BR1259" s="1586">
        <f>IF(BR962&lt;0,BR962,0)</f>
        <v/>
      </c>
      <c r="BS1259" s="1586">
        <f>IF(BS962&lt;0,BS962,0)</f>
        <v/>
      </c>
      <c r="BT1259" s="1586">
        <f>IF(BT962&lt;0,BT962,0)</f>
        <v/>
      </c>
      <c r="BU1259" s="1586">
        <f>IF(BU962&lt;0,BU962,0)</f>
        <v/>
      </c>
      <c r="BV1259" s="1586">
        <f>IF(BV962&lt;0,BV962,0)</f>
        <v/>
      </c>
      <c r="BW1259" s="1586">
        <f>IF(BW962&lt;0,BW962,0)</f>
        <v/>
      </c>
      <c r="BX1259" s="1586">
        <f>IF(BX962&lt;0,BX962,0)</f>
        <v/>
      </c>
      <c r="BY1259" s="1586">
        <f>IF(BY962&lt;0,BY962,0)</f>
        <v/>
      </c>
      <c r="BZ1259" s="1586">
        <f>IF(BZ962&lt;0,BZ962,0)</f>
        <v/>
      </c>
      <c r="CA1259" s="1586">
        <f>IF(CA962&lt;0,CA962,0)</f>
        <v/>
      </c>
      <c r="CB1259" s="1364" t="n"/>
    </row>
    <row r="1260" ht="14.4" customFormat="1" customHeight="1" s="1359">
      <c r="A1260" s="1364" t="inlineStr">
        <is>
          <t>Debt is Positive</t>
        </is>
      </c>
      <c r="B1260" s="1553" t="n"/>
      <c r="C1260" s="1586">
        <f>IF(C965&lt;0,C965,0)</f>
        <v/>
      </c>
      <c r="D1260" s="1586">
        <f>IF(D965&lt;0,D965,0)</f>
        <v/>
      </c>
      <c r="E1260" s="1586">
        <f>IF(E965&lt;0,E965,0)</f>
        <v/>
      </c>
      <c r="F1260" s="1586">
        <f>IF(F965&lt;0,F965,0)</f>
        <v/>
      </c>
      <c r="G1260" s="1586">
        <f>IF(G965&lt;0,G965,0)</f>
        <v/>
      </c>
      <c r="H1260" s="1586">
        <f>IF(H965&lt;0,H965,0)</f>
        <v/>
      </c>
      <c r="I1260" s="1586">
        <f>IF(I965&lt;0,I965,0)</f>
        <v/>
      </c>
      <c r="J1260" s="1586">
        <f>IF(J965&lt;0,J965,0)</f>
        <v/>
      </c>
      <c r="K1260" s="1586">
        <f>IF(K965&lt;0,K965,0)</f>
        <v/>
      </c>
      <c r="L1260" s="1586">
        <f>IF(L965&lt;0,L965,0)</f>
        <v/>
      </c>
      <c r="M1260" s="1586">
        <f>IF(M965&lt;0,M965,0)</f>
        <v/>
      </c>
      <c r="N1260" s="1586">
        <f>IF(N965&lt;0,N965,0)</f>
        <v/>
      </c>
      <c r="O1260" s="1586">
        <f>IF(O965&lt;0,O965,0)</f>
        <v/>
      </c>
      <c r="P1260" s="1586">
        <f>IF(P965&lt;0,P965,0)</f>
        <v/>
      </c>
      <c r="Q1260" s="1586">
        <f>IF(Q965&lt;0,Q965,0)</f>
        <v/>
      </c>
      <c r="R1260" s="1586">
        <f>IF(R965&lt;0,R965,0)</f>
        <v/>
      </c>
      <c r="S1260" s="1586">
        <f>IF(S965&lt;0,S965,0)</f>
        <v/>
      </c>
      <c r="T1260" s="1586">
        <f>IF(T965&lt;0,T965,0)</f>
        <v/>
      </c>
      <c r="U1260" s="1586">
        <f>IF(U965&lt;0,U965,0)</f>
        <v/>
      </c>
      <c r="V1260" s="1586">
        <f>IF(V965&lt;0,V965,0)</f>
        <v/>
      </c>
      <c r="W1260" s="1586">
        <f>IF(W965&lt;0,W965,0)</f>
        <v/>
      </c>
      <c r="X1260" s="1586">
        <f>IF(X965&lt;0,X965,0)</f>
        <v/>
      </c>
      <c r="Y1260" s="1586">
        <f>IF(Y965&lt;0,Y965,0)</f>
        <v/>
      </c>
      <c r="Z1260" s="1586">
        <f>IF(Z965&lt;0,Z965,0)</f>
        <v/>
      </c>
      <c r="AA1260" s="1586">
        <f>IF(AA965&lt;0,AA965,0)</f>
        <v/>
      </c>
      <c r="AB1260" s="1586">
        <f>IF(AB965&lt;0,AB965,0)</f>
        <v/>
      </c>
      <c r="AC1260" s="1586">
        <f>IF(AC965&lt;0,AC965,0)</f>
        <v/>
      </c>
      <c r="AD1260" s="1586">
        <f>IF(AD965&lt;0,AD965,0)</f>
        <v/>
      </c>
      <c r="AE1260" s="1586">
        <f>IF(AE965&lt;0,AE965,0)</f>
        <v/>
      </c>
      <c r="AF1260" s="1586">
        <f>IF(AF965&lt;0,AF965,0)</f>
        <v/>
      </c>
      <c r="AG1260" s="1586">
        <f>IF(AG965&lt;0,AG965,0)</f>
        <v/>
      </c>
      <c r="AH1260" s="1586">
        <f>IF(AH965&lt;0,AH965,0)</f>
        <v/>
      </c>
      <c r="AI1260" s="1586">
        <f>IF(AI965&lt;0,AI965,0)</f>
        <v/>
      </c>
      <c r="AJ1260" s="1586">
        <f>IF(AJ965&lt;0,AJ965,0)</f>
        <v/>
      </c>
      <c r="AK1260" s="1586">
        <f>IF(AK965&lt;0,AK965,0)</f>
        <v/>
      </c>
      <c r="AL1260" s="1586">
        <f>IF(AL965&lt;0,AL965,0)</f>
        <v/>
      </c>
      <c r="AM1260" s="1586">
        <f>IF(AM965&lt;0,AM965,0)</f>
        <v/>
      </c>
      <c r="AN1260" s="1586">
        <f>IF(AN965&lt;0,AN965,0)</f>
        <v/>
      </c>
      <c r="AO1260" s="1586">
        <f>IF(AO965&lt;0,AO965,0)</f>
        <v/>
      </c>
      <c r="AP1260" s="1586">
        <f>IF(AP965&lt;0,AP965,0)</f>
        <v/>
      </c>
      <c r="AQ1260" s="1586">
        <f>IF(AQ965&lt;0,AQ965,0)</f>
        <v/>
      </c>
      <c r="AR1260" s="1586">
        <f>IF(AR965&lt;0,AR965,0)</f>
        <v/>
      </c>
      <c r="AS1260" s="1586">
        <f>IF(AS965&lt;0,AS965,0)</f>
        <v/>
      </c>
      <c r="AT1260" s="1586">
        <f>IF(AT965&lt;0,AT965,0)</f>
        <v/>
      </c>
      <c r="AU1260" s="1586">
        <f>IF(AU965&lt;0,AU965,0)</f>
        <v/>
      </c>
      <c r="AV1260" s="1586">
        <f>IF(AV965&lt;0,AV965,0)</f>
        <v/>
      </c>
      <c r="AW1260" s="1586">
        <f>IF(AW965&lt;0,AW965,0)</f>
        <v/>
      </c>
      <c r="AX1260" s="1586">
        <f>IF(AX965&lt;0,AX965,0)</f>
        <v/>
      </c>
      <c r="AY1260" s="1586">
        <f>IF(AY965&lt;0,AY965,0)</f>
        <v/>
      </c>
      <c r="AZ1260" s="1586">
        <f>IF(AZ965&lt;0,AZ965,0)</f>
        <v/>
      </c>
      <c r="BA1260" s="1586">
        <f>IF(BA965&lt;0,BA965,0)</f>
        <v/>
      </c>
      <c r="BB1260" s="1586">
        <f>IF(BB965&lt;0,BB965,0)</f>
        <v/>
      </c>
      <c r="BC1260" s="1586">
        <f>IF(BC965&lt;0,BC965,0)</f>
        <v/>
      </c>
      <c r="BD1260" s="1586">
        <f>IF(BD965&lt;0,BD965,0)</f>
        <v/>
      </c>
      <c r="BE1260" s="1586">
        <f>IF(BE965&lt;0,BE965,0)</f>
        <v/>
      </c>
      <c r="BF1260" s="1586">
        <f>IF(BF965&lt;0,BF965,0)</f>
        <v/>
      </c>
      <c r="BG1260" s="1586">
        <f>IF(BG965&lt;0,BG965,0)</f>
        <v/>
      </c>
      <c r="BH1260" s="1586">
        <f>IF(BH965&lt;0,BH965,0)</f>
        <v/>
      </c>
      <c r="BI1260" s="1586">
        <f>IF(BI965&lt;0,BI965,0)</f>
        <v/>
      </c>
      <c r="BJ1260" s="1586">
        <f>IF(BJ965&lt;0,BJ965,0)</f>
        <v/>
      </c>
      <c r="BK1260" s="1586">
        <f>IF(BK965&lt;0,BK965,0)</f>
        <v/>
      </c>
      <c r="BL1260" s="1586">
        <f>IF(BL965&lt;0,BL965,0)</f>
        <v/>
      </c>
      <c r="BM1260" s="1586">
        <f>IF(BM965&lt;0,BM965,0)</f>
        <v/>
      </c>
      <c r="BN1260" s="1586">
        <f>IF(BN965&lt;0,BN965,0)</f>
        <v/>
      </c>
      <c r="BO1260" s="1586">
        <f>IF(BO965&lt;0,BO965,0)</f>
        <v/>
      </c>
      <c r="BP1260" s="1586">
        <f>IF(BP965&lt;0,BP965,0)</f>
        <v/>
      </c>
      <c r="BQ1260" s="1587">
        <f>IF(BQ965&lt;0,BQ965,0)</f>
        <v/>
      </c>
      <c r="BR1260" s="1586">
        <f>IF(BR965&lt;0,BR965,0)</f>
        <v/>
      </c>
      <c r="BS1260" s="1586">
        <f>IF(BS965&lt;0,BS965,0)</f>
        <v/>
      </c>
      <c r="BT1260" s="1586">
        <f>IF(BT965&lt;0,BT965,0)</f>
        <v/>
      </c>
      <c r="BU1260" s="1586">
        <f>IF(BU965&lt;0,BU965,0)</f>
        <v/>
      </c>
      <c r="BV1260" s="1586">
        <f>IF(BV965&lt;0,BV965,0)</f>
        <v/>
      </c>
      <c r="BW1260" s="1586">
        <f>IF(BW965&lt;0,BW965,0)</f>
        <v/>
      </c>
      <c r="BX1260" s="1586">
        <f>IF(BX965&lt;0,BX965,0)</f>
        <v/>
      </c>
      <c r="BY1260" s="1586">
        <f>IF(BY965&lt;0,BY965,0)</f>
        <v/>
      </c>
      <c r="BZ1260" s="1586">
        <f>IF(BZ965&lt;0,BZ965,0)</f>
        <v/>
      </c>
      <c r="CA1260" s="1586">
        <f>IF(CA965&lt;0,CA965,0)</f>
        <v/>
      </c>
      <c r="CB1260" s="1364" t="n"/>
    </row>
    <row r="1261" ht="14.4" customFormat="1" customHeight="1" s="1359">
      <c r="A1261" s="1364" t="inlineStr">
        <is>
          <t>NON-GAAP EBIT In Opex Forecast = NON-GAAP EBIT In RIS</t>
        </is>
      </c>
      <c r="B1261" s="1553" t="n"/>
      <c r="C1261" s="1586">
        <f>IF(ISBLANK(C99),0,ROUND(C478-C99,6))</f>
        <v/>
      </c>
      <c r="D1261" s="1586">
        <f>IF(ISBLANK(D99),0,ROUND(D478-D99,6))</f>
        <v/>
      </c>
      <c r="E1261" s="1586">
        <f>IF(ISBLANK(E99),0,ROUND(E478-E99,6))</f>
        <v/>
      </c>
      <c r="F1261" s="1586">
        <f>IF(ISBLANK(F99),0,ROUND(F478-F99,6))</f>
        <v/>
      </c>
      <c r="G1261" s="1586">
        <f>IF(ISBLANK(G99),0,ROUND(G478-G99,6))</f>
        <v/>
      </c>
      <c r="H1261" s="1586">
        <f>IF(ISBLANK(H99),0,ROUND(H478-H99,6))</f>
        <v/>
      </c>
      <c r="I1261" s="1586">
        <f>IF(ISBLANK(I99),0,ROUND(I478-I99,6))</f>
        <v/>
      </c>
      <c r="J1261" s="1586">
        <f>IF(ISBLANK(J99),0,ROUND(J478-J99,6))</f>
        <v/>
      </c>
      <c r="K1261" s="1586">
        <f>IF(ISBLANK(K99),0,ROUND(K478-K99,6))</f>
        <v/>
      </c>
      <c r="L1261" s="1586">
        <f>IF(ISBLANK(L99),0,ROUND(L478-L99,6))</f>
        <v/>
      </c>
      <c r="M1261" s="1586">
        <f>IF(ISBLANK(M99),0,ROUND(M478-M99,6))</f>
        <v/>
      </c>
      <c r="N1261" s="1586">
        <f>IF(ISBLANK(N99),0,ROUND(N478-N99,6))</f>
        <v/>
      </c>
      <c r="O1261" s="1586">
        <f>IF(ISBLANK(O99),0,ROUND(O478-O99,6))</f>
        <v/>
      </c>
      <c r="P1261" s="1586">
        <f>IF(ISBLANK(P99),0,ROUND(P478-P99,6))</f>
        <v/>
      </c>
      <c r="Q1261" s="1586">
        <f>IF(ISBLANK(Q99),0,ROUND(Q478-Q99,6))</f>
        <v/>
      </c>
      <c r="R1261" s="1586">
        <f>IF(ISBLANK(R99),0,ROUND(R478-R99,6))</f>
        <v/>
      </c>
      <c r="S1261" s="1586">
        <f>IF(ISBLANK(S99),0,ROUND(S478-S99,6))</f>
        <v/>
      </c>
      <c r="T1261" s="1586">
        <f>IF(ISBLANK(T99),0,ROUND(T478-T99,6))</f>
        <v/>
      </c>
      <c r="U1261" s="1586">
        <f>IF(ISBLANK(U99),0,ROUND(U478-U99,6))</f>
        <v/>
      </c>
      <c r="V1261" s="1586">
        <f>IF(ISBLANK(V99),0,ROUND(V478-V99,6))</f>
        <v/>
      </c>
      <c r="W1261" s="1586">
        <f>IF(ISBLANK(W99),0,ROUND(W478-W99,6))</f>
        <v/>
      </c>
      <c r="X1261" s="1586">
        <f>IF(ISBLANK(X99),0,ROUND(X478-X99,6))</f>
        <v/>
      </c>
      <c r="Y1261" s="1586">
        <f>IF(ISBLANK(Y99),0,ROUND(Y478-Y99,6))</f>
        <v/>
      </c>
      <c r="Z1261" s="1586">
        <f>IF(ISBLANK(Z99),0,ROUND(Z478-Z99,6))</f>
        <v/>
      </c>
      <c r="AA1261" s="1586">
        <f>IF(ISBLANK(AA99),0,ROUND(AA478-AA99,6))</f>
        <v/>
      </c>
      <c r="AB1261" s="1586">
        <f>IF(ISBLANK(AB99),0,ROUND(AB478-AB99,6))</f>
        <v/>
      </c>
      <c r="AC1261" s="1586">
        <f>IF(ISBLANK(AC99),0,ROUND(AC478-AC99,6))</f>
        <v/>
      </c>
      <c r="AD1261" s="1586">
        <f>IF(ISBLANK(AD99),0,ROUND(AD478-AD99,6))</f>
        <v/>
      </c>
      <c r="AE1261" s="1586">
        <f>IF(ISBLANK(AE99),0,ROUND(AE478-AE99,6))</f>
        <v/>
      </c>
      <c r="AF1261" s="1586">
        <f>IF(ISBLANK(AF99),0,ROUND(AF478-AF99,6))</f>
        <v/>
      </c>
      <c r="AG1261" s="1586">
        <f>IF(ISBLANK(AG99),0,ROUND(AG478-AG99,6))</f>
        <v/>
      </c>
      <c r="AH1261" s="1586">
        <f>IF(ISBLANK(AH99),0,ROUND(AH478-AH99,6))</f>
        <v/>
      </c>
      <c r="AI1261" s="1586">
        <f>IF(ISBLANK(AI99),0,ROUND(AI478-AI99,6))</f>
        <v/>
      </c>
      <c r="AJ1261" s="1586">
        <f>IF(ISBLANK(AJ99),0,ROUND(AJ478-AJ99,6))</f>
        <v/>
      </c>
      <c r="AK1261" s="1586">
        <f>IF(ISBLANK(AK99),0,ROUND(AK478-AK99,6))</f>
        <v/>
      </c>
      <c r="AL1261" s="1586">
        <f>IF(ISBLANK(AL99),0,ROUND(AL478-AL99,6))</f>
        <v/>
      </c>
      <c r="AM1261" s="1586">
        <f>IF(ISBLANK(AM99),0,ROUND(AM478-AM99,6))</f>
        <v/>
      </c>
      <c r="AN1261" s="1586">
        <f>IF(ISBLANK(AN99),0,ROUND(AN478-AN99,6))</f>
        <v/>
      </c>
      <c r="AO1261" s="1586">
        <f>IF(ISBLANK(AO99),0,ROUND(AO478-AO99,6))</f>
        <v/>
      </c>
      <c r="AP1261" s="1586">
        <f>IF(ISBLANK(AP99),0,ROUND(AP478-AP99,6))</f>
        <v/>
      </c>
      <c r="AQ1261" s="1586">
        <f>IF(ISBLANK(AQ99),0,ROUND(AQ478-AQ99,6))</f>
        <v/>
      </c>
      <c r="AR1261" s="1586">
        <f>IF(ISBLANK(AR99),0,ROUND(AR478-AR99,6))</f>
        <v/>
      </c>
      <c r="AS1261" s="1586">
        <f>IF(ISBLANK(AS99),0,ROUND(AS478-AS99,6))</f>
        <v/>
      </c>
      <c r="AT1261" s="1586">
        <f>IF(ISBLANK(AT99),0,ROUND(AT478-AT99,6))</f>
        <v/>
      </c>
      <c r="AU1261" s="1586">
        <f>IF(ISBLANK(AU99),0,ROUND(AU478-AU99,6))</f>
        <v/>
      </c>
      <c r="AV1261" s="1586">
        <f>IF(ISBLANK(AV99),0,ROUND(AV478-AV99,6))</f>
        <v/>
      </c>
      <c r="AW1261" s="1586">
        <f>IF(ISBLANK(AW99),0,ROUND(AW478-AW99,6))</f>
        <v/>
      </c>
      <c r="AX1261" s="1586">
        <f>IF(ISBLANK(AX99),0,ROUND(AX478-AX99,6))</f>
        <v/>
      </c>
      <c r="AY1261" s="1586">
        <f>IF(ISBLANK(AY99),0,ROUND(AY478-AY99,6))</f>
        <v/>
      </c>
      <c r="AZ1261" s="1586">
        <f>IF(ISBLANK(AZ99),0,ROUND(AZ478-AZ99,6))</f>
        <v/>
      </c>
      <c r="BA1261" s="1586">
        <f>IF(ISBLANK(BA99),0,ROUND(BA478-BA99,6))</f>
        <v/>
      </c>
      <c r="BB1261" s="1586">
        <f>IF(ISBLANK(BB99),0,ROUND(BB478-BB99,6))</f>
        <v/>
      </c>
      <c r="BC1261" s="1586">
        <f>IF(ISBLANK(BC99),0,ROUND(BC478-BC99,6))</f>
        <v/>
      </c>
      <c r="BD1261" s="1586">
        <f>IF(ISBLANK(BD99),0,ROUND(BD478-BD99,6))</f>
        <v/>
      </c>
      <c r="BE1261" s="1586">
        <f>IF(ISBLANK(BE99),0,ROUND(BE478-BE99,6))</f>
        <v/>
      </c>
      <c r="BF1261" s="1586">
        <f>IF(ISBLANK(BF99),0,ROUND(BF478-BF99,6))</f>
        <v/>
      </c>
      <c r="BG1261" s="1586">
        <f>IF(ISBLANK(BG99),0,ROUND(BG478-BG99,6))</f>
        <v/>
      </c>
      <c r="BH1261" s="1586">
        <f>IF(ISBLANK(BH99),0,ROUND(BH478-BH99,6))</f>
        <v/>
      </c>
      <c r="BI1261" s="1586">
        <f>IF(ISBLANK(BI99),0,ROUND(BI478-BI99,6))</f>
        <v/>
      </c>
      <c r="BJ1261" s="1586">
        <f>IF(ISBLANK(BJ99),0,ROUND(BJ478-BJ99,6))</f>
        <v/>
      </c>
      <c r="BK1261" s="1586">
        <f>IF(ISBLANK(BK99),0,ROUND(BK478-BK99,6))</f>
        <v/>
      </c>
      <c r="BL1261" s="1586">
        <f>IF(ISBLANK(BL99),0,ROUND(BL478-BL99,6))</f>
        <v/>
      </c>
      <c r="BM1261" s="1586">
        <f>IF(ISBLANK(BM99),0,ROUND(BM478-BM99,6))</f>
        <v/>
      </c>
      <c r="BN1261" s="1586">
        <f>IF(ISBLANK(BN99),0,ROUND(BN478-BN99,6))</f>
        <v/>
      </c>
      <c r="BO1261" s="1586">
        <f>IF(ISBLANK(BO99),0,ROUND(BO478-BO99,6))</f>
        <v/>
      </c>
      <c r="BP1261" s="1586">
        <f>IF(ISBLANK(BP99),0,ROUND(BP478-BP99,6))</f>
        <v/>
      </c>
      <c r="BQ1261" s="1587">
        <f>IF(ISBLANK(BQ99),0,ROUND(BQ478-BQ99,6))</f>
        <v/>
      </c>
      <c r="BR1261" s="1586">
        <f>IF(ISBLANK(BR99),0,ROUND(BR478-BR99,6))</f>
        <v/>
      </c>
      <c r="BS1261" s="1586">
        <f>IF(ISBLANK(BS99),0,ROUND(BS478-BS99,6))</f>
        <v/>
      </c>
      <c r="BT1261" s="1586">
        <f>IF(ISBLANK(BT99),0,ROUND(BT478-BT99,6))</f>
        <v/>
      </c>
      <c r="BU1261" s="1586">
        <f>IF(ISBLANK(BU99),0,ROUND(BU478-BU99,6))</f>
        <v/>
      </c>
      <c r="BV1261" s="1586">
        <f>IF(ISBLANK(BV99),0,ROUND(BV478-BV99,6))</f>
        <v/>
      </c>
      <c r="BW1261" s="1586">
        <f>IF(ISBLANK(BW99),0,ROUND(BW478-BW99,6))</f>
        <v/>
      </c>
      <c r="BX1261" s="1586">
        <f>IF(ISBLANK(BX99),0,ROUND(BX478-BX99,6))</f>
        <v/>
      </c>
      <c r="BY1261" s="1586">
        <f>IF(ISBLANK(BY99),0,ROUND(BY478-BY99,6))</f>
        <v/>
      </c>
      <c r="BZ1261" s="1586">
        <f>IF(ISBLANK(BZ99),0,ROUND(BZ478-BZ99,6))</f>
        <v/>
      </c>
      <c r="CA1261" s="1586">
        <f>IF(ISBLANK(CA99),0,ROUND(CA478-CA99,6))</f>
        <v/>
      </c>
      <c r="CB1261" s="1364" t="n"/>
    </row>
    <row r="1262" ht="14.4" customFormat="1" customHeight="1" s="1359">
      <c r="A1262" s="1364" t="inlineStr">
        <is>
          <t>Segmented Revenue = Revenue</t>
        </is>
      </c>
      <c r="B1262" s="1553" t="n"/>
      <c r="C1262" s="1586">
        <f>IF(ISBLANK(C20),0,ROUND(C454-C20,6))+IF(ISBLANK(C34),0,ROUND(C454-C34,6))+IF(ISBLANK(C223),0,ROUND(C454-C223,6))+IF(ISBLANK(C244),0,ROUND(C454-C244,6))+IF(ISBLANK(C342),0,ROUND(C454-C342,6))</f>
        <v/>
      </c>
      <c r="D1262" s="1586">
        <f>IF(ISBLANK(D20),0,ROUND(D454-D20,6))+IF(ISBLANK(D34),0,ROUND(D454-D34,6))+IF(ISBLANK(D223),0,ROUND(D454-D223,6))+IF(ISBLANK(D244),0,ROUND(D454-D244,6))+IF(ISBLANK(D342),0,ROUND(D454-D342,6))</f>
        <v/>
      </c>
      <c r="E1262" s="1586">
        <f>IF(ISBLANK(E20),0,ROUND(E454-E20,6))+IF(ISBLANK(E34),0,ROUND(E454-E34,6))+IF(ISBLANK(E223),0,ROUND(E454-E223,6))+IF(ISBLANK(E244),0,ROUND(E454-E244,6))+IF(ISBLANK(E342),0,ROUND(E454-E342,6))</f>
        <v/>
      </c>
      <c r="F1262" s="1586">
        <f>IF(ISBLANK(F20),0,ROUND(F454-F20,6))+IF(ISBLANK(F34),0,ROUND(F454-F34,6))+IF(ISBLANK(F223),0,ROUND(F454-F223,6))+IF(ISBLANK(F244),0,ROUND(F454-F244,6))+IF(ISBLANK(F342),0,ROUND(F454-F342,6))</f>
        <v/>
      </c>
      <c r="G1262" s="1586">
        <f>IF(ISBLANK(G20),0,ROUND(G454-G20,6))+IF(ISBLANK(G34),0,ROUND(G454-G34,6))+IF(ISBLANK(G223),0,ROUND(G454-G223,6))+IF(ISBLANK(G244),0,ROUND(G454-G244,6))+IF(ISBLANK(G342),0,ROUND(G454-G342,6))</f>
        <v/>
      </c>
      <c r="H1262" s="1586">
        <f>IF(ISBLANK(H20),0,ROUND(H454-H20,6))+IF(ISBLANK(H34),0,ROUND(H454-H34,6))+IF(ISBLANK(H223),0,ROUND(H454-H223,6))+IF(ISBLANK(H244),0,ROUND(H454-H244,6))+IF(ISBLANK(H342),0,ROUND(H454-H342,6))</f>
        <v/>
      </c>
      <c r="I1262" s="1586">
        <f>IF(ISBLANK(I20),0,ROUND(I454-I20,6))+IF(ISBLANK(I34),0,ROUND(I454-I34,6))+IF(ISBLANK(I223),0,ROUND(I454-I223,6))+IF(ISBLANK(I244),0,ROUND(I454-I244,6))+IF(ISBLANK(I342),0,ROUND(I454-I342,6))</f>
        <v/>
      </c>
      <c r="J1262" s="1586">
        <f>IF(ISBLANK(J20),0,ROUND(J454-J20,6))+IF(ISBLANK(J34),0,ROUND(J454-J34,6))+IF(ISBLANK(J223),0,ROUND(J454-J223,6))+IF(ISBLANK(J244),0,ROUND(J454-J244,6))+IF(ISBLANK(J342),0,ROUND(J454-J342,6))</f>
        <v/>
      </c>
      <c r="K1262" s="1586">
        <f>IF(ISBLANK(K20),0,ROUND(K454-K20,6))+IF(ISBLANK(K34),0,ROUND(K454-K34,6))+IF(ISBLANK(K223),0,ROUND(K454-K223,6))+IF(ISBLANK(K244),0,ROUND(K454-K244,6))+IF(ISBLANK(K342),0,ROUND(K454-K342,6))</f>
        <v/>
      </c>
      <c r="L1262" s="1586">
        <f>IF(ISBLANK(L20),0,ROUND(L454-L20,6))+IF(ISBLANK(L34),0,ROUND(L454-L34,6))+IF(ISBLANK(L223),0,ROUND(L454-L223,6))+IF(ISBLANK(L244),0,ROUND(L454-L244,6))+IF(ISBLANK(L342),0,ROUND(L454-L342,6))</f>
        <v/>
      </c>
      <c r="M1262" s="1586">
        <f>IF(ISBLANK(M20),0,ROUND(M454-M20,6))+IF(ISBLANK(M34),0,ROUND(M454-M34,6))+IF(ISBLANK(M223),0,ROUND(M454-M223,6))+IF(ISBLANK(M244),0,ROUND(M454-M244,6))+IF(ISBLANK(M342),0,ROUND(M454-M342,6))</f>
        <v/>
      </c>
      <c r="N1262" s="1586">
        <f>IF(ISBLANK(N20),0,ROUND(N454-N20,6))+IF(ISBLANK(N34),0,ROUND(N454-N34,6))+IF(ISBLANK(N223),0,ROUND(N454-N223,6))+IF(ISBLANK(N244),0,ROUND(N454-N244,6))+IF(ISBLANK(N342),0,ROUND(N454-N342,6))</f>
        <v/>
      </c>
      <c r="O1262" s="1586">
        <f>IF(ISBLANK(O20),0,ROUND(O454-O20,6))+IF(ISBLANK(O34),0,ROUND(O454-O34,6))+IF(ISBLANK(O223),0,ROUND(O454-O223,6))+IF(ISBLANK(O244),0,ROUND(O454-O244,6))+IF(ISBLANK(O342),0,ROUND(O454-O342,6))</f>
        <v/>
      </c>
      <c r="P1262" s="1586">
        <f>IF(ISBLANK(P20),0,ROUND(P454-P20,6))+IF(ISBLANK(P34),0,ROUND(P454-P34,6))+IF(ISBLANK(P223),0,ROUND(P454-P223,6))+IF(ISBLANK(P244),0,ROUND(P454-P244,6))+IF(ISBLANK(P342),0,ROUND(P454-P342,6))</f>
        <v/>
      </c>
      <c r="Q1262" s="1586">
        <f>IF(ISBLANK(Q20),0,ROUND(Q454-Q20,6))+IF(ISBLANK(Q34),0,ROUND(Q454-Q34,6))+IF(ISBLANK(Q223),0,ROUND(Q454-Q223,6))+IF(ISBLANK(Q244),0,ROUND(Q454-Q244,6))+IF(ISBLANK(Q342),0,ROUND(Q454-Q342,6))</f>
        <v/>
      </c>
      <c r="R1262" s="1586">
        <f>IF(ISBLANK(R20),0,ROUND(R454-R20,6))+IF(ISBLANK(R34),0,ROUND(R454-R34,6))+IF(ISBLANK(R223),0,ROUND(R454-R223,6))+IF(ISBLANK(R244),0,ROUND(R454-R244,6))+IF(ISBLANK(R342),0,ROUND(R454-R342,6))</f>
        <v/>
      </c>
      <c r="S1262" s="1586">
        <f>IF(ISBLANK(S20),0,ROUND(S454-S20,6))+IF(ISBLANK(S34),0,ROUND(S454-S34,6))+IF(ISBLANK(S223),0,ROUND(S454-S223,6))+IF(ISBLANK(S244),0,ROUND(S454-S244,6))+IF(ISBLANK(S342),0,ROUND(S454-S342,6))</f>
        <v/>
      </c>
      <c r="T1262" s="1586">
        <f>IF(ISBLANK(T20),0,ROUND(T454-T20,6))+IF(ISBLANK(T34),0,ROUND(T454-T34,6))+IF(ISBLANK(T223),0,ROUND(T454-T223,6))+IF(ISBLANK(T244),0,ROUND(T454-T244,6))+IF(ISBLANK(T342),0,ROUND(T454-T342,6))</f>
        <v/>
      </c>
      <c r="U1262" s="1586">
        <f>IF(ISBLANK(U20),0,ROUND(U454-U20,6))+IF(ISBLANK(U34),0,ROUND(U454-U34,6))+IF(ISBLANK(U223),0,ROUND(U454-U223,6))+IF(ISBLANK(U244),0,ROUND(U454-U244,6))+IF(ISBLANK(U342),0,ROUND(U454-U342,6))</f>
        <v/>
      </c>
      <c r="V1262" s="1586">
        <f>IF(ISBLANK(V20),0,ROUND(V454-V20,6))+IF(ISBLANK(V34),0,ROUND(V454-V34,6))+IF(ISBLANK(V223),0,ROUND(V454-V223,6))+IF(ISBLANK(V244),0,ROUND(V454-V244,6))+IF(ISBLANK(V342),0,ROUND(V454-V342,6))</f>
        <v/>
      </c>
      <c r="W1262" s="1586">
        <f>IF(ISBLANK(W20),0,ROUND(W454-W20,6))+IF(ISBLANK(W34),0,ROUND(W454-W34,6))+IF(ISBLANK(W223),0,ROUND(W454-W223,6))+IF(ISBLANK(W244),0,ROUND(W454-W244,6))+IF(ISBLANK(W342),0,ROUND(W454-W342,6))</f>
        <v/>
      </c>
      <c r="X1262" s="1586">
        <f>IF(ISBLANK(X20),0,ROUND(X454-X20,6))+IF(ISBLANK(X34),0,ROUND(X454-X34,6))+IF(ISBLANK(X223),0,ROUND(X454-X223,6))+IF(ISBLANK(X244),0,ROUND(X454-X244,6))+IF(ISBLANK(X342),0,ROUND(X454-X342,6))</f>
        <v/>
      </c>
      <c r="Y1262" s="1586">
        <f>IF(ISBLANK(Y20),0,ROUND(Y454-Y20,6))+IF(ISBLANK(Y34),0,ROUND(Y454-Y34,6))+IF(ISBLANK(Y223),0,ROUND(Y454-Y223,6))+IF(ISBLANK(Y244),0,ROUND(Y454-Y244,6))+IF(ISBLANK(Y342),0,ROUND(Y454-Y342,6))</f>
        <v/>
      </c>
      <c r="Z1262" s="1586">
        <f>IF(ISBLANK(Z20),0,ROUND(Z454-Z20,6))+IF(ISBLANK(Z34),0,ROUND(Z454-Z34,6))+IF(ISBLANK(Z223),0,ROUND(Z454-Z223,6))+IF(ISBLANK(Z244),0,ROUND(Z454-Z244,6))+IF(ISBLANK(Z342),0,ROUND(Z454-Z342,6))</f>
        <v/>
      </c>
      <c r="AA1262" s="1586">
        <f>IF(ISBLANK(AA20),0,ROUND(AA454-AA20,6))+IF(ISBLANK(AA34),0,ROUND(AA454-AA34,6))+IF(ISBLANK(AA223),0,ROUND(AA454-AA223,6))+IF(ISBLANK(AA244),0,ROUND(AA454-AA244,6))+IF(ISBLANK(AA342),0,ROUND(AA454-AA342,6))</f>
        <v/>
      </c>
      <c r="AB1262" s="1586">
        <f>IF(ISBLANK(AB20),0,ROUND(AB454-AB20,6))+IF(ISBLANK(AB34),0,ROUND(AB454-AB34,6))+IF(ISBLANK(AB223),0,ROUND(AB454-AB223,6))+IF(ISBLANK(AB244),0,ROUND(AB454-AB244,6))+IF(ISBLANK(AB342),0,ROUND(AB454-AB342,6))</f>
        <v/>
      </c>
      <c r="AC1262" s="1586">
        <f>IF(ISBLANK(AC20),0,ROUND(AC454-AC20,6))+IF(ISBLANK(AC34),0,ROUND(AC454-AC34,6))+IF(ISBLANK(AC223),0,ROUND(AC454-AC223,6))+IF(ISBLANK(AC244),0,ROUND(AC454-AC244,6))+IF(ISBLANK(AC342),0,ROUND(AC454-AC342,6))</f>
        <v/>
      </c>
      <c r="AD1262" s="1586">
        <f>IF(ISBLANK(AD20),0,ROUND(AD454-AD20,6))+IF(ISBLANK(AD34),0,ROUND(AD454-AD34,6))+IF(ISBLANK(AD223),0,ROUND(AD454-AD223,6))+IF(ISBLANK(AD244),0,ROUND(AD454-AD244,6))+IF(ISBLANK(AD342),0,ROUND(AD454-AD342,6))</f>
        <v/>
      </c>
      <c r="AE1262" s="1586">
        <f>IF(ISBLANK(AE20),0,ROUND(AE454-AE20,6))+IF(ISBLANK(AE34),0,ROUND(AE454-AE34,6))+IF(ISBLANK(AE223),0,ROUND(AE454-AE223,6))+IF(ISBLANK(AE244),0,ROUND(AE454-AE244,6))+IF(ISBLANK(AE342),0,ROUND(AE454-AE342,6))</f>
        <v/>
      </c>
      <c r="AF1262" s="1586">
        <f>IF(ISBLANK(AF20),0,ROUND(AF454-AF20,6))+IF(ISBLANK(AF34),0,ROUND(AF454-AF34,6))+IF(ISBLANK(AF223),0,ROUND(AF454-AF223,6))+IF(ISBLANK(AF244),0,ROUND(AF454-AF244,6))+IF(ISBLANK(AF342),0,ROUND(AF454-AF342,6))</f>
        <v/>
      </c>
      <c r="AG1262" s="1586">
        <f>IF(ISBLANK(AG20),0,ROUND(AG454-AG20,6))+IF(ISBLANK(AG34),0,ROUND(AG454-AG34,6))+IF(ISBLANK(AG223),0,ROUND(AG454-AG223,6))+IF(ISBLANK(AG244),0,ROUND(AG454-AG244,6))+IF(ISBLANK(AG342),0,ROUND(AG454-AG342,6))</f>
        <v/>
      </c>
      <c r="AH1262" s="1586">
        <f>IF(ISBLANK(AH20),0,ROUND(AH454-AH20,6))+IF(ISBLANK(AH34),0,ROUND(AH454-AH34,6))+IF(ISBLANK(AH223),0,ROUND(AH454-AH223,6))+IF(ISBLANK(AH244),0,ROUND(AH454-AH244,6))+IF(ISBLANK(AH342),0,ROUND(AH454-AH342,6))</f>
        <v/>
      </c>
      <c r="AI1262" s="1586">
        <f>IF(ISBLANK(AI20),0,ROUND(AI454-AI20,6))+IF(ISBLANK(AI34),0,ROUND(AI454-AI34,6))+IF(ISBLANK(AI223),0,ROUND(AI454-AI223,6))+IF(ISBLANK(AI244),0,ROUND(AI454-AI244,6))+IF(ISBLANK(AI342),0,ROUND(AI454-AI342,6))</f>
        <v/>
      </c>
      <c r="AJ1262" s="1586">
        <f>IF(ISBLANK(AJ20),0,ROUND(AJ454-AJ20,6))+IF(ISBLANK(AJ34),0,ROUND(AJ454-AJ34,6))+IF(ISBLANK(AJ223),0,ROUND(AJ454-AJ223,6))+IF(ISBLANK(AJ244),0,ROUND(AJ454-AJ244,6))+IF(ISBLANK(AJ342),0,ROUND(AJ454-AJ342,6))</f>
        <v/>
      </c>
      <c r="AK1262" s="1586">
        <f>IF(ISBLANK(AK20),0,ROUND(AK454-AK20,6))+IF(ISBLANK(AK34),0,ROUND(AK454-AK34,6))+IF(ISBLANK(AK223),0,ROUND(AK454-AK223,6))+IF(ISBLANK(AK244),0,ROUND(AK454-AK244,6))+IF(ISBLANK(AK342),0,ROUND(AK454-AK342,6))</f>
        <v/>
      </c>
      <c r="AL1262" s="1586">
        <f>IF(ISBLANK(AL20),0,ROUND(AL454-AL20,6))+IF(ISBLANK(AL34),0,ROUND(AL454-AL34,6))+IF(ISBLANK(AL223),0,ROUND(AL454-AL223,6))+IF(ISBLANK(AL244),0,ROUND(AL454-AL244,6))+IF(ISBLANK(AL342),0,ROUND(AL454-AL342,6))</f>
        <v/>
      </c>
      <c r="AM1262" s="1586">
        <f>IF(ISBLANK(AM20),0,ROUND(AM454-AM20,6))+IF(ISBLANK(AM34),0,ROUND(AM454-AM34,6))+IF(ISBLANK(AM223),0,ROUND(AM454-AM223,6))+IF(ISBLANK(AM244),0,ROUND(AM454-AM244,6))+IF(ISBLANK(AM342),0,ROUND(AM454-AM342,6))</f>
        <v/>
      </c>
      <c r="AN1262" s="1586">
        <f>IF(ISBLANK(AN20),0,ROUND(AN454-AN20,6))+IF(ISBLANK(AN34),0,ROUND(AN454-AN34,6))+IF(ISBLANK(AN223),0,ROUND(AN454-AN223,6))+IF(ISBLANK(AN244),0,ROUND(AN454-AN244,6))+IF(ISBLANK(AN342),0,ROUND(AN454-AN342,6))</f>
        <v/>
      </c>
      <c r="AO1262" s="1586">
        <f>IF(ISBLANK(AO20),0,ROUND(AO454-AO20,6))+IF(ISBLANK(AO34),0,ROUND(AO454-AO34,6))+IF(ISBLANK(AO223),0,ROUND(AO454-AO223,6))+IF(ISBLANK(AO244),0,ROUND(AO454-AO244,6))+IF(ISBLANK(AO342),0,ROUND(AO454-AO342,6))</f>
        <v/>
      </c>
      <c r="AP1262" s="1586">
        <f>IF(ISBLANK(AP20),0,ROUND(AP454-AP20,6))+IF(ISBLANK(AP34),0,ROUND(AP454-AP34,6))+IF(ISBLANK(AP223),0,ROUND(AP454-AP223,6))+IF(ISBLANK(AP244),0,ROUND(AP454-AP244,6))+IF(ISBLANK(AP342),0,ROUND(AP454-AP342,6))</f>
        <v/>
      </c>
      <c r="AQ1262" s="1586">
        <f>IF(ISBLANK(AQ20),0,ROUND(AQ454-AQ20,6))+IF(ISBLANK(AQ34),0,ROUND(AQ454-AQ34,6))+IF(ISBLANK(AQ223),0,ROUND(AQ454-AQ223,6))+IF(ISBLANK(AQ244),0,ROUND(AQ454-AQ244,6))+IF(ISBLANK(AQ342),0,ROUND(AQ454-AQ342,6))</f>
        <v/>
      </c>
      <c r="AR1262" s="1586">
        <f>IF(ISBLANK(AR20),0,ROUND(AR454-AR20,6))+IF(ISBLANK(AR34),0,ROUND(AR454-AR34,6))+IF(ISBLANK(AR223),0,ROUND(AR454-AR223,6))+IF(ISBLANK(AR244),0,ROUND(AR454-AR244,6))+IF(ISBLANK(AR342),0,ROUND(AR454-AR342,6))</f>
        <v/>
      </c>
      <c r="AS1262" s="1586">
        <f>IF(ISBLANK(AS20),0,ROUND(AS454-AS20,6))+IF(ISBLANK(AS34),0,ROUND(AS454-AS34,6))+IF(ISBLANK(AS223),0,ROUND(AS454-AS223,6))+IF(ISBLANK(AS244),0,ROUND(AS454-AS244,6))+IF(ISBLANK(AS342),0,ROUND(AS454-AS342,6))</f>
        <v/>
      </c>
      <c r="AT1262" s="1586">
        <f>IF(ISBLANK(AT20),0,ROUND(AT454-AT20,6))+IF(ISBLANK(AT34),0,ROUND(AT454-AT34,6))+IF(ISBLANK(AT223),0,ROUND(AT454-AT223,6))+IF(ISBLANK(AT244),0,ROUND(AT454-AT244,6))+IF(ISBLANK(AT342),0,ROUND(AT454-AT342,6))</f>
        <v/>
      </c>
      <c r="AU1262" s="1586">
        <f>IF(ISBLANK(AU20),0,ROUND(AU454-AU20,6))+IF(ISBLANK(AU34),0,ROUND(AU454-AU34,6))+IF(ISBLANK(AU223),0,ROUND(AU454-AU223,6))+IF(ISBLANK(AU244),0,ROUND(AU454-AU244,6))+IF(ISBLANK(AU342),0,ROUND(AU454-AU342,6))</f>
        <v/>
      </c>
      <c r="AV1262" s="1586">
        <f>IF(ISBLANK(AV20),0,ROUND(AV454-AV20,6))+IF(ISBLANK(AV34),0,ROUND(AV454-AV34,6))+IF(ISBLANK(AV223),0,ROUND(AV454-AV223,6))+IF(ISBLANK(AV244),0,ROUND(AV454-AV244,6))+IF(ISBLANK(AV342),0,ROUND(AV454-AV342,6))</f>
        <v/>
      </c>
      <c r="AW1262" s="1586">
        <f>IF(ISBLANK(AW20),0,ROUND(AW454-AW20,6))+IF(ISBLANK(AW34),0,ROUND(AW454-AW34,6))+IF(ISBLANK(AW223),0,ROUND(AW454-AW223,6))+IF(ISBLANK(AW244),0,ROUND(AW454-AW244,6))+IF(ISBLANK(AW342),0,ROUND(AW454-AW342,6))</f>
        <v/>
      </c>
      <c r="AX1262" s="1586">
        <f>IF(ISBLANK(AX20),0,ROUND(AX454-AX20,6))+IF(ISBLANK(AX34),0,ROUND(AX454-AX34,6))+IF(ISBLANK(AX223),0,ROUND(AX454-AX223,6))+IF(ISBLANK(AX244),0,ROUND(AX454-AX244,6))+IF(ISBLANK(AX342),0,ROUND(AX454-AX342,6))</f>
        <v/>
      </c>
      <c r="AY1262" s="1586">
        <f>IF(ISBLANK(AY20),0,ROUND(AY454-AY20,6))+IF(ISBLANK(AY34),0,ROUND(AY454-AY34,6))+IF(ISBLANK(AY223),0,ROUND(AY454-AY223,6))+IF(ISBLANK(AY244),0,ROUND(AY454-AY244,6))+IF(ISBLANK(AY342),0,ROUND(AY454-AY342,6))</f>
        <v/>
      </c>
      <c r="AZ1262" s="1586">
        <f>IF(ISBLANK(AZ20),0,ROUND(AZ454-AZ20,6))+IF(ISBLANK(AZ34),0,ROUND(AZ454-AZ34,6))+IF(ISBLANK(AZ223),0,ROUND(AZ454-AZ223,6))+IF(ISBLANK(AZ244),0,ROUND(AZ454-AZ244,6))+IF(ISBLANK(AZ342),0,ROUND(AZ454-AZ342,6))</f>
        <v/>
      </c>
      <c r="BA1262" s="1586">
        <f>IF(ISBLANK(BA20),0,ROUND(BA454-BA20,6))+IF(ISBLANK(BA34),0,ROUND(BA454-BA34,6))+IF(ISBLANK(BA223),0,ROUND(BA454-BA223,6))+IF(ISBLANK(BA244),0,ROUND(BA454-BA244,6))+IF(ISBLANK(BA342),0,ROUND(BA454-BA342,6))</f>
        <v/>
      </c>
      <c r="BB1262" s="1586">
        <f>IF(ISBLANK(BB20),0,ROUND(BB454-BB20,6))+IF(ISBLANK(BB34),0,ROUND(BB454-BB34,6))+IF(ISBLANK(BB223),0,ROUND(BB454-BB223,6))+IF(ISBLANK(BB244),0,ROUND(BB454-BB244,6))+IF(ISBLANK(BB342),0,ROUND(BB454-BB342,6))</f>
        <v/>
      </c>
      <c r="BC1262" s="1586">
        <f>IF(ISBLANK(BC20),0,ROUND(BC454-BC20,6))+IF(ISBLANK(BC34),0,ROUND(BC454-BC34,6))+IF(ISBLANK(BC223),0,ROUND(BC454-BC223,6))+IF(ISBLANK(BC244),0,ROUND(BC454-BC244,6))+IF(ISBLANK(BC342),0,ROUND(BC454-BC342,6))</f>
        <v/>
      </c>
      <c r="BD1262" s="1586">
        <f>IF(ISBLANK(BD20),0,ROUND(BD454-BD20,6))+IF(ISBLANK(BD34),0,ROUND(BD454-BD34,6))+IF(ISBLANK(BD223),0,ROUND(BD454-BD223,6))+IF(ISBLANK(BD244),0,ROUND(BD454-BD244,6))+IF(ISBLANK(BD342),0,ROUND(BD454-BD342,6))</f>
        <v/>
      </c>
      <c r="BE1262" s="1586">
        <f>IF(ISBLANK(BE20),0,ROUND(BE454-BE20,6))+IF(ISBLANK(BE34),0,ROUND(BE454-BE34,6))+IF(ISBLANK(BE223),0,ROUND(BE454-BE223,6))+IF(ISBLANK(BE244),0,ROUND(BE454-BE244,6))+IF(ISBLANK(BE342),0,ROUND(BE454-BE342,6))</f>
        <v/>
      </c>
      <c r="BF1262" s="1586">
        <f>IF(ISBLANK(BF20),0,ROUND(BF454-BF20,6))+IF(ISBLANK(BF34),0,ROUND(BF454-BF34,6))+IF(ISBLANK(BF223),0,ROUND(BF454-BF223,6))+IF(ISBLANK(BF244),0,ROUND(BF454-BF244,6))+IF(ISBLANK(BF342),0,ROUND(BF454-BF342,6))</f>
        <v/>
      </c>
      <c r="BG1262" s="1586">
        <f>IF(ISBLANK(BG20),0,ROUND(BG454-BG20,6))+IF(ISBLANK(BG34),0,ROUND(BG454-BG34,6))+IF(ISBLANK(BG223),0,ROUND(BG454-BG223,6))+IF(ISBLANK(BG244),0,ROUND(BG454-BG244,6))+IF(ISBLANK(BG342),0,ROUND(BG454-BG342,6))</f>
        <v/>
      </c>
      <c r="BH1262" s="1586">
        <f>IF(ISBLANK(BH20),0,ROUND(BH454-BH20,6))+IF(ISBLANK(BH34),0,ROUND(BH454-BH34,6))+IF(ISBLANK(BH223),0,ROUND(BH454-BH223,6))+IF(ISBLANK(BH244),0,ROUND(BH454-BH244,6))+IF(ISBLANK(BH342),0,ROUND(BH454-BH342,6))</f>
        <v/>
      </c>
      <c r="BI1262" s="1586">
        <f>IF(ISBLANK(BI20),0,ROUND(BI454-BI20,6))+IF(ISBLANK(BI34),0,ROUND(BI454-BI34,6))+IF(ISBLANK(BI223),0,ROUND(BI454-BI223,6))+IF(ISBLANK(BI244),0,ROUND(BI454-BI244,6))+IF(ISBLANK(BI342),0,ROUND(BI454-BI342,6))</f>
        <v/>
      </c>
      <c r="BJ1262" s="1586">
        <f>IF(ISBLANK(BJ20),0,ROUND(BJ454-BJ20,6))+IF(ISBLANK(BJ34),0,ROUND(BJ454-BJ34,6))+IF(ISBLANK(BJ223),0,ROUND(BJ454-BJ223,6))+IF(ISBLANK(BJ244),0,ROUND(BJ454-BJ244,6))+IF(ISBLANK(BJ342),0,ROUND(BJ454-BJ342,6))</f>
        <v/>
      </c>
      <c r="BK1262" s="1586">
        <f>IF(ISBLANK(BK20),0,ROUND(BK454-BK20,6))+IF(ISBLANK(BK34),0,ROUND(BK454-BK34,6))+IF(ISBLANK(BK223),0,ROUND(BK454-BK223,6))+IF(ISBLANK(BK244),0,ROUND(BK454-BK244,6))+IF(ISBLANK(BK342),0,ROUND(BK454-BK342,6))</f>
        <v/>
      </c>
      <c r="BL1262" s="1586">
        <f>IF(ISBLANK(BL20),0,ROUND(BL454-BL20,6))+IF(ISBLANK(BL34),0,ROUND(BL454-BL34,6))+IF(ISBLANK(BL223),0,ROUND(BL454-BL223,6))+IF(ISBLANK(BL244),0,ROUND(BL454-BL244,6))+IF(ISBLANK(BL342),0,ROUND(BL454-BL342,6))</f>
        <v/>
      </c>
      <c r="BM1262" s="1586">
        <f>IF(ISBLANK(BM20),0,ROUND(BM454-BM20,6))+IF(ISBLANK(BM34),0,ROUND(BM454-BM34,6))+IF(ISBLANK(BM223),0,ROUND(BM454-BM223,6))+IF(ISBLANK(BM244),0,ROUND(BM454-BM244,6))+IF(ISBLANK(BM342),0,ROUND(BM454-BM342,6))</f>
        <v/>
      </c>
      <c r="BN1262" s="1586">
        <f>IF(ISBLANK(BN20),0,ROUND(BN454-BN20,6))+IF(ISBLANK(BN34),0,ROUND(BN454-BN34,6))+IF(ISBLANK(BN223),0,ROUND(BN454-BN223,6))+IF(ISBLANK(BN244),0,ROUND(BN454-BN244,6))+IF(ISBLANK(BN342),0,ROUND(BN454-BN342,6))</f>
        <v/>
      </c>
      <c r="BO1262" s="1586">
        <f>IF(ISBLANK(BO20),0,ROUND(BO454-BO20,6))+IF(ISBLANK(BO34),0,ROUND(BO454-BO34,6))+IF(ISBLANK(BO223),0,ROUND(BO454-BO223,6))+IF(ISBLANK(BO244),0,ROUND(BO454-BO244,6))+IF(ISBLANK(BO342),0,ROUND(BO454-BO342,6))</f>
        <v/>
      </c>
      <c r="BP1262" s="1586">
        <f>IF(ISBLANK(BP20),0,ROUND(BP454-BP20,6))+IF(ISBLANK(BP34),0,ROUND(BP454-BP34,6))+IF(ISBLANK(BP223),0,ROUND(BP454-BP223,6))+IF(ISBLANK(BP244),0,ROUND(BP454-BP244,6))+IF(ISBLANK(BP342),0,ROUND(BP454-BP342,6))</f>
        <v/>
      </c>
      <c r="BQ1262" s="1587">
        <f>IF(ISBLANK(BQ20),0,ROUND(BQ454-BQ20,6))+IF(ISBLANK(BQ34),0,ROUND(BQ454-BQ34,6))+IF(ISBLANK(BQ223),0,ROUND(BQ454-BQ223,6))+IF(ISBLANK(BQ244),0,ROUND(BQ454-BQ244,6))+IF(ISBLANK(BQ342),0,ROUND(BQ454-BQ342,6))</f>
        <v/>
      </c>
      <c r="BR1262" s="1586">
        <f>IF(ISBLANK(BR20),0,ROUND(BR454-BR20,6))+IF(ISBLANK(BR34),0,ROUND(BR454-BR34,6))+IF(ISBLANK(BR223),0,ROUND(BR454-BR223,6))+IF(ISBLANK(BR244),0,ROUND(BR454-BR244,6))+IF(ISBLANK(BR342),0,ROUND(BR454-BR342,6))</f>
        <v/>
      </c>
      <c r="BS1262" s="1586">
        <f>IF(ISBLANK(BS20),0,ROUND(BS454-BS20,6))+IF(ISBLANK(BS34),0,ROUND(BS454-BS34,6))+IF(ISBLANK(BS223),0,ROUND(BS454-BS223,6))+IF(ISBLANK(BS244),0,ROUND(BS454-BS244,6))+IF(ISBLANK(BS342),0,ROUND(BS454-BS342,6))</f>
        <v/>
      </c>
      <c r="BT1262" s="1586">
        <f>IF(ISBLANK(BT20),0,ROUND(BT454-BT20,6))+IF(ISBLANK(BT34),0,ROUND(BT454-BT34,6))+IF(ISBLANK(BT223),0,ROUND(BT454-BT223,6))+IF(ISBLANK(BT244),0,ROUND(BT454-BT244,6))+IF(ISBLANK(BT342),0,ROUND(BT454-BT342,6))</f>
        <v/>
      </c>
      <c r="BU1262" s="1586">
        <f>IF(ISBLANK(BU20),0,ROUND(BU454-BU20,6))+IF(ISBLANK(BU34),0,ROUND(BU454-BU34,6))+IF(ISBLANK(BU223),0,ROUND(BU454-BU223,6))+IF(ISBLANK(BU244),0,ROUND(BU454-BU244,6))+IF(ISBLANK(BU342),0,ROUND(BU454-BU342,6))</f>
        <v/>
      </c>
      <c r="BV1262" s="1586">
        <f>IF(ISBLANK(BV20),0,ROUND(BV454-BV20,6))+IF(ISBLANK(BV34),0,ROUND(BV454-BV34,6))+IF(ISBLANK(BV223),0,ROUND(BV454-BV223,6))+IF(ISBLANK(BV244),0,ROUND(BV454-BV244,6))+IF(ISBLANK(BV342),0,ROUND(BV454-BV342,6))</f>
        <v/>
      </c>
      <c r="BW1262" s="1586">
        <f>IF(ISBLANK(BW20),0,ROUND(BW454-BW20,6))+IF(ISBLANK(BW34),0,ROUND(BW454-BW34,6))+IF(ISBLANK(BW223),0,ROUND(BW454-BW223,6))+IF(ISBLANK(BW244),0,ROUND(BW454-BW244,6))+IF(ISBLANK(BW342),0,ROUND(BW454-BW342,6))</f>
        <v/>
      </c>
      <c r="BX1262" s="1586">
        <f>IF(ISBLANK(BX20),0,ROUND(BX454-BX20,6))+IF(ISBLANK(BX34),0,ROUND(BX454-BX34,6))+IF(ISBLANK(BX223),0,ROUND(BX454-BX223,6))+IF(ISBLANK(BX244),0,ROUND(BX454-BX244,6))+IF(ISBLANK(BX342),0,ROUND(BX454-BX342,6))</f>
        <v/>
      </c>
      <c r="BY1262" s="1586">
        <f>IF(ISBLANK(BY20),0,ROUND(BY454-BY20,6))+IF(ISBLANK(BY34),0,ROUND(BY454-BY34,6))+IF(ISBLANK(BY223),0,ROUND(BY454-BY223,6))+IF(ISBLANK(BY244),0,ROUND(BY454-BY244,6))+IF(ISBLANK(BY342),0,ROUND(BY454-BY342,6))</f>
        <v/>
      </c>
      <c r="BZ1262" s="1586">
        <f>IF(ISBLANK(BZ20),0,ROUND(BZ454-BZ20,6))+IF(ISBLANK(BZ34),0,ROUND(BZ454-BZ34,6))+IF(ISBLANK(BZ223),0,ROUND(BZ454-BZ223,6))+IF(ISBLANK(BZ244),0,ROUND(BZ454-BZ244,6))+IF(ISBLANK(BZ342),0,ROUND(BZ454-BZ342,6))</f>
        <v/>
      </c>
      <c r="CA1262" s="1586">
        <f>IF(ISBLANK(CA20),0,ROUND(CA454-CA20,6))+IF(ISBLANK(CA34),0,ROUND(CA454-CA34,6))+IF(ISBLANK(CA223),0,ROUND(CA454-CA223,6))+IF(ISBLANK(CA244),0,ROUND(CA454-CA244,6))+IF(ISBLANK(CA342),0,ROUND(CA454-CA342,6))</f>
        <v/>
      </c>
      <c r="CB1262" s="1364" t="n"/>
    </row>
    <row r="1263" ht="14.4" customFormat="1" customHeight="1" s="1359">
      <c r="A1263" s="1364" t="inlineStr">
        <is>
          <t>Segmented EBIT = EBIT</t>
        </is>
      </c>
      <c r="B1263" s="1553" t="n"/>
      <c r="C1263" s="1586">
        <f>IF(ISBLANK(C93),0,ROUND(C355-C93,6))</f>
        <v/>
      </c>
      <c r="D1263" s="1586">
        <f>IF(ISBLANK(D93),0,ROUND(D355-D93,6))</f>
        <v/>
      </c>
      <c r="E1263" s="1586">
        <f>IF(ISBLANK(E93),0,ROUND(E355-E93,6))</f>
        <v/>
      </c>
      <c r="F1263" s="1586">
        <f>IF(ISBLANK(F93),0,ROUND(F355-F93,6))</f>
        <v/>
      </c>
      <c r="G1263" s="1586">
        <f>IF(ISBLANK(G93),0,ROUND(G355-G93,6))</f>
        <v/>
      </c>
      <c r="H1263" s="1586">
        <f>IF(ISBLANK(H93),0,ROUND(H355-H93,6))</f>
        <v/>
      </c>
      <c r="I1263" s="1586">
        <f>IF(ISBLANK(I93),0,ROUND(I355-I93,6))</f>
        <v/>
      </c>
      <c r="J1263" s="1586">
        <f>IF(ISBLANK(J93),0,ROUND(J355-J93,6))</f>
        <v/>
      </c>
      <c r="K1263" s="1586">
        <f>IF(ISBLANK(K93),0,ROUND(K355-K93,6))</f>
        <v/>
      </c>
      <c r="L1263" s="1586">
        <f>IF(ISBLANK(L93),0,ROUND(L355-L93,6))</f>
        <v/>
      </c>
      <c r="M1263" s="1586">
        <f>IF(ISBLANK(M93),0,ROUND(M355-M93,6))</f>
        <v/>
      </c>
      <c r="N1263" s="1586">
        <f>IF(ISBLANK(N93),0,ROUND(N355-N93,6))</f>
        <v/>
      </c>
      <c r="O1263" s="1586">
        <f>IF(ISBLANK(O93),0,ROUND(O355-O93,6))</f>
        <v/>
      </c>
      <c r="P1263" s="1586">
        <f>IF(ISBLANK(P93),0,ROUND(P355-P93,6))</f>
        <v/>
      </c>
      <c r="Q1263" s="1586">
        <f>IF(ISBLANK(Q93),0,ROUND(Q355-Q93,6))</f>
        <v/>
      </c>
      <c r="R1263" s="1586">
        <f>IF(ISBLANK(R93),0,ROUND(R355-R93,6))</f>
        <v/>
      </c>
      <c r="S1263" s="1586">
        <f>IF(ISBLANK(S93),0,ROUND(S355-S93,6))</f>
        <v/>
      </c>
      <c r="T1263" s="1586">
        <f>IF(ISBLANK(T93),0,ROUND(T355-T93,6))</f>
        <v/>
      </c>
      <c r="U1263" s="1586">
        <f>IF(ISBLANK(U93),0,ROUND(U355-U93,6))</f>
        <v/>
      </c>
      <c r="V1263" s="1586">
        <f>IF(ISBLANK(V93),0,ROUND(V355-V93,6))</f>
        <v/>
      </c>
      <c r="W1263" s="1586">
        <f>IF(ISBLANK(W93),0,ROUND(W355-W93,6))</f>
        <v/>
      </c>
      <c r="X1263" s="1586">
        <f>IF(ISBLANK(X93),0,ROUND(X355-X93,6))</f>
        <v/>
      </c>
      <c r="Y1263" s="1586">
        <f>IF(ISBLANK(Y93),0,ROUND(Y355-Y93,6))</f>
        <v/>
      </c>
      <c r="Z1263" s="1586">
        <f>IF(ISBLANK(Z93),0,ROUND(Z355-Z93,6))</f>
        <v/>
      </c>
      <c r="AA1263" s="1586">
        <f>IF(ISBLANK(AA93),0,ROUND(AA355-AA93,6))</f>
        <v/>
      </c>
      <c r="AB1263" s="1586">
        <f>IF(ISBLANK(AB93),0,ROUND(AB355-AB93,6))</f>
        <v/>
      </c>
      <c r="AC1263" s="1586">
        <f>IF(ISBLANK(AC93),0,ROUND(AC355-AC93,6))</f>
        <v/>
      </c>
      <c r="AD1263" s="1586">
        <f>IF(ISBLANK(AD93),0,ROUND(AD355-AD93,6))</f>
        <v/>
      </c>
      <c r="AE1263" s="1586">
        <f>IF(ISBLANK(AE93),0,ROUND(AE355-AE93,6))</f>
        <v/>
      </c>
      <c r="AF1263" s="1586">
        <f>IF(ISBLANK(AF93),0,ROUND(AF355-AF93,6))</f>
        <v/>
      </c>
      <c r="AG1263" s="1586">
        <f>IF(ISBLANK(AG93),0,ROUND(AG355-AG93,6))</f>
        <v/>
      </c>
      <c r="AH1263" s="1586">
        <f>IF(ISBLANK(AH93),0,ROUND(AH355-AH93,6))</f>
        <v/>
      </c>
      <c r="AI1263" s="1586">
        <f>IF(ISBLANK(AI93),0,ROUND(AI355-AI93,6))</f>
        <v/>
      </c>
      <c r="AJ1263" s="1586">
        <f>IF(ISBLANK(AJ93),0,ROUND(AJ355-AJ93,6))</f>
        <v/>
      </c>
      <c r="AK1263" s="1586">
        <f>IF(ISBLANK(AK93),0,ROUND(AK355-AK93,6))</f>
        <v/>
      </c>
      <c r="AL1263" s="1586">
        <f>IF(ISBLANK(AL93),0,ROUND(AL355-AL93,6))</f>
        <v/>
      </c>
      <c r="AM1263" s="1586">
        <f>IF(ISBLANK(AM93),0,ROUND(AM355-AM93,6))</f>
        <v/>
      </c>
      <c r="AN1263" s="1586">
        <f>IF(ISBLANK(AN93),0,ROUND(AN355-AN93,6))</f>
        <v/>
      </c>
      <c r="AO1263" s="1586">
        <f>IF(ISBLANK(AO93),0,ROUND(AO355-AO93,6))</f>
        <v/>
      </c>
      <c r="AP1263" s="1586">
        <f>IF(ISBLANK(AP93),0,ROUND(AP355-AP93,6))</f>
        <v/>
      </c>
      <c r="AQ1263" s="1586">
        <f>IF(ISBLANK(AQ93),0,ROUND(AQ355-AQ93,6))</f>
        <v/>
      </c>
      <c r="AR1263" s="1586">
        <f>IF(ISBLANK(AR93),0,ROUND(AR355-AR93,6))</f>
        <v/>
      </c>
      <c r="AS1263" s="1586">
        <f>IF(ISBLANK(AS93),0,ROUND(AS355-AS93,6))</f>
        <v/>
      </c>
      <c r="AT1263" s="1586">
        <f>IF(ISBLANK(AT93),0,ROUND(AT355-AT93,6))</f>
        <v/>
      </c>
      <c r="AU1263" s="1586">
        <f>IF(ISBLANK(AU93),0,ROUND(AU355-AU93,6))</f>
        <v/>
      </c>
      <c r="AV1263" s="1586">
        <f>IF(ISBLANK(AV93),0,ROUND(AV355-AV93,6))</f>
        <v/>
      </c>
      <c r="AW1263" s="1586">
        <f>IF(ISBLANK(AW93),0,ROUND(AW355-AW93,6))</f>
        <v/>
      </c>
      <c r="AX1263" s="1586">
        <f>IF(ISBLANK(AX93),0,ROUND(AX355-AX93,6))</f>
        <v/>
      </c>
      <c r="AY1263" s="1586">
        <f>IF(ISBLANK(AY93),0,ROUND(AY355-AY93,6))</f>
        <v/>
      </c>
      <c r="AZ1263" s="1586">
        <f>IF(ISBLANK(AZ93),0,ROUND(AZ355-AZ93,6))</f>
        <v/>
      </c>
      <c r="BA1263" s="1586">
        <f>IF(ISBLANK(BA93),0,ROUND(BA355-BA93,6))</f>
        <v/>
      </c>
      <c r="BB1263" s="1586">
        <f>IF(ISBLANK(BB93),0,ROUND(BB355-BB93,6))</f>
        <v/>
      </c>
      <c r="BC1263" s="1586">
        <f>IF(ISBLANK(BC93),0,ROUND(BC355-BC93,6))</f>
        <v/>
      </c>
      <c r="BD1263" s="1586">
        <f>IF(ISBLANK(BD93),0,ROUND(BD355-BD93,6))</f>
        <v/>
      </c>
      <c r="BE1263" s="1586">
        <f>IF(ISBLANK(BE93),0,ROUND(BE355-BE93,6))</f>
        <v/>
      </c>
      <c r="BF1263" s="1586">
        <f>IF(ISBLANK(BF93),0,ROUND(BF355-BF93,6))</f>
        <v/>
      </c>
      <c r="BG1263" s="1586">
        <f>IF(ISBLANK(BG93),0,ROUND(BG355-BG93,6))</f>
        <v/>
      </c>
      <c r="BH1263" s="1586">
        <f>IF(ISBLANK(BH93),0,ROUND(BH355-BH93,6))</f>
        <v/>
      </c>
      <c r="BI1263" s="1586">
        <f>IF(ISBLANK(BI93),0,ROUND(BI355-BI93,6))</f>
        <v/>
      </c>
      <c r="BJ1263" s="1586">
        <f>IF(ISBLANK(BJ93),0,ROUND(BJ355-BJ93,6))</f>
        <v/>
      </c>
      <c r="BK1263" s="1586">
        <f>IF(ISBLANK(BK93),0,ROUND(BK355-BK93,6))</f>
        <v/>
      </c>
      <c r="BL1263" s="1586">
        <f>IF(ISBLANK(BL93),0,ROUND(BL355-BL93,6))</f>
        <v/>
      </c>
      <c r="BM1263" s="1586">
        <f>IF(ISBLANK(BM93),0,ROUND(BM355-BM93,6))</f>
        <v/>
      </c>
      <c r="BN1263" s="1586">
        <f>IF(ISBLANK(BN93),0,ROUND(BN355-BN93,6))</f>
        <v/>
      </c>
      <c r="BO1263" s="1586">
        <f>IF(ISBLANK(BO93),0,ROUND(BO355-BO93,6))</f>
        <v/>
      </c>
      <c r="BP1263" s="1586">
        <f>IF(ISBLANK(BP93),0,ROUND(BP355-BP93,6))</f>
        <v/>
      </c>
      <c r="BQ1263" s="1587">
        <f>IF(ISBLANK(BQ93),0,ROUND(BQ355-BQ93,6))</f>
        <v/>
      </c>
      <c r="BR1263" s="1586" t="n"/>
      <c r="BS1263" s="1586" t="n"/>
      <c r="BT1263" s="1586" t="n"/>
      <c r="BU1263" s="1586" t="n"/>
      <c r="BV1263" s="1586" t="n"/>
      <c r="BW1263" s="1586" t="n"/>
      <c r="BX1263" s="1586" t="n"/>
      <c r="BY1263" s="1586" t="n"/>
      <c r="BZ1263" s="1586" t="n"/>
      <c r="CA1263" s="1586" t="n"/>
      <c r="CB1263" s="1364" t="n"/>
    </row>
    <row r="1264" ht="14.4" customFormat="1" customHeight="1" s="1359">
      <c r="A1264" s="1364" t="inlineStr">
        <is>
          <t>Cash Flow is not Repeated</t>
        </is>
      </c>
      <c r="B1264" s="1553" t="n"/>
      <c r="C1264" s="1586">
        <f>IF(ISBLANK(INDEX(MO_IS_FirstRow,0,COLUMN())),0,IF(OR(C1152=B1152,C1152=D1152),"CHECK",0))</f>
        <v/>
      </c>
      <c r="D1264" s="1586">
        <f>IF(ISBLANK(INDEX(MO_IS_FirstRow,0,COLUMN())),0,IF(OR(D1152=C1152,D1152=E1152),"CHECK",0))</f>
        <v/>
      </c>
      <c r="E1264" s="1586">
        <f>IF(ISBLANK(INDEX(MO_IS_FirstRow,0,COLUMN())),0,IF(OR(E1152=D1152,E1152=F1152),"CHECK",0))</f>
        <v/>
      </c>
      <c r="F1264" s="1586">
        <f>IF(ISBLANK(INDEX(MO_IS_FirstRow,0,COLUMN())),0,IF(OR(F1152=E1152,F1152=K1152),"CHECK",0))</f>
        <v/>
      </c>
      <c r="G1264" s="1586">
        <f>IF(ISBLANK(INDEX(MO_IS_FirstRow,0,COLUMN())),0,IF(OR(G1152=B1152,G1152=H1152,G1152=E1152),"CHECK",0))</f>
        <v/>
      </c>
      <c r="H1264" s="1586">
        <f>IF(ISBLANK(INDEX(MO_IS_FirstRow,0,COLUMN())),0,IF(OR(H1152=C1152,H1152=I1152,H1152=G1152),"CHECK",0))</f>
        <v/>
      </c>
      <c r="I1264" s="1586">
        <f>IF(ISBLANK(INDEX(MO_IS_FirstRow,0,COLUMN())),0,IF(OR(I1152=D1152,I1152=J1152,I1152=H1152),"CHECK",0))</f>
        <v/>
      </c>
      <c r="J1264" s="1586">
        <f>IF(ISBLANK(INDEX(MO_IS_FirstRow,0,COLUMN())),0,IF(OR(J1152=E1152,J1152=K1152,J1152=I1152),"CHECK",0))</f>
        <v/>
      </c>
      <c r="K1264" s="1586">
        <f>IF(ISBLANK(INDEX(MO_IS_FirstRow,0,COLUMN())),0,IF(K1152=F1152,"CHECK",0))</f>
        <v/>
      </c>
      <c r="L1264" s="1586">
        <f>IF(ISBLANK(INDEX(MO_IS_FirstRow,0,COLUMN())),0,IF(OR(L1152=G1152,L1152=M1152,L1152=J1152),"CHECK",0))</f>
        <v/>
      </c>
      <c r="M1264" s="1586">
        <f>IF(ISBLANK(INDEX(MO_IS_FirstRow,0,COLUMN())),0,IF(OR(M1152=H1152,M1152=N1152,M1152=L1152),"CHECK",0))</f>
        <v/>
      </c>
      <c r="N1264" s="1586">
        <f>IF(ISBLANK(INDEX(MO_IS_FirstRow,0,COLUMN())),0,IF(OR(N1152=I1152,N1152=O1152,N1152=M1152),"CHECK",0))</f>
        <v/>
      </c>
      <c r="O1264" s="1586">
        <f>IF(ISBLANK(INDEX(MO_IS_FirstRow,0,COLUMN())),0,IF(OR(O1152=J1152,O1152=P1152,O1152=N1152),"CHECK",0))</f>
        <v/>
      </c>
      <c r="P1264" s="1586">
        <f>IF(ISBLANK(INDEX(MO_IS_FirstRow,0,COLUMN())),0,IF(P1152=K1152,"CHECK",0))</f>
        <v/>
      </c>
      <c r="Q1264" s="1586">
        <f>IF(ISBLANK(INDEX(MO_IS_FirstRow,0,COLUMN())),0,IF(OR(Q1152=L1152,Q1152=R1152,Q1152=O1152),"CHECK",0))</f>
        <v/>
      </c>
      <c r="R1264" s="1586">
        <f>IF(ISBLANK(INDEX(MO_IS_FirstRow,0,COLUMN())),0,IF(OR(R1152=M1152,R1152=S1152,R1152=Q1152),"CHECK",0))</f>
        <v/>
      </c>
      <c r="S1264" s="1586">
        <f>IF(ISBLANK(INDEX(MO_IS_FirstRow,0,COLUMN())),0,IF(OR(S1152=N1152,S1152=T1152,S1152=R1152),"CHECK",0))</f>
        <v/>
      </c>
      <c r="T1264" s="1586">
        <f>IF(ISBLANK(INDEX(MO_IS_FirstRow,0,COLUMN())),0,IF(OR(T1152=O1152,T1152=U1152,T1152=S1152),"CHECK",0))</f>
        <v/>
      </c>
      <c r="U1264" s="1586">
        <f>IF(ISBLANK(INDEX(MO_IS_FirstRow,0,COLUMN())),0,IF(U1152=P1152,"CHECK",0))</f>
        <v/>
      </c>
      <c r="V1264" s="1586">
        <f>IF(ISBLANK(INDEX(MO_IS_FirstRow,0,COLUMN())),0,IF(OR(V1152=Q1152,V1152=W1152,V1152=T1152),"CHECK",0))</f>
        <v/>
      </c>
      <c r="W1264" s="1586">
        <f>IF(ISBLANK(INDEX(MO_IS_FirstRow,0,COLUMN())),0,IF(OR(W1152=R1152,W1152=X1152,W1152=V1152),"CHECK",0))</f>
        <v/>
      </c>
      <c r="X1264" s="1586">
        <f>IF(ISBLANK(INDEX(MO_IS_FirstRow,0,COLUMN())),0,IF(OR(X1152=S1152,X1152=Y1152,X1152=W1152),"CHECK",0))</f>
        <v/>
      </c>
      <c r="Y1264" s="1586">
        <f>IF(ISBLANK(INDEX(MO_IS_FirstRow,0,COLUMN())),0,IF(OR(Y1152=T1152,Y1152=Z1152,Y1152=X1152),"CHECK",0))</f>
        <v/>
      </c>
      <c r="Z1264" s="1586">
        <f>IF(ISBLANK(INDEX(MO_IS_FirstRow,0,COLUMN())),0,IF(Z1152=U1152,"CHECK",0))</f>
        <v/>
      </c>
      <c r="AA1264" s="1586">
        <f>IF(ISBLANK(INDEX(MO_IS_FirstRow,0,COLUMN())),0,IF(OR(AA1152=V1152,AA1152=AB1152,AA1152=Y1152),"CHECK",0))</f>
        <v/>
      </c>
      <c r="AB1264" s="1586">
        <f>IF(ISBLANK(INDEX(MO_IS_FirstRow,0,COLUMN())),0,IF(OR(AB1152=W1152,AB1152=AC1152,AB1152=AA1152),"CHECK",0))</f>
        <v/>
      </c>
      <c r="AC1264" s="1586">
        <f>IF(ISBLANK(INDEX(MO_IS_FirstRow,0,COLUMN())),0,IF(OR(AC1152=X1152,AC1152=AD1152,AC1152=AB1152),"CHECK",0))</f>
        <v/>
      </c>
      <c r="AD1264" s="1586">
        <f>IF(ISBLANK(INDEX(MO_IS_FirstRow,0,COLUMN())),0,IF(OR(AD1152=Y1152,AD1152=AE1152,AD1152=AC1152),"CHECK",0))</f>
        <v/>
      </c>
      <c r="AE1264" s="1586">
        <f>IF(ISBLANK(INDEX(MO_IS_FirstRow,0,COLUMN())),0,IF(AE1152=Z1152,"CHECK",0))</f>
        <v/>
      </c>
      <c r="AF1264" s="1586">
        <f>IF(ISBLANK(INDEX(MO_IS_FirstRow,0,COLUMN())),0,IF(OR(AF1152=AA1152,AF1152=AG1152,AF1152=AD1152),"CHECK",0))</f>
        <v/>
      </c>
      <c r="AG1264" s="1586">
        <f>IF(ISBLANK(INDEX(MO_IS_FirstRow,0,COLUMN())),0,IF(OR(AG1152=AB1152,AG1152=AH1152,AG1152=AF1152),"CHECK",0))</f>
        <v/>
      </c>
      <c r="AH1264" s="1586">
        <f>IF(ISBLANK(INDEX(MO_IS_FirstRow,0,COLUMN())),0,IF(OR(AH1152=AC1152,AH1152=AI1152,AH1152=AG1152),"CHECK",0))</f>
        <v/>
      </c>
      <c r="AI1264" s="1586">
        <f>IF(ISBLANK(INDEX(MO_IS_FirstRow,0,COLUMN())),0,IF(OR(AI1152=AD1152,AI1152=AJ1152,AI1152=AH1152),"CHECK",0))</f>
        <v/>
      </c>
      <c r="AJ1264" s="1586">
        <f>IF(ISBLANK(INDEX(MO_IS_FirstRow,0,COLUMN())),0,IF(AJ1152=AE1152,"CHECK",0))</f>
        <v/>
      </c>
      <c r="AK1264" s="1586">
        <f>IF(ISBLANK(INDEX(MO_IS_FirstRow,0,COLUMN())),0,IF(OR(AK1152=AF1152,AK1152=AL1152,AK1152=AI1152),"CHECK",0))</f>
        <v/>
      </c>
      <c r="AL1264" s="1586">
        <f>IF(ISBLANK(INDEX(MO_IS_FirstRow,0,COLUMN())),0,IF(OR(AL1152=AG1152,AL1152=AM1152,AL1152=AK1152),"CHECK",0))</f>
        <v/>
      </c>
      <c r="AM1264" s="1586">
        <f>IF(ISBLANK(INDEX(MO_IS_FirstRow,0,COLUMN())),0,IF(OR(AM1152=AH1152,AM1152=AN1152,AM1152=AL1152),"CHECK",0))</f>
        <v/>
      </c>
      <c r="AN1264" s="1586">
        <f>IF(ISBLANK(INDEX(MO_IS_FirstRow,0,COLUMN())),0,IF(OR(AN1152=AI1152,AN1152=AO1152,AN1152=AM1152),"CHECK",0))</f>
        <v/>
      </c>
      <c r="AO1264" s="1586">
        <f>IF(ISBLANK(INDEX(MO_IS_FirstRow,0,COLUMN())),0,IF(AO1152=AJ1152,"CHECK",0))</f>
        <v/>
      </c>
      <c r="AP1264" s="1586">
        <f>IF(ISBLANK(INDEX(MO_IS_FirstRow,0,COLUMN())),0,IF(OR(AP1152=AK1152,AP1152=AQ1152,AP1152=AN1152),"CHECK",0))</f>
        <v/>
      </c>
      <c r="AQ1264" s="1586">
        <f>IF(ISBLANK(INDEX(MO_IS_FirstRow,0,COLUMN())),0,IF(OR(AQ1152=AL1152,AQ1152=AR1152,AQ1152=AP1152),"CHECK",0))</f>
        <v/>
      </c>
      <c r="AR1264" s="1586">
        <f>IF(ISBLANK(INDEX(MO_IS_FirstRow,0,COLUMN())),0,IF(OR(AR1152=AM1152,AR1152=AS1152,AR1152=AQ1152),"CHECK",0))</f>
        <v/>
      </c>
      <c r="AS1264" s="1586">
        <f>IF(ISBLANK(INDEX(MO_IS_FirstRow,0,COLUMN())),0,IF(OR(AS1152=AN1152,AS1152=AT1152,AS1152=AR1152),"CHECK",0))</f>
        <v/>
      </c>
      <c r="AT1264" s="1586">
        <f>IF(ISBLANK(INDEX(MO_IS_FirstRow,0,COLUMN())),0,IF(AT1152=AO1152,"CHECK",0))</f>
        <v/>
      </c>
      <c r="AU1264" s="1586">
        <f>IF(ISBLANK(INDEX(MO_IS_FirstRow,0,COLUMN())),0,IF(OR(AU1152=AP1152,AU1152=AV1152,AU1152=AS1152),"CHECK",0))</f>
        <v/>
      </c>
      <c r="AV1264" s="1586">
        <f>IF(ISBLANK(INDEX(MO_IS_FirstRow,0,COLUMN())),0,IF(OR(AV1152=AQ1152,AV1152=AW1152,AV1152=AU1152),"CHECK",0))</f>
        <v/>
      </c>
      <c r="AW1264" s="1586">
        <f>IF(ISBLANK(INDEX(MO_IS_FirstRow,0,COLUMN())),0,IF(OR(AW1152=AR1152,AW1152=AX1152,AW1152=AV1152),"CHECK",0))</f>
        <v/>
      </c>
      <c r="AX1264" s="1586">
        <f>IF(ISBLANK(INDEX(MO_IS_FirstRow,0,COLUMN())),0,IF(OR(AX1152=AS1152,AX1152=AY1152,AX1152=AW1152),"CHECK",0))</f>
        <v/>
      </c>
      <c r="AY1264" s="1586">
        <f>IF(ISBLANK(INDEX(MO_IS_FirstRow,0,COLUMN())),0,IF(AY1152=AT1152,"CHECK",0))</f>
        <v/>
      </c>
      <c r="AZ1264" s="1586">
        <f>IF(ISBLANK(INDEX(MO_IS_FirstRow,0,COLUMN())),0,IF(OR(AZ1152=AU1152,AZ1152=BA1152,AZ1152=AX1152),"CHECK",0))</f>
        <v/>
      </c>
      <c r="BA1264" s="1586">
        <f>IF(ISBLANK(INDEX(MO_IS_FirstRow,0,COLUMN())),0,IF(OR(BA1152=AV1152,BA1152=BB1152,BA1152=AZ1152),"CHECK",0))</f>
        <v/>
      </c>
      <c r="BB1264" s="1586">
        <f>IF(ISBLANK(INDEX(MO_IS_FirstRow,0,COLUMN())),0,IF(OR(BB1152=AW1152,BB1152=BC1152,BB1152=BA1152),"CHECK",0))</f>
        <v/>
      </c>
      <c r="BC1264" s="1586">
        <f>IF(ISBLANK(INDEX(MO_IS_FirstRow,0,COLUMN())),0,IF(OR(BC1152=AX1152,BC1152=BD1152,BC1152=BB1152),"CHECK",0))</f>
        <v/>
      </c>
      <c r="BD1264" s="1586">
        <f>IF(ISBLANK(INDEX(MO_IS_FirstRow,0,COLUMN())),0,IF(BD1152=AY1152,"CHECK",0))</f>
        <v/>
      </c>
      <c r="BE1264" s="1586">
        <f>IF(ISBLANK(INDEX(MO_IS_FirstRow,0,COLUMN())),0,IF(OR(BE1152=AZ1152,BE1152=BF1152,BE1152=BC1152),"CHECK",0))</f>
        <v/>
      </c>
      <c r="BF1264" s="1586">
        <f>IF(ISBLANK(INDEX(MO_IS_FirstRow,0,COLUMN())),0,IF(OR(BF1152=BA1152,BF1152=BG1152,BF1152=BE1152),"CHECK",0))</f>
        <v/>
      </c>
      <c r="BG1264" s="1586">
        <f>IF(ISBLANK(INDEX(MO_IS_FirstRow,0,COLUMN())),0,IF(OR(BG1152=BB1152,BG1152=BH1152,BG1152=BF1152),"CHECK",0))</f>
        <v/>
      </c>
      <c r="BH1264" s="1586">
        <f>IF(ISBLANK(INDEX(MO_IS_FirstRow,0,COLUMN())),0,IF(OR(BH1152=BC1152,BH1152=BI1152,BH1152=BG1152),"CHECK",0))</f>
        <v/>
      </c>
      <c r="BI1264" s="1586">
        <f>IF(ISBLANK(INDEX(MO_IS_FirstRow,0,COLUMN())),0,IF(BI1152=BD1152,"CHECK",0))</f>
        <v/>
      </c>
      <c r="BJ1264" s="1586">
        <f>IF(ISBLANK(INDEX(MO_IS_FirstRow,0,COLUMN())),0,IF(OR(BJ1152=BE1152,BJ1152=BK1152,BJ1152=BH1152),"CHECK",0))</f>
        <v/>
      </c>
      <c r="BK1264" s="1586">
        <f>IF(ISBLANK(INDEX(MO_IS_FirstRow,0,COLUMN())),0,IF(OR(BK1152=BF1152,BK1152=BL1152,BK1152=BJ1152),"CHECK",0))</f>
        <v/>
      </c>
      <c r="BL1264" s="1586">
        <f>IF(ISBLANK(INDEX(MO_IS_FirstRow,0,COLUMN())),0,IF(OR(BL1152=BG1152,BL1152=BM1152,BL1152=BK1152),"CHECK",0))</f>
        <v/>
      </c>
      <c r="BM1264" s="1586">
        <f>IF(ISBLANK(INDEX(MO_IS_FirstRow,0,COLUMN())),0,IF(OR(BM1152=BH1152,BM1152=BN1152,BM1152=BL1152),"CHECK",0))</f>
        <v/>
      </c>
      <c r="BN1264" s="1586">
        <f>IF(ISBLANK(INDEX(MO_IS_FirstRow,0,COLUMN())),0,IF(BN1152=BI1152,"CHECK",0))</f>
        <v/>
      </c>
      <c r="BO1264" s="1586">
        <f>IF(ISBLANK(INDEX(MO_IS_FirstRow,0,COLUMN())),0,IF(OR(BO1152=BJ1152,BO1152=BP1152,BO1152=BM1152),"CHECK",0))</f>
        <v/>
      </c>
      <c r="BP1264" s="1586">
        <f>IF(ISBLANK(INDEX(MO_IS_FirstRow,0,COLUMN())),0,IF(OR(BP1152=BK1152,BP1152=BQ1152,BP1152=BO1152),"CHECK",0))</f>
        <v/>
      </c>
      <c r="BQ1264" s="1587">
        <f>IF(ISBLANK(INDEX(MO_IS_FirstRow,0,COLUMN())),0,IF(OR(BQ1152=BL1152,BQ1152=BR1152,BQ1152=BP1152),"CHECK",0))</f>
        <v/>
      </c>
      <c r="BR1264" s="1586" t="n"/>
      <c r="BS1264" s="1586" t="n"/>
      <c r="BT1264" s="1586" t="n"/>
      <c r="BU1264" s="1586" t="n"/>
      <c r="BV1264" s="1586" t="n"/>
      <c r="BW1264" s="1586" t="n"/>
      <c r="BX1264" s="1586" t="n"/>
      <c r="BY1264" s="1586" t="n"/>
      <c r="BZ1264" s="1586" t="n"/>
      <c r="CA1264" s="1586" t="n"/>
      <c r="CB1264" s="1364" t="n"/>
    </row>
    <row r="1265" ht="14.4" customFormat="1" customHeight="1" s="1359">
      <c r="A1265" s="1364" t="inlineStr">
        <is>
          <t>Income Statement is not Repeated</t>
        </is>
      </c>
      <c r="B1265" s="1553" t="n"/>
      <c r="C1265" s="1586" t="n"/>
      <c r="D1265" s="1586">
        <f>IF(ISBLANK(INDEX(MO_IS_FirstRow,0,COLUMN())),0,IF(OR(D478=C478,D478=E478),"CHECK",0))</f>
        <v/>
      </c>
      <c r="E1265" s="1586">
        <f>IF(ISBLANK(INDEX(MO_IS_FirstRow,0,COLUMN())),0,IF(OR(E478=D478,E478=F478),"CHECK",0))</f>
        <v/>
      </c>
      <c r="F1265" s="1586">
        <f>IF(ISBLANK(INDEX(MO_IS_FirstRow,0,COLUMN())),0,IF(OR(F478=E478,F478=G478),"CHECK",0))</f>
        <v/>
      </c>
      <c r="G1265" s="1586">
        <f>IF(ISBLANK(INDEX(MO_IS_FirstRow,0,COLUMN())),0,IF(OR(G478=F478,G478=H478),"CHECK",0))</f>
        <v/>
      </c>
      <c r="H1265" s="1586">
        <f>IF(ISBLANK(INDEX(MO_IS_FirstRow,0,COLUMN())),0,IF(OR(H478=G478,H478=I478),"CHECK",0))</f>
        <v/>
      </c>
      <c r="I1265" s="1586">
        <f>IF(ISBLANK(INDEX(MO_IS_FirstRow,0,COLUMN())),0,IF(OR(I478=H478,I478=J478),"CHECK",0))</f>
        <v/>
      </c>
      <c r="J1265" s="1586">
        <f>IF(ISBLANK(INDEX(MO_IS_FirstRow,0,COLUMN())),0,IF(OR(J478=I478,J478=K478),"CHECK",0))</f>
        <v/>
      </c>
      <c r="K1265" s="1586">
        <f>IF(ISBLANK(INDEX(MO_IS_FirstRow,0,COLUMN())),0,IF(OR(K478=J478,K478=L478),"CHECK",0))</f>
        <v/>
      </c>
      <c r="L1265" s="1586">
        <f>IF(ISBLANK(INDEX(MO_IS_FirstRow,0,COLUMN())),0,IF(OR(L478=K478,L478=M478),"CHECK",0))</f>
        <v/>
      </c>
      <c r="M1265" s="1586">
        <f>IF(ISBLANK(INDEX(MO_IS_FirstRow,0,COLUMN())),0,IF(OR(M478=L478,M478=N478),"CHECK",0))</f>
        <v/>
      </c>
      <c r="N1265" s="1586">
        <f>IF(ISBLANK(INDEX(MO_IS_FirstRow,0,COLUMN())),0,IF(OR(N478=M478,N478=O478),"CHECK",0))</f>
        <v/>
      </c>
      <c r="O1265" s="1586">
        <f>IF(ISBLANK(INDEX(MO_IS_FirstRow,0,COLUMN())),0,IF(OR(O478=N478,O478=P478),"CHECK",0))</f>
        <v/>
      </c>
      <c r="P1265" s="1586">
        <f>IF(ISBLANK(INDEX(MO_IS_FirstRow,0,COLUMN())),0,IF(OR(P478=O478,P478=Q478),"CHECK",0))</f>
        <v/>
      </c>
      <c r="Q1265" s="1586">
        <f>IF(ISBLANK(INDEX(MO_IS_FirstRow,0,COLUMN())),0,IF(OR(Q478=P478,Q478=R478),"CHECK",0))</f>
        <v/>
      </c>
      <c r="R1265" s="1586">
        <f>IF(ISBLANK(INDEX(MO_IS_FirstRow,0,COLUMN())),0,IF(OR(R478=Q478,R478=S478),"CHECK",0))</f>
        <v/>
      </c>
      <c r="S1265" s="1586">
        <f>IF(ISBLANK(INDEX(MO_IS_FirstRow,0,COLUMN())),0,IF(OR(S478=R478,S478=T478),"CHECK",0))</f>
        <v/>
      </c>
      <c r="T1265" s="1586">
        <f>IF(ISBLANK(INDEX(MO_IS_FirstRow,0,COLUMN())),0,IF(OR(T478=S478,T478=U478),"CHECK",0))</f>
        <v/>
      </c>
      <c r="U1265" s="1586">
        <f>IF(ISBLANK(INDEX(MO_IS_FirstRow,0,COLUMN())),0,IF(OR(U478=T478,U478=V478),"CHECK",0))</f>
        <v/>
      </c>
      <c r="V1265" s="1586">
        <f>IF(ISBLANK(INDEX(MO_IS_FirstRow,0,COLUMN())),0,IF(OR(V478=U478,V478=W478),"CHECK",0))</f>
        <v/>
      </c>
      <c r="W1265" s="1586">
        <f>IF(ISBLANK(INDEX(MO_IS_FirstRow,0,COLUMN())),0,IF(OR(W478=V478,W478=X478),"CHECK",0))</f>
        <v/>
      </c>
      <c r="X1265" s="1586">
        <f>IF(ISBLANK(INDEX(MO_IS_FirstRow,0,COLUMN())),0,IF(OR(X478=W478,X478=Y478),"CHECK",0))</f>
        <v/>
      </c>
      <c r="Y1265" s="1586">
        <f>IF(ISBLANK(INDEX(MO_IS_FirstRow,0,COLUMN())),0,IF(OR(Y478=X478,Y478=Z478),"CHECK",0))</f>
        <v/>
      </c>
      <c r="Z1265" s="1586">
        <f>IF(ISBLANK(INDEX(MO_IS_FirstRow,0,COLUMN())),0,IF(OR(Z478=Y478,Z478=AA478),"CHECK",0))</f>
        <v/>
      </c>
      <c r="AA1265" s="1586">
        <f>IF(ISBLANK(INDEX(MO_IS_FirstRow,0,COLUMN())),0,IF(OR(AA478=Z478,AA478=AB478),"CHECK",0))</f>
        <v/>
      </c>
      <c r="AB1265" s="1586">
        <f>IF(ISBLANK(INDEX(MO_IS_FirstRow,0,COLUMN())),0,IF(OR(AB478=AA478,AB478=AC478),"CHECK",0))</f>
        <v/>
      </c>
      <c r="AC1265" s="1586">
        <f>IF(ISBLANK(INDEX(MO_IS_FirstRow,0,COLUMN())),0,IF(OR(AC478=AB478,AC478=AD478),"CHECK",0))</f>
        <v/>
      </c>
      <c r="AD1265" s="1586">
        <f>IF(ISBLANK(INDEX(MO_IS_FirstRow,0,COLUMN())),0,IF(OR(AD478=AC478,AD478=AE478),"CHECK",0))</f>
        <v/>
      </c>
      <c r="AE1265" s="1586">
        <f>IF(ISBLANK(INDEX(MO_IS_FirstRow,0,COLUMN())),0,IF(OR(AE478=AD478,AE478=AF478),"CHECK",0))</f>
        <v/>
      </c>
      <c r="AF1265" s="1586">
        <f>IF(ISBLANK(INDEX(MO_IS_FirstRow,0,COLUMN())),0,IF(OR(AF478=AE478,AF478=AG478),"CHECK",0))</f>
        <v/>
      </c>
      <c r="AG1265" s="1586">
        <f>IF(ISBLANK(INDEX(MO_IS_FirstRow,0,COLUMN())),0,IF(OR(AG478=AF478,AG478=AH478),"CHECK",0))</f>
        <v/>
      </c>
      <c r="AH1265" s="1586">
        <f>IF(ISBLANK(INDEX(MO_IS_FirstRow,0,COLUMN())),0,IF(OR(AH478=AG478,AH478=AI478),"CHECK",0))</f>
        <v/>
      </c>
      <c r="AI1265" s="1586">
        <f>IF(ISBLANK(INDEX(MO_IS_FirstRow,0,COLUMN())),0,IF(OR(AI478=AH478,AI478=AJ478),"CHECK",0))</f>
        <v/>
      </c>
      <c r="AJ1265" s="1586">
        <f>IF(ISBLANK(INDEX(MO_IS_FirstRow,0,COLUMN())),0,IF(OR(AJ478=AI478,AJ478=AK478),"CHECK",0))</f>
        <v/>
      </c>
      <c r="AK1265" s="1586">
        <f>IF(ISBLANK(INDEX(MO_IS_FirstRow,0,COLUMN())),0,IF(OR(AK478=AJ478,AK478=AL478),"CHECK",0))</f>
        <v/>
      </c>
      <c r="AL1265" s="1586">
        <f>IF(ISBLANK(INDEX(MO_IS_FirstRow,0,COLUMN())),0,IF(OR(AL478=AK478,AL478=AM478),"CHECK",0))</f>
        <v/>
      </c>
      <c r="AM1265" s="1586">
        <f>IF(ISBLANK(INDEX(MO_IS_FirstRow,0,COLUMN())),0,IF(OR(AM478=AL478,AM478=AN478),"CHECK",0))</f>
        <v/>
      </c>
      <c r="AN1265" s="1586">
        <f>IF(ISBLANK(INDEX(MO_IS_FirstRow,0,COLUMN())),0,IF(OR(AN478=AM478,AN478=AO478),"CHECK",0))</f>
        <v/>
      </c>
      <c r="AO1265" s="1586">
        <f>IF(ISBLANK(INDEX(MO_IS_FirstRow,0,COLUMN())),0,IF(OR(AO478=AN478,AO478=AP478),"CHECK",0))</f>
        <v/>
      </c>
      <c r="AP1265" s="1586">
        <f>IF(ISBLANK(INDEX(MO_IS_FirstRow,0,COLUMN())),0,IF(OR(AP478=AO478,AP478=AQ478),"CHECK",0))</f>
        <v/>
      </c>
      <c r="AQ1265" s="1586">
        <f>IF(ISBLANK(INDEX(MO_IS_FirstRow,0,COLUMN())),0,IF(OR(AQ478=AP478,AQ478=AR478),"CHECK",0))</f>
        <v/>
      </c>
      <c r="AR1265" s="1586">
        <f>IF(ISBLANK(INDEX(MO_IS_FirstRow,0,COLUMN())),0,IF(OR(AR478=AQ478,AR478=AS478),"CHECK",0))</f>
        <v/>
      </c>
      <c r="AS1265" s="1586">
        <f>IF(ISBLANK(INDEX(MO_IS_FirstRow,0,COLUMN())),0,IF(OR(AS478=AR478,AS478=AT478),"CHECK",0))</f>
        <v/>
      </c>
      <c r="AT1265" s="1586">
        <f>IF(ISBLANK(INDEX(MO_IS_FirstRow,0,COLUMN())),0,IF(OR(AT478=AS478,AT478=AU478),"CHECK",0))</f>
        <v/>
      </c>
      <c r="AU1265" s="1586">
        <f>IF(ISBLANK(INDEX(MO_IS_FirstRow,0,COLUMN())),0,IF(OR(AU478=AT478,AU478=AV478),"CHECK",0))</f>
        <v/>
      </c>
      <c r="AV1265" s="1586">
        <f>IF(ISBLANK(INDEX(MO_IS_FirstRow,0,COLUMN())),0,IF(OR(AV478=AU478,AV478=AW478),"CHECK",0))</f>
        <v/>
      </c>
      <c r="AW1265" s="1586">
        <f>IF(ISBLANK(INDEX(MO_IS_FirstRow,0,COLUMN())),0,IF(OR(AW478=AV478,AW478=AX478),"CHECK",0))</f>
        <v/>
      </c>
      <c r="AX1265" s="1586">
        <f>IF(ISBLANK(INDEX(MO_IS_FirstRow,0,COLUMN())),0,IF(OR(AX478=AW478,AX478=AY478),"CHECK",0))</f>
        <v/>
      </c>
      <c r="AY1265" s="1586">
        <f>IF(ISBLANK(INDEX(MO_IS_FirstRow,0,COLUMN())),0,IF(OR(AY478=AX478,AY478=AZ478),"CHECK",0))</f>
        <v/>
      </c>
      <c r="AZ1265" s="1586">
        <f>IF(ISBLANK(INDEX(MO_IS_FirstRow,0,COLUMN())),0,IF(OR(AZ478=AY478,AZ478=BA478),"CHECK",0))</f>
        <v/>
      </c>
      <c r="BA1265" s="1586">
        <f>IF(ISBLANK(INDEX(MO_IS_FirstRow,0,COLUMN())),0,IF(OR(BA478=AZ478,BA478=BB478),"CHECK",0))</f>
        <v/>
      </c>
      <c r="BB1265" s="1586">
        <f>IF(ISBLANK(INDEX(MO_IS_FirstRow,0,COLUMN())),0,IF(OR(BB478=BA478,BB478=BC478),"CHECK",0))</f>
        <v/>
      </c>
      <c r="BC1265" s="1586">
        <f>IF(ISBLANK(INDEX(MO_IS_FirstRow,0,COLUMN())),0,IF(OR(BC478=BB478,BC478=BD478),"CHECK",0))</f>
        <v/>
      </c>
      <c r="BD1265" s="1586">
        <f>IF(ISBLANK(INDEX(MO_IS_FirstRow,0,COLUMN())),0,IF(OR(BD478=BC478,BD478=BE478),"CHECK",0))</f>
        <v/>
      </c>
      <c r="BE1265" s="1586">
        <f>IF(ISBLANK(INDEX(MO_IS_FirstRow,0,COLUMN())),0,IF(OR(BE478=BD478,BE478=BF478),"CHECK",0))</f>
        <v/>
      </c>
      <c r="BF1265" s="1586">
        <f>IF(ISBLANK(INDEX(MO_IS_FirstRow,0,COLUMN())),0,IF(OR(BF478=BE478,BF478=BG478),"CHECK",0))</f>
        <v/>
      </c>
      <c r="BG1265" s="1586">
        <f>IF(ISBLANK(INDEX(MO_IS_FirstRow,0,COLUMN())),0,IF(OR(BG478=BF478,BG478=BH478),"CHECK",0))</f>
        <v/>
      </c>
      <c r="BH1265" s="1586">
        <f>IF(ISBLANK(INDEX(MO_IS_FirstRow,0,COLUMN())),0,IF(OR(BH478=BG478,BH478=BI478),"CHECK",0))</f>
        <v/>
      </c>
      <c r="BI1265" s="1586">
        <f>IF(ISBLANK(INDEX(MO_IS_FirstRow,0,COLUMN())),0,IF(OR(BI478=BH478,BI478=BJ478),"CHECK",0))</f>
        <v/>
      </c>
      <c r="BJ1265" s="1586">
        <f>IF(ISBLANK(INDEX(MO_IS_FirstRow,0,COLUMN())),0,IF(OR(BJ478=BI478,BJ478=BK478),"CHECK",0))</f>
        <v/>
      </c>
      <c r="BK1265" s="1586">
        <f>IF(ISBLANK(INDEX(MO_IS_FirstRow,0,COLUMN())),0,IF(OR(BK478=BJ478,BK478=BL478),"CHECK",0))</f>
        <v/>
      </c>
      <c r="BL1265" s="1586">
        <f>IF(ISBLANK(INDEX(MO_IS_FirstRow,0,COLUMN())),0,IF(OR(BL478=BK478,BL478=BM478),"CHECK",0))</f>
        <v/>
      </c>
      <c r="BM1265" s="1586">
        <f>IF(ISBLANK(INDEX(MO_IS_FirstRow,0,COLUMN())),0,IF(OR(BM478=BL478,BM478=BN478),"CHECK",0))</f>
        <v/>
      </c>
      <c r="BN1265" s="1586">
        <f>IF(ISBLANK(INDEX(MO_IS_FirstRow,0,COLUMN())),0,IF(OR(BN478=BM478,BN478=BO478),"CHECK",0))</f>
        <v/>
      </c>
      <c r="BO1265" s="1586">
        <f>IF(ISBLANK(INDEX(MO_IS_FirstRow,0,COLUMN())),0,IF(OR(BO478=BN478,BO478=BP478),"CHECK",0))</f>
        <v/>
      </c>
      <c r="BP1265" s="1586">
        <f>IF(ISBLANK(INDEX(MO_IS_FirstRow,0,COLUMN())),0,IF(OR(BP478=BO478,BP478=BQ478),"CHECK",0))</f>
        <v/>
      </c>
      <c r="BQ1265" s="1587">
        <f>IF(ISBLANK(INDEX(MO_IS_FirstRow,0,COLUMN())),0,IF(OR(BQ478=BP478,BQ478=BR478),"CHECK",0))</f>
        <v/>
      </c>
      <c r="BR1265" s="1586" t="n"/>
      <c r="BS1265" s="1586" t="n"/>
      <c r="BT1265" s="1586" t="n"/>
      <c r="BU1265" s="1586" t="n"/>
      <c r="BV1265" s="1586" t="n"/>
      <c r="BW1265" s="1586" t="n"/>
      <c r="BX1265" s="1586" t="n"/>
      <c r="BY1265" s="1586" t="n"/>
      <c r="BZ1265" s="1586" t="n"/>
      <c r="CA1265" s="1586" t="n"/>
      <c r="CB1265" s="1364" t="n"/>
    </row>
    <row r="1266" ht="14.4" customFormat="1" customHeight="1" s="1359">
      <c r="A1266" s="1364" t="inlineStr">
        <is>
          <t>Balance Sheet is not Repeated</t>
        </is>
      </c>
      <c r="B1266" s="1553" t="n"/>
      <c r="C1266" s="1586">
        <f>IF(OR(C1222=B1222,C1222=D1222),"CHECK",0)</f>
        <v/>
      </c>
      <c r="D1266" s="1586">
        <f>IF(OR(D1222=C1222,D1222=E1222),"CHECK",0)</f>
        <v/>
      </c>
      <c r="E1266" s="1586">
        <f>IF(OR(E1222=D1222,E1222=F1222),"CHECK",0)</f>
        <v/>
      </c>
      <c r="F1266" s="1586">
        <f>IF(OR(F1222=E1222,F1222=K1222),"CHECK",0)</f>
        <v/>
      </c>
      <c r="G1266" s="1586">
        <f>IF(OR(G1222=B1222,G1222=H1222,G1222=E1222),"CHECK",0)</f>
        <v/>
      </c>
      <c r="H1266" s="1586">
        <f>IF(OR(H1222=C1222,H1222=I1222,H1222=G1222),"CHECK",0)</f>
        <v/>
      </c>
      <c r="I1266" s="1586">
        <f>IF(OR(I1222=D1222,I1222=J1222,I1222=H1222),"CHECK",0)</f>
        <v/>
      </c>
      <c r="J1266" s="1586">
        <f>IF(OR(J1222=E1222,J1222=I1222),"CHECK",0)</f>
        <v/>
      </c>
      <c r="K1266" s="1586">
        <f>IF(K1222=F1222,"CHECK",0)</f>
        <v/>
      </c>
      <c r="L1266" s="1586">
        <f>IF(OR(L1222=G1222,L1222=M1222,L1222=J1222),"CHECK",0)</f>
        <v/>
      </c>
      <c r="M1266" s="1586">
        <f>IF(OR(M1222=H1222,M1222=N1222,M1222=L1222),"CHECK",0)</f>
        <v/>
      </c>
      <c r="N1266" s="1586">
        <f>IF(OR(N1222=I1222,N1222=O1222,N1222=M1222),"CHECK",0)</f>
        <v/>
      </c>
      <c r="O1266" s="1586">
        <f>IF(OR(O1222=J1222,O1222=N1222),"CHECK",0)</f>
        <v/>
      </c>
      <c r="P1266" s="1586">
        <f>IF(P1222=K1222,"CHECK",0)</f>
        <v/>
      </c>
      <c r="Q1266" s="1586">
        <f>IF(OR(Q1222=L1222,Q1222=R1222,Q1222=O1222),"CHECK",0)</f>
        <v/>
      </c>
      <c r="R1266" s="1586">
        <f>IF(OR(R1222=M1222,R1222=S1222,R1222=Q1222),"CHECK",0)</f>
        <v/>
      </c>
      <c r="S1266" s="1586">
        <f>IF(OR(S1222=N1222,S1222=T1222,S1222=R1222),"CHECK",0)</f>
        <v/>
      </c>
      <c r="T1266" s="1586">
        <f>IF(OR(T1222=O1222,T1222=S1222),"CHECK",0)</f>
        <v/>
      </c>
      <c r="U1266" s="1586">
        <f>IF(U1222=P1222,"CHECK",0)</f>
        <v/>
      </c>
      <c r="V1266" s="1586">
        <f>IF(OR(V1222=Q1222,V1222=W1222,V1222=T1222),"CHECK",0)</f>
        <v/>
      </c>
      <c r="W1266" s="1586">
        <f>IF(OR(W1222=R1222,W1222=X1222,W1222=V1222),"CHECK",0)</f>
        <v/>
      </c>
      <c r="X1266" s="1586">
        <f>IF(OR(X1222=S1222,X1222=Y1222,X1222=W1222),"CHECK",0)</f>
        <v/>
      </c>
      <c r="Y1266" s="1586">
        <f>IF(OR(Y1222=T1222,Y1222=X1222),"CHECK",0)</f>
        <v/>
      </c>
      <c r="Z1266" s="1586">
        <f>IF(Z1222=U1222,"CHECK",0)</f>
        <v/>
      </c>
      <c r="AA1266" s="1586">
        <f>IF(OR(AA1222=V1222,AA1222=AB1222,AA1222=Y1222),"CHECK",0)</f>
        <v/>
      </c>
      <c r="AB1266" s="1586">
        <f>IF(OR(AB1222=W1222,AB1222=AC1222,AB1222=AA1222),"CHECK",0)</f>
        <v/>
      </c>
      <c r="AC1266" s="1586">
        <f>IF(OR(AC1222=X1222,AC1222=AD1222,AC1222=AB1222),"CHECK",0)</f>
        <v/>
      </c>
      <c r="AD1266" s="1586">
        <f>IF(OR(AD1222=Y1222,AD1222=AC1222),"CHECK",0)</f>
        <v/>
      </c>
      <c r="AE1266" s="1586">
        <f>IF(AE1222=Z1222,"CHECK",0)</f>
        <v/>
      </c>
      <c r="AF1266" s="1586">
        <f>IF(OR(AF1222=AA1222,AF1222=AG1222,AF1222=AD1222),"CHECK",0)</f>
        <v/>
      </c>
      <c r="AG1266" s="1586">
        <f>IF(OR(AG1222=AB1222,AG1222=AH1222,AG1222=AF1222),"CHECK",0)</f>
        <v/>
      </c>
      <c r="AH1266" s="1586">
        <f>IF(OR(AH1222=AC1222,AH1222=AI1222,AH1222=AG1222),"CHECK",0)</f>
        <v/>
      </c>
      <c r="AI1266" s="1586">
        <f>IF(OR(AI1222=AD1222,AI1222=AH1222),"CHECK",0)</f>
        <v/>
      </c>
      <c r="AJ1266" s="1586">
        <f>IF(AJ1222=AE1222,"CHECK",0)</f>
        <v/>
      </c>
      <c r="AK1266" s="1586">
        <f>IF(OR(AK1222=AF1222,AK1222=AL1222,AK1222=AI1222),"CHECK",0)</f>
        <v/>
      </c>
      <c r="AL1266" s="1586">
        <f>IF(OR(AL1222=AG1222,AL1222=AM1222,AL1222=AK1222),"CHECK",0)</f>
        <v/>
      </c>
      <c r="AM1266" s="1586">
        <f>IF(OR(AM1222=AH1222,AM1222=AN1222,AM1222=AL1222),"CHECK",0)</f>
        <v/>
      </c>
      <c r="AN1266" s="1586">
        <f>IF(OR(AN1222=AI1222,AN1222=AM1222),"CHECK",0)</f>
        <v/>
      </c>
      <c r="AO1266" s="1586">
        <f>IF(AO1222=AJ1222,"CHECK",0)</f>
        <v/>
      </c>
      <c r="AP1266" s="1586">
        <f>IF(OR(AP1222=AK1222,AP1222=AQ1222,AP1222=AN1222),"CHECK",0)</f>
        <v/>
      </c>
      <c r="AQ1266" s="1586">
        <f>IF(OR(AQ1222=AL1222,AQ1222=AR1222,AQ1222=AP1222),"CHECK",0)</f>
        <v/>
      </c>
      <c r="AR1266" s="1586">
        <f>IF(OR(AR1222=AM1222,AR1222=AS1222,AR1222=AQ1222),"CHECK",0)</f>
        <v/>
      </c>
      <c r="AS1266" s="1586">
        <f>IF(OR(AS1222=AN1222,AS1222=AR1222),"CHECK",0)</f>
        <v/>
      </c>
      <c r="AT1266" s="1586">
        <f>IF(AT1222=AO1222,"CHECK",0)</f>
        <v/>
      </c>
      <c r="AU1266" s="1586">
        <f>IF(OR(AU1222=AP1222,AU1222=AV1222,AU1222=AS1222),"CHECK",0)</f>
        <v/>
      </c>
      <c r="AV1266" s="1586">
        <f>IF(OR(AV1222=AQ1222,AV1222=AW1222,AV1222=AU1222),"CHECK",0)</f>
        <v/>
      </c>
      <c r="AW1266" s="1586">
        <f>IF(OR(AW1222=AR1222,AW1222=AX1222,AW1222=AV1222),"CHECK",0)</f>
        <v/>
      </c>
      <c r="AX1266" s="1586">
        <f>IF(OR(AX1222=AS1222,AX1222=AW1222),"CHECK",0)</f>
        <v/>
      </c>
      <c r="AY1266" s="1586">
        <f>IF(AY1222=AT1222,"CHECK",0)</f>
        <v/>
      </c>
      <c r="AZ1266" s="1586">
        <f>IF(OR(AZ1222=AU1222,AZ1222=BA1222,AZ1222=AX1222),"CHECK",0)</f>
        <v/>
      </c>
      <c r="BA1266" s="1586">
        <f>IF(OR(BA1222=AV1222,BA1222=BB1222,BA1222=AZ1222),"CHECK",0)</f>
        <v/>
      </c>
      <c r="BB1266" s="1586">
        <f>IF(OR(BB1222=AW1222,BB1222=BC1222,BB1222=BA1222),"CHECK",0)</f>
        <v/>
      </c>
      <c r="BC1266" s="1586">
        <f>IF(OR(BC1222=AX1222,BC1222=BB1222),"CHECK",0)</f>
        <v/>
      </c>
      <c r="BD1266" s="1586">
        <f>IF(BD1222=AY1222,"CHECK",0)</f>
        <v/>
      </c>
      <c r="BE1266" s="1586">
        <f>IF(OR(BE1222=AZ1222,BE1222=BF1222,BE1222=BC1222),"CHECK",0)</f>
        <v/>
      </c>
      <c r="BF1266" s="1586">
        <f>IF(OR(BF1222=BA1222,BF1222=BG1222,BF1222=BE1222),"CHECK",0)</f>
        <v/>
      </c>
      <c r="BG1266" s="1586">
        <f>IF(OR(BG1222=BB1222,BG1222=BH1222,BG1222=BF1222),"CHECK",0)</f>
        <v/>
      </c>
      <c r="BH1266" s="1586">
        <f>IF(OR(BH1222=BC1222,BH1222=BG1222),"CHECK",0)</f>
        <v/>
      </c>
      <c r="BI1266" s="1586">
        <f>IF(BI1222=BD1222,"CHECK",0)</f>
        <v/>
      </c>
      <c r="BJ1266" s="1586">
        <f>IF(OR(BJ1222=BE1222,BJ1222=BK1222,BJ1222=BH1222),"CHECK",0)</f>
        <v/>
      </c>
      <c r="BK1266" s="1586">
        <f>IF(OR(BK1222=BF1222,BK1222=BL1222,BK1222=BJ1222),"CHECK",0)</f>
        <v/>
      </c>
      <c r="BL1266" s="1586">
        <f>IF(OR(BL1222=BG1222,BL1222=BM1222,BL1222=BK1222),"CHECK",0)</f>
        <v/>
      </c>
      <c r="BM1266" s="1586">
        <f>IF(OR(BM1222=BH1222,BM1222=BL1222),"CHECK",0)</f>
        <v/>
      </c>
      <c r="BN1266" s="1586">
        <f>IF(BN1222=BI1222,"CHECK",0)</f>
        <v/>
      </c>
      <c r="BO1266" s="1586">
        <f>IF(OR(BO1222=BJ1222,BO1222=BP1222,BO1222=BM1222),"CHECK",0)</f>
        <v/>
      </c>
      <c r="BP1266" s="1586">
        <f>IF(OR(BP1222=BK1222,BP1222=BQ1222,BP1222=BO1222),"CHECK",0)</f>
        <v/>
      </c>
      <c r="BQ1266" s="1587">
        <f>IF(OR(BQ1222=BL1222,BQ1222=BR1222,BQ1222=BP1222),"CHECK",0)</f>
        <v/>
      </c>
      <c r="BR1266" s="1586" t="n"/>
      <c r="BS1266" s="1586" t="n"/>
      <c r="BT1266" s="1586" t="n"/>
      <c r="BU1266" s="1586" t="n"/>
      <c r="BV1266" s="1586" t="n"/>
      <c r="BW1266" s="1586" t="n"/>
      <c r="BX1266" s="1586" t="n"/>
      <c r="BY1266" s="1586" t="n"/>
      <c r="BZ1266" s="1586" t="n"/>
      <c r="CA1266" s="1586" t="n"/>
      <c r="CB1266" s="1364" t="n"/>
    </row>
    <row r="1267" ht="14.4" customFormat="1" customHeight="1" s="1359">
      <c r="A1267" s="1364" t="inlineStr">
        <is>
          <t>Ending CF = Ending Cumulative CF</t>
        </is>
      </c>
      <c r="B1267" s="1553" t="n"/>
      <c r="C1267" s="1586">
        <f>IF(ISBLANK(INDEX(MO_IS_FirstRow,0,COLUMN())),0,ROUND(C1155-C1077,6))</f>
        <v/>
      </c>
      <c r="D1267" s="1586">
        <f>IF(ISBLANK(INDEX(MO_IS_FirstRow,0,COLUMN())),0,ROUND(D1155-D1077,6))</f>
        <v/>
      </c>
      <c r="E1267" s="1586">
        <f>IF(ISBLANK(INDEX(MO_IS_FirstRow,0,COLUMN())),0,ROUND(E1155-E1077,6))</f>
        <v/>
      </c>
      <c r="F1267" s="1586">
        <f>IF(ISBLANK(INDEX(MO_IS_FirstRow,0,COLUMN())),0,ROUND(F1155-F1077,6))</f>
        <v/>
      </c>
      <c r="G1267" s="1586">
        <f>IF(ISBLANK(INDEX(MO_IS_FirstRow,0,COLUMN())),0,ROUND(G1155-G1077,6))</f>
        <v/>
      </c>
      <c r="H1267" s="1586">
        <f>IF(ISBLANK(INDEX(MO_IS_FirstRow,0,COLUMN())),0,ROUND(H1155-H1077,6))</f>
        <v/>
      </c>
      <c r="I1267" s="1586">
        <f>IF(ISBLANK(INDEX(MO_IS_FirstRow,0,COLUMN())),0,ROUND(I1155-I1077,6))</f>
        <v/>
      </c>
      <c r="J1267" s="1586">
        <f>IF(ISBLANK(INDEX(MO_IS_FirstRow,0,COLUMN())),0,ROUND(J1155-J1077,6))</f>
        <v/>
      </c>
      <c r="K1267" s="1586">
        <f>IF(ISBLANK(INDEX(MO_IS_FirstRow,0,COLUMN())),0,ROUND(K1155-K1077,6))</f>
        <v/>
      </c>
      <c r="L1267" s="1586">
        <f>IF(ISBLANK(INDEX(MO_IS_FirstRow,0,COLUMN())),0,ROUND(L1155-L1077,6))</f>
        <v/>
      </c>
      <c r="M1267" s="1586">
        <f>IF(ISBLANK(INDEX(MO_IS_FirstRow,0,COLUMN())),0,ROUND(M1155-M1077,6))</f>
        <v/>
      </c>
      <c r="N1267" s="1586">
        <f>IF(ISBLANK(INDEX(MO_IS_FirstRow,0,COLUMN())),0,ROUND(N1155-N1077,6))</f>
        <v/>
      </c>
      <c r="O1267" s="1586">
        <f>IF(ISBLANK(INDEX(MO_IS_FirstRow,0,COLUMN())),0,ROUND(O1155-O1077,6))</f>
        <v/>
      </c>
      <c r="P1267" s="1586">
        <f>IF(ISBLANK(INDEX(MO_IS_FirstRow,0,COLUMN())),0,ROUND(P1155-P1077,6))</f>
        <v/>
      </c>
      <c r="Q1267" s="1586">
        <f>IF(ISBLANK(INDEX(MO_IS_FirstRow,0,COLUMN())),0,ROUND(Q1155-Q1077,6))</f>
        <v/>
      </c>
      <c r="R1267" s="1586">
        <f>IF(ISBLANK(INDEX(MO_IS_FirstRow,0,COLUMN())),0,ROUND(R1155-R1077,6))</f>
        <v/>
      </c>
      <c r="S1267" s="1586">
        <f>IF(ISBLANK(INDEX(MO_IS_FirstRow,0,COLUMN())),0,ROUND(S1155-S1077,6))</f>
        <v/>
      </c>
      <c r="T1267" s="1586">
        <f>IF(ISBLANK(INDEX(MO_IS_FirstRow,0,COLUMN())),0,ROUND(T1155-T1077,6))</f>
        <v/>
      </c>
      <c r="U1267" s="1586">
        <f>IF(ISBLANK(INDEX(MO_IS_FirstRow,0,COLUMN())),0,ROUND(U1155-U1077,6))</f>
        <v/>
      </c>
      <c r="V1267" s="1586">
        <f>IF(ISBLANK(INDEX(MO_IS_FirstRow,0,COLUMN())),0,ROUND(V1155-V1077,6))</f>
        <v/>
      </c>
      <c r="W1267" s="1586">
        <f>IF(ISBLANK(INDEX(MO_IS_FirstRow,0,COLUMN())),0,ROUND(W1155-W1077,6))</f>
        <v/>
      </c>
      <c r="X1267" s="1586">
        <f>IF(ISBLANK(INDEX(MO_IS_FirstRow,0,COLUMN())),0,ROUND(X1155-X1077,6))</f>
        <v/>
      </c>
      <c r="Y1267" s="1586">
        <f>IF(ISBLANK(INDEX(MO_IS_FirstRow,0,COLUMN())),0,ROUND(Y1155-Y1077,6))</f>
        <v/>
      </c>
      <c r="Z1267" s="1586">
        <f>IF(ISBLANK(INDEX(MO_IS_FirstRow,0,COLUMN())),0,ROUND(Z1155-Z1077,6))</f>
        <v/>
      </c>
      <c r="AA1267" s="1586">
        <f>IF(ISBLANK(INDEX(MO_IS_FirstRow,0,COLUMN())),0,ROUND(AA1155-AA1077,6))</f>
        <v/>
      </c>
      <c r="AB1267" s="1586">
        <f>IF(ISBLANK(INDEX(MO_IS_FirstRow,0,COLUMN())),0,ROUND(AB1155-AB1077,6))</f>
        <v/>
      </c>
      <c r="AC1267" s="1586">
        <f>IF(ISBLANK(INDEX(MO_IS_FirstRow,0,COLUMN())),0,ROUND(AC1155-AC1077,6))</f>
        <v/>
      </c>
      <c r="AD1267" s="1586">
        <f>IF(ISBLANK(INDEX(MO_IS_FirstRow,0,COLUMN())),0,ROUND(AD1155-AD1077,6))</f>
        <v/>
      </c>
      <c r="AE1267" s="1586">
        <f>IF(ISBLANK(INDEX(MO_IS_FirstRow,0,COLUMN())),0,ROUND(AE1155-AE1077,6))</f>
        <v/>
      </c>
      <c r="AF1267" s="1586">
        <f>IF(ISBLANK(INDEX(MO_IS_FirstRow,0,COLUMN())),0,ROUND(AF1155-AF1077,6))</f>
        <v/>
      </c>
      <c r="AG1267" s="1586">
        <f>IF(ISBLANK(INDEX(MO_IS_FirstRow,0,COLUMN())),0,ROUND(AG1155-AG1077,6))</f>
        <v/>
      </c>
      <c r="AH1267" s="1586">
        <f>IF(ISBLANK(INDEX(MO_IS_FirstRow,0,COLUMN())),0,ROUND(AH1155-AH1077,6))</f>
        <v/>
      </c>
      <c r="AI1267" s="1586">
        <f>IF(ISBLANK(INDEX(MO_IS_FirstRow,0,COLUMN())),0,ROUND(AI1155-AI1077,6))</f>
        <v/>
      </c>
      <c r="AJ1267" s="1586">
        <f>IF(ISBLANK(INDEX(MO_IS_FirstRow,0,COLUMN())),0,ROUND(AJ1155-AJ1077,6))</f>
        <v/>
      </c>
      <c r="AK1267" s="1586">
        <f>IF(ISBLANK(INDEX(MO_IS_FirstRow,0,COLUMN())),0,ROUND(AK1155-AK1077,6))</f>
        <v/>
      </c>
      <c r="AL1267" s="1586">
        <f>IF(ISBLANK(INDEX(MO_IS_FirstRow,0,COLUMN())),0,ROUND(AL1155-AL1077,6))</f>
        <v/>
      </c>
      <c r="AM1267" s="1586">
        <f>IF(ISBLANK(INDEX(MO_IS_FirstRow,0,COLUMN())),0,ROUND(AM1155-AM1077,6))</f>
        <v/>
      </c>
      <c r="AN1267" s="1586">
        <f>IF(ISBLANK(INDEX(MO_IS_FirstRow,0,COLUMN())),0,ROUND(AN1155-AN1077,6))</f>
        <v/>
      </c>
      <c r="AO1267" s="1586">
        <f>IF(ISBLANK(INDEX(MO_IS_FirstRow,0,COLUMN())),0,ROUND(AO1155-AO1077,6))</f>
        <v/>
      </c>
      <c r="AP1267" s="1586">
        <f>IF(ISBLANK(INDEX(MO_IS_FirstRow,0,COLUMN())),0,ROUND(AP1155-AP1077,6))</f>
        <v/>
      </c>
      <c r="AQ1267" s="1586">
        <f>IF(ISBLANK(INDEX(MO_IS_FirstRow,0,COLUMN())),0,ROUND(AQ1155-AQ1077,6))</f>
        <v/>
      </c>
      <c r="AR1267" s="1586">
        <f>IF(ISBLANK(INDEX(MO_IS_FirstRow,0,COLUMN())),0,ROUND(AR1155-AR1077,6))</f>
        <v/>
      </c>
      <c r="AS1267" s="1586">
        <f>IF(ISBLANK(INDEX(MO_IS_FirstRow,0,COLUMN())),0,ROUND(AS1155-AS1077,6))</f>
        <v/>
      </c>
      <c r="AT1267" s="1586">
        <f>IF(ISBLANK(INDEX(MO_IS_FirstRow,0,COLUMN())),0,ROUND(AT1155-AT1077,6))</f>
        <v/>
      </c>
      <c r="AU1267" s="1586">
        <f>IF(ISBLANK(INDEX(MO_IS_FirstRow,0,COLUMN())),0,ROUND(AU1155-AU1077,6))</f>
        <v/>
      </c>
      <c r="AV1267" s="1586">
        <f>IF(ISBLANK(INDEX(MO_IS_FirstRow,0,COLUMN())),0,ROUND(AV1155-AV1077,6))</f>
        <v/>
      </c>
      <c r="AW1267" s="1586">
        <f>IF(ISBLANK(INDEX(MO_IS_FirstRow,0,COLUMN())),0,ROUND(AW1155-AW1077,6))</f>
        <v/>
      </c>
      <c r="AX1267" s="1586">
        <f>IF(ISBLANK(INDEX(MO_IS_FirstRow,0,COLUMN())),0,ROUND(AX1155-AX1077,6))</f>
        <v/>
      </c>
      <c r="AY1267" s="1586">
        <f>IF(ISBLANK(INDEX(MO_IS_FirstRow,0,COLUMN())),0,ROUND(AY1155-AY1077,6))</f>
        <v/>
      </c>
      <c r="AZ1267" s="1586">
        <f>IF(ISBLANK(INDEX(MO_IS_FirstRow,0,COLUMN())),0,ROUND(AZ1155-AZ1077,6))</f>
        <v/>
      </c>
      <c r="BA1267" s="1586">
        <f>IF(ISBLANK(INDEX(MO_IS_FirstRow,0,COLUMN())),0,ROUND(BA1155-BA1077,6))</f>
        <v/>
      </c>
      <c r="BB1267" s="1586">
        <f>IF(ISBLANK(INDEX(MO_IS_FirstRow,0,COLUMN())),0,ROUND(BB1155-BB1077,6))</f>
        <v/>
      </c>
      <c r="BC1267" s="1586">
        <f>IF(ISBLANK(INDEX(MO_IS_FirstRow,0,COLUMN())),0,ROUND(BC1155-BC1077,6))</f>
        <v/>
      </c>
      <c r="BD1267" s="1586">
        <f>IF(ISBLANK(INDEX(MO_IS_FirstRow,0,COLUMN())),0,ROUND(BD1155-BD1077,6))</f>
        <v/>
      </c>
      <c r="BE1267" s="1586">
        <f>IF(ISBLANK(INDEX(MO_IS_FirstRow,0,COLUMN())),0,ROUND(BE1155-BE1077,6))</f>
        <v/>
      </c>
      <c r="BF1267" s="1586">
        <f>IF(ISBLANK(INDEX(MO_IS_FirstRow,0,COLUMN())),0,ROUND(BF1155-BF1077,6))</f>
        <v/>
      </c>
      <c r="BG1267" s="1586">
        <f>IF(ISBLANK(INDEX(MO_IS_FirstRow,0,COLUMN())),0,ROUND(BG1155-BG1077,6))</f>
        <v/>
      </c>
      <c r="BH1267" s="1586">
        <f>IF(ISBLANK(INDEX(MO_IS_FirstRow,0,COLUMN())),0,ROUND(BH1155-BH1077,6))</f>
        <v/>
      </c>
      <c r="BI1267" s="1586">
        <f>IF(ISBLANK(INDEX(MO_IS_FirstRow,0,COLUMN())),0,ROUND(BI1155-BI1077,6))</f>
        <v/>
      </c>
      <c r="BJ1267" s="1586">
        <f>IF(ISBLANK(INDEX(MO_IS_FirstRow,0,COLUMN())),0,ROUND(BJ1155-BJ1077,6))</f>
        <v/>
      </c>
      <c r="BK1267" s="1586">
        <f>IF(ISBLANK(INDEX(MO_IS_FirstRow,0,COLUMN())),0,ROUND(BK1155-BK1077,6))</f>
        <v/>
      </c>
      <c r="BL1267" s="1586">
        <f>IF(ISBLANK(INDEX(MO_IS_FirstRow,0,COLUMN())),0,ROUND(BL1155-BL1077,6))</f>
        <v/>
      </c>
      <c r="BM1267" s="1586">
        <f>IF(ISBLANK(INDEX(MO_IS_FirstRow,0,COLUMN())),0,ROUND(BM1155-BM1077,6))</f>
        <v/>
      </c>
      <c r="BN1267" s="1586">
        <f>IF(ISBLANK(INDEX(MO_IS_FirstRow,0,COLUMN())),0,ROUND(BN1155-BN1077,6))</f>
        <v/>
      </c>
      <c r="BO1267" s="1586">
        <f>IF(ISBLANK(INDEX(MO_IS_FirstRow,0,COLUMN())),0,ROUND(BO1155-BO1077,6))</f>
        <v/>
      </c>
      <c r="BP1267" s="1586">
        <f>IF(ISBLANK(INDEX(MO_IS_FirstRow,0,COLUMN())),0,ROUND(BP1155-BP1077,6))</f>
        <v/>
      </c>
      <c r="BQ1267" s="1587">
        <f>IF(ISBLANK(INDEX(MO_IS_FirstRow,0,COLUMN())),0,ROUND(BQ1155-BQ1077,6))</f>
        <v/>
      </c>
      <c r="BR1267" s="1586">
        <f>IF(ISBLANK(INDEX(MO_IS_FirstRow,0,COLUMN())),0,ROUND(BR1155-BR1077,6))</f>
        <v/>
      </c>
      <c r="BS1267" s="1586">
        <f>IF(ISBLANK(INDEX(MO_IS_FirstRow,0,COLUMN())),0,ROUND(BS1155-BS1077,6))</f>
        <v/>
      </c>
      <c r="BT1267" s="1586">
        <f>IF(ISBLANK(INDEX(MO_IS_FirstRow,0,COLUMN())),0,ROUND(BT1155-BT1077,6))</f>
        <v/>
      </c>
      <c r="BU1267" s="1586">
        <f>IF(ISBLANK(INDEX(MO_IS_FirstRow,0,COLUMN())),0,ROUND(BU1155-BU1077,6))</f>
        <v/>
      </c>
      <c r="BV1267" s="1586">
        <f>IF(ISBLANK(INDEX(MO_IS_FirstRow,0,COLUMN())),0,ROUND(BV1155-BV1077,6))</f>
        <v/>
      </c>
      <c r="BW1267" s="1586">
        <f>IF(ISBLANK(INDEX(MO_IS_FirstRow,0,COLUMN())),0,ROUND(BW1155-BW1077,6))</f>
        <v/>
      </c>
      <c r="BX1267" s="1586">
        <f>IF(ISBLANK(INDEX(MO_IS_FirstRow,0,COLUMN())),0,ROUND(BX1155-BX1077,6))</f>
        <v/>
      </c>
      <c r="BY1267" s="1586">
        <f>IF(ISBLANK(INDEX(MO_IS_FirstRow,0,COLUMN())),0,ROUND(BY1155-BY1077,6))</f>
        <v/>
      </c>
      <c r="BZ1267" s="1586">
        <f>IF(ISBLANK(INDEX(MO_IS_FirstRow,0,COLUMN())),0,ROUND(BZ1155-BZ1077,6))</f>
        <v/>
      </c>
      <c r="CA1267" s="1586">
        <f>IF(ISBLANK(INDEX(MO_IS_FirstRow,0,COLUMN())),0,ROUND(CA1155-CA1077,6))</f>
        <v/>
      </c>
      <c r="CB1267" s="1364" t="n"/>
    </row>
    <row r="1268" ht="14.4" customFormat="1" customHeight="1" s="1359">
      <c r="A1268" s="1364" t="inlineStr">
        <is>
          <t>Capex is Updated</t>
        </is>
      </c>
      <c r="B1268" s="1553" t="n"/>
      <c r="C1268" s="1586">
        <f>ROUND(INDEX(MO_CFSum_Capex,0,COLUMN())-C1124-C1122-C1123,6)</f>
        <v/>
      </c>
      <c r="D1268" s="1586">
        <f>ROUND(INDEX(MO_CFSum_Capex,0,COLUMN())-D1124-D1122-D1123,6)</f>
        <v/>
      </c>
      <c r="E1268" s="1586">
        <f>ROUND(INDEX(MO_CFSum_Capex,0,COLUMN())-E1124-E1122-E1123,6)</f>
        <v/>
      </c>
      <c r="F1268" s="1586">
        <f>ROUND(INDEX(MO_CFSum_Capex,0,COLUMN())-F1124-F1122-F1123,6)</f>
        <v/>
      </c>
      <c r="G1268" s="1586">
        <f>ROUND(INDEX(MO_CFSum_Capex,0,COLUMN())-G1124-G1122-G1123,6)</f>
        <v/>
      </c>
      <c r="H1268" s="1586">
        <f>ROUND(INDEX(MO_CFSum_Capex,0,COLUMN())-H1124-H1122-H1123,6)</f>
        <v/>
      </c>
      <c r="I1268" s="1586">
        <f>ROUND(INDEX(MO_CFSum_Capex,0,COLUMN())-I1124-I1122-I1123,6)</f>
        <v/>
      </c>
      <c r="J1268" s="1586">
        <f>ROUND(INDEX(MO_CFSum_Capex,0,COLUMN())-J1124-J1122-J1123,6)</f>
        <v/>
      </c>
      <c r="K1268" s="1586">
        <f>ROUND(INDEX(MO_CFSum_Capex,0,COLUMN())-K1124-K1122-K1123,6)</f>
        <v/>
      </c>
      <c r="L1268" s="1586">
        <f>ROUND(INDEX(MO_CFSum_Capex,0,COLUMN())-L1124-L1122-L1123,6)</f>
        <v/>
      </c>
      <c r="M1268" s="1586">
        <f>ROUND(INDEX(MO_CFSum_Capex,0,COLUMN())-M1124-M1122-M1123,6)</f>
        <v/>
      </c>
      <c r="N1268" s="1586">
        <f>ROUND(INDEX(MO_CFSum_Capex,0,COLUMN())-N1124-N1122-N1123,6)</f>
        <v/>
      </c>
      <c r="O1268" s="1586">
        <f>ROUND(INDEX(MO_CFSum_Capex,0,COLUMN())-O1124-O1122-O1123,6)</f>
        <v/>
      </c>
      <c r="P1268" s="1586">
        <f>ROUND(INDEX(MO_CFSum_Capex,0,COLUMN())-P1124-P1122-P1123,6)</f>
        <v/>
      </c>
      <c r="Q1268" s="1586">
        <f>ROUND(INDEX(MO_CFSum_Capex,0,COLUMN())-Q1124-Q1122-Q1123,6)</f>
        <v/>
      </c>
      <c r="R1268" s="1586">
        <f>ROUND(INDEX(MO_CFSum_Capex,0,COLUMN())-R1124-R1122-R1123,6)</f>
        <v/>
      </c>
      <c r="S1268" s="1586">
        <f>ROUND(INDEX(MO_CFSum_Capex,0,COLUMN())-S1124-S1122-S1123,6)</f>
        <v/>
      </c>
      <c r="T1268" s="1586">
        <f>ROUND(INDEX(MO_CFSum_Capex,0,COLUMN())-T1124-T1122-T1123,6)</f>
        <v/>
      </c>
      <c r="U1268" s="1586">
        <f>ROUND(INDEX(MO_CFSum_Capex,0,COLUMN())-U1124-U1122-U1123,6)</f>
        <v/>
      </c>
      <c r="V1268" s="1586">
        <f>ROUND(INDEX(MO_CFSum_Capex,0,COLUMN())-V1124-V1122-V1123,6)</f>
        <v/>
      </c>
      <c r="W1268" s="1586">
        <f>ROUND(INDEX(MO_CFSum_Capex,0,COLUMN())-W1124-W1122-W1123,6)</f>
        <v/>
      </c>
      <c r="X1268" s="1586">
        <f>ROUND(INDEX(MO_CFSum_Capex,0,COLUMN())-X1124-X1122-X1123,6)</f>
        <v/>
      </c>
      <c r="Y1268" s="1586">
        <f>ROUND(INDEX(MO_CFSum_Capex,0,COLUMN())-Y1124-Y1122-Y1123,6)</f>
        <v/>
      </c>
      <c r="Z1268" s="1586">
        <f>ROUND(INDEX(MO_CFSum_Capex,0,COLUMN())-Z1124-Z1122-Z1123,6)</f>
        <v/>
      </c>
      <c r="AA1268" s="1586">
        <f>ROUND(INDEX(MO_CFSum_Capex,0,COLUMN())-AA1124-AA1122-AA1123,6)</f>
        <v/>
      </c>
      <c r="AB1268" s="1586">
        <f>ROUND(INDEX(MO_CFSum_Capex,0,COLUMN())-AB1124-AB1122-AB1123,6)</f>
        <v/>
      </c>
      <c r="AC1268" s="1586">
        <f>ROUND(INDEX(MO_CFSum_Capex,0,COLUMN())-AC1124-AC1122-AC1123,6)</f>
        <v/>
      </c>
      <c r="AD1268" s="1586">
        <f>ROUND(INDEX(MO_CFSum_Capex,0,COLUMN())-AD1124-AD1122-AD1123,6)</f>
        <v/>
      </c>
      <c r="AE1268" s="1586">
        <f>ROUND(INDEX(MO_CFSum_Capex,0,COLUMN())-AE1124-AE1122-AE1123,6)</f>
        <v/>
      </c>
      <c r="AF1268" s="1586">
        <f>ROUND(INDEX(MO_CFSum_Capex,0,COLUMN())-AF1124-AF1122-AF1123,6)</f>
        <v/>
      </c>
      <c r="AG1268" s="1586">
        <f>ROUND(INDEX(MO_CFSum_Capex,0,COLUMN())-AG1124-AG1122-AG1123,6)</f>
        <v/>
      </c>
      <c r="AH1268" s="1586">
        <f>ROUND(INDEX(MO_CFSum_Capex,0,COLUMN())-AH1124-AH1122-AH1123,6)</f>
        <v/>
      </c>
      <c r="AI1268" s="1586">
        <f>ROUND(INDEX(MO_CFSum_Capex,0,COLUMN())-AI1124-AI1122-AI1123,6)</f>
        <v/>
      </c>
      <c r="AJ1268" s="1586">
        <f>ROUND(INDEX(MO_CFSum_Capex,0,COLUMN())-AJ1124-AJ1122-AJ1123,6)</f>
        <v/>
      </c>
      <c r="AK1268" s="1586">
        <f>ROUND(INDEX(MO_CFSum_Capex,0,COLUMN())-AK1124-AK1122-AK1123,6)</f>
        <v/>
      </c>
      <c r="AL1268" s="1586">
        <f>ROUND(INDEX(MO_CFSum_Capex,0,COLUMN())-AL1124-AL1122-AL1123,6)</f>
        <v/>
      </c>
      <c r="AM1268" s="1586">
        <f>ROUND(INDEX(MO_CFSum_Capex,0,COLUMN())-AM1124-AM1122-AM1123,6)</f>
        <v/>
      </c>
      <c r="AN1268" s="1586">
        <f>ROUND(INDEX(MO_CFSum_Capex,0,COLUMN())-AN1124-AN1122-AN1123,6)</f>
        <v/>
      </c>
      <c r="AO1268" s="1586">
        <f>ROUND(INDEX(MO_CFSum_Capex,0,COLUMN())-AO1124-AO1122-AO1123,6)</f>
        <v/>
      </c>
      <c r="AP1268" s="1586">
        <f>ROUND(INDEX(MO_CFSum_Capex,0,COLUMN())-AP1124-AP1122-AP1123,6)</f>
        <v/>
      </c>
      <c r="AQ1268" s="1586">
        <f>ROUND(INDEX(MO_CFSum_Capex,0,COLUMN())-AQ1124-AQ1122-AQ1123,6)</f>
        <v/>
      </c>
      <c r="AR1268" s="1586">
        <f>ROUND(INDEX(MO_CFSum_Capex,0,COLUMN())-AR1124-AR1122-AR1123,6)</f>
        <v/>
      </c>
      <c r="AS1268" s="1586">
        <f>ROUND(INDEX(MO_CFSum_Capex,0,COLUMN())-AS1124-AS1122-AS1123,6)</f>
        <v/>
      </c>
      <c r="AT1268" s="1586">
        <f>ROUND(INDEX(MO_CFSum_Capex,0,COLUMN())-AT1124-AT1122-AT1123,6)</f>
        <v/>
      </c>
      <c r="AU1268" s="1586">
        <f>ROUND(INDEX(MO_CFSum_Capex,0,COLUMN())-AU1124-AU1122-AU1123,6)</f>
        <v/>
      </c>
      <c r="AV1268" s="1586">
        <f>ROUND(INDEX(MO_CFSum_Capex,0,COLUMN())-AV1124-AV1122-AV1123,6)</f>
        <v/>
      </c>
      <c r="AW1268" s="1586">
        <f>ROUND(INDEX(MO_CFSum_Capex,0,COLUMN())-AW1124-AW1122-AW1123,6)</f>
        <v/>
      </c>
      <c r="AX1268" s="1586">
        <f>ROUND(INDEX(MO_CFSum_Capex,0,COLUMN())-AX1124-AX1122-AX1123,6)</f>
        <v/>
      </c>
      <c r="AY1268" s="1586">
        <f>ROUND(INDEX(MO_CFSum_Capex,0,COLUMN())-AY1124-AY1122-AY1123,6)</f>
        <v/>
      </c>
      <c r="AZ1268" s="1586">
        <f>ROUND(INDEX(MO_CFSum_Capex,0,COLUMN())-AZ1124-AZ1122-AZ1123,6)</f>
        <v/>
      </c>
      <c r="BA1268" s="1586">
        <f>ROUND(INDEX(MO_CFSum_Capex,0,COLUMN())-BA1124-BA1122-BA1123,6)</f>
        <v/>
      </c>
      <c r="BB1268" s="1586">
        <f>ROUND(INDEX(MO_CFSum_Capex,0,COLUMN())-BB1124-BB1122-BB1123,6)</f>
        <v/>
      </c>
      <c r="BC1268" s="1586">
        <f>ROUND(INDEX(MO_CFSum_Capex,0,COLUMN())-BC1124-BC1122-BC1123,6)</f>
        <v/>
      </c>
      <c r="BD1268" s="1586">
        <f>ROUND(INDEX(MO_CFSum_Capex,0,COLUMN())-BD1124-BD1122-BD1123,6)</f>
        <v/>
      </c>
      <c r="BE1268" s="1586">
        <f>ROUND(INDEX(MO_CFSum_Capex,0,COLUMN())-BE1124-BE1122-BE1123,6)</f>
        <v/>
      </c>
      <c r="BF1268" s="1586">
        <f>ROUND(INDEX(MO_CFSum_Capex,0,COLUMN())-BF1124-BF1122-BF1123,6)</f>
        <v/>
      </c>
      <c r="BG1268" s="1586">
        <f>ROUND(INDEX(MO_CFSum_Capex,0,COLUMN())-BG1124-BG1122-BG1123,6)</f>
        <v/>
      </c>
      <c r="BH1268" s="1586">
        <f>ROUND(INDEX(MO_CFSum_Capex,0,COLUMN())-BH1124-BH1122-BH1123,6)</f>
        <v/>
      </c>
      <c r="BI1268" s="1586">
        <f>ROUND(INDEX(MO_CFSum_Capex,0,COLUMN())-BI1124-BI1122-BI1123,6)</f>
        <v/>
      </c>
      <c r="BJ1268" s="1586">
        <f>ROUND(INDEX(MO_CFSum_Capex,0,COLUMN())-BJ1124-BJ1122-BJ1123,6)</f>
        <v/>
      </c>
      <c r="BK1268" s="1586">
        <f>ROUND(INDEX(MO_CFSum_Capex,0,COLUMN())-BK1124-BK1122-BK1123,6)</f>
        <v/>
      </c>
      <c r="BL1268" s="1586">
        <f>ROUND(INDEX(MO_CFSum_Capex,0,COLUMN())-BL1124-BL1122-BL1123,6)</f>
        <v/>
      </c>
      <c r="BM1268" s="1586">
        <f>ROUND(INDEX(MO_CFSum_Capex,0,COLUMN())-BM1124-BM1122-BM1123,6)</f>
        <v/>
      </c>
      <c r="BN1268" s="1586">
        <f>ROUND(INDEX(MO_CFSum_Capex,0,COLUMN())-BN1124-BN1122-BN1123,6)</f>
        <v/>
      </c>
      <c r="BO1268" s="1586">
        <f>ROUND(INDEX(MO_CFSum_Capex,0,COLUMN())-BO1124-BO1122-BO1123,6)</f>
        <v/>
      </c>
      <c r="BP1268" s="1586">
        <f>ROUND(INDEX(MO_CFSum_Capex,0,COLUMN())-BP1124-BP1122-BP1123,6)</f>
        <v/>
      </c>
      <c r="BQ1268" s="1587">
        <f>ROUND(INDEX(MO_CFSum_Capex,0,COLUMN())-BQ1124-BQ1122-BQ1123,6)</f>
        <v/>
      </c>
      <c r="BR1268" s="1586">
        <f>ROUND(INDEX(MO_CFSum_Capex,0,COLUMN())-BR1124-BR1122-BR1123,6)</f>
        <v/>
      </c>
      <c r="BS1268" s="1586">
        <f>ROUND(INDEX(MO_CFSum_Capex,0,COLUMN())-BS1124-BS1122-BS1123,6)</f>
        <v/>
      </c>
      <c r="BT1268" s="1586">
        <f>ROUND(INDEX(MO_CFSum_Capex,0,COLUMN())-BT1124-BT1122-BT1123,6)</f>
        <v/>
      </c>
      <c r="BU1268" s="1586">
        <f>ROUND(INDEX(MO_CFSum_Capex,0,COLUMN())-BU1124-BU1122-BU1123,6)</f>
        <v/>
      </c>
      <c r="BV1268" s="1586">
        <f>ROUND(INDEX(MO_CFSum_Capex,0,COLUMN())-BV1124-BV1122-BV1123,6)</f>
        <v/>
      </c>
      <c r="BW1268" s="1586">
        <f>ROUND(INDEX(MO_CFSum_Capex,0,COLUMN())-BW1124-BW1122-BW1123,6)</f>
        <v/>
      </c>
      <c r="BX1268" s="1586">
        <f>ROUND(INDEX(MO_CFSum_Capex,0,COLUMN())-BX1124-BX1122-BX1123,6)</f>
        <v/>
      </c>
      <c r="BY1268" s="1586">
        <f>ROUND(INDEX(MO_CFSum_Capex,0,COLUMN())-BY1124-BY1122-BY1123,6)</f>
        <v/>
      </c>
      <c r="BZ1268" s="1586">
        <f>ROUND(INDEX(MO_CFSum_Capex,0,COLUMN())-BZ1124-BZ1122-BZ1123,6)</f>
        <v/>
      </c>
      <c r="CA1268" s="1586">
        <f>ROUND(INDEX(MO_CFSum_Capex,0,COLUMN())-CA1124-CA1122-CA1123,6)</f>
        <v/>
      </c>
      <c r="CB1268" s="1364" t="n"/>
    </row>
    <row r="1269" ht="14.4" customFormat="1" customHeight="1" s="1359">
      <c r="A1269" s="1364" t="inlineStr">
        <is>
          <t>Margin is Updated</t>
        </is>
      </c>
      <c r="B1269" s="1553" t="n"/>
      <c r="C1269" s="1586" t="n"/>
      <c r="D1269" s="1586">
        <f>IF(ISBLANK(INDEX(MO_IS_FirstRow,0,COLUMN())),0,IF(MOD(D330*1000000,1)=0,"Check",0))</f>
        <v/>
      </c>
      <c r="E1269" s="1586">
        <f>IF(ISBLANK(INDEX(MO_IS_FirstRow,0,COLUMN())),0,IF(MOD(E330*1000000,1)=0,"Check",0))</f>
        <v/>
      </c>
      <c r="F1269" s="1586">
        <f>IF(ISBLANK(INDEX(MO_IS_FirstRow,0,COLUMN())),0,IF(MOD(F330*1000000,1)=0,"Check",0))</f>
        <v/>
      </c>
      <c r="G1269" s="1586">
        <f>IF(ISBLANK(INDEX(MO_IS_FirstRow,0,COLUMN())),0,IF(MOD(G330*1000000,1)=0,"Check",0))</f>
        <v/>
      </c>
      <c r="H1269" s="1586">
        <f>IF(ISBLANK(INDEX(MO_IS_FirstRow,0,COLUMN())),0,IF(MOD(H330*1000000,1)=0,"Check",0))</f>
        <v/>
      </c>
      <c r="I1269" s="1586">
        <f>IF(ISBLANK(INDEX(MO_IS_FirstRow,0,COLUMN())),0,IF(MOD(I330*1000000,1)=0,"Check",0))</f>
        <v/>
      </c>
      <c r="J1269" s="1586">
        <f>IF(ISBLANK(INDEX(MO_IS_FirstRow,0,COLUMN())),0,IF(MOD(J330*1000000,1)=0,"Check",0))</f>
        <v/>
      </c>
      <c r="K1269" s="1586">
        <f>IF(ISBLANK(INDEX(MO_IS_FirstRow,0,COLUMN())),0,IF(MOD(K330*1000000,1)=0,"Check",0))</f>
        <v/>
      </c>
      <c r="L1269" s="1586">
        <f>IF(ISBLANK(INDEX(MO_IS_FirstRow,0,COLUMN())),0,IF(MOD(L330*1000000,1)=0,"Check",0))</f>
        <v/>
      </c>
      <c r="M1269" s="1586">
        <f>IF(ISBLANK(INDEX(MO_IS_FirstRow,0,COLUMN())),0,IF(MOD(M330*1000000,1)=0,"Check",0))</f>
        <v/>
      </c>
      <c r="N1269" s="1586">
        <f>IF(ISBLANK(INDEX(MO_IS_FirstRow,0,COLUMN())),0,IF(MOD(N330*1000000,1)=0,"Check",0))</f>
        <v/>
      </c>
      <c r="O1269" s="1586">
        <f>IF(ISBLANK(INDEX(MO_IS_FirstRow,0,COLUMN())),0,IF(MOD(O330*1000000,1)=0,"Check",0))</f>
        <v/>
      </c>
      <c r="P1269" s="1586">
        <f>IF(ISBLANK(INDEX(MO_IS_FirstRow,0,COLUMN())),0,IF(MOD(P330*1000000,1)=0,"Check",0))</f>
        <v/>
      </c>
      <c r="Q1269" s="1586">
        <f>IF(ISBLANK(INDEX(MO_IS_FirstRow,0,COLUMN())),0,IF(MOD(Q330*1000000,1)=0,"Check",0))</f>
        <v/>
      </c>
      <c r="R1269" s="1586">
        <f>IF(ISBLANK(INDEX(MO_IS_FirstRow,0,COLUMN())),0,IF(MOD(R330*1000000,1)=0,"Check",0))</f>
        <v/>
      </c>
      <c r="S1269" s="1586">
        <f>IF(ISBLANK(INDEX(MO_IS_FirstRow,0,COLUMN())),0,IF(MOD(S330*1000000,1)=0,"Check",0))</f>
        <v/>
      </c>
      <c r="T1269" s="1586">
        <f>IF(ISBLANK(INDEX(MO_IS_FirstRow,0,COLUMN())),0,IF(MOD(T330*1000000,1)=0,"Check",0))</f>
        <v/>
      </c>
      <c r="U1269" s="1586">
        <f>IF(ISBLANK(INDEX(MO_IS_FirstRow,0,COLUMN())),0,IF(MOD(U330*1000000,1)=0,"Check",0))</f>
        <v/>
      </c>
      <c r="V1269" s="1586">
        <f>IF(ISBLANK(INDEX(MO_IS_FirstRow,0,COLUMN())),0,IF(MOD(V330*1000000,1)=0,"Check",0))</f>
        <v/>
      </c>
      <c r="W1269" s="1586">
        <f>IF(ISBLANK(INDEX(MO_IS_FirstRow,0,COLUMN())),0,IF(MOD(W330*1000000,1)=0,"Check",0))</f>
        <v/>
      </c>
      <c r="X1269" s="1586">
        <f>IF(ISBLANK(INDEX(MO_IS_FirstRow,0,COLUMN())),0,IF(MOD(X330*1000000,1)=0,"Check",0))</f>
        <v/>
      </c>
      <c r="Y1269" s="1586">
        <f>IF(ISBLANK(INDEX(MO_IS_FirstRow,0,COLUMN())),0,IF(MOD(Y330*1000000,1)=0,"Check",0))</f>
        <v/>
      </c>
      <c r="Z1269" s="1586">
        <f>IF(ISBLANK(INDEX(MO_IS_FirstRow,0,COLUMN())),0,IF(MOD(Z330*1000000,1)=0,"Check",0))</f>
        <v/>
      </c>
      <c r="AA1269" s="1586">
        <f>IF(ISBLANK(INDEX(MO_IS_FirstRow,0,COLUMN())),0,IF(MOD(AA330*1000000,1)=0,"Check",0))</f>
        <v/>
      </c>
      <c r="AB1269" s="1586">
        <f>IF(ISBLANK(INDEX(MO_IS_FirstRow,0,COLUMN())),0,IF(MOD(AB330*1000000,1)=0,"Check",0))</f>
        <v/>
      </c>
      <c r="AC1269" s="1586">
        <f>IF(ISBLANK(INDEX(MO_IS_FirstRow,0,COLUMN())),0,IF(MOD(AC330*1000000,1)=0,"Check",0))</f>
        <v/>
      </c>
      <c r="AD1269" s="1586">
        <f>IF(ISBLANK(INDEX(MO_IS_FirstRow,0,COLUMN())),0,IF(MOD(AD330*1000000,1)=0,"Check",0))</f>
        <v/>
      </c>
      <c r="AE1269" s="1586">
        <f>IF(ISBLANK(INDEX(MO_IS_FirstRow,0,COLUMN())),0,IF(MOD(AE330*1000000,1)=0,"Check",0))</f>
        <v/>
      </c>
      <c r="AF1269" s="1586">
        <f>IF(ISBLANK(INDEX(MO_IS_FirstRow,0,COLUMN())),0,IF(MOD(AF330*1000000,1)=0,"Check",0))</f>
        <v/>
      </c>
      <c r="AG1269" s="1586">
        <f>IF(ISBLANK(INDEX(MO_IS_FirstRow,0,COLUMN())),0,IF(MOD(AG330*1000000,1)=0,"Check",0))</f>
        <v/>
      </c>
      <c r="AH1269" s="1586">
        <f>IF(ISBLANK(INDEX(MO_IS_FirstRow,0,COLUMN())),0,IF(MOD(AH330*1000000,1)=0,"Check",0))</f>
        <v/>
      </c>
      <c r="AI1269" s="1586">
        <f>IF(ISBLANK(INDEX(MO_IS_FirstRow,0,COLUMN())),0,IF(MOD(AI330*1000000,1)=0,"Check",0))</f>
        <v/>
      </c>
      <c r="AJ1269" s="1586">
        <f>IF(ISBLANK(INDEX(MO_IS_FirstRow,0,COLUMN())),0,IF(MOD(AJ330*1000000,1)=0,"Check",0))</f>
        <v/>
      </c>
      <c r="AK1269" s="1586">
        <f>IF(ISBLANK(INDEX(MO_IS_FirstRow,0,COLUMN())),0,IF(MOD(AK330*1000000,1)=0,"Check",0))</f>
        <v/>
      </c>
      <c r="AL1269" s="1586">
        <f>IF(ISBLANK(INDEX(MO_IS_FirstRow,0,COLUMN())),0,IF(MOD(AL330*1000000,1)=0,"Check",0))</f>
        <v/>
      </c>
      <c r="AM1269" s="1586">
        <f>IF(ISBLANK(INDEX(MO_IS_FirstRow,0,COLUMN())),0,IF(MOD(AM330*1000000,1)=0,"Check",0))</f>
        <v/>
      </c>
      <c r="AN1269" s="1586">
        <f>IF(ISBLANK(INDEX(MO_IS_FirstRow,0,COLUMN())),0,IF(MOD(AN330*1000000,1)=0,"Check",0))</f>
        <v/>
      </c>
      <c r="AO1269" s="1586">
        <f>IF(ISBLANK(INDEX(MO_IS_FirstRow,0,COLUMN())),0,IF(MOD(AO330*1000000,1)=0,"Check",0))</f>
        <v/>
      </c>
      <c r="AP1269" s="1586">
        <f>IF(ISBLANK(INDEX(MO_IS_FirstRow,0,COLUMN())),0,IF(MOD(AP330*1000000,1)=0,"Check",0))</f>
        <v/>
      </c>
      <c r="AQ1269" s="1586">
        <f>IF(ISBLANK(INDEX(MO_IS_FirstRow,0,COLUMN())),0,IF(MOD(AQ330*1000000,1)=0,"Check",0))</f>
        <v/>
      </c>
      <c r="AR1269" s="1586">
        <f>IF(ISBLANK(INDEX(MO_IS_FirstRow,0,COLUMN())),0,IF(MOD(AR330*1000000,1)=0,"Check",0))</f>
        <v/>
      </c>
      <c r="AS1269" s="1586">
        <f>IF(ISBLANK(INDEX(MO_IS_FirstRow,0,COLUMN())),0,IF(MOD(AS330*1000000,1)=0,"Check",0))</f>
        <v/>
      </c>
      <c r="AT1269" s="1586">
        <f>IF(ISBLANK(INDEX(MO_IS_FirstRow,0,COLUMN())),0,IF(MOD(AT330*1000000,1)=0,"Check",0))</f>
        <v/>
      </c>
      <c r="AU1269" s="1586">
        <f>IF(ISBLANK(INDEX(MO_IS_FirstRow,0,COLUMN())),0,IF(MOD(AU330*1000000,1)=0,"Check",0))</f>
        <v/>
      </c>
      <c r="AV1269" s="1586">
        <f>IF(ISBLANK(INDEX(MO_IS_FirstRow,0,COLUMN())),0,IF(MOD(AV330*1000000,1)=0,"Check",0))</f>
        <v/>
      </c>
      <c r="AW1269" s="1586">
        <f>IF(ISBLANK(INDEX(MO_IS_FirstRow,0,COLUMN())),0,IF(MOD(AW330*1000000,1)=0,"Check",0))</f>
        <v/>
      </c>
      <c r="AX1269" s="1586">
        <f>IF(ISBLANK(INDEX(MO_IS_FirstRow,0,COLUMN())),0,IF(MOD(AX330*1000000,1)=0,"Check",0))</f>
        <v/>
      </c>
      <c r="AY1269" s="1586">
        <f>IF(ISBLANK(INDEX(MO_IS_FirstRow,0,COLUMN())),0,IF(MOD(AY330*1000000,1)=0,"Check",0))</f>
        <v/>
      </c>
      <c r="AZ1269" s="1586">
        <f>IF(ISBLANK(INDEX(MO_IS_FirstRow,0,COLUMN())),0,IF(MOD(AZ330*1000000,1)=0,"Check",0))</f>
        <v/>
      </c>
      <c r="BA1269" s="1586">
        <f>IF(ISBLANK(INDEX(MO_IS_FirstRow,0,COLUMN())),0,IF(MOD(BA330*1000000,1)=0,"Check",0))</f>
        <v/>
      </c>
      <c r="BB1269" s="1586">
        <f>IF(ISBLANK(INDEX(MO_IS_FirstRow,0,COLUMN())),0,IF(MOD(BB330*1000000,1)=0,"Check",0))</f>
        <v/>
      </c>
      <c r="BC1269" s="1586">
        <f>IF(ISBLANK(INDEX(MO_IS_FirstRow,0,COLUMN())),0,IF(MOD(BC330*1000000,1)=0,"Check",0))</f>
        <v/>
      </c>
      <c r="BD1269" s="1586">
        <f>IF(ISBLANK(INDEX(MO_IS_FirstRow,0,COLUMN())),0,IF(MOD(BD330*1000000,1)=0,"Check",0))</f>
        <v/>
      </c>
      <c r="BE1269" s="1586">
        <f>IF(ISBLANK(INDEX(MO_IS_FirstRow,0,COLUMN())),0,IF(MOD(BE330*1000000,1)=0,"Check",0))</f>
        <v/>
      </c>
      <c r="BF1269" s="1586">
        <f>IF(ISBLANK(INDEX(MO_IS_FirstRow,0,COLUMN())),0,IF(MOD(BF330*1000000,1)=0,"Check",0))</f>
        <v/>
      </c>
      <c r="BG1269" s="1586">
        <f>IF(ISBLANK(INDEX(MO_IS_FirstRow,0,COLUMN())),0,IF(MOD(BG330*1000000,1)=0,"Check",0))</f>
        <v/>
      </c>
      <c r="BH1269" s="1586">
        <f>IF(ISBLANK(INDEX(MO_IS_FirstRow,0,COLUMN())),0,IF(MOD(BH330*1000000,1)=0,"Check",0))</f>
        <v/>
      </c>
      <c r="BI1269" s="1586">
        <f>IF(ISBLANK(INDEX(MO_IS_FirstRow,0,COLUMN())),0,IF(MOD(BI330*1000000,1)=0,"Check",0))</f>
        <v/>
      </c>
      <c r="BJ1269" s="1586">
        <f>IF(ISBLANK(INDEX(MO_IS_FirstRow,0,COLUMN())),0,IF(MOD(BJ330*1000000,1)=0,"Check",0))</f>
        <v/>
      </c>
      <c r="BK1269" s="1586">
        <f>IF(ISBLANK(INDEX(MO_IS_FirstRow,0,COLUMN())),0,IF(MOD(BK330*1000000,1)=0,"Check",0))</f>
        <v/>
      </c>
      <c r="BL1269" s="1586">
        <f>IF(ISBLANK(INDEX(MO_IS_FirstRow,0,COLUMN())),0,IF(MOD(BL330*1000000,1)=0,"Check",0))</f>
        <v/>
      </c>
      <c r="BM1269" s="1586">
        <f>IF(ISBLANK(INDEX(MO_IS_FirstRow,0,COLUMN())),0,IF(MOD(BM330*1000000,1)=0,"Check",0))</f>
        <v/>
      </c>
      <c r="BN1269" s="1586">
        <f>IF(ISBLANK(INDEX(MO_IS_FirstRow,0,COLUMN())),0,IF(MOD(BN330*1000000,1)=0,"Check",0))</f>
        <v/>
      </c>
      <c r="BO1269" s="1586">
        <f>IF(ISBLANK(INDEX(MO_IS_FirstRow,0,COLUMN())),0,IF(MOD(BO330*1000000,1)=0,"Check",0))</f>
        <v/>
      </c>
      <c r="BP1269" s="1586">
        <f>IF(ISBLANK(INDEX(MO_IS_FirstRow,0,COLUMN())),0,IF(MOD(BP330*1000000,1)=0,"Check",0))</f>
        <v/>
      </c>
      <c r="BQ1269" s="1587">
        <f>IF(ISBLANK(INDEX(MO_IS_FirstRow,0,COLUMN())),0,IF(MOD(BQ330*1000000,1)=0,"Check",0))</f>
        <v/>
      </c>
      <c r="BR1269" s="1586">
        <f>IF(ISBLANK(INDEX(MO_IS_FirstRow,0,COLUMN())),0,IF(MOD(BR330*1000000,1)=0,"Check",0))</f>
        <v/>
      </c>
      <c r="BS1269" s="1586">
        <f>IF(ISBLANK(INDEX(MO_IS_FirstRow,0,COLUMN())),0,IF(MOD(BS330*1000000,1)=0,"Check",0))</f>
        <v/>
      </c>
      <c r="BT1269" s="1586">
        <f>IF(ISBLANK(INDEX(MO_IS_FirstRow,0,COLUMN())),0,IF(MOD(BT330*1000000,1)=0,"Check",0))</f>
        <v/>
      </c>
      <c r="BU1269" s="1586">
        <f>IF(ISBLANK(INDEX(MO_IS_FirstRow,0,COLUMN())),0,IF(MOD(BU330*1000000,1)=0,"Check",0))</f>
        <v/>
      </c>
      <c r="BV1269" s="1586">
        <f>IF(ISBLANK(INDEX(MO_IS_FirstRow,0,COLUMN())),0,IF(MOD(BV330*1000000,1)=0,"Check",0))</f>
        <v/>
      </c>
      <c r="BW1269" s="1586">
        <f>IF(ISBLANK(INDEX(MO_IS_FirstRow,0,COLUMN())),0,IF(MOD(BW330*1000000,1)=0,"Check",0))</f>
        <v/>
      </c>
      <c r="BX1269" s="1586">
        <f>IF(ISBLANK(INDEX(MO_IS_FirstRow,0,COLUMN())),0,IF(MOD(BX330*1000000,1)=0,"Check",0))</f>
        <v/>
      </c>
      <c r="BY1269" s="1586">
        <f>IF(ISBLANK(INDEX(MO_IS_FirstRow,0,COLUMN())),0,IF(MOD(BY330*1000000,1)=0,"Check",0))</f>
        <v/>
      </c>
      <c r="BZ1269" s="1586">
        <f>IF(ISBLANK(INDEX(MO_IS_FirstRow,0,COLUMN())),0,IF(MOD(BZ330*1000000,1)=0,"Check",0))</f>
        <v/>
      </c>
      <c r="CA1269" s="1586">
        <f>IF(ISBLANK(INDEX(MO_IS_FirstRow,0,COLUMN())),0,IF(MOD(CA330*1000000,1)=0,"Check",0))</f>
        <v/>
      </c>
      <c r="CB1269" s="1364" t="n"/>
    </row>
    <row r="1270" ht="14.4" customFormat="1" customHeight="1" s="1359">
      <c r="A1270" s="1364" t="inlineStr">
        <is>
          <t>Adjusted Numbers FY = Sum of Qs</t>
        </is>
      </c>
      <c r="B1270" s="1553" t="n"/>
      <c r="C1270" s="1586" t="n"/>
      <c r="D1270" s="1586" t="n"/>
      <c r="E1270" s="1586" t="n"/>
      <c r="F1270" s="1586" t="n"/>
      <c r="G1270" s="1586" t="n"/>
      <c r="H1270" s="1586" t="n"/>
      <c r="I1270" s="1586" t="n"/>
      <c r="J1270" s="1586" t="n"/>
      <c r="K1270" s="1586">
        <f>IF(ISBLANK(INDEX(MO_IS_FirstRow,0,COLUMN())),0,ROUND(K390-SUM(G390,H390,I390,J390),6))</f>
        <v/>
      </c>
      <c r="L1270" s="1586" t="n"/>
      <c r="M1270" s="1586" t="n"/>
      <c r="N1270" s="1586" t="n"/>
      <c r="O1270" s="1586" t="n"/>
      <c r="P1270" s="1586">
        <f>IF(ISBLANK(INDEX(MO_IS_FirstRow,0,COLUMN())),0,ROUND(P390-SUM(L390,M390,N390,O390),6))</f>
        <v/>
      </c>
      <c r="Q1270" s="1586" t="n"/>
      <c r="R1270" s="1586" t="n"/>
      <c r="S1270" s="1586" t="n"/>
      <c r="T1270" s="1586" t="n"/>
      <c r="U1270" s="1586">
        <f>IF(ISBLANK(INDEX(MO_IS_FirstRow,0,COLUMN())),0,ROUND(U390-SUM(Q390,R390,S390,T390),6))</f>
        <v/>
      </c>
      <c r="V1270" s="1586" t="n"/>
      <c r="W1270" s="1586" t="n"/>
      <c r="X1270" s="1586" t="n"/>
      <c r="Y1270" s="1586" t="n"/>
      <c r="Z1270" s="1586">
        <f>IF(ISBLANK(INDEX(MO_IS_FirstRow,0,COLUMN())),0,ROUND(Z390-SUM(V390,W390,X390,Y390),6))</f>
        <v/>
      </c>
      <c r="AA1270" s="1586" t="n"/>
      <c r="AB1270" s="1586" t="n"/>
      <c r="AC1270" s="1586" t="n"/>
      <c r="AD1270" s="1586" t="n"/>
      <c r="AE1270" s="1586">
        <f>IF(ISBLANK(INDEX(MO_IS_FirstRow,0,COLUMN())),0,ROUND(AE390-SUM(AA390,AB390,AC390,AD390),6))</f>
        <v/>
      </c>
      <c r="AF1270" s="1586" t="n"/>
      <c r="AG1270" s="1586" t="n"/>
      <c r="AH1270" s="1586" t="n"/>
      <c r="AI1270" s="1586" t="n"/>
      <c r="AJ1270" s="1586">
        <f>IF(ISBLANK(INDEX(MO_IS_FirstRow,0,COLUMN())),0,ROUND(AJ390-SUM(AF390,AG390,AH390,AI390),6))</f>
        <v/>
      </c>
      <c r="AK1270" s="1586" t="n"/>
      <c r="AL1270" s="1586" t="n"/>
      <c r="AM1270" s="1586" t="n"/>
      <c r="AN1270" s="1586" t="n"/>
      <c r="AO1270" s="1586">
        <f>IF(ISBLANK(INDEX(MO_IS_FirstRow,0,COLUMN())),0,ROUND(AO390-SUM(AK390,AL390,AM390,AN390),6))</f>
        <v/>
      </c>
      <c r="AP1270" s="1586" t="n"/>
      <c r="AQ1270" s="1586" t="n"/>
      <c r="AR1270" s="1586" t="n"/>
      <c r="AS1270" s="1586" t="n"/>
      <c r="AT1270" s="1586">
        <f>IF(ISBLANK(INDEX(MO_IS_FirstRow,0,COLUMN())),0,ROUND(AT390-SUM(AP390,AQ390,AR390,AS390),6))</f>
        <v/>
      </c>
      <c r="AU1270" s="1586" t="n"/>
      <c r="AV1270" s="1586" t="n"/>
      <c r="AW1270" s="1586" t="n"/>
      <c r="AX1270" s="1586" t="n"/>
      <c r="AY1270" s="1586">
        <f>IF(ISBLANK(INDEX(MO_IS_FirstRow,0,COLUMN())),0,ROUND(AY390-SUM(AU390,AV390,AW390,AX390),6))</f>
        <v/>
      </c>
      <c r="AZ1270" s="1586" t="n"/>
      <c r="BA1270" s="1586" t="n"/>
      <c r="BB1270" s="1586" t="n"/>
      <c r="BC1270" s="1586" t="n"/>
      <c r="BD1270" s="1586">
        <f>IF(ISBLANK(INDEX(MO_IS_FirstRow,0,COLUMN())),0,ROUND(BD390-SUM(AZ390,BA390,BB390,BC390),6))</f>
        <v/>
      </c>
      <c r="BE1270" s="1586" t="n"/>
      <c r="BF1270" s="1586" t="n"/>
      <c r="BG1270" s="1586" t="n"/>
      <c r="BH1270" s="1586" t="n"/>
      <c r="BI1270" s="1586">
        <f>IF(ISBLANK(INDEX(MO_IS_FirstRow,0,COLUMN())),0,ROUND(BI390-SUM(BE390,BF390,BG390,BH390),6))</f>
        <v/>
      </c>
      <c r="BJ1270" s="1586" t="n"/>
      <c r="BK1270" s="1586" t="n"/>
      <c r="BL1270" s="1586" t="n"/>
      <c r="BM1270" s="1586" t="n"/>
      <c r="BN1270" s="1586">
        <f>IF(ISBLANK(INDEX(MO_IS_FirstRow,0,COLUMN())),0,ROUND(BN390-SUM(BJ390,BK390,BL390,BM390),6))</f>
        <v/>
      </c>
      <c r="BO1270" s="1586" t="n"/>
      <c r="BP1270" s="1586" t="n"/>
      <c r="BQ1270" s="1587" t="n"/>
      <c r="BR1270" s="1586" t="n"/>
      <c r="BS1270" s="1586">
        <f>IF(ISBLANK(INDEX(MO_IS_FirstRow,0,COLUMN())),0,ROUND(BS390-SUM(BO390,BP390,BQ390,BR390),6))</f>
        <v/>
      </c>
      <c r="BT1270" s="1586" t="n"/>
      <c r="BU1270" s="1586" t="n"/>
      <c r="BV1270" s="1586" t="n"/>
      <c r="BW1270" s="1586" t="n"/>
      <c r="BX1270" s="1586">
        <f>IF(ISBLANK(INDEX(MO_IS_FirstRow,0,COLUMN())),0,ROUND(BX390-SUM(BT390,BU390,BV390,BW390),6))</f>
        <v/>
      </c>
      <c r="BY1270" s="1586" t="n"/>
      <c r="BZ1270" s="1586" t="n"/>
      <c r="CA1270" s="1586" t="n"/>
      <c r="CB1270" s="1364" t="n"/>
    </row>
    <row r="1271" ht="14.4" customFormat="1" customHeight="1" s="1359">
      <c r="A1271" s="1364" t="inlineStr">
        <is>
          <t>*Margin adds up to 100%</t>
        </is>
      </c>
      <c r="B1271" s="1553" t="n"/>
      <c r="C1271" s="1586" t="n"/>
      <c r="D1271" s="1586">
        <f>ROUND(1-INDEX(MO_MA_COGS_NONGAAP,0,COLUMN())-INDEX(MO_MA_SM_NONGAAP,0,COLUMN())-INDEX(MO_MA_GA_NONGAAP,0,COLUMN())-INDEX(MO_MA_RD_NONGAAP,0,COLUMN())-INDEX(MO_MA_OperatingIncome_NONGAAP,0,COLUMN()),6)</f>
        <v/>
      </c>
      <c r="E1271" s="1586">
        <f>ROUND(1-INDEX(MO_MA_COGS_NONGAAP,0,COLUMN())-INDEX(MO_MA_SM_NONGAAP,0,COLUMN())-INDEX(MO_MA_GA_NONGAAP,0,COLUMN())-INDEX(MO_MA_RD_NONGAAP,0,COLUMN())-INDEX(MO_MA_OperatingIncome_NONGAAP,0,COLUMN()),6)</f>
        <v/>
      </c>
      <c r="F1271" s="1586">
        <f>ROUND(1-INDEX(MO_MA_COGS_NONGAAP,0,COLUMN())-INDEX(MO_MA_SM_NONGAAP,0,COLUMN())-INDEX(MO_MA_GA_NONGAAP,0,COLUMN())-INDEX(MO_MA_RD_NONGAAP,0,COLUMN())-INDEX(MO_MA_OperatingIncome_NONGAAP,0,COLUMN()),6)</f>
        <v/>
      </c>
      <c r="G1271" s="1586">
        <f>ROUND(1-INDEX(MO_MA_COGS_NONGAAP,0,COLUMN())-INDEX(MO_MA_SM_NONGAAP,0,COLUMN())-INDEX(MO_MA_GA_NONGAAP,0,COLUMN())-INDEX(MO_MA_RD_NONGAAP,0,COLUMN())-INDEX(MO_MA_OperatingIncome_NONGAAP,0,COLUMN()),6)</f>
        <v/>
      </c>
      <c r="H1271" s="1586">
        <f>ROUND(1-INDEX(MO_MA_COGS_NONGAAP,0,COLUMN())-INDEX(MO_MA_SM_NONGAAP,0,COLUMN())-INDEX(MO_MA_GA_NONGAAP,0,COLUMN())-INDEX(MO_MA_RD_NONGAAP,0,COLUMN())-INDEX(MO_MA_OperatingIncome_NONGAAP,0,COLUMN()),6)</f>
        <v/>
      </c>
      <c r="I1271" s="1586">
        <f>ROUND(1-INDEX(MO_MA_COGS_NONGAAP,0,COLUMN())-INDEX(MO_MA_SM_NONGAAP,0,COLUMN())-INDEX(MO_MA_GA_NONGAAP,0,COLUMN())-INDEX(MO_MA_RD_NONGAAP,0,COLUMN())-INDEX(MO_MA_OperatingIncome_NONGAAP,0,COLUMN()),6)</f>
        <v/>
      </c>
      <c r="J1271" s="1586">
        <f>ROUND(1-INDEX(MO_MA_COGS_NONGAAP,0,COLUMN())-INDEX(MO_MA_SM_NONGAAP,0,COLUMN())-INDEX(MO_MA_GA_NONGAAP,0,COLUMN())-INDEX(MO_MA_RD_NONGAAP,0,COLUMN())-INDEX(MO_MA_OperatingIncome_NONGAAP,0,COLUMN()),6)</f>
        <v/>
      </c>
      <c r="K1271" s="1586">
        <f>ROUND(1-INDEX(MO_MA_COGS_NONGAAP,0,COLUMN())-INDEX(MO_MA_SM_NONGAAP,0,COLUMN())-INDEX(MO_MA_GA_NONGAAP,0,COLUMN())-INDEX(MO_MA_RD_NONGAAP,0,COLUMN())-INDEX(MO_MA_OperatingIncome_NONGAAP,0,COLUMN()),6)</f>
        <v/>
      </c>
      <c r="L1271" s="1586">
        <f>ROUND(1-INDEX(MO_MA_COGS_NONGAAP,0,COLUMN())-INDEX(MO_MA_SM_NONGAAP,0,COLUMN())-INDEX(MO_MA_GA_NONGAAP,0,COLUMN())-INDEX(MO_MA_RD_NONGAAP,0,COLUMN())-INDEX(MO_MA_OperatingIncome_NONGAAP,0,COLUMN()),6)</f>
        <v/>
      </c>
      <c r="M1271" s="1586">
        <f>ROUND(1-INDEX(MO_MA_COGS_NONGAAP,0,COLUMN())-INDEX(MO_MA_SM_NONGAAP,0,COLUMN())-INDEX(MO_MA_GA_NONGAAP,0,COLUMN())-INDEX(MO_MA_RD_NONGAAP,0,COLUMN())-INDEX(MO_MA_OperatingIncome_NONGAAP,0,COLUMN()),6)</f>
        <v/>
      </c>
      <c r="N1271" s="1586">
        <f>ROUND(1-INDEX(MO_MA_COGS_NONGAAP,0,COLUMN())-INDEX(MO_MA_SM_NONGAAP,0,COLUMN())-INDEX(MO_MA_GA_NONGAAP,0,COLUMN())-INDEX(MO_MA_RD_NONGAAP,0,COLUMN())-INDEX(MO_MA_OperatingIncome_NONGAAP,0,COLUMN()),6)</f>
        <v/>
      </c>
      <c r="O1271" s="1586">
        <f>ROUND(1-INDEX(MO_MA_COGS_NONGAAP,0,COLUMN())-INDEX(MO_MA_SM_NONGAAP,0,COLUMN())-INDEX(MO_MA_GA_NONGAAP,0,COLUMN())-INDEX(MO_MA_RD_NONGAAP,0,COLUMN())-INDEX(MO_MA_OperatingIncome_NONGAAP,0,COLUMN()),6)</f>
        <v/>
      </c>
      <c r="P1271" s="1586">
        <f>ROUND(1-INDEX(MO_MA_COGS_NONGAAP,0,COLUMN())-INDEX(MO_MA_SM_NONGAAP,0,COLUMN())-INDEX(MO_MA_GA_NONGAAP,0,COLUMN())-INDEX(MO_MA_RD_NONGAAP,0,COLUMN())-INDEX(MO_MA_OperatingIncome_NONGAAP,0,COLUMN()),6)</f>
        <v/>
      </c>
      <c r="Q1271" s="1586">
        <f>ROUND(1-INDEX(MO_MA_COGS_NONGAAP,0,COLUMN())-INDEX(MO_MA_SM_NONGAAP,0,COLUMN())-INDEX(MO_MA_GA_NONGAAP,0,COLUMN())-INDEX(MO_MA_RD_NONGAAP,0,COLUMN())-INDEX(MO_MA_OperatingIncome_NONGAAP,0,COLUMN()),6)</f>
        <v/>
      </c>
      <c r="R1271" s="1586">
        <f>ROUND(1-INDEX(MO_MA_COGS_NONGAAP,0,COLUMN())-INDEX(MO_MA_SM_NONGAAP,0,COLUMN())-INDEX(MO_MA_GA_NONGAAP,0,COLUMN())-INDEX(MO_MA_RD_NONGAAP,0,COLUMN())-INDEX(MO_MA_OperatingIncome_NONGAAP,0,COLUMN()),6)</f>
        <v/>
      </c>
      <c r="S1271" s="1586">
        <f>ROUND(1-INDEX(MO_MA_COGS_NONGAAP,0,COLUMN())-INDEX(MO_MA_SM_NONGAAP,0,COLUMN())-INDEX(MO_MA_GA_NONGAAP,0,COLUMN())-INDEX(MO_MA_RD_NONGAAP,0,COLUMN())-INDEX(MO_MA_OperatingIncome_NONGAAP,0,COLUMN()),6)</f>
        <v/>
      </c>
      <c r="T1271" s="1586">
        <f>ROUND(1-INDEX(MO_MA_COGS_NONGAAP,0,COLUMN())-INDEX(MO_MA_SM_NONGAAP,0,COLUMN())-INDEX(MO_MA_GA_NONGAAP,0,COLUMN())-INDEX(MO_MA_RD_NONGAAP,0,COLUMN())-INDEX(MO_MA_OperatingIncome_NONGAAP,0,COLUMN()),6)</f>
        <v/>
      </c>
      <c r="U1271" s="1586">
        <f>ROUND(1-INDEX(MO_MA_COGS_NONGAAP,0,COLUMN())-INDEX(MO_MA_SM_NONGAAP,0,COLUMN())-INDEX(MO_MA_GA_NONGAAP,0,COLUMN())-INDEX(MO_MA_RD_NONGAAP,0,COLUMN())-INDEX(MO_MA_OperatingIncome_NONGAAP,0,COLUMN()),6)</f>
        <v/>
      </c>
      <c r="V1271" s="1586">
        <f>ROUND(1-INDEX(MO_MA_COGS_NONGAAP,0,COLUMN())-INDEX(MO_MA_SM_NONGAAP,0,COLUMN())-INDEX(MO_MA_GA_NONGAAP,0,COLUMN())-INDEX(MO_MA_RD_NONGAAP,0,COLUMN())-INDEX(MO_MA_OperatingIncome_NONGAAP,0,COLUMN()),6)</f>
        <v/>
      </c>
      <c r="W1271" s="1586">
        <f>ROUND(1-INDEX(MO_MA_COGS_NONGAAP,0,COLUMN())-INDEX(MO_MA_SM_NONGAAP,0,COLUMN())-INDEX(MO_MA_GA_NONGAAP,0,COLUMN())-INDEX(MO_MA_RD_NONGAAP,0,COLUMN())-INDEX(MO_MA_OperatingIncome_NONGAAP,0,COLUMN()),6)</f>
        <v/>
      </c>
      <c r="X1271" s="1586">
        <f>ROUND(1-INDEX(MO_MA_COGS_NONGAAP,0,COLUMN())-INDEX(MO_MA_SM_NONGAAP,0,COLUMN())-INDEX(MO_MA_GA_NONGAAP,0,COLUMN())-INDEX(MO_MA_RD_NONGAAP,0,COLUMN())-INDEX(MO_MA_OperatingIncome_NONGAAP,0,COLUMN()),6)</f>
        <v/>
      </c>
      <c r="Y1271" s="1586">
        <f>ROUND(1-INDEX(MO_MA_COGS_NONGAAP,0,COLUMN())-INDEX(MO_MA_SM_NONGAAP,0,COLUMN())-INDEX(MO_MA_GA_NONGAAP,0,COLUMN())-INDEX(MO_MA_RD_NONGAAP,0,COLUMN())-INDEX(MO_MA_OperatingIncome_NONGAAP,0,COLUMN()),6)</f>
        <v/>
      </c>
      <c r="Z1271" s="1586">
        <f>ROUND(1-INDEX(MO_MA_COGS_NONGAAP,0,COLUMN())-INDEX(MO_MA_SM_NONGAAP,0,COLUMN())-INDEX(MO_MA_GA_NONGAAP,0,COLUMN())-INDEX(MO_MA_RD_NONGAAP,0,COLUMN())-INDEX(MO_MA_OperatingIncome_NONGAAP,0,COLUMN()),6)</f>
        <v/>
      </c>
      <c r="AA1271" s="1586">
        <f>ROUND(1-INDEX(MO_MA_COGS_NONGAAP,0,COLUMN())-INDEX(MO_MA_SM_NONGAAP,0,COLUMN())-INDEX(MO_MA_GA_NONGAAP,0,COLUMN())-INDEX(MO_MA_RD_NONGAAP,0,COLUMN())-INDEX(MO_MA_OperatingIncome_NONGAAP,0,COLUMN()),6)</f>
        <v/>
      </c>
      <c r="AB1271" s="1586">
        <f>ROUND(1-INDEX(MO_MA_COGS_NONGAAP,0,COLUMN())-INDEX(MO_MA_SM_NONGAAP,0,COLUMN())-INDEX(MO_MA_GA_NONGAAP,0,COLUMN())-INDEX(MO_MA_RD_NONGAAP,0,COLUMN())-INDEX(MO_MA_OperatingIncome_NONGAAP,0,COLUMN()),6)</f>
        <v/>
      </c>
      <c r="AC1271" s="1586">
        <f>ROUND(1-INDEX(MO_MA_COGS_NONGAAP,0,COLUMN())-INDEX(MO_MA_SM_NONGAAP,0,COLUMN())-INDEX(MO_MA_GA_NONGAAP,0,COLUMN())-INDEX(MO_MA_RD_NONGAAP,0,COLUMN())-INDEX(MO_MA_OperatingIncome_NONGAAP,0,COLUMN()),6)</f>
        <v/>
      </c>
      <c r="AD1271" s="1586">
        <f>ROUND(1-INDEX(MO_MA_COGS_NONGAAP,0,COLUMN())-INDEX(MO_MA_SM_NONGAAP,0,COLUMN())-INDEX(MO_MA_GA_NONGAAP,0,COLUMN())-INDEX(MO_MA_RD_NONGAAP,0,COLUMN())-INDEX(MO_MA_OperatingIncome_NONGAAP,0,COLUMN()),6)</f>
        <v/>
      </c>
      <c r="AE1271" s="1586">
        <f>ROUND(1-INDEX(MO_MA_COGS_NONGAAP,0,COLUMN())-INDEX(MO_MA_SM_NONGAAP,0,COLUMN())-INDEX(MO_MA_GA_NONGAAP,0,COLUMN())-INDEX(MO_MA_RD_NONGAAP,0,COLUMN())-INDEX(MO_MA_OperatingIncome_NONGAAP,0,COLUMN()),6)</f>
        <v/>
      </c>
      <c r="AF1271" s="1586">
        <f>ROUND(1-INDEX(MO_MA_COGS_NONGAAP,0,COLUMN())-INDEX(MO_MA_SM_NONGAAP,0,COLUMN())-INDEX(MO_MA_GA_NONGAAP,0,COLUMN())-INDEX(MO_MA_RD_NONGAAP,0,COLUMN())-INDEX(MO_MA_OperatingIncome_NONGAAP,0,COLUMN()),6)</f>
        <v/>
      </c>
      <c r="AG1271" s="1586">
        <f>ROUND(1-INDEX(MO_MA_COGS_NONGAAP,0,COLUMN())-INDEX(MO_MA_SM_NONGAAP,0,COLUMN())-INDEX(MO_MA_GA_NONGAAP,0,COLUMN())-INDEX(MO_MA_RD_NONGAAP,0,COLUMN())-INDEX(MO_MA_OperatingIncome_NONGAAP,0,COLUMN()),6)</f>
        <v/>
      </c>
      <c r="AH1271" s="1586">
        <f>ROUND(1-INDEX(MO_MA_COGS_NONGAAP,0,COLUMN())-INDEX(MO_MA_SM_NONGAAP,0,COLUMN())-INDEX(MO_MA_GA_NONGAAP,0,COLUMN())-INDEX(MO_MA_RD_NONGAAP,0,COLUMN())-INDEX(MO_MA_OperatingIncome_NONGAAP,0,COLUMN()),6)</f>
        <v/>
      </c>
      <c r="AI1271" s="1586">
        <f>ROUND(1-INDEX(MO_MA_COGS_NONGAAP,0,COLUMN())-INDEX(MO_MA_SM_NONGAAP,0,COLUMN())-INDEX(MO_MA_GA_NONGAAP,0,COLUMN())-INDEX(MO_MA_RD_NONGAAP,0,COLUMN())-INDEX(MO_MA_OperatingIncome_NONGAAP,0,COLUMN()),6)</f>
        <v/>
      </c>
      <c r="AJ1271" s="1586">
        <f>ROUND(1-INDEX(MO_MA_COGS_NONGAAP,0,COLUMN())-INDEX(MO_MA_SM_NONGAAP,0,COLUMN())-INDEX(MO_MA_GA_NONGAAP,0,COLUMN())-INDEX(MO_MA_RD_NONGAAP,0,COLUMN())-INDEX(MO_MA_OperatingIncome_NONGAAP,0,COLUMN()),6)</f>
        <v/>
      </c>
      <c r="AK1271" s="1586">
        <f>ROUND(1-INDEX(MO_MA_COGS_NONGAAP,0,COLUMN())-INDEX(MO_MA_SM_NONGAAP,0,COLUMN())-INDEX(MO_MA_GA_NONGAAP,0,COLUMN())-INDEX(MO_MA_RD_NONGAAP,0,COLUMN())-INDEX(MO_MA_OperatingIncome_NONGAAP,0,COLUMN()),6)</f>
        <v/>
      </c>
      <c r="AL1271" s="1586">
        <f>ROUND(1-INDEX(MO_MA_COGS_NONGAAP,0,COLUMN())-INDEX(MO_MA_SM_NONGAAP,0,COLUMN())-INDEX(MO_MA_GA_NONGAAP,0,COLUMN())-INDEX(MO_MA_RD_NONGAAP,0,COLUMN())-INDEX(MO_MA_OperatingIncome_NONGAAP,0,COLUMN()),6)</f>
        <v/>
      </c>
      <c r="AM1271" s="1586">
        <f>ROUND(1-INDEX(MO_MA_COGS_NONGAAP,0,COLUMN())-INDEX(MO_MA_SM_NONGAAP,0,COLUMN())-INDEX(MO_MA_GA_NONGAAP,0,COLUMN())-INDEX(MO_MA_RD_NONGAAP,0,COLUMN())-INDEX(MO_MA_OperatingIncome_NONGAAP,0,COLUMN()),6)</f>
        <v/>
      </c>
      <c r="AN1271" s="1586">
        <f>ROUND(1-INDEX(MO_MA_COGS_NONGAAP,0,COLUMN())-INDEX(MO_MA_SM_NONGAAP,0,COLUMN())-INDEX(MO_MA_GA_NONGAAP,0,COLUMN())-INDEX(MO_MA_RD_NONGAAP,0,COLUMN())-INDEX(MO_MA_OperatingIncome_NONGAAP,0,COLUMN()),6)</f>
        <v/>
      </c>
      <c r="AO1271" s="1586">
        <f>ROUND(1-INDEX(MO_MA_COGS_NONGAAP,0,COLUMN())-INDEX(MO_MA_SM_NONGAAP,0,COLUMN())-INDEX(MO_MA_GA_NONGAAP,0,COLUMN())-INDEX(MO_MA_RD_NONGAAP,0,COLUMN())-INDEX(MO_MA_OperatingIncome_NONGAAP,0,COLUMN()),6)</f>
        <v/>
      </c>
      <c r="AP1271" s="1586">
        <f>ROUND(1-INDEX(MO_MA_COGS_NONGAAP,0,COLUMN())-INDEX(MO_MA_SM_NONGAAP,0,COLUMN())-INDEX(MO_MA_GA_NONGAAP,0,COLUMN())-INDEX(MO_MA_RD_NONGAAP,0,COLUMN())-INDEX(MO_MA_OperatingIncome_NONGAAP,0,COLUMN()),6)</f>
        <v/>
      </c>
      <c r="AQ1271" s="1586">
        <f>ROUND(1-INDEX(MO_MA_COGS_NONGAAP,0,COLUMN())-INDEX(MO_MA_SM_NONGAAP,0,COLUMN())-INDEX(MO_MA_GA_NONGAAP,0,COLUMN())-INDEX(MO_MA_RD_NONGAAP,0,COLUMN())-INDEX(MO_MA_OperatingIncome_NONGAAP,0,COLUMN()),6)</f>
        <v/>
      </c>
      <c r="AR1271" s="1586">
        <f>ROUND(1-INDEX(MO_MA_COGS_NONGAAP,0,COLUMN())-INDEX(MO_MA_SM_NONGAAP,0,COLUMN())-INDEX(MO_MA_GA_NONGAAP,0,COLUMN())-INDEX(MO_MA_RD_NONGAAP,0,COLUMN())-INDEX(MO_MA_OperatingIncome_NONGAAP,0,COLUMN()),6)</f>
        <v/>
      </c>
      <c r="AS1271" s="1586">
        <f>ROUND(1-INDEX(MO_MA_COGS_NONGAAP,0,COLUMN())-INDEX(MO_MA_SM_NONGAAP,0,COLUMN())-INDEX(MO_MA_GA_NONGAAP,0,COLUMN())-INDEX(MO_MA_RD_NONGAAP,0,COLUMN())-INDEX(MO_MA_OperatingIncome_NONGAAP,0,COLUMN()),6)</f>
        <v/>
      </c>
      <c r="AT1271" s="1586">
        <f>ROUND(1-INDEX(MO_MA_COGS_NONGAAP,0,COLUMN())-INDEX(MO_MA_SM_NONGAAP,0,COLUMN())-INDEX(MO_MA_GA_NONGAAP,0,COLUMN())-INDEX(MO_MA_RD_NONGAAP,0,COLUMN())-INDEX(MO_MA_OperatingIncome_NONGAAP,0,COLUMN()),6)</f>
        <v/>
      </c>
      <c r="AU1271" s="1586">
        <f>ROUND(1-INDEX(MO_MA_COGS_NONGAAP,0,COLUMN())-INDEX(MO_MA_SM_NONGAAP,0,COLUMN())-INDEX(MO_MA_GA_NONGAAP,0,COLUMN())-INDEX(MO_MA_RD_NONGAAP,0,COLUMN())-INDEX(MO_MA_OperatingIncome_NONGAAP,0,COLUMN()),6)</f>
        <v/>
      </c>
      <c r="AV1271" s="1586">
        <f>ROUND(1-INDEX(MO_MA_COGS_NONGAAP,0,COLUMN())-INDEX(MO_MA_SM_NONGAAP,0,COLUMN())-INDEX(MO_MA_GA_NONGAAP,0,COLUMN())-INDEX(MO_MA_RD_NONGAAP,0,COLUMN())-INDEX(MO_MA_OperatingIncome_NONGAAP,0,COLUMN()),6)</f>
        <v/>
      </c>
      <c r="AW1271" s="1586">
        <f>ROUND(1-INDEX(MO_MA_COGS_NONGAAP,0,COLUMN())-INDEX(MO_MA_SM_NONGAAP,0,COLUMN())-INDEX(MO_MA_GA_NONGAAP,0,COLUMN())-INDEX(MO_MA_RD_NONGAAP,0,COLUMN())-INDEX(MO_MA_OperatingIncome_NONGAAP,0,COLUMN()),6)</f>
        <v/>
      </c>
      <c r="AX1271" s="1586">
        <f>ROUND(1-INDEX(MO_MA_COGS_NONGAAP,0,COLUMN())-INDEX(MO_MA_SM_NONGAAP,0,COLUMN())-INDEX(MO_MA_GA_NONGAAP,0,COLUMN())-INDEX(MO_MA_RD_NONGAAP,0,COLUMN())-INDEX(MO_MA_OperatingIncome_NONGAAP,0,COLUMN()),6)</f>
        <v/>
      </c>
      <c r="AY1271" s="1586">
        <f>ROUND(1-INDEX(MO_MA_COGS_NONGAAP,0,COLUMN())-INDEX(MO_MA_SM_NONGAAP,0,COLUMN())-INDEX(MO_MA_GA_NONGAAP,0,COLUMN())-INDEX(MO_MA_RD_NONGAAP,0,COLUMN())-INDEX(MO_MA_OperatingIncome_NONGAAP,0,COLUMN()),6)</f>
        <v/>
      </c>
      <c r="AZ1271" s="1586">
        <f>ROUND(1-INDEX(MO_MA_COGS_NONGAAP,0,COLUMN())-INDEX(MO_MA_SM_NONGAAP,0,COLUMN())-INDEX(MO_MA_GA_NONGAAP,0,COLUMN())-INDEX(MO_MA_RD_NONGAAP,0,COLUMN())-INDEX(MO_MA_OperatingIncome_NONGAAP,0,COLUMN()),6)</f>
        <v/>
      </c>
      <c r="BA1271" s="1586">
        <f>ROUND(1-INDEX(MO_MA_COGS_NONGAAP,0,COLUMN())-INDEX(MO_MA_SM_NONGAAP,0,COLUMN())-INDEX(MO_MA_GA_NONGAAP,0,COLUMN())-INDEX(MO_MA_RD_NONGAAP,0,COLUMN())-INDEX(MO_MA_OperatingIncome_NONGAAP,0,COLUMN()),6)</f>
        <v/>
      </c>
      <c r="BB1271" s="1586">
        <f>ROUND(1-INDEX(MO_MA_COGS_NONGAAP,0,COLUMN())-INDEX(MO_MA_SM_NONGAAP,0,COLUMN())-INDEX(MO_MA_GA_NONGAAP,0,COLUMN())-INDEX(MO_MA_RD_NONGAAP,0,COLUMN())-INDEX(MO_MA_OperatingIncome_NONGAAP,0,COLUMN()),6)</f>
        <v/>
      </c>
      <c r="BC1271" s="1586">
        <f>ROUND(1-INDEX(MO_MA_COGS_NONGAAP,0,COLUMN())-INDEX(MO_MA_SM_NONGAAP,0,COLUMN())-INDEX(MO_MA_GA_NONGAAP,0,COLUMN())-INDEX(MO_MA_RD_NONGAAP,0,COLUMN())-INDEX(MO_MA_OperatingIncome_NONGAAP,0,COLUMN()),6)</f>
        <v/>
      </c>
      <c r="BD1271" s="1586">
        <f>ROUND(1-INDEX(MO_MA_COGS_NONGAAP,0,COLUMN())-INDEX(MO_MA_SM_NONGAAP,0,COLUMN())-INDEX(MO_MA_GA_NONGAAP,0,COLUMN())-INDEX(MO_MA_RD_NONGAAP,0,COLUMN())-INDEX(MO_MA_OperatingIncome_NONGAAP,0,COLUMN()),6)</f>
        <v/>
      </c>
      <c r="BE1271" s="1586">
        <f>ROUND(1-INDEX(MO_MA_COGS_NONGAAP,0,COLUMN())-INDEX(MO_MA_SM_NONGAAP,0,COLUMN())-INDEX(MO_MA_GA_NONGAAP,0,COLUMN())-INDEX(MO_MA_RD_NONGAAP,0,COLUMN())-INDEX(MO_MA_OperatingIncome_NONGAAP,0,COLUMN()),6)</f>
        <v/>
      </c>
      <c r="BF1271" s="1586">
        <f>ROUND(1-INDEX(MO_MA_COGS_NONGAAP,0,COLUMN())-INDEX(MO_MA_SM_NONGAAP,0,COLUMN())-INDEX(MO_MA_GA_NONGAAP,0,COLUMN())-INDEX(MO_MA_RD_NONGAAP,0,COLUMN())-INDEX(MO_MA_OperatingIncome_NONGAAP,0,COLUMN()),6)</f>
        <v/>
      </c>
      <c r="BG1271" s="1586">
        <f>ROUND(1-INDEX(MO_MA_COGS_NONGAAP,0,COLUMN())-INDEX(MO_MA_SM_NONGAAP,0,COLUMN())-INDEX(MO_MA_GA_NONGAAP,0,COLUMN())-INDEX(MO_MA_RD_NONGAAP,0,COLUMN())-INDEX(MO_MA_OperatingIncome_NONGAAP,0,COLUMN()),6)</f>
        <v/>
      </c>
      <c r="BH1271" s="1586">
        <f>ROUND(1-INDEX(MO_MA_COGS_NONGAAP,0,COLUMN())-INDEX(MO_MA_SM_NONGAAP,0,COLUMN())-INDEX(MO_MA_GA_NONGAAP,0,COLUMN())-INDEX(MO_MA_RD_NONGAAP,0,COLUMN())-INDEX(MO_MA_OperatingIncome_NONGAAP,0,COLUMN()),6)</f>
        <v/>
      </c>
      <c r="BI1271" s="1586">
        <f>ROUND(1-INDEX(MO_MA_COGS_NONGAAP,0,COLUMN())-INDEX(MO_MA_SM_NONGAAP,0,COLUMN())-INDEX(MO_MA_GA_NONGAAP,0,COLUMN())-INDEX(MO_MA_RD_NONGAAP,0,COLUMN())-INDEX(MO_MA_OperatingIncome_NONGAAP,0,COLUMN()),6)</f>
        <v/>
      </c>
      <c r="BJ1271" s="1586">
        <f>ROUND(1-INDEX(MO_MA_COGS_NONGAAP,0,COLUMN())-INDEX(MO_MA_SM_NONGAAP,0,COLUMN())-INDEX(MO_MA_GA_NONGAAP,0,COLUMN())-INDEX(MO_MA_RD_NONGAAP,0,COLUMN())-INDEX(MO_MA_OperatingIncome_NONGAAP,0,COLUMN()),6)</f>
        <v/>
      </c>
      <c r="BK1271" s="1586">
        <f>ROUND(1-INDEX(MO_MA_COGS_NONGAAP,0,COLUMN())-INDEX(MO_MA_SM_NONGAAP,0,COLUMN())-INDEX(MO_MA_GA_NONGAAP,0,COLUMN())-INDEX(MO_MA_RD_NONGAAP,0,COLUMN())-INDEX(MO_MA_OperatingIncome_NONGAAP,0,COLUMN()),6)</f>
        <v/>
      </c>
      <c r="BL1271" s="1586">
        <f>ROUND(1-INDEX(MO_MA_COGS_NONGAAP,0,COLUMN())-INDEX(MO_MA_SM_NONGAAP,0,COLUMN())-INDEX(MO_MA_GA_NONGAAP,0,COLUMN())-INDEX(MO_MA_RD_NONGAAP,0,COLUMN())-INDEX(MO_MA_OperatingIncome_NONGAAP,0,COLUMN()),6)</f>
        <v/>
      </c>
      <c r="BM1271" s="1586">
        <f>ROUND(1-INDEX(MO_MA_COGS_NONGAAP,0,COLUMN())-INDEX(MO_MA_SM_NONGAAP,0,COLUMN())-INDEX(MO_MA_GA_NONGAAP,0,COLUMN())-INDEX(MO_MA_RD_NONGAAP,0,COLUMN())-INDEX(MO_MA_OperatingIncome_NONGAAP,0,COLUMN()),6)</f>
        <v/>
      </c>
      <c r="BN1271" s="1586">
        <f>ROUND(1-INDEX(MO_MA_COGS_NONGAAP,0,COLUMN())-INDEX(MO_MA_SM_NONGAAP,0,COLUMN())-INDEX(MO_MA_GA_NONGAAP,0,COLUMN())-INDEX(MO_MA_RD_NONGAAP,0,COLUMN())-INDEX(MO_MA_OperatingIncome_NONGAAP,0,COLUMN()),6)</f>
        <v/>
      </c>
      <c r="BO1271" s="1586">
        <f>ROUND(1-INDEX(MO_MA_COGS_NONGAAP,0,COLUMN())-INDEX(MO_MA_SM_NONGAAP,0,COLUMN())-INDEX(MO_MA_GA_NONGAAP,0,COLUMN())-INDEX(MO_MA_RD_NONGAAP,0,COLUMN())-INDEX(MO_MA_OperatingIncome_NONGAAP,0,COLUMN()),6)</f>
        <v/>
      </c>
      <c r="BP1271" s="1586">
        <f>ROUND(1-INDEX(MO_MA_COGS_NONGAAP,0,COLUMN())-INDEX(MO_MA_SM_NONGAAP,0,COLUMN())-INDEX(MO_MA_GA_NONGAAP,0,COLUMN())-INDEX(MO_MA_RD_NONGAAP,0,COLUMN())-INDEX(MO_MA_OperatingIncome_NONGAAP,0,COLUMN()),6)</f>
        <v/>
      </c>
      <c r="BQ1271" s="1587">
        <f>ROUND(1-INDEX(MO_MA_COGS_NONGAAP,0,COLUMN())-INDEX(MO_MA_SM_NONGAAP,0,COLUMN())-INDEX(MO_MA_GA_NONGAAP,0,COLUMN())-INDEX(MO_MA_RD_NONGAAP,0,COLUMN())-INDEX(MO_MA_OperatingIncome_NONGAAP,0,COLUMN()),6)</f>
        <v/>
      </c>
      <c r="BR1271" s="1586">
        <f>ROUND(1-INDEX(MO_MA_COGS_NONGAAP,0,COLUMN())-INDEX(MO_MA_SM_NONGAAP,0,COLUMN())-INDEX(MO_MA_GA_NONGAAP,0,COLUMN())-INDEX(MO_MA_RD_NONGAAP,0,COLUMN())-INDEX(MO_MA_OperatingIncome_NONGAAP,0,COLUMN()),6)</f>
        <v/>
      </c>
      <c r="BS1271" s="1586">
        <f>ROUND(1-INDEX(MO_MA_COGS_NONGAAP,0,COLUMN())-INDEX(MO_MA_SM_NONGAAP,0,COLUMN())-INDEX(MO_MA_GA_NONGAAP,0,COLUMN())-INDEX(MO_MA_RD_NONGAAP,0,COLUMN())-INDEX(MO_MA_OperatingIncome_NONGAAP,0,COLUMN()),6)</f>
        <v/>
      </c>
      <c r="BT1271" s="1586">
        <f>ROUND(1-INDEX(MO_MA_COGS_NONGAAP,0,COLUMN())-INDEX(MO_MA_SM_NONGAAP,0,COLUMN())-INDEX(MO_MA_GA_NONGAAP,0,COLUMN())-INDEX(MO_MA_RD_NONGAAP,0,COLUMN())-INDEX(MO_MA_OperatingIncome_NONGAAP,0,COLUMN()),6)</f>
        <v/>
      </c>
      <c r="BU1271" s="1586">
        <f>ROUND(1-INDEX(MO_MA_COGS_NONGAAP,0,COLUMN())-INDEX(MO_MA_SM_NONGAAP,0,COLUMN())-INDEX(MO_MA_GA_NONGAAP,0,COLUMN())-INDEX(MO_MA_RD_NONGAAP,0,COLUMN())-INDEX(MO_MA_OperatingIncome_NONGAAP,0,COLUMN()),6)</f>
        <v/>
      </c>
      <c r="BV1271" s="1586">
        <f>ROUND(1-INDEX(MO_MA_COGS_NONGAAP,0,COLUMN())-INDEX(MO_MA_SM_NONGAAP,0,COLUMN())-INDEX(MO_MA_GA_NONGAAP,0,COLUMN())-INDEX(MO_MA_RD_NONGAAP,0,COLUMN())-INDEX(MO_MA_OperatingIncome_NONGAAP,0,COLUMN()),6)</f>
        <v/>
      </c>
      <c r="BW1271" s="1586">
        <f>ROUND(1-INDEX(MO_MA_COGS_NONGAAP,0,COLUMN())-INDEX(MO_MA_SM_NONGAAP,0,COLUMN())-INDEX(MO_MA_GA_NONGAAP,0,COLUMN())-INDEX(MO_MA_RD_NONGAAP,0,COLUMN())-INDEX(MO_MA_OperatingIncome_NONGAAP,0,COLUMN()),6)</f>
        <v/>
      </c>
      <c r="BX1271" s="1586">
        <f>ROUND(1-INDEX(MO_MA_COGS_NONGAAP,0,COLUMN())-INDEX(MO_MA_SM_NONGAAP,0,COLUMN())-INDEX(MO_MA_GA_NONGAAP,0,COLUMN())-INDEX(MO_MA_RD_NONGAAP,0,COLUMN())-INDEX(MO_MA_OperatingIncome_NONGAAP,0,COLUMN()),6)</f>
        <v/>
      </c>
      <c r="BY1271" s="1586">
        <f>ROUND(1-INDEX(MO_MA_COGS_NONGAAP,0,COLUMN())-INDEX(MO_MA_SM_NONGAAP,0,COLUMN())-INDEX(MO_MA_GA_NONGAAP,0,COLUMN())-INDEX(MO_MA_RD_NONGAAP,0,COLUMN())-INDEX(MO_MA_OperatingIncome_NONGAAP,0,COLUMN()),6)</f>
        <v/>
      </c>
      <c r="BZ1271" s="1586">
        <f>ROUND(1-INDEX(MO_MA_COGS_NONGAAP,0,COLUMN())-INDEX(MO_MA_SM_NONGAAP,0,COLUMN())-INDEX(MO_MA_GA_NONGAAP,0,COLUMN())-INDEX(MO_MA_RD_NONGAAP,0,COLUMN())-INDEX(MO_MA_OperatingIncome_NONGAAP,0,COLUMN()),6)</f>
        <v/>
      </c>
      <c r="CA1271" s="1586">
        <f>ROUND(1-INDEX(MO_MA_COGS_NONGAAP,0,COLUMN())-INDEX(MO_MA_SM_NONGAAP,0,COLUMN())-INDEX(MO_MA_GA_NONGAAP,0,COLUMN())-INDEX(MO_MA_RD_NONGAAP,0,COLUMN())-INDEX(MO_MA_OperatingIncome_NONGAAP,0,COLUMN()),6)</f>
        <v/>
      </c>
      <c r="CB1271" s="1364" t="n"/>
    </row>
    <row r="1272" ht="14.4" customFormat="1" customHeight="1" s="1359">
      <c r="A1272" s="1364" t="inlineStr">
        <is>
          <t>*Cash Flow Summary Signs are Correct</t>
        </is>
      </c>
      <c r="B1272" s="1553" t="n"/>
      <c r="C1272" s="1586">
        <f>IF(OR(INDEX(MO_CFSum_Acquisition,1,COLUMN())&gt;0,INDEX(MO_CFSum_Divestiture,1,COLUMN())&lt;0,INDEX(MO_CFSum_Capex,1,COLUMN())&gt;0,INDEX(MO_CFSum_Dividend,1,COLUMN())&gt;0),"CHECK",0)</f>
        <v/>
      </c>
      <c r="D1272" s="1586">
        <f>IF(OR(INDEX(MO_CFSum_Acquisition,1,COLUMN())&gt;0,INDEX(MO_CFSum_Divestiture,1,COLUMN())&lt;0,INDEX(MO_CFSum_Capex,1,COLUMN())&gt;0,INDEX(MO_CFSum_Dividend,1,COLUMN())&gt;0),"CHECK",0)</f>
        <v/>
      </c>
      <c r="E1272" s="1586">
        <f>IF(OR(INDEX(MO_CFSum_Acquisition,1,COLUMN())&gt;0,INDEX(MO_CFSum_Divestiture,1,COLUMN())&lt;0,INDEX(MO_CFSum_Capex,1,COLUMN())&gt;0,INDEX(MO_CFSum_Dividend,1,COLUMN())&gt;0),"CHECK",0)</f>
        <v/>
      </c>
      <c r="F1272" s="1586">
        <f>IF(OR(INDEX(MO_CFSum_Acquisition,1,COLUMN())&gt;0,INDEX(MO_CFSum_Divestiture,1,COLUMN())&lt;0,INDEX(MO_CFSum_Capex,1,COLUMN())&gt;0,INDEX(MO_CFSum_Dividend,1,COLUMN())&gt;0),"CHECK",0)</f>
        <v/>
      </c>
      <c r="G1272" s="1586">
        <f>IF(OR(INDEX(MO_CFSum_Acquisition,1,COLUMN())&gt;0,INDEX(MO_CFSum_Divestiture,1,COLUMN())&lt;0,INDEX(MO_CFSum_Capex,1,COLUMN())&gt;0,INDEX(MO_CFSum_Dividend,1,COLUMN())&gt;0),"CHECK",0)</f>
        <v/>
      </c>
      <c r="H1272" s="1586">
        <f>IF(OR(INDEX(MO_CFSum_Acquisition,1,COLUMN())&gt;0,INDEX(MO_CFSum_Divestiture,1,COLUMN())&lt;0,INDEX(MO_CFSum_Capex,1,COLUMN())&gt;0,INDEX(MO_CFSum_Dividend,1,COLUMN())&gt;0),"CHECK",0)</f>
        <v/>
      </c>
      <c r="I1272" s="1586">
        <f>IF(OR(INDEX(MO_CFSum_Acquisition,1,COLUMN())&gt;0,INDEX(MO_CFSum_Divestiture,1,COLUMN())&lt;0,INDEX(MO_CFSum_Capex,1,COLUMN())&gt;0,INDEX(MO_CFSum_Dividend,1,COLUMN())&gt;0),"CHECK",0)</f>
        <v/>
      </c>
      <c r="J1272" s="1586">
        <f>IF(OR(INDEX(MO_CFSum_Acquisition,1,COLUMN())&gt;0,INDEX(MO_CFSum_Divestiture,1,COLUMN())&lt;0,INDEX(MO_CFSum_Capex,1,COLUMN())&gt;0,INDEX(MO_CFSum_Dividend,1,COLUMN())&gt;0),"CHECK",0)</f>
        <v/>
      </c>
      <c r="K1272" s="1586">
        <f>IF(OR(INDEX(MO_CFSum_Acquisition,1,COLUMN())&gt;0,INDEX(MO_CFSum_Divestiture,1,COLUMN())&lt;0,INDEX(MO_CFSum_Capex,1,COLUMN())&gt;0,INDEX(MO_CFSum_Dividend,1,COLUMN())&gt;0),"CHECK",0)</f>
        <v/>
      </c>
      <c r="L1272" s="1586">
        <f>IF(OR(INDEX(MO_CFSum_Acquisition,1,COLUMN())&gt;0,INDEX(MO_CFSum_Divestiture,1,COLUMN())&lt;0,INDEX(MO_CFSum_Capex,1,COLUMN())&gt;0,INDEX(MO_CFSum_Dividend,1,COLUMN())&gt;0),"CHECK",0)</f>
        <v/>
      </c>
      <c r="M1272" s="1586">
        <f>IF(OR(INDEX(MO_CFSum_Acquisition,1,COLUMN())&gt;0,INDEX(MO_CFSum_Divestiture,1,COLUMN())&lt;0,INDEX(MO_CFSum_Capex,1,COLUMN())&gt;0,INDEX(MO_CFSum_Dividend,1,COLUMN())&gt;0),"CHECK",0)</f>
        <v/>
      </c>
      <c r="N1272" s="1586">
        <f>IF(OR(INDEX(MO_CFSum_Acquisition,1,COLUMN())&gt;0,INDEX(MO_CFSum_Divestiture,1,COLUMN())&lt;0,INDEX(MO_CFSum_Capex,1,COLUMN())&gt;0,INDEX(MO_CFSum_Dividend,1,COLUMN())&gt;0),"CHECK",0)</f>
        <v/>
      </c>
      <c r="O1272" s="1586">
        <f>IF(OR(INDEX(MO_CFSum_Acquisition,1,COLUMN())&gt;0,INDEX(MO_CFSum_Divestiture,1,COLUMN())&lt;0,INDEX(MO_CFSum_Capex,1,COLUMN())&gt;0,INDEX(MO_CFSum_Dividend,1,COLUMN())&gt;0),"CHECK",0)</f>
        <v/>
      </c>
      <c r="P1272" s="1586">
        <f>IF(OR(INDEX(MO_CFSum_Acquisition,1,COLUMN())&gt;0,INDEX(MO_CFSum_Divestiture,1,COLUMN())&lt;0,INDEX(MO_CFSum_Capex,1,COLUMN())&gt;0,INDEX(MO_CFSum_Dividend,1,COLUMN())&gt;0),"CHECK",0)</f>
        <v/>
      </c>
      <c r="Q1272" s="1586">
        <f>IF(OR(INDEX(MO_CFSum_Acquisition,1,COLUMN())&gt;0,INDEX(MO_CFSum_Divestiture,1,COLUMN())&lt;0,INDEX(MO_CFSum_Capex,1,COLUMN())&gt;0,INDEX(MO_CFSum_Dividend,1,COLUMN())&gt;0),"CHECK",0)</f>
        <v/>
      </c>
      <c r="R1272" s="1586">
        <f>IF(OR(INDEX(MO_CFSum_Acquisition,1,COLUMN())&gt;0,INDEX(MO_CFSum_Divestiture,1,COLUMN())&lt;0,INDEX(MO_CFSum_Capex,1,COLUMN())&gt;0,INDEX(MO_CFSum_Dividend,1,COLUMN())&gt;0),"CHECK",0)</f>
        <v/>
      </c>
      <c r="S1272" s="1586">
        <f>IF(OR(INDEX(MO_CFSum_Acquisition,1,COLUMN())&gt;0,INDEX(MO_CFSum_Divestiture,1,COLUMN())&lt;0,INDEX(MO_CFSum_Capex,1,COLUMN())&gt;0,INDEX(MO_CFSum_Dividend,1,COLUMN())&gt;0),"CHECK",0)</f>
        <v/>
      </c>
      <c r="T1272" s="1586">
        <f>IF(OR(INDEX(MO_CFSum_Acquisition,1,COLUMN())&gt;0,INDEX(MO_CFSum_Divestiture,1,COLUMN())&lt;0,INDEX(MO_CFSum_Capex,1,COLUMN())&gt;0,INDEX(MO_CFSum_Dividend,1,COLUMN())&gt;0),"CHECK",0)</f>
        <v/>
      </c>
      <c r="U1272" s="1586">
        <f>IF(OR(INDEX(MO_CFSum_Acquisition,1,COLUMN())&gt;0,INDEX(MO_CFSum_Divestiture,1,COLUMN())&lt;0,INDEX(MO_CFSum_Capex,1,COLUMN())&gt;0,INDEX(MO_CFSum_Dividend,1,COLUMN())&gt;0),"CHECK",0)</f>
        <v/>
      </c>
      <c r="V1272" s="1586">
        <f>IF(OR(INDEX(MO_CFSum_Acquisition,1,COLUMN())&gt;0,INDEX(MO_CFSum_Divestiture,1,COLUMN())&lt;0,INDEX(MO_CFSum_Capex,1,COLUMN())&gt;0,INDEX(MO_CFSum_Dividend,1,COLUMN())&gt;0),"CHECK",0)</f>
        <v/>
      </c>
      <c r="W1272" s="1586">
        <f>IF(OR(INDEX(MO_CFSum_Acquisition,1,COLUMN())&gt;0,INDEX(MO_CFSum_Divestiture,1,COLUMN())&lt;0,INDEX(MO_CFSum_Capex,1,COLUMN())&gt;0,INDEX(MO_CFSum_Dividend,1,COLUMN())&gt;0),"CHECK",0)</f>
        <v/>
      </c>
      <c r="X1272" s="1586">
        <f>IF(OR(INDEX(MO_CFSum_Acquisition,1,COLUMN())&gt;0,INDEX(MO_CFSum_Divestiture,1,COLUMN())&lt;0,INDEX(MO_CFSum_Capex,1,COLUMN())&gt;0,INDEX(MO_CFSum_Dividend,1,COLUMN())&gt;0),"CHECK",0)</f>
        <v/>
      </c>
      <c r="Y1272" s="1586">
        <f>IF(OR(INDEX(MO_CFSum_Acquisition,1,COLUMN())&gt;0,INDEX(MO_CFSum_Divestiture,1,COLUMN())&lt;0,INDEX(MO_CFSum_Capex,1,COLUMN())&gt;0,INDEX(MO_CFSum_Dividend,1,COLUMN())&gt;0),"CHECK",0)</f>
        <v/>
      </c>
      <c r="Z1272" s="1586">
        <f>IF(OR(INDEX(MO_CFSum_Acquisition,1,COLUMN())&gt;0,INDEX(MO_CFSum_Divestiture,1,COLUMN())&lt;0,INDEX(MO_CFSum_Capex,1,COLUMN())&gt;0,INDEX(MO_CFSum_Dividend,1,COLUMN())&gt;0),"CHECK",0)</f>
        <v/>
      </c>
      <c r="AA1272" s="1586">
        <f>IF(OR(INDEX(MO_CFSum_Acquisition,1,COLUMN())&gt;0,INDEX(MO_CFSum_Divestiture,1,COLUMN())&lt;0,INDEX(MO_CFSum_Capex,1,COLUMN())&gt;0,INDEX(MO_CFSum_Dividend,1,COLUMN())&gt;0),"CHECK",0)</f>
        <v/>
      </c>
      <c r="AB1272" s="1586">
        <f>IF(OR(INDEX(MO_CFSum_Acquisition,1,COLUMN())&gt;0,INDEX(MO_CFSum_Divestiture,1,COLUMN())&lt;0,INDEX(MO_CFSum_Capex,1,COLUMN())&gt;0,INDEX(MO_CFSum_Dividend,1,COLUMN())&gt;0),"CHECK",0)</f>
        <v/>
      </c>
      <c r="AC1272" s="1586">
        <f>IF(OR(INDEX(MO_CFSum_Acquisition,1,COLUMN())&gt;0,INDEX(MO_CFSum_Divestiture,1,COLUMN())&lt;0,INDEX(MO_CFSum_Capex,1,COLUMN())&gt;0,INDEX(MO_CFSum_Dividend,1,COLUMN())&gt;0),"CHECK",0)</f>
        <v/>
      </c>
      <c r="AD1272" s="1586">
        <f>IF(OR(INDEX(MO_CFSum_Acquisition,1,COLUMN())&gt;0,INDEX(MO_CFSum_Divestiture,1,COLUMN())&lt;0,INDEX(MO_CFSum_Capex,1,COLUMN())&gt;0,INDEX(MO_CFSum_Dividend,1,COLUMN())&gt;0),"CHECK",0)</f>
        <v/>
      </c>
      <c r="AE1272" s="1586">
        <f>IF(OR(INDEX(MO_CFSum_Acquisition,1,COLUMN())&gt;0,INDEX(MO_CFSum_Divestiture,1,COLUMN())&lt;0,INDEX(MO_CFSum_Capex,1,COLUMN())&gt;0,INDEX(MO_CFSum_Dividend,1,COLUMN())&gt;0),"CHECK",0)</f>
        <v/>
      </c>
      <c r="AF1272" s="1586">
        <f>IF(OR(INDEX(MO_CFSum_Acquisition,1,COLUMN())&gt;0,INDEX(MO_CFSum_Divestiture,1,COLUMN())&lt;0,INDEX(MO_CFSum_Capex,1,COLUMN())&gt;0,INDEX(MO_CFSum_Dividend,1,COLUMN())&gt;0),"CHECK",0)</f>
        <v/>
      </c>
      <c r="AG1272" s="1586">
        <f>IF(OR(INDEX(MO_CFSum_Acquisition,1,COLUMN())&gt;0,INDEX(MO_CFSum_Divestiture,1,COLUMN())&lt;0,INDEX(MO_CFSum_Capex,1,COLUMN())&gt;0,INDEX(MO_CFSum_Dividend,1,COLUMN())&gt;0),"CHECK",0)</f>
        <v/>
      </c>
      <c r="AH1272" s="1586">
        <f>IF(OR(INDEX(MO_CFSum_Acquisition,1,COLUMN())&gt;0,INDEX(MO_CFSum_Divestiture,1,COLUMN())&lt;0,INDEX(MO_CFSum_Capex,1,COLUMN())&gt;0,INDEX(MO_CFSum_Dividend,1,COLUMN())&gt;0),"CHECK",0)</f>
        <v/>
      </c>
      <c r="AI1272" s="1586">
        <f>IF(OR(INDEX(MO_CFSum_Acquisition,1,COLUMN())&gt;0,INDEX(MO_CFSum_Divestiture,1,COLUMN())&lt;0,INDEX(MO_CFSum_Capex,1,COLUMN())&gt;0,INDEX(MO_CFSum_Dividend,1,COLUMN())&gt;0),"CHECK",0)</f>
        <v/>
      </c>
      <c r="AJ1272" s="1586">
        <f>IF(OR(INDEX(MO_CFSum_Acquisition,1,COLUMN())&gt;0,INDEX(MO_CFSum_Divestiture,1,COLUMN())&lt;0,INDEX(MO_CFSum_Capex,1,COLUMN())&gt;0,INDEX(MO_CFSum_Dividend,1,COLUMN())&gt;0),"CHECK",0)</f>
        <v/>
      </c>
      <c r="AK1272" s="1586">
        <f>IF(OR(INDEX(MO_CFSum_Acquisition,1,COLUMN())&gt;0,INDEX(MO_CFSum_Divestiture,1,COLUMN())&lt;0,INDEX(MO_CFSum_Capex,1,COLUMN())&gt;0,INDEX(MO_CFSum_Dividend,1,COLUMN())&gt;0),"CHECK",0)</f>
        <v/>
      </c>
      <c r="AL1272" s="1586">
        <f>IF(OR(INDEX(MO_CFSum_Acquisition,1,COLUMN())&gt;0,INDEX(MO_CFSum_Divestiture,1,COLUMN())&lt;0,INDEX(MO_CFSum_Capex,1,COLUMN())&gt;0,INDEX(MO_CFSum_Dividend,1,COLUMN())&gt;0),"CHECK",0)</f>
        <v/>
      </c>
      <c r="AM1272" s="1586">
        <f>IF(OR(INDEX(MO_CFSum_Acquisition,1,COLUMN())&gt;0,INDEX(MO_CFSum_Divestiture,1,COLUMN())&lt;0,INDEX(MO_CFSum_Capex,1,COLUMN())&gt;0,INDEX(MO_CFSum_Dividend,1,COLUMN())&gt;0),"CHECK",0)</f>
        <v/>
      </c>
      <c r="AN1272" s="1586">
        <f>IF(OR(INDEX(MO_CFSum_Acquisition,1,COLUMN())&gt;0,INDEX(MO_CFSum_Divestiture,1,COLUMN())&lt;0,INDEX(MO_CFSum_Capex,1,COLUMN())&gt;0,INDEX(MO_CFSum_Dividend,1,COLUMN())&gt;0),"CHECK",0)</f>
        <v/>
      </c>
      <c r="AO1272" s="1586">
        <f>IF(OR(INDEX(MO_CFSum_Acquisition,1,COLUMN())&gt;0,INDEX(MO_CFSum_Divestiture,1,COLUMN())&lt;0,INDEX(MO_CFSum_Capex,1,COLUMN())&gt;0,INDEX(MO_CFSum_Dividend,1,COLUMN())&gt;0),"CHECK",0)</f>
        <v/>
      </c>
      <c r="AP1272" s="1586">
        <f>IF(OR(INDEX(MO_CFSum_Acquisition,1,COLUMN())&gt;0,INDEX(MO_CFSum_Divestiture,1,COLUMN())&lt;0,INDEX(MO_CFSum_Capex,1,COLUMN())&gt;0,INDEX(MO_CFSum_Dividend,1,COLUMN())&gt;0),"CHECK",0)</f>
        <v/>
      </c>
      <c r="AQ1272" s="1586">
        <f>IF(OR(INDEX(MO_CFSum_Acquisition,1,COLUMN())&gt;0,INDEX(MO_CFSum_Divestiture,1,COLUMN())&lt;0,INDEX(MO_CFSum_Capex,1,COLUMN())&gt;0,INDEX(MO_CFSum_Dividend,1,COLUMN())&gt;0),"CHECK",0)</f>
        <v/>
      </c>
      <c r="AR1272" s="1586">
        <f>IF(OR(INDEX(MO_CFSum_Acquisition,1,COLUMN())&gt;0,INDEX(MO_CFSum_Divestiture,1,COLUMN())&lt;0,INDEX(MO_CFSum_Capex,1,COLUMN())&gt;0,INDEX(MO_CFSum_Dividend,1,COLUMN())&gt;0),"CHECK",0)</f>
        <v/>
      </c>
      <c r="AS1272" s="1586">
        <f>IF(OR(INDEX(MO_CFSum_Acquisition,1,COLUMN())&gt;0,INDEX(MO_CFSum_Divestiture,1,COLUMN())&lt;0,INDEX(MO_CFSum_Capex,1,COLUMN())&gt;0,INDEX(MO_CFSum_Dividend,1,COLUMN())&gt;0),"CHECK",0)</f>
        <v/>
      </c>
      <c r="AT1272" s="1586">
        <f>IF(OR(INDEX(MO_CFSum_Acquisition,1,COLUMN())&gt;0,INDEX(MO_CFSum_Divestiture,1,COLUMN())&lt;0,INDEX(MO_CFSum_Capex,1,COLUMN())&gt;0,INDEX(MO_CFSum_Dividend,1,COLUMN())&gt;0),"CHECK",0)</f>
        <v/>
      </c>
      <c r="AU1272" s="1586">
        <f>IF(OR(INDEX(MO_CFSum_Acquisition,1,COLUMN())&gt;0,INDEX(MO_CFSum_Divestiture,1,COLUMN())&lt;0,INDEX(MO_CFSum_Capex,1,COLUMN())&gt;0,INDEX(MO_CFSum_Dividend,1,COLUMN())&gt;0),"CHECK",0)</f>
        <v/>
      </c>
      <c r="AV1272" s="1586">
        <f>IF(OR(INDEX(MO_CFSum_Acquisition,1,COLUMN())&gt;0,INDEX(MO_CFSum_Divestiture,1,COLUMN())&lt;0,INDEX(MO_CFSum_Capex,1,COLUMN())&gt;0,INDEX(MO_CFSum_Dividend,1,COLUMN())&gt;0),"CHECK",0)</f>
        <v/>
      </c>
      <c r="AW1272" s="1586">
        <f>IF(OR(INDEX(MO_CFSum_Acquisition,1,COLUMN())&gt;0,INDEX(MO_CFSum_Divestiture,1,COLUMN())&lt;0,INDEX(MO_CFSum_Capex,1,COLUMN())&gt;0,INDEX(MO_CFSum_Dividend,1,COLUMN())&gt;0),"CHECK",0)</f>
        <v/>
      </c>
      <c r="AX1272" s="1586">
        <f>IF(OR(INDEX(MO_CFSum_Acquisition,1,COLUMN())&gt;0,INDEX(MO_CFSum_Divestiture,1,COLUMN())&lt;0,INDEX(MO_CFSum_Capex,1,COLUMN())&gt;0,INDEX(MO_CFSum_Dividend,1,COLUMN())&gt;0),"CHECK",0)</f>
        <v/>
      </c>
      <c r="AY1272" s="1586">
        <f>IF(OR(INDEX(MO_CFSum_Acquisition,1,COLUMN())&gt;0,INDEX(MO_CFSum_Divestiture,1,COLUMN())&lt;0,INDEX(MO_CFSum_Capex,1,COLUMN())&gt;0,INDEX(MO_CFSum_Dividend,1,COLUMN())&gt;0),"CHECK",0)</f>
        <v/>
      </c>
      <c r="AZ1272" s="1586">
        <f>IF(OR(INDEX(MO_CFSum_Acquisition,1,COLUMN())&gt;0,INDEX(MO_CFSum_Divestiture,1,COLUMN())&lt;0,INDEX(MO_CFSum_Capex,1,COLUMN())&gt;0,INDEX(MO_CFSum_Dividend,1,COLUMN())&gt;0),"CHECK",0)</f>
        <v/>
      </c>
      <c r="BA1272" s="1586">
        <f>IF(OR(INDEX(MO_CFSum_Acquisition,1,COLUMN())&gt;0,INDEX(MO_CFSum_Divestiture,1,COLUMN())&lt;0,INDEX(MO_CFSum_Capex,1,COLUMN())&gt;0,INDEX(MO_CFSum_Dividend,1,COLUMN())&gt;0),"CHECK",0)</f>
        <v/>
      </c>
      <c r="BB1272" s="1586">
        <f>IF(OR(INDEX(MO_CFSum_Acquisition,1,COLUMN())&gt;0,INDEX(MO_CFSum_Divestiture,1,COLUMN())&lt;0,INDEX(MO_CFSum_Capex,1,COLUMN())&gt;0,INDEX(MO_CFSum_Dividend,1,COLUMN())&gt;0),"CHECK",0)</f>
        <v/>
      </c>
      <c r="BC1272" s="1586">
        <f>IF(OR(INDEX(MO_CFSum_Acquisition,1,COLUMN())&gt;0,INDEX(MO_CFSum_Divestiture,1,COLUMN())&lt;0,INDEX(MO_CFSum_Capex,1,COLUMN())&gt;0,INDEX(MO_CFSum_Dividend,1,COLUMN())&gt;0),"CHECK",0)</f>
        <v/>
      </c>
      <c r="BD1272" s="1586">
        <f>IF(OR(INDEX(MO_CFSum_Acquisition,1,COLUMN())&gt;0,INDEX(MO_CFSum_Divestiture,1,COLUMN())&lt;0,INDEX(MO_CFSum_Capex,1,COLUMN())&gt;0,INDEX(MO_CFSum_Dividend,1,COLUMN())&gt;0),"CHECK",0)</f>
        <v/>
      </c>
      <c r="BE1272" s="1586">
        <f>IF(OR(INDEX(MO_CFSum_Acquisition,1,COLUMN())&gt;0,INDEX(MO_CFSum_Divestiture,1,COLUMN())&lt;0,INDEX(MO_CFSum_Capex,1,COLUMN())&gt;0,INDEX(MO_CFSum_Dividend,1,COLUMN())&gt;0),"CHECK",0)</f>
        <v/>
      </c>
      <c r="BF1272" s="1586">
        <f>IF(OR(INDEX(MO_CFSum_Acquisition,1,COLUMN())&gt;0,INDEX(MO_CFSum_Divestiture,1,COLUMN())&lt;0,INDEX(MO_CFSum_Capex,1,COLUMN())&gt;0,INDEX(MO_CFSum_Dividend,1,COLUMN())&gt;0),"CHECK",0)</f>
        <v/>
      </c>
      <c r="BG1272" s="1586">
        <f>IF(OR(INDEX(MO_CFSum_Acquisition,1,COLUMN())&gt;0,INDEX(MO_CFSum_Divestiture,1,COLUMN())&lt;0,INDEX(MO_CFSum_Capex,1,COLUMN())&gt;0,INDEX(MO_CFSum_Dividend,1,COLUMN())&gt;0),"CHECK",0)</f>
        <v/>
      </c>
      <c r="BH1272" s="1586">
        <f>IF(OR(INDEX(MO_CFSum_Acquisition,1,COLUMN())&gt;0,INDEX(MO_CFSum_Divestiture,1,COLUMN())&lt;0,INDEX(MO_CFSum_Capex,1,COLUMN())&gt;0,INDEX(MO_CFSum_Dividend,1,COLUMN())&gt;0),"CHECK",0)</f>
        <v/>
      </c>
      <c r="BI1272" s="1586">
        <f>IF(OR(INDEX(MO_CFSum_Acquisition,1,COLUMN())&gt;0,INDEX(MO_CFSum_Divestiture,1,COLUMN())&lt;0,INDEX(MO_CFSum_Capex,1,COLUMN())&gt;0,INDEX(MO_CFSum_Dividend,1,COLUMN())&gt;0),"CHECK",0)</f>
        <v/>
      </c>
      <c r="BJ1272" s="1586">
        <f>IF(OR(INDEX(MO_CFSum_Acquisition,1,COLUMN())&gt;0,INDEX(MO_CFSum_Divestiture,1,COLUMN())&lt;0,INDEX(MO_CFSum_Capex,1,COLUMN())&gt;0,INDEX(MO_CFSum_Dividend,1,COLUMN())&gt;0),"CHECK",0)</f>
        <v/>
      </c>
      <c r="BK1272" s="1586">
        <f>IF(OR(INDEX(MO_CFSum_Acquisition,1,COLUMN())&gt;0,INDEX(MO_CFSum_Divestiture,1,COLUMN())&lt;0,INDEX(MO_CFSum_Capex,1,COLUMN())&gt;0,INDEX(MO_CFSum_Dividend,1,COLUMN())&gt;0),"CHECK",0)</f>
        <v/>
      </c>
      <c r="BL1272" s="1586">
        <f>IF(OR(INDEX(MO_CFSum_Acquisition,1,COLUMN())&gt;0,INDEX(MO_CFSum_Divestiture,1,COLUMN())&lt;0,INDEX(MO_CFSum_Capex,1,COLUMN())&gt;0,INDEX(MO_CFSum_Dividend,1,COLUMN())&gt;0),"CHECK",0)</f>
        <v/>
      </c>
      <c r="BM1272" s="1586">
        <f>IF(OR(INDEX(MO_CFSum_Acquisition,1,COLUMN())&gt;0,INDEX(MO_CFSum_Divestiture,1,COLUMN())&lt;0,INDEX(MO_CFSum_Capex,1,COLUMN())&gt;0,INDEX(MO_CFSum_Dividend,1,COLUMN())&gt;0),"CHECK",0)</f>
        <v/>
      </c>
      <c r="BN1272" s="1586">
        <f>IF(OR(INDEX(MO_CFSum_Acquisition,1,COLUMN())&gt;0,INDEX(MO_CFSum_Divestiture,1,COLUMN())&lt;0,INDEX(MO_CFSum_Capex,1,COLUMN())&gt;0,INDEX(MO_CFSum_Dividend,1,COLUMN())&gt;0),"CHECK",0)</f>
        <v/>
      </c>
      <c r="BO1272" s="1586">
        <f>IF(OR(INDEX(MO_CFSum_Acquisition,1,COLUMN())&gt;0,INDEX(MO_CFSum_Divestiture,1,COLUMN())&lt;0,INDEX(MO_CFSum_Capex,1,COLUMN())&gt;0,INDEX(MO_CFSum_Dividend,1,COLUMN())&gt;0),"CHECK",0)</f>
        <v/>
      </c>
      <c r="BP1272" s="1586">
        <f>IF(OR(INDEX(MO_CFSum_Acquisition,1,COLUMN())&gt;0,INDEX(MO_CFSum_Divestiture,1,COLUMN())&lt;0,INDEX(MO_CFSum_Capex,1,COLUMN())&gt;0,INDEX(MO_CFSum_Dividend,1,COLUMN())&gt;0),"CHECK",0)</f>
        <v/>
      </c>
      <c r="BQ1272" s="1587">
        <f>IF(OR(INDEX(MO_CFSum_Acquisition,1,COLUMN())&gt;0,INDEX(MO_CFSum_Divestiture,1,COLUMN())&lt;0,INDEX(MO_CFSum_Capex,1,COLUMN())&gt;0,INDEX(MO_CFSum_Dividend,1,COLUMN())&gt;0),"CHECK",0)</f>
        <v/>
      </c>
      <c r="BR1272" s="1586">
        <f>IF(OR(INDEX(MO_CFSum_Acquisition,1,COLUMN())&gt;0,INDEX(MO_CFSum_Divestiture,1,COLUMN())&lt;0,INDEX(MO_CFSum_Capex,1,COLUMN())&gt;0,INDEX(MO_CFSum_Dividend,1,COLUMN())&gt;0),"CHECK",0)</f>
        <v/>
      </c>
      <c r="BS1272" s="1586">
        <f>IF(OR(INDEX(MO_CFSum_Acquisition,1,COLUMN())&gt;0,INDEX(MO_CFSum_Divestiture,1,COLUMN())&lt;0,INDEX(MO_CFSum_Capex,1,COLUMN())&gt;0,INDEX(MO_CFSum_Dividend,1,COLUMN())&gt;0),"CHECK",0)</f>
        <v/>
      </c>
      <c r="BT1272" s="1586">
        <f>IF(OR(INDEX(MO_CFSum_Acquisition,1,COLUMN())&gt;0,INDEX(MO_CFSum_Divestiture,1,COLUMN())&lt;0,INDEX(MO_CFSum_Capex,1,COLUMN())&gt;0,INDEX(MO_CFSum_Dividend,1,COLUMN())&gt;0),"CHECK",0)</f>
        <v/>
      </c>
      <c r="BU1272" s="1586">
        <f>IF(OR(INDEX(MO_CFSum_Acquisition,1,COLUMN())&gt;0,INDEX(MO_CFSum_Divestiture,1,COLUMN())&lt;0,INDEX(MO_CFSum_Capex,1,COLUMN())&gt;0,INDEX(MO_CFSum_Dividend,1,COLUMN())&gt;0),"CHECK",0)</f>
        <v/>
      </c>
      <c r="BV1272" s="1586">
        <f>IF(OR(INDEX(MO_CFSum_Acquisition,1,COLUMN())&gt;0,INDEX(MO_CFSum_Divestiture,1,COLUMN())&lt;0,INDEX(MO_CFSum_Capex,1,COLUMN())&gt;0,INDEX(MO_CFSum_Dividend,1,COLUMN())&gt;0),"CHECK",0)</f>
        <v/>
      </c>
      <c r="BW1272" s="1586">
        <f>IF(OR(INDEX(MO_CFSum_Acquisition,1,COLUMN())&gt;0,INDEX(MO_CFSum_Divestiture,1,COLUMN())&lt;0,INDEX(MO_CFSum_Capex,1,COLUMN())&gt;0,INDEX(MO_CFSum_Dividend,1,COLUMN())&gt;0),"CHECK",0)</f>
        <v/>
      </c>
      <c r="BX1272" s="1586">
        <f>IF(OR(INDEX(MO_CFSum_Acquisition,1,COLUMN())&gt;0,INDEX(MO_CFSum_Divestiture,1,COLUMN())&lt;0,INDEX(MO_CFSum_Capex,1,COLUMN())&gt;0,INDEX(MO_CFSum_Dividend,1,COLUMN())&gt;0),"CHECK",0)</f>
        <v/>
      </c>
      <c r="BY1272" s="1586">
        <f>IF(OR(INDEX(MO_CFSum_Acquisition,1,COLUMN())&gt;0,INDEX(MO_CFSum_Divestiture,1,COLUMN())&lt;0,INDEX(MO_CFSum_Capex,1,COLUMN())&gt;0,INDEX(MO_CFSum_Dividend,1,COLUMN())&gt;0),"CHECK",0)</f>
        <v/>
      </c>
      <c r="BZ1272" s="1586">
        <f>IF(OR(INDEX(MO_CFSum_Acquisition,1,COLUMN())&gt;0,INDEX(MO_CFSum_Divestiture,1,COLUMN())&lt;0,INDEX(MO_CFSum_Capex,1,COLUMN())&gt;0,INDEX(MO_CFSum_Dividend,1,COLUMN())&gt;0),"CHECK",0)</f>
        <v/>
      </c>
      <c r="CA1272" s="1586">
        <f>IF(OR(INDEX(MO_CFSum_Acquisition,1,COLUMN())&gt;0,INDEX(MO_CFSum_Divestiture,1,COLUMN())&lt;0,INDEX(MO_CFSum_Capex,1,COLUMN())&gt;0,INDEX(MO_CFSum_Dividend,1,COLUMN())&gt;0),"CHECK",0)</f>
        <v/>
      </c>
      <c r="CB1272" s="1364" t="n"/>
    </row>
    <row r="1273" ht="14.4" customFormat="1" customHeight="1" s="1359">
      <c r="A1273" s="1364" t="inlineStr">
        <is>
          <t>*RIS NI FY = Sum of Qs</t>
        </is>
      </c>
      <c r="B1273" s="1553" t="n"/>
      <c r="C1273" s="1586" t="n"/>
      <c r="D1273" s="1586" t="n"/>
      <c r="E1273" s="1586" t="n"/>
      <c r="F1273" s="1586" t="n"/>
      <c r="G1273" s="1586" t="n"/>
      <c r="H1273" s="1586" t="n"/>
      <c r="I1273" s="1586" t="n"/>
      <c r="J1273" s="1586" t="n"/>
      <c r="K1273" s="1586">
        <f>ROUND(K478-SUM(G478,H478,I478,J478),6)</f>
        <v/>
      </c>
      <c r="L1273" s="1586" t="n"/>
      <c r="M1273" s="1586" t="n"/>
      <c r="N1273" s="1586" t="n"/>
      <c r="O1273" s="1586" t="n"/>
      <c r="P1273" s="1586">
        <f>ROUND(P478-SUM(L478,M478,N478,O478),6)</f>
        <v/>
      </c>
      <c r="Q1273" s="1586" t="n"/>
      <c r="R1273" s="1586" t="n"/>
      <c r="S1273" s="1586" t="n"/>
      <c r="T1273" s="1586" t="n"/>
      <c r="U1273" s="1586">
        <f>ROUND(U478-SUM(Q478,R478,S478,T478),6)</f>
        <v/>
      </c>
      <c r="V1273" s="1586" t="n"/>
      <c r="W1273" s="1586" t="n"/>
      <c r="X1273" s="1586" t="n"/>
      <c r="Y1273" s="1586" t="n"/>
      <c r="Z1273" s="1586">
        <f>ROUND(Z478-SUM(V478,W478,X478,Y478),6)</f>
        <v/>
      </c>
      <c r="AA1273" s="1586" t="n"/>
      <c r="AB1273" s="1586" t="n"/>
      <c r="AC1273" s="1586" t="n"/>
      <c r="AD1273" s="1586" t="n"/>
      <c r="AE1273" s="1586">
        <f>ROUND(AE478-SUM(AA478,AB478,AC478,AD478),6)</f>
        <v/>
      </c>
      <c r="AF1273" s="1586" t="n"/>
      <c r="AG1273" s="1586" t="n"/>
      <c r="AH1273" s="1586" t="n"/>
      <c r="AI1273" s="1586" t="n"/>
      <c r="AJ1273" s="1586">
        <f>ROUND(AJ478-SUM(AF478,AG478,AH478,AI478),6)</f>
        <v/>
      </c>
      <c r="AK1273" s="1586" t="n"/>
      <c r="AL1273" s="1586" t="n"/>
      <c r="AM1273" s="1586" t="n"/>
      <c r="AN1273" s="1586" t="n"/>
      <c r="AO1273" s="1586">
        <f>ROUND(AO478-SUM(AK478,AL478,AM478,AN478),6)</f>
        <v/>
      </c>
      <c r="AP1273" s="1586" t="n"/>
      <c r="AQ1273" s="1586" t="n"/>
      <c r="AR1273" s="1586" t="n"/>
      <c r="AS1273" s="1586" t="n"/>
      <c r="AT1273" s="1586">
        <f>ROUND(AT478-SUM(AP478,AQ478,AR478,AS478),6)</f>
        <v/>
      </c>
      <c r="AU1273" s="1586" t="n"/>
      <c r="AV1273" s="1586" t="n"/>
      <c r="AW1273" s="1586" t="n"/>
      <c r="AX1273" s="1586" t="n"/>
      <c r="AY1273" s="1586">
        <f>ROUND(AY478-SUM(AU478,AV478,AW478,AX478),6)</f>
        <v/>
      </c>
      <c r="AZ1273" s="1586" t="n"/>
      <c r="BA1273" s="1586" t="n"/>
      <c r="BB1273" s="1586" t="n"/>
      <c r="BC1273" s="1586" t="n"/>
      <c r="BD1273" s="1586">
        <f>ROUND(BD478-SUM(AZ478,BA478,BB478,BC478),6)</f>
        <v/>
      </c>
      <c r="BE1273" s="1586" t="n"/>
      <c r="BF1273" s="1586" t="n"/>
      <c r="BG1273" s="1586" t="n"/>
      <c r="BH1273" s="1586" t="n"/>
      <c r="BI1273" s="1586">
        <f>ROUND(BI478-SUM(BE478,BF478,BG478,BH478),6)</f>
        <v/>
      </c>
      <c r="BJ1273" s="1586" t="n"/>
      <c r="BK1273" s="1586" t="n"/>
      <c r="BL1273" s="1586" t="n"/>
      <c r="BM1273" s="1586" t="n"/>
      <c r="BN1273" s="1586">
        <f>ROUND(BN478-SUM(BJ478,BK478,BL478,BM478),6)</f>
        <v/>
      </c>
      <c r="BO1273" s="1586" t="n"/>
      <c r="BP1273" s="1586" t="n"/>
      <c r="BQ1273" s="1587" t="n"/>
      <c r="BR1273" s="1586" t="n"/>
      <c r="BS1273" s="1586">
        <f>ROUND(BS478-SUM(BO478,BP478,BQ478,BR478),6)</f>
        <v/>
      </c>
      <c r="BT1273" s="1586" t="n"/>
      <c r="BU1273" s="1586" t="n"/>
      <c r="BV1273" s="1586" t="n"/>
      <c r="BW1273" s="1586" t="n"/>
      <c r="BX1273" s="1586">
        <f>ROUND(BX478-SUM(BT478,BU478,BV478,BW478),6)</f>
        <v/>
      </c>
      <c r="BY1273" s="1586" t="n"/>
      <c r="BZ1273" s="1586" t="n"/>
      <c r="CA1273" s="1586" t="n"/>
      <c r="CB1273" s="1364" t="n"/>
    </row>
    <row r="1274" ht="14.4" customFormat="1" customHeight="1" s="1359">
      <c r="A1274" s="1364" t="inlineStr">
        <is>
          <t>*RIS Adjusted NI FY = Sum of Qs</t>
        </is>
      </c>
      <c r="B1274" s="1553" t="n"/>
      <c r="C1274" s="1586" t="n"/>
      <c r="D1274" s="1586" t="n"/>
      <c r="E1274" s="1586" t="n"/>
      <c r="F1274" s="1586" t="n"/>
      <c r="G1274" s="1586" t="n"/>
      <c r="H1274" s="1586" t="n"/>
      <c r="I1274" s="1586" t="n"/>
      <c r="J1274" s="1586" t="n"/>
      <c r="K1274" s="1586">
        <f>ROUND(SUM(G498,H498,I498,J498)-INDEX(MO_RIS_NI_NONGAAP_Diluted,1,COLUMN()),6)</f>
        <v/>
      </c>
      <c r="L1274" s="1586" t="n"/>
      <c r="M1274" s="1586" t="n"/>
      <c r="N1274" s="1586" t="n"/>
      <c r="O1274" s="1586" t="n"/>
      <c r="P1274" s="1586">
        <f>ROUND(SUM(L498,M498,N498,O498)-INDEX(MO_RIS_NI_NONGAAP_Diluted,1,COLUMN()),6)</f>
        <v/>
      </c>
      <c r="Q1274" s="1586" t="n"/>
      <c r="R1274" s="1586" t="n"/>
      <c r="S1274" s="1586" t="n"/>
      <c r="T1274" s="1586" t="n"/>
      <c r="U1274" s="1586">
        <f>ROUND(SUM(Q498,R498,S498,T498)-INDEX(MO_RIS_NI_NONGAAP_Diluted,1,COLUMN()),6)</f>
        <v/>
      </c>
      <c r="V1274" s="1586" t="n"/>
      <c r="W1274" s="1586" t="n"/>
      <c r="X1274" s="1586" t="n"/>
      <c r="Y1274" s="1586" t="n"/>
      <c r="Z1274" s="1586">
        <f>ROUND(SUM(V498,W498,X498,Y498)-INDEX(MO_RIS_NI_NONGAAP_Diluted,1,COLUMN()),6)</f>
        <v/>
      </c>
      <c r="AA1274" s="1586" t="n"/>
      <c r="AB1274" s="1586" t="n"/>
      <c r="AC1274" s="1586" t="n"/>
      <c r="AD1274" s="1586" t="n"/>
      <c r="AE1274" s="1586">
        <f>ROUND(SUM(AA498,AB498,AC498,AD498)-INDEX(MO_RIS_NI_NONGAAP_Diluted,1,COLUMN()),6)</f>
        <v/>
      </c>
      <c r="AF1274" s="1586" t="n"/>
      <c r="AG1274" s="1586" t="n"/>
      <c r="AH1274" s="1586" t="n"/>
      <c r="AI1274" s="1586" t="n"/>
      <c r="AJ1274" s="1586">
        <f>ROUND(SUM(AF498,AG498,AH498,AI498)-INDEX(MO_RIS_NI_NONGAAP_Diluted,1,COLUMN()),6)</f>
        <v/>
      </c>
      <c r="AK1274" s="1586" t="n"/>
      <c r="AL1274" s="1586" t="n"/>
      <c r="AM1274" s="1586" t="n"/>
      <c r="AN1274" s="1586" t="n"/>
      <c r="AO1274" s="1586">
        <f>ROUND(SUM(AK498,AL498,AM498,AN498)-INDEX(MO_RIS_NI_NONGAAP_Diluted,1,COLUMN()),6)</f>
        <v/>
      </c>
      <c r="AP1274" s="1586" t="n"/>
      <c r="AQ1274" s="1586" t="n"/>
      <c r="AR1274" s="1586" t="n"/>
      <c r="AS1274" s="1586" t="n"/>
      <c r="AT1274" s="1586">
        <f>ROUND(SUM(AP498,AQ498,AR498,AS498)-INDEX(MO_RIS_NI_NONGAAP_Diluted,1,COLUMN()),6)</f>
        <v/>
      </c>
      <c r="AU1274" s="1586" t="n"/>
      <c r="AV1274" s="1586" t="n"/>
      <c r="AW1274" s="1586" t="n"/>
      <c r="AX1274" s="1586" t="n"/>
      <c r="AY1274" s="1586">
        <f>ROUND(SUM(AU498,AV498,AW498,AX498)-INDEX(MO_RIS_NI_NONGAAP_Diluted,1,COLUMN()),6)</f>
        <v/>
      </c>
      <c r="AZ1274" s="1586" t="n"/>
      <c r="BA1274" s="1586" t="n"/>
      <c r="BB1274" s="1586" t="n"/>
      <c r="BC1274" s="1586" t="n"/>
      <c r="BD1274" s="1586">
        <f>ROUND(SUM(AZ498,BA498,BB498,BC498)-INDEX(MO_RIS_NI_NONGAAP_Diluted,1,COLUMN()),6)</f>
        <v/>
      </c>
      <c r="BE1274" s="1586" t="n"/>
      <c r="BF1274" s="1586" t="n"/>
      <c r="BG1274" s="1586" t="n"/>
      <c r="BH1274" s="1586" t="n"/>
      <c r="BI1274" s="1586">
        <f>ROUND(SUM(BE498,BF498,BG498,BH498)-INDEX(MO_RIS_NI_NONGAAP_Diluted,1,COLUMN()),6)</f>
        <v/>
      </c>
      <c r="BJ1274" s="1586" t="n"/>
      <c r="BK1274" s="1586" t="n"/>
      <c r="BL1274" s="1586" t="n"/>
      <c r="BM1274" s="1586" t="n"/>
      <c r="BN1274" s="1586">
        <f>ROUND(SUM(BJ498,BK498,BL498,BM498)-INDEX(MO_RIS_NI_NONGAAP_Diluted,1,COLUMN()),6)</f>
        <v/>
      </c>
      <c r="BO1274" s="1586" t="n"/>
      <c r="BP1274" s="1586" t="n"/>
      <c r="BQ1274" s="1587" t="n"/>
      <c r="BR1274" s="1586" t="n"/>
      <c r="BS1274" s="1586">
        <f>ROUND(SUM(BO498,BP498,BQ498,BR498)-INDEX(MO_RIS_NI_NONGAAP_Diluted,1,COLUMN()),6)</f>
        <v/>
      </c>
      <c r="BT1274" s="1586" t="n"/>
      <c r="BU1274" s="1586" t="n"/>
      <c r="BV1274" s="1586" t="n"/>
      <c r="BW1274" s="1586" t="n"/>
      <c r="BX1274" s="1586">
        <f>ROUND(SUM(BT498,BU498,BV498,BW498)-INDEX(MO_RIS_NI_NONGAAP_Diluted,1,COLUMN()),6)</f>
        <v/>
      </c>
      <c r="BY1274" s="1586" t="n"/>
      <c r="BZ1274" s="1586" t="n"/>
      <c r="CA1274" s="1586" t="n"/>
      <c r="CB1274" s="1364" t="n"/>
    </row>
    <row r="1275" ht="14.4" customFormat="1" customHeight="1" s="1359">
      <c r="A1275" s="1364" t="inlineStr">
        <is>
          <t>*CFO Before WC subtotal FY = Sum of Qs</t>
        </is>
      </c>
      <c r="B1275" s="1553" t="n"/>
      <c r="C1275" s="1586" t="n"/>
      <c r="D1275" s="1586" t="n"/>
      <c r="E1275" s="1586" t="n"/>
      <c r="F1275" s="1586" t="n"/>
      <c r="G1275" s="1586" t="n"/>
      <c r="H1275" s="1586" t="n"/>
      <c r="I1275" s="1586" t="n"/>
      <c r="J1275" s="1586" t="n"/>
      <c r="K1275" s="1586">
        <f>ROUND(SUM(G1101,H1101,I1101,J1101)-SUM(OFFSET(INDEX(MO_CFS_CFO_BeforeWC,1,COLUMN()),ROW(INDEX(MO_SubSection_CFS_CFO,1,COLUMN()))-ROW(INDEX(MO_CFS_CFO_BeforeWC,1,COLUMN())),0,ROW(INDEX(MO_CFS_CFO_BeforeWC,1,COLUMN()))-ROW(INDEX(MO_SubSection_CFS_CFO,1,COLUMN())),1)),6)</f>
        <v/>
      </c>
      <c r="L1275" s="1586" t="n"/>
      <c r="M1275" s="1586" t="n"/>
      <c r="N1275" s="1586" t="n"/>
      <c r="O1275" s="1586" t="n"/>
      <c r="P1275" s="1586">
        <f>ROUND(SUM(L1101,M1101,N1101,O1101)-SUM(OFFSET(INDEX(MO_CFS_CFO_BeforeWC,1,COLUMN()),ROW(INDEX(MO_SubSection_CFS_CFO,1,COLUMN()))-ROW(INDEX(MO_CFS_CFO_BeforeWC,1,COLUMN())),0,ROW(INDEX(MO_CFS_CFO_BeforeWC,1,COLUMN()))-ROW(INDEX(MO_SubSection_CFS_CFO,1,COLUMN())),1)),6)</f>
        <v/>
      </c>
      <c r="Q1275" s="1586" t="n"/>
      <c r="R1275" s="1586" t="n"/>
      <c r="S1275" s="1586" t="n"/>
      <c r="T1275" s="1586" t="n"/>
      <c r="U1275" s="1586">
        <f>ROUND(SUM(Q1101,R1101,S1101,T1101)-SUM(OFFSET(INDEX(MO_CFS_CFO_BeforeWC,1,COLUMN()),ROW(INDEX(MO_SubSection_CFS_CFO,1,COLUMN()))-ROW(INDEX(MO_CFS_CFO_BeforeWC,1,COLUMN())),0,ROW(INDEX(MO_CFS_CFO_BeforeWC,1,COLUMN()))-ROW(INDEX(MO_SubSection_CFS_CFO,1,COLUMN())),1)),6)</f>
        <v/>
      </c>
      <c r="V1275" s="1586" t="n"/>
      <c r="W1275" s="1586" t="n"/>
      <c r="X1275" s="1586" t="n"/>
      <c r="Y1275" s="1586" t="n"/>
      <c r="Z1275" s="1586">
        <f>ROUND(SUM(V1101,W1101,X1101,Y1101)-SUM(OFFSET(INDEX(MO_CFS_CFO_BeforeWC,1,COLUMN()),ROW(INDEX(MO_SubSection_CFS_CFO,1,COLUMN()))-ROW(INDEX(MO_CFS_CFO_BeforeWC,1,COLUMN())),0,ROW(INDEX(MO_CFS_CFO_BeforeWC,1,COLUMN()))-ROW(INDEX(MO_SubSection_CFS_CFO,1,COLUMN())),1)),6)</f>
        <v/>
      </c>
      <c r="AA1275" s="1586" t="n"/>
      <c r="AB1275" s="1586" t="n"/>
      <c r="AC1275" s="1586" t="n"/>
      <c r="AD1275" s="1586" t="n"/>
      <c r="AE1275" s="1586">
        <f>ROUND(SUM(AA1101,AB1101,AC1101,AD1101)-SUM(OFFSET(INDEX(MO_CFS_CFO_BeforeWC,1,COLUMN()),ROW(INDEX(MO_SubSection_CFS_CFO,1,COLUMN()))-ROW(INDEX(MO_CFS_CFO_BeforeWC,1,COLUMN())),0,ROW(INDEX(MO_CFS_CFO_BeforeWC,1,COLUMN()))-ROW(INDEX(MO_SubSection_CFS_CFO,1,COLUMN())),1)),6)</f>
        <v/>
      </c>
      <c r="AF1275" s="1586" t="n"/>
      <c r="AG1275" s="1586" t="n"/>
      <c r="AH1275" s="1586" t="n"/>
      <c r="AI1275" s="1586" t="n"/>
      <c r="AJ1275" s="1586">
        <f>ROUND(SUM(AF1101,AG1101,AH1101,AI1101)-SUM(OFFSET(INDEX(MO_CFS_CFO_BeforeWC,1,COLUMN()),ROW(INDEX(MO_SubSection_CFS_CFO,1,COLUMN()))-ROW(INDEX(MO_CFS_CFO_BeforeWC,1,COLUMN())),0,ROW(INDEX(MO_CFS_CFO_BeforeWC,1,COLUMN()))-ROW(INDEX(MO_SubSection_CFS_CFO,1,COLUMN())),1)),6)</f>
        <v/>
      </c>
      <c r="AK1275" s="1586" t="n"/>
      <c r="AL1275" s="1586" t="n"/>
      <c r="AM1275" s="1586" t="n"/>
      <c r="AN1275" s="1586" t="n"/>
      <c r="AO1275" s="1586">
        <f>ROUND(SUM(AK1101,AL1101,AM1101,AN1101)-SUM(OFFSET(INDEX(MO_CFS_CFO_BeforeWC,1,COLUMN()),ROW(INDEX(MO_SubSection_CFS_CFO,1,COLUMN()))-ROW(INDEX(MO_CFS_CFO_BeforeWC,1,COLUMN())),0,ROW(INDEX(MO_CFS_CFO_BeforeWC,1,COLUMN()))-ROW(INDEX(MO_SubSection_CFS_CFO,1,COLUMN())),1)),6)</f>
        <v/>
      </c>
      <c r="AP1275" s="1586" t="n"/>
      <c r="AQ1275" s="1586" t="n"/>
      <c r="AR1275" s="1586" t="n"/>
      <c r="AS1275" s="1586" t="n"/>
      <c r="AT1275" s="1586">
        <f>ROUND(SUM(AP1101,AQ1101,AR1101,AS1101)-SUM(OFFSET(INDEX(MO_CFS_CFO_BeforeWC,1,COLUMN()),ROW(INDEX(MO_SubSection_CFS_CFO,1,COLUMN()))-ROW(INDEX(MO_CFS_CFO_BeforeWC,1,COLUMN())),0,ROW(INDEX(MO_CFS_CFO_BeforeWC,1,COLUMN()))-ROW(INDEX(MO_SubSection_CFS_CFO,1,COLUMN())),1)),6)</f>
        <v/>
      </c>
      <c r="AU1275" s="1586" t="n"/>
      <c r="AV1275" s="1586" t="n"/>
      <c r="AW1275" s="1586" t="n"/>
      <c r="AX1275" s="1586" t="n"/>
      <c r="AY1275" s="1586">
        <f>ROUND(SUM(AU1101,AV1101,AW1101,AX1101)-SUM(OFFSET(INDEX(MO_CFS_CFO_BeforeWC,1,COLUMN()),ROW(INDEX(MO_SubSection_CFS_CFO,1,COLUMN()))-ROW(INDEX(MO_CFS_CFO_BeforeWC,1,COLUMN())),0,ROW(INDEX(MO_CFS_CFO_BeforeWC,1,COLUMN()))-ROW(INDEX(MO_SubSection_CFS_CFO,1,COLUMN())),1)),6)</f>
        <v/>
      </c>
      <c r="AZ1275" s="1586" t="n"/>
      <c r="BA1275" s="1586" t="n"/>
      <c r="BB1275" s="1586" t="n"/>
      <c r="BC1275" s="1586" t="n"/>
      <c r="BD1275" s="1586">
        <f>ROUND(SUM(AZ1101,BA1101,BB1101,BC1101)-SUM(OFFSET(INDEX(MO_CFS_CFO_BeforeWC,1,COLUMN()),ROW(INDEX(MO_SubSection_CFS_CFO,1,COLUMN()))-ROW(INDEX(MO_CFS_CFO_BeforeWC,1,COLUMN())),0,ROW(INDEX(MO_CFS_CFO_BeforeWC,1,COLUMN()))-ROW(INDEX(MO_SubSection_CFS_CFO,1,COLUMN())),1)),6)</f>
        <v/>
      </c>
      <c r="BE1275" s="1586" t="n"/>
      <c r="BF1275" s="1586" t="n"/>
      <c r="BG1275" s="1586" t="n"/>
      <c r="BH1275" s="1586" t="n"/>
      <c r="BI1275" s="1586">
        <f>ROUND(SUM(BE1101,BF1101,BG1101,BH1101)-SUM(OFFSET(INDEX(MO_CFS_CFO_BeforeWC,1,COLUMN()),ROW(INDEX(MO_SubSection_CFS_CFO,1,COLUMN()))-ROW(INDEX(MO_CFS_CFO_BeforeWC,1,COLUMN())),0,ROW(INDEX(MO_CFS_CFO_BeforeWC,1,COLUMN()))-ROW(INDEX(MO_SubSection_CFS_CFO,1,COLUMN())),1)),6)</f>
        <v/>
      </c>
      <c r="BJ1275" s="1586" t="n"/>
      <c r="BK1275" s="1586" t="n"/>
      <c r="BL1275" s="1586" t="n"/>
      <c r="BM1275" s="1586" t="n"/>
      <c r="BN1275" s="1586">
        <f>ROUND(SUM(BJ1101,BK1101,BL1101,BM1101)-SUM(OFFSET(INDEX(MO_CFS_CFO_BeforeWC,1,COLUMN()),ROW(INDEX(MO_SubSection_CFS_CFO,1,COLUMN()))-ROW(INDEX(MO_CFS_CFO_BeforeWC,1,COLUMN())),0,ROW(INDEX(MO_CFS_CFO_BeforeWC,1,COLUMN()))-ROW(INDEX(MO_SubSection_CFS_CFO,1,COLUMN())),1)),6)</f>
        <v/>
      </c>
      <c r="BO1275" s="1586" t="n"/>
      <c r="BP1275" s="1586" t="n"/>
      <c r="BQ1275" s="1587" t="n"/>
      <c r="BR1275" s="1586" t="n"/>
      <c r="BS1275" s="1586">
        <f>ROUND(SUM(BO1101,BP1101,BQ1101,BR1101)-SUM(OFFSET(INDEX(MO_CFS_CFO_BeforeWC,1,COLUMN()),ROW(INDEX(MO_SubSection_CFS_CFO,1,COLUMN()))-ROW(INDEX(MO_CFS_CFO_BeforeWC,1,COLUMN())),0,ROW(INDEX(MO_CFS_CFO_BeforeWC,1,COLUMN()))-ROW(INDEX(MO_SubSection_CFS_CFO,1,COLUMN())),1)),6)</f>
        <v/>
      </c>
      <c r="BT1275" s="1586" t="n"/>
      <c r="BU1275" s="1586" t="n"/>
      <c r="BV1275" s="1586" t="n"/>
      <c r="BW1275" s="1586" t="n"/>
      <c r="BX1275" s="1586">
        <f>ROUND(SUM(BT1101,BU1101,BV1101,BW1101)-SUM(OFFSET(INDEX(MO_CFS_CFO_BeforeWC,1,COLUMN()),ROW(INDEX(MO_SubSection_CFS_CFO,1,COLUMN()))-ROW(INDEX(MO_CFS_CFO_BeforeWC,1,COLUMN())),0,ROW(INDEX(MO_CFS_CFO_BeforeWC,1,COLUMN()))-ROW(INDEX(MO_SubSection_CFS_CFO,1,COLUMN())),1)),6)</f>
        <v/>
      </c>
      <c r="BY1275" s="1586" t="n"/>
      <c r="BZ1275" s="1586" t="n"/>
      <c r="CA1275" s="1586" t="n"/>
      <c r="CB1275" s="1364" t="n"/>
    </row>
    <row r="1276" ht="14.4" customFormat="1" customHeight="1" s="1359">
      <c r="A1276" s="1364" t="inlineStr">
        <is>
          <t>*CFO subtotal FY = Sum of Qs</t>
        </is>
      </c>
      <c r="B1276" s="1553" t="n"/>
      <c r="C1276" s="1586" t="n"/>
      <c r="D1276" s="1586" t="n"/>
      <c r="E1276" s="1586" t="n"/>
      <c r="F1276" s="1586" t="n"/>
      <c r="G1276" s="1586" t="n"/>
      <c r="H1276" s="1586" t="n"/>
      <c r="I1276" s="1586" t="n"/>
      <c r="J1276" s="1586" t="n"/>
      <c r="K1276" s="1586">
        <f>ROUND(SUM(G1110,H1110,I1110,J1110)-SUM(OFFSET(INDEX(MO_CFS_CFO,1,COLUMN()),ROW(INDEX(MO_CFS_CFO_BeforeWC,1,COLUMN()))-ROW(INDEX(MO_CFS_CFO,1,COLUMN())),0,ROW(INDEX(MO_CFS_CFO,1,COLUMN()))-ROW(INDEX(MO_CFS_CFO_BeforeWC,1,COLUMN())),1)),6)</f>
        <v/>
      </c>
      <c r="L1276" s="1586" t="n"/>
      <c r="M1276" s="1586" t="n"/>
      <c r="N1276" s="1586" t="n"/>
      <c r="O1276" s="1586" t="n"/>
      <c r="P1276" s="1586">
        <f>ROUND(SUM(L1110,M1110,N1110,O1110)-SUM(OFFSET(INDEX(MO_CFS_CFO,1,COLUMN()),ROW(INDEX(MO_CFS_CFO_BeforeWC,1,COLUMN()))-ROW(INDEX(MO_CFS_CFO,1,COLUMN())),0,ROW(INDEX(MO_CFS_CFO,1,COLUMN()))-ROW(INDEX(MO_CFS_CFO_BeforeWC,1,COLUMN())),1)),6)</f>
        <v/>
      </c>
      <c r="Q1276" s="1586" t="n"/>
      <c r="R1276" s="1586" t="n"/>
      <c r="S1276" s="1586" t="n"/>
      <c r="T1276" s="1586" t="n"/>
      <c r="U1276" s="1586">
        <f>ROUND(SUM(Q1110,R1110,S1110,T1110)-SUM(OFFSET(INDEX(MO_CFS_CFO,1,COLUMN()),ROW(INDEX(MO_CFS_CFO_BeforeWC,1,COLUMN()))-ROW(INDEX(MO_CFS_CFO,1,COLUMN())),0,ROW(INDEX(MO_CFS_CFO,1,COLUMN()))-ROW(INDEX(MO_CFS_CFO_BeforeWC,1,COLUMN())),1)),6)</f>
        <v/>
      </c>
      <c r="V1276" s="1586" t="n"/>
      <c r="W1276" s="1586" t="n"/>
      <c r="X1276" s="1586" t="n"/>
      <c r="Y1276" s="1586" t="n"/>
      <c r="Z1276" s="1586">
        <f>ROUND(SUM(V1110,W1110,X1110,Y1110)-SUM(OFFSET(INDEX(MO_CFS_CFO,1,COLUMN()),ROW(INDEX(MO_CFS_CFO_BeforeWC,1,COLUMN()))-ROW(INDEX(MO_CFS_CFO,1,COLUMN())),0,ROW(INDEX(MO_CFS_CFO,1,COLUMN()))-ROW(INDEX(MO_CFS_CFO_BeforeWC,1,COLUMN())),1)),6)</f>
        <v/>
      </c>
      <c r="AA1276" s="1586" t="n"/>
      <c r="AB1276" s="1586" t="n"/>
      <c r="AC1276" s="1586" t="n"/>
      <c r="AD1276" s="1586" t="n"/>
      <c r="AE1276" s="1586">
        <f>ROUND(SUM(AA1110,AB1110,AC1110,AD1110)-SUM(OFFSET(INDEX(MO_CFS_CFO,1,COLUMN()),ROW(INDEX(MO_CFS_CFO_BeforeWC,1,COLUMN()))-ROW(INDEX(MO_CFS_CFO,1,COLUMN())),0,ROW(INDEX(MO_CFS_CFO,1,COLUMN()))-ROW(INDEX(MO_CFS_CFO_BeforeWC,1,COLUMN())),1)),6)</f>
        <v/>
      </c>
      <c r="AF1276" s="1586" t="n"/>
      <c r="AG1276" s="1586" t="n"/>
      <c r="AH1276" s="1586" t="n"/>
      <c r="AI1276" s="1586" t="n"/>
      <c r="AJ1276" s="1586">
        <f>ROUND(SUM(AF1110,AG1110,AH1110,AI1110)-SUM(OFFSET(INDEX(MO_CFS_CFO,1,COLUMN()),ROW(INDEX(MO_CFS_CFO_BeforeWC,1,COLUMN()))-ROW(INDEX(MO_CFS_CFO,1,COLUMN())),0,ROW(INDEX(MO_CFS_CFO,1,COLUMN()))-ROW(INDEX(MO_CFS_CFO_BeforeWC,1,COLUMN())),1)),6)</f>
        <v/>
      </c>
      <c r="AK1276" s="1586" t="n"/>
      <c r="AL1276" s="1586" t="n"/>
      <c r="AM1276" s="1586" t="n"/>
      <c r="AN1276" s="1586" t="n"/>
      <c r="AO1276" s="1586">
        <f>ROUND(SUM(AK1110,AL1110,AM1110,AN1110)-SUM(OFFSET(INDEX(MO_CFS_CFO,1,COLUMN()),ROW(INDEX(MO_CFS_CFO_BeforeWC,1,COLUMN()))-ROW(INDEX(MO_CFS_CFO,1,COLUMN())),0,ROW(INDEX(MO_CFS_CFO,1,COLUMN()))-ROW(INDEX(MO_CFS_CFO_BeforeWC,1,COLUMN())),1)),6)</f>
        <v/>
      </c>
      <c r="AP1276" s="1586" t="n"/>
      <c r="AQ1276" s="1586" t="n"/>
      <c r="AR1276" s="1586" t="n"/>
      <c r="AS1276" s="1586" t="n"/>
      <c r="AT1276" s="1586">
        <f>ROUND(SUM(AP1110,AQ1110,AR1110,AS1110)-SUM(OFFSET(INDEX(MO_CFS_CFO,1,COLUMN()),ROW(INDEX(MO_CFS_CFO_BeforeWC,1,COLUMN()))-ROW(INDEX(MO_CFS_CFO,1,COLUMN())),0,ROW(INDEX(MO_CFS_CFO,1,COLUMN()))-ROW(INDEX(MO_CFS_CFO_BeforeWC,1,COLUMN())),1)),6)</f>
        <v/>
      </c>
      <c r="AU1276" s="1586" t="n"/>
      <c r="AV1276" s="1586" t="n"/>
      <c r="AW1276" s="1586" t="n"/>
      <c r="AX1276" s="1586" t="n"/>
      <c r="AY1276" s="1586">
        <f>ROUND(SUM(AU1110,AV1110,AW1110,AX1110)-SUM(OFFSET(INDEX(MO_CFS_CFO,1,COLUMN()),ROW(INDEX(MO_CFS_CFO_BeforeWC,1,COLUMN()))-ROW(INDEX(MO_CFS_CFO,1,COLUMN())),0,ROW(INDEX(MO_CFS_CFO,1,COLUMN()))-ROW(INDEX(MO_CFS_CFO_BeforeWC,1,COLUMN())),1)),6)</f>
        <v/>
      </c>
      <c r="AZ1276" s="1586" t="n"/>
      <c r="BA1276" s="1586" t="n"/>
      <c r="BB1276" s="1586" t="n"/>
      <c r="BC1276" s="1586" t="n"/>
      <c r="BD1276" s="1586">
        <f>ROUND(SUM(AZ1110,BA1110,BB1110,BC1110)-SUM(OFFSET(INDEX(MO_CFS_CFO,1,COLUMN()),ROW(INDEX(MO_CFS_CFO_BeforeWC,1,COLUMN()))-ROW(INDEX(MO_CFS_CFO,1,COLUMN())),0,ROW(INDEX(MO_CFS_CFO,1,COLUMN()))-ROW(INDEX(MO_CFS_CFO_BeforeWC,1,COLUMN())),1)),6)</f>
        <v/>
      </c>
      <c r="BE1276" s="1586" t="n"/>
      <c r="BF1276" s="1586" t="n"/>
      <c r="BG1276" s="1586" t="n"/>
      <c r="BH1276" s="1586" t="n"/>
      <c r="BI1276" s="1586">
        <f>ROUND(SUM(BE1110,BF1110,BG1110,BH1110)-SUM(OFFSET(INDEX(MO_CFS_CFO,1,COLUMN()),ROW(INDEX(MO_CFS_CFO_BeforeWC,1,COLUMN()))-ROW(INDEX(MO_CFS_CFO,1,COLUMN())),0,ROW(INDEX(MO_CFS_CFO,1,COLUMN()))-ROW(INDEX(MO_CFS_CFO_BeforeWC,1,COLUMN())),1)),6)</f>
        <v/>
      </c>
      <c r="BJ1276" s="1586" t="n"/>
      <c r="BK1276" s="1586" t="n"/>
      <c r="BL1276" s="1586" t="n"/>
      <c r="BM1276" s="1586" t="n"/>
      <c r="BN1276" s="1586">
        <f>ROUND(SUM(BJ1110,BK1110,BL1110,BM1110)-SUM(OFFSET(INDEX(MO_CFS_CFO,1,COLUMN()),ROW(INDEX(MO_CFS_CFO_BeforeWC,1,COLUMN()))-ROW(INDEX(MO_CFS_CFO,1,COLUMN())),0,ROW(INDEX(MO_CFS_CFO,1,COLUMN()))-ROW(INDEX(MO_CFS_CFO_BeforeWC,1,COLUMN())),1)),6)</f>
        <v/>
      </c>
      <c r="BO1276" s="1586" t="n"/>
      <c r="BP1276" s="1586" t="n"/>
      <c r="BQ1276" s="1587" t="n"/>
      <c r="BR1276" s="1586" t="n"/>
      <c r="BS1276" s="1586">
        <f>ROUND(SUM(BO1110,BP1110,BQ1110,BR1110)-SUM(OFFSET(INDEX(MO_CFS_CFO,1,COLUMN()),ROW(INDEX(MO_CFS_CFO_BeforeWC,1,COLUMN()))-ROW(INDEX(MO_CFS_CFO,1,COLUMN())),0,ROW(INDEX(MO_CFS_CFO,1,COLUMN()))-ROW(INDEX(MO_CFS_CFO_BeforeWC,1,COLUMN())),1)),6)</f>
        <v/>
      </c>
      <c r="BT1276" s="1586" t="n"/>
      <c r="BU1276" s="1586" t="n"/>
      <c r="BV1276" s="1586" t="n"/>
      <c r="BW1276" s="1586" t="n"/>
      <c r="BX1276" s="1586">
        <f>ROUND(SUM(BT1110,BU1110,BV1110,BW1110)-SUM(OFFSET(INDEX(MO_CFS_CFO,1,COLUMN()),ROW(INDEX(MO_CFS_CFO_BeforeWC,1,COLUMN()))-ROW(INDEX(MO_CFS_CFO,1,COLUMN())),0,ROW(INDEX(MO_CFS_CFO,1,COLUMN()))-ROW(INDEX(MO_CFS_CFO_BeforeWC,1,COLUMN())),1)),6)</f>
        <v/>
      </c>
      <c r="BY1276" s="1586" t="n"/>
      <c r="BZ1276" s="1586" t="n"/>
      <c r="CA1276" s="1586" t="n"/>
      <c r="CB1276" s="1364" t="n"/>
    </row>
    <row r="1277" ht="14.4" customFormat="1" customHeight="1" s="1359">
      <c r="A1277" s="1364" t="inlineStr">
        <is>
          <t>*CFI subtotal FY = Sum of Qs</t>
        </is>
      </c>
      <c r="B1277" s="1553" t="n"/>
      <c r="C1277" s="1586" t="n"/>
      <c r="D1277" s="1586" t="n"/>
      <c r="E1277" s="1586" t="n"/>
      <c r="F1277" s="1586" t="n"/>
      <c r="G1277" s="1586" t="n"/>
      <c r="H1277" s="1586" t="n"/>
      <c r="I1277" s="1586" t="n"/>
      <c r="J1277" s="1586" t="n"/>
      <c r="K1277" s="1586">
        <f>ROUND(SUM(G1127,H1127,I1127,J1127)-SUM(OFFSET(INDEX(MO_CFS_CFI,1,COLUMN()),ROW(INDEX(MO_SubSection_CFS_CFI,1,COLUMN()))-ROW(INDEX(MO_CFS_CFI,1,COLUMN())),0,ROW(INDEX(MO_CFS_CFI,1,COLUMN()))-ROW(INDEX(MO_SubSection_CFS_CFI,1,COLUMN())),1)),6)</f>
        <v/>
      </c>
      <c r="L1277" s="1586" t="n"/>
      <c r="M1277" s="1586" t="n"/>
      <c r="N1277" s="1586" t="n"/>
      <c r="O1277" s="1586" t="n"/>
      <c r="P1277" s="1586">
        <f>ROUND(SUM(L1127,M1127,N1127,O1127)-SUM(OFFSET(INDEX(MO_CFS_CFI,1,COLUMN()),ROW(INDEX(MO_SubSection_CFS_CFI,1,COLUMN()))-ROW(INDEX(MO_CFS_CFI,1,COLUMN())),0,ROW(INDEX(MO_CFS_CFI,1,COLUMN()))-ROW(INDEX(MO_SubSection_CFS_CFI,1,COLUMN())),1)),6)</f>
        <v/>
      </c>
      <c r="Q1277" s="1586" t="n"/>
      <c r="R1277" s="1586" t="n"/>
      <c r="S1277" s="1586" t="n"/>
      <c r="T1277" s="1586" t="n"/>
      <c r="U1277" s="1586">
        <f>ROUND(SUM(Q1127,R1127,S1127,T1127)-SUM(OFFSET(INDEX(MO_CFS_CFI,1,COLUMN()),ROW(INDEX(MO_SubSection_CFS_CFI,1,COLUMN()))-ROW(INDEX(MO_CFS_CFI,1,COLUMN())),0,ROW(INDEX(MO_CFS_CFI,1,COLUMN()))-ROW(INDEX(MO_SubSection_CFS_CFI,1,COLUMN())),1)),6)</f>
        <v/>
      </c>
      <c r="V1277" s="1586" t="n"/>
      <c r="W1277" s="1586" t="n"/>
      <c r="X1277" s="1586" t="n"/>
      <c r="Y1277" s="1586" t="n"/>
      <c r="Z1277" s="1586">
        <f>ROUND(SUM(V1127,W1127,X1127,Y1127)-SUM(OFFSET(INDEX(MO_CFS_CFI,1,COLUMN()),ROW(INDEX(MO_SubSection_CFS_CFI,1,COLUMN()))-ROW(INDEX(MO_CFS_CFI,1,COLUMN())),0,ROW(INDEX(MO_CFS_CFI,1,COLUMN()))-ROW(INDEX(MO_SubSection_CFS_CFI,1,COLUMN())),1)),6)</f>
        <v/>
      </c>
      <c r="AA1277" s="1586" t="n"/>
      <c r="AB1277" s="1586" t="n"/>
      <c r="AC1277" s="1586" t="n"/>
      <c r="AD1277" s="1586" t="n"/>
      <c r="AE1277" s="1586">
        <f>ROUND(SUM(AA1127,AB1127,AC1127,AD1127)-SUM(OFFSET(INDEX(MO_CFS_CFI,1,COLUMN()),ROW(INDEX(MO_SubSection_CFS_CFI,1,COLUMN()))-ROW(INDEX(MO_CFS_CFI,1,COLUMN())),0,ROW(INDEX(MO_CFS_CFI,1,COLUMN()))-ROW(INDEX(MO_SubSection_CFS_CFI,1,COLUMN())),1)),6)</f>
        <v/>
      </c>
      <c r="AF1277" s="1586" t="n"/>
      <c r="AG1277" s="1586" t="n"/>
      <c r="AH1277" s="1586" t="n"/>
      <c r="AI1277" s="1586" t="n"/>
      <c r="AJ1277" s="1586">
        <f>ROUND(SUM(AF1127,AG1127,AH1127,AI1127)-SUM(OFFSET(INDEX(MO_CFS_CFI,1,COLUMN()),ROW(INDEX(MO_SubSection_CFS_CFI,1,COLUMN()))-ROW(INDEX(MO_CFS_CFI,1,COLUMN())),0,ROW(INDEX(MO_CFS_CFI,1,COLUMN()))-ROW(INDEX(MO_SubSection_CFS_CFI,1,COLUMN())),1)),6)</f>
        <v/>
      </c>
      <c r="AK1277" s="1586" t="n"/>
      <c r="AL1277" s="1586" t="n"/>
      <c r="AM1277" s="1586" t="n"/>
      <c r="AN1277" s="1586" t="n"/>
      <c r="AO1277" s="1586">
        <f>ROUND(SUM(AK1127,AL1127,AM1127,AN1127)-SUM(OFFSET(INDEX(MO_CFS_CFI,1,COLUMN()),ROW(INDEX(MO_SubSection_CFS_CFI,1,COLUMN()))-ROW(INDEX(MO_CFS_CFI,1,COLUMN())),0,ROW(INDEX(MO_CFS_CFI,1,COLUMN()))-ROW(INDEX(MO_SubSection_CFS_CFI,1,COLUMN())),1)),6)</f>
        <v/>
      </c>
      <c r="AP1277" s="1586" t="n"/>
      <c r="AQ1277" s="1586" t="n"/>
      <c r="AR1277" s="1586" t="n"/>
      <c r="AS1277" s="1586" t="n"/>
      <c r="AT1277" s="1586">
        <f>ROUND(SUM(AP1127,AQ1127,AR1127,AS1127)-SUM(OFFSET(INDEX(MO_CFS_CFI,1,COLUMN()),ROW(INDEX(MO_SubSection_CFS_CFI,1,COLUMN()))-ROW(INDEX(MO_CFS_CFI,1,COLUMN())),0,ROW(INDEX(MO_CFS_CFI,1,COLUMN()))-ROW(INDEX(MO_SubSection_CFS_CFI,1,COLUMN())),1)),6)</f>
        <v/>
      </c>
      <c r="AU1277" s="1586" t="n"/>
      <c r="AV1277" s="1586" t="n"/>
      <c r="AW1277" s="1586" t="n"/>
      <c r="AX1277" s="1586" t="n"/>
      <c r="AY1277" s="1586">
        <f>ROUND(SUM(AU1127,AV1127,AW1127,AX1127)-SUM(OFFSET(INDEX(MO_CFS_CFI,1,COLUMN()),ROW(INDEX(MO_SubSection_CFS_CFI,1,COLUMN()))-ROW(INDEX(MO_CFS_CFI,1,COLUMN())),0,ROW(INDEX(MO_CFS_CFI,1,COLUMN()))-ROW(INDEX(MO_SubSection_CFS_CFI,1,COLUMN())),1)),6)</f>
        <v/>
      </c>
      <c r="AZ1277" s="1586" t="n"/>
      <c r="BA1277" s="1586" t="n"/>
      <c r="BB1277" s="1586" t="n"/>
      <c r="BC1277" s="1586" t="n"/>
      <c r="BD1277" s="1586">
        <f>ROUND(SUM(AZ1127,BA1127,BB1127,BC1127)-SUM(OFFSET(INDEX(MO_CFS_CFI,1,COLUMN()),ROW(INDEX(MO_SubSection_CFS_CFI,1,COLUMN()))-ROW(INDEX(MO_CFS_CFI,1,COLUMN())),0,ROW(INDEX(MO_CFS_CFI,1,COLUMN()))-ROW(INDEX(MO_SubSection_CFS_CFI,1,COLUMN())),1)),6)</f>
        <v/>
      </c>
      <c r="BE1277" s="1586" t="n"/>
      <c r="BF1277" s="1586" t="n"/>
      <c r="BG1277" s="1586" t="n"/>
      <c r="BH1277" s="1586" t="n"/>
      <c r="BI1277" s="1586">
        <f>ROUND(SUM(BE1127,BF1127,BG1127,BH1127)-SUM(OFFSET(INDEX(MO_CFS_CFI,1,COLUMN()),ROW(INDEX(MO_SubSection_CFS_CFI,1,COLUMN()))-ROW(INDEX(MO_CFS_CFI,1,COLUMN())),0,ROW(INDEX(MO_CFS_CFI,1,COLUMN()))-ROW(INDEX(MO_SubSection_CFS_CFI,1,COLUMN())),1)),6)</f>
        <v/>
      </c>
      <c r="BJ1277" s="1586" t="n"/>
      <c r="BK1277" s="1586" t="n"/>
      <c r="BL1277" s="1586" t="n"/>
      <c r="BM1277" s="1586" t="n"/>
      <c r="BN1277" s="1586">
        <f>ROUND(SUM(BJ1127,BK1127,BL1127,BM1127)-SUM(OFFSET(INDEX(MO_CFS_CFI,1,COLUMN()),ROW(INDEX(MO_SubSection_CFS_CFI,1,COLUMN()))-ROW(INDEX(MO_CFS_CFI,1,COLUMN())),0,ROW(INDEX(MO_CFS_CFI,1,COLUMN()))-ROW(INDEX(MO_SubSection_CFS_CFI,1,COLUMN())),1)),6)</f>
        <v/>
      </c>
      <c r="BO1277" s="1586" t="n"/>
      <c r="BP1277" s="1586" t="n"/>
      <c r="BQ1277" s="1587" t="n"/>
      <c r="BR1277" s="1586" t="n"/>
      <c r="BS1277" s="1586">
        <f>ROUND(SUM(BO1127,BP1127,BQ1127,BR1127)-SUM(OFFSET(INDEX(MO_CFS_CFI,1,COLUMN()),ROW(INDEX(MO_SubSection_CFS_CFI,1,COLUMN()))-ROW(INDEX(MO_CFS_CFI,1,COLUMN())),0,ROW(INDEX(MO_CFS_CFI,1,COLUMN()))-ROW(INDEX(MO_SubSection_CFS_CFI,1,COLUMN())),1)),6)</f>
        <v/>
      </c>
      <c r="BT1277" s="1586" t="n"/>
      <c r="BU1277" s="1586" t="n"/>
      <c r="BV1277" s="1586" t="n"/>
      <c r="BW1277" s="1586" t="n"/>
      <c r="BX1277" s="1586">
        <f>ROUND(SUM(BT1127,BU1127,BV1127,BW1127)-SUM(OFFSET(INDEX(MO_CFS_CFI,1,COLUMN()),ROW(INDEX(MO_SubSection_CFS_CFI,1,COLUMN()))-ROW(INDEX(MO_CFS_CFI,1,COLUMN())),0,ROW(INDEX(MO_CFS_CFI,1,COLUMN()))-ROW(INDEX(MO_SubSection_CFS_CFI,1,COLUMN())),1)),6)</f>
        <v/>
      </c>
      <c r="BY1277" s="1586" t="n"/>
      <c r="BZ1277" s="1586" t="n"/>
      <c r="CA1277" s="1586" t="n"/>
      <c r="CB1277" s="1364" t="n"/>
    </row>
    <row r="1278" ht="14.4" customFormat="1" customHeight="1" s="1359">
      <c r="A1278" s="1364" t="inlineStr">
        <is>
          <t>*CFF subtotal FY = Sum of Qs</t>
        </is>
      </c>
      <c r="B1278" s="1553" t="n"/>
      <c r="C1278" s="1586" t="n"/>
      <c r="D1278" s="1586" t="n"/>
      <c r="E1278" s="1586" t="n"/>
      <c r="F1278" s="1586" t="n"/>
      <c r="G1278" s="1586" t="n"/>
      <c r="H1278" s="1586" t="n"/>
      <c r="I1278" s="1586" t="n"/>
      <c r="J1278" s="1586" t="n"/>
      <c r="K1278" s="1586">
        <f>ROUND(SUM(G1149,H1149,I1149,J1149)-SUM(OFFSET(INDEX(MO_CFS_CFF,1,COLUMN()),ROW(INDEX(MO_SubSection_CFS_CFF,1,COLUMN()))-ROW(INDEX(MO_CFS_CFF,1,COLUMN())),0,ROW(INDEX(MO_CFS_CFF,1,COLUMN()))-ROW(INDEX(MO_SubSection_CFS_CFF,1,COLUMN())),1)),6)</f>
        <v/>
      </c>
      <c r="L1278" s="1586" t="n"/>
      <c r="M1278" s="1586" t="n"/>
      <c r="N1278" s="1586" t="n"/>
      <c r="O1278" s="1586" t="n"/>
      <c r="P1278" s="1586">
        <f>ROUND(SUM(L1149,M1149,N1149,O1149)-SUM(OFFSET(INDEX(MO_CFS_CFF,1,COLUMN()),ROW(INDEX(MO_SubSection_CFS_CFF,1,COLUMN()))-ROW(INDEX(MO_CFS_CFF,1,COLUMN())),0,ROW(INDEX(MO_CFS_CFF,1,COLUMN()))-ROW(INDEX(MO_SubSection_CFS_CFF,1,COLUMN())),1)),6)</f>
        <v/>
      </c>
      <c r="Q1278" s="1586" t="n"/>
      <c r="R1278" s="1586" t="n"/>
      <c r="S1278" s="1586" t="n"/>
      <c r="T1278" s="1586" t="n"/>
      <c r="U1278" s="1586">
        <f>ROUND(SUM(Q1149,R1149,S1149,T1149)-SUM(OFFSET(INDEX(MO_CFS_CFF,1,COLUMN()),ROW(INDEX(MO_SubSection_CFS_CFF,1,COLUMN()))-ROW(INDEX(MO_CFS_CFF,1,COLUMN())),0,ROW(INDEX(MO_CFS_CFF,1,COLUMN()))-ROW(INDEX(MO_SubSection_CFS_CFF,1,COLUMN())),1)),6)</f>
        <v/>
      </c>
      <c r="V1278" s="1586" t="n"/>
      <c r="W1278" s="1586" t="n"/>
      <c r="X1278" s="1586" t="n"/>
      <c r="Y1278" s="1586" t="n"/>
      <c r="Z1278" s="1586">
        <f>ROUND(SUM(V1149,W1149,X1149,Y1149)-SUM(OFFSET(INDEX(MO_CFS_CFF,1,COLUMN()),ROW(INDEX(MO_SubSection_CFS_CFF,1,COLUMN()))-ROW(INDEX(MO_CFS_CFF,1,COLUMN())),0,ROW(INDEX(MO_CFS_CFF,1,COLUMN()))-ROW(INDEX(MO_SubSection_CFS_CFF,1,COLUMN())),1)),6)</f>
        <v/>
      </c>
      <c r="AA1278" s="1586" t="n"/>
      <c r="AB1278" s="1586" t="n"/>
      <c r="AC1278" s="1586" t="n"/>
      <c r="AD1278" s="1586" t="n"/>
      <c r="AE1278" s="1586">
        <f>ROUND(SUM(AA1149,AB1149,AC1149,AD1149)-SUM(OFFSET(INDEX(MO_CFS_CFF,1,COLUMN()),ROW(INDEX(MO_SubSection_CFS_CFF,1,COLUMN()))-ROW(INDEX(MO_CFS_CFF,1,COLUMN())),0,ROW(INDEX(MO_CFS_CFF,1,COLUMN()))-ROW(INDEX(MO_SubSection_CFS_CFF,1,COLUMN())),1)),6)</f>
        <v/>
      </c>
      <c r="AF1278" s="1586" t="n"/>
      <c r="AG1278" s="1586" t="n"/>
      <c r="AH1278" s="1586" t="n"/>
      <c r="AI1278" s="1586" t="n"/>
      <c r="AJ1278" s="1586">
        <f>ROUND(SUM(AF1149,AG1149,AH1149,AI1149)-SUM(OFFSET(INDEX(MO_CFS_CFF,1,COLUMN()),ROW(INDEX(MO_SubSection_CFS_CFF,1,COLUMN()))-ROW(INDEX(MO_CFS_CFF,1,COLUMN())),0,ROW(INDEX(MO_CFS_CFF,1,COLUMN()))-ROW(INDEX(MO_SubSection_CFS_CFF,1,COLUMN())),1)),6)</f>
        <v/>
      </c>
      <c r="AK1278" s="1586" t="n"/>
      <c r="AL1278" s="1586" t="n"/>
      <c r="AM1278" s="1586" t="n"/>
      <c r="AN1278" s="1586" t="n"/>
      <c r="AO1278" s="1586">
        <f>ROUND(SUM(AK1149,AL1149,AM1149,AN1149)-SUM(OFFSET(INDEX(MO_CFS_CFF,1,COLUMN()),ROW(INDEX(MO_SubSection_CFS_CFF,1,COLUMN()))-ROW(INDEX(MO_CFS_CFF,1,COLUMN())),0,ROW(INDEX(MO_CFS_CFF,1,COLUMN()))-ROW(INDEX(MO_SubSection_CFS_CFF,1,COLUMN())),1)),6)</f>
        <v/>
      </c>
      <c r="AP1278" s="1586" t="n"/>
      <c r="AQ1278" s="1586" t="n"/>
      <c r="AR1278" s="1586" t="n"/>
      <c r="AS1278" s="1586" t="n"/>
      <c r="AT1278" s="1586">
        <f>ROUND(SUM(AP1149,AQ1149,AR1149,AS1149)-SUM(OFFSET(INDEX(MO_CFS_CFF,1,COLUMN()),ROW(INDEX(MO_SubSection_CFS_CFF,1,COLUMN()))-ROW(INDEX(MO_CFS_CFF,1,COLUMN())),0,ROW(INDEX(MO_CFS_CFF,1,COLUMN()))-ROW(INDEX(MO_SubSection_CFS_CFF,1,COLUMN())),1)),6)</f>
        <v/>
      </c>
      <c r="AU1278" s="1586" t="n"/>
      <c r="AV1278" s="1586" t="n"/>
      <c r="AW1278" s="1586" t="n"/>
      <c r="AX1278" s="1586" t="n"/>
      <c r="AY1278" s="1586">
        <f>ROUND(SUM(AU1149,AV1149,AW1149,AX1149)-SUM(OFFSET(INDEX(MO_CFS_CFF,1,COLUMN()),ROW(INDEX(MO_SubSection_CFS_CFF,1,COLUMN()))-ROW(INDEX(MO_CFS_CFF,1,COLUMN())),0,ROW(INDEX(MO_CFS_CFF,1,COLUMN()))-ROW(INDEX(MO_SubSection_CFS_CFF,1,COLUMN())),1)),6)</f>
        <v/>
      </c>
      <c r="AZ1278" s="1586" t="n"/>
      <c r="BA1278" s="1586" t="n"/>
      <c r="BB1278" s="1586" t="n"/>
      <c r="BC1278" s="1586" t="n"/>
      <c r="BD1278" s="1586">
        <f>ROUND(SUM(AZ1149,BA1149,BB1149,BC1149)-SUM(OFFSET(INDEX(MO_CFS_CFF,1,COLUMN()),ROW(INDEX(MO_SubSection_CFS_CFF,1,COLUMN()))-ROW(INDEX(MO_CFS_CFF,1,COLUMN())),0,ROW(INDEX(MO_CFS_CFF,1,COLUMN()))-ROW(INDEX(MO_SubSection_CFS_CFF,1,COLUMN())),1)),6)</f>
        <v/>
      </c>
      <c r="BE1278" s="1586" t="n"/>
      <c r="BF1278" s="1586" t="n"/>
      <c r="BG1278" s="1586" t="n"/>
      <c r="BH1278" s="1586" t="n"/>
      <c r="BI1278" s="1586">
        <f>ROUND(SUM(BE1149,BF1149,BG1149,BH1149)-SUM(OFFSET(INDEX(MO_CFS_CFF,1,COLUMN()),ROW(INDEX(MO_SubSection_CFS_CFF,1,COLUMN()))-ROW(INDEX(MO_CFS_CFF,1,COLUMN())),0,ROW(INDEX(MO_CFS_CFF,1,COLUMN()))-ROW(INDEX(MO_SubSection_CFS_CFF,1,COLUMN())),1)),6)</f>
        <v/>
      </c>
      <c r="BJ1278" s="1586" t="n"/>
      <c r="BK1278" s="1586" t="n"/>
      <c r="BL1278" s="1586" t="n"/>
      <c r="BM1278" s="1586" t="n"/>
      <c r="BN1278" s="1586">
        <f>ROUND(SUM(BJ1149,BK1149,BL1149,BM1149)-SUM(OFFSET(INDEX(MO_CFS_CFF,1,COLUMN()),ROW(INDEX(MO_SubSection_CFS_CFF,1,COLUMN()))-ROW(INDEX(MO_CFS_CFF,1,COLUMN())),0,ROW(INDEX(MO_CFS_CFF,1,COLUMN()))-ROW(INDEX(MO_SubSection_CFS_CFF,1,COLUMN())),1)),6)</f>
        <v/>
      </c>
      <c r="BO1278" s="1586" t="n"/>
      <c r="BP1278" s="1586" t="n"/>
      <c r="BQ1278" s="1587" t="n"/>
      <c r="BR1278" s="1586" t="n"/>
      <c r="BS1278" s="1586">
        <f>ROUND(SUM(BO1149,BP1149,BQ1149,BR1149)-SUM(OFFSET(INDEX(MO_CFS_CFF,1,COLUMN()),ROW(INDEX(MO_SubSection_CFS_CFF,1,COLUMN()))-ROW(INDEX(MO_CFS_CFF,1,COLUMN())),0,ROW(INDEX(MO_CFS_CFF,1,COLUMN()))-ROW(INDEX(MO_SubSection_CFS_CFF,1,COLUMN())),1)),6)</f>
        <v/>
      </c>
      <c r="BT1278" s="1586" t="n"/>
      <c r="BU1278" s="1586" t="n"/>
      <c r="BV1278" s="1586" t="n"/>
      <c r="BW1278" s="1586" t="n"/>
      <c r="BX1278" s="1586">
        <f>ROUND(SUM(BT1149,BU1149,BV1149,BW1149)-SUM(OFFSET(INDEX(MO_CFS_CFF,1,COLUMN()),ROW(INDEX(MO_SubSection_CFS_CFF,1,COLUMN()))-ROW(INDEX(MO_CFS_CFF,1,COLUMN())),0,ROW(INDEX(MO_CFS_CFF,1,COLUMN()))-ROW(INDEX(MO_SubSection_CFS_CFF,1,COLUMN())),1)),6)</f>
        <v/>
      </c>
      <c r="BY1278" s="1586" t="n"/>
      <c r="BZ1278" s="1586" t="n"/>
      <c r="CA1278" s="1586" t="n"/>
      <c r="CB1278" s="1364" t="n"/>
    </row>
    <row r="1279" ht="14.4" customFormat="1" customHeight="1" s="1359">
      <c r="A1279" s="1364" t="inlineStr">
        <is>
          <t>*CF Summary FY = Sum of Qs</t>
        </is>
      </c>
      <c r="B1279" s="1553" t="n"/>
      <c r="C1279" s="1586" t="n"/>
      <c r="D1279" s="1586" t="n"/>
      <c r="E1279" s="1586" t="n"/>
      <c r="F1279" s="1586" t="n"/>
      <c r="G1279" s="1586" t="n"/>
      <c r="H1279" s="1586" t="n"/>
      <c r="I1279" s="1586" t="n"/>
      <c r="J1279" s="1586" t="n"/>
      <c r="K1279" s="1586">
        <f>ROUND(SUM(INDEX(MO_CFSum_Acquisition,0,COLUMN()),INDEX(MO_CFSum_Capex,0,COLUMN()),INDEX(MO_CFSum_Divestiture,0,COLUMN()),INDEX(MO_CFSum_Dividend,0,COLUMN()))-SUM(G941,H941,I941,J941,G942,H942,I942,J942,G943,H943,I943,J943)-SUM(G938,H938,I938,J938),6)</f>
        <v/>
      </c>
      <c r="L1279" s="1586" t="n"/>
      <c r="M1279" s="1586" t="n"/>
      <c r="N1279" s="1586" t="n"/>
      <c r="O1279" s="1586" t="n"/>
      <c r="P1279" s="1586">
        <f>ROUND(SUM(INDEX(MO_CFSum_Acquisition,0,COLUMN()),INDEX(MO_CFSum_Capex,0,COLUMN()),INDEX(MO_CFSum_Divestiture,0,COLUMN()),INDEX(MO_CFSum_Dividend,0,COLUMN()))-SUM(L941,M941,N941,O941,L942,M942,N942,O942,L943,M943,N943,O943)-SUM(L938,M938,N938,O938),6)</f>
        <v/>
      </c>
      <c r="Q1279" s="1586" t="n"/>
      <c r="R1279" s="1586" t="n"/>
      <c r="S1279" s="1586" t="n"/>
      <c r="T1279" s="1586" t="n"/>
      <c r="U1279" s="1586">
        <f>ROUND(SUM(INDEX(MO_CFSum_Acquisition,0,COLUMN()),INDEX(MO_CFSum_Capex,0,COLUMN()),INDEX(MO_CFSum_Divestiture,0,COLUMN()),INDEX(MO_CFSum_Dividend,0,COLUMN()))-SUM(Q941,R941,S941,T941,Q942,R942,S942,T942,Q943,R943,S943,T943)-SUM(Q938,R938,S938,T938),6)</f>
        <v/>
      </c>
      <c r="V1279" s="1586" t="n"/>
      <c r="W1279" s="1586" t="n"/>
      <c r="X1279" s="1586" t="n"/>
      <c r="Y1279" s="1586" t="n"/>
      <c r="Z1279" s="1586">
        <f>ROUND(SUM(INDEX(MO_CFSum_Acquisition,0,COLUMN()),INDEX(MO_CFSum_Capex,0,COLUMN()),INDEX(MO_CFSum_Divestiture,0,COLUMN()),INDEX(MO_CFSum_Dividend,0,COLUMN()))-SUM(V941,W941,X941,Y941,V942,W942,X942,Y942,V943,W943,X943,Y943)-SUM(V938,W938,X938,Y938),6)</f>
        <v/>
      </c>
      <c r="AA1279" s="1586" t="n"/>
      <c r="AB1279" s="1586" t="n"/>
      <c r="AC1279" s="1586" t="n"/>
      <c r="AD1279" s="1586" t="n"/>
      <c r="AE1279" s="1586">
        <f>ROUND(SUM(INDEX(MO_CFSum_Acquisition,0,COLUMN()),INDEX(MO_CFSum_Capex,0,COLUMN()),INDEX(MO_CFSum_Divestiture,0,COLUMN()),INDEX(MO_CFSum_Dividend,0,COLUMN()))-SUM(AA941,AB941,AC941,AD941,AA942,AB942,AC942,AD942,AA943,AB943,AC943,AD943)-SUM(AA938,AB938,AC938,AD938),6)</f>
        <v/>
      </c>
      <c r="AF1279" s="1586" t="n"/>
      <c r="AG1279" s="1586" t="n"/>
      <c r="AH1279" s="1586" t="n"/>
      <c r="AI1279" s="1586" t="n"/>
      <c r="AJ1279" s="1586">
        <f>ROUND(SUM(INDEX(MO_CFSum_Acquisition,0,COLUMN()),INDEX(MO_CFSum_Capex,0,COLUMN()),INDEX(MO_CFSum_Divestiture,0,COLUMN()),INDEX(MO_CFSum_Dividend,0,COLUMN()))-SUM(AF941,AG941,AH941,AI941,AF942,AG942,AH942,AI942,AF943,AG943,AH943,AI943)-SUM(AF938,AG938,AH938,AI938),6)</f>
        <v/>
      </c>
      <c r="AK1279" s="1586" t="n"/>
      <c r="AL1279" s="1586" t="n"/>
      <c r="AM1279" s="1586" t="n"/>
      <c r="AN1279" s="1586" t="n"/>
      <c r="AO1279" s="1586">
        <f>ROUND(SUM(INDEX(MO_CFSum_Acquisition,0,COLUMN()),INDEX(MO_CFSum_Capex,0,COLUMN()),INDEX(MO_CFSum_Divestiture,0,COLUMN()),INDEX(MO_CFSum_Dividend,0,COLUMN()))-SUM(AK941,AL941,AM941,AN941,AK942,AL942,AM942,AN942,AK943,AL943,AM943,AN943)-SUM(AK938,AL938,AM938,AN938),6)</f>
        <v/>
      </c>
      <c r="AP1279" s="1586" t="n"/>
      <c r="AQ1279" s="1586" t="n"/>
      <c r="AR1279" s="1586" t="n"/>
      <c r="AS1279" s="1586" t="n"/>
      <c r="AT1279" s="1586">
        <f>ROUND(SUM(INDEX(MO_CFSum_Acquisition,0,COLUMN()),INDEX(MO_CFSum_Capex,0,COLUMN()),INDEX(MO_CFSum_Divestiture,0,COLUMN()),INDEX(MO_CFSum_Dividend,0,COLUMN()))-SUM(AP941,AQ941,AR941,AS941,AP942,AQ942,AR942,AS942,AP943,AQ943,AR943,AS943)-SUM(AP938,AQ938,AR938,AS938),6)</f>
        <v/>
      </c>
      <c r="AU1279" s="1586" t="n"/>
      <c r="AV1279" s="1586" t="n"/>
      <c r="AW1279" s="1586" t="n"/>
      <c r="AX1279" s="1586" t="n"/>
      <c r="AY1279" s="1586">
        <f>ROUND(SUM(INDEX(MO_CFSum_Acquisition,0,COLUMN()),INDEX(MO_CFSum_Capex,0,COLUMN()),INDEX(MO_CFSum_Divestiture,0,COLUMN()),INDEX(MO_CFSum_Dividend,0,COLUMN()))-SUM(AU941,AV941,AW941,AX941,AU942,AV942,AW942,AX942,AU943,AV943,AW943,AX943)-SUM(AU938,AV938,AW938,AX938),6)</f>
        <v/>
      </c>
      <c r="AZ1279" s="1586" t="n"/>
      <c r="BA1279" s="1586" t="n"/>
      <c r="BB1279" s="1586" t="n"/>
      <c r="BC1279" s="1586" t="n"/>
      <c r="BD1279" s="1586">
        <f>ROUND(SUM(INDEX(MO_CFSum_Acquisition,0,COLUMN()),INDEX(MO_CFSum_Capex,0,COLUMN()),INDEX(MO_CFSum_Divestiture,0,COLUMN()),INDEX(MO_CFSum_Dividend,0,COLUMN()))-SUM(AZ941,BA941,BB941,BC941,AZ942,BA942,BB942,BC942,AZ943,BA943,BB943,BC943)-SUM(AZ938,BA938,BB938,BC938),6)</f>
        <v/>
      </c>
      <c r="BE1279" s="1586" t="n"/>
      <c r="BF1279" s="1586" t="n"/>
      <c r="BG1279" s="1586" t="n"/>
      <c r="BH1279" s="1586" t="n"/>
      <c r="BI1279" s="1586">
        <f>ROUND(SUM(INDEX(MO_CFSum_Acquisition,0,COLUMN()),INDEX(MO_CFSum_Capex,0,COLUMN()),INDEX(MO_CFSum_Divestiture,0,COLUMN()),INDEX(MO_CFSum_Dividend,0,COLUMN()))-SUM(BE941,BF941,BG941,BH941,BE942,BF942,BG942,BH942,BE943,BF943,BG943,BH943)-SUM(BE938,BF938,BG938,BH938),6)</f>
        <v/>
      </c>
      <c r="BJ1279" s="1586" t="n"/>
      <c r="BK1279" s="1586" t="n"/>
      <c r="BL1279" s="1586" t="n"/>
      <c r="BM1279" s="1586" t="n"/>
      <c r="BN1279" s="1586">
        <f>ROUND(SUM(INDEX(MO_CFSum_Acquisition,0,COLUMN()),INDEX(MO_CFSum_Capex,0,COLUMN()),INDEX(MO_CFSum_Divestiture,0,COLUMN()),INDEX(MO_CFSum_Dividend,0,COLUMN()))-SUM(BJ941,BK941,BL941,BM941,BJ942,BK942,BL942,BM942,BJ943,BK943,BL943,BM943)-SUM(BJ938,BK938,BL938,BM938),6)</f>
        <v/>
      </c>
      <c r="BO1279" s="1586" t="n"/>
      <c r="BP1279" s="1586" t="n"/>
      <c r="BQ1279" s="1587" t="n"/>
      <c r="BR1279" s="1586" t="n"/>
      <c r="BS1279" s="1586">
        <f>ROUND(SUM(INDEX(MO_CFSum_Acquisition,0,COLUMN()),INDEX(MO_CFSum_Capex,0,COLUMN()),INDEX(MO_CFSum_Divestiture,0,COLUMN()),INDEX(MO_CFSum_Dividend,0,COLUMN()))-SUM(BO941,BP941,BQ941,BR941,BO942,BP942,BQ942,BR942,BO943,BP943,BQ943,BR943)-SUM(BO938,BP938,BQ938,BR938),6)</f>
        <v/>
      </c>
      <c r="BT1279" s="1586" t="n"/>
      <c r="BU1279" s="1586" t="n"/>
      <c r="BV1279" s="1586" t="n"/>
      <c r="BW1279" s="1586" t="n"/>
      <c r="BX1279" s="1586">
        <f>ROUND(SUM(INDEX(MO_CFSum_Acquisition,0,COLUMN()),INDEX(MO_CFSum_Capex,0,COLUMN()),INDEX(MO_CFSum_Divestiture,0,COLUMN()),INDEX(MO_CFSum_Dividend,0,COLUMN()))-SUM(BT941,BU941,BV941,BW941,BT942,BU942,BV942,BW942,BT943,BU943,BV943,BW943)-SUM(BT938,BU938,BV938,BW938),6)</f>
        <v/>
      </c>
      <c r="BY1279" s="1586" t="n"/>
      <c r="BZ1279" s="1586" t="n"/>
      <c r="CA1279" s="1586" t="n"/>
      <c r="CB1279" s="1364" t="n"/>
    </row>
    <row r="1280" ht="14.4" customFormat="1" customHeight="1" s="1359">
      <c r="A1280" s="1361" t="inlineStr">
        <is>
          <t>Unamortized debt discount and issuance cost is negative</t>
        </is>
      </c>
      <c r="B1280" s="1553" t="n"/>
      <c r="C1280" s="1586">
        <f>IF(OR(C601&gt;0,C618&gt;0,C635&gt;0,C652&gt;0,C669&gt;0),C601+C618+C635+C652+C669,0)</f>
        <v/>
      </c>
      <c r="D1280" s="1586">
        <f>IF(OR(D601&gt;0,D618&gt;0,D635&gt;0,D652&gt;0,D669&gt;0),D601+D618+D635+D652+D669,0)</f>
        <v/>
      </c>
      <c r="E1280" s="1586">
        <f>IF(OR(E601&gt;0,E618&gt;0,E635&gt;0,E652&gt;0,E669&gt;0),E601+E618+E635+E652+E669,0)</f>
        <v/>
      </c>
      <c r="F1280" s="1586">
        <f>IF(OR(F601&gt;0,F618&gt;0,F635&gt;0,F652&gt;0,F669&gt;0),F601+F618+F635+F652+F669,0)</f>
        <v/>
      </c>
      <c r="G1280" s="1586">
        <f>IF(OR(G601&gt;0,G618&gt;0,G635&gt;0,G652&gt;0,G669&gt;0),G601+G618+G635+G652+G669,0)</f>
        <v/>
      </c>
      <c r="H1280" s="1586">
        <f>IF(OR(H601&gt;0,H618&gt;0,H635&gt;0,H652&gt;0,H669&gt;0),H601+H618+H635+H652+H669,0)</f>
        <v/>
      </c>
      <c r="I1280" s="1586">
        <f>IF(OR(I601&gt;0,I618&gt;0,I635&gt;0,I652&gt;0,I669&gt;0),I601+I618+I635+I652+I669,0)</f>
        <v/>
      </c>
      <c r="J1280" s="1586">
        <f>IF(OR(J601&gt;0,J618&gt;0,J635&gt;0,J652&gt;0,J669&gt;0),J601+J618+J635+J652+J669,0)</f>
        <v/>
      </c>
      <c r="K1280" s="1586">
        <f>IF(OR(K601&gt;0,K618&gt;0,K635&gt;0,K652&gt;0,K669&gt;0),K601+K618+K635+K652+K669,0)</f>
        <v/>
      </c>
      <c r="L1280" s="1586">
        <f>IF(OR(L601&gt;0,L618&gt;0,L635&gt;0,L652&gt;0,L669&gt;0),L601+L618+L635+L652+L669,0)</f>
        <v/>
      </c>
      <c r="M1280" s="1586">
        <f>IF(OR(M601&gt;0,M618&gt;0,M635&gt;0,M652&gt;0,M669&gt;0),M601+M618+M635+M652+M669,0)</f>
        <v/>
      </c>
      <c r="N1280" s="1586">
        <f>IF(OR(N601&gt;0,N618&gt;0,N635&gt;0,N652&gt;0,N669&gt;0),N601+N618+N635+N652+N669,0)</f>
        <v/>
      </c>
      <c r="O1280" s="1586">
        <f>IF(OR(O601&gt;0,O618&gt;0,O635&gt;0,O652&gt;0,O669&gt;0),O601+O618+O635+O652+O669,0)</f>
        <v/>
      </c>
      <c r="P1280" s="1586">
        <f>IF(OR(P601&gt;0,P618&gt;0,P635&gt;0,P652&gt;0,P669&gt;0),P601+P618+P635+P652+P669,0)</f>
        <v/>
      </c>
      <c r="Q1280" s="1586">
        <f>IF(OR(Q601&gt;0,Q618&gt;0,Q635&gt;0,Q652&gt;0,Q669&gt;0),Q601+Q618+Q635+Q652+Q669,0)</f>
        <v/>
      </c>
      <c r="R1280" s="1586">
        <f>IF(OR(R601&gt;0,R618&gt;0,R635&gt;0,R652&gt;0,R669&gt;0),R601+R618+R635+R652+R669,0)</f>
        <v/>
      </c>
      <c r="S1280" s="1586">
        <f>IF(OR(S601&gt;0,S618&gt;0,S635&gt;0,S652&gt;0,S669&gt;0),S601+S618+S635+S652+S669,0)</f>
        <v/>
      </c>
      <c r="T1280" s="1586">
        <f>IF(OR(T601&gt;0,T618&gt;0,T635&gt;0,T652&gt;0,T669&gt;0),T601+T618+T635+T652+T669,0)</f>
        <v/>
      </c>
      <c r="U1280" s="1586">
        <f>IF(OR(U601&gt;0,U618&gt;0,U635&gt;0,U652&gt;0,U669&gt;0),U601+U618+U635+U652+U669,0)</f>
        <v/>
      </c>
      <c r="V1280" s="1586">
        <f>IF(OR(V601&gt;0,V618&gt;0,V635&gt;0,V652&gt;0,V669&gt;0),V601+V618+V635+V652+V669,0)</f>
        <v/>
      </c>
      <c r="W1280" s="1586">
        <f>IF(OR(W601&gt;0,W618&gt;0,W635&gt;0,W652&gt;0,W669&gt;0),W601+W618+W635+W652+W669,0)</f>
        <v/>
      </c>
      <c r="X1280" s="1586">
        <f>IF(OR(X601&gt;0,X618&gt;0,X635&gt;0,X652&gt;0,X669&gt;0),X601+X618+X635+X652+X669,0)</f>
        <v/>
      </c>
      <c r="Y1280" s="1586">
        <f>IF(OR(Y601&gt;0,Y618&gt;0,Y635&gt;0,Y652&gt;0,Y669&gt;0),Y601+Y618+Y635+Y652+Y669,0)</f>
        <v/>
      </c>
      <c r="Z1280" s="1586">
        <f>IF(OR(Z601&gt;0,Z618&gt;0,Z635&gt;0,Z652&gt;0,Z669&gt;0),Z601+Z618+Z635+Z652+Z669,0)</f>
        <v/>
      </c>
      <c r="AA1280" s="1586">
        <f>IF(OR(AA601&gt;0,AA618&gt;0,AA635&gt;0,AA652&gt;0,AA669&gt;0),AA601+AA618+AA635+AA652+AA669,0)</f>
        <v/>
      </c>
      <c r="AB1280" s="1586">
        <f>IF(OR(AB601&gt;0,AB618&gt;0,AB635&gt;0,AB652&gt;0,AB669&gt;0),AB601+AB618+AB635+AB652+AB669,0)</f>
        <v/>
      </c>
      <c r="AC1280" s="1586">
        <f>IF(OR(AC601&gt;0,AC618&gt;0,AC635&gt;0,AC652&gt;0,AC669&gt;0),AC601+AC618+AC635+AC652+AC669,0)</f>
        <v/>
      </c>
      <c r="AD1280" s="1586">
        <f>IF(OR(AD601&gt;0,AD618&gt;0,AD635&gt;0,AD652&gt;0,AD669&gt;0),AD601+AD618+AD635+AD652+AD669,0)</f>
        <v/>
      </c>
      <c r="AE1280" s="1586">
        <f>IF(OR(AE601&gt;0,AE618&gt;0,AE635&gt;0,AE652&gt;0,AE669&gt;0),AE601+AE618+AE635+AE652+AE669,0)</f>
        <v/>
      </c>
      <c r="AF1280" s="1586">
        <f>IF(OR(AF601&gt;0,AF618&gt;0,AF635&gt;0,AF652&gt;0,AF669&gt;0),AF601+AF618+AF635+AF652+AF669,0)</f>
        <v/>
      </c>
      <c r="AG1280" s="1586">
        <f>IF(OR(AG601&gt;0,AG618&gt;0,AG635&gt;0,AG652&gt;0,AG669&gt;0),AG601+AG618+AG635+AG652+AG669,0)</f>
        <v/>
      </c>
      <c r="AH1280" s="1586">
        <f>IF(OR(AH601&gt;0,AH618&gt;0,AH635&gt;0,AH652&gt;0,AH669&gt;0),AH601+AH618+AH635+AH652+AH669,0)</f>
        <v/>
      </c>
      <c r="AI1280" s="1586">
        <f>IF(OR(AI601&gt;0,AI618&gt;0,AI635&gt;0,AI652&gt;0,AI669&gt;0),AI601+AI618+AI635+AI652+AI669,0)</f>
        <v/>
      </c>
      <c r="AJ1280" s="1586">
        <f>IF(OR(AJ601&gt;0,AJ618&gt;0,AJ635&gt;0,AJ652&gt;0,AJ669&gt;0),AJ601+AJ618+AJ635+AJ652+AJ669,0)</f>
        <v/>
      </c>
      <c r="AK1280" s="1586">
        <f>IF(OR(AK601&gt;0,AK618&gt;0,AK635&gt;0,AK652&gt;0,AK669&gt;0),AK601+AK618+AK635+AK652+AK669,0)</f>
        <v/>
      </c>
      <c r="AL1280" s="1586">
        <f>IF(OR(AL601&gt;0,AL618&gt;0,AL635&gt;0,AL652&gt;0,AL669&gt;0),AL601+AL618+AL635+AL652+AL669,0)</f>
        <v/>
      </c>
      <c r="AM1280" s="1586">
        <f>IF(OR(AM601&gt;0,AM618&gt;0,AM635&gt;0,AM652&gt;0,AM669&gt;0),AM601+AM618+AM635+AM652+AM669,0)</f>
        <v/>
      </c>
      <c r="AN1280" s="1586">
        <f>IF(OR(AN601&gt;0,AN618&gt;0,AN635&gt;0,AN652&gt;0,AN669&gt;0),AN601+AN618+AN635+AN652+AN669,0)</f>
        <v/>
      </c>
      <c r="AO1280" s="1586">
        <f>IF(OR(AO601&gt;0,AO618&gt;0,AO635&gt;0,AO652&gt;0,AO669&gt;0),AO601+AO618+AO635+AO652+AO669,0)</f>
        <v/>
      </c>
      <c r="AP1280" s="1586">
        <f>IF(OR(AP601&gt;0,AP618&gt;0,AP635&gt;0,AP652&gt;0,AP669&gt;0),AP601+AP618+AP635+AP652+AP669,0)</f>
        <v/>
      </c>
      <c r="AQ1280" s="1586">
        <f>IF(OR(AQ601&gt;0,AQ618&gt;0,AQ635&gt;0,AQ652&gt;0,AQ669&gt;0),AQ601+AQ618+AQ635+AQ652+AQ669,0)</f>
        <v/>
      </c>
      <c r="AR1280" s="1586">
        <f>IF(OR(AR601&gt;0,AR618&gt;0,AR635&gt;0,AR652&gt;0,AR669&gt;0),AR601+AR618+AR635+AR652+AR669,0)</f>
        <v/>
      </c>
      <c r="AS1280" s="1586">
        <f>IF(OR(AS601&gt;0,AS618&gt;0,AS635&gt;0,AS652&gt;0,AS669&gt;0),AS601+AS618+AS635+AS652+AS669,0)</f>
        <v/>
      </c>
      <c r="AT1280" s="1586">
        <f>IF(OR(AT601&gt;0,AT618&gt;0,AT635&gt;0,AT652&gt;0,AT669&gt;0),AT601+AT618+AT635+AT652+AT669,0)</f>
        <v/>
      </c>
      <c r="AU1280" s="1586">
        <f>IF(OR(AU601&gt;0,AU618&gt;0,AU635&gt;0,AU652&gt;0,AU669&gt;0),AU601+AU618+AU635+AU652+AU669,0)</f>
        <v/>
      </c>
      <c r="AV1280" s="1586">
        <f>IF(OR(AV601&gt;0,AV618&gt;0,AV635&gt;0,AV652&gt;0,AV669&gt;0),AV601+AV618+AV635+AV652+AV669,0)</f>
        <v/>
      </c>
      <c r="AW1280" s="1586">
        <f>IF(OR(AW601&gt;0,AW618&gt;0,AW635&gt;0,AW652&gt;0,AW669&gt;0),AW601+AW618+AW635+AW652+AW669,0)</f>
        <v/>
      </c>
      <c r="AX1280" s="1586">
        <f>IF(OR(AX601&gt;0,AX618&gt;0,AX635&gt;0,AX652&gt;0,AX669&gt;0),AX601+AX618+AX635+AX652+AX669,0)</f>
        <v/>
      </c>
      <c r="AY1280" s="1586">
        <f>IF(OR(AY601&gt;0,AY618&gt;0,AY635&gt;0,AY652&gt;0,AY669&gt;0),AY601+AY618+AY635+AY652+AY669,0)</f>
        <v/>
      </c>
      <c r="AZ1280" s="1586">
        <f>IF(OR(AZ601&gt;0,AZ618&gt;0,AZ635&gt;0,AZ652&gt;0,AZ669&gt;0),AZ601+AZ618+AZ635+AZ652+AZ669,0)</f>
        <v/>
      </c>
      <c r="BA1280" s="1586">
        <f>IF(OR(BA601&gt;0,BA618&gt;0,BA635&gt;0,BA652&gt;0,BA669&gt;0),BA601+BA618+BA635+BA652+BA669,0)</f>
        <v/>
      </c>
      <c r="BB1280" s="1586">
        <f>IF(OR(BB601&gt;0,BB618&gt;0,BB635&gt;0,BB652&gt;0,BB669&gt;0),BB601+BB618+BB635+BB652+BB669,0)</f>
        <v/>
      </c>
      <c r="BC1280" s="1586">
        <f>IF(OR(BC601&gt;0,BC618&gt;0,BC635&gt;0,BC652&gt;0,BC669&gt;0),BC601+BC618+BC635+BC652+BC669,0)</f>
        <v/>
      </c>
      <c r="BD1280" s="1586">
        <f>IF(OR(BD601&gt;0,BD618&gt;0,BD635&gt;0,BD652&gt;0,BD669&gt;0),BD601+BD618+BD635+BD652+BD669,0)</f>
        <v/>
      </c>
      <c r="BE1280" s="1586">
        <f>IF(OR(BE601&gt;0,BE618&gt;0,BE635&gt;0,BE652&gt;0,BE669&gt;0),BE601+BE618+BE635+BE652+BE669,0)</f>
        <v/>
      </c>
      <c r="BF1280" s="1586">
        <f>IF(OR(BF601&gt;0,BF618&gt;0,BF635&gt;0,BF652&gt;0,BF669&gt;0),BF601+BF618+BF635+BF652+BF669,0)</f>
        <v/>
      </c>
      <c r="BG1280" s="1586">
        <f>IF(OR(BG601&gt;0,BG618&gt;0,BG635&gt;0,BG652&gt;0,BG669&gt;0),BG601+BG618+BG635+BG652+BG669,0)</f>
        <v/>
      </c>
      <c r="BH1280" s="1586">
        <f>IF(OR(BH601&gt;0,BH618&gt;0,BH635&gt;0,BH652&gt;0,BH669&gt;0),BH601+BH618+BH635+BH652+BH669,0)</f>
        <v/>
      </c>
      <c r="BI1280" s="1586">
        <f>IF(OR(BI601&gt;0,BI618&gt;0,BI635&gt;0,BI652&gt;0,BI669&gt;0),BI601+BI618+BI635+BI652+BI669,0)</f>
        <v/>
      </c>
      <c r="BJ1280" s="1586">
        <f>IF(OR(BJ601&gt;0,BJ618&gt;0,BJ635&gt;0,BJ652&gt;0,BJ669&gt;0),BJ601+BJ618+BJ635+BJ652+BJ669,0)</f>
        <v/>
      </c>
      <c r="BK1280" s="1586">
        <f>IF(OR(BK601&gt;0,BK618&gt;0,BK635&gt;0,BK652&gt;0,BK669&gt;0),BK601+BK618+BK635+BK652+BK669,0)</f>
        <v/>
      </c>
      <c r="BL1280" s="1586">
        <f>IF(OR(BL601&gt;0,BL618&gt;0,BL635&gt;0,BL652&gt;0,BL669&gt;0),BL601+BL618+BL635+BL652+BL669,0)</f>
        <v/>
      </c>
      <c r="BM1280" s="1586">
        <f>IF(OR(BM601&gt;0,BM618&gt;0,BM635&gt;0,BM652&gt;0,BM669&gt;0),BM601+BM618+BM635+BM652+BM669,0)</f>
        <v/>
      </c>
      <c r="BN1280" s="1586">
        <f>IF(OR(BN601&gt;0,BN618&gt;0,BN635&gt;0,BN652&gt;0,BN669&gt;0),BN601+BN618+BN635+BN652+BN669,0)</f>
        <v/>
      </c>
      <c r="BO1280" s="1586">
        <f>IF(OR(BO601&gt;0,BO618&gt;0,BO635&gt;0,BO652&gt;0,BO669&gt;0),BO601+BO618+BO635+BO652+BO669,0)</f>
        <v/>
      </c>
      <c r="BP1280" s="1586">
        <f>IF(OR(BP601&gt;0,BP618&gt;0,BP635&gt;0,BP652&gt;0,BP669&gt;0),BP601+BP618+BP635+BP652+BP669,0)</f>
        <v/>
      </c>
      <c r="BQ1280" s="1587">
        <f>IF(OR(BQ601&gt;0,BQ618&gt;0,BQ635&gt;0,BQ652&gt;0,BQ669&gt;0),BQ601+BQ618+BQ635+BQ652+BQ669,0)</f>
        <v/>
      </c>
      <c r="BR1280" s="1586">
        <f>IF(OR(BR601&gt;0,BR618&gt;0,BR635&gt;0,BR652&gt;0,BR669&gt;0),BR601+BR618+BR635+BR652+BR669,0)</f>
        <v/>
      </c>
      <c r="BS1280" s="1586">
        <f>IF(OR(BS601&gt;0,BS618&gt;0,BS635&gt;0,BS652&gt;0,BS669&gt;0),BS601+BS618+BS635+BS652+BS669,0)</f>
        <v/>
      </c>
      <c r="BT1280" s="1586">
        <f>IF(OR(BT601&gt;0,BT618&gt;0,BT635&gt;0,BT652&gt;0,BT669&gt;0),BT601+BT618+BT635+BT652+BT669,0)</f>
        <v/>
      </c>
      <c r="BU1280" s="1586">
        <f>IF(OR(BU601&gt;0,BU618&gt;0,BU635&gt;0,BU652&gt;0,BU669&gt;0),BU601+BU618+BU635+BU652+BU669,0)</f>
        <v/>
      </c>
      <c r="BV1280" s="1586">
        <f>IF(OR(BV601&gt;0,BV618&gt;0,BV635&gt;0,BV652&gt;0,BV669&gt;0),BV601+BV618+BV635+BV652+BV669,0)</f>
        <v/>
      </c>
      <c r="BW1280" s="1586">
        <f>IF(OR(BW601&gt;0,BW618&gt;0,BW635&gt;0,BW652&gt;0,BW669&gt;0),BW601+BW618+BW635+BW652+BW669,0)</f>
        <v/>
      </c>
      <c r="BX1280" s="1586">
        <f>IF(OR(BX601&gt;0,BX618&gt;0,BX635&gt;0,BX652&gt;0,BX669&gt;0),BX601+BX618+BX635+BX652+BX669,0)</f>
        <v/>
      </c>
      <c r="BY1280" s="1586">
        <f>IF(OR(BY601&gt;0,BY618&gt;0,BY635&gt;0,BY652&gt;0,BY669&gt;0),BY601+BY618+BY635+BY652+BY669,0)</f>
        <v/>
      </c>
      <c r="BZ1280" s="1586">
        <f>IF(OR(BZ601&gt;0,BZ618&gt;0,BZ635&gt;0,BZ652&gt;0,BZ669&gt;0),BZ601+BZ618+BZ635+BZ652+BZ669,0)</f>
        <v/>
      </c>
      <c r="CA1280" s="1586">
        <f>IF(OR(CA601&gt;0,CA618&gt;0,CA635&gt;0,CA652&gt;0,CA669&gt;0),CA601+CA618+CA635+CA652+CA669,0)</f>
        <v/>
      </c>
      <c r="CB1280" s="1361" t="n"/>
    </row>
    <row r="1281" ht="14.4" customFormat="1" customHeight="1" s="1359">
      <c r="A1281" s="1361" t="inlineStr">
        <is>
          <t>Convertible notes on BS = Convertible notes BV in PDS</t>
        </is>
      </c>
      <c r="B1281" s="1553" t="n"/>
      <c r="C1281" s="1586">
        <f>ROUND(C1225+C1237-(C602+C619+C636+C653+C670),3)</f>
        <v/>
      </c>
      <c r="D1281" s="1586">
        <f>ROUND(D1225+D1237-(D602+D619+D636+D653+D670),3)</f>
        <v/>
      </c>
      <c r="E1281" s="1586">
        <f>ROUND(E1225+E1237-(E602+E619+E636+E653+E670),3)</f>
        <v/>
      </c>
      <c r="F1281" s="1586">
        <f>ROUND(F1225+F1237-(F602+F619+F636+F653+F670),3)</f>
        <v/>
      </c>
      <c r="G1281" s="1586">
        <f>ROUND(G1225+G1237-(G602+G619+G636+G653+G670),3)</f>
        <v/>
      </c>
      <c r="H1281" s="1586">
        <f>ROUND(H1225+H1237-(H602+H619+H636+H653+H670),3)</f>
        <v/>
      </c>
      <c r="I1281" s="1586">
        <f>ROUND(I1225+I1237-(I602+I619+I636+I653+I670),3)</f>
        <v/>
      </c>
      <c r="J1281" s="1586">
        <f>ROUND(J1225+J1237-(J602+J619+J636+J653+J670),3)</f>
        <v/>
      </c>
      <c r="K1281" s="1586">
        <f>ROUND(K1225+K1237-(K602+K619+K636+K653+K670),3)</f>
        <v/>
      </c>
      <c r="L1281" s="1586">
        <f>ROUND(L1225+L1237-(L602+L619+L636+L653+L670),3)</f>
        <v/>
      </c>
      <c r="M1281" s="1586">
        <f>ROUND(M1225+M1237-(M602+M619+M636+M653+M670),3)</f>
        <v/>
      </c>
      <c r="N1281" s="1586">
        <f>ROUND(N1225+N1237-(N602+N619+N636+N653+N670),3)</f>
        <v/>
      </c>
      <c r="O1281" s="1586">
        <f>ROUND(O1225+O1237-(O602+O619+O636+O653+O670),3)</f>
        <v/>
      </c>
      <c r="P1281" s="1586">
        <f>ROUND(P1225+P1237-(P602+P619+P636+P653+P670),3)</f>
        <v/>
      </c>
      <c r="Q1281" s="1586">
        <f>ROUND(Q1225+Q1237-(Q602+Q619+Q636+Q653+Q670),3)</f>
        <v/>
      </c>
      <c r="R1281" s="1586">
        <f>ROUND(R1225+R1237-(R602+R619+R636+R653+R670),3)</f>
        <v/>
      </c>
      <c r="S1281" s="1586">
        <f>ROUND(S1225+S1237-(S602+S619+S636+S653+S670),3)</f>
        <v/>
      </c>
      <c r="T1281" s="1586">
        <f>ROUND(T1225+T1237-(T602+T619+T636+T653+T670),3)</f>
        <v/>
      </c>
      <c r="U1281" s="1586">
        <f>ROUND(U1225+U1237-(U602+U619+U636+U653+U670),3)</f>
        <v/>
      </c>
      <c r="V1281" s="1586">
        <f>ROUND(V1225+V1237-(V602+V619+V636+V653+V670),3)</f>
        <v/>
      </c>
      <c r="W1281" s="1586">
        <f>ROUND(W1225+W1237-(W602+W619+W636+W653+W670),3)</f>
        <v/>
      </c>
      <c r="X1281" s="1586">
        <f>ROUND(X1225+X1237-(X602+X619+X636+X653+X670),3)</f>
        <v/>
      </c>
      <c r="Y1281" s="1586">
        <f>ROUND(Y1225+Y1237-(Y602+Y619+Y636+Y653+Y670),3)</f>
        <v/>
      </c>
      <c r="Z1281" s="1586">
        <f>ROUND(Z1225+Z1237-(Z602+Z619+Z636+Z653+Z670),3)</f>
        <v/>
      </c>
      <c r="AA1281" s="1586">
        <f>ROUND(AA1225+AA1237-(AA602+AA619+AA636+AA653+AA670),3)</f>
        <v/>
      </c>
      <c r="AB1281" s="1586">
        <f>ROUND(AB1225+AB1237-(AB602+AB619+AB636+AB653+AB670),3)</f>
        <v/>
      </c>
      <c r="AC1281" s="1586">
        <f>ROUND(AC1225+AC1237-(AC602+AC619+AC636+AC653+AC670),3)</f>
        <v/>
      </c>
      <c r="AD1281" s="1586">
        <f>ROUND(AD1225+AD1237-(AD602+AD619+AD636+AD653+AD670),3)</f>
        <v/>
      </c>
      <c r="AE1281" s="1586">
        <f>ROUND(AE1225+AE1237-(AE602+AE619+AE636+AE653+AE670),3)</f>
        <v/>
      </c>
      <c r="AF1281" s="1586">
        <f>ROUND(AF1225+AF1237-(AF602+AF619+AF636+AF653+AF670),3)</f>
        <v/>
      </c>
      <c r="AG1281" s="1586">
        <f>ROUND(AG1225+AG1237-(AG602+AG619+AG636+AG653+AG670),3)</f>
        <v/>
      </c>
      <c r="AH1281" s="1586">
        <f>ROUND(AH1225+AH1237-(AH602+AH619+AH636+AH653+AH670),3)</f>
        <v/>
      </c>
      <c r="AI1281" s="1586">
        <f>ROUND(AI1225+AI1237-(AI602+AI619+AI636+AI653+AI670),3)</f>
        <v/>
      </c>
      <c r="AJ1281" s="1586">
        <f>ROUND(AJ1225+AJ1237-(AJ602+AJ619+AJ636+AJ653+AJ670),3)</f>
        <v/>
      </c>
      <c r="AK1281" s="1586">
        <f>ROUND(AK1225+AK1237-(AK602+AK619+AK636+AK653+AK670),3)</f>
        <v/>
      </c>
      <c r="AL1281" s="1586">
        <f>ROUND(AL1225+AL1237-(AL602+AL619+AL636+AL653+AL670),3)</f>
        <v/>
      </c>
      <c r="AM1281" s="1586">
        <f>ROUND(AM1225+AM1237-(AM602+AM619+AM636+AM653+AM670),3)</f>
        <v/>
      </c>
      <c r="AN1281" s="1586">
        <f>ROUND(AN1225+AN1237-(AN602+AN619+AN636+AN653+AN670),3)</f>
        <v/>
      </c>
      <c r="AO1281" s="1586">
        <f>ROUND(AO1225+AO1237-(AO602+AO619+AO636+AO653+AO670),3)</f>
        <v/>
      </c>
      <c r="AP1281" s="1586">
        <f>ROUND(AP1225+AP1237-(AP602+AP619+AP636+AP653+AP670),3)</f>
        <v/>
      </c>
      <c r="AQ1281" s="1586">
        <f>ROUND(AQ1225+AQ1237-(AQ602+AQ619+AQ636+AQ653+AQ670),3)</f>
        <v/>
      </c>
      <c r="AR1281" s="1586">
        <f>ROUND(AR1225+AR1237-(AR602+AR619+AR636+AR653+AR670),3)</f>
        <v/>
      </c>
      <c r="AS1281" s="1586">
        <f>ROUND(AS1225+AS1237-(AS602+AS619+AS636+AS653+AS670),3)</f>
        <v/>
      </c>
      <c r="AT1281" s="1586">
        <f>ROUND(AT1225+AT1237-(AT602+AT619+AT636+AT653+AT670),3)</f>
        <v/>
      </c>
      <c r="AU1281" s="1586">
        <f>ROUND(AU1225+AU1237-(AU602+AU619+AU636+AU653+AU670),3)</f>
        <v/>
      </c>
      <c r="AV1281" s="1586">
        <f>ROUND(AV1225+AV1237-(AV602+AV619+AV636+AV653+AV670),3)</f>
        <v/>
      </c>
      <c r="AW1281" s="1586">
        <f>ROUND(AW1225+AW1237-(AW602+AW619+AW636+AW653+AW670),3)</f>
        <v/>
      </c>
      <c r="AX1281" s="1586">
        <f>ROUND(AX1225+AX1237-(AX602+AX619+AX636+AX653+AX670),3)</f>
        <v/>
      </c>
      <c r="AY1281" s="1586">
        <f>ROUND(AY1225+AY1237-(AY602+AY619+AY636+AY653+AY670),3)</f>
        <v/>
      </c>
      <c r="AZ1281" s="1586">
        <f>ROUND(AZ1225+AZ1237-(AZ602+AZ619+AZ636+AZ653+AZ670),3)</f>
        <v/>
      </c>
      <c r="BA1281" s="1586">
        <f>ROUND(BA1225+BA1237-(BA602+BA619+BA636+BA653+BA670),3)</f>
        <v/>
      </c>
      <c r="BB1281" s="1586">
        <f>ROUND(BB1225+BB1237-(BB602+BB619+BB636+BB653+BB670),3)</f>
        <v/>
      </c>
      <c r="BC1281" s="1586">
        <f>ROUND(BC1225+BC1237-(BC602+BC619+BC636+BC653+BC670),3)</f>
        <v/>
      </c>
      <c r="BD1281" s="1586">
        <f>ROUND(BD1225+BD1237-(BD602+BD619+BD636+BD653+BD670),3)</f>
        <v/>
      </c>
      <c r="BE1281" s="1586">
        <f>ROUND(BE1225+BE1237-(BE602+BE619+BE636+BE653+BE670),3)</f>
        <v/>
      </c>
      <c r="BF1281" s="1586">
        <f>ROUND(BF1225+BF1237-(BF602+BF619+BF636+BF653+BF670),3)</f>
        <v/>
      </c>
      <c r="BG1281" s="1586">
        <f>ROUND(BG1225+BG1237-(BG602+BG619+BG636+BG653+BG670),3)</f>
        <v/>
      </c>
      <c r="BH1281" s="1586">
        <f>ROUND(BH1225+BH1237-(BH602+BH619+BH636+BH653+BH670),3)</f>
        <v/>
      </c>
      <c r="BI1281" s="1586">
        <f>ROUND(BI1225+BI1237-(BI602+BI619+BI636+BI653+BI670),3)</f>
        <v/>
      </c>
      <c r="BJ1281" s="1586">
        <f>ROUND(BJ1225+BJ1237-(BJ602+BJ619+BJ636+BJ653+BJ670),3)</f>
        <v/>
      </c>
      <c r="BK1281" s="1586">
        <f>ROUND(BK1225+BK1237-(BK602+BK619+BK636+BK653+BK670),3)</f>
        <v/>
      </c>
      <c r="BL1281" s="1586">
        <f>ROUND(BL1225+BL1237-(BL602+BL619+BL636+BL653+BL670),3)</f>
        <v/>
      </c>
      <c r="BM1281" s="1586">
        <f>ROUND(BM1225+BM1237-(BM602+BM619+BM636+BM653+BM670),3)</f>
        <v/>
      </c>
      <c r="BN1281" s="1586">
        <f>ROUND(BN1225+BN1237-(BN602+BN619+BN636+BN653+BN670),3)</f>
        <v/>
      </c>
      <c r="BO1281" s="1586">
        <f>ROUND(BO1225+BO1237-(BO602+BO619+BO636+BO653+BO670),3)</f>
        <v/>
      </c>
      <c r="BP1281" s="1586">
        <f>ROUND(BP1225+BP1237-(BP602+BP619+BP636+BP653+BP670),3)</f>
        <v/>
      </c>
      <c r="BQ1281" s="1587">
        <f>ROUND(BQ1225+BQ1237-(BQ602+BQ619+BQ636+BQ653+BQ670),3)</f>
        <v/>
      </c>
      <c r="BR1281" s="1586">
        <f>ROUND(BR1225+BR1237-(BR602+BR619+BR636+BR653+BR670),3)</f>
        <v/>
      </c>
      <c r="BS1281" s="1586">
        <f>ROUND(BS1225+BS1237-(BS602+BS619+BS636+BS653+BS670),3)</f>
        <v/>
      </c>
      <c r="BT1281" s="1586">
        <f>ROUND(BT1225+BT1237-(BT602+BT619+BT636+BT653+BT670),3)</f>
        <v/>
      </c>
      <c r="BU1281" s="1586">
        <f>ROUND(BU1225+BU1237-(BU602+BU619+BU636+BU653+BU670),3)</f>
        <v/>
      </c>
      <c r="BV1281" s="1586">
        <f>ROUND(BV1225+BV1237-(BV602+BV619+BV636+BV653+BV670),3)</f>
        <v/>
      </c>
      <c r="BW1281" s="1586">
        <f>ROUND(BW1225+BW1237-(BW602+BW619+BW636+BW653+BW670),3)</f>
        <v/>
      </c>
      <c r="BX1281" s="1586">
        <f>ROUND(BX1225+BX1237-(BX602+BX619+BX636+BX653+BX670),3)</f>
        <v/>
      </c>
      <c r="BY1281" s="1586">
        <f>ROUND(BY1225+BY1237-(BY602+BY619+BY636+BY653+BY670),3)</f>
        <v/>
      </c>
      <c r="BZ1281" s="1586">
        <f>ROUND(BZ1225+BZ1237-(BZ602+BZ619+BZ636+BZ653+BZ670),3)</f>
        <v/>
      </c>
      <c r="CA1281" s="1586">
        <f>ROUND(CA1225+CA1237-(CA602+CA619+CA636+CA653+CA670),3)</f>
        <v/>
      </c>
      <c r="CB1281" s="1361" t="n"/>
    </row>
    <row r="1282" ht="14.4" customFormat="1" customHeight="1" s="1359">
      <c r="A1282" s="1361" t="n"/>
      <c r="B1282" s="1553" t="n"/>
      <c r="C1282" s="1553" t="n"/>
      <c r="D1282" s="1553" t="n"/>
      <c r="E1282" s="1553" t="n"/>
      <c r="F1282" s="1553" t="n"/>
      <c r="G1282" s="1553" t="n"/>
      <c r="H1282" s="1553" t="n"/>
      <c r="I1282" s="1553" t="n"/>
      <c r="J1282" s="1553" t="n"/>
      <c r="K1282" s="1553" t="n"/>
      <c r="L1282" s="1553" t="n"/>
      <c r="M1282" s="1553" t="n"/>
      <c r="N1282" s="1553" t="n"/>
      <c r="O1282" s="1553" t="n"/>
      <c r="P1282" s="1553" t="n"/>
      <c r="Q1282" s="1553" t="n"/>
      <c r="R1282" s="1553" t="n"/>
      <c r="S1282" s="1553" t="n"/>
      <c r="T1282" s="1553" t="n"/>
      <c r="U1282" s="1553" t="n"/>
      <c r="V1282" s="1553" t="n"/>
      <c r="W1282" s="1361" t="n"/>
      <c r="X1282" s="1361" t="n"/>
      <c r="Y1282" s="1361" t="n"/>
      <c r="Z1282" s="1361" t="n"/>
      <c r="AA1282" s="1361" t="n"/>
      <c r="AB1282" s="1361" t="n"/>
      <c r="AC1282" s="1361" t="n"/>
      <c r="AD1282" s="1361" t="n"/>
      <c r="AE1282" s="1361" t="n"/>
      <c r="AF1282" s="1361" t="n"/>
      <c r="AG1282" s="1361" t="n"/>
      <c r="AH1282" s="1361" t="n"/>
      <c r="AI1282" s="1361" t="n"/>
      <c r="AJ1282" s="1361" t="n"/>
      <c r="AK1282" s="1361" t="n"/>
      <c r="AL1282" s="1361" t="n"/>
      <c r="AM1282" s="1361" t="n"/>
      <c r="AN1282" s="1361" t="n"/>
      <c r="AO1282" s="1361" t="n"/>
      <c r="AP1282" s="1361" t="n"/>
      <c r="AQ1282" s="1361" t="n"/>
      <c r="AR1282" s="1361" t="n"/>
      <c r="AS1282" s="1361" t="n"/>
      <c r="AT1282" s="1361" t="n"/>
      <c r="AU1282" s="1361" t="n"/>
      <c r="AV1282" s="1361" t="n"/>
      <c r="AW1282" s="1361" t="n"/>
      <c r="AX1282" s="1361" t="n"/>
      <c r="AY1282" s="1361" t="n"/>
      <c r="AZ1282" s="1361" t="n"/>
      <c r="BA1282" s="1361" t="n"/>
      <c r="BB1282" s="1361" t="n"/>
      <c r="BC1282" s="1361" t="n"/>
      <c r="BD1282" s="1361" t="n"/>
      <c r="BE1282" s="1361" t="n"/>
      <c r="BF1282" s="1361" t="n"/>
      <c r="BG1282" s="1361" t="n"/>
      <c r="BH1282" s="1361" t="n"/>
      <c r="BI1282" s="1361" t="n"/>
      <c r="BJ1282" s="1361" t="n"/>
      <c r="BK1282" s="1361" t="n"/>
      <c r="BL1282" s="1361" t="n"/>
      <c r="BM1282" s="1361" t="n"/>
      <c r="BN1282" s="1361" t="n"/>
      <c r="BO1282" s="1361" t="n"/>
      <c r="BP1282" s="1361" t="n"/>
      <c r="BQ1282" s="1363" t="n"/>
      <c r="BR1282" s="1361" t="n"/>
      <c r="BS1282" s="1361" t="n"/>
      <c r="BT1282" s="1361" t="n"/>
      <c r="BU1282" s="1361" t="n"/>
      <c r="BV1282" s="1361" t="n"/>
      <c r="BW1282" s="1361" t="n"/>
      <c r="BX1282" s="1361" t="n"/>
      <c r="BY1282" s="1361" t="n"/>
      <c r="BZ1282" s="1361" t="n"/>
      <c r="CA1282" s="1361" t="n"/>
      <c r="CB1282" s="1364" t="n"/>
    </row>
    <row r="1283" ht="14.4" customFormat="1" customHeight="1" s="1372">
      <c r="A1283" s="1956" t="inlineStr">
        <is>
          <t>Other Tables</t>
        </is>
      </c>
      <c r="B1283" s="1956" t="n"/>
      <c r="C1283" s="1956" t="n"/>
      <c r="D1283" s="1956" t="n"/>
      <c r="E1283" s="1956" t="n"/>
      <c r="F1283" s="1956" t="n"/>
      <c r="G1283" s="1956" t="n"/>
      <c r="H1283" s="1956" t="n"/>
      <c r="I1283" s="1956" t="n"/>
      <c r="J1283" s="1956" t="n"/>
      <c r="K1283" s="1956" t="n"/>
      <c r="L1283" s="1956" t="n"/>
      <c r="M1283" s="1956" t="n"/>
      <c r="N1283" s="1956" t="n"/>
      <c r="O1283" s="1956" t="n"/>
      <c r="P1283" s="1956" t="n"/>
      <c r="Q1283" s="1956" t="n"/>
      <c r="R1283" s="1956" t="n"/>
      <c r="S1283" s="1956" t="n"/>
      <c r="T1283" s="1956" t="n"/>
      <c r="U1283" s="1956" t="n"/>
      <c r="V1283" s="1956" t="n"/>
      <c r="W1283" s="1956" t="n"/>
      <c r="X1283" s="1956" t="n"/>
      <c r="Y1283" s="1956" t="n"/>
      <c r="Z1283" s="1956" t="n"/>
      <c r="AA1283" s="1956" t="n"/>
      <c r="AB1283" s="1956" t="n"/>
      <c r="AC1283" s="1956" t="n"/>
      <c r="AD1283" s="1956" t="n"/>
      <c r="AE1283" s="1956" t="n"/>
      <c r="AF1283" s="1956" t="n"/>
      <c r="AG1283" s="1956" t="n"/>
      <c r="AH1283" s="1956" t="n"/>
      <c r="AI1283" s="1956" t="n"/>
      <c r="AJ1283" s="1956" t="n"/>
      <c r="AK1283" s="1956" t="n"/>
      <c r="AL1283" s="1956" t="n"/>
      <c r="AM1283" s="1956" t="n"/>
      <c r="AN1283" s="1956" t="n"/>
      <c r="AO1283" s="1956" t="n"/>
      <c r="AP1283" s="1956" t="n"/>
      <c r="AQ1283" s="1956" t="n"/>
      <c r="AR1283" s="1956" t="n"/>
      <c r="AS1283" s="1956" t="n"/>
      <c r="AT1283" s="1956" t="n"/>
      <c r="AU1283" s="1956" t="n"/>
      <c r="AV1283" s="1956" t="n"/>
      <c r="AW1283" s="1956" t="n"/>
      <c r="AX1283" s="1956" t="n"/>
      <c r="AY1283" s="1956" t="n"/>
      <c r="AZ1283" s="1956" t="n"/>
      <c r="BA1283" s="1956" t="n"/>
      <c r="BB1283" s="1956" t="n"/>
      <c r="BC1283" s="1956" t="n"/>
      <c r="BD1283" s="1956" t="n"/>
      <c r="BE1283" s="1956" t="n"/>
      <c r="BF1283" s="1956" t="n"/>
      <c r="BG1283" s="1956" t="n"/>
      <c r="BH1283" s="1956" t="n"/>
      <c r="BI1283" s="1956" t="n"/>
      <c r="BJ1283" s="1956" t="n"/>
      <c r="BK1283" s="1956" t="n"/>
      <c r="BL1283" s="1956" t="n"/>
      <c r="BM1283" s="1956" t="n"/>
      <c r="BN1283" s="1956" t="n"/>
      <c r="BO1283" s="1956" t="n"/>
      <c r="BP1283" s="1956" t="n"/>
      <c r="BQ1283" s="1957" t="n"/>
      <c r="BR1283" s="1956" t="n"/>
      <c r="BS1283" s="1956" t="n"/>
      <c r="BT1283" s="1956" t="n"/>
      <c r="BU1283" s="1956" t="n"/>
      <c r="BV1283" s="1956" t="n"/>
      <c r="BW1283" s="1956" t="n"/>
      <c r="BX1283" s="1956" t="n"/>
      <c r="BY1283" s="1956" t="n"/>
      <c r="BZ1283" s="1956" t="n"/>
      <c r="CA1283" s="1956" t="n"/>
      <c r="CB1283" s="1375" t="n"/>
    </row>
    <row r="1284" ht="14.4" customFormat="1" customHeight="1" s="1359">
      <c r="A1284" s="1958" t="n"/>
      <c r="B1284" s="1361" t="n"/>
      <c r="C1284" s="1959" t="n"/>
      <c r="D1284" s="1959" t="n"/>
      <c r="E1284" s="1361" t="n"/>
      <c r="F1284" s="1361" t="n"/>
      <c r="G1284" s="1361" t="n"/>
      <c r="H1284" s="1361" t="n"/>
      <c r="I1284" s="1361" t="n"/>
      <c r="J1284" s="1361" t="n"/>
      <c r="K1284" s="1361" t="n"/>
      <c r="L1284" s="1361" t="n"/>
      <c r="M1284" s="1361" t="n"/>
      <c r="N1284" s="1361" t="n"/>
      <c r="O1284" s="1361" t="n"/>
      <c r="P1284" s="1361" t="n"/>
      <c r="Q1284" s="1361" t="n"/>
      <c r="R1284" s="1361" t="n"/>
      <c r="S1284" s="1361" t="n"/>
      <c r="T1284" s="1361" t="n"/>
      <c r="U1284" s="1361" t="n"/>
      <c r="V1284" s="1361" t="n"/>
      <c r="W1284" s="1361" t="n"/>
      <c r="X1284" s="1361" t="n"/>
      <c r="Y1284" s="1361" t="n"/>
      <c r="Z1284" s="1361" t="n"/>
      <c r="AA1284" s="1361" t="n"/>
      <c r="AB1284" s="1361" t="n"/>
      <c r="AC1284" s="1361" t="n"/>
      <c r="AD1284" s="1361" t="n"/>
      <c r="AE1284" s="1361" t="n"/>
      <c r="AF1284" s="1361" t="n"/>
      <c r="AG1284" s="1361" t="n"/>
      <c r="AH1284" s="1361" t="n"/>
      <c r="AI1284" s="1361" t="n"/>
      <c r="AJ1284" s="1361" t="n"/>
      <c r="AK1284" s="1361" t="n"/>
      <c r="AL1284" s="1361" t="n"/>
      <c r="AM1284" s="1361" t="n"/>
      <c r="AN1284" s="1361" t="n"/>
      <c r="AO1284" s="1361" t="n"/>
      <c r="AP1284" s="1361" t="n"/>
      <c r="AQ1284" s="1361" t="n"/>
      <c r="AR1284" s="1361" t="n"/>
      <c r="AS1284" s="1361" t="n"/>
      <c r="AT1284" s="1361" t="n"/>
      <c r="AU1284" s="1361" t="n"/>
      <c r="AV1284" s="1361" t="n"/>
      <c r="AW1284" s="1361" t="n"/>
      <c r="AX1284" s="1361" t="n"/>
      <c r="AY1284" s="1361" t="n"/>
      <c r="AZ1284" s="1361" t="n"/>
      <c r="BA1284" s="1361" t="n"/>
      <c r="BB1284" s="1361" t="n"/>
      <c r="BC1284" s="1361" t="n"/>
      <c r="BD1284" s="1361" t="n"/>
      <c r="BE1284" s="1361" t="n"/>
      <c r="BF1284" s="1361" t="n"/>
      <c r="BG1284" s="1361" t="n"/>
      <c r="BH1284" s="1361" t="n"/>
      <c r="BI1284" s="1361" t="n"/>
      <c r="BJ1284" s="1361" t="n"/>
      <c r="BK1284" s="1361" t="n"/>
      <c r="BL1284" s="1361" t="n"/>
      <c r="BM1284" s="1361" t="n"/>
      <c r="BN1284" s="1361" t="n"/>
      <c r="BO1284" s="1361" t="n"/>
      <c r="BP1284" s="1361" t="n"/>
      <c r="BQ1284" s="1363" t="n"/>
      <c r="BR1284" s="1361" t="n"/>
      <c r="BS1284" s="1361" t="n"/>
      <c r="BT1284" s="1361" t="n"/>
      <c r="BU1284" s="1361" t="n"/>
      <c r="BV1284" s="1361" t="n"/>
      <c r="BW1284" s="1361" t="n"/>
      <c r="BX1284" s="1361" t="n"/>
      <c r="BY1284" s="1361" t="n"/>
      <c r="BZ1284" s="1361" t="n"/>
      <c r="CA1284" s="1361" t="n"/>
      <c r="CB1284" s="1364" t="n"/>
    </row>
    <row r="1285" ht="14.4" customFormat="1" customHeight="1" s="1960">
      <c r="A1285" s="1961" t="inlineStr">
        <is>
          <t>Ticker Symbol</t>
        </is>
      </c>
      <c r="B1285" s="1962" t="n"/>
      <c r="C1285" s="1963" t="n"/>
      <c r="D1285" s="1963" t="n"/>
      <c r="E1285" s="1759" t="n"/>
      <c r="F1285" s="1759" t="n"/>
      <c r="G1285" s="1759" t="n"/>
      <c r="H1285" s="1759" t="n"/>
      <c r="I1285" s="1759" t="n"/>
      <c r="J1285" s="1759" t="n"/>
      <c r="K1285" s="1759" t="n"/>
      <c r="L1285" s="1759" t="n"/>
      <c r="M1285" s="1759" t="n"/>
      <c r="N1285" s="1759" t="n"/>
      <c r="O1285" s="1759" t="n"/>
      <c r="P1285" s="1759" t="n"/>
      <c r="Q1285" s="1759" t="n"/>
      <c r="R1285" s="1759" t="n"/>
      <c r="S1285" s="1759" t="n"/>
      <c r="T1285" s="1759" t="n"/>
      <c r="U1285" s="1759" t="n"/>
      <c r="V1285" s="1759" t="n"/>
      <c r="W1285" s="1759" t="n"/>
      <c r="X1285" s="1759" t="n"/>
      <c r="Y1285" s="1759" t="n"/>
      <c r="Z1285" s="1759" t="n"/>
      <c r="AA1285" s="1759" t="n"/>
      <c r="AB1285" s="1759" t="n"/>
      <c r="AC1285" s="1759" t="n"/>
      <c r="AD1285" s="1759" t="n"/>
      <c r="AE1285" s="1759" t="n"/>
      <c r="AF1285" s="1759" t="n"/>
      <c r="AG1285" s="1759" t="n"/>
      <c r="AH1285" s="1759" t="n"/>
      <c r="AI1285" s="1759" t="n"/>
      <c r="AJ1285" s="1759" t="n"/>
      <c r="AK1285" s="1759" t="n"/>
      <c r="AL1285" s="1759" t="n"/>
      <c r="AM1285" s="1759" t="n"/>
      <c r="AN1285" s="1759" t="n"/>
      <c r="AO1285" s="1759" t="n"/>
      <c r="AP1285" s="1759" t="n"/>
      <c r="AQ1285" s="1759" t="n"/>
      <c r="AR1285" s="1759" t="n"/>
      <c r="AS1285" s="1759" t="n"/>
      <c r="AT1285" s="1759" t="n"/>
      <c r="AU1285" s="1759" t="n"/>
      <c r="AV1285" s="1759" t="n"/>
      <c r="AW1285" s="1759" t="n"/>
      <c r="AX1285" s="1759" t="n"/>
      <c r="AY1285" s="1759" t="n"/>
      <c r="AZ1285" s="1759" t="n"/>
      <c r="BA1285" s="1759" t="n"/>
      <c r="BB1285" s="1759" t="n"/>
      <c r="BC1285" s="1759" t="n"/>
      <c r="BD1285" s="1759" t="n"/>
      <c r="BE1285" s="1759" t="n"/>
      <c r="BF1285" s="1759" t="n"/>
      <c r="BG1285" s="1759" t="n"/>
      <c r="BH1285" s="1759" t="n"/>
      <c r="BI1285" s="1759" t="n"/>
      <c r="BJ1285" s="1759" t="n"/>
      <c r="BK1285" s="1759" t="n"/>
      <c r="BL1285" s="1759" t="n"/>
      <c r="BM1285" s="1759" t="n"/>
      <c r="BN1285" s="1759" t="n"/>
      <c r="BO1285" s="1759" t="n"/>
      <c r="BP1285" s="1759" t="n"/>
      <c r="BQ1285" s="1964" t="n"/>
      <c r="BR1285" s="1759" t="n"/>
      <c r="BS1285" s="1759" t="n"/>
      <c r="BT1285" s="1759" t="n"/>
      <c r="BU1285" s="1759" t="n"/>
      <c r="BV1285" s="1759" t="n"/>
      <c r="BW1285" s="1759" t="n"/>
      <c r="BX1285" s="1759" t="n"/>
      <c r="BY1285" s="1759" t="n"/>
      <c r="BZ1285" s="1759" t="n"/>
      <c r="CA1285" s="1759" t="n"/>
      <c r="CB1285" s="1965" t="n"/>
    </row>
    <row r="1286" ht="14.4" customFormat="1" customHeight="1" s="1960">
      <c r="A1286" s="1966" t="inlineStr">
        <is>
          <t>CDNS_US</t>
        </is>
      </c>
      <c r="B1286" s="1967" t="n"/>
      <c r="C1286" s="1968" t="n"/>
      <c r="D1286" s="1968" t="n"/>
      <c r="E1286" s="1471" t="n"/>
      <c r="F1286" s="1471" t="n"/>
      <c r="G1286" s="1471" t="n"/>
      <c r="H1286" s="1471" t="n"/>
      <c r="I1286" s="1471" t="n"/>
      <c r="J1286" s="1471" t="n"/>
      <c r="K1286" s="1471" t="n"/>
      <c r="L1286" s="1471" t="n"/>
      <c r="M1286" s="1471" t="n"/>
      <c r="N1286" s="1471" t="n"/>
      <c r="O1286" s="1471" t="n"/>
      <c r="P1286" s="1471" t="n"/>
      <c r="Q1286" s="1471" t="n"/>
      <c r="R1286" s="1471" t="n"/>
      <c r="S1286" s="1471" t="n"/>
      <c r="T1286" s="1471" t="n"/>
      <c r="U1286" s="1471" t="n"/>
      <c r="V1286" s="1471" t="n"/>
      <c r="W1286" s="1471" t="n"/>
      <c r="X1286" s="1471" t="n"/>
      <c r="Y1286" s="1471" t="n"/>
      <c r="Z1286" s="1471" t="n"/>
      <c r="AA1286" s="1471" t="n"/>
      <c r="AB1286" s="1471" t="n"/>
      <c r="AC1286" s="1471" t="n"/>
      <c r="AD1286" s="1471" t="n"/>
      <c r="AE1286" s="1471" t="n"/>
      <c r="AF1286" s="1471" t="n"/>
      <c r="AG1286" s="1471" t="n"/>
      <c r="AH1286" s="1471" t="n"/>
      <c r="AI1286" s="1471" t="n"/>
      <c r="AJ1286" s="1471" t="n"/>
      <c r="AK1286" s="1471" t="n"/>
      <c r="AL1286" s="1471" t="n"/>
      <c r="AM1286" s="1471" t="n"/>
      <c r="AN1286" s="1471" t="n"/>
      <c r="AO1286" s="1471" t="n"/>
      <c r="AP1286" s="1471" t="n"/>
      <c r="AQ1286" s="1471" t="n"/>
      <c r="AR1286" s="1471" t="n"/>
      <c r="AS1286" s="1471" t="n"/>
      <c r="AT1286" s="1471" t="n"/>
      <c r="AU1286" s="1471" t="n"/>
      <c r="AV1286" s="1471" t="n"/>
      <c r="AW1286" s="1471" t="n"/>
      <c r="AX1286" s="1471" t="n"/>
      <c r="AY1286" s="1471" t="n"/>
      <c r="AZ1286" s="1471" t="n"/>
      <c r="BA1286" s="1471" t="n"/>
      <c r="BB1286" s="1471" t="n"/>
      <c r="BC1286" s="1471" t="n"/>
      <c r="BD1286" s="1471" t="n"/>
      <c r="BE1286" s="1471" t="n"/>
      <c r="BF1286" s="1471" t="n"/>
      <c r="BG1286" s="1471" t="n"/>
      <c r="BH1286" s="1471" t="n"/>
      <c r="BI1286" s="1471" t="n"/>
      <c r="BJ1286" s="1471" t="n"/>
      <c r="BK1286" s="1471" t="n"/>
      <c r="BL1286" s="1471" t="n"/>
      <c r="BM1286" s="1471" t="n"/>
      <c r="BN1286" s="1471" t="n"/>
      <c r="BO1286" s="1471" t="n"/>
      <c r="BP1286" s="1471" t="n"/>
      <c r="BQ1286" s="1487" t="n"/>
      <c r="BR1286" s="1471" t="n"/>
      <c r="BS1286" s="1471" t="n"/>
      <c r="BT1286" s="1471" t="n"/>
      <c r="BU1286" s="1471" t="n"/>
      <c r="BV1286" s="1471" t="n"/>
      <c r="BW1286" s="1471" t="n"/>
      <c r="BX1286" s="1471" t="n"/>
      <c r="BY1286" s="1471" t="n"/>
      <c r="BZ1286" s="1471" t="n"/>
      <c r="CA1286" s="1471" t="n"/>
      <c r="CB1286" s="1965" t="n"/>
    </row>
    <row r="1287" ht="14.4" customFormat="1" customHeight="1" s="1549">
      <c r="A1287" s="1969" t="inlineStr">
        <is>
          <t>CDNS US</t>
        </is>
      </c>
      <c r="B1287" s="1967" t="n"/>
      <c r="C1287" s="1968" t="n"/>
      <c r="D1287" s="1968" t="n"/>
      <c r="E1287" s="1471" t="n"/>
      <c r="F1287" s="1471" t="n"/>
      <c r="G1287" s="1471" t="n"/>
      <c r="H1287" s="1471" t="n"/>
      <c r="I1287" s="1471" t="n"/>
      <c r="J1287" s="1471" t="n"/>
      <c r="K1287" s="1471" t="n"/>
      <c r="L1287" s="1471" t="n"/>
      <c r="M1287" s="1471" t="n"/>
      <c r="N1287" s="1471" t="n"/>
      <c r="O1287" s="1471" t="n"/>
      <c r="P1287" s="1471" t="n"/>
      <c r="Q1287" s="1471" t="n"/>
      <c r="R1287" s="1471" t="n"/>
      <c r="S1287" s="1471" t="n"/>
      <c r="T1287" s="1471" t="n"/>
      <c r="U1287" s="1471" t="n"/>
      <c r="V1287" s="1471" t="n"/>
      <c r="W1287" s="1471" t="n"/>
      <c r="X1287" s="1471" t="n"/>
      <c r="Y1287" s="1471" t="n"/>
      <c r="Z1287" s="1471" t="n"/>
      <c r="AA1287" s="1471" t="n"/>
      <c r="AB1287" s="1471" t="n"/>
      <c r="AC1287" s="1471" t="n"/>
      <c r="AD1287" s="1471" t="n"/>
      <c r="AE1287" s="1471" t="n"/>
      <c r="AF1287" s="1471" t="n"/>
      <c r="AG1287" s="1471" t="n"/>
      <c r="AH1287" s="1471" t="n"/>
      <c r="AI1287" s="1471" t="n"/>
      <c r="AJ1287" s="1471" t="n"/>
      <c r="AK1287" s="1471" t="n"/>
      <c r="AL1287" s="1471" t="n"/>
      <c r="AM1287" s="1471" t="n"/>
      <c r="AN1287" s="1471" t="n"/>
      <c r="AO1287" s="1471" t="n"/>
      <c r="AP1287" s="1471" t="n"/>
      <c r="AQ1287" s="1471" t="n"/>
      <c r="AR1287" s="1471" t="n"/>
      <c r="AS1287" s="1471" t="n"/>
      <c r="AT1287" s="1471" t="n"/>
      <c r="AU1287" s="1471" t="n"/>
      <c r="AV1287" s="1471" t="n"/>
      <c r="AW1287" s="1471" t="n"/>
      <c r="AX1287" s="1471" t="n"/>
      <c r="AY1287" s="1471" t="n"/>
      <c r="AZ1287" s="1471" t="n"/>
      <c r="BA1287" s="1471" t="n"/>
      <c r="BB1287" s="1471" t="n"/>
      <c r="BC1287" s="1471" t="n"/>
      <c r="BD1287" s="1471" t="n"/>
      <c r="BE1287" s="1471" t="n"/>
      <c r="BF1287" s="1471" t="n"/>
      <c r="BG1287" s="1471" t="n"/>
      <c r="BH1287" s="1471" t="n"/>
      <c r="BI1287" s="1471" t="n"/>
      <c r="BJ1287" s="1471" t="n"/>
      <c r="BK1287" s="1471" t="n"/>
      <c r="BL1287" s="1471" t="n"/>
      <c r="BM1287" s="1471" t="n"/>
      <c r="BN1287" s="1471" t="n"/>
      <c r="BO1287" s="1471" t="n"/>
      <c r="BP1287" s="1471" t="n"/>
      <c r="BQ1287" s="1487" t="n"/>
      <c r="BR1287" s="1471" t="n"/>
      <c r="BS1287" s="1471" t="n"/>
      <c r="BT1287" s="1471" t="n"/>
      <c r="BU1287" s="1471" t="n"/>
      <c r="BV1287" s="1471" t="n"/>
      <c r="BW1287" s="1471" t="n"/>
      <c r="BX1287" s="1471" t="n"/>
      <c r="BY1287" s="1471" t="n"/>
      <c r="BZ1287" s="1471" t="n"/>
      <c r="CA1287" s="1471" t="n"/>
      <c r="CB1287" s="1472" t="n"/>
    </row>
    <row r="1288" ht="14.4" customFormat="1" customHeight="1" s="1549">
      <c r="A1288" s="1970" t="inlineStr">
        <is>
          <t>NASDAQ:CDNS</t>
        </is>
      </c>
      <c r="B1288" s="1967" t="n"/>
      <c r="C1288" s="1968" t="n"/>
      <c r="D1288" s="1968" t="n"/>
      <c r="E1288" s="1471" t="n"/>
      <c r="F1288" s="1471" t="n"/>
      <c r="G1288" s="1471" t="n"/>
      <c r="H1288" s="1471" t="n"/>
      <c r="I1288" s="1471" t="n"/>
      <c r="J1288" s="1471" t="n"/>
      <c r="K1288" s="1471" t="n"/>
      <c r="L1288" s="1471" t="n"/>
      <c r="M1288" s="1471" t="n"/>
      <c r="N1288" s="1471" t="n"/>
      <c r="O1288" s="1471" t="n"/>
      <c r="P1288" s="1471" t="n"/>
      <c r="Q1288" s="1471" t="n"/>
      <c r="R1288" s="1471" t="n"/>
      <c r="S1288" s="1471" t="n"/>
      <c r="T1288" s="1471" t="n"/>
      <c r="U1288" s="1471" t="n"/>
      <c r="V1288" s="1471" t="n"/>
      <c r="W1288" s="1471" t="n"/>
      <c r="X1288" s="1471" t="n"/>
      <c r="Y1288" s="1471" t="n"/>
      <c r="Z1288" s="1471" t="n"/>
      <c r="AA1288" s="1471" t="n"/>
      <c r="AB1288" s="1471" t="n"/>
      <c r="AC1288" s="1471" t="n"/>
      <c r="AD1288" s="1471" t="n"/>
      <c r="AE1288" s="1471" t="n"/>
      <c r="AF1288" s="1471" t="n"/>
      <c r="AG1288" s="1471" t="n"/>
      <c r="AH1288" s="1471" t="n"/>
      <c r="AI1288" s="1471" t="n"/>
      <c r="AJ1288" s="1471" t="n"/>
      <c r="AK1288" s="1471" t="n"/>
      <c r="AL1288" s="1471" t="n"/>
      <c r="AM1288" s="1471" t="n"/>
      <c r="AN1288" s="1471" t="n"/>
      <c r="AO1288" s="1471" t="n"/>
      <c r="AP1288" s="1471" t="n"/>
      <c r="AQ1288" s="1471" t="n"/>
      <c r="AR1288" s="1471" t="n"/>
      <c r="AS1288" s="1471" t="n"/>
      <c r="AT1288" s="1471" t="n"/>
      <c r="AU1288" s="1471" t="n"/>
      <c r="AV1288" s="1471" t="n"/>
      <c r="AW1288" s="1471" t="n"/>
      <c r="AX1288" s="1471" t="n"/>
      <c r="AY1288" s="1471" t="n"/>
      <c r="AZ1288" s="1471" t="n"/>
      <c r="BA1288" s="1471" t="n"/>
      <c r="BB1288" s="1471" t="n"/>
      <c r="BC1288" s="1471" t="n"/>
      <c r="BD1288" s="1471" t="n"/>
      <c r="BE1288" s="1471" t="n"/>
      <c r="BF1288" s="1471" t="n"/>
      <c r="BG1288" s="1471" t="n"/>
      <c r="BH1288" s="1471" t="n"/>
      <c r="BI1288" s="1471" t="n"/>
      <c r="BJ1288" s="1471" t="n"/>
      <c r="BK1288" s="1471" t="n"/>
      <c r="BL1288" s="1471" t="n"/>
      <c r="BM1288" s="1471" t="n"/>
      <c r="BN1288" s="1471" t="n"/>
      <c r="BO1288" s="1471" t="n"/>
      <c r="BP1288" s="1471" t="n"/>
      <c r="BQ1288" s="1487" t="n"/>
      <c r="BR1288" s="1471" t="n"/>
      <c r="BS1288" s="1471" t="n"/>
      <c r="BT1288" s="1471" t="n"/>
      <c r="BU1288" s="1471" t="n"/>
      <c r="BV1288" s="1471" t="n"/>
      <c r="BW1288" s="1471" t="n"/>
      <c r="BX1288" s="1471" t="n"/>
      <c r="BY1288" s="1471" t="n"/>
      <c r="BZ1288" s="1471" t="n"/>
      <c r="CA1288" s="1471" t="n"/>
      <c r="CB1288" s="1472" t="n"/>
    </row>
    <row r="1289" ht="14.4" customFormat="1" customHeight="1" s="1549">
      <c r="A1289" s="1971" t="inlineStr">
        <is>
          <t>CDNS-US</t>
        </is>
      </c>
      <c r="B1289" s="1967" t="n"/>
      <c r="C1289" s="1968" t="n"/>
      <c r="D1289" s="1968" t="n"/>
      <c r="E1289" s="1471" t="n"/>
      <c r="F1289" s="1471" t="n"/>
      <c r="G1289" s="1471" t="n"/>
      <c r="H1289" s="1471" t="n"/>
      <c r="I1289" s="1471" t="n"/>
      <c r="J1289" s="1471" t="n"/>
      <c r="K1289" s="1471" t="n"/>
      <c r="L1289" s="1471" t="n"/>
      <c r="M1289" s="1471" t="n"/>
      <c r="N1289" s="1471" t="n"/>
      <c r="O1289" s="1471" t="n"/>
      <c r="P1289" s="1471" t="n"/>
      <c r="Q1289" s="1471" t="n"/>
      <c r="R1289" s="1471" t="n"/>
      <c r="S1289" s="1471" t="n"/>
      <c r="T1289" s="1471" t="n"/>
      <c r="U1289" s="1471" t="n"/>
      <c r="V1289" s="1471" t="n"/>
      <c r="W1289" s="1471" t="n"/>
      <c r="X1289" s="1471" t="n"/>
      <c r="Y1289" s="1471" t="n"/>
      <c r="Z1289" s="1471" t="n"/>
      <c r="AA1289" s="1471" t="n"/>
      <c r="AB1289" s="1471" t="n"/>
      <c r="AC1289" s="1471" t="n"/>
      <c r="AD1289" s="1471" t="n"/>
      <c r="AE1289" s="1471" t="n"/>
      <c r="AF1289" s="1471" t="n"/>
      <c r="AG1289" s="1471" t="n"/>
      <c r="AH1289" s="1471" t="n"/>
      <c r="AI1289" s="1471" t="n"/>
      <c r="AJ1289" s="1471" t="n"/>
      <c r="AK1289" s="1471" t="n"/>
      <c r="AL1289" s="1471" t="n"/>
      <c r="AM1289" s="1471" t="n"/>
      <c r="AN1289" s="1471" t="n"/>
      <c r="AO1289" s="1471" t="n"/>
      <c r="AP1289" s="1471" t="n"/>
      <c r="AQ1289" s="1471" t="n"/>
      <c r="AR1289" s="1471" t="n"/>
      <c r="AS1289" s="1471" t="n"/>
      <c r="AT1289" s="1471" t="n"/>
      <c r="AU1289" s="1471" t="n"/>
      <c r="AV1289" s="1471" t="n"/>
      <c r="AW1289" s="1471" t="n"/>
      <c r="AX1289" s="1471" t="n"/>
      <c r="AY1289" s="1471" t="n"/>
      <c r="AZ1289" s="1471" t="n"/>
      <c r="BA1289" s="1471" t="n"/>
      <c r="BB1289" s="1471" t="n"/>
      <c r="BC1289" s="1471" t="n"/>
      <c r="BD1289" s="1471" t="n"/>
      <c r="BE1289" s="1471" t="n"/>
      <c r="BF1289" s="1471" t="n"/>
      <c r="BG1289" s="1471" t="n"/>
      <c r="BH1289" s="1471" t="n"/>
      <c r="BI1289" s="1471" t="n"/>
      <c r="BJ1289" s="1471" t="n"/>
      <c r="BK1289" s="1471" t="n"/>
      <c r="BL1289" s="1471" t="n"/>
      <c r="BM1289" s="1471" t="n"/>
      <c r="BN1289" s="1471" t="n"/>
      <c r="BO1289" s="1471" t="n"/>
      <c r="BP1289" s="1471" t="n"/>
      <c r="BQ1289" s="1487" t="n"/>
      <c r="BR1289" s="1471" t="n"/>
      <c r="BS1289" s="1471" t="n"/>
      <c r="BT1289" s="1471" t="n"/>
      <c r="BU1289" s="1471" t="n"/>
      <c r="BV1289" s="1471" t="n"/>
      <c r="BW1289" s="1471" t="n"/>
      <c r="BX1289" s="1471" t="n"/>
      <c r="BY1289" s="1471" t="n"/>
      <c r="BZ1289" s="1471" t="n"/>
      <c r="CA1289" s="1471" t="n"/>
      <c r="CB1289" s="1472" t="n"/>
    </row>
    <row r="1290" ht="14.4" customFormat="1" customHeight="1" s="1549">
      <c r="A1290" s="1972" t="inlineStr">
        <is>
          <t>CDNS.OQ</t>
        </is>
      </c>
      <c r="B1290" s="1967" t="n"/>
      <c r="C1290" s="1968" t="n"/>
      <c r="D1290" s="1968" t="n"/>
      <c r="E1290" s="1471" t="n"/>
      <c r="F1290" s="1471" t="n"/>
      <c r="G1290" s="1471" t="n"/>
      <c r="H1290" s="1471" t="n"/>
      <c r="I1290" s="1471" t="n"/>
      <c r="J1290" s="1471" t="n"/>
      <c r="K1290" s="1471" t="n"/>
      <c r="L1290" s="1471" t="n"/>
      <c r="M1290" s="1471" t="n"/>
      <c r="N1290" s="1471" t="n"/>
      <c r="O1290" s="1471" t="n"/>
      <c r="P1290" s="1471" t="n"/>
      <c r="Q1290" s="1471" t="n"/>
      <c r="R1290" s="1471" t="n"/>
      <c r="S1290" s="1471" t="n"/>
      <c r="T1290" s="1471" t="n"/>
      <c r="U1290" s="1471" t="n"/>
      <c r="V1290" s="1471" t="n"/>
      <c r="W1290" s="1471" t="n"/>
      <c r="X1290" s="1471" t="n"/>
      <c r="Y1290" s="1471" t="n"/>
      <c r="Z1290" s="1471" t="n"/>
      <c r="AA1290" s="1471" t="n"/>
      <c r="AB1290" s="1471" t="n"/>
      <c r="AC1290" s="1471" t="n"/>
      <c r="AD1290" s="1471" t="n"/>
      <c r="AE1290" s="1471" t="n"/>
      <c r="AF1290" s="1471" t="n"/>
      <c r="AG1290" s="1471" t="n"/>
      <c r="AH1290" s="1471" t="n"/>
      <c r="AI1290" s="1471" t="n"/>
      <c r="AJ1290" s="1471" t="n"/>
      <c r="AK1290" s="1471" t="n"/>
      <c r="AL1290" s="1471" t="n"/>
      <c r="AM1290" s="1471" t="n"/>
      <c r="AN1290" s="1471" t="n"/>
      <c r="AO1290" s="1471" t="n"/>
      <c r="AP1290" s="1471" t="n"/>
      <c r="AQ1290" s="1471" t="n"/>
      <c r="AR1290" s="1471" t="n"/>
      <c r="AS1290" s="1471" t="n"/>
      <c r="AT1290" s="1471" t="n"/>
      <c r="AU1290" s="1471" t="n"/>
      <c r="AV1290" s="1471" t="n"/>
      <c r="AW1290" s="1471" t="n"/>
      <c r="AX1290" s="1471" t="n"/>
      <c r="AY1290" s="1471" t="n"/>
      <c r="AZ1290" s="1471" t="n"/>
      <c r="BA1290" s="1471" t="n"/>
      <c r="BB1290" s="1471" t="n"/>
      <c r="BC1290" s="1471" t="n"/>
      <c r="BD1290" s="1471" t="n"/>
      <c r="BE1290" s="1471" t="n"/>
      <c r="BF1290" s="1471" t="n"/>
      <c r="BG1290" s="1471" t="n"/>
      <c r="BH1290" s="1471" t="n"/>
      <c r="BI1290" s="1471" t="n"/>
      <c r="BJ1290" s="1471" t="n"/>
      <c r="BK1290" s="1471" t="n"/>
      <c r="BL1290" s="1471" t="n"/>
      <c r="BM1290" s="1471" t="n"/>
      <c r="BN1290" s="1471" t="n"/>
      <c r="BO1290" s="1471" t="n"/>
      <c r="BP1290" s="1471" t="n"/>
      <c r="BQ1290" s="1487" t="n"/>
      <c r="BR1290" s="1471" t="n"/>
      <c r="BS1290" s="1471" t="n"/>
      <c r="BT1290" s="1471" t="n"/>
      <c r="BU1290" s="1471" t="n"/>
      <c r="BV1290" s="1471" t="n"/>
      <c r="BW1290" s="1471" t="n"/>
      <c r="BX1290" s="1471" t="n"/>
      <c r="BY1290" s="1471" t="n"/>
      <c r="BZ1290" s="1471" t="n"/>
      <c r="CA1290" s="1471" t="n"/>
      <c r="CB1290" s="1472" t="n"/>
    </row>
    <row r="1291" ht="14.4" customFormat="1" customHeight="1" s="1549">
      <c r="A1291" s="1973" t="n"/>
      <c r="B1291" s="1974" t="n"/>
      <c r="C1291" s="1968" t="n"/>
      <c r="D1291" s="1968" t="n"/>
      <c r="E1291" s="1471" t="n"/>
      <c r="F1291" s="1471" t="n"/>
      <c r="G1291" s="1471" t="n"/>
      <c r="H1291" s="1471" t="n"/>
      <c r="I1291" s="1471" t="n"/>
      <c r="J1291" s="1471" t="n"/>
      <c r="K1291" s="1471" t="n"/>
      <c r="L1291" s="1471" t="n"/>
      <c r="M1291" s="1471" t="n"/>
      <c r="N1291" s="1471" t="n"/>
      <c r="O1291" s="1471" t="n"/>
      <c r="P1291" s="1471" t="n"/>
      <c r="Q1291" s="1471" t="n"/>
      <c r="R1291" s="1471" t="n"/>
      <c r="S1291" s="1471" t="n"/>
      <c r="T1291" s="1471" t="n"/>
      <c r="U1291" s="1471" t="n"/>
      <c r="V1291" s="1471" t="n"/>
      <c r="W1291" s="1471" t="n"/>
      <c r="X1291" s="1471" t="n"/>
      <c r="Y1291" s="1471" t="n"/>
      <c r="Z1291" s="1471" t="n"/>
      <c r="AA1291" s="1471" t="n"/>
      <c r="AB1291" s="1471" t="n"/>
      <c r="AC1291" s="1471" t="n"/>
      <c r="AD1291" s="1471" t="n"/>
      <c r="AE1291" s="1471" t="n"/>
      <c r="AF1291" s="1471" t="n"/>
      <c r="AG1291" s="1471" t="n"/>
      <c r="AH1291" s="1471" t="n"/>
      <c r="AI1291" s="1471" t="n"/>
      <c r="AJ1291" s="1471" t="n"/>
      <c r="AK1291" s="1471" t="n"/>
      <c r="AL1291" s="1471" t="n"/>
      <c r="AM1291" s="1471" t="n"/>
      <c r="AN1291" s="1471" t="n"/>
      <c r="AO1291" s="1471" t="n"/>
      <c r="AP1291" s="1471" t="n"/>
      <c r="AQ1291" s="1471" t="n"/>
      <c r="AR1291" s="1471" t="n"/>
      <c r="AS1291" s="1471" t="n"/>
      <c r="AT1291" s="1471" t="n"/>
      <c r="AU1291" s="1471" t="n"/>
      <c r="AV1291" s="1471" t="n"/>
      <c r="AW1291" s="1471" t="n"/>
      <c r="AX1291" s="1471" t="n"/>
      <c r="AY1291" s="1471" t="n"/>
      <c r="AZ1291" s="1471" t="n"/>
      <c r="BA1291" s="1471" t="n"/>
      <c r="BB1291" s="1471" t="n"/>
      <c r="BC1291" s="1471" t="n"/>
      <c r="BD1291" s="1471" t="n"/>
      <c r="BE1291" s="1471" t="n"/>
      <c r="BF1291" s="1471" t="n"/>
      <c r="BG1291" s="1471" t="n"/>
      <c r="BH1291" s="1471" t="n"/>
      <c r="BI1291" s="1471" t="n"/>
      <c r="BJ1291" s="1471" t="n"/>
      <c r="BK1291" s="1471" t="n"/>
      <c r="BL1291" s="1471" t="n"/>
      <c r="BM1291" s="1471" t="n"/>
      <c r="BN1291" s="1471" t="n"/>
      <c r="BO1291" s="1471" t="n"/>
      <c r="BP1291" s="1471" t="n"/>
      <c r="BQ1291" s="1487" t="n"/>
      <c r="BR1291" s="1471" t="n"/>
      <c r="BS1291" s="1471" t="n"/>
      <c r="BT1291" s="1471" t="n"/>
      <c r="BU1291" s="1471" t="n"/>
      <c r="BV1291" s="1471" t="n"/>
      <c r="BW1291" s="1471" t="n"/>
      <c r="BX1291" s="1471" t="n"/>
      <c r="BY1291" s="1471" t="n"/>
      <c r="BZ1291" s="1471" t="n"/>
      <c r="CA1291" s="1471" t="n"/>
      <c r="CB1291" s="1472" t="n"/>
    </row>
    <row r="1292" ht="14.4" customFormat="1" customHeight="1" s="974">
      <c r="A1292" s="1975" t="inlineStr">
        <is>
          <t>Valuation Toggle Table</t>
        </is>
      </c>
      <c r="B1292" s="325" t="n"/>
      <c r="C1292" s="314" t="n"/>
      <c r="D1292" s="314" t="n"/>
      <c r="E1292" s="314" t="n"/>
      <c r="F1292" s="314" t="n"/>
      <c r="G1292" s="314" t="n"/>
      <c r="H1292" s="314" t="n"/>
      <c r="I1292" s="314" t="n"/>
      <c r="J1292" s="314" t="n"/>
      <c r="K1292" s="314" t="n"/>
      <c r="L1292" s="314" t="n"/>
      <c r="M1292" s="314" t="n"/>
      <c r="N1292" s="314" t="n"/>
      <c r="O1292" s="314" t="n"/>
      <c r="P1292" s="314" t="n"/>
      <c r="Q1292" s="314" t="n"/>
      <c r="R1292" s="314" t="n"/>
      <c r="S1292" s="314" t="n"/>
      <c r="T1292" s="314" t="n"/>
      <c r="U1292" s="314" t="n"/>
      <c r="V1292" s="314" t="n"/>
      <c r="W1292" s="314" t="n"/>
      <c r="X1292" s="314" t="n"/>
      <c r="Y1292" s="314" t="n"/>
      <c r="Z1292" s="314" t="n"/>
      <c r="AA1292" s="314" t="n"/>
      <c r="AB1292" s="314" t="n"/>
      <c r="AC1292" s="314" t="n"/>
      <c r="AD1292" s="314" t="n"/>
      <c r="AE1292" s="314" t="n"/>
      <c r="AF1292" s="314" t="n"/>
      <c r="AG1292" s="314" t="n"/>
      <c r="AH1292" s="314" t="n"/>
      <c r="AI1292" s="314" t="n"/>
      <c r="AJ1292" s="314" t="n"/>
      <c r="AK1292" s="314" t="n"/>
      <c r="AL1292" s="314" t="n"/>
      <c r="AM1292" s="314" t="n"/>
      <c r="AN1292" s="314" t="n"/>
      <c r="AO1292" s="314" t="n"/>
      <c r="AP1292" s="314" t="n"/>
      <c r="AQ1292" s="314" t="n"/>
      <c r="AR1292" s="314" t="n"/>
      <c r="AS1292" s="314" t="n"/>
      <c r="AT1292" s="314" t="n"/>
      <c r="AU1292" s="314" t="n"/>
      <c r="AV1292" s="314" t="n"/>
      <c r="AW1292" s="314" t="n"/>
      <c r="AX1292" s="314" t="n"/>
      <c r="AY1292" s="314" t="n"/>
      <c r="AZ1292" s="314" t="n"/>
      <c r="BA1292" s="314" t="n"/>
      <c r="BB1292" s="314" t="n"/>
      <c r="BC1292" s="314" t="n"/>
      <c r="BD1292" s="314" t="n"/>
      <c r="BE1292" s="314" t="n"/>
      <c r="BF1292" s="314" t="n"/>
      <c r="BG1292" s="314" t="n"/>
      <c r="BH1292" s="314" t="n"/>
      <c r="BI1292" s="314" t="n"/>
      <c r="BJ1292" s="314" t="n"/>
      <c r="BK1292" s="314" t="n"/>
      <c r="BL1292" s="314" t="n"/>
      <c r="BM1292" s="314" t="n"/>
      <c r="BN1292" s="314" t="n"/>
      <c r="BO1292" s="314" t="n"/>
      <c r="BP1292" s="314" t="n"/>
      <c r="BQ1292" s="331" t="n"/>
      <c r="BR1292" s="314" t="n"/>
      <c r="BS1292" s="314" t="n"/>
      <c r="BT1292" s="314" t="n"/>
      <c r="BU1292" s="314" t="n"/>
      <c r="BV1292" s="314" t="n"/>
      <c r="BW1292" s="314" t="n"/>
      <c r="BX1292" s="314" t="n"/>
      <c r="BY1292" s="314" t="n"/>
      <c r="BZ1292" s="314" t="n"/>
      <c r="CA1292" s="314" t="n"/>
      <c r="CB1292" s="174" t="n"/>
    </row>
    <row r="1293" ht="14.4" customFormat="1" customHeight="1" s="1549">
      <c r="A1293" s="1976" t="inlineStr">
        <is>
          <t>High</t>
        </is>
      </c>
      <c r="B1293" s="1977" t="n">
        <v>1</v>
      </c>
      <c r="C1293" s="1471" t="n"/>
      <c r="D1293" s="1968" t="n"/>
      <c r="E1293" s="1471" t="n"/>
      <c r="F1293" s="1471" t="n"/>
      <c r="G1293" s="1471" t="n"/>
      <c r="H1293" s="1471" t="n"/>
      <c r="I1293" s="1471" t="n"/>
      <c r="J1293" s="1471" t="n"/>
      <c r="K1293" s="1471" t="n"/>
      <c r="L1293" s="1471" t="n"/>
      <c r="M1293" s="1471" t="n"/>
      <c r="N1293" s="1471" t="n"/>
      <c r="O1293" s="1471" t="n"/>
      <c r="P1293" s="1471" t="n"/>
      <c r="Q1293" s="1471" t="n"/>
      <c r="R1293" s="1471" t="n"/>
      <c r="S1293" s="1471" t="n"/>
      <c r="T1293" s="1471" t="n"/>
      <c r="U1293" s="1471" t="n"/>
      <c r="V1293" s="1471" t="n"/>
      <c r="W1293" s="1471" t="n"/>
      <c r="X1293" s="1471" t="n"/>
      <c r="Y1293" s="1471" t="n"/>
      <c r="Z1293" s="1471" t="n"/>
      <c r="AA1293" s="1471" t="n"/>
      <c r="AB1293" s="1471" t="n"/>
      <c r="AC1293" s="1471" t="n"/>
      <c r="AD1293" s="1471" t="n"/>
      <c r="AE1293" s="1471" t="n"/>
      <c r="AF1293" s="1471" t="n"/>
      <c r="AG1293" s="1471" t="n"/>
      <c r="AH1293" s="1471" t="n"/>
      <c r="AI1293" s="1471" t="n"/>
      <c r="AJ1293" s="1471" t="n"/>
      <c r="AK1293" s="1471" t="n"/>
      <c r="AL1293" s="1471" t="n"/>
      <c r="AM1293" s="1471" t="n"/>
      <c r="AN1293" s="1471" t="n"/>
      <c r="AO1293" s="1471" t="n"/>
      <c r="AP1293" s="1471" t="n"/>
      <c r="AQ1293" s="1471" t="n"/>
      <c r="AR1293" s="1471" t="n"/>
      <c r="AS1293" s="1471" t="n"/>
      <c r="AT1293" s="1471" t="n"/>
      <c r="AU1293" s="1471" t="n"/>
      <c r="AV1293" s="1471" t="n"/>
      <c r="AW1293" s="1471" t="n"/>
      <c r="AX1293" s="1471" t="n"/>
      <c r="AY1293" s="1471" t="n"/>
      <c r="AZ1293" s="1471" t="n"/>
      <c r="BA1293" s="1471" t="n"/>
      <c r="BB1293" s="1471" t="n"/>
      <c r="BC1293" s="1471" t="n"/>
      <c r="BD1293" s="1471" t="n"/>
      <c r="BE1293" s="1471" t="n"/>
      <c r="BF1293" s="1471" t="n"/>
      <c r="BG1293" s="1471" t="n"/>
      <c r="BH1293" s="1471" t="n"/>
      <c r="BI1293" s="1471" t="n"/>
      <c r="BJ1293" s="1471" t="n"/>
      <c r="BK1293" s="1471" t="n"/>
      <c r="BL1293" s="1471" t="n"/>
      <c r="BM1293" s="1471" t="n"/>
      <c r="BN1293" s="1471" t="n"/>
      <c r="BO1293" s="1471" t="n"/>
      <c r="BP1293" s="1471" t="n"/>
      <c r="BQ1293" s="1487" t="n"/>
      <c r="BR1293" s="1471" t="n"/>
      <c r="BS1293" s="1471" t="n"/>
      <c r="BT1293" s="1471" t="n"/>
      <c r="BU1293" s="1471" t="n"/>
      <c r="BV1293" s="1471" t="n"/>
      <c r="BW1293" s="1471" t="n"/>
      <c r="BX1293" s="1471" t="n"/>
      <c r="BY1293" s="1471" t="n"/>
      <c r="BZ1293" s="1471" t="n"/>
      <c r="CA1293" s="1471" t="n"/>
      <c r="CB1293" s="1472" t="n"/>
    </row>
    <row r="1294" ht="14.4" customFormat="1" customHeight="1" s="1549">
      <c r="A1294" s="1976" t="inlineStr">
        <is>
          <t>Low</t>
        </is>
      </c>
      <c r="B1294" s="1977" t="n">
        <v>2</v>
      </c>
      <c r="C1294" s="1471" t="n"/>
      <c r="D1294" s="1968" t="n"/>
      <c r="E1294" s="1471" t="n"/>
      <c r="F1294" s="1471" t="n"/>
      <c r="G1294" s="1471" t="n"/>
      <c r="H1294" s="1471" t="n"/>
      <c r="I1294" s="1471" t="n"/>
      <c r="J1294" s="1471" t="n"/>
      <c r="K1294" s="1471" t="n"/>
      <c r="L1294" s="1471" t="n"/>
      <c r="M1294" s="1471" t="n"/>
      <c r="N1294" s="1471" t="n"/>
      <c r="O1294" s="1471" t="n"/>
      <c r="P1294" s="1471" t="n"/>
      <c r="Q1294" s="1471" t="n"/>
      <c r="R1294" s="1471" t="n"/>
      <c r="S1294" s="1471" t="n"/>
      <c r="T1294" s="1471" t="n"/>
      <c r="U1294" s="1471" t="n"/>
      <c r="V1294" s="1471" t="n"/>
      <c r="W1294" s="1471" t="n"/>
      <c r="X1294" s="1471" t="n"/>
      <c r="Y1294" s="1471" t="n"/>
      <c r="Z1294" s="1471" t="n"/>
      <c r="AA1294" s="1471" t="n"/>
      <c r="AB1294" s="1471" t="n"/>
      <c r="AC1294" s="1471" t="n"/>
      <c r="AD1294" s="1471" t="n"/>
      <c r="AE1294" s="1471" t="n"/>
      <c r="AF1294" s="1471" t="n"/>
      <c r="AG1294" s="1471" t="n"/>
      <c r="AH1294" s="1471" t="n"/>
      <c r="AI1294" s="1471" t="n"/>
      <c r="AJ1294" s="1471" t="n"/>
      <c r="AK1294" s="1471" t="n"/>
      <c r="AL1294" s="1471" t="n"/>
      <c r="AM1294" s="1471" t="n"/>
      <c r="AN1294" s="1471" t="n"/>
      <c r="AO1294" s="1471" t="n"/>
      <c r="AP1294" s="1471" t="n"/>
      <c r="AQ1294" s="1471" t="n"/>
      <c r="AR1294" s="1471" t="n"/>
      <c r="AS1294" s="1471" t="n"/>
      <c r="AT1294" s="1471" t="n"/>
      <c r="AU1294" s="1471" t="n"/>
      <c r="AV1294" s="1471" t="n"/>
      <c r="AW1294" s="1471" t="n"/>
      <c r="AX1294" s="1471" t="n"/>
      <c r="AY1294" s="1471" t="n"/>
      <c r="AZ1294" s="1471" t="n"/>
      <c r="BA1294" s="1471" t="n"/>
      <c r="BB1294" s="1471" t="n"/>
      <c r="BC1294" s="1471" t="n"/>
      <c r="BD1294" s="1471" t="n"/>
      <c r="BE1294" s="1471" t="n"/>
      <c r="BF1294" s="1471" t="n"/>
      <c r="BG1294" s="1471" t="n"/>
      <c r="BH1294" s="1471" t="n"/>
      <c r="BI1294" s="1471" t="n"/>
      <c r="BJ1294" s="1471" t="n"/>
      <c r="BK1294" s="1471" t="n"/>
      <c r="BL1294" s="1471" t="n"/>
      <c r="BM1294" s="1471" t="n"/>
      <c r="BN1294" s="1471" t="n"/>
      <c r="BO1294" s="1471" t="n"/>
      <c r="BP1294" s="1471" t="n"/>
      <c r="BQ1294" s="1487" t="n"/>
      <c r="BR1294" s="1471" t="n"/>
      <c r="BS1294" s="1471" t="n"/>
      <c r="BT1294" s="1471" t="n"/>
      <c r="BU1294" s="1471" t="n"/>
      <c r="BV1294" s="1471" t="n"/>
      <c r="BW1294" s="1471" t="n"/>
      <c r="BX1294" s="1471" t="n"/>
      <c r="BY1294" s="1471" t="n"/>
      <c r="BZ1294" s="1471" t="n"/>
      <c r="CA1294" s="1471" t="n"/>
      <c r="CB1294" s="1472" t="n"/>
    </row>
    <row r="1295" ht="14.4" customFormat="1" customHeight="1" s="1549">
      <c r="A1295" s="1976" t="inlineStr">
        <is>
          <t>Avg</t>
        </is>
      </c>
      <c r="B1295" s="1977" t="n">
        <v>3</v>
      </c>
      <c r="C1295" s="1471" t="n"/>
      <c r="D1295" s="1968" t="n"/>
      <c r="E1295" s="1471" t="n"/>
      <c r="F1295" s="1471" t="n"/>
      <c r="G1295" s="1471" t="n"/>
      <c r="H1295" s="1471" t="n"/>
      <c r="I1295" s="1471" t="n"/>
      <c r="J1295" s="1471" t="n"/>
      <c r="K1295" s="1471" t="n"/>
      <c r="L1295" s="1471" t="n"/>
      <c r="M1295" s="1471" t="n"/>
      <c r="N1295" s="1471" t="n"/>
      <c r="O1295" s="1471" t="n"/>
      <c r="P1295" s="1471" t="n"/>
      <c r="Q1295" s="1471" t="n"/>
      <c r="R1295" s="1471" t="n"/>
      <c r="S1295" s="1471" t="n"/>
      <c r="T1295" s="1471" t="n"/>
      <c r="U1295" s="1471" t="n"/>
      <c r="V1295" s="1471" t="n"/>
      <c r="W1295" s="1471" t="n"/>
      <c r="X1295" s="1471" t="n"/>
      <c r="Y1295" s="1471" t="n"/>
      <c r="Z1295" s="1471" t="n"/>
      <c r="AA1295" s="1471" t="n"/>
      <c r="AB1295" s="1471" t="n"/>
      <c r="AC1295" s="1471" t="n"/>
      <c r="AD1295" s="1471" t="n"/>
      <c r="AE1295" s="1471" t="n"/>
      <c r="AF1295" s="1471" t="n"/>
      <c r="AG1295" s="1471" t="n"/>
      <c r="AH1295" s="1471" t="n"/>
      <c r="AI1295" s="1471" t="n"/>
      <c r="AJ1295" s="1471" t="n"/>
      <c r="AK1295" s="1471" t="n"/>
      <c r="AL1295" s="1471" t="n"/>
      <c r="AM1295" s="1471" t="n"/>
      <c r="AN1295" s="1471" t="n"/>
      <c r="AO1295" s="1471" t="n"/>
      <c r="AP1295" s="1471" t="n"/>
      <c r="AQ1295" s="1471" t="n"/>
      <c r="AR1295" s="1471" t="n"/>
      <c r="AS1295" s="1471" t="n"/>
      <c r="AT1295" s="1471" t="n"/>
      <c r="AU1295" s="1471" t="n"/>
      <c r="AV1295" s="1471" t="n"/>
      <c r="AW1295" s="1471" t="n"/>
      <c r="AX1295" s="1471" t="n"/>
      <c r="AY1295" s="1471" t="n"/>
      <c r="AZ1295" s="1471" t="n"/>
      <c r="BA1295" s="1471" t="n"/>
      <c r="BB1295" s="1471" t="n"/>
      <c r="BC1295" s="1471" t="n"/>
      <c r="BD1295" s="1471" t="n"/>
      <c r="BE1295" s="1471" t="n"/>
      <c r="BF1295" s="1471" t="n"/>
      <c r="BG1295" s="1471" t="n"/>
      <c r="BH1295" s="1471" t="n"/>
      <c r="BI1295" s="1471" t="n"/>
      <c r="BJ1295" s="1471" t="n"/>
      <c r="BK1295" s="1471" t="n"/>
      <c r="BL1295" s="1471" t="n"/>
      <c r="BM1295" s="1471" t="n"/>
      <c r="BN1295" s="1471" t="n"/>
      <c r="BO1295" s="1471" t="n"/>
      <c r="BP1295" s="1471" t="n"/>
      <c r="BQ1295" s="1487" t="n"/>
      <c r="BR1295" s="1471" t="n"/>
      <c r="BS1295" s="1471" t="n"/>
      <c r="BT1295" s="1471" t="n"/>
      <c r="BU1295" s="1471" t="n"/>
      <c r="BV1295" s="1471" t="n"/>
      <c r="BW1295" s="1471" t="n"/>
      <c r="BX1295" s="1471" t="n"/>
      <c r="BY1295" s="1471" t="n"/>
      <c r="BZ1295" s="1471" t="n"/>
      <c r="CA1295" s="1471" t="n"/>
      <c r="CB1295" s="1472" t="n"/>
    </row>
    <row r="1296" ht="14.4" customFormat="1" customHeight="1" s="1549">
      <c r="A1296" s="1978" t="inlineStr">
        <is>
          <t>EoP</t>
        </is>
      </c>
      <c r="B1296" s="1979" t="n">
        <v>4</v>
      </c>
      <c r="C1296" s="1471" t="n"/>
      <c r="D1296" s="1968" t="n"/>
      <c r="E1296" s="1471" t="n"/>
      <c r="F1296" s="1471" t="n"/>
      <c r="G1296" s="1471" t="n"/>
      <c r="H1296" s="1471" t="n"/>
      <c r="I1296" s="1471" t="n"/>
      <c r="J1296" s="1471" t="n"/>
      <c r="K1296" s="1471" t="n"/>
      <c r="L1296" s="1471" t="n"/>
      <c r="M1296" s="1471" t="n"/>
      <c r="N1296" s="1471" t="n"/>
      <c r="O1296" s="1471" t="n"/>
      <c r="P1296" s="1471" t="n"/>
      <c r="Q1296" s="1471" t="n"/>
      <c r="R1296" s="1471" t="n"/>
      <c r="S1296" s="1471" t="n"/>
      <c r="T1296" s="1471" t="n"/>
      <c r="U1296" s="1471" t="n"/>
      <c r="V1296" s="1471" t="n"/>
      <c r="W1296" s="1471" t="n"/>
      <c r="X1296" s="1471" t="n"/>
      <c r="Y1296" s="1471" t="n"/>
      <c r="Z1296" s="1471" t="n"/>
      <c r="AA1296" s="1471" t="n"/>
      <c r="AB1296" s="1471" t="n"/>
      <c r="AC1296" s="1471" t="n"/>
      <c r="AD1296" s="1471" t="n"/>
      <c r="AE1296" s="1471" t="n"/>
      <c r="AF1296" s="1471" t="n"/>
      <c r="AG1296" s="1471" t="n"/>
      <c r="AH1296" s="1471" t="n"/>
      <c r="AI1296" s="1471" t="n"/>
      <c r="AJ1296" s="1471" t="n"/>
      <c r="AK1296" s="1471" t="n"/>
      <c r="AL1296" s="1471" t="n"/>
      <c r="AM1296" s="1471" t="n"/>
      <c r="AN1296" s="1471" t="n"/>
      <c r="AO1296" s="1471" t="n"/>
      <c r="AP1296" s="1471" t="n"/>
      <c r="AQ1296" s="1471" t="n"/>
      <c r="AR1296" s="1471" t="n"/>
      <c r="AS1296" s="1471" t="n"/>
      <c r="AT1296" s="1471" t="n"/>
      <c r="AU1296" s="1471" t="n"/>
      <c r="AV1296" s="1471" t="n"/>
      <c r="AW1296" s="1471" t="n"/>
      <c r="AX1296" s="1471" t="n"/>
      <c r="AY1296" s="1471" t="n"/>
      <c r="AZ1296" s="1471" t="n"/>
      <c r="BA1296" s="1471" t="n"/>
      <c r="BB1296" s="1471" t="n"/>
      <c r="BC1296" s="1471" t="n"/>
      <c r="BD1296" s="1471" t="n"/>
      <c r="BE1296" s="1471" t="n"/>
      <c r="BF1296" s="1471" t="n"/>
      <c r="BG1296" s="1471" t="n"/>
      <c r="BH1296" s="1471" t="n"/>
      <c r="BI1296" s="1471" t="n"/>
      <c r="BJ1296" s="1471" t="n"/>
      <c r="BK1296" s="1471" t="n"/>
      <c r="BL1296" s="1471" t="n"/>
      <c r="BM1296" s="1471" t="n"/>
      <c r="BN1296" s="1471" t="n"/>
      <c r="BO1296" s="1471" t="n"/>
      <c r="BP1296" s="1471" t="n"/>
      <c r="BQ1296" s="1487" t="n"/>
      <c r="BR1296" s="1471" t="n"/>
      <c r="BS1296" s="1471" t="n"/>
      <c r="BT1296" s="1471" t="n"/>
      <c r="BU1296" s="1471" t="n"/>
      <c r="BV1296" s="1471" t="n"/>
      <c r="BW1296" s="1471" t="n"/>
      <c r="BX1296" s="1471" t="n"/>
      <c r="BY1296" s="1471" t="n"/>
      <c r="BZ1296" s="1471" t="n"/>
      <c r="CA1296" s="1471" t="n"/>
      <c r="CB1296" s="1472" t="n"/>
    </row>
    <row r="1297" ht="14.4" customFormat="1" customHeight="1" s="1549">
      <c r="A1297" s="1980" t="n"/>
      <c r="B1297" s="1471" t="n"/>
      <c r="C1297" s="1968" t="n"/>
      <c r="D1297" s="1968" t="n"/>
      <c r="E1297" s="1471" t="n"/>
      <c r="F1297" s="1471" t="n"/>
      <c r="G1297" s="1471" t="n"/>
      <c r="H1297" s="1471" t="n"/>
      <c r="I1297" s="1471" t="n"/>
      <c r="J1297" s="1471" t="n"/>
      <c r="K1297" s="1471" t="n"/>
      <c r="L1297" s="1471" t="n"/>
      <c r="M1297" s="1471" t="n"/>
      <c r="N1297" s="1471" t="n"/>
      <c r="O1297" s="1471" t="n"/>
      <c r="P1297" s="1471" t="n"/>
      <c r="Q1297" s="1471" t="n"/>
      <c r="R1297" s="1471" t="n"/>
      <c r="S1297" s="1471" t="n"/>
      <c r="T1297" s="1471" t="n"/>
      <c r="U1297" s="1471" t="n"/>
      <c r="V1297" s="1471" t="n"/>
      <c r="W1297" s="1471" t="n"/>
      <c r="X1297" s="1471" t="n"/>
      <c r="Y1297" s="1471" t="n"/>
      <c r="Z1297" s="1471" t="n"/>
      <c r="AA1297" s="1471" t="n"/>
      <c r="AB1297" s="1471" t="n"/>
      <c r="AC1297" s="1471" t="n"/>
      <c r="AD1297" s="1471" t="n"/>
      <c r="AE1297" s="1471" t="n"/>
      <c r="AF1297" s="1471" t="n"/>
      <c r="AG1297" s="1471" t="n"/>
      <c r="AH1297" s="1471" t="n"/>
      <c r="AI1297" s="1471" t="n"/>
      <c r="AJ1297" s="1471" t="n"/>
      <c r="AK1297" s="1471" t="n"/>
      <c r="AL1297" s="1471" t="n"/>
      <c r="AM1297" s="1471" t="n"/>
      <c r="AN1297" s="1471" t="n"/>
      <c r="AO1297" s="1471" t="n"/>
      <c r="AP1297" s="1471" t="n"/>
      <c r="AQ1297" s="1471" t="n"/>
      <c r="AR1297" s="1471" t="n"/>
      <c r="AS1297" s="1471" t="n"/>
      <c r="AT1297" s="1471" t="n"/>
      <c r="AU1297" s="1471" t="n"/>
      <c r="AV1297" s="1471" t="n"/>
      <c r="AW1297" s="1471" t="n"/>
      <c r="AX1297" s="1471" t="n"/>
      <c r="AY1297" s="1471" t="n"/>
      <c r="AZ1297" s="1471" t="n"/>
      <c r="BA1297" s="1471" t="n"/>
      <c r="BB1297" s="1471" t="n"/>
      <c r="BC1297" s="1471" t="n"/>
      <c r="BD1297" s="1471" t="n"/>
      <c r="BE1297" s="1471" t="n"/>
      <c r="BF1297" s="1471" t="n"/>
      <c r="BG1297" s="1471" t="n"/>
      <c r="BH1297" s="1471" t="n"/>
      <c r="BI1297" s="1471" t="n"/>
      <c r="BJ1297" s="1471" t="n"/>
      <c r="BK1297" s="1471" t="n"/>
      <c r="BL1297" s="1471" t="n"/>
      <c r="BM1297" s="1471" t="n"/>
      <c r="BN1297" s="1471" t="n"/>
      <c r="BO1297" s="1471" t="n"/>
      <c r="BP1297" s="1471" t="n"/>
      <c r="BQ1297" s="1487" t="n"/>
      <c r="BR1297" s="1471" t="n"/>
      <c r="BS1297" s="1471" t="n"/>
      <c r="BT1297" s="1471" t="n"/>
      <c r="BU1297" s="1471" t="n"/>
      <c r="BV1297" s="1471" t="n"/>
      <c r="BW1297" s="1471" t="n"/>
      <c r="BX1297" s="1471" t="n"/>
      <c r="BY1297" s="1471" t="n"/>
      <c r="BZ1297" s="1471" t="n"/>
      <c r="CA1297" s="1471" t="n"/>
      <c r="CB1297" s="1472" t="n"/>
    </row>
    <row r="1298" ht="14.4" customFormat="1" customHeight="1" s="1549">
      <c r="A1298" s="1981" t="inlineStr">
        <is>
          <t>Key Outputs</t>
        </is>
      </c>
      <c r="B1298" s="1471" t="n"/>
      <c r="C1298" s="1968" t="n"/>
      <c r="D1298" s="1968" t="n"/>
      <c r="E1298" s="1471" t="n"/>
      <c r="F1298" s="1471" t="n"/>
      <c r="G1298" s="1471" t="n"/>
      <c r="H1298" s="1471" t="n"/>
      <c r="I1298" s="1471" t="n"/>
      <c r="J1298" s="1471" t="n"/>
      <c r="K1298" s="1471" t="n"/>
      <c r="L1298" s="1471" t="n"/>
      <c r="M1298" s="1471" t="n"/>
      <c r="N1298" s="1471" t="n"/>
      <c r="O1298" s="1471" t="n"/>
      <c r="P1298" s="1471" t="n"/>
      <c r="Q1298" s="1471" t="n"/>
      <c r="R1298" s="1471" t="n"/>
      <c r="S1298" s="1471" t="n"/>
      <c r="T1298" s="1471" t="n"/>
      <c r="U1298" s="1471" t="n"/>
      <c r="V1298" s="1471" t="n"/>
      <c r="W1298" s="1471" t="n"/>
      <c r="X1298" s="1471" t="n"/>
      <c r="Y1298" s="1471" t="n"/>
      <c r="Z1298" s="1471" t="n"/>
      <c r="AA1298" s="1471" t="n"/>
      <c r="AB1298" s="1471" t="n"/>
      <c r="AC1298" s="1471" t="n"/>
      <c r="AD1298" s="1471" t="n"/>
      <c r="AE1298" s="1471" t="n"/>
      <c r="AF1298" s="1471" t="n"/>
      <c r="AG1298" s="1471" t="n"/>
      <c r="AH1298" s="1471" t="n"/>
      <c r="AI1298" s="1471" t="n"/>
      <c r="AJ1298" s="1471" t="n"/>
      <c r="AK1298" s="1471" t="n"/>
      <c r="AL1298" s="1471" t="n"/>
      <c r="AM1298" s="1471" t="n"/>
      <c r="AN1298" s="1471" t="n"/>
      <c r="AO1298" s="1471" t="n"/>
      <c r="AP1298" s="1471" t="n"/>
      <c r="AQ1298" s="1471" t="n"/>
      <c r="AR1298" s="1471" t="n"/>
      <c r="AS1298" s="1471" t="n"/>
      <c r="AT1298" s="1471" t="n"/>
      <c r="AU1298" s="1471" t="n"/>
      <c r="AV1298" s="1471" t="n"/>
      <c r="AW1298" s="1471" t="n"/>
      <c r="AX1298" s="1471" t="n"/>
      <c r="AY1298" s="1471" t="n"/>
      <c r="AZ1298" s="1471" t="n"/>
      <c r="BA1298" s="1471" t="n"/>
      <c r="BB1298" s="1471" t="n"/>
      <c r="BC1298" s="1471" t="n"/>
      <c r="BD1298" s="1471" t="n"/>
      <c r="BE1298" s="1471" t="n"/>
      <c r="BF1298" s="1471" t="n"/>
      <c r="BG1298" s="1471" t="n"/>
      <c r="BH1298" s="1471" t="n"/>
      <c r="BI1298" s="1471" t="n"/>
      <c r="BJ1298" s="1471" t="n"/>
      <c r="BK1298" s="1471" t="n"/>
      <c r="BL1298" s="1471" t="n"/>
      <c r="BM1298" s="1471" t="n"/>
      <c r="BN1298" s="1471" t="n"/>
      <c r="BO1298" s="1471" t="n"/>
      <c r="BP1298" s="1471" t="n"/>
      <c r="BQ1298" s="1487" t="n"/>
      <c r="BR1298" s="1471" t="n"/>
      <c r="BS1298" s="1471" t="n"/>
      <c r="BT1298" s="1471" t="n"/>
      <c r="BU1298" s="1471" t="n"/>
      <c r="BV1298" s="1471" t="n"/>
      <c r="BW1298" s="1471" t="n"/>
      <c r="BX1298" s="1471" t="n"/>
      <c r="BY1298" s="1471" t="n"/>
      <c r="BZ1298" s="1471" t="n"/>
      <c r="CA1298" s="1471" t="n"/>
      <c r="CB1298" s="1472" t="n"/>
    </row>
    <row r="1299" ht="14.4" customFormat="1" customHeight="1" s="1549">
      <c r="A1299" s="1982">
        <f>MO_RIS_REV</f>
        <v/>
      </c>
      <c r="B1299" s="1471" t="n"/>
      <c r="C1299" s="1968" t="n"/>
      <c r="D1299" s="1968" t="n"/>
      <c r="E1299" s="1471" t="n"/>
      <c r="F1299" s="1471" t="n"/>
      <c r="G1299" s="1471" t="n"/>
      <c r="H1299" s="1471" t="n"/>
      <c r="I1299" s="1471" t="n"/>
      <c r="J1299" s="1471" t="n"/>
      <c r="K1299" s="1471" t="n"/>
      <c r="L1299" s="1471" t="n"/>
      <c r="M1299" s="1471" t="n"/>
      <c r="N1299" s="1471" t="n"/>
      <c r="O1299" s="1471" t="n"/>
      <c r="P1299" s="1471" t="n"/>
      <c r="Q1299" s="1471" t="n"/>
      <c r="R1299" s="1471" t="n"/>
      <c r="S1299" s="1471" t="n"/>
      <c r="T1299" s="1471" t="n"/>
      <c r="U1299" s="1471" t="n"/>
      <c r="V1299" s="1471" t="n"/>
      <c r="W1299" s="1471" t="n"/>
      <c r="X1299" s="1471" t="n"/>
      <c r="Y1299" s="1471" t="n"/>
      <c r="Z1299" s="1471" t="n"/>
      <c r="AA1299" s="1471" t="n"/>
      <c r="AB1299" s="1471" t="n"/>
      <c r="AC1299" s="1471" t="n"/>
      <c r="AD1299" s="1471" t="n"/>
      <c r="AE1299" s="1471" t="n"/>
      <c r="AF1299" s="1471" t="n"/>
      <c r="AG1299" s="1471" t="n"/>
      <c r="AH1299" s="1471" t="n"/>
      <c r="AI1299" s="1471" t="n"/>
      <c r="AJ1299" s="1471" t="n"/>
      <c r="AK1299" s="1471" t="n"/>
      <c r="AL1299" s="1471" t="n"/>
      <c r="AM1299" s="1471" t="n"/>
      <c r="AN1299" s="1471" t="n"/>
      <c r="AO1299" s="1471" t="n"/>
      <c r="AP1299" s="1471" t="n"/>
      <c r="AQ1299" s="1471" t="n"/>
      <c r="AR1299" s="1471" t="n"/>
      <c r="AS1299" s="1471" t="n"/>
      <c r="AT1299" s="1471" t="n"/>
      <c r="AU1299" s="1471" t="n"/>
      <c r="AV1299" s="1471" t="n"/>
      <c r="AW1299" s="1471" t="n"/>
      <c r="AX1299" s="1471" t="n"/>
      <c r="AY1299" s="1471" t="n"/>
      <c r="AZ1299" s="1471" t="n"/>
      <c r="BA1299" s="1471" t="n"/>
      <c r="BB1299" s="1471" t="n"/>
      <c r="BC1299" s="1471" t="n"/>
      <c r="BD1299" s="1471" t="n"/>
      <c r="BE1299" s="1471" t="n"/>
      <c r="BF1299" s="1471" t="n"/>
      <c r="BG1299" s="1471" t="n"/>
      <c r="BH1299" s="1471" t="n"/>
      <c r="BI1299" s="1471" t="n"/>
      <c r="BJ1299" s="1471" t="n"/>
      <c r="BK1299" s="1471" t="n"/>
      <c r="BL1299" s="1471" t="n"/>
      <c r="BM1299" s="1471" t="n"/>
      <c r="BN1299" s="1471" t="n"/>
      <c r="BO1299" s="1471" t="n"/>
      <c r="BP1299" s="1471" t="n"/>
      <c r="BQ1299" s="1487" t="n"/>
      <c r="BR1299" s="1471" t="n"/>
      <c r="BS1299" s="1471" t="n"/>
      <c r="BT1299" s="1471" t="n"/>
      <c r="BU1299" s="1471" t="n"/>
      <c r="BV1299" s="1471" t="n"/>
      <c r="BW1299" s="1471" t="n"/>
      <c r="BX1299" s="1471" t="n"/>
      <c r="BY1299" s="1471" t="n"/>
      <c r="BZ1299" s="1471" t="n"/>
      <c r="CA1299" s="1471" t="n"/>
      <c r="CB1299" s="1472" t="n"/>
    </row>
    <row r="1300" ht="14.4" customFormat="1" customHeight="1" s="1549">
      <c r="A1300" s="1982">
        <f>MO_RIS_EBITDA_Adj</f>
        <v/>
      </c>
      <c r="B1300" s="1471" t="n"/>
      <c r="C1300" s="1968" t="n"/>
      <c r="D1300" s="1968" t="n"/>
      <c r="E1300" s="1471" t="n"/>
      <c r="F1300" s="1471" t="n"/>
      <c r="G1300" s="1471" t="n"/>
      <c r="H1300" s="1471" t="n"/>
      <c r="I1300" s="1471" t="n"/>
      <c r="J1300" s="1471" t="n"/>
      <c r="K1300" s="1471" t="n"/>
      <c r="L1300" s="1471" t="n"/>
      <c r="M1300" s="1471" t="n"/>
      <c r="N1300" s="1471" t="n"/>
      <c r="O1300" s="1471" t="n"/>
      <c r="P1300" s="1471" t="n"/>
      <c r="Q1300" s="1471" t="n"/>
      <c r="R1300" s="1471" t="n"/>
      <c r="S1300" s="1471" t="n"/>
      <c r="T1300" s="1471" t="n"/>
      <c r="U1300" s="1471" t="n"/>
      <c r="V1300" s="1471" t="n"/>
      <c r="W1300" s="1471" t="n"/>
      <c r="X1300" s="1471" t="n"/>
      <c r="Y1300" s="1471" t="n"/>
      <c r="Z1300" s="1471" t="n"/>
      <c r="AA1300" s="1471" t="n"/>
      <c r="AB1300" s="1471" t="n"/>
      <c r="AC1300" s="1471" t="n"/>
      <c r="AD1300" s="1471" t="n"/>
      <c r="AE1300" s="1471" t="n"/>
      <c r="AF1300" s="1471" t="n"/>
      <c r="AG1300" s="1471" t="n"/>
      <c r="AH1300" s="1471" t="n"/>
      <c r="AI1300" s="1471" t="n"/>
      <c r="AJ1300" s="1471" t="n"/>
      <c r="AK1300" s="1471" t="n"/>
      <c r="AL1300" s="1471" t="n"/>
      <c r="AM1300" s="1471" t="n"/>
      <c r="AN1300" s="1471" t="n"/>
      <c r="AO1300" s="1471" t="n"/>
      <c r="AP1300" s="1471" t="n"/>
      <c r="AQ1300" s="1471" t="n"/>
      <c r="AR1300" s="1471" t="n"/>
      <c r="AS1300" s="1471" t="n"/>
      <c r="AT1300" s="1471" t="n"/>
      <c r="AU1300" s="1471" t="n"/>
      <c r="AV1300" s="1471" t="n"/>
      <c r="AW1300" s="1471" t="n"/>
      <c r="AX1300" s="1471" t="n"/>
      <c r="AY1300" s="1471" t="n"/>
      <c r="AZ1300" s="1471" t="n"/>
      <c r="BA1300" s="1471" t="n"/>
      <c r="BB1300" s="1471" t="n"/>
      <c r="BC1300" s="1471" t="n"/>
      <c r="BD1300" s="1471" t="n"/>
      <c r="BE1300" s="1471" t="n"/>
      <c r="BF1300" s="1471" t="n"/>
      <c r="BG1300" s="1471" t="n"/>
      <c r="BH1300" s="1471" t="n"/>
      <c r="BI1300" s="1471" t="n"/>
      <c r="BJ1300" s="1471" t="n"/>
      <c r="BK1300" s="1471" t="n"/>
      <c r="BL1300" s="1471" t="n"/>
      <c r="BM1300" s="1471" t="n"/>
      <c r="BN1300" s="1471" t="n"/>
      <c r="BO1300" s="1471" t="n"/>
      <c r="BP1300" s="1471" t="n"/>
      <c r="BQ1300" s="1487" t="n"/>
      <c r="BR1300" s="1471" t="n"/>
      <c r="BS1300" s="1471" t="n"/>
      <c r="BT1300" s="1471" t="n"/>
      <c r="BU1300" s="1471" t="n"/>
      <c r="BV1300" s="1471" t="n"/>
      <c r="BW1300" s="1471" t="n"/>
      <c r="BX1300" s="1471" t="n"/>
      <c r="BY1300" s="1471" t="n"/>
      <c r="BZ1300" s="1471" t="n"/>
      <c r="CA1300" s="1471" t="n"/>
      <c r="CB1300" s="1472" t="n"/>
    </row>
    <row r="1301" ht="14.4" customFormat="1" customHeight="1" s="1549">
      <c r="A1301" s="1982">
        <f>MO_RIS_Reported_OperatingIncome_NONGAAP</f>
        <v/>
      </c>
      <c r="B1301" s="1471" t="n"/>
      <c r="C1301" s="1968" t="n"/>
      <c r="D1301" s="1968" t="n"/>
      <c r="E1301" s="1471" t="n"/>
      <c r="F1301" s="1471" t="n"/>
      <c r="G1301" s="1471" t="n"/>
      <c r="H1301" s="1471" t="n"/>
      <c r="I1301" s="1471" t="n"/>
      <c r="J1301" s="1471" t="n"/>
      <c r="K1301" s="1471" t="n"/>
      <c r="L1301" s="1471" t="n"/>
      <c r="M1301" s="1471" t="n"/>
      <c r="N1301" s="1471" t="n"/>
      <c r="O1301" s="1471" t="n"/>
      <c r="P1301" s="1471" t="n"/>
      <c r="Q1301" s="1471" t="n"/>
      <c r="R1301" s="1471" t="n"/>
      <c r="S1301" s="1471" t="n"/>
      <c r="T1301" s="1471" t="n"/>
      <c r="U1301" s="1471" t="n"/>
      <c r="V1301" s="1471" t="n"/>
      <c r="W1301" s="1471" t="n"/>
      <c r="X1301" s="1471" t="n"/>
      <c r="Y1301" s="1471" t="n"/>
      <c r="Z1301" s="1471" t="n"/>
      <c r="AA1301" s="1471" t="n"/>
      <c r="AB1301" s="1471" t="n"/>
      <c r="AC1301" s="1471" t="n"/>
      <c r="AD1301" s="1471" t="n"/>
      <c r="AE1301" s="1471" t="n"/>
      <c r="AF1301" s="1471" t="n"/>
      <c r="AG1301" s="1471" t="n"/>
      <c r="AH1301" s="1471" t="n"/>
      <c r="AI1301" s="1471" t="n"/>
      <c r="AJ1301" s="1471" t="n"/>
      <c r="AK1301" s="1471" t="n"/>
      <c r="AL1301" s="1471" t="n"/>
      <c r="AM1301" s="1471" t="n"/>
      <c r="AN1301" s="1471" t="n"/>
      <c r="AO1301" s="1471" t="n"/>
      <c r="AP1301" s="1471" t="n"/>
      <c r="AQ1301" s="1471" t="n"/>
      <c r="AR1301" s="1471" t="n"/>
      <c r="AS1301" s="1471" t="n"/>
      <c r="AT1301" s="1471" t="n"/>
      <c r="AU1301" s="1471" t="n"/>
      <c r="AV1301" s="1471" t="n"/>
      <c r="AW1301" s="1471" t="n"/>
      <c r="AX1301" s="1471" t="n"/>
      <c r="AY1301" s="1471" t="n"/>
      <c r="AZ1301" s="1471" t="n"/>
      <c r="BA1301" s="1471" t="n"/>
      <c r="BB1301" s="1471" t="n"/>
      <c r="BC1301" s="1471" t="n"/>
      <c r="BD1301" s="1471" t="n"/>
      <c r="BE1301" s="1471" t="n"/>
      <c r="BF1301" s="1471" t="n"/>
      <c r="BG1301" s="1471" t="n"/>
      <c r="BH1301" s="1471" t="n"/>
      <c r="BI1301" s="1471" t="n"/>
      <c r="BJ1301" s="1471" t="n"/>
      <c r="BK1301" s="1471" t="n"/>
      <c r="BL1301" s="1471" t="n"/>
      <c r="BM1301" s="1471" t="n"/>
      <c r="BN1301" s="1471" t="n"/>
      <c r="BO1301" s="1471" t="n"/>
      <c r="BP1301" s="1471" t="n"/>
      <c r="BQ1301" s="1487" t="n"/>
      <c r="BR1301" s="1471" t="n"/>
      <c r="BS1301" s="1471" t="n"/>
      <c r="BT1301" s="1471" t="n"/>
      <c r="BU1301" s="1471" t="n"/>
      <c r="BV1301" s="1471" t="n"/>
      <c r="BW1301" s="1471" t="n"/>
      <c r="BX1301" s="1471" t="n"/>
      <c r="BY1301" s="1471" t="n"/>
      <c r="BZ1301" s="1471" t="n"/>
      <c r="CA1301" s="1471" t="n"/>
      <c r="CB1301" s="1472" t="n"/>
    </row>
    <row r="1302" ht="14.4" customFormat="1" customHeight="1" s="1549">
      <c r="A1302" s="1982">
        <f>MO_RIS_EPS_WAD_Adj</f>
        <v/>
      </c>
      <c r="B1302" s="1471" t="n"/>
      <c r="C1302" s="1968" t="n"/>
      <c r="D1302" s="1968" t="n"/>
      <c r="E1302" s="1471" t="n"/>
      <c r="F1302" s="1471" t="n"/>
      <c r="G1302" s="1471" t="n"/>
      <c r="H1302" s="1471" t="n"/>
      <c r="I1302" s="1471" t="n"/>
      <c r="J1302" s="1471" t="n"/>
      <c r="K1302" s="1471" t="n"/>
      <c r="L1302" s="1471" t="n"/>
      <c r="M1302" s="1471" t="n"/>
      <c r="N1302" s="1471" t="n"/>
      <c r="O1302" s="1471" t="n"/>
      <c r="P1302" s="1471" t="n"/>
      <c r="Q1302" s="1471" t="n"/>
      <c r="R1302" s="1471" t="n"/>
      <c r="S1302" s="1471" t="n"/>
      <c r="T1302" s="1471" t="n"/>
      <c r="U1302" s="1471" t="n"/>
      <c r="V1302" s="1471" t="n"/>
      <c r="W1302" s="1471" t="n"/>
      <c r="X1302" s="1471" t="n"/>
      <c r="Y1302" s="1471" t="n"/>
      <c r="Z1302" s="1471" t="n"/>
      <c r="AA1302" s="1471" t="n"/>
      <c r="AB1302" s="1471" t="n"/>
      <c r="AC1302" s="1471" t="n"/>
      <c r="AD1302" s="1471" t="n"/>
      <c r="AE1302" s="1471" t="n"/>
      <c r="AF1302" s="1471" t="n"/>
      <c r="AG1302" s="1471" t="n"/>
      <c r="AH1302" s="1471" t="n"/>
      <c r="AI1302" s="1471" t="n"/>
      <c r="AJ1302" s="1471" t="n"/>
      <c r="AK1302" s="1471" t="n"/>
      <c r="AL1302" s="1471" t="n"/>
      <c r="AM1302" s="1471" t="n"/>
      <c r="AN1302" s="1471" t="n"/>
      <c r="AO1302" s="1471" t="n"/>
      <c r="AP1302" s="1471" t="n"/>
      <c r="AQ1302" s="1471" t="n"/>
      <c r="AR1302" s="1471" t="n"/>
      <c r="AS1302" s="1471" t="n"/>
      <c r="AT1302" s="1471" t="n"/>
      <c r="AU1302" s="1471" t="n"/>
      <c r="AV1302" s="1471" t="n"/>
      <c r="AW1302" s="1471" t="n"/>
      <c r="AX1302" s="1471" t="n"/>
      <c r="AY1302" s="1471" t="n"/>
      <c r="AZ1302" s="1471" t="n"/>
      <c r="BA1302" s="1471" t="n"/>
      <c r="BB1302" s="1471" t="n"/>
      <c r="BC1302" s="1471" t="n"/>
      <c r="BD1302" s="1471" t="n"/>
      <c r="BE1302" s="1471" t="n"/>
      <c r="BF1302" s="1471" t="n"/>
      <c r="BG1302" s="1471" t="n"/>
      <c r="BH1302" s="1471" t="n"/>
      <c r="BI1302" s="1471" t="n"/>
      <c r="BJ1302" s="1471" t="n"/>
      <c r="BK1302" s="1471" t="n"/>
      <c r="BL1302" s="1471" t="n"/>
      <c r="BM1302" s="1471" t="n"/>
      <c r="BN1302" s="1471" t="n"/>
      <c r="BO1302" s="1471" t="n"/>
      <c r="BP1302" s="1471" t="n"/>
      <c r="BQ1302" s="1487" t="n"/>
      <c r="BR1302" s="1471" t="n"/>
      <c r="BS1302" s="1471" t="n"/>
      <c r="BT1302" s="1471" t="n"/>
      <c r="BU1302" s="1471" t="n"/>
      <c r="BV1302" s="1471" t="n"/>
      <c r="BW1302" s="1471" t="n"/>
      <c r="BX1302" s="1471" t="n"/>
      <c r="BY1302" s="1471" t="n"/>
      <c r="BZ1302" s="1471" t="n"/>
      <c r="CA1302" s="1471" t="n"/>
      <c r="CB1302" s="1472" t="n"/>
    </row>
    <row r="1303" ht="14.4" customFormat="1" customHeight="1" s="1549">
      <c r="A1303" s="1982">
        <f>MO_VA_EV_ToEBITDA</f>
        <v/>
      </c>
      <c r="B1303" s="1471" t="n"/>
      <c r="C1303" s="1968" t="n"/>
      <c r="D1303" s="1968" t="n"/>
      <c r="E1303" s="1471" t="n"/>
      <c r="F1303" s="1471" t="n"/>
      <c r="G1303" s="1471" t="n"/>
      <c r="H1303" s="1471" t="n"/>
      <c r="I1303" s="1471" t="n"/>
      <c r="J1303" s="1471" t="n"/>
      <c r="K1303" s="1471" t="n"/>
      <c r="L1303" s="1471" t="n"/>
      <c r="M1303" s="1471" t="n"/>
      <c r="N1303" s="1471" t="n"/>
      <c r="O1303" s="1471" t="n"/>
      <c r="P1303" s="1471" t="n"/>
      <c r="Q1303" s="1471" t="n"/>
      <c r="R1303" s="1471" t="n"/>
      <c r="S1303" s="1471" t="n"/>
      <c r="T1303" s="1471" t="n"/>
      <c r="U1303" s="1471" t="n"/>
      <c r="V1303" s="1471" t="n"/>
      <c r="W1303" s="1471" t="n"/>
      <c r="X1303" s="1471" t="n"/>
      <c r="Y1303" s="1471" t="n"/>
      <c r="Z1303" s="1471" t="n"/>
      <c r="AA1303" s="1471" t="n"/>
      <c r="AB1303" s="1471" t="n"/>
      <c r="AC1303" s="1471" t="n"/>
      <c r="AD1303" s="1471" t="n"/>
      <c r="AE1303" s="1471" t="n"/>
      <c r="AF1303" s="1471" t="n"/>
      <c r="AG1303" s="1471" t="n"/>
      <c r="AH1303" s="1471" t="n"/>
      <c r="AI1303" s="1471" t="n"/>
      <c r="AJ1303" s="1471" t="n"/>
      <c r="AK1303" s="1471" t="n"/>
      <c r="AL1303" s="1471" t="n"/>
      <c r="AM1303" s="1471" t="n"/>
      <c r="AN1303" s="1471" t="n"/>
      <c r="AO1303" s="1471" t="n"/>
      <c r="AP1303" s="1471" t="n"/>
      <c r="AQ1303" s="1471" t="n"/>
      <c r="AR1303" s="1471" t="n"/>
      <c r="AS1303" s="1471" t="n"/>
      <c r="AT1303" s="1471" t="n"/>
      <c r="AU1303" s="1471" t="n"/>
      <c r="AV1303" s="1471" t="n"/>
      <c r="AW1303" s="1471" t="n"/>
      <c r="AX1303" s="1471" t="n"/>
      <c r="AY1303" s="1471" t="n"/>
      <c r="AZ1303" s="1471" t="n"/>
      <c r="BA1303" s="1471" t="n"/>
      <c r="BB1303" s="1471" t="n"/>
      <c r="BC1303" s="1471" t="n"/>
      <c r="BD1303" s="1471" t="n"/>
      <c r="BE1303" s="1471" t="n"/>
      <c r="BF1303" s="1471" t="n"/>
      <c r="BG1303" s="1471" t="n"/>
      <c r="BH1303" s="1471" t="n"/>
      <c r="BI1303" s="1471" t="n"/>
      <c r="BJ1303" s="1471" t="n"/>
      <c r="BK1303" s="1471" t="n"/>
      <c r="BL1303" s="1471" t="n"/>
      <c r="BM1303" s="1471" t="n"/>
      <c r="BN1303" s="1471" t="n"/>
      <c r="BO1303" s="1471" t="n"/>
      <c r="BP1303" s="1471" t="n"/>
      <c r="BQ1303" s="1487" t="n"/>
      <c r="BR1303" s="1471" t="n"/>
      <c r="BS1303" s="1471" t="n"/>
      <c r="BT1303" s="1471" t="n"/>
      <c r="BU1303" s="1471" t="n"/>
      <c r="BV1303" s="1471" t="n"/>
      <c r="BW1303" s="1471" t="n"/>
      <c r="BX1303" s="1471" t="n"/>
      <c r="BY1303" s="1471" t="n"/>
      <c r="BZ1303" s="1471" t="n"/>
      <c r="CA1303" s="1471" t="n"/>
      <c r="CB1303" s="1472" t="n"/>
    </row>
    <row r="1304" ht="14.4" customFormat="1" customHeight="1" s="1549">
      <c r="A1304" s="1982">
        <f>MO_VA_P_ToE</f>
        <v/>
      </c>
      <c r="B1304" s="1471" t="n"/>
      <c r="C1304" s="1968" t="n"/>
      <c r="D1304" s="1968" t="n"/>
      <c r="E1304" s="1471" t="n"/>
      <c r="F1304" s="1471" t="n"/>
      <c r="G1304" s="1471" t="n"/>
      <c r="H1304" s="1471" t="n"/>
      <c r="I1304" s="1471" t="n"/>
      <c r="J1304" s="1471" t="n"/>
      <c r="K1304" s="1471" t="n"/>
      <c r="L1304" s="1471" t="n"/>
      <c r="M1304" s="1471" t="n"/>
      <c r="N1304" s="1471" t="n"/>
      <c r="O1304" s="1471" t="n"/>
      <c r="P1304" s="1471" t="n"/>
      <c r="Q1304" s="1471" t="n"/>
      <c r="R1304" s="1471" t="n"/>
      <c r="S1304" s="1471" t="n"/>
      <c r="T1304" s="1471" t="n"/>
      <c r="U1304" s="1471" t="n"/>
      <c r="V1304" s="1471" t="n"/>
      <c r="W1304" s="1471" t="n"/>
      <c r="X1304" s="1471" t="n"/>
      <c r="Y1304" s="1471" t="n"/>
      <c r="Z1304" s="1471" t="n"/>
      <c r="AA1304" s="1471" t="n"/>
      <c r="AB1304" s="1471" t="n"/>
      <c r="AC1304" s="1471" t="n"/>
      <c r="AD1304" s="1471" t="n"/>
      <c r="AE1304" s="1471" t="n"/>
      <c r="AF1304" s="1471" t="n"/>
      <c r="AG1304" s="1471" t="n"/>
      <c r="AH1304" s="1471" t="n"/>
      <c r="AI1304" s="1471" t="n"/>
      <c r="AJ1304" s="1471" t="n"/>
      <c r="AK1304" s="1471" t="n"/>
      <c r="AL1304" s="1471" t="n"/>
      <c r="AM1304" s="1471" t="n"/>
      <c r="AN1304" s="1471" t="n"/>
      <c r="AO1304" s="1471" t="n"/>
      <c r="AP1304" s="1471" t="n"/>
      <c r="AQ1304" s="1471" t="n"/>
      <c r="AR1304" s="1471" t="n"/>
      <c r="AS1304" s="1471" t="n"/>
      <c r="AT1304" s="1471" t="n"/>
      <c r="AU1304" s="1471" t="n"/>
      <c r="AV1304" s="1471" t="n"/>
      <c r="AW1304" s="1471" t="n"/>
      <c r="AX1304" s="1471" t="n"/>
      <c r="AY1304" s="1471" t="n"/>
      <c r="AZ1304" s="1471" t="n"/>
      <c r="BA1304" s="1471" t="n"/>
      <c r="BB1304" s="1471" t="n"/>
      <c r="BC1304" s="1471" t="n"/>
      <c r="BD1304" s="1471" t="n"/>
      <c r="BE1304" s="1471" t="n"/>
      <c r="BF1304" s="1471" t="n"/>
      <c r="BG1304" s="1471" t="n"/>
      <c r="BH1304" s="1471" t="n"/>
      <c r="BI1304" s="1471" t="n"/>
      <c r="BJ1304" s="1471" t="n"/>
      <c r="BK1304" s="1471" t="n"/>
      <c r="BL1304" s="1471" t="n"/>
      <c r="BM1304" s="1471" t="n"/>
      <c r="BN1304" s="1471" t="n"/>
      <c r="BO1304" s="1471" t="n"/>
      <c r="BP1304" s="1471" t="n"/>
      <c r="BQ1304" s="1487" t="n"/>
      <c r="BR1304" s="1471" t="n"/>
      <c r="BS1304" s="1471" t="n"/>
      <c r="BT1304" s="1471" t="n"/>
      <c r="BU1304" s="1471" t="n"/>
      <c r="BV1304" s="1471" t="n"/>
      <c r="BW1304" s="1471" t="n"/>
      <c r="BX1304" s="1471" t="n"/>
      <c r="BY1304" s="1471" t="n"/>
      <c r="BZ1304" s="1471" t="n"/>
      <c r="CA1304" s="1471" t="n"/>
      <c r="CB1304" s="1472" t="n"/>
    </row>
    <row r="1305" ht="14.4" customFormat="1" customHeight="1" s="1549">
      <c r="A1305" s="1983" t="n"/>
      <c r="B1305" s="1471" t="n"/>
      <c r="C1305" s="1968" t="n"/>
      <c r="D1305" s="1968" t="n"/>
      <c r="E1305" s="1471" t="n"/>
      <c r="F1305" s="1471" t="n"/>
      <c r="G1305" s="1471" t="n"/>
      <c r="H1305" s="1471" t="n"/>
      <c r="I1305" s="1471" t="n"/>
      <c r="J1305" s="1471" t="n"/>
      <c r="K1305" s="1471" t="n"/>
      <c r="L1305" s="1471" t="n"/>
      <c r="M1305" s="1471" t="n"/>
      <c r="N1305" s="1471" t="n"/>
      <c r="O1305" s="1471" t="n"/>
      <c r="P1305" s="1471" t="n"/>
      <c r="Q1305" s="1471" t="n"/>
      <c r="R1305" s="1471" t="n"/>
      <c r="S1305" s="1471" t="n"/>
      <c r="T1305" s="1471" t="n"/>
      <c r="U1305" s="1471" t="n"/>
      <c r="V1305" s="1471" t="n"/>
      <c r="W1305" s="1471" t="n"/>
      <c r="X1305" s="1471" t="n"/>
      <c r="Y1305" s="1471" t="n"/>
      <c r="Z1305" s="1471" t="n"/>
      <c r="AA1305" s="1471" t="n"/>
      <c r="AB1305" s="1471" t="n"/>
      <c r="AC1305" s="1471" t="n"/>
      <c r="AD1305" s="1471" t="n"/>
      <c r="AE1305" s="1471" t="n"/>
      <c r="AF1305" s="1471" t="n"/>
      <c r="AG1305" s="1471" t="n"/>
      <c r="AH1305" s="1471" t="n"/>
      <c r="AI1305" s="1471" t="n"/>
      <c r="AJ1305" s="1471" t="n"/>
      <c r="AK1305" s="1471" t="n"/>
      <c r="AL1305" s="1471" t="n"/>
      <c r="AM1305" s="1471" t="n"/>
      <c r="AN1305" s="1471" t="n"/>
      <c r="AO1305" s="1471" t="n"/>
      <c r="AP1305" s="1471" t="n"/>
      <c r="AQ1305" s="1471" t="n"/>
      <c r="AR1305" s="1471" t="n"/>
      <c r="AS1305" s="1471" t="n"/>
      <c r="AT1305" s="1471" t="n"/>
      <c r="AU1305" s="1471" t="n"/>
      <c r="AV1305" s="1471" t="n"/>
      <c r="AW1305" s="1471" t="n"/>
      <c r="AX1305" s="1471" t="n"/>
      <c r="AY1305" s="1471" t="n"/>
      <c r="AZ1305" s="1471" t="n"/>
      <c r="BA1305" s="1471" t="n"/>
      <c r="BB1305" s="1471" t="n"/>
      <c r="BC1305" s="1471" t="n"/>
      <c r="BD1305" s="1471" t="n"/>
      <c r="BE1305" s="1471" t="n"/>
      <c r="BF1305" s="1471" t="n"/>
      <c r="BG1305" s="1471" t="n"/>
      <c r="BH1305" s="1471" t="n"/>
      <c r="BI1305" s="1471" t="n"/>
      <c r="BJ1305" s="1471" t="n"/>
      <c r="BK1305" s="1471" t="n"/>
      <c r="BL1305" s="1471" t="n"/>
      <c r="BM1305" s="1471" t="n"/>
      <c r="BN1305" s="1471" t="n"/>
      <c r="BO1305" s="1471" t="n"/>
      <c r="BP1305" s="1471" t="n"/>
      <c r="BQ1305" s="1487" t="n"/>
      <c r="BR1305" s="1471" t="n"/>
      <c r="BS1305" s="1471" t="n"/>
      <c r="BT1305" s="1471" t="n"/>
      <c r="BU1305" s="1471" t="n"/>
      <c r="BV1305" s="1471" t="n"/>
      <c r="BW1305" s="1471" t="n"/>
      <c r="BX1305" s="1471" t="n"/>
      <c r="BY1305" s="1471" t="n"/>
      <c r="BZ1305" s="1471" t="n"/>
      <c r="CA1305" s="1471" t="n"/>
      <c r="CB1305" s="1472" t="n"/>
    </row>
    <row r="1306" ht="14.4" customFormat="1" customHeight="1" s="1549">
      <c r="A1306" s="1980" t="n"/>
      <c r="B1306" s="1471" t="n"/>
      <c r="C1306" s="1968" t="n"/>
      <c r="D1306" s="1968" t="n"/>
      <c r="E1306" s="1471" t="n"/>
      <c r="F1306" s="1471" t="n"/>
      <c r="G1306" s="1471" t="n"/>
      <c r="H1306" s="1471" t="n"/>
      <c r="I1306" s="1471" t="n"/>
      <c r="J1306" s="1471" t="n"/>
      <c r="K1306" s="1471" t="n"/>
      <c r="L1306" s="1471" t="n"/>
      <c r="M1306" s="1471" t="n"/>
      <c r="N1306" s="1471" t="n"/>
      <c r="O1306" s="1471" t="n"/>
      <c r="P1306" s="1471" t="n"/>
      <c r="Q1306" s="1471" t="n"/>
      <c r="R1306" s="1471" t="n"/>
      <c r="S1306" s="1471" t="n"/>
      <c r="T1306" s="1471" t="n"/>
      <c r="U1306" s="1471" t="n"/>
      <c r="V1306" s="1471" t="n"/>
      <c r="W1306" s="1471" t="n"/>
      <c r="X1306" s="1471" t="n"/>
      <c r="Y1306" s="1471" t="n"/>
      <c r="Z1306" s="1471" t="n"/>
      <c r="AA1306" s="1471" t="n"/>
      <c r="AB1306" s="1471" t="n"/>
      <c r="AC1306" s="1471" t="n"/>
      <c r="AD1306" s="1471" t="n"/>
      <c r="AE1306" s="1471" t="n"/>
      <c r="AF1306" s="1471" t="n"/>
      <c r="AG1306" s="1471" t="n"/>
      <c r="AH1306" s="1471" t="n"/>
      <c r="AI1306" s="1471" t="n"/>
      <c r="AJ1306" s="1471" t="n"/>
      <c r="AK1306" s="1471" t="n"/>
      <c r="AL1306" s="1471" t="n"/>
      <c r="AM1306" s="1471" t="n"/>
      <c r="AN1306" s="1471" t="n"/>
      <c r="AO1306" s="1471" t="n"/>
      <c r="AP1306" s="1471" t="n"/>
      <c r="AQ1306" s="1471" t="n"/>
      <c r="AR1306" s="1471" t="n"/>
      <c r="AS1306" s="1471" t="n"/>
      <c r="AT1306" s="1471" t="n"/>
      <c r="AU1306" s="1471" t="n"/>
      <c r="AV1306" s="1471" t="n"/>
      <c r="AW1306" s="1471" t="n"/>
      <c r="AX1306" s="1471" t="n"/>
      <c r="AY1306" s="1471" t="n"/>
      <c r="AZ1306" s="1471" t="n"/>
      <c r="BA1306" s="1471" t="n"/>
      <c r="BB1306" s="1471" t="n"/>
      <c r="BC1306" s="1471" t="n"/>
      <c r="BD1306" s="1471" t="n"/>
      <c r="BE1306" s="1471" t="n"/>
      <c r="BF1306" s="1471" t="n"/>
      <c r="BG1306" s="1471" t="n"/>
      <c r="BH1306" s="1471" t="n"/>
      <c r="BI1306" s="1471" t="n"/>
      <c r="BJ1306" s="1471" t="n"/>
      <c r="BK1306" s="1471" t="n"/>
      <c r="BL1306" s="1471" t="n"/>
      <c r="BM1306" s="1471" t="n"/>
      <c r="BN1306" s="1471" t="n"/>
      <c r="BO1306" s="1471" t="n"/>
      <c r="BP1306" s="1471" t="n"/>
      <c r="BQ1306" s="1487" t="n"/>
      <c r="BR1306" s="1471" t="n"/>
      <c r="BS1306" s="1471" t="n"/>
      <c r="BT1306" s="1471" t="n"/>
      <c r="BU1306" s="1471" t="n"/>
      <c r="BV1306" s="1471" t="n"/>
      <c r="BW1306" s="1471" t="n"/>
      <c r="BX1306" s="1471" t="n"/>
      <c r="BY1306" s="1471" t="n"/>
      <c r="BZ1306" s="1471" t="n"/>
      <c r="CA1306" s="1471" t="n"/>
      <c r="CB1306" s="1472" t="n"/>
    </row>
    <row r="1307" ht="14.4" customFormat="1" customHeight="1" s="1549">
      <c r="A1307" s="1984" t="inlineStr">
        <is>
          <t>KPI Data</t>
        </is>
      </c>
      <c r="B1307" s="1471" t="n"/>
      <c r="C1307" s="1968" t="n"/>
      <c r="D1307" s="1968" t="n"/>
      <c r="E1307" s="1471" t="n"/>
      <c r="F1307" s="1471" t="n"/>
      <c r="G1307" s="1471" t="n"/>
      <c r="H1307" s="1471" t="n"/>
      <c r="I1307" s="1471" t="n"/>
      <c r="J1307" s="1471" t="n"/>
      <c r="K1307" s="1471" t="n"/>
      <c r="L1307" s="1471" t="n"/>
      <c r="M1307" s="1471" t="n"/>
      <c r="N1307" s="1471" t="n"/>
      <c r="O1307" s="1471" t="n"/>
      <c r="P1307" s="1471" t="n"/>
      <c r="Q1307" s="1471" t="n"/>
      <c r="R1307" s="1471" t="n"/>
      <c r="S1307" s="1471" t="n"/>
      <c r="T1307" s="1471" t="n"/>
      <c r="U1307" s="1471" t="n"/>
      <c r="V1307" s="1471" t="n"/>
      <c r="W1307" s="1471" t="n"/>
      <c r="X1307" s="1471" t="n"/>
      <c r="Y1307" s="1471" t="n"/>
      <c r="Z1307" s="1471" t="n"/>
      <c r="AA1307" s="1471" t="n"/>
      <c r="AB1307" s="1471" t="n"/>
      <c r="AC1307" s="1471" t="n"/>
      <c r="AD1307" s="1471" t="n"/>
      <c r="AE1307" s="1471" t="n"/>
      <c r="AF1307" s="1471" t="n"/>
      <c r="AG1307" s="1471" t="n"/>
      <c r="AH1307" s="1471" t="n"/>
      <c r="AI1307" s="1471" t="n"/>
      <c r="AJ1307" s="1471" t="n"/>
      <c r="AK1307" s="1471" t="n"/>
      <c r="AL1307" s="1471" t="n"/>
      <c r="AM1307" s="1471" t="n"/>
      <c r="AN1307" s="1471" t="n"/>
      <c r="AO1307" s="1471" t="n"/>
      <c r="AP1307" s="1471" t="n"/>
      <c r="AQ1307" s="1471" t="n"/>
      <c r="AR1307" s="1471" t="n"/>
      <c r="AS1307" s="1471" t="n"/>
      <c r="AT1307" s="1471" t="n"/>
      <c r="AU1307" s="1471" t="n"/>
      <c r="AV1307" s="1471" t="n"/>
      <c r="AW1307" s="1471" t="n"/>
      <c r="AX1307" s="1471" t="n"/>
      <c r="AY1307" s="1471" t="n"/>
      <c r="AZ1307" s="1471" t="n"/>
      <c r="BA1307" s="1471" t="n"/>
      <c r="BB1307" s="1471" t="n"/>
      <c r="BC1307" s="1471" t="n"/>
      <c r="BD1307" s="1471" t="n"/>
      <c r="BE1307" s="1471" t="n"/>
      <c r="BF1307" s="1471" t="n"/>
      <c r="BG1307" s="1471" t="n"/>
      <c r="BH1307" s="1471" t="n"/>
      <c r="BI1307" s="1471" t="n"/>
      <c r="BJ1307" s="1471" t="n"/>
      <c r="BK1307" s="1471" t="n"/>
      <c r="BL1307" s="1471" t="n"/>
      <c r="BM1307" s="1471" t="n"/>
      <c r="BN1307" s="1471" t="n"/>
      <c r="BO1307" s="1471" t="n"/>
      <c r="BP1307" s="1471" t="n"/>
      <c r="BQ1307" s="1487" t="n"/>
      <c r="BR1307" s="1471" t="n"/>
      <c r="BS1307" s="1471" t="n"/>
      <c r="BT1307" s="1471" t="n"/>
      <c r="BU1307" s="1471" t="n"/>
      <c r="BV1307" s="1471" t="n"/>
      <c r="BW1307" s="1471" t="n"/>
      <c r="BX1307" s="1471" t="n"/>
      <c r="BY1307" s="1471" t="n"/>
      <c r="BZ1307" s="1471" t="n"/>
      <c r="CA1307" s="1471" t="n"/>
      <c r="CB1307" s="1472" t="n"/>
    </row>
    <row r="1308" ht="14.4" customFormat="1" customHeight="1" s="1549">
      <c r="A1308" s="1985" t="inlineStr">
        <is>
          <t>MO_RIS_REV</t>
        </is>
      </c>
      <c r="B1308" s="1471" t="n"/>
      <c r="C1308" s="1968" t="n"/>
      <c r="D1308" s="1968" t="n"/>
      <c r="E1308" s="1471" t="n"/>
      <c r="F1308" s="1471" t="n"/>
      <c r="G1308" s="1471" t="n"/>
      <c r="H1308" s="1471" t="n"/>
      <c r="I1308" s="1471" t="n"/>
      <c r="J1308" s="1471" t="n"/>
      <c r="K1308" s="1471" t="n"/>
      <c r="L1308" s="1471" t="n"/>
      <c r="M1308" s="1471" t="n"/>
      <c r="N1308" s="1471" t="n"/>
      <c r="O1308" s="1471" t="n"/>
      <c r="P1308" s="1471" t="n"/>
      <c r="Q1308" s="1471" t="n"/>
      <c r="R1308" s="1471" t="n"/>
      <c r="S1308" s="1471" t="n"/>
      <c r="T1308" s="1471" t="n"/>
      <c r="U1308" s="1471" t="n"/>
      <c r="V1308" s="1471" t="n"/>
      <c r="W1308" s="1471" t="n"/>
      <c r="X1308" s="1471" t="n"/>
      <c r="Y1308" s="1471" t="n"/>
      <c r="Z1308" s="1471" t="n"/>
      <c r="AA1308" s="1471" t="n"/>
      <c r="AB1308" s="1471" t="n"/>
      <c r="AC1308" s="1471" t="n"/>
      <c r="AD1308" s="1471" t="n"/>
      <c r="AE1308" s="1471" t="n"/>
      <c r="AF1308" s="1471" t="n"/>
      <c r="AG1308" s="1471" t="n"/>
      <c r="AH1308" s="1471" t="n"/>
      <c r="AI1308" s="1471" t="n"/>
      <c r="AJ1308" s="1471" t="n"/>
      <c r="AK1308" s="1471" t="n"/>
      <c r="AL1308" s="1471" t="n"/>
      <c r="AM1308" s="1471" t="n"/>
      <c r="AN1308" s="1471" t="n"/>
      <c r="AO1308" s="1471" t="n"/>
      <c r="AP1308" s="1471" t="n"/>
      <c r="AQ1308" s="1471" t="n"/>
      <c r="AR1308" s="1471" t="n"/>
      <c r="AS1308" s="1471" t="n"/>
      <c r="AT1308" s="1471" t="n"/>
      <c r="AU1308" s="1471" t="n"/>
      <c r="AV1308" s="1471" t="n"/>
      <c r="AW1308" s="1471" t="n"/>
      <c r="AX1308" s="1471" t="n"/>
      <c r="AY1308" s="1471" t="n"/>
      <c r="AZ1308" s="1471" t="n"/>
      <c r="BA1308" s="1471" t="n"/>
      <c r="BB1308" s="1471" t="n"/>
      <c r="BC1308" s="1471" t="n"/>
      <c r="BD1308" s="1471" t="n"/>
      <c r="BE1308" s="1471" t="n"/>
      <c r="BF1308" s="1471" t="n"/>
      <c r="BG1308" s="1471" t="n"/>
      <c r="BH1308" s="1471" t="n"/>
      <c r="BI1308" s="1471" t="n"/>
      <c r="BJ1308" s="1471" t="n"/>
      <c r="BK1308" s="1471" t="n"/>
      <c r="BL1308" s="1471" t="n"/>
      <c r="BM1308" s="1471" t="n"/>
      <c r="BN1308" s="1471" t="n"/>
      <c r="BO1308" s="1471" t="n"/>
      <c r="BP1308" s="1471" t="n"/>
      <c r="BQ1308" s="1487" t="n"/>
      <c r="BR1308" s="1471" t="n"/>
      <c r="BS1308" s="1471" t="n"/>
      <c r="BT1308" s="1471" t="n"/>
      <c r="BU1308" s="1471" t="n"/>
      <c r="BV1308" s="1471" t="n"/>
      <c r="BW1308" s="1471" t="n"/>
      <c r="BX1308" s="1471" t="n"/>
      <c r="BY1308" s="1471" t="n"/>
      <c r="BZ1308" s="1471" t="n"/>
      <c r="CA1308" s="1471" t="n"/>
      <c r="CB1308" s="1472" t="n"/>
    </row>
    <row r="1309" ht="14.4" customFormat="1" customHeight="1" s="1549">
      <c r="A1309" s="1985" t="inlineStr">
        <is>
          <t>MO_RIS_NI_NONGAAP_Diluted</t>
        </is>
      </c>
      <c r="B1309" s="1471" t="n"/>
      <c r="C1309" s="1968" t="n"/>
      <c r="D1309" s="1968" t="n"/>
      <c r="E1309" s="1471" t="n"/>
      <c r="F1309" s="1471" t="n"/>
      <c r="G1309" s="1471" t="n"/>
      <c r="H1309" s="1471" t="n"/>
      <c r="I1309" s="1471" t="n"/>
      <c r="J1309" s="1471" t="n"/>
      <c r="K1309" s="1471" t="n"/>
      <c r="L1309" s="1471" t="n"/>
      <c r="M1309" s="1471" t="n"/>
      <c r="N1309" s="1471" t="n"/>
      <c r="O1309" s="1471" t="n"/>
      <c r="P1309" s="1471" t="n"/>
      <c r="Q1309" s="1471" t="n"/>
      <c r="R1309" s="1471" t="n"/>
      <c r="S1309" s="1471" t="n"/>
      <c r="T1309" s="1471" t="n"/>
      <c r="U1309" s="1471" t="n"/>
      <c r="V1309" s="1471" t="n"/>
      <c r="W1309" s="1471" t="n"/>
      <c r="X1309" s="1471" t="n"/>
      <c r="Y1309" s="1471" t="n"/>
      <c r="Z1309" s="1471" t="n"/>
      <c r="AA1309" s="1471" t="n"/>
      <c r="AB1309" s="1471" t="n"/>
      <c r="AC1309" s="1471" t="n"/>
      <c r="AD1309" s="1471" t="n"/>
      <c r="AE1309" s="1471" t="n"/>
      <c r="AF1309" s="1471" t="n"/>
      <c r="AG1309" s="1471" t="n"/>
      <c r="AH1309" s="1471" t="n"/>
      <c r="AI1309" s="1471" t="n"/>
      <c r="AJ1309" s="1471" t="n"/>
      <c r="AK1309" s="1471" t="n"/>
      <c r="AL1309" s="1471" t="n"/>
      <c r="AM1309" s="1471" t="n"/>
      <c r="AN1309" s="1471" t="n"/>
      <c r="AO1309" s="1471" t="n"/>
      <c r="AP1309" s="1471" t="n"/>
      <c r="AQ1309" s="1471" t="n"/>
      <c r="AR1309" s="1471" t="n"/>
      <c r="AS1309" s="1471" t="n"/>
      <c r="AT1309" s="1471" t="n"/>
      <c r="AU1309" s="1471" t="n"/>
      <c r="AV1309" s="1471" t="n"/>
      <c r="AW1309" s="1471" t="n"/>
      <c r="AX1309" s="1471" t="n"/>
      <c r="AY1309" s="1471" t="n"/>
      <c r="AZ1309" s="1471" t="n"/>
      <c r="BA1309" s="1471" t="n"/>
      <c r="BB1309" s="1471" t="n"/>
      <c r="BC1309" s="1471" t="n"/>
      <c r="BD1309" s="1471" t="n"/>
      <c r="BE1309" s="1471" t="n"/>
      <c r="BF1309" s="1471" t="n"/>
      <c r="BG1309" s="1471" t="n"/>
      <c r="BH1309" s="1471" t="n"/>
      <c r="BI1309" s="1471" t="n"/>
      <c r="BJ1309" s="1471" t="n"/>
      <c r="BK1309" s="1471" t="n"/>
      <c r="BL1309" s="1471" t="n"/>
      <c r="BM1309" s="1471" t="n"/>
      <c r="BN1309" s="1471" t="n"/>
      <c r="BO1309" s="1471" t="n"/>
      <c r="BP1309" s="1471" t="n"/>
      <c r="BQ1309" s="1487" t="n"/>
      <c r="BR1309" s="1471" t="n"/>
      <c r="BS1309" s="1471" t="n"/>
      <c r="BT1309" s="1471" t="n"/>
      <c r="BU1309" s="1471" t="n"/>
      <c r="BV1309" s="1471" t="n"/>
      <c r="BW1309" s="1471" t="n"/>
      <c r="BX1309" s="1471" t="n"/>
      <c r="BY1309" s="1471" t="n"/>
      <c r="BZ1309" s="1471" t="n"/>
      <c r="CA1309" s="1471" t="n"/>
      <c r="CB1309" s="1472" t="n"/>
    </row>
    <row r="1310" ht="14.4" customFormat="1" customHeight="1" s="1549">
      <c r="A1310" s="1985" t="inlineStr">
        <is>
          <t>MO_RIS_EPS_WAD_Adj</t>
        </is>
      </c>
      <c r="B1310" s="1471" t="n"/>
      <c r="C1310" s="1968" t="n"/>
      <c r="D1310" s="1968" t="n"/>
      <c r="E1310" s="1471" t="n"/>
      <c r="F1310" s="1471" t="n"/>
      <c r="G1310" s="1471" t="n"/>
      <c r="H1310" s="1471" t="n"/>
      <c r="I1310" s="1471" t="n"/>
      <c r="J1310" s="1471" t="n"/>
      <c r="K1310" s="1471" t="n"/>
      <c r="L1310" s="1471" t="n"/>
      <c r="M1310" s="1471" t="n"/>
      <c r="N1310" s="1471" t="n"/>
      <c r="O1310" s="1471" t="n"/>
      <c r="P1310" s="1471" t="n"/>
      <c r="Q1310" s="1471" t="n"/>
      <c r="R1310" s="1471" t="n"/>
      <c r="S1310" s="1471" t="n"/>
      <c r="T1310" s="1471" t="n"/>
      <c r="U1310" s="1471" t="n"/>
      <c r="V1310" s="1471" t="n"/>
      <c r="W1310" s="1471" t="n"/>
      <c r="X1310" s="1471" t="n"/>
      <c r="Y1310" s="1471" t="n"/>
      <c r="Z1310" s="1471" t="n"/>
      <c r="AA1310" s="1471" t="n"/>
      <c r="AB1310" s="1471" t="n"/>
      <c r="AC1310" s="1471" t="n"/>
      <c r="AD1310" s="1471" t="n"/>
      <c r="AE1310" s="1471" t="n"/>
      <c r="AF1310" s="1471" t="n"/>
      <c r="AG1310" s="1471" t="n"/>
      <c r="AH1310" s="1471" t="n"/>
      <c r="AI1310" s="1471" t="n"/>
      <c r="AJ1310" s="1471" t="n"/>
      <c r="AK1310" s="1471" t="n"/>
      <c r="AL1310" s="1471" t="n"/>
      <c r="AM1310" s="1471" t="n"/>
      <c r="AN1310" s="1471" t="n"/>
      <c r="AO1310" s="1471" t="n"/>
      <c r="AP1310" s="1471" t="n"/>
      <c r="AQ1310" s="1471" t="n"/>
      <c r="AR1310" s="1471" t="n"/>
      <c r="AS1310" s="1471" t="n"/>
      <c r="AT1310" s="1471" t="n"/>
      <c r="AU1310" s="1471" t="n"/>
      <c r="AV1310" s="1471" t="n"/>
      <c r="AW1310" s="1471" t="n"/>
      <c r="AX1310" s="1471" t="n"/>
      <c r="AY1310" s="1471" t="n"/>
      <c r="AZ1310" s="1471" t="n"/>
      <c r="BA1310" s="1471" t="n"/>
      <c r="BB1310" s="1471" t="n"/>
      <c r="BC1310" s="1471" t="n"/>
      <c r="BD1310" s="1471" t="n"/>
      <c r="BE1310" s="1471" t="n"/>
      <c r="BF1310" s="1471" t="n"/>
      <c r="BG1310" s="1471" t="n"/>
      <c r="BH1310" s="1471" t="n"/>
      <c r="BI1310" s="1471" t="n"/>
      <c r="BJ1310" s="1471" t="n"/>
      <c r="BK1310" s="1471" t="n"/>
      <c r="BL1310" s="1471" t="n"/>
      <c r="BM1310" s="1471" t="n"/>
      <c r="BN1310" s="1471" t="n"/>
      <c r="BO1310" s="1471" t="n"/>
      <c r="BP1310" s="1471" t="n"/>
      <c r="BQ1310" s="1487" t="n"/>
      <c r="BR1310" s="1471" t="n"/>
      <c r="BS1310" s="1471" t="n"/>
      <c r="BT1310" s="1471" t="n"/>
      <c r="BU1310" s="1471" t="n"/>
      <c r="BV1310" s="1471" t="n"/>
      <c r="BW1310" s="1471" t="n"/>
      <c r="BX1310" s="1471" t="n"/>
      <c r="BY1310" s="1471" t="n"/>
      <c r="BZ1310" s="1471" t="n"/>
      <c r="CA1310" s="1471" t="n"/>
      <c r="CB1310" s="1472" t="n"/>
    </row>
    <row r="1311" ht="14.4" customFormat="1" customHeight="1" s="1549">
      <c r="A1311" s="1985" t="inlineStr">
        <is>
          <t>MO_RIS_EBITDA_Adj</t>
        </is>
      </c>
      <c r="B1311" s="1471" t="n"/>
      <c r="C1311" s="1968" t="n"/>
      <c r="D1311" s="1968" t="n"/>
      <c r="E1311" s="1471" t="n"/>
      <c r="F1311" s="1471" t="n"/>
      <c r="G1311" s="1471" t="n"/>
      <c r="H1311" s="1471" t="n"/>
      <c r="I1311" s="1471" t="n"/>
      <c r="J1311" s="1471" t="n"/>
      <c r="K1311" s="1471" t="n"/>
      <c r="L1311" s="1471" t="n"/>
      <c r="M1311" s="1471" t="n"/>
      <c r="N1311" s="1471" t="n"/>
      <c r="O1311" s="1471" t="n"/>
      <c r="P1311" s="1471" t="n"/>
      <c r="Q1311" s="1471" t="n"/>
      <c r="R1311" s="1471" t="n"/>
      <c r="S1311" s="1471" t="n"/>
      <c r="T1311" s="1471" t="n"/>
      <c r="U1311" s="1471" t="n"/>
      <c r="V1311" s="1471" t="n"/>
      <c r="W1311" s="1471" t="n"/>
      <c r="X1311" s="1471" t="n"/>
      <c r="Y1311" s="1471" t="n"/>
      <c r="Z1311" s="1471" t="n"/>
      <c r="AA1311" s="1471" t="n"/>
      <c r="AB1311" s="1471" t="n"/>
      <c r="AC1311" s="1471" t="n"/>
      <c r="AD1311" s="1471" t="n"/>
      <c r="AE1311" s="1471" t="n"/>
      <c r="AF1311" s="1471" t="n"/>
      <c r="AG1311" s="1471" t="n"/>
      <c r="AH1311" s="1471" t="n"/>
      <c r="AI1311" s="1471" t="n"/>
      <c r="AJ1311" s="1471" t="n"/>
      <c r="AK1311" s="1471" t="n"/>
      <c r="AL1311" s="1471" t="n"/>
      <c r="AM1311" s="1471" t="n"/>
      <c r="AN1311" s="1471" t="n"/>
      <c r="AO1311" s="1471" t="n"/>
      <c r="AP1311" s="1471" t="n"/>
      <c r="AQ1311" s="1471" t="n"/>
      <c r="AR1311" s="1471" t="n"/>
      <c r="AS1311" s="1471" t="n"/>
      <c r="AT1311" s="1471" t="n"/>
      <c r="AU1311" s="1471" t="n"/>
      <c r="AV1311" s="1471" t="n"/>
      <c r="AW1311" s="1471" t="n"/>
      <c r="AX1311" s="1471" t="n"/>
      <c r="AY1311" s="1471" t="n"/>
      <c r="AZ1311" s="1471" t="n"/>
      <c r="BA1311" s="1471" t="n"/>
      <c r="BB1311" s="1471" t="n"/>
      <c r="BC1311" s="1471" t="n"/>
      <c r="BD1311" s="1471" t="n"/>
      <c r="BE1311" s="1471" t="n"/>
      <c r="BF1311" s="1471" t="n"/>
      <c r="BG1311" s="1471" t="n"/>
      <c r="BH1311" s="1471" t="n"/>
      <c r="BI1311" s="1471" t="n"/>
      <c r="BJ1311" s="1471" t="n"/>
      <c r="BK1311" s="1471" t="n"/>
      <c r="BL1311" s="1471" t="n"/>
      <c r="BM1311" s="1471" t="n"/>
      <c r="BN1311" s="1471" t="n"/>
      <c r="BO1311" s="1471" t="n"/>
      <c r="BP1311" s="1471" t="n"/>
      <c r="BQ1311" s="1487" t="n"/>
      <c r="BR1311" s="1471" t="n"/>
      <c r="BS1311" s="1471" t="n"/>
      <c r="BT1311" s="1471" t="n"/>
      <c r="BU1311" s="1471" t="n"/>
      <c r="BV1311" s="1471" t="n"/>
      <c r="BW1311" s="1471" t="n"/>
      <c r="BX1311" s="1471" t="n"/>
      <c r="BY1311" s="1471" t="n"/>
      <c r="BZ1311" s="1471" t="n"/>
      <c r="CA1311" s="1471" t="n"/>
      <c r="CB1311" s="1472" t="n"/>
    </row>
    <row r="1312" ht="14.4" customFormat="1" customHeight="1" s="1549">
      <c r="A1312" s="1985" t="inlineStr">
        <is>
          <t>MO_OS_EmployeeCount</t>
        </is>
      </c>
      <c r="B1312" s="1471" t="n"/>
      <c r="C1312" s="1968" t="n"/>
      <c r="D1312" s="1968" t="n"/>
      <c r="E1312" s="1471" t="n"/>
      <c r="F1312" s="1471" t="n"/>
      <c r="G1312" s="1471" t="n"/>
      <c r="H1312" s="1471" t="n"/>
      <c r="I1312" s="1471" t="n"/>
      <c r="J1312" s="1471" t="n"/>
      <c r="K1312" s="1471" t="n"/>
      <c r="L1312" s="1471" t="n"/>
      <c r="M1312" s="1471" t="n"/>
      <c r="N1312" s="1471" t="n"/>
      <c r="O1312" s="1471" t="n"/>
      <c r="P1312" s="1471" t="n"/>
      <c r="Q1312" s="1471" t="n"/>
      <c r="R1312" s="1471" t="n"/>
      <c r="S1312" s="1471" t="n"/>
      <c r="T1312" s="1471" t="n"/>
      <c r="U1312" s="1471" t="n"/>
      <c r="V1312" s="1471" t="n"/>
      <c r="W1312" s="1471" t="n"/>
      <c r="X1312" s="1471" t="n"/>
      <c r="Y1312" s="1471" t="n"/>
      <c r="Z1312" s="1471" t="n"/>
      <c r="AA1312" s="1471" t="n"/>
      <c r="AB1312" s="1471" t="n"/>
      <c r="AC1312" s="1471" t="n"/>
      <c r="AD1312" s="1471" t="n"/>
      <c r="AE1312" s="1471" t="n"/>
      <c r="AF1312" s="1471" t="n"/>
      <c r="AG1312" s="1471" t="n"/>
      <c r="AH1312" s="1471" t="n"/>
      <c r="AI1312" s="1471" t="n"/>
      <c r="AJ1312" s="1471" t="n"/>
      <c r="AK1312" s="1471" t="n"/>
      <c r="AL1312" s="1471" t="n"/>
      <c r="AM1312" s="1471" t="n"/>
      <c r="AN1312" s="1471" t="n"/>
      <c r="AO1312" s="1471" t="n"/>
      <c r="AP1312" s="1471" t="n"/>
      <c r="AQ1312" s="1471" t="n"/>
      <c r="AR1312" s="1471" t="n"/>
      <c r="AS1312" s="1471" t="n"/>
      <c r="AT1312" s="1471" t="n"/>
      <c r="AU1312" s="1471" t="n"/>
      <c r="AV1312" s="1471" t="n"/>
      <c r="AW1312" s="1471" t="n"/>
      <c r="AX1312" s="1471" t="n"/>
      <c r="AY1312" s="1471" t="n"/>
      <c r="AZ1312" s="1471" t="n"/>
      <c r="BA1312" s="1471" t="n"/>
      <c r="BB1312" s="1471" t="n"/>
      <c r="BC1312" s="1471" t="n"/>
      <c r="BD1312" s="1471" t="n"/>
      <c r="BE1312" s="1471" t="n"/>
      <c r="BF1312" s="1471" t="n"/>
      <c r="BG1312" s="1471" t="n"/>
      <c r="BH1312" s="1471" t="n"/>
      <c r="BI1312" s="1471" t="n"/>
      <c r="BJ1312" s="1471" t="n"/>
      <c r="BK1312" s="1471" t="n"/>
      <c r="BL1312" s="1471" t="n"/>
      <c r="BM1312" s="1471" t="n"/>
      <c r="BN1312" s="1471" t="n"/>
      <c r="BO1312" s="1471" t="n"/>
      <c r="BP1312" s="1471" t="n"/>
      <c r="BQ1312" s="1487" t="n"/>
      <c r="BR1312" s="1471" t="n"/>
      <c r="BS1312" s="1471" t="n"/>
      <c r="BT1312" s="1471" t="n"/>
      <c r="BU1312" s="1471" t="n"/>
      <c r="BV1312" s="1471" t="n"/>
      <c r="BW1312" s="1471" t="n"/>
      <c r="BX1312" s="1471" t="n"/>
      <c r="BY1312" s="1471" t="n"/>
      <c r="BZ1312" s="1471" t="n"/>
      <c r="CA1312" s="1471" t="n"/>
      <c r="CB1312" s="1472" t="n"/>
    </row>
    <row r="1313" ht="14.4" customFormat="1" customHeight="1" s="1549">
      <c r="A1313" s="1985" t="inlineStr">
        <is>
          <t>MO_KPI_RPO_Current</t>
        </is>
      </c>
      <c r="B1313" s="1471" t="n"/>
      <c r="C1313" s="1968" t="n"/>
      <c r="D1313" s="1968" t="n"/>
      <c r="E1313" s="1471" t="n"/>
      <c r="F1313" s="1471" t="n"/>
      <c r="G1313" s="1471" t="n"/>
      <c r="H1313" s="1471" t="n"/>
      <c r="I1313" s="1471" t="n"/>
      <c r="J1313" s="1471" t="n"/>
      <c r="K1313" s="1471" t="n"/>
      <c r="L1313" s="1471" t="n"/>
      <c r="M1313" s="1471" t="n"/>
      <c r="N1313" s="1471" t="n"/>
      <c r="O1313" s="1471" t="n"/>
      <c r="P1313" s="1471" t="n"/>
      <c r="Q1313" s="1471" t="n"/>
      <c r="R1313" s="1471" t="n"/>
      <c r="S1313" s="1471" t="n"/>
      <c r="T1313" s="1471" t="n"/>
      <c r="U1313" s="1471" t="n"/>
      <c r="V1313" s="1471" t="n"/>
      <c r="W1313" s="1471" t="n"/>
      <c r="X1313" s="1471" t="n"/>
      <c r="Y1313" s="1471" t="n"/>
      <c r="Z1313" s="1471" t="n"/>
      <c r="AA1313" s="1471" t="n"/>
      <c r="AB1313" s="1471" t="n"/>
      <c r="AC1313" s="1471" t="n"/>
      <c r="AD1313" s="1471" t="n"/>
      <c r="AE1313" s="1471" t="n"/>
      <c r="AF1313" s="1471" t="n"/>
      <c r="AG1313" s="1471" t="n"/>
      <c r="AH1313" s="1471" t="n"/>
      <c r="AI1313" s="1471" t="n"/>
      <c r="AJ1313" s="1471" t="n"/>
      <c r="AK1313" s="1471" t="n"/>
      <c r="AL1313" s="1471" t="n"/>
      <c r="AM1313" s="1471" t="n"/>
      <c r="AN1313" s="1471" t="n"/>
      <c r="AO1313" s="1471" t="n"/>
      <c r="AP1313" s="1471" t="n"/>
      <c r="AQ1313" s="1471" t="n"/>
      <c r="AR1313" s="1471" t="n"/>
      <c r="AS1313" s="1471" t="n"/>
      <c r="AT1313" s="1471" t="n"/>
      <c r="AU1313" s="1471" t="n"/>
      <c r="AV1313" s="1471" t="n"/>
      <c r="AW1313" s="1471" t="n"/>
      <c r="AX1313" s="1471" t="n"/>
      <c r="AY1313" s="1471" t="n"/>
      <c r="AZ1313" s="1471" t="n"/>
      <c r="BA1313" s="1471" t="n"/>
      <c r="BB1313" s="1471" t="n"/>
      <c r="BC1313" s="1471" t="n"/>
      <c r="BD1313" s="1471" t="n"/>
      <c r="BE1313" s="1471" t="n"/>
      <c r="BF1313" s="1471" t="n"/>
      <c r="BG1313" s="1471" t="n"/>
      <c r="BH1313" s="1471" t="n"/>
      <c r="BI1313" s="1471" t="n"/>
      <c r="BJ1313" s="1471" t="n"/>
      <c r="BK1313" s="1471" t="n"/>
      <c r="BL1313" s="1471" t="n"/>
      <c r="BM1313" s="1471" t="n"/>
      <c r="BN1313" s="1471" t="n"/>
      <c r="BO1313" s="1471" t="n"/>
      <c r="BP1313" s="1471" t="n"/>
      <c r="BQ1313" s="1487" t="n"/>
      <c r="BR1313" s="1471" t="n"/>
      <c r="BS1313" s="1471" t="n"/>
      <c r="BT1313" s="1471" t="n"/>
      <c r="BU1313" s="1471" t="n"/>
      <c r="BV1313" s="1471" t="n"/>
      <c r="BW1313" s="1471" t="n"/>
      <c r="BX1313" s="1471" t="n"/>
      <c r="BY1313" s="1471" t="n"/>
      <c r="BZ1313" s="1471" t="n"/>
      <c r="CA1313" s="1471" t="n"/>
      <c r="CB1313" s="1472" t="n"/>
    </row>
    <row r="1314" ht="14.4" customFormat="1" customHeight="1" s="1549">
      <c r="A1314" s="1985" t="inlineStr">
        <is>
          <t>MO_KPI_CRPO_Growth</t>
        </is>
      </c>
      <c r="B1314" s="1471" t="n"/>
      <c r="C1314" s="1968" t="n"/>
      <c r="D1314" s="1968" t="n"/>
      <c r="E1314" s="1471" t="n"/>
      <c r="F1314" s="1471" t="n"/>
      <c r="G1314" s="1471" t="n"/>
      <c r="H1314" s="1471" t="n"/>
      <c r="I1314" s="1471" t="n"/>
      <c r="J1314" s="1471" t="n"/>
      <c r="K1314" s="1471" t="n"/>
      <c r="L1314" s="1471" t="n"/>
      <c r="M1314" s="1471" t="n"/>
      <c r="N1314" s="1471" t="n"/>
      <c r="O1314" s="1471" t="n"/>
      <c r="P1314" s="1471" t="n"/>
      <c r="Q1314" s="1471" t="n"/>
      <c r="R1314" s="1471" t="n"/>
      <c r="S1314" s="1471" t="n"/>
      <c r="T1314" s="1471" t="n"/>
      <c r="U1314" s="1471" t="n"/>
      <c r="V1314" s="1471" t="n"/>
      <c r="W1314" s="1471" t="n"/>
      <c r="X1314" s="1471" t="n"/>
      <c r="Y1314" s="1471" t="n"/>
      <c r="Z1314" s="1471" t="n"/>
      <c r="AA1314" s="1471" t="n"/>
      <c r="AB1314" s="1471" t="n"/>
      <c r="AC1314" s="1471" t="n"/>
      <c r="AD1314" s="1471" t="n"/>
      <c r="AE1314" s="1471" t="n"/>
      <c r="AF1314" s="1471" t="n"/>
      <c r="AG1314" s="1471" t="n"/>
      <c r="AH1314" s="1471" t="n"/>
      <c r="AI1314" s="1471" t="n"/>
      <c r="AJ1314" s="1471" t="n"/>
      <c r="AK1314" s="1471" t="n"/>
      <c r="AL1314" s="1471" t="n"/>
      <c r="AM1314" s="1471" t="n"/>
      <c r="AN1314" s="1471" t="n"/>
      <c r="AO1314" s="1471" t="n"/>
      <c r="AP1314" s="1471" t="n"/>
      <c r="AQ1314" s="1471" t="n"/>
      <c r="AR1314" s="1471" t="n"/>
      <c r="AS1314" s="1471" t="n"/>
      <c r="AT1314" s="1471" t="n"/>
      <c r="AU1314" s="1471" t="n"/>
      <c r="AV1314" s="1471" t="n"/>
      <c r="AW1314" s="1471" t="n"/>
      <c r="AX1314" s="1471" t="n"/>
      <c r="AY1314" s="1471" t="n"/>
      <c r="AZ1314" s="1471" t="n"/>
      <c r="BA1314" s="1471" t="n"/>
      <c r="BB1314" s="1471" t="n"/>
      <c r="BC1314" s="1471" t="n"/>
      <c r="BD1314" s="1471" t="n"/>
      <c r="BE1314" s="1471" t="n"/>
      <c r="BF1314" s="1471" t="n"/>
      <c r="BG1314" s="1471" t="n"/>
      <c r="BH1314" s="1471" t="n"/>
      <c r="BI1314" s="1471" t="n"/>
      <c r="BJ1314" s="1471" t="n"/>
      <c r="BK1314" s="1471" t="n"/>
      <c r="BL1314" s="1471" t="n"/>
      <c r="BM1314" s="1471" t="n"/>
      <c r="BN1314" s="1471" t="n"/>
      <c r="BO1314" s="1471" t="n"/>
      <c r="BP1314" s="1471" t="n"/>
      <c r="BQ1314" s="1487" t="n"/>
      <c r="BR1314" s="1471" t="n"/>
      <c r="BS1314" s="1471" t="n"/>
      <c r="BT1314" s="1471" t="n"/>
      <c r="BU1314" s="1471" t="n"/>
      <c r="BV1314" s="1471" t="n"/>
      <c r="BW1314" s="1471" t="n"/>
      <c r="BX1314" s="1471" t="n"/>
      <c r="BY1314" s="1471" t="n"/>
      <c r="BZ1314" s="1471" t="n"/>
      <c r="CA1314" s="1471" t="n"/>
      <c r="CB1314" s="1472" t="n"/>
    </row>
    <row r="1315" ht="14.4" customFormat="1" customHeight="1" s="1549">
      <c r="A1315" s="1985" t="inlineStr">
        <is>
          <t>MO_KPI_RPO</t>
        </is>
      </c>
      <c r="B1315" s="1471" t="n"/>
      <c r="C1315" s="1968" t="n"/>
      <c r="D1315" s="1968" t="n"/>
      <c r="E1315" s="1471" t="n"/>
      <c r="F1315" s="1471" t="n"/>
      <c r="G1315" s="1471" t="n"/>
      <c r="H1315" s="1471" t="n"/>
      <c r="I1315" s="1471" t="n"/>
      <c r="J1315" s="1471" t="n"/>
      <c r="K1315" s="1471" t="n"/>
      <c r="L1315" s="1471" t="n"/>
      <c r="M1315" s="1471" t="n"/>
      <c r="N1315" s="1471" t="n"/>
      <c r="O1315" s="1471" t="n"/>
      <c r="P1315" s="1471" t="n"/>
      <c r="Q1315" s="1471" t="n"/>
      <c r="R1315" s="1471" t="n"/>
      <c r="S1315" s="1471" t="n"/>
      <c r="T1315" s="1471" t="n"/>
      <c r="U1315" s="1471" t="n"/>
      <c r="V1315" s="1471" t="n"/>
      <c r="W1315" s="1471" t="n"/>
      <c r="X1315" s="1471" t="n"/>
      <c r="Y1315" s="1471" t="n"/>
      <c r="Z1315" s="1471" t="n"/>
      <c r="AA1315" s="1471" t="n"/>
      <c r="AB1315" s="1471" t="n"/>
      <c r="AC1315" s="1471" t="n"/>
      <c r="AD1315" s="1471" t="n"/>
      <c r="AE1315" s="1471" t="n"/>
      <c r="AF1315" s="1471" t="n"/>
      <c r="AG1315" s="1471" t="n"/>
      <c r="AH1315" s="1471" t="n"/>
      <c r="AI1315" s="1471" t="n"/>
      <c r="AJ1315" s="1471" t="n"/>
      <c r="AK1315" s="1471" t="n"/>
      <c r="AL1315" s="1471" t="n"/>
      <c r="AM1315" s="1471" t="n"/>
      <c r="AN1315" s="1471" t="n"/>
      <c r="AO1315" s="1471" t="n"/>
      <c r="AP1315" s="1471" t="n"/>
      <c r="AQ1315" s="1471" t="n"/>
      <c r="AR1315" s="1471" t="n"/>
      <c r="AS1315" s="1471" t="n"/>
      <c r="AT1315" s="1471" t="n"/>
      <c r="AU1315" s="1471" t="n"/>
      <c r="AV1315" s="1471" t="n"/>
      <c r="AW1315" s="1471" t="n"/>
      <c r="AX1315" s="1471" t="n"/>
      <c r="AY1315" s="1471" t="n"/>
      <c r="AZ1315" s="1471" t="n"/>
      <c r="BA1315" s="1471" t="n"/>
      <c r="BB1315" s="1471" t="n"/>
      <c r="BC1315" s="1471" t="n"/>
      <c r="BD1315" s="1471" t="n"/>
      <c r="BE1315" s="1471" t="n"/>
      <c r="BF1315" s="1471" t="n"/>
      <c r="BG1315" s="1471" t="n"/>
      <c r="BH1315" s="1471" t="n"/>
      <c r="BI1315" s="1471" t="n"/>
      <c r="BJ1315" s="1471" t="n"/>
      <c r="BK1315" s="1471" t="n"/>
      <c r="BL1315" s="1471" t="n"/>
      <c r="BM1315" s="1471" t="n"/>
      <c r="BN1315" s="1471" t="n"/>
      <c r="BO1315" s="1471" t="n"/>
      <c r="BP1315" s="1471" t="n"/>
      <c r="BQ1315" s="1487" t="n"/>
      <c r="BR1315" s="1471" t="n"/>
      <c r="BS1315" s="1471" t="n"/>
      <c r="BT1315" s="1471" t="n"/>
      <c r="BU1315" s="1471" t="n"/>
      <c r="BV1315" s="1471" t="n"/>
      <c r="BW1315" s="1471" t="n"/>
      <c r="BX1315" s="1471" t="n"/>
      <c r="BY1315" s="1471" t="n"/>
      <c r="BZ1315" s="1471" t="n"/>
      <c r="CA1315" s="1471" t="n"/>
      <c r="CB1315" s="1472" t="n"/>
    </row>
    <row r="1316" ht="14.4" customFormat="1" customHeight="1" s="1549">
      <c r="A1316" s="1985" t="inlineStr">
        <is>
          <t>MO_KPI_RPO_Growth</t>
        </is>
      </c>
      <c r="B1316" s="1471" t="n"/>
      <c r="C1316" s="1968" t="n"/>
      <c r="D1316" s="1968" t="n"/>
      <c r="E1316" s="1471" t="n"/>
      <c r="F1316" s="1471" t="n"/>
      <c r="G1316" s="1471" t="n"/>
      <c r="H1316" s="1471" t="n"/>
      <c r="I1316" s="1471" t="n"/>
      <c r="J1316" s="1471" t="n"/>
      <c r="K1316" s="1471" t="n"/>
      <c r="L1316" s="1471" t="n"/>
      <c r="M1316" s="1471" t="n"/>
      <c r="N1316" s="1471" t="n"/>
      <c r="O1316" s="1471" t="n"/>
      <c r="P1316" s="1471" t="n"/>
      <c r="Q1316" s="1471" t="n"/>
      <c r="R1316" s="1471" t="n"/>
      <c r="S1316" s="1471" t="n"/>
      <c r="T1316" s="1471" t="n"/>
      <c r="U1316" s="1471" t="n"/>
      <c r="V1316" s="1471" t="n"/>
      <c r="W1316" s="1471" t="n"/>
      <c r="X1316" s="1471" t="n"/>
      <c r="Y1316" s="1471" t="n"/>
      <c r="Z1316" s="1471" t="n"/>
      <c r="AA1316" s="1471" t="n"/>
      <c r="AB1316" s="1471" t="n"/>
      <c r="AC1316" s="1471" t="n"/>
      <c r="AD1316" s="1471" t="n"/>
      <c r="AE1316" s="1471" t="n"/>
      <c r="AF1316" s="1471" t="n"/>
      <c r="AG1316" s="1471" t="n"/>
      <c r="AH1316" s="1471" t="n"/>
      <c r="AI1316" s="1471" t="n"/>
      <c r="AJ1316" s="1471" t="n"/>
      <c r="AK1316" s="1471" t="n"/>
      <c r="AL1316" s="1471" t="n"/>
      <c r="AM1316" s="1471" t="n"/>
      <c r="AN1316" s="1471" t="n"/>
      <c r="AO1316" s="1471" t="n"/>
      <c r="AP1316" s="1471" t="n"/>
      <c r="AQ1316" s="1471" t="n"/>
      <c r="AR1316" s="1471" t="n"/>
      <c r="AS1316" s="1471" t="n"/>
      <c r="AT1316" s="1471" t="n"/>
      <c r="AU1316" s="1471" t="n"/>
      <c r="AV1316" s="1471" t="n"/>
      <c r="AW1316" s="1471" t="n"/>
      <c r="AX1316" s="1471" t="n"/>
      <c r="AY1316" s="1471" t="n"/>
      <c r="AZ1316" s="1471" t="n"/>
      <c r="BA1316" s="1471" t="n"/>
      <c r="BB1316" s="1471" t="n"/>
      <c r="BC1316" s="1471" t="n"/>
      <c r="BD1316" s="1471" t="n"/>
      <c r="BE1316" s="1471" t="n"/>
      <c r="BF1316" s="1471" t="n"/>
      <c r="BG1316" s="1471" t="n"/>
      <c r="BH1316" s="1471" t="n"/>
      <c r="BI1316" s="1471" t="n"/>
      <c r="BJ1316" s="1471" t="n"/>
      <c r="BK1316" s="1471" t="n"/>
      <c r="BL1316" s="1471" t="n"/>
      <c r="BM1316" s="1471" t="n"/>
      <c r="BN1316" s="1471" t="n"/>
      <c r="BO1316" s="1471" t="n"/>
      <c r="BP1316" s="1471" t="n"/>
      <c r="BQ1316" s="1487" t="n"/>
      <c r="BR1316" s="1471" t="n"/>
      <c r="BS1316" s="1471" t="n"/>
      <c r="BT1316" s="1471" t="n"/>
      <c r="BU1316" s="1471" t="n"/>
      <c r="BV1316" s="1471" t="n"/>
      <c r="BW1316" s="1471" t="n"/>
      <c r="BX1316" s="1471" t="n"/>
      <c r="BY1316" s="1471" t="n"/>
      <c r="BZ1316" s="1471" t="n"/>
      <c r="CA1316" s="1471" t="n"/>
      <c r="CB1316" s="1472" t="n"/>
    </row>
    <row r="1317" ht="14.4" customFormat="1" customHeight="1" s="1549">
      <c r="A1317" s="1985" t="inlineStr">
        <is>
          <t>MO_KPI_Billings_Calc</t>
        </is>
      </c>
      <c r="B1317" s="1471" t="n"/>
      <c r="C1317" s="1968" t="n"/>
      <c r="D1317" s="1968" t="n"/>
      <c r="E1317" s="1471" t="n"/>
      <c r="F1317" s="1471" t="n"/>
      <c r="G1317" s="1471" t="n"/>
      <c r="H1317" s="1471" t="n"/>
      <c r="I1317" s="1471" t="n"/>
      <c r="J1317" s="1471" t="n"/>
      <c r="K1317" s="1471" t="n"/>
      <c r="L1317" s="1471" t="n"/>
      <c r="M1317" s="1471" t="n"/>
      <c r="N1317" s="1471" t="n"/>
      <c r="O1317" s="1471" t="n"/>
      <c r="P1317" s="1471" t="n"/>
      <c r="Q1317" s="1471" t="n"/>
      <c r="R1317" s="1471" t="n"/>
      <c r="S1317" s="1471" t="n"/>
      <c r="T1317" s="1471" t="n"/>
      <c r="U1317" s="1471" t="n"/>
      <c r="V1317" s="1471" t="n"/>
      <c r="W1317" s="1471" t="n"/>
      <c r="X1317" s="1471" t="n"/>
      <c r="Y1317" s="1471" t="n"/>
      <c r="Z1317" s="1471" t="n"/>
      <c r="AA1317" s="1471" t="n"/>
      <c r="AB1317" s="1471" t="n"/>
      <c r="AC1317" s="1471" t="n"/>
      <c r="AD1317" s="1471" t="n"/>
      <c r="AE1317" s="1471" t="n"/>
      <c r="AF1317" s="1471" t="n"/>
      <c r="AG1317" s="1471" t="n"/>
      <c r="AH1317" s="1471" t="n"/>
      <c r="AI1317" s="1471" t="n"/>
      <c r="AJ1317" s="1471" t="n"/>
      <c r="AK1317" s="1471" t="n"/>
      <c r="AL1317" s="1471" t="n"/>
      <c r="AM1317" s="1471" t="n"/>
      <c r="AN1317" s="1471" t="n"/>
      <c r="AO1317" s="1471" t="n"/>
      <c r="AP1317" s="1471" t="n"/>
      <c r="AQ1317" s="1471" t="n"/>
      <c r="AR1317" s="1471" t="n"/>
      <c r="AS1317" s="1471" t="n"/>
      <c r="AT1317" s="1471" t="n"/>
      <c r="AU1317" s="1471" t="n"/>
      <c r="AV1317" s="1471" t="n"/>
      <c r="AW1317" s="1471" t="n"/>
      <c r="AX1317" s="1471" t="n"/>
      <c r="AY1317" s="1471" t="n"/>
      <c r="AZ1317" s="1471" t="n"/>
      <c r="BA1317" s="1471" t="n"/>
      <c r="BB1317" s="1471" t="n"/>
      <c r="BC1317" s="1471" t="n"/>
      <c r="BD1317" s="1471" t="n"/>
      <c r="BE1317" s="1471" t="n"/>
      <c r="BF1317" s="1471" t="n"/>
      <c r="BG1317" s="1471" t="n"/>
      <c r="BH1317" s="1471" t="n"/>
      <c r="BI1317" s="1471" t="n"/>
      <c r="BJ1317" s="1471" t="n"/>
      <c r="BK1317" s="1471" t="n"/>
      <c r="BL1317" s="1471" t="n"/>
      <c r="BM1317" s="1471" t="n"/>
      <c r="BN1317" s="1471" t="n"/>
      <c r="BO1317" s="1471" t="n"/>
      <c r="BP1317" s="1471" t="n"/>
      <c r="BQ1317" s="1487" t="n"/>
      <c r="BR1317" s="1471" t="n"/>
      <c r="BS1317" s="1471" t="n"/>
      <c r="BT1317" s="1471" t="n"/>
      <c r="BU1317" s="1471" t="n"/>
      <c r="BV1317" s="1471" t="n"/>
      <c r="BW1317" s="1471" t="n"/>
      <c r="BX1317" s="1471" t="n"/>
      <c r="BY1317" s="1471" t="n"/>
      <c r="BZ1317" s="1471" t="n"/>
      <c r="CA1317" s="1471" t="n"/>
      <c r="CB1317" s="1472" t="n"/>
    </row>
    <row r="1318" ht="14.4" customFormat="1" customHeight="1" s="1549">
      <c r="A1318" s="1985" t="inlineStr">
        <is>
          <t>MO_KPI_Billings_Growth_Calc</t>
        </is>
      </c>
      <c r="B1318" s="1471" t="n"/>
      <c r="C1318" s="1968" t="n"/>
      <c r="D1318" s="1968" t="n"/>
      <c r="E1318" s="1471" t="n"/>
      <c r="F1318" s="1471" t="n"/>
      <c r="G1318" s="1471" t="n"/>
      <c r="H1318" s="1471" t="n"/>
      <c r="I1318" s="1471" t="n"/>
      <c r="J1318" s="1471" t="n"/>
      <c r="K1318" s="1471" t="n"/>
      <c r="L1318" s="1471" t="n"/>
      <c r="M1318" s="1471" t="n"/>
      <c r="N1318" s="1471" t="n"/>
      <c r="O1318" s="1471" t="n"/>
      <c r="P1318" s="1471" t="n"/>
      <c r="Q1318" s="1471" t="n"/>
      <c r="R1318" s="1471" t="n"/>
      <c r="S1318" s="1471" t="n"/>
      <c r="T1318" s="1471" t="n"/>
      <c r="U1318" s="1471" t="n"/>
      <c r="V1318" s="1471" t="n"/>
      <c r="W1318" s="1471" t="n"/>
      <c r="X1318" s="1471" t="n"/>
      <c r="Y1318" s="1471" t="n"/>
      <c r="Z1318" s="1471" t="n"/>
      <c r="AA1318" s="1471" t="n"/>
      <c r="AB1318" s="1471" t="n"/>
      <c r="AC1318" s="1471" t="n"/>
      <c r="AD1318" s="1471" t="n"/>
      <c r="AE1318" s="1471" t="n"/>
      <c r="AF1318" s="1471" t="n"/>
      <c r="AG1318" s="1471" t="n"/>
      <c r="AH1318" s="1471" t="n"/>
      <c r="AI1318" s="1471" t="n"/>
      <c r="AJ1318" s="1471" t="n"/>
      <c r="AK1318" s="1471" t="n"/>
      <c r="AL1318" s="1471" t="n"/>
      <c r="AM1318" s="1471" t="n"/>
      <c r="AN1318" s="1471" t="n"/>
      <c r="AO1318" s="1471" t="n"/>
      <c r="AP1318" s="1471" t="n"/>
      <c r="AQ1318" s="1471" t="n"/>
      <c r="AR1318" s="1471" t="n"/>
      <c r="AS1318" s="1471" t="n"/>
      <c r="AT1318" s="1471" t="n"/>
      <c r="AU1318" s="1471" t="n"/>
      <c r="AV1318" s="1471" t="n"/>
      <c r="AW1318" s="1471" t="n"/>
      <c r="AX1318" s="1471" t="n"/>
      <c r="AY1318" s="1471" t="n"/>
      <c r="AZ1318" s="1471" t="n"/>
      <c r="BA1318" s="1471" t="n"/>
      <c r="BB1318" s="1471" t="n"/>
      <c r="BC1318" s="1471" t="n"/>
      <c r="BD1318" s="1471" t="n"/>
      <c r="BE1318" s="1471" t="n"/>
      <c r="BF1318" s="1471" t="n"/>
      <c r="BG1318" s="1471" t="n"/>
      <c r="BH1318" s="1471" t="n"/>
      <c r="BI1318" s="1471" t="n"/>
      <c r="BJ1318" s="1471" t="n"/>
      <c r="BK1318" s="1471" t="n"/>
      <c r="BL1318" s="1471" t="n"/>
      <c r="BM1318" s="1471" t="n"/>
      <c r="BN1318" s="1471" t="n"/>
      <c r="BO1318" s="1471" t="n"/>
      <c r="BP1318" s="1471" t="n"/>
      <c r="BQ1318" s="1487" t="n"/>
      <c r="BR1318" s="1471" t="n"/>
      <c r="BS1318" s="1471" t="n"/>
      <c r="BT1318" s="1471" t="n"/>
      <c r="BU1318" s="1471" t="n"/>
      <c r="BV1318" s="1471" t="n"/>
      <c r="BW1318" s="1471" t="n"/>
      <c r="BX1318" s="1471" t="n"/>
      <c r="BY1318" s="1471" t="n"/>
      <c r="BZ1318" s="1471" t="n"/>
      <c r="CA1318" s="1471" t="n"/>
      <c r="CB1318" s="1472" t="n"/>
    </row>
    <row r="1319" ht="14.4" customFormat="1" customHeight="1" s="1549">
      <c r="A1319" s="1985" t="inlineStr">
        <is>
          <t>MO_KPI_RuleOf40</t>
        </is>
      </c>
      <c r="B1319" s="1471" t="n"/>
      <c r="C1319" s="1968" t="n"/>
      <c r="D1319" s="1968" t="n"/>
      <c r="E1319" s="1471" t="n"/>
      <c r="F1319" s="1471" t="n"/>
      <c r="G1319" s="1471" t="n"/>
      <c r="H1319" s="1471" t="n"/>
      <c r="I1319" s="1471" t="n"/>
      <c r="J1319" s="1471" t="n"/>
      <c r="K1319" s="1471" t="n"/>
      <c r="L1319" s="1471" t="n"/>
      <c r="M1319" s="1471" t="n"/>
      <c r="N1319" s="1471" t="n"/>
      <c r="O1319" s="1471" t="n"/>
      <c r="P1319" s="1471" t="n"/>
      <c r="Q1319" s="1471" t="n"/>
      <c r="R1319" s="1471" t="n"/>
      <c r="S1319" s="1471" t="n"/>
      <c r="T1319" s="1471" t="n"/>
      <c r="U1319" s="1471" t="n"/>
      <c r="V1319" s="1471" t="n"/>
      <c r="W1319" s="1471" t="n"/>
      <c r="X1319" s="1471" t="n"/>
      <c r="Y1319" s="1471" t="n"/>
      <c r="Z1319" s="1471" t="n"/>
      <c r="AA1319" s="1471" t="n"/>
      <c r="AB1319" s="1471" t="n"/>
      <c r="AC1319" s="1471" t="n"/>
      <c r="AD1319" s="1471" t="n"/>
      <c r="AE1319" s="1471" t="n"/>
      <c r="AF1319" s="1471" t="n"/>
      <c r="AG1319" s="1471" t="n"/>
      <c r="AH1319" s="1471" t="n"/>
      <c r="AI1319" s="1471" t="n"/>
      <c r="AJ1319" s="1471" t="n"/>
      <c r="AK1319" s="1471" t="n"/>
      <c r="AL1319" s="1471" t="n"/>
      <c r="AM1319" s="1471" t="n"/>
      <c r="AN1319" s="1471" t="n"/>
      <c r="AO1319" s="1471" t="n"/>
      <c r="AP1319" s="1471" t="n"/>
      <c r="AQ1319" s="1471" t="n"/>
      <c r="AR1319" s="1471" t="n"/>
      <c r="AS1319" s="1471" t="n"/>
      <c r="AT1319" s="1471" t="n"/>
      <c r="AU1319" s="1471" t="n"/>
      <c r="AV1319" s="1471" t="n"/>
      <c r="AW1319" s="1471" t="n"/>
      <c r="AX1319" s="1471" t="n"/>
      <c r="AY1319" s="1471" t="n"/>
      <c r="AZ1319" s="1471" t="n"/>
      <c r="BA1319" s="1471" t="n"/>
      <c r="BB1319" s="1471" t="n"/>
      <c r="BC1319" s="1471" t="n"/>
      <c r="BD1319" s="1471" t="n"/>
      <c r="BE1319" s="1471" t="n"/>
      <c r="BF1319" s="1471" t="n"/>
      <c r="BG1319" s="1471" t="n"/>
      <c r="BH1319" s="1471" t="n"/>
      <c r="BI1319" s="1471" t="n"/>
      <c r="BJ1319" s="1471" t="n"/>
      <c r="BK1319" s="1471" t="n"/>
      <c r="BL1319" s="1471" t="n"/>
      <c r="BM1319" s="1471" t="n"/>
      <c r="BN1319" s="1471" t="n"/>
      <c r="BO1319" s="1471" t="n"/>
      <c r="BP1319" s="1471" t="n"/>
      <c r="BQ1319" s="1487" t="n"/>
      <c r="BR1319" s="1471" t="n"/>
      <c r="BS1319" s="1471" t="n"/>
      <c r="BT1319" s="1471" t="n"/>
      <c r="BU1319" s="1471" t="n"/>
      <c r="BV1319" s="1471" t="n"/>
      <c r="BW1319" s="1471" t="n"/>
      <c r="BX1319" s="1471" t="n"/>
      <c r="BY1319" s="1471" t="n"/>
      <c r="BZ1319" s="1471" t="n"/>
      <c r="CA1319" s="1471" t="n"/>
      <c r="CB1319" s="1472" t="n"/>
    </row>
    <row r="1320" ht="14.4" customFormat="1" customHeight="1" s="1549">
      <c r="A1320" s="1985" t="inlineStr">
        <is>
          <t>MO_KPI_ARR_Implied</t>
        </is>
      </c>
      <c r="B1320" s="1471" t="n"/>
      <c r="C1320" s="1968" t="n"/>
      <c r="D1320" s="1968" t="n"/>
      <c r="E1320" s="1471" t="n"/>
      <c r="F1320" s="1471" t="n"/>
      <c r="G1320" s="1471" t="n"/>
      <c r="H1320" s="1471" t="n"/>
      <c r="I1320" s="1471" t="n"/>
      <c r="J1320" s="1471" t="n"/>
      <c r="K1320" s="1471" t="n"/>
      <c r="L1320" s="1471" t="n"/>
      <c r="M1320" s="1471" t="n"/>
      <c r="N1320" s="1471" t="n"/>
      <c r="O1320" s="1471" t="n"/>
      <c r="P1320" s="1471" t="n"/>
      <c r="Q1320" s="1471" t="n"/>
      <c r="R1320" s="1471" t="n"/>
      <c r="S1320" s="1471" t="n"/>
      <c r="T1320" s="1471" t="n"/>
      <c r="U1320" s="1471" t="n"/>
      <c r="V1320" s="1471" t="n"/>
      <c r="W1320" s="1471" t="n"/>
      <c r="X1320" s="1471" t="n"/>
      <c r="Y1320" s="1471" t="n"/>
      <c r="Z1320" s="1471" t="n"/>
      <c r="AA1320" s="1471" t="n"/>
      <c r="AB1320" s="1471" t="n"/>
      <c r="AC1320" s="1471" t="n"/>
      <c r="AD1320" s="1471" t="n"/>
      <c r="AE1320" s="1471" t="n"/>
      <c r="AF1320" s="1471" t="n"/>
      <c r="AG1320" s="1471" t="n"/>
      <c r="AH1320" s="1471" t="n"/>
      <c r="AI1320" s="1471" t="n"/>
      <c r="AJ1320" s="1471" t="n"/>
      <c r="AK1320" s="1471" t="n"/>
      <c r="AL1320" s="1471" t="n"/>
      <c r="AM1320" s="1471" t="n"/>
      <c r="AN1320" s="1471" t="n"/>
      <c r="AO1320" s="1471" t="n"/>
      <c r="AP1320" s="1471" t="n"/>
      <c r="AQ1320" s="1471" t="n"/>
      <c r="AR1320" s="1471" t="n"/>
      <c r="AS1320" s="1471" t="n"/>
      <c r="AT1320" s="1471" t="n"/>
      <c r="AU1320" s="1471" t="n"/>
      <c r="AV1320" s="1471" t="n"/>
      <c r="AW1320" s="1471" t="n"/>
      <c r="AX1320" s="1471" t="n"/>
      <c r="AY1320" s="1471" t="n"/>
      <c r="AZ1320" s="1471" t="n"/>
      <c r="BA1320" s="1471" t="n"/>
      <c r="BB1320" s="1471" t="n"/>
      <c r="BC1320" s="1471" t="n"/>
      <c r="BD1320" s="1471" t="n"/>
      <c r="BE1320" s="1471" t="n"/>
      <c r="BF1320" s="1471" t="n"/>
      <c r="BG1320" s="1471" t="n"/>
      <c r="BH1320" s="1471" t="n"/>
      <c r="BI1320" s="1471" t="n"/>
      <c r="BJ1320" s="1471" t="n"/>
      <c r="BK1320" s="1471" t="n"/>
      <c r="BL1320" s="1471" t="n"/>
      <c r="BM1320" s="1471" t="n"/>
      <c r="BN1320" s="1471" t="n"/>
      <c r="BO1320" s="1471" t="n"/>
      <c r="BP1320" s="1471" t="n"/>
      <c r="BQ1320" s="1487" t="n"/>
      <c r="BR1320" s="1471" t="n"/>
      <c r="BS1320" s="1471" t="n"/>
      <c r="BT1320" s="1471" t="n"/>
      <c r="BU1320" s="1471" t="n"/>
      <c r="BV1320" s="1471" t="n"/>
      <c r="BW1320" s="1471" t="n"/>
      <c r="BX1320" s="1471" t="n"/>
      <c r="BY1320" s="1471" t="n"/>
      <c r="BZ1320" s="1471" t="n"/>
      <c r="CA1320" s="1471" t="n"/>
      <c r="CB1320" s="1472" t="n"/>
    </row>
    <row r="1321" ht="14.4" customFormat="1" customHeight="1" s="1549">
      <c r="A1321" s="1985" t="inlineStr">
        <is>
          <t>MO_KPI_ARR_Implied_Growth</t>
        </is>
      </c>
      <c r="B1321" s="1471" t="n"/>
      <c r="C1321" s="1968" t="n"/>
      <c r="D1321" s="1968" t="n"/>
      <c r="E1321" s="1471" t="n"/>
      <c r="F1321" s="1471" t="n"/>
      <c r="G1321" s="1471" t="n"/>
      <c r="H1321" s="1471" t="n"/>
      <c r="I1321" s="1471" t="n"/>
      <c r="J1321" s="1471" t="n"/>
      <c r="K1321" s="1471" t="n"/>
      <c r="L1321" s="1471" t="n"/>
      <c r="M1321" s="1471" t="n"/>
      <c r="N1321" s="1471" t="n"/>
      <c r="O1321" s="1471" t="n"/>
      <c r="P1321" s="1471" t="n"/>
      <c r="Q1321" s="1471" t="n"/>
      <c r="R1321" s="1471" t="n"/>
      <c r="S1321" s="1471" t="n"/>
      <c r="T1321" s="1471" t="n"/>
      <c r="U1321" s="1471" t="n"/>
      <c r="V1321" s="1471" t="n"/>
      <c r="W1321" s="1471" t="n"/>
      <c r="X1321" s="1471" t="n"/>
      <c r="Y1321" s="1471" t="n"/>
      <c r="Z1321" s="1471" t="n"/>
      <c r="AA1321" s="1471" t="n"/>
      <c r="AB1321" s="1471" t="n"/>
      <c r="AC1321" s="1471" t="n"/>
      <c r="AD1321" s="1471" t="n"/>
      <c r="AE1321" s="1471" t="n"/>
      <c r="AF1321" s="1471" t="n"/>
      <c r="AG1321" s="1471" t="n"/>
      <c r="AH1321" s="1471" t="n"/>
      <c r="AI1321" s="1471" t="n"/>
      <c r="AJ1321" s="1471" t="n"/>
      <c r="AK1321" s="1471" t="n"/>
      <c r="AL1321" s="1471" t="n"/>
      <c r="AM1321" s="1471" t="n"/>
      <c r="AN1321" s="1471" t="n"/>
      <c r="AO1321" s="1471" t="n"/>
      <c r="AP1321" s="1471" t="n"/>
      <c r="AQ1321" s="1471" t="n"/>
      <c r="AR1321" s="1471" t="n"/>
      <c r="AS1321" s="1471" t="n"/>
      <c r="AT1321" s="1471" t="n"/>
      <c r="AU1321" s="1471" t="n"/>
      <c r="AV1321" s="1471" t="n"/>
      <c r="AW1321" s="1471" t="n"/>
      <c r="AX1321" s="1471" t="n"/>
      <c r="AY1321" s="1471" t="n"/>
      <c r="AZ1321" s="1471" t="n"/>
      <c r="BA1321" s="1471" t="n"/>
      <c r="BB1321" s="1471" t="n"/>
      <c r="BC1321" s="1471" t="n"/>
      <c r="BD1321" s="1471" t="n"/>
      <c r="BE1321" s="1471" t="n"/>
      <c r="BF1321" s="1471" t="n"/>
      <c r="BG1321" s="1471" t="n"/>
      <c r="BH1321" s="1471" t="n"/>
      <c r="BI1321" s="1471" t="n"/>
      <c r="BJ1321" s="1471" t="n"/>
      <c r="BK1321" s="1471" t="n"/>
      <c r="BL1321" s="1471" t="n"/>
      <c r="BM1321" s="1471" t="n"/>
      <c r="BN1321" s="1471" t="n"/>
      <c r="BO1321" s="1471" t="n"/>
      <c r="BP1321" s="1471" t="n"/>
      <c r="BQ1321" s="1487" t="n"/>
      <c r="BR1321" s="1471" t="n"/>
      <c r="BS1321" s="1471" t="n"/>
      <c r="BT1321" s="1471" t="n"/>
      <c r="BU1321" s="1471" t="n"/>
      <c r="BV1321" s="1471" t="n"/>
      <c r="BW1321" s="1471" t="n"/>
      <c r="BX1321" s="1471" t="n"/>
      <c r="BY1321" s="1471" t="n"/>
      <c r="BZ1321" s="1471" t="n"/>
      <c r="CA1321" s="1471" t="n"/>
      <c r="CB1321" s="1472" t="n"/>
    </row>
    <row r="1322" ht="14.4" customFormat="1" customHeight="1" s="1549">
      <c r="A1322" s="1985" t="inlineStr">
        <is>
          <t>MO_KPI_NetNewARR_Implied</t>
        </is>
      </c>
      <c r="B1322" s="1471" t="n"/>
      <c r="C1322" s="1968" t="n"/>
      <c r="D1322" s="1968" t="n"/>
      <c r="E1322" s="1471" t="n"/>
      <c r="F1322" s="1471" t="n"/>
      <c r="G1322" s="1471" t="n"/>
      <c r="H1322" s="1471" t="n"/>
      <c r="I1322" s="1471" t="n"/>
      <c r="J1322" s="1471" t="n"/>
      <c r="K1322" s="1471" t="n"/>
      <c r="L1322" s="1471" t="n"/>
      <c r="M1322" s="1471" t="n"/>
      <c r="N1322" s="1471" t="n"/>
      <c r="O1322" s="1471" t="n"/>
      <c r="P1322" s="1471" t="n"/>
      <c r="Q1322" s="1471" t="n"/>
      <c r="R1322" s="1471" t="n"/>
      <c r="S1322" s="1471" t="n"/>
      <c r="T1322" s="1471" t="n"/>
      <c r="U1322" s="1471" t="n"/>
      <c r="V1322" s="1471" t="n"/>
      <c r="W1322" s="1471" t="n"/>
      <c r="X1322" s="1471" t="n"/>
      <c r="Y1322" s="1471" t="n"/>
      <c r="Z1322" s="1471" t="n"/>
      <c r="AA1322" s="1471" t="n"/>
      <c r="AB1322" s="1471" t="n"/>
      <c r="AC1322" s="1471" t="n"/>
      <c r="AD1322" s="1471" t="n"/>
      <c r="AE1322" s="1471" t="n"/>
      <c r="AF1322" s="1471" t="n"/>
      <c r="AG1322" s="1471" t="n"/>
      <c r="AH1322" s="1471" t="n"/>
      <c r="AI1322" s="1471" t="n"/>
      <c r="AJ1322" s="1471" t="n"/>
      <c r="AK1322" s="1471" t="n"/>
      <c r="AL1322" s="1471" t="n"/>
      <c r="AM1322" s="1471" t="n"/>
      <c r="AN1322" s="1471" t="n"/>
      <c r="AO1322" s="1471" t="n"/>
      <c r="AP1322" s="1471" t="n"/>
      <c r="AQ1322" s="1471" t="n"/>
      <c r="AR1322" s="1471" t="n"/>
      <c r="AS1322" s="1471" t="n"/>
      <c r="AT1322" s="1471" t="n"/>
      <c r="AU1322" s="1471" t="n"/>
      <c r="AV1322" s="1471" t="n"/>
      <c r="AW1322" s="1471" t="n"/>
      <c r="AX1322" s="1471" t="n"/>
      <c r="AY1322" s="1471" t="n"/>
      <c r="AZ1322" s="1471" t="n"/>
      <c r="BA1322" s="1471" t="n"/>
      <c r="BB1322" s="1471" t="n"/>
      <c r="BC1322" s="1471" t="n"/>
      <c r="BD1322" s="1471" t="n"/>
      <c r="BE1322" s="1471" t="n"/>
      <c r="BF1322" s="1471" t="n"/>
      <c r="BG1322" s="1471" t="n"/>
      <c r="BH1322" s="1471" t="n"/>
      <c r="BI1322" s="1471" t="n"/>
      <c r="BJ1322" s="1471" t="n"/>
      <c r="BK1322" s="1471" t="n"/>
      <c r="BL1322" s="1471" t="n"/>
      <c r="BM1322" s="1471" t="n"/>
      <c r="BN1322" s="1471" t="n"/>
      <c r="BO1322" s="1471" t="n"/>
      <c r="BP1322" s="1471" t="n"/>
      <c r="BQ1322" s="1487" t="n"/>
      <c r="BR1322" s="1471" t="n"/>
      <c r="BS1322" s="1471" t="n"/>
      <c r="BT1322" s="1471" t="n"/>
      <c r="BU1322" s="1471" t="n"/>
      <c r="BV1322" s="1471" t="n"/>
      <c r="BW1322" s="1471" t="n"/>
      <c r="BX1322" s="1471" t="n"/>
      <c r="BY1322" s="1471" t="n"/>
      <c r="BZ1322" s="1471" t="n"/>
      <c r="CA1322" s="1471" t="n"/>
      <c r="CB1322" s="1472" t="n"/>
    </row>
    <row r="1323" ht="14.4" customFormat="1" customHeight="1" s="1549">
      <c r="A1323" s="1985" t="inlineStr">
        <is>
          <t>MO_KPI_MagicNumber_Implied</t>
        </is>
      </c>
      <c r="B1323" s="1471" t="n"/>
      <c r="C1323" s="1968" t="n"/>
      <c r="D1323" s="1968" t="n"/>
      <c r="E1323" s="1471" t="n"/>
      <c r="F1323" s="1471" t="n"/>
      <c r="G1323" s="1471" t="n"/>
      <c r="H1323" s="1471" t="n"/>
      <c r="I1323" s="1471" t="n"/>
      <c r="J1323" s="1471" t="n"/>
      <c r="K1323" s="1471" t="n"/>
      <c r="L1323" s="1471" t="n"/>
      <c r="M1323" s="1471" t="n"/>
      <c r="N1323" s="1471" t="n"/>
      <c r="O1323" s="1471" t="n"/>
      <c r="P1323" s="1471" t="n"/>
      <c r="Q1323" s="1471" t="n"/>
      <c r="R1323" s="1471" t="n"/>
      <c r="S1323" s="1471" t="n"/>
      <c r="T1323" s="1471" t="n"/>
      <c r="U1323" s="1471" t="n"/>
      <c r="V1323" s="1471" t="n"/>
      <c r="W1323" s="1471" t="n"/>
      <c r="X1323" s="1471" t="n"/>
      <c r="Y1323" s="1471" t="n"/>
      <c r="Z1323" s="1471" t="n"/>
      <c r="AA1323" s="1471" t="n"/>
      <c r="AB1323" s="1471" t="n"/>
      <c r="AC1323" s="1471" t="n"/>
      <c r="AD1323" s="1471" t="n"/>
      <c r="AE1323" s="1471" t="n"/>
      <c r="AF1323" s="1471" t="n"/>
      <c r="AG1323" s="1471" t="n"/>
      <c r="AH1323" s="1471" t="n"/>
      <c r="AI1323" s="1471" t="n"/>
      <c r="AJ1323" s="1471" t="n"/>
      <c r="AK1323" s="1471" t="n"/>
      <c r="AL1323" s="1471" t="n"/>
      <c r="AM1323" s="1471" t="n"/>
      <c r="AN1323" s="1471" t="n"/>
      <c r="AO1323" s="1471" t="n"/>
      <c r="AP1323" s="1471" t="n"/>
      <c r="AQ1323" s="1471" t="n"/>
      <c r="AR1323" s="1471" t="n"/>
      <c r="AS1323" s="1471" t="n"/>
      <c r="AT1323" s="1471" t="n"/>
      <c r="AU1323" s="1471" t="n"/>
      <c r="AV1323" s="1471" t="n"/>
      <c r="AW1323" s="1471" t="n"/>
      <c r="AX1323" s="1471" t="n"/>
      <c r="AY1323" s="1471" t="n"/>
      <c r="AZ1323" s="1471" t="n"/>
      <c r="BA1323" s="1471" t="n"/>
      <c r="BB1323" s="1471" t="n"/>
      <c r="BC1323" s="1471" t="n"/>
      <c r="BD1323" s="1471" t="n"/>
      <c r="BE1323" s="1471" t="n"/>
      <c r="BF1323" s="1471" t="n"/>
      <c r="BG1323" s="1471" t="n"/>
      <c r="BH1323" s="1471" t="n"/>
      <c r="BI1323" s="1471" t="n"/>
      <c r="BJ1323" s="1471" t="n"/>
      <c r="BK1323" s="1471" t="n"/>
      <c r="BL1323" s="1471" t="n"/>
      <c r="BM1323" s="1471" t="n"/>
      <c r="BN1323" s="1471" t="n"/>
      <c r="BO1323" s="1471" t="n"/>
      <c r="BP1323" s="1471" t="n"/>
      <c r="BQ1323" s="1487" t="n"/>
      <c r="BR1323" s="1471" t="n"/>
      <c r="BS1323" s="1471" t="n"/>
      <c r="BT1323" s="1471" t="n"/>
      <c r="BU1323" s="1471" t="n"/>
      <c r="BV1323" s="1471" t="n"/>
      <c r="BW1323" s="1471" t="n"/>
      <c r="BX1323" s="1471" t="n"/>
      <c r="BY1323" s="1471" t="n"/>
      <c r="BZ1323" s="1471" t="n"/>
      <c r="CA1323" s="1471" t="n"/>
      <c r="CB1323" s="1472" t="n"/>
    </row>
    <row r="1324" ht="14.4" customFormat="1" customHeight="1" s="1549">
      <c r="A1324" s="1985" t="inlineStr">
        <is>
          <t>MO_KPI_CAC_Payback_Implied</t>
        </is>
      </c>
      <c r="B1324" s="1471" t="n"/>
      <c r="C1324" s="1968" t="n"/>
      <c r="D1324" s="1968" t="n"/>
      <c r="E1324" s="1471" t="n"/>
      <c r="F1324" s="1471" t="n"/>
      <c r="G1324" s="1471" t="n"/>
      <c r="H1324" s="1471" t="n"/>
      <c r="I1324" s="1471" t="n"/>
      <c r="J1324" s="1471" t="n"/>
      <c r="K1324" s="1471" t="n"/>
      <c r="L1324" s="1471" t="n"/>
      <c r="M1324" s="1471" t="n"/>
      <c r="N1324" s="1471" t="n"/>
      <c r="O1324" s="1471" t="n"/>
      <c r="P1324" s="1471" t="n"/>
      <c r="Q1324" s="1471" t="n"/>
      <c r="R1324" s="1471" t="n"/>
      <c r="S1324" s="1471" t="n"/>
      <c r="T1324" s="1471" t="n"/>
      <c r="U1324" s="1471" t="n"/>
      <c r="V1324" s="1471" t="n"/>
      <c r="W1324" s="1471" t="n"/>
      <c r="X1324" s="1471" t="n"/>
      <c r="Y1324" s="1471" t="n"/>
      <c r="Z1324" s="1471" t="n"/>
      <c r="AA1324" s="1471" t="n"/>
      <c r="AB1324" s="1471" t="n"/>
      <c r="AC1324" s="1471" t="n"/>
      <c r="AD1324" s="1471" t="n"/>
      <c r="AE1324" s="1471" t="n"/>
      <c r="AF1324" s="1471" t="n"/>
      <c r="AG1324" s="1471" t="n"/>
      <c r="AH1324" s="1471" t="n"/>
      <c r="AI1324" s="1471" t="n"/>
      <c r="AJ1324" s="1471" t="n"/>
      <c r="AK1324" s="1471" t="n"/>
      <c r="AL1324" s="1471" t="n"/>
      <c r="AM1324" s="1471" t="n"/>
      <c r="AN1324" s="1471" t="n"/>
      <c r="AO1324" s="1471" t="n"/>
      <c r="AP1324" s="1471" t="n"/>
      <c r="AQ1324" s="1471" t="n"/>
      <c r="AR1324" s="1471" t="n"/>
      <c r="AS1324" s="1471" t="n"/>
      <c r="AT1324" s="1471" t="n"/>
      <c r="AU1324" s="1471" t="n"/>
      <c r="AV1324" s="1471" t="n"/>
      <c r="AW1324" s="1471" t="n"/>
      <c r="AX1324" s="1471" t="n"/>
      <c r="AY1324" s="1471" t="n"/>
      <c r="AZ1324" s="1471" t="n"/>
      <c r="BA1324" s="1471" t="n"/>
      <c r="BB1324" s="1471" t="n"/>
      <c r="BC1324" s="1471" t="n"/>
      <c r="BD1324" s="1471" t="n"/>
      <c r="BE1324" s="1471" t="n"/>
      <c r="BF1324" s="1471" t="n"/>
      <c r="BG1324" s="1471" t="n"/>
      <c r="BH1324" s="1471" t="n"/>
      <c r="BI1324" s="1471" t="n"/>
      <c r="BJ1324" s="1471" t="n"/>
      <c r="BK1324" s="1471" t="n"/>
      <c r="BL1324" s="1471" t="n"/>
      <c r="BM1324" s="1471" t="n"/>
      <c r="BN1324" s="1471" t="n"/>
      <c r="BO1324" s="1471" t="n"/>
      <c r="BP1324" s="1471" t="n"/>
      <c r="BQ1324" s="1487" t="n"/>
      <c r="BR1324" s="1471" t="n"/>
      <c r="BS1324" s="1471" t="n"/>
      <c r="BT1324" s="1471" t="n"/>
      <c r="BU1324" s="1471" t="n"/>
      <c r="BV1324" s="1471" t="n"/>
      <c r="BW1324" s="1471" t="n"/>
      <c r="BX1324" s="1471" t="n"/>
      <c r="BY1324" s="1471" t="n"/>
      <c r="BZ1324" s="1471" t="n"/>
      <c r="CA1324" s="1471" t="n"/>
      <c r="CB1324" s="1472" t="n"/>
    </row>
    <row r="1325" ht="14.4" customFormat="1" customHeight="1" s="1549">
      <c r="A1325" s="1985" t="inlineStr">
        <is>
          <t>MO_MA_GM_NONGAAP</t>
        </is>
      </c>
      <c r="B1325" s="1471" t="n"/>
      <c r="C1325" s="1968" t="n"/>
      <c r="D1325" s="1968" t="n"/>
      <c r="E1325" s="1471" t="n"/>
      <c r="F1325" s="1471" t="n"/>
      <c r="G1325" s="1471" t="n"/>
      <c r="H1325" s="1471" t="n"/>
      <c r="I1325" s="1471" t="n"/>
      <c r="J1325" s="1471" t="n"/>
      <c r="K1325" s="1471" t="n"/>
      <c r="L1325" s="1471" t="n"/>
      <c r="M1325" s="1471" t="n"/>
      <c r="N1325" s="1471" t="n"/>
      <c r="O1325" s="1471" t="n"/>
      <c r="P1325" s="1471" t="n"/>
      <c r="Q1325" s="1471" t="n"/>
      <c r="R1325" s="1471" t="n"/>
      <c r="S1325" s="1471" t="n"/>
      <c r="T1325" s="1471" t="n"/>
      <c r="U1325" s="1471" t="n"/>
      <c r="V1325" s="1471" t="n"/>
      <c r="W1325" s="1471" t="n"/>
      <c r="X1325" s="1471" t="n"/>
      <c r="Y1325" s="1471" t="n"/>
      <c r="Z1325" s="1471" t="n"/>
      <c r="AA1325" s="1471" t="n"/>
      <c r="AB1325" s="1471" t="n"/>
      <c r="AC1325" s="1471" t="n"/>
      <c r="AD1325" s="1471" t="n"/>
      <c r="AE1325" s="1471" t="n"/>
      <c r="AF1325" s="1471" t="n"/>
      <c r="AG1325" s="1471" t="n"/>
      <c r="AH1325" s="1471" t="n"/>
      <c r="AI1325" s="1471" t="n"/>
      <c r="AJ1325" s="1471" t="n"/>
      <c r="AK1325" s="1471" t="n"/>
      <c r="AL1325" s="1471" t="n"/>
      <c r="AM1325" s="1471" t="n"/>
      <c r="AN1325" s="1471" t="n"/>
      <c r="AO1325" s="1471" t="n"/>
      <c r="AP1325" s="1471" t="n"/>
      <c r="AQ1325" s="1471" t="n"/>
      <c r="AR1325" s="1471" t="n"/>
      <c r="AS1325" s="1471" t="n"/>
      <c r="AT1325" s="1471" t="n"/>
      <c r="AU1325" s="1471" t="n"/>
      <c r="AV1325" s="1471" t="n"/>
      <c r="AW1325" s="1471" t="n"/>
      <c r="AX1325" s="1471" t="n"/>
      <c r="AY1325" s="1471" t="n"/>
      <c r="AZ1325" s="1471" t="n"/>
      <c r="BA1325" s="1471" t="n"/>
      <c r="BB1325" s="1471" t="n"/>
      <c r="BC1325" s="1471" t="n"/>
      <c r="BD1325" s="1471" t="n"/>
      <c r="BE1325" s="1471" t="n"/>
      <c r="BF1325" s="1471" t="n"/>
      <c r="BG1325" s="1471" t="n"/>
      <c r="BH1325" s="1471" t="n"/>
      <c r="BI1325" s="1471" t="n"/>
      <c r="BJ1325" s="1471" t="n"/>
      <c r="BK1325" s="1471" t="n"/>
      <c r="BL1325" s="1471" t="n"/>
      <c r="BM1325" s="1471" t="n"/>
      <c r="BN1325" s="1471" t="n"/>
      <c r="BO1325" s="1471" t="n"/>
      <c r="BP1325" s="1471" t="n"/>
      <c r="BQ1325" s="1487" t="n"/>
      <c r="BR1325" s="1471" t="n"/>
      <c r="BS1325" s="1471" t="n"/>
      <c r="BT1325" s="1471" t="n"/>
      <c r="BU1325" s="1471" t="n"/>
      <c r="BV1325" s="1471" t="n"/>
      <c r="BW1325" s="1471" t="n"/>
      <c r="BX1325" s="1471" t="n"/>
      <c r="BY1325" s="1471" t="n"/>
      <c r="BZ1325" s="1471" t="n"/>
      <c r="CA1325" s="1471" t="n"/>
      <c r="CB1325" s="1472" t="n"/>
    </row>
    <row r="1326" ht="14.4" customFormat="1" customHeight="1" s="1549">
      <c r="A1326" s="1985" t="inlineStr">
        <is>
          <t>MO_MA_SM_NONGAAP</t>
        </is>
      </c>
      <c r="B1326" s="1471" t="n"/>
      <c r="C1326" s="1968" t="n"/>
      <c r="D1326" s="1968" t="n"/>
      <c r="E1326" s="1471" t="n"/>
      <c r="F1326" s="1471" t="n"/>
      <c r="G1326" s="1471" t="n"/>
      <c r="H1326" s="1471" t="n"/>
      <c r="I1326" s="1471" t="n"/>
      <c r="J1326" s="1471" t="n"/>
      <c r="K1326" s="1471" t="n"/>
      <c r="L1326" s="1471" t="n"/>
      <c r="M1326" s="1471" t="n"/>
      <c r="N1326" s="1471" t="n"/>
      <c r="O1326" s="1471" t="n"/>
      <c r="P1326" s="1471" t="n"/>
      <c r="Q1326" s="1471" t="n"/>
      <c r="R1326" s="1471" t="n"/>
      <c r="S1326" s="1471" t="n"/>
      <c r="T1326" s="1471" t="n"/>
      <c r="U1326" s="1471" t="n"/>
      <c r="V1326" s="1471" t="n"/>
      <c r="W1326" s="1471" t="n"/>
      <c r="X1326" s="1471" t="n"/>
      <c r="Y1326" s="1471" t="n"/>
      <c r="Z1326" s="1471" t="n"/>
      <c r="AA1326" s="1471" t="n"/>
      <c r="AB1326" s="1471" t="n"/>
      <c r="AC1326" s="1471" t="n"/>
      <c r="AD1326" s="1471" t="n"/>
      <c r="AE1326" s="1471" t="n"/>
      <c r="AF1326" s="1471" t="n"/>
      <c r="AG1326" s="1471" t="n"/>
      <c r="AH1326" s="1471" t="n"/>
      <c r="AI1326" s="1471" t="n"/>
      <c r="AJ1326" s="1471" t="n"/>
      <c r="AK1326" s="1471" t="n"/>
      <c r="AL1326" s="1471" t="n"/>
      <c r="AM1326" s="1471" t="n"/>
      <c r="AN1326" s="1471" t="n"/>
      <c r="AO1326" s="1471" t="n"/>
      <c r="AP1326" s="1471" t="n"/>
      <c r="AQ1326" s="1471" t="n"/>
      <c r="AR1326" s="1471" t="n"/>
      <c r="AS1326" s="1471" t="n"/>
      <c r="AT1326" s="1471" t="n"/>
      <c r="AU1326" s="1471" t="n"/>
      <c r="AV1326" s="1471" t="n"/>
      <c r="AW1326" s="1471" t="n"/>
      <c r="AX1326" s="1471" t="n"/>
      <c r="AY1326" s="1471" t="n"/>
      <c r="AZ1326" s="1471" t="n"/>
      <c r="BA1326" s="1471" t="n"/>
      <c r="BB1326" s="1471" t="n"/>
      <c r="BC1326" s="1471" t="n"/>
      <c r="BD1326" s="1471" t="n"/>
      <c r="BE1326" s="1471" t="n"/>
      <c r="BF1326" s="1471" t="n"/>
      <c r="BG1326" s="1471" t="n"/>
      <c r="BH1326" s="1471" t="n"/>
      <c r="BI1326" s="1471" t="n"/>
      <c r="BJ1326" s="1471" t="n"/>
      <c r="BK1326" s="1471" t="n"/>
      <c r="BL1326" s="1471" t="n"/>
      <c r="BM1326" s="1471" t="n"/>
      <c r="BN1326" s="1471" t="n"/>
      <c r="BO1326" s="1471" t="n"/>
      <c r="BP1326" s="1471" t="n"/>
      <c r="BQ1326" s="1487" t="n"/>
      <c r="BR1326" s="1471" t="n"/>
      <c r="BS1326" s="1471" t="n"/>
      <c r="BT1326" s="1471" t="n"/>
      <c r="BU1326" s="1471" t="n"/>
      <c r="BV1326" s="1471" t="n"/>
      <c r="BW1326" s="1471" t="n"/>
      <c r="BX1326" s="1471" t="n"/>
      <c r="BY1326" s="1471" t="n"/>
      <c r="BZ1326" s="1471" t="n"/>
      <c r="CA1326" s="1471" t="n"/>
      <c r="CB1326" s="1472" t="n"/>
    </row>
    <row r="1327" ht="14.4" customFormat="1" customHeight="1" s="1549">
      <c r="A1327" s="1985" t="inlineStr">
        <is>
          <t>MO_MA_RD_NONGAAP</t>
        </is>
      </c>
      <c r="B1327" s="1471" t="n"/>
      <c r="C1327" s="1968" t="n"/>
      <c r="D1327" s="1968" t="n"/>
      <c r="E1327" s="1471" t="n"/>
      <c r="F1327" s="1471" t="n"/>
      <c r="G1327" s="1471" t="n"/>
      <c r="H1327" s="1471" t="n"/>
      <c r="I1327" s="1471" t="n"/>
      <c r="J1327" s="1471" t="n"/>
      <c r="K1327" s="1471" t="n"/>
      <c r="L1327" s="1471" t="n"/>
      <c r="M1327" s="1471" t="n"/>
      <c r="N1327" s="1471" t="n"/>
      <c r="O1327" s="1471" t="n"/>
      <c r="P1327" s="1471" t="n"/>
      <c r="Q1327" s="1471" t="n"/>
      <c r="R1327" s="1471" t="n"/>
      <c r="S1327" s="1471" t="n"/>
      <c r="T1327" s="1471" t="n"/>
      <c r="U1327" s="1471" t="n"/>
      <c r="V1327" s="1471" t="n"/>
      <c r="W1327" s="1471" t="n"/>
      <c r="X1327" s="1471" t="n"/>
      <c r="Y1327" s="1471" t="n"/>
      <c r="Z1327" s="1471" t="n"/>
      <c r="AA1327" s="1471" t="n"/>
      <c r="AB1327" s="1471" t="n"/>
      <c r="AC1327" s="1471" t="n"/>
      <c r="AD1327" s="1471" t="n"/>
      <c r="AE1327" s="1471" t="n"/>
      <c r="AF1327" s="1471" t="n"/>
      <c r="AG1327" s="1471" t="n"/>
      <c r="AH1327" s="1471" t="n"/>
      <c r="AI1327" s="1471" t="n"/>
      <c r="AJ1327" s="1471" t="n"/>
      <c r="AK1327" s="1471" t="n"/>
      <c r="AL1327" s="1471" t="n"/>
      <c r="AM1327" s="1471" t="n"/>
      <c r="AN1327" s="1471" t="n"/>
      <c r="AO1327" s="1471" t="n"/>
      <c r="AP1327" s="1471" t="n"/>
      <c r="AQ1327" s="1471" t="n"/>
      <c r="AR1327" s="1471" t="n"/>
      <c r="AS1327" s="1471" t="n"/>
      <c r="AT1327" s="1471" t="n"/>
      <c r="AU1327" s="1471" t="n"/>
      <c r="AV1327" s="1471" t="n"/>
      <c r="AW1327" s="1471" t="n"/>
      <c r="AX1327" s="1471" t="n"/>
      <c r="AY1327" s="1471" t="n"/>
      <c r="AZ1327" s="1471" t="n"/>
      <c r="BA1327" s="1471" t="n"/>
      <c r="BB1327" s="1471" t="n"/>
      <c r="BC1327" s="1471" t="n"/>
      <c r="BD1327" s="1471" t="n"/>
      <c r="BE1327" s="1471" t="n"/>
      <c r="BF1327" s="1471" t="n"/>
      <c r="BG1327" s="1471" t="n"/>
      <c r="BH1327" s="1471" t="n"/>
      <c r="BI1327" s="1471" t="n"/>
      <c r="BJ1327" s="1471" t="n"/>
      <c r="BK1327" s="1471" t="n"/>
      <c r="BL1327" s="1471" t="n"/>
      <c r="BM1327" s="1471" t="n"/>
      <c r="BN1327" s="1471" t="n"/>
      <c r="BO1327" s="1471" t="n"/>
      <c r="BP1327" s="1471" t="n"/>
      <c r="BQ1327" s="1487" t="n"/>
      <c r="BR1327" s="1471" t="n"/>
      <c r="BS1327" s="1471" t="n"/>
      <c r="BT1327" s="1471" t="n"/>
      <c r="BU1327" s="1471" t="n"/>
      <c r="BV1327" s="1471" t="n"/>
      <c r="BW1327" s="1471" t="n"/>
      <c r="BX1327" s="1471" t="n"/>
      <c r="BY1327" s="1471" t="n"/>
      <c r="BZ1327" s="1471" t="n"/>
      <c r="CA1327" s="1471" t="n"/>
      <c r="CB1327" s="1472" t="n"/>
    </row>
    <row r="1328" ht="14.4" customFormat="1" customHeight="1" s="1549">
      <c r="A1328" s="1985" t="inlineStr">
        <is>
          <t>MO_MA_GA_NONGAAP</t>
        </is>
      </c>
      <c r="B1328" s="1471" t="n"/>
      <c r="C1328" s="1968" t="n"/>
      <c r="D1328" s="1968" t="n"/>
      <c r="E1328" s="1471" t="n"/>
      <c r="F1328" s="1471" t="n"/>
      <c r="G1328" s="1471" t="n"/>
      <c r="H1328" s="1471" t="n"/>
      <c r="I1328" s="1471" t="n"/>
      <c r="J1328" s="1471" t="n"/>
      <c r="K1328" s="1471" t="n"/>
      <c r="L1328" s="1471" t="n"/>
      <c r="M1328" s="1471" t="n"/>
      <c r="N1328" s="1471" t="n"/>
      <c r="O1328" s="1471" t="n"/>
      <c r="P1328" s="1471" t="n"/>
      <c r="Q1328" s="1471" t="n"/>
      <c r="R1328" s="1471" t="n"/>
      <c r="S1328" s="1471" t="n"/>
      <c r="T1328" s="1471" t="n"/>
      <c r="U1328" s="1471" t="n"/>
      <c r="V1328" s="1471" t="n"/>
      <c r="W1328" s="1471" t="n"/>
      <c r="X1328" s="1471" t="n"/>
      <c r="Y1328" s="1471" t="n"/>
      <c r="Z1328" s="1471" t="n"/>
      <c r="AA1328" s="1471" t="n"/>
      <c r="AB1328" s="1471" t="n"/>
      <c r="AC1328" s="1471" t="n"/>
      <c r="AD1328" s="1471" t="n"/>
      <c r="AE1328" s="1471" t="n"/>
      <c r="AF1328" s="1471" t="n"/>
      <c r="AG1328" s="1471" t="n"/>
      <c r="AH1328" s="1471" t="n"/>
      <c r="AI1328" s="1471" t="n"/>
      <c r="AJ1328" s="1471" t="n"/>
      <c r="AK1328" s="1471" t="n"/>
      <c r="AL1328" s="1471" t="n"/>
      <c r="AM1328" s="1471" t="n"/>
      <c r="AN1328" s="1471" t="n"/>
      <c r="AO1328" s="1471" t="n"/>
      <c r="AP1328" s="1471" t="n"/>
      <c r="AQ1328" s="1471" t="n"/>
      <c r="AR1328" s="1471" t="n"/>
      <c r="AS1328" s="1471" t="n"/>
      <c r="AT1328" s="1471" t="n"/>
      <c r="AU1328" s="1471" t="n"/>
      <c r="AV1328" s="1471" t="n"/>
      <c r="AW1328" s="1471" t="n"/>
      <c r="AX1328" s="1471" t="n"/>
      <c r="AY1328" s="1471" t="n"/>
      <c r="AZ1328" s="1471" t="n"/>
      <c r="BA1328" s="1471" t="n"/>
      <c r="BB1328" s="1471" t="n"/>
      <c r="BC1328" s="1471" t="n"/>
      <c r="BD1328" s="1471" t="n"/>
      <c r="BE1328" s="1471" t="n"/>
      <c r="BF1328" s="1471" t="n"/>
      <c r="BG1328" s="1471" t="n"/>
      <c r="BH1328" s="1471" t="n"/>
      <c r="BI1328" s="1471" t="n"/>
      <c r="BJ1328" s="1471" t="n"/>
      <c r="BK1328" s="1471" t="n"/>
      <c r="BL1328" s="1471" t="n"/>
      <c r="BM1328" s="1471" t="n"/>
      <c r="BN1328" s="1471" t="n"/>
      <c r="BO1328" s="1471" t="n"/>
      <c r="BP1328" s="1471" t="n"/>
      <c r="BQ1328" s="1487" t="n"/>
      <c r="BR1328" s="1471" t="n"/>
      <c r="BS1328" s="1471" t="n"/>
      <c r="BT1328" s="1471" t="n"/>
      <c r="BU1328" s="1471" t="n"/>
      <c r="BV1328" s="1471" t="n"/>
      <c r="BW1328" s="1471" t="n"/>
      <c r="BX1328" s="1471" t="n"/>
      <c r="BY1328" s="1471" t="n"/>
      <c r="BZ1328" s="1471" t="n"/>
      <c r="CA1328" s="1471" t="n"/>
      <c r="CB1328" s="1472" t="n"/>
    </row>
    <row r="1329" ht="14.4" customFormat="1" customHeight="1" s="1549">
      <c r="A1329" s="1983" t="n"/>
      <c r="B1329" s="1471" t="n"/>
      <c r="C1329" s="1968" t="n"/>
      <c r="D1329" s="1968" t="n"/>
      <c r="E1329" s="1471" t="n"/>
      <c r="F1329" s="1471" t="n"/>
      <c r="G1329" s="1471" t="n"/>
      <c r="H1329" s="1471" t="n"/>
      <c r="I1329" s="1471" t="n"/>
      <c r="J1329" s="1471" t="n"/>
      <c r="K1329" s="1471" t="n"/>
      <c r="L1329" s="1471" t="n"/>
      <c r="M1329" s="1471" t="n"/>
      <c r="N1329" s="1471" t="n"/>
      <c r="O1329" s="1471" t="n"/>
      <c r="P1329" s="1471" t="n"/>
      <c r="Q1329" s="1471" t="n"/>
      <c r="R1329" s="1471" t="n"/>
      <c r="S1329" s="1471" t="n"/>
      <c r="T1329" s="1471" t="n"/>
      <c r="U1329" s="1471" t="n"/>
      <c r="V1329" s="1471" t="n"/>
      <c r="W1329" s="1471" t="n"/>
      <c r="X1329" s="1471" t="n"/>
      <c r="Y1329" s="1471" t="n"/>
      <c r="Z1329" s="1471" t="n"/>
      <c r="AA1329" s="1471" t="n"/>
      <c r="AB1329" s="1471" t="n"/>
      <c r="AC1329" s="1471" t="n"/>
      <c r="AD1329" s="1471" t="n"/>
      <c r="AE1329" s="1471" t="n"/>
      <c r="AF1329" s="1471" t="n"/>
      <c r="AG1329" s="1471" t="n"/>
      <c r="AH1329" s="1471" t="n"/>
      <c r="AI1329" s="1471" t="n"/>
      <c r="AJ1329" s="1471" t="n"/>
      <c r="AK1329" s="1471" t="n"/>
      <c r="AL1329" s="1471" t="n"/>
      <c r="AM1329" s="1471" t="n"/>
      <c r="AN1329" s="1471" t="n"/>
      <c r="AO1329" s="1471" t="n"/>
      <c r="AP1329" s="1471" t="n"/>
      <c r="AQ1329" s="1471" t="n"/>
      <c r="AR1329" s="1471" t="n"/>
      <c r="AS1329" s="1471" t="n"/>
      <c r="AT1329" s="1471" t="n"/>
      <c r="AU1329" s="1471" t="n"/>
      <c r="AV1329" s="1471" t="n"/>
      <c r="AW1329" s="1471" t="n"/>
      <c r="AX1329" s="1471" t="n"/>
      <c r="AY1329" s="1471" t="n"/>
      <c r="AZ1329" s="1471" t="n"/>
      <c r="BA1329" s="1471" t="n"/>
      <c r="BB1329" s="1471" t="n"/>
      <c r="BC1329" s="1471" t="n"/>
      <c r="BD1329" s="1471" t="n"/>
      <c r="BE1329" s="1471" t="n"/>
      <c r="BF1329" s="1471" t="n"/>
      <c r="BG1329" s="1471" t="n"/>
      <c r="BH1329" s="1471" t="n"/>
      <c r="BI1329" s="1471" t="n"/>
      <c r="BJ1329" s="1471" t="n"/>
      <c r="BK1329" s="1471" t="n"/>
      <c r="BL1329" s="1471" t="n"/>
      <c r="BM1329" s="1471" t="n"/>
      <c r="BN1329" s="1471" t="n"/>
      <c r="BO1329" s="1471" t="n"/>
      <c r="BP1329" s="1471" t="n"/>
      <c r="BQ1329" s="1487" t="n"/>
      <c r="BR1329" s="1471" t="n"/>
      <c r="BS1329" s="1471" t="n"/>
      <c r="BT1329" s="1471" t="n"/>
      <c r="BU1329" s="1471" t="n"/>
      <c r="BV1329" s="1471" t="n"/>
      <c r="BW1329" s="1471" t="n"/>
      <c r="BX1329" s="1471" t="n"/>
      <c r="BY1329" s="1471" t="n"/>
      <c r="BZ1329" s="1471" t="n"/>
      <c r="CA1329" s="1471" t="n"/>
      <c r="CB1329" s="1472" t="n"/>
    </row>
    <row r="1330" ht="14.4" customFormat="1" customHeight="1" s="1549">
      <c r="A1330" s="1958" t="n"/>
      <c r="B1330" s="1974" t="n"/>
      <c r="C1330" s="1986" t="n"/>
      <c r="D1330" s="1986" t="n"/>
      <c r="E1330" s="1974" t="n"/>
      <c r="F1330" s="1974" t="n"/>
      <c r="G1330" s="1974" t="n"/>
      <c r="H1330" s="1974" t="n"/>
      <c r="I1330" s="1974" t="n"/>
      <c r="J1330" s="1974" t="n"/>
      <c r="K1330" s="1974" t="n"/>
      <c r="L1330" s="1974" t="n"/>
      <c r="M1330" s="1974" t="n"/>
      <c r="N1330" s="1974" t="n"/>
      <c r="O1330" s="1974" t="n"/>
      <c r="P1330" s="1974" t="n"/>
      <c r="Q1330" s="1974" t="n"/>
      <c r="R1330" s="1974" t="n"/>
      <c r="S1330" s="1974" t="n"/>
      <c r="T1330" s="1974" t="n"/>
      <c r="U1330" s="1974" t="n"/>
      <c r="V1330" s="1974" t="n"/>
      <c r="W1330" s="1974" t="n"/>
      <c r="X1330" s="1974" t="n"/>
      <c r="Y1330" s="1974" t="n"/>
      <c r="Z1330" s="1974" t="n"/>
      <c r="AA1330" s="1974" t="n"/>
      <c r="AB1330" s="1974" t="n"/>
      <c r="AC1330" s="1974" t="n"/>
      <c r="AD1330" s="1974" t="n"/>
      <c r="AE1330" s="1974" t="n"/>
      <c r="AF1330" s="1974" t="n"/>
      <c r="AG1330" s="1974" t="n"/>
      <c r="AH1330" s="1974" t="n"/>
      <c r="AI1330" s="1974" t="n"/>
      <c r="AJ1330" s="1974" t="n"/>
      <c r="AK1330" s="1974" t="n"/>
      <c r="AL1330" s="1974" t="n"/>
      <c r="AM1330" s="1974" t="n"/>
      <c r="AN1330" s="1974" t="n"/>
      <c r="AO1330" s="1974" t="n"/>
      <c r="AP1330" s="1974" t="n"/>
      <c r="AQ1330" s="1974" t="n"/>
      <c r="AR1330" s="1974" t="n"/>
      <c r="AS1330" s="1974" t="n"/>
      <c r="AT1330" s="1974" t="n"/>
      <c r="AU1330" s="1974" t="n"/>
      <c r="AV1330" s="1974" t="n"/>
      <c r="AW1330" s="1974" t="n"/>
      <c r="AX1330" s="1974" t="n"/>
      <c r="AY1330" s="1974" t="n"/>
      <c r="AZ1330" s="1974" t="n"/>
      <c r="BA1330" s="1974" t="n"/>
      <c r="BB1330" s="1974" t="n"/>
      <c r="BC1330" s="1974" t="n"/>
      <c r="BD1330" s="1974" t="n"/>
      <c r="BE1330" s="1974" t="n"/>
      <c r="BF1330" s="1974" t="n"/>
      <c r="BG1330" s="1974" t="n"/>
      <c r="BH1330" s="1974" t="n"/>
      <c r="BI1330" s="1974" t="n"/>
      <c r="BJ1330" s="1974" t="n"/>
      <c r="BK1330" s="1974" t="n"/>
      <c r="BL1330" s="1974" t="n"/>
      <c r="BM1330" s="1974" t="n"/>
      <c r="BN1330" s="1974" t="n"/>
      <c r="BO1330" s="1974" t="n"/>
      <c r="BP1330" s="1974" t="n"/>
      <c r="BQ1330" s="1987" t="n"/>
      <c r="BR1330" s="1974" t="n"/>
      <c r="BS1330" s="1974" t="n"/>
      <c r="BT1330" s="1974" t="n"/>
      <c r="BU1330" s="1974" t="n"/>
      <c r="BV1330" s="1974" t="n"/>
      <c r="BW1330" s="1974" t="n"/>
      <c r="BX1330" s="1974" t="n"/>
      <c r="BY1330" s="1974" t="n"/>
      <c r="BZ1330" s="1974" t="n"/>
      <c r="CA1330" s="1974" t="n"/>
      <c r="CB1330" s="1472" t="n"/>
    </row>
    <row r="1331" ht="14.4" customFormat="1" customHeight="1" s="1549">
      <c r="A1331" s="1988" t="inlineStr">
        <is>
          <t>Quarterly Guidance Table</t>
        </is>
      </c>
      <c r="B1331" s="1989" t="n"/>
      <c r="C1331" s="1990" t="n"/>
      <c r="D1331" s="1990" t="n"/>
      <c r="E1331" s="1989" t="n"/>
      <c r="F1331" s="1989" t="n"/>
      <c r="G1331" s="1989" t="n"/>
      <c r="H1331" s="1989" t="n"/>
      <c r="I1331" s="1989" t="n"/>
      <c r="J1331" s="1989" t="n"/>
      <c r="K1331" s="1989" t="n"/>
      <c r="L1331" s="1989" t="n"/>
      <c r="M1331" s="1989" t="n"/>
      <c r="N1331" s="1989" t="n"/>
      <c r="O1331" s="1989" t="n"/>
      <c r="P1331" s="1989" t="n"/>
      <c r="Q1331" s="1989" t="n"/>
      <c r="R1331" s="1989" t="n"/>
      <c r="S1331" s="1989" t="n"/>
      <c r="T1331" s="1989" t="n"/>
      <c r="U1331" s="1989" t="n"/>
      <c r="V1331" s="1989" t="n"/>
      <c r="W1331" s="1989" t="n"/>
      <c r="X1331" s="1989" t="n"/>
      <c r="Y1331" s="1989" t="n"/>
      <c r="Z1331" s="1989" t="n"/>
      <c r="AA1331" s="1989" t="n"/>
      <c r="AB1331" s="1989" t="n"/>
      <c r="AC1331" s="1989" t="n"/>
      <c r="AD1331" s="1989" t="n"/>
      <c r="AE1331" s="1989" t="n"/>
      <c r="AF1331" s="1989" t="n"/>
      <c r="AG1331" s="1989" t="n"/>
      <c r="AH1331" s="1989" t="n"/>
      <c r="AI1331" s="1989" t="n"/>
      <c r="AJ1331" s="1989" t="n"/>
      <c r="AK1331" s="1989" t="n"/>
      <c r="AL1331" s="1989" t="n"/>
      <c r="AM1331" s="1989" t="n"/>
      <c r="AN1331" s="1989" t="n"/>
      <c r="AO1331" s="1989" t="n"/>
      <c r="AP1331" s="1989" t="n"/>
      <c r="AQ1331" s="1989" t="n"/>
      <c r="AR1331" s="1989" t="n"/>
      <c r="AS1331" s="1989" t="n"/>
      <c r="AT1331" s="1989" t="n"/>
      <c r="AU1331" s="1989" t="n"/>
      <c r="AV1331" s="1989" t="n"/>
      <c r="AW1331" s="1989" t="n"/>
      <c r="AX1331" s="1989" t="n"/>
      <c r="AY1331" s="1989" t="n"/>
      <c r="AZ1331" s="1989" t="n"/>
      <c r="BA1331" s="1989" t="n"/>
      <c r="BB1331" s="1989" t="n"/>
      <c r="BC1331" s="1989" t="n"/>
      <c r="BD1331" s="1989" t="n"/>
      <c r="BE1331" s="1989" t="n"/>
      <c r="BF1331" s="1989" t="n"/>
      <c r="BG1331" s="1989" t="n"/>
      <c r="BH1331" s="1989" t="n"/>
      <c r="BI1331" s="1989" t="n"/>
      <c r="BJ1331" s="1989" t="n"/>
      <c r="BK1331" s="1989" t="n"/>
      <c r="BL1331" s="1989" t="n"/>
      <c r="BM1331" s="1989" t="n"/>
      <c r="BN1331" s="1989" t="n"/>
      <c r="BO1331" s="1989" t="n"/>
      <c r="BP1331" s="1989" t="n"/>
      <c r="BQ1331" s="1991" t="n"/>
      <c r="BR1331" s="1989" t="n"/>
      <c r="BS1331" s="1989" t="n"/>
      <c r="BT1331" s="1989" t="n"/>
      <c r="BU1331" s="1989" t="n"/>
      <c r="BV1331" s="1989" t="n"/>
      <c r="BW1331" s="1989" t="n"/>
      <c r="BX1331" s="1989" t="n"/>
      <c r="BY1331" s="1989" t="n"/>
      <c r="BZ1331" s="1989" t="n"/>
      <c r="CA1331" s="1992" t="n"/>
      <c r="CB1331" s="1472" t="n"/>
    </row>
    <row r="1332" ht="14.4" customFormat="1" customHeight="1" s="1549">
      <c r="A1332" s="1993" t="inlineStr">
        <is>
          <t>Reporting Date</t>
        </is>
      </c>
      <c r="B1332" s="1471" t="n"/>
      <c r="C1332" s="1994" t="n"/>
      <c r="D1332" s="1994" t="n"/>
      <c r="E1332" s="1995" t="n"/>
      <c r="F1332" s="1995" t="n"/>
      <c r="G1332" s="1995" t="n"/>
      <c r="H1332" s="1995" t="n"/>
      <c r="I1332" s="1995" t="n"/>
      <c r="J1332" s="1995" t="n"/>
      <c r="K1332" s="1995" t="n"/>
      <c r="L1332" s="1995" t="n"/>
      <c r="M1332" s="1995" t="n"/>
      <c r="N1332" s="1995" t="n"/>
      <c r="O1332" s="1995" t="n"/>
      <c r="P1332" s="1995" t="n"/>
      <c r="Q1332" s="1995" t="n"/>
      <c r="R1332" s="1995" t="n"/>
      <c r="S1332" s="1995" t="n"/>
      <c r="T1332" s="1995" t="n"/>
      <c r="U1332" s="1995" t="n"/>
      <c r="V1332" s="1995" t="n"/>
      <c r="W1332" s="1995" t="n"/>
      <c r="X1332" s="1995" t="n"/>
      <c r="Y1332" s="1995" t="n"/>
      <c r="Z1332" s="1995" t="n"/>
      <c r="AA1332" s="1995" t="n"/>
      <c r="AB1332" s="1995" t="n"/>
      <c r="AC1332" s="1996" t="n">
        <v>43034</v>
      </c>
      <c r="AD1332" s="1996" t="n">
        <v>43131</v>
      </c>
      <c r="AE1332" s="1996" t="n">
        <v>43131</v>
      </c>
      <c r="AF1332" s="1996" t="n">
        <v>43213</v>
      </c>
      <c r="AG1332" s="1996" t="n">
        <v>43304</v>
      </c>
      <c r="AH1332" s="1996" t="n">
        <v>43395</v>
      </c>
      <c r="AI1332" s="1996" t="n">
        <v>43515</v>
      </c>
      <c r="AJ1332" s="1996" t="n">
        <v>43515</v>
      </c>
      <c r="AK1332" s="1996" t="n">
        <v>43577</v>
      </c>
      <c r="AL1332" s="1996" t="n">
        <v>43668</v>
      </c>
      <c r="AM1332" s="1996" t="n">
        <v>43759</v>
      </c>
      <c r="AN1332" s="1996" t="n">
        <v>43873</v>
      </c>
      <c r="AO1332" s="1996" t="n">
        <v>43873</v>
      </c>
      <c r="AP1332" s="1996" t="n">
        <v>43941</v>
      </c>
      <c r="AQ1332" s="1996" t="n">
        <v>44032</v>
      </c>
      <c r="AR1332" s="1996" t="n">
        <v>44123</v>
      </c>
      <c r="AS1332" s="1996" t="n">
        <v>44249</v>
      </c>
      <c r="AT1332" s="1996" t="n">
        <v>44249</v>
      </c>
      <c r="AU1332" s="1996" t="n">
        <v>44312</v>
      </c>
      <c r="AV1332" s="1996" t="n">
        <v>44403</v>
      </c>
      <c r="AW1332" s="1996" t="n">
        <v>44494</v>
      </c>
      <c r="AX1332" s="1996" t="n">
        <v>44614</v>
      </c>
      <c r="AY1332" s="1996" t="n">
        <v>44614</v>
      </c>
      <c r="AZ1332" s="1996" t="n">
        <v>44676</v>
      </c>
      <c r="BA1332" s="1996" t="n">
        <v>44767</v>
      </c>
      <c r="BB1332" s="1996" t="n">
        <v>44858</v>
      </c>
      <c r="BC1332" s="1996" t="n">
        <v>44970</v>
      </c>
      <c r="BD1332" s="1996" t="n">
        <v>44970</v>
      </c>
      <c r="BE1332" s="1996" t="n">
        <v>45040</v>
      </c>
      <c r="BF1332" s="1996" t="n">
        <v>45131</v>
      </c>
      <c r="BG1332" s="1996" t="n">
        <v>45222</v>
      </c>
      <c r="BH1332" s="1996" t="n">
        <v>45334</v>
      </c>
      <c r="BI1332" s="1996" t="n">
        <v>45334</v>
      </c>
      <c r="BJ1332" s="1996" t="n">
        <v>45404</v>
      </c>
      <c r="BK1332" s="1996" t="n">
        <v>45495</v>
      </c>
      <c r="BL1332" s="1996" t="n">
        <v>45593</v>
      </c>
      <c r="BM1332" s="1996" t="n">
        <v>45706</v>
      </c>
      <c r="BN1332" s="1996" t="n">
        <v>45706</v>
      </c>
      <c r="BO1332" s="1996" t="n">
        <v>45775</v>
      </c>
      <c r="BP1332" s="1996" t="n">
        <v>45866</v>
      </c>
      <c r="BQ1332" s="1997" t="n">
        <v>45957</v>
      </c>
      <c r="BR1332" s="1995" t="n"/>
      <c r="BS1332" s="1995" t="n"/>
      <c r="BT1332" s="1995" t="n"/>
      <c r="BU1332" s="1995" t="n"/>
      <c r="BV1332" s="1995" t="n"/>
      <c r="BW1332" s="1995" t="n"/>
      <c r="BX1332" s="1995" t="n"/>
      <c r="BY1332" s="1995" t="n"/>
      <c r="BZ1332" s="1995" t="n"/>
      <c r="CA1332" s="1998" t="n"/>
      <c r="CB1332" s="1472" t="n"/>
    </row>
    <row r="1333" ht="14.4" customFormat="1" customHeight="1" s="1549">
      <c r="A1333" s="1993" t="inlineStr">
        <is>
          <t>Applicable Period</t>
        </is>
      </c>
      <c r="B1333" s="1471" t="n"/>
      <c r="C1333" s="929" t="n"/>
      <c r="D1333" s="929" t="n"/>
      <c r="E1333" s="490" t="n"/>
      <c r="F1333" s="490" t="n"/>
      <c r="G1333" s="490" t="n"/>
      <c r="H1333" s="490" t="n"/>
      <c r="I1333" s="490" t="n"/>
      <c r="J1333" s="490" t="n"/>
      <c r="K1333" s="490" t="n"/>
      <c r="L1333" s="490" t="n"/>
      <c r="M1333" s="490" t="n"/>
      <c r="N1333" s="490" t="n"/>
      <c r="O1333" s="490" t="n"/>
      <c r="P1333" s="490" t="n"/>
      <c r="Q1333" s="490" t="n"/>
      <c r="R1333" s="490" t="n"/>
      <c r="S1333" s="490" t="n"/>
      <c r="T1333" s="490" t="n"/>
      <c r="U1333" s="490" t="n"/>
      <c r="V1333" s="490" t="n"/>
      <c r="W1333" s="490" t="n"/>
      <c r="X1333" s="490" t="n"/>
      <c r="Y1333" s="490" t="n"/>
      <c r="Z1333" s="490" t="n"/>
      <c r="AA1333" s="490" t="n"/>
      <c r="AB1333" s="490" t="n"/>
      <c r="AC1333" s="490">
        <f>AD$5</f>
        <v/>
      </c>
      <c r="AD1333" s="490">
        <f>AF$5</f>
        <v/>
      </c>
      <c r="AE1333" s="490">
        <f>AF$5</f>
        <v/>
      </c>
      <c r="AF1333" s="490">
        <f>AG$5</f>
        <v/>
      </c>
      <c r="AG1333" s="490">
        <f>AH$5</f>
        <v/>
      </c>
      <c r="AH1333" s="490">
        <f>AI$5</f>
        <v/>
      </c>
      <c r="AI1333" s="490">
        <f>AK$5</f>
        <v/>
      </c>
      <c r="AJ1333" s="490">
        <f>AK$5</f>
        <v/>
      </c>
      <c r="AK1333" s="490">
        <f>AL$5</f>
        <v/>
      </c>
      <c r="AL1333" s="490">
        <f>AM$5</f>
        <v/>
      </c>
      <c r="AM1333" s="490">
        <f>AN$5</f>
        <v/>
      </c>
      <c r="AN1333" s="490">
        <f>AP$5</f>
        <v/>
      </c>
      <c r="AO1333" s="490">
        <f>AP$5</f>
        <v/>
      </c>
      <c r="AP1333" s="490">
        <f>AQ$5</f>
        <v/>
      </c>
      <c r="AQ1333" s="490">
        <f>AR$5</f>
        <v/>
      </c>
      <c r="AR1333" s="490">
        <f>AS$5</f>
        <v/>
      </c>
      <c r="AS1333" s="490">
        <f>AU$5</f>
        <v/>
      </c>
      <c r="AT1333" s="490">
        <f>AU$5</f>
        <v/>
      </c>
      <c r="AU1333" s="490">
        <f>AV$5</f>
        <v/>
      </c>
      <c r="AV1333" s="490">
        <f>AW$5</f>
        <v/>
      </c>
      <c r="AW1333" s="490">
        <f>AX$5</f>
        <v/>
      </c>
      <c r="AX1333" s="490">
        <f>AZ$5</f>
        <v/>
      </c>
      <c r="AY1333" s="490">
        <f>AZ$5</f>
        <v/>
      </c>
      <c r="AZ1333" s="490">
        <f>BA$5</f>
        <v/>
      </c>
      <c r="BA1333" s="490">
        <f>BB$5</f>
        <v/>
      </c>
      <c r="BB1333" s="490">
        <f>BC$5</f>
        <v/>
      </c>
      <c r="BC1333" s="490">
        <f>BE$5</f>
        <v/>
      </c>
      <c r="BD1333" s="490">
        <f>BE$5</f>
        <v/>
      </c>
      <c r="BE1333" s="490">
        <f>BF$5</f>
        <v/>
      </c>
      <c r="BF1333" s="490">
        <f>BG$5</f>
        <v/>
      </c>
      <c r="BG1333" s="490">
        <f>BH$5</f>
        <v/>
      </c>
      <c r="BH1333" s="490">
        <f>BJ$5</f>
        <v/>
      </c>
      <c r="BI1333" s="490">
        <f>BJ$5</f>
        <v/>
      </c>
      <c r="BJ1333" s="490">
        <f>BK$5</f>
        <v/>
      </c>
      <c r="BK1333" s="490">
        <f>BL$5</f>
        <v/>
      </c>
      <c r="BL1333" s="490">
        <f>BM$5</f>
        <v/>
      </c>
      <c r="BM1333" s="490">
        <f>BO$5</f>
        <v/>
      </c>
      <c r="BN1333" s="490">
        <f>BO$5</f>
        <v/>
      </c>
      <c r="BO1333" s="490">
        <f>BP$5</f>
        <v/>
      </c>
      <c r="BP1333" s="490">
        <f>BQ$5</f>
        <v/>
      </c>
      <c r="BQ1333" s="648">
        <f>BR$5</f>
        <v/>
      </c>
      <c r="BR1333" s="490" t="n"/>
      <c r="BS1333" s="490" t="n"/>
      <c r="BT1333" s="490" t="n"/>
      <c r="BU1333" s="490" t="n"/>
      <c r="BV1333" s="490" t="n"/>
      <c r="BW1333" s="490" t="n"/>
      <c r="BX1333" s="490" t="n"/>
      <c r="BY1333" s="490" t="n"/>
      <c r="BZ1333" s="490" t="n"/>
      <c r="CA1333" s="491" t="n"/>
      <c r="CB1333" s="1472" t="n"/>
    </row>
    <row r="1334" ht="14.4" customFormat="1" customHeight="1" s="1549">
      <c r="A1334" s="1999" t="inlineStr">
        <is>
          <t>Low - Net Revenue, mm</t>
        </is>
      </c>
      <c r="B1334" s="1493" t="inlineStr">
        <is>
          <t>MO_RIS_REV</t>
        </is>
      </c>
      <c r="C1334" s="2000" t="n"/>
      <c r="D1334" s="2000" t="n"/>
      <c r="E1334" s="1553" t="n"/>
      <c r="F1334" s="1553" t="n"/>
      <c r="G1334" s="1553" t="n"/>
      <c r="H1334" s="1553" t="n"/>
      <c r="I1334" s="1553" t="n"/>
      <c r="J1334" s="1553" t="n"/>
      <c r="K1334" s="1553" t="n"/>
      <c r="L1334" s="1553" t="n"/>
      <c r="M1334" s="1553" t="n"/>
      <c r="N1334" s="1553" t="n"/>
      <c r="O1334" s="1553" t="n"/>
      <c r="P1334" s="1553" t="n"/>
      <c r="Q1334" s="1553" t="n"/>
      <c r="R1334" s="1553" t="n"/>
      <c r="S1334" s="1553" t="n"/>
      <c r="T1334" s="1553" t="n"/>
      <c r="U1334" s="1553" t="n"/>
      <c r="V1334" s="1553" t="n"/>
      <c r="W1334" s="1553" t="n"/>
      <c r="X1334" s="1553" t="n"/>
      <c r="Y1334" s="1553" t="n"/>
      <c r="Z1334" s="1553" t="n"/>
      <c r="AA1334" s="1553" t="n"/>
      <c r="AB1334" s="1553" t="n"/>
      <c r="AC1334" s="1553">
        <f>IF(ISBLANK(AC$1333),"N/A",IF(COUNTIFS(GD_Item_FiscalPeriod,AC$1333,GD_Item_Name,$B1334,GD_Update_Date,AC$1332)=0,"NR",SUMIFS(GD_Guidance_Low,GD_Item_Name,$B1334,GD_Item_FiscalPeriod,AC$1333,GD_Update_Date,AC$1332)))</f>
        <v/>
      </c>
      <c r="AD1334" s="1553">
        <f>IF(ISBLANK(AD$1333),"N/A",IF(COUNTIFS(GD_Item_FiscalPeriod,AD$1333,GD_Item_Name,$B1334,GD_Update_Date,AD$1332)=0,"NR",SUMIFS(GD_Guidance_Low,GD_Item_Name,$B1334,GD_Item_FiscalPeriod,AD$1333,GD_Update_Date,AD$1332)))</f>
        <v/>
      </c>
      <c r="AE1334" s="1553">
        <f>IF(ISBLANK(AE$1333),"N/A",IF(COUNTIFS(GD_Item_FiscalPeriod,AE$1333,GD_Item_Name,$B1334,GD_Update_Date,AE$1332)=0,"NR",SUMIFS(GD_Guidance_Low,GD_Item_Name,$B1334,GD_Item_FiscalPeriod,AE$1333,GD_Update_Date,AE$1332)))</f>
        <v/>
      </c>
      <c r="AF1334" s="1553">
        <f>IF(ISBLANK(AF$1333),"N/A",IF(COUNTIFS(GD_Item_FiscalPeriod,AF$1333,GD_Item_Name,$B1334,GD_Update_Date,AF$1332)=0,"NR",SUMIFS(GD_Guidance_Low,GD_Item_Name,$B1334,GD_Item_FiscalPeriod,AF$1333,GD_Update_Date,AF$1332)))</f>
        <v/>
      </c>
      <c r="AG1334" s="1553">
        <f>IF(ISBLANK(AG$1333),"N/A",IF(COUNTIFS(GD_Item_FiscalPeriod,AG$1333,GD_Item_Name,$B1334,GD_Update_Date,AG$1332)=0,"NR",SUMIFS(GD_Guidance_Low,GD_Item_Name,$B1334,GD_Item_FiscalPeriod,AG$1333,GD_Update_Date,AG$1332)))</f>
        <v/>
      </c>
      <c r="AH1334" s="1553">
        <f>IF(ISBLANK(AH$1333),"N/A",IF(COUNTIFS(GD_Item_FiscalPeriod,AH$1333,GD_Item_Name,$B1334,GD_Update_Date,AH$1332)=0,"NR",SUMIFS(GD_Guidance_Low,GD_Item_Name,$B1334,GD_Item_FiscalPeriod,AH$1333,GD_Update_Date,AH$1332)))</f>
        <v/>
      </c>
      <c r="AI1334" s="1553">
        <f>IF(ISBLANK(AI$1333),"N/A",IF(COUNTIFS(GD_Item_FiscalPeriod,AI$1333,GD_Item_Name,$B1334,GD_Update_Date,AI$1332)=0,"NR",SUMIFS(GD_Guidance_Low,GD_Item_Name,$B1334,GD_Item_FiscalPeriod,AI$1333,GD_Update_Date,AI$1332)))</f>
        <v/>
      </c>
      <c r="AJ1334" s="1553">
        <f>IF(ISBLANK(AJ$1333),"N/A",IF(COUNTIFS(GD_Item_FiscalPeriod,AJ$1333,GD_Item_Name,$B1334,GD_Update_Date,AJ$1332)=0,"NR",SUMIFS(GD_Guidance_Low,GD_Item_Name,$B1334,GD_Item_FiscalPeriod,AJ$1333,GD_Update_Date,AJ$1332)))</f>
        <v/>
      </c>
      <c r="AK1334" s="1553">
        <f>IF(ISBLANK(AK$1333),"N/A",IF(COUNTIFS(GD_Item_FiscalPeriod,AK$1333,GD_Item_Name,$B1334,GD_Update_Date,AK$1332)=0,"NR",SUMIFS(GD_Guidance_Low,GD_Item_Name,$B1334,GD_Item_FiscalPeriod,AK$1333,GD_Update_Date,AK$1332)))</f>
        <v/>
      </c>
      <c r="AL1334" s="1553">
        <f>IF(ISBLANK(AL$1333),"N/A",IF(COUNTIFS(GD_Item_FiscalPeriod,AL$1333,GD_Item_Name,$B1334,GD_Update_Date,AL$1332)=0,"NR",SUMIFS(GD_Guidance_Low,GD_Item_Name,$B1334,GD_Item_FiscalPeriod,AL$1333,GD_Update_Date,AL$1332)))</f>
        <v/>
      </c>
      <c r="AM1334" s="1553">
        <f>IF(ISBLANK(AM$1333),"N/A",IF(COUNTIFS(GD_Item_FiscalPeriod,AM$1333,GD_Item_Name,$B1334,GD_Update_Date,AM$1332)=0,"NR",SUMIFS(GD_Guidance_Low,GD_Item_Name,$B1334,GD_Item_FiscalPeriod,AM$1333,GD_Update_Date,AM$1332)))</f>
        <v/>
      </c>
      <c r="AN1334" s="1553">
        <f>IF(ISBLANK(AN$1333),"N/A",IF(COUNTIFS(GD_Item_FiscalPeriod,AN$1333,GD_Item_Name,$B1334,GD_Update_Date,AN$1332)=0,"NR",SUMIFS(GD_Guidance_Low,GD_Item_Name,$B1334,GD_Item_FiscalPeriod,AN$1333,GD_Update_Date,AN$1332)))</f>
        <v/>
      </c>
      <c r="AO1334" s="1553">
        <f>IF(ISBLANK(AO$1333),"N/A",IF(COUNTIFS(GD_Item_FiscalPeriod,AO$1333,GD_Item_Name,$B1334,GD_Update_Date,AO$1332)=0,"NR",SUMIFS(GD_Guidance_Low,GD_Item_Name,$B1334,GD_Item_FiscalPeriod,AO$1333,GD_Update_Date,AO$1332)))</f>
        <v/>
      </c>
      <c r="AP1334" s="1553">
        <f>IF(ISBLANK(AP$1333),"N/A",IF(COUNTIFS(GD_Item_FiscalPeriod,AP$1333,GD_Item_Name,$B1334,GD_Update_Date,AP$1332)=0,"NR",SUMIFS(GD_Guidance_Low,GD_Item_Name,$B1334,GD_Item_FiscalPeriod,AP$1333,GD_Update_Date,AP$1332)))</f>
        <v/>
      </c>
      <c r="AQ1334" s="1553">
        <f>IF(ISBLANK(AQ$1333),"N/A",IF(COUNTIFS(GD_Item_FiscalPeriod,AQ$1333,GD_Item_Name,$B1334,GD_Update_Date,AQ$1332)=0,"NR",SUMIFS(GD_Guidance_Low,GD_Item_Name,$B1334,GD_Item_FiscalPeriod,AQ$1333,GD_Update_Date,AQ$1332)))</f>
        <v/>
      </c>
      <c r="AR1334" s="1553">
        <f>IF(ISBLANK(AR$1333),"N/A",IF(COUNTIFS(GD_Item_FiscalPeriod,AR$1333,GD_Item_Name,$B1334,GD_Update_Date,AR$1332)=0,"NR",SUMIFS(GD_Guidance_Low,GD_Item_Name,$B1334,GD_Item_FiscalPeriod,AR$1333,GD_Update_Date,AR$1332)))</f>
        <v/>
      </c>
      <c r="AS1334" s="1553">
        <f>IF(ISBLANK(AS$1333),"N/A",IF(COUNTIFS(GD_Item_FiscalPeriod,AS$1333,GD_Item_Name,$B1334,GD_Update_Date,AS$1332)=0,"NR",SUMIFS(GD_Guidance_Low,GD_Item_Name,$B1334,GD_Item_FiscalPeriod,AS$1333,GD_Update_Date,AS$1332)))</f>
        <v/>
      </c>
      <c r="AT1334" s="1553">
        <f>IF(ISBLANK(AT$1333),"N/A",IF(COUNTIFS(GD_Item_FiscalPeriod,AT$1333,GD_Item_Name,$B1334,GD_Update_Date,AT$1332)=0,"NR",SUMIFS(GD_Guidance_Low,GD_Item_Name,$B1334,GD_Item_FiscalPeriod,AT$1333,GD_Update_Date,AT$1332)))</f>
        <v/>
      </c>
      <c r="AU1334" s="1553">
        <f>IF(ISBLANK(AU$1333),"N/A",IF(COUNTIFS(GD_Item_FiscalPeriod,AU$1333,GD_Item_Name,$B1334,GD_Update_Date,AU$1332)=0,"NR",SUMIFS(GD_Guidance_Low,GD_Item_Name,$B1334,GD_Item_FiscalPeriod,AU$1333,GD_Update_Date,AU$1332)))</f>
        <v/>
      </c>
      <c r="AV1334" s="1553">
        <f>IF(ISBLANK(AV$1333),"N/A",IF(COUNTIFS(GD_Item_FiscalPeriod,AV$1333,GD_Item_Name,$B1334,GD_Update_Date,AV$1332)=0,"NR",SUMIFS(GD_Guidance_Low,GD_Item_Name,$B1334,GD_Item_FiscalPeriod,AV$1333,GD_Update_Date,AV$1332)))</f>
        <v/>
      </c>
      <c r="AW1334" s="1553">
        <f>IF(ISBLANK(AW$1333),"N/A",IF(COUNTIFS(GD_Item_FiscalPeriod,AW$1333,GD_Item_Name,$B1334,GD_Update_Date,AW$1332)=0,"NR",SUMIFS(GD_Guidance_Low,GD_Item_Name,$B1334,GD_Item_FiscalPeriod,AW$1333,GD_Update_Date,AW$1332)))</f>
        <v/>
      </c>
      <c r="AX1334" s="1553">
        <f>IF(ISBLANK(AX$1333),"N/A",IF(COUNTIFS(GD_Item_FiscalPeriod,AX$1333,GD_Item_Name,$B1334,GD_Update_Date,AX$1332)=0,"NR",SUMIFS(GD_Guidance_Low,GD_Item_Name,$B1334,GD_Item_FiscalPeriod,AX$1333,GD_Update_Date,AX$1332)))</f>
        <v/>
      </c>
      <c r="AY1334" s="1553">
        <f>IF(ISBLANK(AY$1333),"N/A",IF(COUNTIFS(GD_Item_FiscalPeriod,AY$1333,GD_Item_Name,$B1334,GD_Update_Date,AY$1332)=0,"NR",SUMIFS(GD_Guidance_Low,GD_Item_Name,$B1334,GD_Item_FiscalPeriod,AY$1333,GD_Update_Date,AY$1332)))</f>
        <v/>
      </c>
      <c r="AZ1334" s="1553">
        <f>IF(ISBLANK(AZ$1333),"N/A",IF(COUNTIFS(GD_Item_FiscalPeriod,AZ$1333,GD_Item_Name,$B1334,GD_Update_Date,AZ$1332)=0,"NR",SUMIFS(GD_Guidance_Low,GD_Item_Name,$B1334,GD_Item_FiscalPeriod,AZ$1333,GD_Update_Date,AZ$1332)))</f>
        <v/>
      </c>
      <c r="BA1334" s="1553">
        <f>IF(ISBLANK(BA$1333),"N/A",IF(COUNTIFS(GD_Item_FiscalPeriod,BA$1333,GD_Item_Name,$B1334,GD_Update_Date,BA$1332)=0,"NR",SUMIFS(GD_Guidance_Low,GD_Item_Name,$B1334,GD_Item_FiscalPeriod,BA$1333,GD_Update_Date,BA$1332)))</f>
        <v/>
      </c>
      <c r="BB1334" s="1553">
        <f>IF(ISBLANK(BB$1333),"N/A",IF(COUNTIFS(GD_Item_FiscalPeriod,BB$1333,GD_Item_Name,$B1334,GD_Update_Date,BB$1332)=0,"NR",SUMIFS(GD_Guidance_Low,GD_Item_Name,$B1334,GD_Item_FiscalPeriod,BB$1333,GD_Update_Date,BB$1332)))</f>
        <v/>
      </c>
      <c r="BC1334" s="1553">
        <f>IF(ISBLANK(BC$1333),"N/A",IF(COUNTIFS(GD_Item_FiscalPeriod,BC$1333,GD_Item_Name,$B1334,GD_Update_Date,BC$1332)=0,"NR",SUMIFS(GD_Guidance_Low,GD_Item_Name,$B1334,GD_Item_FiscalPeriod,BC$1333,GD_Update_Date,BC$1332)))</f>
        <v/>
      </c>
      <c r="BD1334" s="1553">
        <f>IF(ISBLANK(BD$1333),"N/A",IF(COUNTIFS(GD_Item_FiscalPeriod,BD$1333,GD_Item_Name,$B1334,GD_Update_Date,BD$1332)=0,"NR",SUMIFS(GD_Guidance_Low,GD_Item_Name,$B1334,GD_Item_FiscalPeriod,BD$1333,GD_Update_Date,BD$1332)))</f>
        <v/>
      </c>
      <c r="BE1334" s="1553">
        <f>IF(ISBLANK(BE$1333),"N/A",IF(COUNTIFS(GD_Item_FiscalPeriod,BE$1333,GD_Item_Name,$B1334,GD_Update_Date,BE$1332)=0,"NR",SUMIFS(GD_Guidance_Low,GD_Item_Name,$B1334,GD_Item_FiscalPeriod,BE$1333,GD_Update_Date,BE$1332)))</f>
        <v/>
      </c>
      <c r="BF1334" s="1553">
        <f>IF(ISBLANK(BF$1333),"N/A",IF(COUNTIFS(GD_Item_FiscalPeriod,BF$1333,GD_Item_Name,$B1334,GD_Update_Date,BF$1332)=0,"NR",SUMIFS(GD_Guidance_Low,GD_Item_Name,$B1334,GD_Item_FiscalPeriod,BF$1333,GD_Update_Date,BF$1332)))</f>
        <v/>
      </c>
      <c r="BG1334" s="1553">
        <f>IF(ISBLANK(BG$1333),"N/A",IF(COUNTIFS(GD_Item_FiscalPeriod,BG$1333,GD_Item_Name,$B1334,GD_Update_Date,BG$1332)=0,"NR",SUMIFS(GD_Guidance_Low,GD_Item_Name,$B1334,GD_Item_FiscalPeriod,BG$1333,GD_Update_Date,BG$1332)))</f>
        <v/>
      </c>
      <c r="BH1334" s="1553">
        <f>IF(ISBLANK(BH$1333),"N/A",IF(COUNTIFS(GD_Item_FiscalPeriod,BH$1333,GD_Item_Name,$B1334,GD_Update_Date,BH$1332)=0,"NR",SUMIFS(GD_Guidance_Low,GD_Item_Name,$B1334,GD_Item_FiscalPeriod,BH$1333,GD_Update_Date,BH$1332)))</f>
        <v/>
      </c>
      <c r="BI1334" s="1553">
        <f>IF(ISBLANK(BI$1333),"N/A",IF(COUNTIFS(GD_Item_FiscalPeriod,BI$1333,GD_Item_Name,$B1334,GD_Update_Date,BI$1332)=0,"NR",SUMIFS(GD_Guidance_Low,GD_Item_Name,$B1334,GD_Item_FiscalPeriod,BI$1333,GD_Update_Date,BI$1332)))</f>
        <v/>
      </c>
      <c r="BJ1334" s="1553">
        <f>IF(ISBLANK(BJ$1333),"N/A",IF(COUNTIFS(GD_Item_FiscalPeriod,BJ$1333,GD_Item_Name,$B1334,GD_Update_Date,BJ$1332)=0,"NR",SUMIFS(GD_Guidance_Low,GD_Item_Name,$B1334,GD_Item_FiscalPeriod,BJ$1333,GD_Update_Date,BJ$1332)))</f>
        <v/>
      </c>
      <c r="BK1334" s="1553">
        <f>IF(ISBLANK(BK$1333),"N/A",IF(COUNTIFS(GD_Item_FiscalPeriod,BK$1333,GD_Item_Name,$B1334,GD_Update_Date,BK$1332)=0,"NR",SUMIFS(GD_Guidance_Low,GD_Item_Name,$B1334,GD_Item_FiscalPeriod,BK$1333,GD_Update_Date,BK$1332)))</f>
        <v/>
      </c>
      <c r="BL1334" s="1553">
        <f>IF(ISBLANK(BL$1333),"N/A",IF(COUNTIFS(GD_Item_FiscalPeriod,BL$1333,GD_Item_Name,$B1334,GD_Update_Date,BL$1332)=0,"NR",SUMIFS(GD_Guidance_Low,GD_Item_Name,$B1334,GD_Item_FiscalPeriod,BL$1333,GD_Update_Date,BL$1332)))</f>
        <v/>
      </c>
      <c r="BM1334" s="1553">
        <f>IF(ISBLANK(BM$1333),"N/A",IF(COUNTIFS(GD_Item_FiscalPeriod,BM$1333,GD_Item_Name,$B1334,GD_Update_Date,BM$1332)=0,"NR",SUMIFS(GD_Guidance_Low,GD_Item_Name,$B1334,GD_Item_FiscalPeriod,BM$1333,GD_Update_Date,BM$1332)))</f>
        <v/>
      </c>
      <c r="BN1334" s="1553">
        <f>IF(ISBLANK(BN$1333),"N/A",IF(COUNTIFS(GD_Item_FiscalPeriod,BN$1333,GD_Item_Name,$B1334,GD_Update_Date,BN$1332)=0,"NR",SUMIFS(GD_Guidance_Low,GD_Item_Name,$B1334,GD_Item_FiscalPeriod,BN$1333,GD_Update_Date,BN$1332)))</f>
        <v/>
      </c>
      <c r="BO1334" s="1553">
        <f>IF(ISBLANK(BO$1333),"N/A",IF(COUNTIFS(GD_Item_FiscalPeriod,BO$1333,GD_Item_Name,$B1334,GD_Update_Date,BO$1332)=0,"NR",SUMIFS(GD_Guidance_Low,GD_Item_Name,$B1334,GD_Item_FiscalPeriod,BO$1333,GD_Update_Date,BO$1332)))</f>
        <v/>
      </c>
      <c r="BP1334" s="1553">
        <f>IF(ISBLANK(BP$1333),"N/A",IF(COUNTIFS(GD_Item_FiscalPeriod,BP$1333,GD_Item_Name,$B1334,GD_Update_Date,BP$1332)=0,"NR",SUMIFS(GD_Guidance_Low,GD_Item_Name,$B1334,GD_Item_FiscalPeriod,BP$1333,GD_Update_Date,BP$1332)))</f>
        <v/>
      </c>
      <c r="BQ1334" s="1556">
        <f>IF(ISBLANK(BQ$1333),"N/A",IF(COUNTIFS(GD_Item_FiscalPeriod,BQ$1333,GD_Item_Name,$B1334,GD_Update_Date,BQ$1332)=0,"NR",SUMIFS(GD_Guidance_Low,GD_Item_Name,$B1334,GD_Item_FiscalPeriod,BQ$1333,GD_Update_Date,BQ$1332)))</f>
        <v/>
      </c>
      <c r="BR1334" s="1553">
        <f>IF(ISBLANK(BR$1333),"N/A",IF(COUNTIFS(GD_Item_FiscalPeriod,BR$1333,GD_Item_Name,$B1334,GD_Update_Date,BR$1332)=0,"NR",SUMIFS(GD_Guidance_Low,GD_Item_Name,$B1334,GD_Item_FiscalPeriod,BR$1333,GD_Update_Date,BR$1332)))</f>
        <v/>
      </c>
      <c r="BS1334" s="1553">
        <f>IF(ISBLANK(BS$1333),"N/A",IF(COUNTIFS(GD_Item_FiscalPeriod,BS$1333,GD_Item_Name,$B1334,GD_Update_Date,BS$1332)=0,"NR",SUMIFS(GD_Guidance_Low,GD_Item_Name,$B1334,GD_Item_FiscalPeriod,BS$1333,GD_Update_Date,BS$1332)))</f>
        <v/>
      </c>
      <c r="BT1334" s="1553">
        <f>IF(ISBLANK(BT$1333),"N/A",IF(COUNTIFS(GD_Item_FiscalPeriod,BT$1333,GD_Item_Name,$B1334,GD_Update_Date,BT$1332)=0,"NR",SUMIFS(GD_Guidance_Low,GD_Item_Name,$B1334,GD_Item_FiscalPeriod,BT$1333,GD_Update_Date,BT$1332)))</f>
        <v/>
      </c>
      <c r="BU1334" s="1553">
        <f>IF(ISBLANK(BU$1333),"N/A",IF(COUNTIFS(GD_Item_FiscalPeriod,BU$1333,GD_Item_Name,$B1334,GD_Update_Date,BU$1332)=0,"NR",SUMIFS(GD_Guidance_Low,GD_Item_Name,$B1334,GD_Item_FiscalPeriod,BU$1333,GD_Update_Date,BU$1332)))</f>
        <v/>
      </c>
      <c r="BV1334" s="1553">
        <f>IF(ISBLANK(BV$1333),"N/A",IF(COUNTIFS(GD_Item_FiscalPeriod,BV$1333,GD_Item_Name,$B1334,GD_Update_Date,BV$1332)=0,"NR",SUMIFS(GD_Guidance_Low,GD_Item_Name,$B1334,GD_Item_FiscalPeriod,BV$1333,GD_Update_Date,BV$1332)))</f>
        <v/>
      </c>
      <c r="BW1334" s="1553">
        <f>IF(ISBLANK(BW$1333),"N/A",IF(COUNTIFS(GD_Item_FiscalPeriod,BW$1333,GD_Item_Name,$B1334,GD_Update_Date,BW$1332)=0,"NR",SUMIFS(GD_Guidance_Low,GD_Item_Name,$B1334,GD_Item_FiscalPeriod,BW$1333,GD_Update_Date,BW$1332)))</f>
        <v/>
      </c>
      <c r="BX1334" s="1553">
        <f>IF(ISBLANK(BX$1333),"N/A",IF(COUNTIFS(GD_Item_FiscalPeriod,BX$1333,GD_Item_Name,$B1334,GD_Update_Date,BX$1332)=0,"NR",SUMIFS(GD_Guidance_Low,GD_Item_Name,$B1334,GD_Item_FiscalPeriod,BX$1333,GD_Update_Date,BX$1332)))</f>
        <v/>
      </c>
      <c r="BY1334" s="1553">
        <f>IF(ISBLANK(BY$1333),"N/A",IF(COUNTIFS(GD_Item_FiscalPeriod,BY$1333,GD_Item_Name,$B1334,GD_Update_Date,BY$1332)=0,"NR",SUMIFS(GD_Guidance_Low,GD_Item_Name,$B1334,GD_Item_FiscalPeriod,BY$1333,GD_Update_Date,BY$1332)))</f>
        <v/>
      </c>
      <c r="BZ1334" s="1553">
        <f>IF(ISBLANK(BZ$1333),"N/A",IF(COUNTIFS(GD_Item_FiscalPeriod,BZ$1333,GD_Item_Name,$B1334,GD_Update_Date,BZ$1332)=0,"NR",SUMIFS(GD_Guidance_Low,GD_Item_Name,$B1334,GD_Item_FiscalPeriod,BZ$1333,GD_Update_Date,BZ$1332)))</f>
        <v/>
      </c>
      <c r="CA1334" s="2001">
        <f>IF(ISBLANK(CA$1333),"N/A",IF(COUNTIFS(GD_Item_FiscalPeriod,CA$1333,GD_Item_Name,$B1334,GD_Update_Date,CA$1332)=0,"NR",SUMIFS(GD_Guidance_Low,GD_Item_Name,$B1334,GD_Item_FiscalPeriod,CA$1333,GD_Update_Date,CA$1332)))</f>
        <v/>
      </c>
      <c r="CB1334" s="1472" t="n"/>
    </row>
    <row r="1335" ht="14.4" customFormat="1" customHeight="1" s="1549">
      <c r="A1335" s="1999" t="inlineStr">
        <is>
          <t>High - Net Revenue, mm</t>
        </is>
      </c>
      <c r="B1335" s="1493" t="inlineStr">
        <is>
          <t>MO_RIS_REV</t>
        </is>
      </c>
      <c r="C1335" s="2000" t="n"/>
      <c r="D1335" s="2000" t="n"/>
      <c r="E1335" s="1553" t="n"/>
      <c r="F1335" s="1553" t="n"/>
      <c r="G1335" s="1553" t="n"/>
      <c r="H1335" s="1553" t="n"/>
      <c r="I1335" s="1553" t="n"/>
      <c r="J1335" s="1553" t="n"/>
      <c r="K1335" s="1553" t="n"/>
      <c r="L1335" s="1553" t="n"/>
      <c r="M1335" s="1553" t="n"/>
      <c r="N1335" s="1553" t="n"/>
      <c r="O1335" s="1553" t="n"/>
      <c r="P1335" s="1553" t="n"/>
      <c r="Q1335" s="1553" t="n"/>
      <c r="R1335" s="1553" t="n"/>
      <c r="S1335" s="1553" t="n"/>
      <c r="T1335" s="1553" t="n"/>
      <c r="U1335" s="1553" t="n"/>
      <c r="V1335" s="1553" t="n"/>
      <c r="W1335" s="1553" t="n"/>
      <c r="X1335" s="1553" t="n"/>
      <c r="Y1335" s="1553" t="n"/>
      <c r="Z1335" s="1553" t="n"/>
      <c r="AA1335" s="1553" t="n"/>
      <c r="AB1335" s="1553" t="n"/>
      <c r="AC1335" s="1553">
        <f>IF(ISBLANK(AC$1333),"N/A",IF(COUNTIFS(GD_Item_FiscalPeriod,AC$1333,GD_Item_Name,$B1335,GD_Update_Date,AC$1332)=0,"NR",SUMIFS(GD_Guidance_High,GD_Item_Name,$B1335,GD_Item_FiscalPeriod,AC$1333,GD_Update_Date,AC$1332)))</f>
        <v/>
      </c>
      <c r="AD1335" s="1553">
        <f>IF(ISBLANK(AD$1333),"N/A",IF(COUNTIFS(GD_Item_FiscalPeriod,AD$1333,GD_Item_Name,$B1335,GD_Update_Date,AD$1332)=0,"NR",SUMIFS(GD_Guidance_High,GD_Item_Name,$B1335,GD_Item_FiscalPeriod,AD$1333,GD_Update_Date,AD$1332)))</f>
        <v/>
      </c>
      <c r="AE1335" s="1553">
        <f>IF(ISBLANK(AE$1333),"N/A",IF(COUNTIFS(GD_Item_FiscalPeriod,AE$1333,GD_Item_Name,$B1335,GD_Update_Date,AE$1332)=0,"NR",SUMIFS(GD_Guidance_High,GD_Item_Name,$B1335,GD_Item_FiscalPeriod,AE$1333,GD_Update_Date,AE$1332)))</f>
        <v/>
      </c>
      <c r="AF1335" s="1553">
        <f>IF(ISBLANK(AF$1333),"N/A",IF(COUNTIFS(GD_Item_FiscalPeriod,AF$1333,GD_Item_Name,$B1335,GD_Update_Date,AF$1332)=0,"NR",SUMIFS(GD_Guidance_High,GD_Item_Name,$B1335,GD_Item_FiscalPeriod,AF$1333,GD_Update_Date,AF$1332)))</f>
        <v/>
      </c>
      <c r="AG1335" s="1553">
        <f>IF(ISBLANK(AG$1333),"N/A",IF(COUNTIFS(GD_Item_FiscalPeriod,AG$1333,GD_Item_Name,$B1335,GD_Update_Date,AG$1332)=0,"NR",SUMIFS(GD_Guidance_High,GD_Item_Name,$B1335,GD_Item_FiscalPeriod,AG$1333,GD_Update_Date,AG$1332)))</f>
        <v/>
      </c>
      <c r="AH1335" s="1553">
        <f>IF(ISBLANK(AH$1333),"N/A",IF(COUNTIFS(GD_Item_FiscalPeriod,AH$1333,GD_Item_Name,$B1335,GD_Update_Date,AH$1332)=0,"NR",SUMIFS(GD_Guidance_High,GD_Item_Name,$B1335,GD_Item_FiscalPeriod,AH$1333,GD_Update_Date,AH$1332)))</f>
        <v/>
      </c>
      <c r="AI1335" s="1553">
        <f>IF(ISBLANK(AI$1333),"N/A",IF(COUNTIFS(GD_Item_FiscalPeriod,AI$1333,GD_Item_Name,$B1335,GD_Update_Date,AI$1332)=0,"NR",SUMIFS(GD_Guidance_High,GD_Item_Name,$B1335,GD_Item_FiscalPeriod,AI$1333,GD_Update_Date,AI$1332)))</f>
        <v/>
      </c>
      <c r="AJ1335" s="1553">
        <f>IF(ISBLANK(AJ$1333),"N/A",IF(COUNTIFS(GD_Item_FiscalPeriod,AJ$1333,GD_Item_Name,$B1335,GD_Update_Date,AJ$1332)=0,"NR",SUMIFS(GD_Guidance_High,GD_Item_Name,$B1335,GD_Item_FiscalPeriod,AJ$1333,GD_Update_Date,AJ$1332)))</f>
        <v/>
      </c>
      <c r="AK1335" s="1553">
        <f>IF(ISBLANK(AK$1333),"N/A",IF(COUNTIFS(GD_Item_FiscalPeriod,AK$1333,GD_Item_Name,$B1335,GD_Update_Date,AK$1332)=0,"NR",SUMIFS(GD_Guidance_High,GD_Item_Name,$B1335,GD_Item_FiscalPeriod,AK$1333,GD_Update_Date,AK$1332)))</f>
        <v/>
      </c>
      <c r="AL1335" s="1553">
        <f>IF(ISBLANK(AL$1333),"N/A",IF(COUNTIFS(GD_Item_FiscalPeriod,AL$1333,GD_Item_Name,$B1335,GD_Update_Date,AL$1332)=0,"NR",SUMIFS(GD_Guidance_High,GD_Item_Name,$B1335,GD_Item_FiscalPeriod,AL$1333,GD_Update_Date,AL$1332)))</f>
        <v/>
      </c>
      <c r="AM1335" s="1553">
        <f>IF(ISBLANK(AM$1333),"N/A",IF(COUNTIFS(GD_Item_FiscalPeriod,AM$1333,GD_Item_Name,$B1335,GD_Update_Date,AM$1332)=0,"NR",SUMIFS(GD_Guidance_High,GD_Item_Name,$B1335,GD_Item_FiscalPeriod,AM$1333,GD_Update_Date,AM$1332)))</f>
        <v/>
      </c>
      <c r="AN1335" s="1553">
        <f>IF(ISBLANK(AN$1333),"N/A",IF(COUNTIFS(GD_Item_FiscalPeriod,AN$1333,GD_Item_Name,$B1335,GD_Update_Date,AN$1332)=0,"NR",SUMIFS(GD_Guidance_High,GD_Item_Name,$B1335,GD_Item_FiscalPeriod,AN$1333,GD_Update_Date,AN$1332)))</f>
        <v/>
      </c>
      <c r="AO1335" s="1553">
        <f>IF(ISBLANK(AO$1333),"N/A",IF(COUNTIFS(GD_Item_FiscalPeriod,AO$1333,GD_Item_Name,$B1335,GD_Update_Date,AO$1332)=0,"NR",SUMIFS(GD_Guidance_High,GD_Item_Name,$B1335,GD_Item_FiscalPeriod,AO$1333,GD_Update_Date,AO$1332)))</f>
        <v/>
      </c>
      <c r="AP1335" s="1553">
        <f>IF(ISBLANK(AP$1333),"N/A",IF(COUNTIFS(GD_Item_FiscalPeriod,AP$1333,GD_Item_Name,$B1335,GD_Update_Date,AP$1332)=0,"NR",SUMIFS(GD_Guidance_High,GD_Item_Name,$B1335,GD_Item_FiscalPeriod,AP$1333,GD_Update_Date,AP$1332)))</f>
        <v/>
      </c>
      <c r="AQ1335" s="1553">
        <f>IF(ISBLANK(AQ$1333),"N/A",IF(COUNTIFS(GD_Item_FiscalPeriod,AQ$1333,GD_Item_Name,$B1335,GD_Update_Date,AQ$1332)=0,"NR",SUMIFS(GD_Guidance_High,GD_Item_Name,$B1335,GD_Item_FiscalPeriod,AQ$1333,GD_Update_Date,AQ$1332)))</f>
        <v/>
      </c>
      <c r="AR1335" s="1553">
        <f>IF(ISBLANK(AR$1333),"N/A",IF(COUNTIFS(GD_Item_FiscalPeriod,AR$1333,GD_Item_Name,$B1335,GD_Update_Date,AR$1332)=0,"NR",SUMIFS(GD_Guidance_High,GD_Item_Name,$B1335,GD_Item_FiscalPeriod,AR$1333,GD_Update_Date,AR$1332)))</f>
        <v/>
      </c>
      <c r="AS1335" s="1553">
        <f>IF(ISBLANK(AS$1333),"N/A",IF(COUNTIFS(GD_Item_FiscalPeriod,AS$1333,GD_Item_Name,$B1335,GD_Update_Date,AS$1332)=0,"NR",SUMIFS(GD_Guidance_High,GD_Item_Name,$B1335,GD_Item_FiscalPeriod,AS$1333,GD_Update_Date,AS$1332)))</f>
        <v/>
      </c>
      <c r="AT1335" s="1553">
        <f>IF(ISBLANK(AT$1333),"N/A",IF(COUNTIFS(GD_Item_FiscalPeriod,AT$1333,GD_Item_Name,$B1335,GD_Update_Date,AT$1332)=0,"NR",SUMIFS(GD_Guidance_High,GD_Item_Name,$B1335,GD_Item_FiscalPeriod,AT$1333,GD_Update_Date,AT$1332)))</f>
        <v/>
      </c>
      <c r="AU1335" s="1553">
        <f>IF(ISBLANK(AU$1333),"N/A",IF(COUNTIFS(GD_Item_FiscalPeriod,AU$1333,GD_Item_Name,$B1335,GD_Update_Date,AU$1332)=0,"NR",SUMIFS(GD_Guidance_High,GD_Item_Name,$B1335,GD_Item_FiscalPeriod,AU$1333,GD_Update_Date,AU$1332)))</f>
        <v/>
      </c>
      <c r="AV1335" s="1553">
        <f>IF(ISBLANK(AV$1333),"N/A",IF(COUNTIFS(GD_Item_FiscalPeriod,AV$1333,GD_Item_Name,$B1335,GD_Update_Date,AV$1332)=0,"NR",SUMIFS(GD_Guidance_High,GD_Item_Name,$B1335,GD_Item_FiscalPeriod,AV$1333,GD_Update_Date,AV$1332)))</f>
        <v/>
      </c>
      <c r="AW1335" s="1553">
        <f>IF(ISBLANK(AW$1333),"N/A",IF(COUNTIFS(GD_Item_FiscalPeriod,AW$1333,GD_Item_Name,$B1335,GD_Update_Date,AW$1332)=0,"NR",SUMIFS(GD_Guidance_High,GD_Item_Name,$B1335,GD_Item_FiscalPeriod,AW$1333,GD_Update_Date,AW$1332)))</f>
        <v/>
      </c>
      <c r="AX1335" s="1553">
        <f>IF(ISBLANK(AX$1333),"N/A",IF(COUNTIFS(GD_Item_FiscalPeriod,AX$1333,GD_Item_Name,$B1335,GD_Update_Date,AX$1332)=0,"NR",SUMIFS(GD_Guidance_High,GD_Item_Name,$B1335,GD_Item_FiscalPeriod,AX$1333,GD_Update_Date,AX$1332)))</f>
        <v/>
      </c>
      <c r="AY1335" s="1553">
        <f>IF(ISBLANK(AY$1333),"N/A",IF(COUNTIFS(GD_Item_FiscalPeriod,AY$1333,GD_Item_Name,$B1335,GD_Update_Date,AY$1332)=0,"NR",SUMIFS(GD_Guidance_High,GD_Item_Name,$B1335,GD_Item_FiscalPeriod,AY$1333,GD_Update_Date,AY$1332)))</f>
        <v/>
      </c>
      <c r="AZ1335" s="1553">
        <f>IF(ISBLANK(AZ$1333),"N/A",IF(COUNTIFS(GD_Item_FiscalPeriod,AZ$1333,GD_Item_Name,$B1335,GD_Update_Date,AZ$1332)=0,"NR",SUMIFS(GD_Guidance_High,GD_Item_Name,$B1335,GD_Item_FiscalPeriod,AZ$1333,GD_Update_Date,AZ$1332)))</f>
        <v/>
      </c>
      <c r="BA1335" s="1553">
        <f>IF(ISBLANK(BA$1333),"N/A",IF(COUNTIFS(GD_Item_FiscalPeriod,BA$1333,GD_Item_Name,$B1335,GD_Update_Date,BA$1332)=0,"NR",SUMIFS(GD_Guidance_High,GD_Item_Name,$B1335,GD_Item_FiscalPeriod,BA$1333,GD_Update_Date,BA$1332)))</f>
        <v/>
      </c>
      <c r="BB1335" s="1553">
        <f>IF(ISBLANK(BB$1333),"N/A",IF(COUNTIFS(GD_Item_FiscalPeriod,BB$1333,GD_Item_Name,$B1335,GD_Update_Date,BB$1332)=0,"NR",SUMIFS(GD_Guidance_High,GD_Item_Name,$B1335,GD_Item_FiscalPeriod,BB$1333,GD_Update_Date,BB$1332)))</f>
        <v/>
      </c>
      <c r="BC1335" s="1553">
        <f>IF(ISBLANK(BC$1333),"N/A",IF(COUNTIFS(GD_Item_FiscalPeriod,BC$1333,GD_Item_Name,$B1335,GD_Update_Date,BC$1332)=0,"NR",SUMIFS(GD_Guidance_High,GD_Item_Name,$B1335,GD_Item_FiscalPeriod,BC$1333,GD_Update_Date,BC$1332)))</f>
        <v/>
      </c>
      <c r="BD1335" s="1553">
        <f>IF(ISBLANK(BD$1333),"N/A",IF(COUNTIFS(GD_Item_FiscalPeriod,BD$1333,GD_Item_Name,$B1335,GD_Update_Date,BD$1332)=0,"NR",SUMIFS(GD_Guidance_High,GD_Item_Name,$B1335,GD_Item_FiscalPeriod,BD$1333,GD_Update_Date,BD$1332)))</f>
        <v/>
      </c>
      <c r="BE1335" s="1553">
        <f>IF(ISBLANK(BE$1333),"N/A",IF(COUNTIFS(GD_Item_FiscalPeriod,BE$1333,GD_Item_Name,$B1335,GD_Update_Date,BE$1332)=0,"NR",SUMIFS(GD_Guidance_High,GD_Item_Name,$B1335,GD_Item_FiscalPeriod,BE$1333,GD_Update_Date,BE$1332)))</f>
        <v/>
      </c>
      <c r="BF1335" s="1553">
        <f>IF(ISBLANK(BF$1333),"N/A",IF(COUNTIFS(GD_Item_FiscalPeriod,BF$1333,GD_Item_Name,$B1335,GD_Update_Date,BF$1332)=0,"NR",SUMIFS(GD_Guidance_High,GD_Item_Name,$B1335,GD_Item_FiscalPeriod,BF$1333,GD_Update_Date,BF$1332)))</f>
        <v/>
      </c>
      <c r="BG1335" s="1553">
        <f>IF(ISBLANK(BG$1333),"N/A",IF(COUNTIFS(GD_Item_FiscalPeriod,BG$1333,GD_Item_Name,$B1335,GD_Update_Date,BG$1332)=0,"NR",SUMIFS(GD_Guidance_High,GD_Item_Name,$B1335,GD_Item_FiscalPeriod,BG$1333,GD_Update_Date,BG$1332)))</f>
        <v/>
      </c>
      <c r="BH1335" s="1553">
        <f>IF(ISBLANK(BH$1333),"N/A",IF(COUNTIFS(GD_Item_FiscalPeriod,BH$1333,GD_Item_Name,$B1335,GD_Update_Date,BH$1332)=0,"NR",SUMIFS(GD_Guidance_High,GD_Item_Name,$B1335,GD_Item_FiscalPeriod,BH$1333,GD_Update_Date,BH$1332)))</f>
        <v/>
      </c>
      <c r="BI1335" s="1553">
        <f>IF(ISBLANK(BI$1333),"N/A",IF(COUNTIFS(GD_Item_FiscalPeriod,BI$1333,GD_Item_Name,$B1335,GD_Update_Date,BI$1332)=0,"NR",SUMIFS(GD_Guidance_High,GD_Item_Name,$B1335,GD_Item_FiscalPeriod,BI$1333,GD_Update_Date,BI$1332)))</f>
        <v/>
      </c>
      <c r="BJ1335" s="1553">
        <f>IF(ISBLANK(BJ$1333),"N/A",IF(COUNTIFS(GD_Item_FiscalPeriod,BJ$1333,GD_Item_Name,$B1335,GD_Update_Date,BJ$1332)=0,"NR",SUMIFS(GD_Guidance_High,GD_Item_Name,$B1335,GD_Item_FiscalPeriod,BJ$1333,GD_Update_Date,BJ$1332)))</f>
        <v/>
      </c>
      <c r="BK1335" s="1553">
        <f>IF(ISBLANK(BK$1333),"N/A",IF(COUNTIFS(GD_Item_FiscalPeriod,BK$1333,GD_Item_Name,$B1335,GD_Update_Date,BK$1332)=0,"NR",SUMIFS(GD_Guidance_High,GD_Item_Name,$B1335,GD_Item_FiscalPeriod,BK$1333,GD_Update_Date,BK$1332)))</f>
        <v/>
      </c>
      <c r="BL1335" s="1553">
        <f>IF(ISBLANK(BL$1333),"N/A",IF(COUNTIFS(GD_Item_FiscalPeriod,BL$1333,GD_Item_Name,$B1335,GD_Update_Date,BL$1332)=0,"NR",SUMIFS(GD_Guidance_High,GD_Item_Name,$B1335,GD_Item_FiscalPeriod,BL$1333,GD_Update_Date,BL$1332)))</f>
        <v/>
      </c>
      <c r="BM1335" s="1553">
        <f>IF(ISBLANK(BM$1333),"N/A",IF(COUNTIFS(GD_Item_FiscalPeriod,BM$1333,GD_Item_Name,$B1335,GD_Update_Date,BM$1332)=0,"NR",SUMIFS(GD_Guidance_High,GD_Item_Name,$B1335,GD_Item_FiscalPeriod,BM$1333,GD_Update_Date,BM$1332)))</f>
        <v/>
      </c>
      <c r="BN1335" s="1553">
        <f>IF(ISBLANK(BN$1333),"N/A",IF(COUNTIFS(GD_Item_FiscalPeriod,BN$1333,GD_Item_Name,$B1335,GD_Update_Date,BN$1332)=0,"NR",SUMIFS(GD_Guidance_High,GD_Item_Name,$B1335,GD_Item_FiscalPeriod,BN$1333,GD_Update_Date,BN$1332)))</f>
        <v/>
      </c>
      <c r="BO1335" s="1553">
        <f>IF(ISBLANK(BO$1333),"N/A",IF(COUNTIFS(GD_Item_FiscalPeriod,BO$1333,GD_Item_Name,$B1335,GD_Update_Date,BO$1332)=0,"NR",SUMIFS(GD_Guidance_High,GD_Item_Name,$B1335,GD_Item_FiscalPeriod,BO$1333,GD_Update_Date,BO$1332)))</f>
        <v/>
      </c>
      <c r="BP1335" s="1553">
        <f>IF(ISBLANK(BP$1333),"N/A",IF(COUNTIFS(GD_Item_FiscalPeriod,BP$1333,GD_Item_Name,$B1335,GD_Update_Date,BP$1332)=0,"NR",SUMIFS(GD_Guidance_High,GD_Item_Name,$B1335,GD_Item_FiscalPeriod,BP$1333,GD_Update_Date,BP$1332)))</f>
        <v/>
      </c>
      <c r="BQ1335" s="1556">
        <f>IF(ISBLANK(BQ$1333),"N/A",IF(COUNTIFS(GD_Item_FiscalPeriod,BQ$1333,GD_Item_Name,$B1335,GD_Update_Date,BQ$1332)=0,"NR",SUMIFS(GD_Guidance_High,GD_Item_Name,$B1335,GD_Item_FiscalPeriod,BQ$1333,GD_Update_Date,BQ$1332)))</f>
        <v/>
      </c>
      <c r="BR1335" s="1553">
        <f>IF(ISBLANK(BR$1333),"N/A",IF(COUNTIFS(GD_Item_FiscalPeriod,BR$1333,GD_Item_Name,$B1335,GD_Update_Date,BR$1332)=0,"NR",SUMIFS(GD_Guidance_High,GD_Item_Name,$B1335,GD_Item_FiscalPeriod,BR$1333,GD_Update_Date,BR$1332)))</f>
        <v/>
      </c>
      <c r="BS1335" s="1553">
        <f>IF(ISBLANK(BS$1333),"N/A",IF(COUNTIFS(GD_Item_FiscalPeriod,BS$1333,GD_Item_Name,$B1335,GD_Update_Date,BS$1332)=0,"NR",SUMIFS(GD_Guidance_High,GD_Item_Name,$B1335,GD_Item_FiscalPeriod,BS$1333,GD_Update_Date,BS$1332)))</f>
        <v/>
      </c>
      <c r="BT1335" s="1553">
        <f>IF(ISBLANK(BT$1333),"N/A",IF(COUNTIFS(GD_Item_FiscalPeriod,BT$1333,GD_Item_Name,$B1335,GD_Update_Date,BT$1332)=0,"NR",SUMIFS(GD_Guidance_High,GD_Item_Name,$B1335,GD_Item_FiscalPeriod,BT$1333,GD_Update_Date,BT$1332)))</f>
        <v/>
      </c>
      <c r="BU1335" s="1553">
        <f>IF(ISBLANK(BU$1333),"N/A",IF(COUNTIFS(GD_Item_FiscalPeriod,BU$1333,GD_Item_Name,$B1335,GD_Update_Date,BU$1332)=0,"NR",SUMIFS(GD_Guidance_High,GD_Item_Name,$B1335,GD_Item_FiscalPeriod,BU$1333,GD_Update_Date,BU$1332)))</f>
        <v/>
      </c>
      <c r="BV1335" s="1553">
        <f>IF(ISBLANK(BV$1333),"N/A",IF(COUNTIFS(GD_Item_FiscalPeriod,BV$1333,GD_Item_Name,$B1335,GD_Update_Date,BV$1332)=0,"NR",SUMIFS(GD_Guidance_High,GD_Item_Name,$B1335,GD_Item_FiscalPeriod,BV$1333,GD_Update_Date,BV$1332)))</f>
        <v/>
      </c>
      <c r="BW1335" s="1553">
        <f>IF(ISBLANK(BW$1333),"N/A",IF(COUNTIFS(GD_Item_FiscalPeriod,BW$1333,GD_Item_Name,$B1335,GD_Update_Date,BW$1332)=0,"NR",SUMIFS(GD_Guidance_High,GD_Item_Name,$B1335,GD_Item_FiscalPeriod,BW$1333,GD_Update_Date,BW$1332)))</f>
        <v/>
      </c>
      <c r="BX1335" s="1553">
        <f>IF(ISBLANK(BX$1333),"N/A",IF(COUNTIFS(GD_Item_FiscalPeriod,BX$1333,GD_Item_Name,$B1335,GD_Update_Date,BX$1332)=0,"NR",SUMIFS(GD_Guidance_High,GD_Item_Name,$B1335,GD_Item_FiscalPeriod,BX$1333,GD_Update_Date,BX$1332)))</f>
        <v/>
      </c>
      <c r="BY1335" s="1553">
        <f>IF(ISBLANK(BY$1333),"N/A",IF(COUNTIFS(GD_Item_FiscalPeriod,BY$1333,GD_Item_Name,$B1335,GD_Update_Date,BY$1332)=0,"NR",SUMIFS(GD_Guidance_High,GD_Item_Name,$B1335,GD_Item_FiscalPeriod,BY$1333,GD_Update_Date,BY$1332)))</f>
        <v/>
      </c>
      <c r="BZ1335" s="1553">
        <f>IF(ISBLANK(BZ$1333),"N/A",IF(COUNTIFS(GD_Item_FiscalPeriod,BZ$1333,GD_Item_Name,$B1335,GD_Update_Date,BZ$1332)=0,"NR",SUMIFS(GD_Guidance_High,GD_Item_Name,$B1335,GD_Item_FiscalPeriod,BZ$1333,GD_Update_Date,BZ$1332)))</f>
        <v/>
      </c>
      <c r="CA1335" s="2001">
        <f>IF(ISBLANK(CA$1333),"N/A",IF(COUNTIFS(GD_Item_FiscalPeriod,CA$1333,GD_Item_Name,$B1335,GD_Update_Date,CA$1332)=0,"NR",SUMIFS(GD_Guidance_High,GD_Item_Name,$B1335,GD_Item_FiscalPeriod,CA$1333,GD_Update_Date,CA$1332)))</f>
        <v/>
      </c>
      <c r="CB1335" s="1472" t="n"/>
    </row>
    <row r="1336" ht="14.4" customFormat="1" customHeight="1" s="1549">
      <c r="A1336" s="1999" t="inlineStr">
        <is>
          <t>Mid - Net Revenue, mm</t>
        </is>
      </c>
      <c r="B1336" s="1493" t="inlineStr">
        <is>
          <t>MO_RIS_REV</t>
        </is>
      </c>
      <c r="C1336" s="2000" t="n"/>
      <c r="D1336" s="2000" t="n"/>
      <c r="E1336" s="1553" t="n"/>
      <c r="F1336" s="1553" t="n"/>
      <c r="G1336" s="1553" t="n"/>
      <c r="H1336" s="1553" t="n"/>
      <c r="I1336" s="1553" t="n"/>
      <c r="J1336" s="1553" t="n"/>
      <c r="K1336" s="1553" t="n"/>
      <c r="L1336" s="1553" t="n"/>
      <c r="M1336" s="1553" t="n"/>
      <c r="N1336" s="1553" t="n"/>
      <c r="O1336" s="1553" t="n"/>
      <c r="P1336" s="1553" t="n"/>
      <c r="Q1336" s="1553" t="n"/>
      <c r="R1336" s="1553" t="n"/>
      <c r="S1336" s="1553" t="n"/>
      <c r="T1336" s="1553" t="n"/>
      <c r="U1336" s="1553" t="n"/>
      <c r="V1336" s="1553" t="n"/>
      <c r="W1336" s="1553" t="n"/>
      <c r="X1336" s="1553" t="n"/>
      <c r="Y1336" s="1553" t="n"/>
      <c r="Z1336" s="1553" t="n"/>
      <c r="AA1336" s="1553" t="n"/>
      <c r="AB1336" s="1553" t="n"/>
      <c r="AC1336" s="1553">
        <f>IF(ISBLANK(AC$1333),"N/A",IF(COUNTIFS(GD_Item_FiscalPeriod,AC$1333,GD_Item_Name,$B1336,GD_Update_Date,AC$1332)=0,"NR",SUMIFS(GD_Guidance_Mid,GD_Item_Name,$B1336,GD_Item_FiscalPeriod,AC$1333,GD_Update_Date,AC$1332)))</f>
        <v/>
      </c>
      <c r="AD1336" s="1553">
        <f>IF(ISBLANK(AD$1333),"N/A",IF(COUNTIFS(GD_Item_FiscalPeriod,AD$1333,GD_Item_Name,$B1336,GD_Update_Date,AD$1332)=0,"NR",SUMIFS(GD_Guidance_Mid,GD_Item_Name,$B1336,GD_Item_FiscalPeriod,AD$1333,GD_Update_Date,AD$1332)))</f>
        <v/>
      </c>
      <c r="AE1336" s="1553">
        <f>IF(ISBLANK(AE$1333),"N/A",IF(COUNTIFS(GD_Item_FiscalPeriod,AE$1333,GD_Item_Name,$B1336,GD_Update_Date,AE$1332)=0,"NR",SUMIFS(GD_Guidance_Mid,GD_Item_Name,$B1336,GD_Item_FiscalPeriod,AE$1333,GD_Update_Date,AE$1332)))</f>
        <v/>
      </c>
      <c r="AF1336" s="1553">
        <f>IF(ISBLANK(AF$1333),"N/A",IF(COUNTIFS(GD_Item_FiscalPeriod,AF$1333,GD_Item_Name,$B1336,GD_Update_Date,AF$1332)=0,"NR",SUMIFS(GD_Guidance_Mid,GD_Item_Name,$B1336,GD_Item_FiscalPeriod,AF$1333,GD_Update_Date,AF$1332)))</f>
        <v/>
      </c>
      <c r="AG1336" s="1553">
        <f>IF(ISBLANK(AG$1333),"N/A",IF(COUNTIFS(GD_Item_FiscalPeriod,AG$1333,GD_Item_Name,$B1336,GD_Update_Date,AG$1332)=0,"NR",SUMIFS(GD_Guidance_Mid,GD_Item_Name,$B1336,GD_Item_FiscalPeriod,AG$1333,GD_Update_Date,AG$1332)))</f>
        <v/>
      </c>
      <c r="AH1336" s="1553">
        <f>IF(ISBLANK(AH$1333),"N/A",IF(COUNTIFS(GD_Item_FiscalPeriod,AH$1333,GD_Item_Name,$B1336,GD_Update_Date,AH$1332)=0,"NR",SUMIFS(GD_Guidance_Mid,GD_Item_Name,$B1336,GD_Item_FiscalPeriod,AH$1333,GD_Update_Date,AH$1332)))</f>
        <v/>
      </c>
      <c r="AI1336" s="1553">
        <f>IF(ISBLANK(AI$1333),"N/A",IF(COUNTIFS(GD_Item_FiscalPeriod,AI$1333,GD_Item_Name,$B1336,GD_Update_Date,AI$1332)=0,"NR",SUMIFS(GD_Guidance_Mid,GD_Item_Name,$B1336,GD_Item_FiscalPeriod,AI$1333,GD_Update_Date,AI$1332)))</f>
        <v/>
      </c>
      <c r="AJ1336" s="1553">
        <f>IF(ISBLANK(AJ$1333),"N/A",IF(COUNTIFS(GD_Item_FiscalPeriod,AJ$1333,GD_Item_Name,$B1336,GD_Update_Date,AJ$1332)=0,"NR",SUMIFS(GD_Guidance_Mid,GD_Item_Name,$B1336,GD_Item_FiscalPeriod,AJ$1333,GD_Update_Date,AJ$1332)))</f>
        <v/>
      </c>
      <c r="AK1336" s="1553">
        <f>IF(ISBLANK(AK$1333),"N/A",IF(COUNTIFS(GD_Item_FiscalPeriod,AK$1333,GD_Item_Name,$B1336,GD_Update_Date,AK$1332)=0,"NR",SUMIFS(GD_Guidance_Mid,GD_Item_Name,$B1336,GD_Item_FiscalPeriod,AK$1333,GD_Update_Date,AK$1332)))</f>
        <v/>
      </c>
      <c r="AL1336" s="1553">
        <f>IF(ISBLANK(AL$1333),"N/A",IF(COUNTIFS(GD_Item_FiscalPeriod,AL$1333,GD_Item_Name,$B1336,GD_Update_Date,AL$1332)=0,"NR",SUMIFS(GD_Guidance_Mid,GD_Item_Name,$B1336,GD_Item_FiscalPeriod,AL$1333,GD_Update_Date,AL$1332)))</f>
        <v/>
      </c>
      <c r="AM1336" s="1553">
        <f>IF(ISBLANK(AM$1333),"N/A",IF(COUNTIFS(GD_Item_FiscalPeriod,AM$1333,GD_Item_Name,$B1336,GD_Update_Date,AM$1332)=0,"NR",SUMIFS(GD_Guidance_Mid,GD_Item_Name,$B1336,GD_Item_FiscalPeriod,AM$1333,GD_Update_Date,AM$1332)))</f>
        <v/>
      </c>
      <c r="AN1336" s="1553">
        <f>IF(ISBLANK(AN$1333),"N/A",IF(COUNTIFS(GD_Item_FiscalPeriod,AN$1333,GD_Item_Name,$B1336,GD_Update_Date,AN$1332)=0,"NR",SUMIFS(GD_Guidance_Mid,GD_Item_Name,$B1336,GD_Item_FiscalPeriod,AN$1333,GD_Update_Date,AN$1332)))</f>
        <v/>
      </c>
      <c r="AO1336" s="1553">
        <f>IF(ISBLANK(AO$1333),"N/A",IF(COUNTIFS(GD_Item_FiscalPeriod,AO$1333,GD_Item_Name,$B1336,GD_Update_Date,AO$1332)=0,"NR",SUMIFS(GD_Guidance_Mid,GD_Item_Name,$B1336,GD_Item_FiscalPeriod,AO$1333,GD_Update_Date,AO$1332)))</f>
        <v/>
      </c>
      <c r="AP1336" s="1553">
        <f>IF(ISBLANK(AP$1333),"N/A",IF(COUNTIFS(GD_Item_FiscalPeriod,AP$1333,GD_Item_Name,$B1336,GD_Update_Date,AP$1332)=0,"NR",SUMIFS(GD_Guidance_Mid,GD_Item_Name,$B1336,GD_Item_FiscalPeriod,AP$1333,GD_Update_Date,AP$1332)))</f>
        <v/>
      </c>
      <c r="AQ1336" s="1553">
        <f>IF(ISBLANK(AQ$1333),"N/A",IF(COUNTIFS(GD_Item_FiscalPeriod,AQ$1333,GD_Item_Name,$B1336,GD_Update_Date,AQ$1332)=0,"NR",SUMIFS(GD_Guidance_Mid,GD_Item_Name,$B1336,GD_Item_FiscalPeriod,AQ$1333,GD_Update_Date,AQ$1332)))</f>
        <v/>
      </c>
      <c r="AR1336" s="1553">
        <f>IF(ISBLANK(AR$1333),"N/A",IF(COUNTIFS(GD_Item_FiscalPeriod,AR$1333,GD_Item_Name,$B1336,GD_Update_Date,AR$1332)=0,"NR",SUMIFS(GD_Guidance_Mid,GD_Item_Name,$B1336,GD_Item_FiscalPeriod,AR$1333,GD_Update_Date,AR$1332)))</f>
        <v/>
      </c>
      <c r="AS1336" s="1553">
        <f>IF(ISBLANK(AS$1333),"N/A",IF(COUNTIFS(GD_Item_FiscalPeriod,AS$1333,GD_Item_Name,$B1336,GD_Update_Date,AS$1332)=0,"NR",SUMIFS(GD_Guidance_Mid,GD_Item_Name,$B1336,GD_Item_FiscalPeriod,AS$1333,GD_Update_Date,AS$1332)))</f>
        <v/>
      </c>
      <c r="AT1336" s="1553">
        <f>IF(ISBLANK(AT$1333),"N/A",IF(COUNTIFS(GD_Item_FiscalPeriod,AT$1333,GD_Item_Name,$B1336,GD_Update_Date,AT$1332)=0,"NR",SUMIFS(GD_Guidance_Mid,GD_Item_Name,$B1336,GD_Item_FiscalPeriod,AT$1333,GD_Update_Date,AT$1332)))</f>
        <v/>
      </c>
      <c r="AU1336" s="1553">
        <f>IF(ISBLANK(AU$1333),"N/A",IF(COUNTIFS(GD_Item_FiscalPeriod,AU$1333,GD_Item_Name,$B1336,GD_Update_Date,AU$1332)=0,"NR",SUMIFS(GD_Guidance_Mid,GD_Item_Name,$B1336,GD_Item_FiscalPeriod,AU$1333,GD_Update_Date,AU$1332)))</f>
        <v/>
      </c>
      <c r="AV1336" s="1553">
        <f>IF(ISBLANK(AV$1333),"N/A",IF(COUNTIFS(GD_Item_FiscalPeriod,AV$1333,GD_Item_Name,$B1336,GD_Update_Date,AV$1332)=0,"NR",SUMIFS(GD_Guidance_Mid,GD_Item_Name,$B1336,GD_Item_FiscalPeriod,AV$1333,GD_Update_Date,AV$1332)))</f>
        <v/>
      </c>
      <c r="AW1336" s="1553">
        <f>IF(ISBLANK(AW$1333),"N/A",IF(COUNTIFS(GD_Item_FiscalPeriod,AW$1333,GD_Item_Name,$B1336,GD_Update_Date,AW$1332)=0,"NR",SUMIFS(GD_Guidance_Mid,GD_Item_Name,$B1336,GD_Item_FiscalPeriod,AW$1333,GD_Update_Date,AW$1332)))</f>
        <v/>
      </c>
      <c r="AX1336" s="1553">
        <f>IF(ISBLANK(AX$1333),"N/A",IF(COUNTIFS(GD_Item_FiscalPeriod,AX$1333,GD_Item_Name,$B1336,GD_Update_Date,AX$1332)=0,"NR",SUMIFS(GD_Guidance_Mid,GD_Item_Name,$B1336,GD_Item_FiscalPeriod,AX$1333,GD_Update_Date,AX$1332)))</f>
        <v/>
      </c>
      <c r="AY1336" s="1553">
        <f>IF(ISBLANK(AY$1333),"N/A",IF(COUNTIFS(GD_Item_FiscalPeriod,AY$1333,GD_Item_Name,$B1336,GD_Update_Date,AY$1332)=0,"NR",SUMIFS(GD_Guidance_Mid,GD_Item_Name,$B1336,GD_Item_FiscalPeriod,AY$1333,GD_Update_Date,AY$1332)))</f>
        <v/>
      </c>
      <c r="AZ1336" s="1553">
        <f>IF(ISBLANK(AZ$1333),"N/A",IF(COUNTIFS(GD_Item_FiscalPeriod,AZ$1333,GD_Item_Name,$B1336,GD_Update_Date,AZ$1332)=0,"NR",SUMIFS(GD_Guidance_Mid,GD_Item_Name,$B1336,GD_Item_FiscalPeriod,AZ$1333,GD_Update_Date,AZ$1332)))</f>
        <v/>
      </c>
      <c r="BA1336" s="1553">
        <f>IF(ISBLANK(BA$1333),"N/A",IF(COUNTIFS(GD_Item_FiscalPeriod,BA$1333,GD_Item_Name,$B1336,GD_Update_Date,BA$1332)=0,"NR",SUMIFS(GD_Guidance_Mid,GD_Item_Name,$B1336,GD_Item_FiscalPeriod,BA$1333,GD_Update_Date,BA$1332)))</f>
        <v/>
      </c>
      <c r="BB1336" s="1553">
        <f>IF(ISBLANK(BB$1333),"N/A",IF(COUNTIFS(GD_Item_FiscalPeriod,BB$1333,GD_Item_Name,$B1336,GD_Update_Date,BB$1332)=0,"NR",SUMIFS(GD_Guidance_Mid,GD_Item_Name,$B1336,GD_Item_FiscalPeriod,BB$1333,GD_Update_Date,BB$1332)))</f>
        <v/>
      </c>
      <c r="BC1336" s="1553">
        <f>IF(ISBLANK(BC$1333),"N/A",IF(COUNTIFS(GD_Item_FiscalPeriod,BC$1333,GD_Item_Name,$B1336,GD_Update_Date,BC$1332)=0,"NR",SUMIFS(GD_Guidance_Mid,GD_Item_Name,$B1336,GD_Item_FiscalPeriod,BC$1333,GD_Update_Date,BC$1332)))</f>
        <v/>
      </c>
      <c r="BD1336" s="1553">
        <f>IF(ISBLANK(BD$1333),"N/A",IF(COUNTIFS(GD_Item_FiscalPeriod,BD$1333,GD_Item_Name,$B1336,GD_Update_Date,BD$1332)=0,"NR",SUMIFS(GD_Guidance_Mid,GD_Item_Name,$B1336,GD_Item_FiscalPeriod,BD$1333,GD_Update_Date,BD$1332)))</f>
        <v/>
      </c>
      <c r="BE1336" s="1553">
        <f>IF(ISBLANK(BE$1333),"N/A",IF(COUNTIFS(GD_Item_FiscalPeriod,BE$1333,GD_Item_Name,$B1336,GD_Update_Date,BE$1332)=0,"NR",SUMIFS(GD_Guidance_Mid,GD_Item_Name,$B1336,GD_Item_FiscalPeriod,BE$1333,GD_Update_Date,BE$1332)))</f>
        <v/>
      </c>
      <c r="BF1336" s="1553">
        <f>IF(ISBLANK(BF$1333),"N/A",IF(COUNTIFS(GD_Item_FiscalPeriod,BF$1333,GD_Item_Name,$B1336,GD_Update_Date,BF$1332)=0,"NR",SUMIFS(GD_Guidance_Mid,GD_Item_Name,$B1336,GD_Item_FiscalPeriod,BF$1333,GD_Update_Date,BF$1332)))</f>
        <v/>
      </c>
      <c r="BG1336" s="1553">
        <f>IF(ISBLANK(BG$1333),"N/A",IF(COUNTIFS(GD_Item_FiscalPeriod,BG$1333,GD_Item_Name,$B1336,GD_Update_Date,BG$1332)=0,"NR",SUMIFS(GD_Guidance_Mid,GD_Item_Name,$B1336,GD_Item_FiscalPeriod,BG$1333,GD_Update_Date,BG$1332)))</f>
        <v/>
      </c>
      <c r="BH1336" s="1553">
        <f>IF(ISBLANK(BH$1333),"N/A",IF(COUNTIFS(GD_Item_FiscalPeriod,BH$1333,GD_Item_Name,$B1336,GD_Update_Date,BH$1332)=0,"NR",SUMIFS(GD_Guidance_Mid,GD_Item_Name,$B1336,GD_Item_FiscalPeriod,BH$1333,GD_Update_Date,BH$1332)))</f>
        <v/>
      </c>
      <c r="BI1336" s="1553">
        <f>IF(ISBLANK(BI$1333),"N/A",IF(COUNTIFS(GD_Item_FiscalPeriod,BI$1333,GD_Item_Name,$B1336,GD_Update_Date,BI$1332)=0,"NR",SUMIFS(GD_Guidance_Mid,GD_Item_Name,$B1336,GD_Item_FiscalPeriod,BI$1333,GD_Update_Date,BI$1332)))</f>
        <v/>
      </c>
      <c r="BJ1336" s="1553">
        <f>IF(ISBLANK(BJ$1333),"N/A",IF(COUNTIFS(GD_Item_FiscalPeriod,BJ$1333,GD_Item_Name,$B1336,GD_Update_Date,BJ$1332)=0,"NR",SUMIFS(GD_Guidance_Mid,GD_Item_Name,$B1336,GD_Item_FiscalPeriod,BJ$1333,GD_Update_Date,BJ$1332)))</f>
        <v/>
      </c>
      <c r="BK1336" s="1553">
        <f>IF(ISBLANK(BK$1333),"N/A",IF(COUNTIFS(GD_Item_FiscalPeriod,BK$1333,GD_Item_Name,$B1336,GD_Update_Date,BK$1332)=0,"NR",SUMIFS(GD_Guidance_Mid,GD_Item_Name,$B1336,GD_Item_FiscalPeriod,BK$1333,GD_Update_Date,BK$1332)))</f>
        <v/>
      </c>
      <c r="BL1336" s="1553">
        <f>IF(ISBLANK(BL$1333),"N/A",IF(COUNTIFS(GD_Item_FiscalPeriod,BL$1333,GD_Item_Name,$B1336,GD_Update_Date,BL$1332)=0,"NR",SUMIFS(GD_Guidance_Mid,GD_Item_Name,$B1336,GD_Item_FiscalPeriod,BL$1333,GD_Update_Date,BL$1332)))</f>
        <v/>
      </c>
      <c r="BM1336" s="1553">
        <f>IF(ISBLANK(BM$1333),"N/A",IF(COUNTIFS(GD_Item_FiscalPeriod,BM$1333,GD_Item_Name,$B1336,GD_Update_Date,BM$1332)=0,"NR",SUMIFS(GD_Guidance_Mid,GD_Item_Name,$B1336,GD_Item_FiscalPeriod,BM$1333,GD_Update_Date,BM$1332)))</f>
        <v/>
      </c>
      <c r="BN1336" s="1553">
        <f>IF(ISBLANK(BN$1333),"N/A",IF(COUNTIFS(GD_Item_FiscalPeriod,BN$1333,GD_Item_Name,$B1336,GD_Update_Date,BN$1332)=0,"NR",SUMIFS(GD_Guidance_Mid,GD_Item_Name,$B1336,GD_Item_FiscalPeriod,BN$1333,GD_Update_Date,BN$1332)))</f>
        <v/>
      </c>
      <c r="BO1336" s="1553">
        <f>IF(ISBLANK(BO$1333),"N/A",IF(COUNTIFS(GD_Item_FiscalPeriod,BO$1333,GD_Item_Name,$B1336,GD_Update_Date,BO$1332)=0,"NR",SUMIFS(GD_Guidance_Mid,GD_Item_Name,$B1336,GD_Item_FiscalPeriod,BO$1333,GD_Update_Date,BO$1332)))</f>
        <v/>
      </c>
      <c r="BP1336" s="1553">
        <f>IF(ISBLANK(BP$1333),"N/A",IF(COUNTIFS(GD_Item_FiscalPeriod,BP$1333,GD_Item_Name,$B1336,GD_Update_Date,BP$1332)=0,"NR",SUMIFS(GD_Guidance_Mid,GD_Item_Name,$B1336,GD_Item_FiscalPeriod,BP$1333,GD_Update_Date,BP$1332)))</f>
        <v/>
      </c>
      <c r="BQ1336" s="1556">
        <f>IF(ISBLANK(BQ$1333),"N/A",IF(COUNTIFS(GD_Item_FiscalPeriod,BQ$1333,GD_Item_Name,$B1336,GD_Update_Date,BQ$1332)=0,"NR",SUMIFS(GD_Guidance_Mid,GD_Item_Name,$B1336,GD_Item_FiscalPeriod,BQ$1333,GD_Update_Date,BQ$1332)))</f>
        <v/>
      </c>
      <c r="BR1336" s="1553">
        <f>IF(ISBLANK(BR$1333),"N/A",IF(COUNTIFS(GD_Item_FiscalPeriod,BR$1333,GD_Item_Name,$B1336,GD_Update_Date,BR$1332)=0,"NR",SUMIFS(GD_Guidance_Mid,GD_Item_Name,$B1336,GD_Item_FiscalPeriod,BR$1333,GD_Update_Date,BR$1332)))</f>
        <v/>
      </c>
      <c r="BS1336" s="1553">
        <f>IF(ISBLANK(BS$1333),"N/A",IF(COUNTIFS(GD_Item_FiscalPeriod,BS$1333,GD_Item_Name,$B1336,GD_Update_Date,BS$1332)=0,"NR",SUMIFS(GD_Guidance_Mid,GD_Item_Name,$B1336,GD_Item_FiscalPeriod,BS$1333,GD_Update_Date,BS$1332)))</f>
        <v/>
      </c>
      <c r="BT1336" s="1553">
        <f>IF(ISBLANK(BT$1333),"N/A",IF(COUNTIFS(GD_Item_FiscalPeriod,BT$1333,GD_Item_Name,$B1336,GD_Update_Date,BT$1332)=0,"NR",SUMIFS(GD_Guidance_Mid,GD_Item_Name,$B1336,GD_Item_FiscalPeriod,BT$1333,GD_Update_Date,BT$1332)))</f>
        <v/>
      </c>
      <c r="BU1336" s="1553">
        <f>IF(ISBLANK(BU$1333),"N/A",IF(COUNTIFS(GD_Item_FiscalPeriod,BU$1333,GD_Item_Name,$B1336,GD_Update_Date,BU$1332)=0,"NR",SUMIFS(GD_Guidance_Mid,GD_Item_Name,$B1336,GD_Item_FiscalPeriod,BU$1333,GD_Update_Date,BU$1332)))</f>
        <v/>
      </c>
      <c r="BV1336" s="1553">
        <f>IF(ISBLANK(BV$1333),"N/A",IF(COUNTIFS(GD_Item_FiscalPeriod,BV$1333,GD_Item_Name,$B1336,GD_Update_Date,BV$1332)=0,"NR",SUMIFS(GD_Guidance_Mid,GD_Item_Name,$B1336,GD_Item_FiscalPeriod,BV$1333,GD_Update_Date,BV$1332)))</f>
        <v/>
      </c>
      <c r="BW1336" s="1553">
        <f>IF(ISBLANK(BW$1333),"N/A",IF(COUNTIFS(GD_Item_FiscalPeriod,BW$1333,GD_Item_Name,$B1336,GD_Update_Date,BW$1332)=0,"NR",SUMIFS(GD_Guidance_Mid,GD_Item_Name,$B1336,GD_Item_FiscalPeriod,BW$1333,GD_Update_Date,BW$1332)))</f>
        <v/>
      </c>
      <c r="BX1336" s="1553">
        <f>IF(ISBLANK(BX$1333),"N/A",IF(COUNTIFS(GD_Item_FiscalPeriod,BX$1333,GD_Item_Name,$B1336,GD_Update_Date,BX$1332)=0,"NR",SUMIFS(GD_Guidance_Mid,GD_Item_Name,$B1336,GD_Item_FiscalPeriod,BX$1333,GD_Update_Date,BX$1332)))</f>
        <v/>
      </c>
      <c r="BY1336" s="1553">
        <f>IF(ISBLANK(BY$1333),"N/A",IF(COUNTIFS(GD_Item_FiscalPeriod,BY$1333,GD_Item_Name,$B1336,GD_Update_Date,BY$1332)=0,"NR",SUMIFS(GD_Guidance_Mid,GD_Item_Name,$B1336,GD_Item_FiscalPeriod,BY$1333,GD_Update_Date,BY$1332)))</f>
        <v/>
      </c>
      <c r="BZ1336" s="1553">
        <f>IF(ISBLANK(BZ$1333),"N/A",IF(COUNTIFS(GD_Item_FiscalPeriod,BZ$1333,GD_Item_Name,$B1336,GD_Update_Date,BZ$1332)=0,"NR",SUMIFS(GD_Guidance_Mid,GD_Item_Name,$B1336,GD_Item_FiscalPeriod,BZ$1333,GD_Update_Date,BZ$1332)))</f>
        <v/>
      </c>
      <c r="CA1336" s="2001">
        <f>IF(ISBLANK(CA$1333),"N/A",IF(COUNTIFS(GD_Item_FiscalPeriod,CA$1333,GD_Item_Name,$B1336,GD_Update_Date,CA$1332)=0,"NR",SUMIFS(GD_Guidance_Mid,GD_Item_Name,$B1336,GD_Item_FiscalPeriod,CA$1333,GD_Update_Date,CA$1332)))</f>
        <v/>
      </c>
      <c r="CB1336" s="1472" t="n"/>
    </row>
    <row r="1337" ht="14.4" customFormat="1" customHeight="1" s="1549">
      <c r="A1337" s="2002" t="inlineStr">
        <is>
          <t>Low - Non-GAAP Operating Income Margin, %</t>
        </is>
      </c>
      <c r="B1337" s="1520" t="inlineStr">
        <is>
          <t>MO_MA_OperatingIncome_NONGAAP</t>
        </is>
      </c>
      <c r="C1337" s="2003" t="n"/>
      <c r="D1337" s="2003" t="n"/>
      <c r="E1337" s="1902" t="n"/>
      <c r="F1337" s="1902" t="n"/>
      <c r="G1337" s="1902" t="n"/>
      <c r="H1337" s="1902" t="n"/>
      <c r="I1337" s="1902" t="n"/>
      <c r="J1337" s="1902" t="n"/>
      <c r="K1337" s="1902" t="n"/>
      <c r="L1337" s="1902" t="n"/>
      <c r="M1337" s="1902" t="n"/>
      <c r="N1337" s="1902" t="n"/>
      <c r="O1337" s="1902" t="n"/>
      <c r="P1337" s="1902" t="n"/>
      <c r="Q1337" s="1902" t="n"/>
      <c r="R1337" s="1902" t="n"/>
      <c r="S1337" s="1902" t="n"/>
      <c r="T1337" s="1902" t="n"/>
      <c r="U1337" s="1902" t="n"/>
      <c r="V1337" s="1902" t="n"/>
      <c r="W1337" s="1902" t="n"/>
      <c r="X1337" s="1902" t="n"/>
      <c r="Y1337" s="1902" t="n"/>
      <c r="Z1337" s="1902" t="n"/>
      <c r="AA1337" s="1902" t="n"/>
      <c r="AB1337" s="1902" t="n"/>
      <c r="AC1337" s="1902">
        <f>IF(ISBLANK(AC$1333),"N/A",IF(COUNTIFS(GD_Item_FiscalPeriod,AC$1333,GD_Item_Name,$B1337,GD_Update_Date,AC$1332)=0,"NR",SUMIFS(GD_Guidance_Low,GD_Item_Name,$B1337,GD_Item_FiscalPeriod,AC$1333,GD_Update_Date,AC$1332)))</f>
        <v/>
      </c>
      <c r="AD1337" s="1902">
        <f>IF(ISBLANK(AD$1333),"N/A",IF(COUNTIFS(GD_Item_FiscalPeriod,AD$1333,GD_Item_Name,$B1337,GD_Update_Date,AD$1332)=0,"NR",SUMIFS(GD_Guidance_Low,GD_Item_Name,$B1337,GD_Item_FiscalPeriod,AD$1333,GD_Update_Date,AD$1332)))</f>
        <v/>
      </c>
      <c r="AE1337" s="1902">
        <f>IF(ISBLANK(AE$1333),"N/A",IF(COUNTIFS(GD_Item_FiscalPeriod,AE$1333,GD_Item_Name,$B1337,GD_Update_Date,AE$1332)=0,"NR",SUMIFS(GD_Guidance_Low,GD_Item_Name,$B1337,GD_Item_FiscalPeriod,AE$1333,GD_Update_Date,AE$1332)))</f>
        <v/>
      </c>
      <c r="AF1337" s="1902">
        <f>IF(ISBLANK(AF$1333),"N/A",IF(COUNTIFS(GD_Item_FiscalPeriod,AF$1333,GD_Item_Name,$B1337,GD_Update_Date,AF$1332)=0,"NR",SUMIFS(GD_Guidance_Low,GD_Item_Name,$B1337,GD_Item_FiscalPeriod,AF$1333,GD_Update_Date,AF$1332)))</f>
        <v/>
      </c>
      <c r="AG1337" s="1902">
        <f>IF(ISBLANK(AG$1333),"N/A",IF(COUNTIFS(GD_Item_FiscalPeriod,AG$1333,GD_Item_Name,$B1337,GD_Update_Date,AG$1332)=0,"NR",SUMIFS(GD_Guidance_Low,GD_Item_Name,$B1337,GD_Item_FiscalPeriod,AG$1333,GD_Update_Date,AG$1332)))</f>
        <v/>
      </c>
      <c r="AH1337" s="1902">
        <f>IF(ISBLANK(AH$1333),"N/A",IF(COUNTIFS(GD_Item_FiscalPeriod,AH$1333,GD_Item_Name,$B1337,GD_Update_Date,AH$1332)=0,"NR",SUMIFS(GD_Guidance_Low,GD_Item_Name,$B1337,GD_Item_FiscalPeriod,AH$1333,GD_Update_Date,AH$1332)))</f>
        <v/>
      </c>
      <c r="AI1337" s="1902">
        <f>IF(ISBLANK(AI$1333),"N/A",IF(COUNTIFS(GD_Item_FiscalPeriod,AI$1333,GD_Item_Name,$B1337,GD_Update_Date,AI$1332)=0,"NR",SUMIFS(GD_Guidance_Low,GD_Item_Name,$B1337,GD_Item_FiscalPeriod,AI$1333,GD_Update_Date,AI$1332)))</f>
        <v/>
      </c>
      <c r="AJ1337" s="1902">
        <f>IF(ISBLANK(AJ$1333),"N/A",IF(COUNTIFS(GD_Item_FiscalPeriod,AJ$1333,GD_Item_Name,$B1337,GD_Update_Date,AJ$1332)=0,"NR",SUMIFS(GD_Guidance_Low,GD_Item_Name,$B1337,GD_Item_FiscalPeriod,AJ$1333,GD_Update_Date,AJ$1332)))</f>
        <v/>
      </c>
      <c r="AK1337" s="1902">
        <f>IF(ISBLANK(AK$1333),"N/A",IF(COUNTIFS(GD_Item_FiscalPeriod,AK$1333,GD_Item_Name,$B1337,GD_Update_Date,AK$1332)=0,"NR",SUMIFS(GD_Guidance_Low,GD_Item_Name,$B1337,GD_Item_FiscalPeriod,AK$1333,GD_Update_Date,AK$1332)))</f>
        <v/>
      </c>
      <c r="AL1337" s="1902">
        <f>IF(ISBLANK(AL$1333),"N/A",IF(COUNTIFS(GD_Item_FiscalPeriod,AL$1333,GD_Item_Name,$B1337,GD_Update_Date,AL$1332)=0,"NR",SUMIFS(GD_Guidance_Low,GD_Item_Name,$B1337,GD_Item_FiscalPeriod,AL$1333,GD_Update_Date,AL$1332)))</f>
        <v/>
      </c>
      <c r="AM1337" s="1902">
        <f>IF(ISBLANK(AM$1333),"N/A",IF(COUNTIFS(GD_Item_FiscalPeriod,AM$1333,GD_Item_Name,$B1337,GD_Update_Date,AM$1332)=0,"NR",SUMIFS(GD_Guidance_Low,GD_Item_Name,$B1337,GD_Item_FiscalPeriod,AM$1333,GD_Update_Date,AM$1332)))</f>
        <v/>
      </c>
      <c r="AN1337" s="1902">
        <f>IF(ISBLANK(AN$1333),"N/A",IF(COUNTIFS(GD_Item_FiscalPeriod,AN$1333,GD_Item_Name,$B1337,GD_Update_Date,AN$1332)=0,"NR",SUMIFS(GD_Guidance_Low,GD_Item_Name,$B1337,GD_Item_FiscalPeriod,AN$1333,GD_Update_Date,AN$1332)))</f>
        <v/>
      </c>
      <c r="AO1337" s="1902">
        <f>IF(ISBLANK(AO$1333),"N/A",IF(COUNTIFS(GD_Item_FiscalPeriod,AO$1333,GD_Item_Name,$B1337,GD_Update_Date,AO$1332)=0,"NR",SUMIFS(GD_Guidance_Low,GD_Item_Name,$B1337,GD_Item_FiscalPeriod,AO$1333,GD_Update_Date,AO$1332)))</f>
        <v/>
      </c>
      <c r="AP1337" s="1902">
        <f>IF(ISBLANK(AP$1333),"N/A",IF(COUNTIFS(GD_Item_FiscalPeriod,AP$1333,GD_Item_Name,$B1337,GD_Update_Date,AP$1332)=0,"NR",SUMIFS(GD_Guidance_Low,GD_Item_Name,$B1337,GD_Item_FiscalPeriod,AP$1333,GD_Update_Date,AP$1332)))</f>
        <v/>
      </c>
      <c r="AQ1337" s="1902">
        <f>IF(ISBLANK(AQ$1333),"N/A",IF(COUNTIFS(GD_Item_FiscalPeriod,AQ$1333,GD_Item_Name,$B1337,GD_Update_Date,AQ$1332)=0,"NR",SUMIFS(GD_Guidance_Low,GD_Item_Name,$B1337,GD_Item_FiscalPeriod,AQ$1333,GD_Update_Date,AQ$1332)))</f>
        <v/>
      </c>
      <c r="AR1337" s="1902">
        <f>IF(ISBLANK(AR$1333),"N/A",IF(COUNTIFS(GD_Item_FiscalPeriod,AR$1333,GD_Item_Name,$B1337,GD_Update_Date,AR$1332)=0,"NR",SUMIFS(GD_Guidance_Low,GD_Item_Name,$B1337,GD_Item_FiscalPeriod,AR$1333,GD_Update_Date,AR$1332)))</f>
        <v/>
      </c>
      <c r="AS1337" s="1902">
        <f>IF(ISBLANK(AS$1333),"N/A",IF(COUNTIFS(GD_Item_FiscalPeriod,AS$1333,GD_Item_Name,$B1337,GD_Update_Date,AS$1332)=0,"NR",SUMIFS(GD_Guidance_Low,GD_Item_Name,$B1337,GD_Item_FiscalPeriod,AS$1333,GD_Update_Date,AS$1332)))</f>
        <v/>
      </c>
      <c r="AT1337" s="1902">
        <f>IF(ISBLANK(AT$1333),"N/A",IF(COUNTIFS(GD_Item_FiscalPeriod,AT$1333,GD_Item_Name,$B1337,GD_Update_Date,AT$1332)=0,"NR",SUMIFS(GD_Guidance_Low,GD_Item_Name,$B1337,GD_Item_FiscalPeriod,AT$1333,GD_Update_Date,AT$1332)))</f>
        <v/>
      </c>
      <c r="AU1337" s="1902">
        <f>IF(ISBLANK(AU$1333),"N/A",IF(COUNTIFS(GD_Item_FiscalPeriod,AU$1333,GD_Item_Name,$B1337,GD_Update_Date,AU$1332)=0,"NR",SUMIFS(GD_Guidance_Low,GD_Item_Name,$B1337,GD_Item_FiscalPeriod,AU$1333,GD_Update_Date,AU$1332)))</f>
        <v/>
      </c>
      <c r="AV1337" s="1902">
        <f>IF(ISBLANK(AV$1333),"N/A",IF(COUNTIFS(GD_Item_FiscalPeriod,AV$1333,GD_Item_Name,$B1337,GD_Update_Date,AV$1332)=0,"NR",SUMIFS(GD_Guidance_Low,GD_Item_Name,$B1337,GD_Item_FiscalPeriod,AV$1333,GD_Update_Date,AV$1332)))</f>
        <v/>
      </c>
      <c r="AW1337" s="1902">
        <f>IF(ISBLANK(AW$1333),"N/A",IF(COUNTIFS(GD_Item_FiscalPeriod,AW$1333,GD_Item_Name,$B1337,GD_Update_Date,AW$1332)=0,"NR",SUMIFS(GD_Guidance_Low,GD_Item_Name,$B1337,GD_Item_FiscalPeriod,AW$1333,GD_Update_Date,AW$1332)))</f>
        <v/>
      </c>
      <c r="AX1337" s="1902">
        <f>IF(ISBLANK(AX$1333),"N/A",IF(COUNTIFS(GD_Item_FiscalPeriod,AX$1333,GD_Item_Name,$B1337,GD_Update_Date,AX$1332)=0,"NR",SUMIFS(GD_Guidance_Low,GD_Item_Name,$B1337,GD_Item_FiscalPeriod,AX$1333,GD_Update_Date,AX$1332)))</f>
        <v/>
      </c>
      <c r="AY1337" s="1902">
        <f>IF(ISBLANK(AY$1333),"N/A",IF(COUNTIFS(GD_Item_FiscalPeriod,AY$1333,GD_Item_Name,$B1337,GD_Update_Date,AY$1332)=0,"NR",SUMIFS(GD_Guidance_Low,GD_Item_Name,$B1337,GD_Item_FiscalPeriod,AY$1333,GD_Update_Date,AY$1332)))</f>
        <v/>
      </c>
      <c r="AZ1337" s="1902">
        <f>IF(ISBLANK(AZ$1333),"N/A",IF(COUNTIFS(GD_Item_FiscalPeriod,AZ$1333,GD_Item_Name,$B1337,GD_Update_Date,AZ$1332)=0,"NR",SUMIFS(GD_Guidance_Low,GD_Item_Name,$B1337,GD_Item_FiscalPeriod,AZ$1333,GD_Update_Date,AZ$1332)))</f>
        <v/>
      </c>
      <c r="BA1337" s="1902">
        <f>IF(ISBLANK(BA$1333),"N/A",IF(COUNTIFS(GD_Item_FiscalPeriod,BA$1333,GD_Item_Name,$B1337,GD_Update_Date,BA$1332)=0,"NR",SUMIFS(GD_Guidance_Low,GD_Item_Name,$B1337,GD_Item_FiscalPeriod,BA$1333,GD_Update_Date,BA$1332)))</f>
        <v/>
      </c>
      <c r="BB1337" s="1902">
        <f>IF(ISBLANK(BB$1333),"N/A",IF(COUNTIFS(GD_Item_FiscalPeriod,BB$1333,GD_Item_Name,$B1337,GD_Update_Date,BB$1332)=0,"NR",SUMIFS(GD_Guidance_Low,GD_Item_Name,$B1337,GD_Item_FiscalPeriod,BB$1333,GD_Update_Date,BB$1332)))</f>
        <v/>
      </c>
      <c r="BC1337" s="1902">
        <f>IF(ISBLANK(BC$1333),"N/A",IF(COUNTIFS(GD_Item_FiscalPeriod,BC$1333,GD_Item_Name,$B1337,GD_Update_Date,BC$1332)=0,"NR",SUMIFS(GD_Guidance_Low,GD_Item_Name,$B1337,GD_Item_FiscalPeriod,BC$1333,GD_Update_Date,BC$1332)))</f>
        <v/>
      </c>
      <c r="BD1337" s="1902">
        <f>IF(ISBLANK(BD$1333),"N/A",IF(COUNTIFS(GD_Item_FiscalPeriod,BD$1333,GD_Item_Name,$B1337,GD_Update_Date,BD$1332)=0,"NR",SUMIFS(GD_Guidance_Low,GD_Item_Name,$B1337,GD_Item_FiscalPeriod,BD$1333,GD_Update_Date,BD$1332)))</f>
        <v/>
      </c>
      <c r="BE1337" s="1902">
        <f>IF(ISBLANK(BE$1333),"N/A",IF(COUNTIFS(GD_Item_FiscalPeriod,BE$1333,GD_Item_Name,$B1337,GD_Update_Date,BE$1332)=0,"NR",SUMIFS(GD_Guidance_Low,GD_Item_Name,$B1337,GD_Item_FiscalPeriod,BE$1333,GD_Update_Date,BE$1332)))</f>
        <v/>
      </c>
      <c r="BF1337" s="1902">
        <f>IF(ISBLANK(BF$1333),"N/A",IF(COUNTIFS(GD_Item_FiscalPeriod,BF$1333,GD_Item_Name,$B1337,GD_Update_Date,BF$1332)=0,"NR",SUMIFS(GD_Guidance_Low,GD_Item_Name,$B1337,GD_Item_FiscalPeriod,BF$1333,GD_Update_Date,BF$1332)))</f>
        <v/>
      </c>
      <c r="BG1337" s="1902">
        <f>IF(ISBLANK(BG$1333),"N/A",IF(COUNTIFS(GD_Item_FiscalPeriod,BG$1333,GD_Item_Name,$B1337,GD_Update_Date,BG$1332)=0,"NR",SUMIFS(GD_Guidance_Low,GD_Item_Name,$B1337,GD_Item_FiscalPeriod,BG$1333,GD_Update_Date,BG$1332)))</f>
        <v/>
      </c>
      <c r="BH1337" s="1902">
        <f>IF(ISBLANK(BH$1333),"N/A",IF(COUNTIFS(GD_Item_FiscalPeriod,BH$1333,GD_Item_Name,$B1337,GD_Update_Date,BH$1332)=0,"NR",SUMIFS(GD_Guidance_Low,GD_Item_Name,$B1337,GD_Item_FiscalPeriod,BH$1333,GD_Update_Date,BH$1332)))</f>
        <v/>
      </c>
      <c r="BI1337" s="1902">
        <f>IF(ISBLANK(BI$1333),"N/A",IF(COUNTIFS(GD_Item_FiscalPeriod,BI$1333,GD_Item_Name,$B1337,GD_Update_Date,BI$1332)=0,"NR",SUMIFS(GD_Guidance_Low,GD_Item_Name,$B1337,GD_Item_FiscalPeriod,BI$1333,GD_Update_Date,BI$1332)))</f>
        <v/>
      </c>
      <c r="BJ1337" s="1902">
        <f>IF(ISBLANK(BJ$1333),"N/A",IF(COUNTIFS(GD_Item_FiscalPeriod,BJ$1333,GD_Item_Name,$B1337,GD_Update_Date,BJ$1332)=0,"NR",SUMIFS(GD_Guidance_Low,GD_Item_Name,$B1337,GD_Item_FiscalPeriod,BJ$1333,GD_Update_Date,BJ$1332)))</f>
        <v/>
      </c>
      <c r="BK1337" s="1902">
        <f>IF(ISBLANK(BK$1333),"N/A",IF(COUNTIFS(GD_Item_FiscalPeriod,BK$1333,GD_Item_Name,$B1337,GD_Update_Date,BK$1332)=0,"NR",SUMIFS(GD_Guidance_Low,GD_Item_Name,$B1337,GD_Item_FiscalPeriod,BK$1333,GD_Update_Date,BK$1332)))</f>
        <v/>
      </c>
      <c r="BL1337" s="1902">
        <f>IF(ISBLANK(BL$1333),"N/A",IF(COUNTIFS(GD_Item_FiscalPeriod,BL$1333,GD_Item_Name,$B1337,GD_Update_Date,BL$1332)=0,"NR",SUMIFS(GD_Guidance_Low,GD_Item_Name,$B1337,GD_Item_FiscalPeriod,BL$1333,GD_Update_Date,BL$1332)))</f>
        <v/>
      </c>
      <c r="BM1337" s="1902">
        <f>IF(ISBLANK(BM$1333),"N/A",IF(COUNTIFS(GD_Item_FiscalPeriod,BM$1333,GD_Item_Name,$B1337,GD_Update_Date,BM$1332)=0,"NR",SUMIFS(GD_Guidance_Low,GD_Item_Name,$B1337,GD_Item_FiscalPeriod,BM$1333,GD_Update_Date,BM$1332)))</f>
        <v/>
      </c>
      <c r="BN1337" s="1902">
        <f>IF(ISBLANK(BN$1333),"N/A",IF(COUNTIFS(GD_Item_FiscalPeriod,BN$1333,GD_Item_Name,$B1337,GD_Update_Date,BN$1332)=0,"NR",SUMIFS(GD_Guidance_Low,GD_Item_Name,$B1337,GD_Item_FiscalPeriod,BN$1333,GD_Update_Date,BN$1332)))</f>
        <v/>
      </c>
      <c r="BO1337" s="1902">
        <f>IF(ISBLANK(BO$1333),"N/A",IF(COUNTIFS(GD_Item_FiscalPeriod,BO$1333,GD_Item_Name,$B1337,GD_Update_Date,BO$1332)=0,"NR",SUMIFS(GD_Guidance_Low,GD_Item_Name,$B1337,GD_Item_FiscalPeriod,BO$1333,GD_Update_Date,BO$1332)))</f>
        <v/>
      </c>
      <c r="BP1337" s="1902">
        <f>IF(ISBLANK(BP$1333),"N/A",IF(COUNTIFS(GD_Item_FiscalPeriod,BP$1333,GD_Item_Name,$B1337,GD_Update_Date,BP$1332)=0,"NR",SUMIFS(GD_Guidance_Low,GD_Item_Name,$B1337,GD_Item_FiscalPeriod,BP$1333,GD_Update_Date,BP$1332)))</f>
        <v/>
      </c>
      <c r="BQ1337" s="1904">
        <f>IF(ISBLANK(BQ$1333),"N/A",IF(COUNTIFS(GD_Item_FiscalPeriod,BQ$1333,GD_Item_Name,$B1337,GD_Update_Date,BQ$1332)=0,"NR",SUMIFS(GD_Guidance_Low,GD_Item_Name,$B1337,GD_Item_FiscalPeriod,BQ$1333,GD_Update_Date,BQ$1332)))</f>
        <v/>
      </c>
      <c r="BR1337" s="1902">
        <f>IF(ISBLANK(BR$1333),"N/A",IF(COUNTIFS(GD_Item_FiscalPeriod,BR$1333,GD_Item_Name,$B1337,GD_Update_Date,BR$1332)=0,"NR",SUMIFS(GD_Guidance_Low,GD_Item_Name,$B1337,GD_Item_FiscalPeriod,BR$1333,GD_Update_Date,BR$1332)))</f>
        <v/>
      </c>
      <c r="BS1337" s="1902">
        <f>IF(ISBLANK(BS$1333),"N/A",IF(COUNTIFS(GD_Item_FiscalPeriod,BS$1333,GD_Item_Name,$B1337,GD_Update_Date,BS$1332)=0,"NR",SUMIFS(GD_Guidance_Low,GD_Item_Name,$B1337,GD_Item_FiscalPeriod,BS$1333,GD_Update_Date,BS$1332)))</f>
        <v/>
      </c>
      <c r="BT1337" s="1902">
        <f>IF(ISBLANK(BT$1333),"N/A",IF(COUNTIFS(GD_Item_FiscalPeriod,BT$1333,GD_Item_Name,$B1337,GD_Update_Date,BT$1332)=0,"NR",SUMIFS(GD_Guidance_Low,GD_Item_Name,$B1337,GD_Item_FiscalPeriod,BT$1333,GD_Update_Date,BT$1332)))</f>
        <v/>
      </c>
      <c r="BU1337" s="1902">
        <f>IF(ISBLANK(BU$1333),"N/A",IF(COUNTIFS(GD_Item_FiscalPeriod,BU$1333,GD_Item_Name,$B1337,GD_Update_Date,BU$1332)=0,"NR",SUMIFS(GD_Guidance_Low,GD_Item_Name,$B1337,GD_Item_FiscalPeriod,BU$1333,GD_Update_Date,BU$1332)))</f>
        <v/>
      </c>
      <c r="BV1337" s="1902">
        <f>IF(ISBLANK(BV$1333),"N/A",IF(COUNTIFS(GD_Item_FiscalPeriod,BV$1333,GD_Item_Name,$B1337,GD_Update_Date,BV$1332)=0,"NR",SUMIFS(GD_Guidance_Low,GD_Item_Name,$B1337,GD_Item_FiscalPeriod,BV$1333,GD_Update_Date,BV$1332)))</f>
        <v/>
      </c>
      <c r="BW1337" s="1902">
        <f>IF(ISBLANK(BW$1333),"N/A",IF(COUNTIFS(GD_Item_FiscalPeriod,BW$1333,GD_Item_Name,$B1337,GD_Update_Date,BW$1332)=0,"NR",SUMIFS(GD_Guidance_Low,GD_Item_Name,$B1337,GD_Item_FiscalPeriod,BW$1333,GD_Update_Date,BW$1332)))</f>
        <v/>
      </c>
      <c r="BX1337" s="1902">
        <f>IF(ISBLANK(BX$1333),"N/A",IF(COUNTIFS(GD_Item_FiscalPeriod,BX$1333,GD_Item_Name,$B1337,GD_Update_Date,BX$1332)=0,"NR",SUMIFS(GD_Guidance_Low,GD_Item_Name,$B1337,GD_Item_FiscalPeriod,BX$1333,GD_Update_Date,BX$1332)))</f>
        <v/>
      </c>
      <c r="BY1337" s="1902">
        <f>IF(ISBLANK(BY$1333),"N/A",IF(COUNTIFS(GD_Item_FiscalPeriod,BY$1333,GD_Item_Name,$B1337,GD_Update_Date,BY$1332)=0,"NR",SUMIFS(GD_Guidance_Low,GD_Item_Name,$B1337,GD_Item_FiscalPeriod,BY$1333,GD_Update_Date,BY$1332)))</f>
        <v/>
      </c>
      <c r="BZ1337" s="1902">
        <f>IF(ISBLANK(BZ$1333),"N/A",IF(COUNTIFS(GD_Item_FiscalPeriod,BZ$1333,GD_Item_Name,$B1337,GD_Update_Date,BZ$1332)=0,"NR",SUMIFS(GD_Guidance_Low,GD_Item_Name,$B1337,GD_Item_FiscalPeriod,BZ$1333,GD_Update_Date,BZ$1332)))</f>
        <v/>
      </c>
      <c r="CA1337" s="2004">
        <f>IF(ISBLANK(CA$1333),"N/A",IF(COUNTIFS(GD_Item_FiscalPeriod,CA$1333,GD_Item_Name,$B1337,GD_Update_Date,CA$1332)=0,"NR",SUMIFS(GD_Guidance_Low,GD_Item_Name,$B1337,GD_Item_FiscalPeriod,CA$1333,GD_Update_Date,CA$1332)))</f>
        <v/>
      </c>
      <c r="CB1337" s="1472" t="n"/>
    </row>
    <row r="1338" ht="14.4" customFormat="1" customHeight="1" s="1549">
      <c r="A1338" s="2002" t="inlineStr">
        <is>
          <t>High - Non-GAAP Operating Income Margin, %</t>
        </is>
      </c>
      <c r="B1338" s="1520" t="inlineStr">
        <is>
          <t>MO_MA_OperatingIncome_NONGAAP</t>
        </is>
      </c>
      <c r="C1338" s="2003" t="n"/>
      <c r="D1338" s="2003" t="n"/>
      <c r="E1338" s="1902" t="n"/>
      <c r="F1338" s="1902" t="n"/>
      <c r="G1338" s="1902" t="n"/>
      <c r="H1338" s="1902" t="n"/>
      <c r="I1338" s="1902" t="n"/>
      <c r="J1338" s="1902" t="n"/>
      <c r="K1338" s="1902" t="n"/>
      <c r="L1338" s="1902" t="n"/>
      <c r="M1338" s="1902" t="n"/>
      <c r="N1338" s="1902" t="n"/>
      <c r="O1338" s="1902" t="n"/>
      <c r="P1338" s="1902" t="n"/>
      <c r="Q1338" s="1902" t="n"/>
      <c r="R1338" s="1902" t="n"/>
      <c r="S1338" s="1902" t="n"/>
      <c r="T1338" s="1902" t="n"/>
      <c r="U1338" s="1902" t="n"/>
      <c r="V1338" s="1902" t="n"/>
      <c r="W1338" s="1902" t="n"/>
      <c r="X1338" s="1902" t="n"/>
      <c r="Y1338" s="1902" t="n"/>
      <c r="Z1338" s="1902" t="n"/>
      <c r="AA1338" s="1902" t="n"/>
      <c r="AB1338" s="1902" t="n"/>
      <c r="AC1338" s="1902">
        <f>IF(ISBLANK(AC$1333),"N/A",IF(COUNTIFS(GD_Item_FiscalPeriod,AC$1333,GD_Item_Name,$B1338,GD_Update_Date,AC$1332)=0,"NR",SUMIFS(GD_Guidance_High,GD_Item_Name,$B1338,GD_Item_FiscalPeriod,AC$1333,GD_Update_Date,AC$1332)))</f>
        <v/>
      </c>
      <c r="AD1338" s="1902">
        <f>IF(ISBLANK(AD$1333),"N/A",IF(COUNTIFS(GD_Item_FiscalPeriod,AD$1333,GD_Item_Name,$B1338,GD_Update_Date,AD$1332)=0,"NR",SUMIFS(GD_Guidance_High,GD_Item_Name,$B1338,GD_Item_FiscalPeriod,AD$1333,GD_Update_Date,AD$1332)))</f>
        <v/>
      </c>
      <c r="AE1338" s="1902">
        <f>IF(ISBLANK(AE$1333),"N/A",IF(COUNTIFS(GD_Item_FiscalPeriod,AE$1333,GD_Item_Name,$B1338,GD_Update_Date,AE$1332)=0,"NR",SUMIFS(GD_Guidance_High,GD_Item_Name,$B1338,GD_Item_FiscalPeriod,AE$1333,GD_Update_Date,AE$1332)))</f>
        <v/>
      </c>
      <c r="AF1338" s="1902">
        <f>IF(ISBLANK(AF$1333),"N/A",IF(COUNTIFS(GD_Item_FiscalPeriod,AF$1333,GD_Item_Name,$B1338,GD_Update_Date,AF$1332)=0,"NR",SUMIFS(GD_Guidance_High,GD_Item_Name,$B1338,GD_Item_FiscalPeriod,AF$1333,GD_Update_Date,AF$1332)))</f>
        <v/>
      </c>
      <c r="AG1338" s="1902">
        <f>IF(ISBLANK(AG$1333),"N/A",IF(COUNTIFS(GD_Item_FiscalPeriod,AG$1333,GD_Item_Name,$B1338,GD_Update_Date,AG$1332)=0,"NR",SUMIFS(GD_Guidance_High,GD_Item_Name,$B1338,GD_Item_FiscalPeriod,AG$1333,GD_Update_Date,AG$1332)))</f>
        <v/>
      </c>
      <c r="AH1338" s="1902">
        <f>IF(ISBLANK(AH$1333),"N/A",IF(COUNTIFS(GD_Item_FiscalPeriod,AH$1333,GD_Item_Name,$B1338,GD_Update_Date,AH$1332)=0,"NR",SUMIFS(GD_Guidance_High,GD_Item_Name,$B1338,GD_Item_FiscalPeriod,AH$1333,GD_Update_Date,AH$1332)))</f>
        <v/>
      </c>
      <c r="AI1338" s="1902">
        <f>IF(ISBLANK(AI$1333),"N/A",IF(COUNTIFS(GD_Item_FiscalPeriod,AI$1333,GD_Item_Name,$B1338,GD_Update_Date,AI$1332)=0,"NR",SUMIFS(GD_Guidance_High,GD_Item_Name,$B1338,GD_Item_FiscalPeriod,AI$1333,GD_Update_Date,AI$1332)))</f>
        <v/>
      </c>
      <c r="AJ1338" s="1902">
        <f>IF(ISBLANK(AJ$1333),"N/A",IF(COUNTIFS(GD_Item_FiscalPeriod,AJ$1333,GD_Item_Name,$B1338,GD_Update_Date,AJ$1332)=0,"NR",SUMIFS(GD_Guidance_High,GD_Item_Name,$B1338,GD_Item_FiscalPeriod,AJ$1333,GD_Update_Date,AJ$1332)))</f>
        <v/>
      </c>
      <c r="AK1338" s="1902">
        <f>IF(ISBLANK(AK$1333),"N/A",IF(COUNTIFS(GD_Item_FiscalPeriod,AK$1333,GD_Item_Name,$B1338,GD_Update_Date,AK$1332)=0,"NR",SUMIFS(GD_Guidance_High,GD_Item_Name,$B1338,GD_Item_FiscalPeriod,AK$1333,GD_Update_Date,AK$1332)))</f>
        <v/>
      </c>
      <c r="AL1338" s="1902">
        <f>IF(ISBLANK(AL$1333),"N/A",IF(COUNTIFS(GD_Item_FiscalPeriod,AL$1333,GD_Item_Name,$B1338,GD_Update_Date,AL$1332)=0,"NR",SUMIFS(GD_Guidance_High,GD_Item_Name,$B1338,GD_Item_FiscalPeriod,AL$1333,GD_Update_Date,AL$1332)))</f>
        <v/>
      </c>
      <c r="AM1338" s="1902">
        <f>IF(ISBLANK(AM$1333),"N/A",IF(COUNTIFS(GD_Item_FiscalPeriod,AM$1333,GD_Item_Name,$B1338,GD_Update_Date,AM$1332)=0,"NR",SUMIFS(GD_Guidance_High,GD_Item_Name,$B1338,GD_Item_FiscalPeriod,AM$1333,GD_Update_Date,AM$1332)))</f>
        <v/>
      </c>
      <c r="AN1338" s="1902">
        <f>IF(ISBLANK(AN$1333),"N/A",IF(COUNTIFS(GD_Item_FiscalPeriod,AN$1333,GD_Item_Name,$B1338,GD_Update_Date,AN$1332)=0,"NR",SUMIFS(GD_Guidance_High,GD_Item_Name,$B1338,GD_Item_FiscalPeriod,AN$1333,GD_Update_Date,AN$1332)))</f>
        <v/>
      </c>
      <c r="AO1338" s="1902">
        <f>IF(ISBLANK(AO$1333),"N/A",IF(COUNTIFS(GD_Item_FiscalPeriod,AO$1333,GD_Item_Name,$B1338,GD_Update_Date,AO$1332)=0,"NR",SUMIFS(GD_Guidance_High,GD_Item_Name,$B1338,GD_Item_FiscalPeriod,AO$1333,GD_Update_Date,AO$1332)))</f>
        <v/>
      </c>
      <c r="AP1338" s="1902">
        <f>IF(ISBLANK(AP$1333),"N/A",IF(COUNTIFS(GD_Item_FiscalPeriod,AP$1333,GD_Item_Name,$B1338,GD_Update_Date,AP$1332)=0,"NR",SUMIFS(GD_Guidance_High,GD_Item_Name,$B1338,GD_Item_FiscalPeriod,AP$1333,GD_Update_Date,AP$1332)))</f>
        <v/>
      </c>
      <c r="AQ1338" s="1902">
        <f>IF(ISBLANK(AQ$1333),"N/A",IF(COUNTIFS(GD_Item_FiscalPeriod,AQ$1333,GD_Item_Name,$B1338,GD_Update_Date,AQ$1332)=0,"NR",SUMIFS(GD_Guidance_High,GD_Item_Name,$B1338,GD_Item_FiscalPeriod,AQ$1333,GD_Update_Date,AQ$1332)))</f>
        <v/>
      </c>
      <c r="AR1338" s="1902">
        <f>IF(ISBLANK(AR$1333),"N/A",IF(COUNTIFS(GD_Item_FiscalPeriod,AR$1333,GD_Item_Name,$B1338,GD_Update_Date,AR$1332)=0,"NR",SUMIFS(GD_Guidance_High,GD_Item_Name,$B1338,GD_Item_FiscalPeriod,AR$1333,GD_Update_Date,AR$1332)))</f>
        <v/>
      </c>
      <c r="AS1338" s="1902">
        <f>IF(ISBLANK(AS$1333),"N/A",IF(COUNTIFS(GD_Item_FiscalPeriod,AS$1333,GD_Item_Name,$B1338,GD_Update_Date,AS$1332)=0,"NR",SUMIFS(GD_Guidance_High,GD_Item_Name,$B1338,GD_Item_FiscalPeriod,AS$1333,GD_Update_Date,AS$1332)))</f>
        <v/>
      </c>
      <c r="AT1338" s="1902">
        <f>IF(ISBLANK(AT$1333),"N/A",IF(COUNTIFS(GD_Item_FiscalPeriod,AT$1333,GD_Item_Name,$B1338,GD_Update_Date,AT$1332)=0,"NR",SUMIFS(GD_Guidance_High,GD_Item_Name,$B1338,GD_Item_FiscalPeriod,AT$1333,GD_Update_Date,AT$1332)))</f>
        <v/>
      </c>
      <c r="AU1338" s="1902">
        <f>IF(ISBLANK(AU$1333),"N/A",IF(COUNTIFS(GD_Item_FiscalPeriod,AU$1333,GD_Item_Name,$B1338,GD_Update_Date,AU$1332)=0,"NR",SUMIFS(GD_Guidance_High,GD_Item_Name,$B1338,GD_Item_FiscalPeriod,AU$1333,GD_Update_Date,AU$1332)))</f>
        <v/>
      </c>
      <c r="AV1338" s="1902">
        <f>IF(ISBLANK(AV$1333),"N/A",IF(COUNTIFS(GD_Item_FiscalPeriod,AV$1333,GD_Item_Name,$B1338,GD_Update_Date,AV$1332)=0,"NR",SUMIFS(GD_Guidance_High,GD_Item_Name,$B1338,GD_Item_FiscalPeriod,AV$1333,GD_Update_Date,AV$1332)))</f>
        <v/>
      </c>
      <c r="AW1338" s="1902">
        <f>IF(ISBLANK(AW$1333),"N/A",IF(COUNTIFS(GD_Item_FiscalPeriod,AW$1333,GD_Item_Name,$B1338,GD_Update_Date,AW$1332)=0,"NR",SUMIFS(GD_Guidance_High,GD_Item_Name,$B1338,GD_Item_FiscalPeriod,AW$1333,GD_Update_Date,AW$1332)))</f>
        <v/>
      </c>
      <c r="AX1338" s="1902">
        <f>IF(ISBLANK(AX$1333),"N/A",IF(COUNTIFS(GD_Item_FiscalPeriod,AX$1333,GD_Item_Name,$B1338,GD_Update_Date,AX$1332)=0,"NR",SUMIFS(GD_Guidance_High,GD_Item_Name,$B1338,GD_Item_FiscalPeriod,AX$1333,GD_Update_Date,AX$1332)))</f>
        <v/>
      </c>
      <c r="AY1338" s="1902">
        <f>IF(ISBLANK(AY$1333),"N/A",IF(COUNTIFS(GD_Item_FiscalPeriod,AY$1333,GD_Item_Name,$B1338,GD_Update_Date,AY$1332)=0,"NR",SUMIFS(GD_Guidance_High,GD_Item_Name,$B1338,GD_Item_FiscalPeriod,AY$1333,GD_Update_Date,AY$1332)))</f>
        <v/>
      </c>
      <c r="AZ1338" s="1902">
        <f>IF(ISBLANK(AZ$1333),"N/A",IF(COUNTIFS(GD_Item_FiscalPeriod,AZ$1333,GD_Item_Name,$B1338,GD_Update_Date,AZ$1332)=0,"NR",SUMIFS(GD_Guidance_High,GD_Item_Name,$B1338,GD_Item_FiscalPeriod,AZ$1333,GD_Update_Date,AZ$1332)))</f>
        <v/>
      </c>
      <c r="BA1338" s="1902">
        <f>IF(ISBLANK(BA$1333),"N/A",IF(COUNTIFS(GD_Item_FiscalPeriod,BA$1333,GD_Item_Name,$B1338,GD_Update_Date,BA$1332)=0,"NR",SUMIFS(GD_Guidance_High,GD_Item_Name,$B1338,GD_Item_FiscalPeriod,BA$1333,GD_Update_Date,BA$1332)))</f>
        <v/>
      </c>
      <c r="BB1338" s="1902">
        <f>IF(ISBLANK(BB$1333),"N/A",IF(COUNTIFS(GD_Item_FiscalPeriod,BB$1333,GD_Item_Name,$B1338,GD_Update_Date,BB$1332)=0,"NR",SUMIFS(GD_Guidance_High,GD_Item_Name,$B1338,GD_Item_FiscalPeriod,BB$1333,GD_Update_Date,BB$1332)))</f>
        <v/>
      </c>
      <c r="BC1338" s="1902">
        <f>IF(ISBLANK(BC$1333),"N/A",IF(COUNTIFS(GD_Item_FiscalPeriod,BC$1333,GD_Item_Name,$B1338,GD_Update_Date,BC$1332)=0,"NR",SUMIFS(GD_Guidance_High,GD_Item_Name,$B1338,GD_Item_FiscalPeriod,BC$1333,GD_Update_Date,BC$1332)))</f>
        <v/>
      </c>
      <c r="BD1338" s="1902">
        <f>IF(ISBLANK(BD$1333),"N/A",IF(COUNTIFS(GD_Item_FiscalPeriod,BD$1333,GD_Item_Name,$B1338,GD_Update_Date,BD$1332)=0,"NR",SUMIFS(GD_Guidance_High,GD_Item_Name,$B1338,GD_Item_FiscalPeriod,BD$1333,GD_Update_Date,BD$1332)))</f>
        <v/>
      </c>
      <c r="BE1338" s="1902">
        <f>IF(ISBLANK(BE$1333),"N/A",IF(COUNTIFS(GD_Item_FiscalPeriod,BE$1333,GD_Item_Name,$B1338,GD_Update_Date,BE$1332)=0,"NR",SUMIFS(GD_Guidance_High,GD_Item_Name,$B1338,GD_Item_FiscalPeriod,BE$1333,GD_Update_Date,BE$1332)))</f>
        <v/>
      </c>
      <c r="BF1338" s="1902">
        <f>IF(ISBLANK(BF$1333),"N/A",IF(COUNTIFS(GD_Item_FiscalPeriod,BF$1333,GD_Item_Name,$B1338,GD_Update_Date,BF$1332)=0,"NR",SUMIFS(GD_Guidance_High,GD_Item_Name,$B1338,GD_Item_FiscalPeriod,BF$1333,GD_Update_Date,BF$1332)))</f>
        <v/>
      </c>
      <c r="BG1338" s="1902">
        <f>IF(ISBLANK(BG$1333),"N/A",IF(COUNTIFS(GD_Item_FiscalPeriod,BG$1333,GD_Item_Name,$B1338,GD_Update_Date,BG$1332)=0,"NR",SUMIFS(GD_Guidance_High,GD_Item_Name,$B1338,GD_Item_FiscalPeriod,BG$1333,GD_Update_Date,BG$1332)))</f>
        <v/>
      </c>
      <c r="BH1338" s="1902">
        <f>IF(ISBLANK(BH$1333),"N/A",IF(COUNTIFS(GD_Item_FiscalPeriod,BH$1333,GD_Item_Name,$B1338,GD_Update_Date,BH$1332)=0,"NR",SUMIFS(GD_Guidance_High,GD_Item_Name,$B1338,GD_Item_FiscalPeriod,BH$1333,GD_Update_Date,BH$1332)))</f>
        <v/>
      </c>
      <c r="BI1338" s="1902">
        <f>IF(ISBLANK(BI$1333),"N/A",IF(COUNTIFS(GD_Item_FiscalPeriod,BI$1333,GD_Item_Name,$B1338,GD_Update_Date,BI$1332)=0,"NR",SUMIFS(GD_Guidance_High,GD_Item_Name,$B1338,GD_Item_FiscalPeriod,BI$1333,GD_Update_Date,BI$1332)))</f>
        <v/>
      </c>
      <c r="BJ1338" s="1902">
        <f>IF(ISBLANK(BJ$1333),"N/A",IF(COUNTIFS(GD_Item_FiscalPeriod,BJ$1333,GD_Item_Name,$B1338,GD_Update_Date,BJ$1332)=0,"NR",SUMIFS(GD_Guidance_High,GD_Item_Name,$B1338,GD_Item_FiscalPeriod,BJ$1333,GD_Update_Date,BJ$1332)))</f>
        <v/>
      </c>
      <c r="BK1338" s="1902">
        <f>IF(ISBLANK(BK$1333),"N/A",IF(COUNTIFS(GD_Item_FiscalPeriod,BK$1333,GD_Item_Name,$B1338,GD_Update_Date,BK$1332)=0,"NR",SUMIFS(GD_Guidance_High,GD_Item_Name,$B1338,GD_Item_FiscalPeriod,BK$1333,GD_Update_Date,BK$1332)))</f>
        <v/>
      </c>
      <c r="BL1338" s="1902">
        <f>IF(ISBLANK(BL$1333),"N/A",IF(COUNTIFS(GD_Item_FiscalPeriod,BL$1333,GD_Item_Name,$B1338,GD_Update_Date,BL$1332)=0,"NR",SUMIFS(GD_Guidance_High,GD_Item_Name,$B1338,GD_Item_FiscalPeriod,BL$1333,GD_Update_Date,BL$1332)))</f>
        <v/>
      </c>
      <c r="BM1338" s="1902">
        <f>IF(ISBLANK(BM$1333),"N/A",IF(COUNTIFS(GD_Item_FiscalPeriod,BM$1333,GD_Item_Name,$B1338,GD_Update_Date,BM$1332)=0,"NR",SUMIFS(GD_Guidance_High,GD_Item_Name,$B1338,GD_Item_FiscalPeriod,BM$1333,GD_Update_Date,BM$1332)))</f>
        <v/>
      </c>
      <c r="BN1338" s="1902">
        <f>IF(ISBLANK(BN$1333),"N/A",IF(COUNTIFS(GD_Item_FiscalPeriod,BN$1333,GD_Item_Name,$B1338,GD_Update_Date,BN$1332)=0,"NR",SUMIFS(GD_Guidance_High,GD_Item_Name,$B1338,GD_Item_FiscalPeriod,BN$1333,GD_Update_Date,BN$1332)))</f>
        <v/>
      </c>
      <c r="BO1338" s="1902">
        <f>IF(ISBLANK(BO$1333),"N/A",IF(COUNTIFS(GD_Item_FiscalPeriod,BO$1333,GD_Item_Name,$B1338,GD_Update_Date,BO$1332)=0,"NR",SUMIFS(GD_Guidance_High,GD_Item_Name,$B1338,GD_Item_FiscalPeriod,BO$1333,GD_Update_Date,BO$1332)))</f>
        <v/>
      </c>
      <c r="BP1338" s="1902">
        <f>IF(ISBLANK(BP$1333),"N/A",IF(COUNTIFS(GD_Item_FiscalPeriod,BP$1333,GD_Item_Name,$B1338,GD_Update_Date,BP$1332)=0,"NR",SUMIFS(GD_Guidance_High,GD_Item_Name,$B1338,GD_Item_FiscalPeriod,BP$1333,GD_Update_Date,BP$1332)))</f>
        <v/>
      </c>
      <c r="BQ1338" s="1904">
        <f>IF(ISBLANK(BQ$1333),"N/A",IF(COUNTIFS(GD_Item_FiscalPeriod,BQ$1333,GD_Item_Name,$B1338,GD_Update_Date,BQ$1332)=0,"NR",SUMIFS(GD_Guidance_High,GD_Item_Name,$B1338,GD_Item_FiscalPeriod,BQ$1333,GD_Update_Date,BQ$1332)))</f>
        <v/>
      </c>
      <c r="BR1338" s="1902">
        <f>IF(ISBLANK(BR$1333),"N/A",IF(COUNTIFS(GD_Item_FiscalPeriod,BR$1333,GD_Item_Name,$B1338,GD_Update_Date,BR$1332)=0,"NR",SUMIFS(GD_Guidance_High,GD_Item_Name,$B1338,GD_Item_FiscalPeriod,BR$1333,GD_Update_Date,BR$1332)))</f>
        <v/>
      </c>
      <c r="BS1338" s="1902">
        <f>IF(ISBLANK(BS$1333),"N/A",IF(COUNTIFS(GD_Item_FiscalPeriod,BS$1333,GD_Item_Name,$B1338,GD_Update_Date,BS$1332)=0,"NR",SUMIFS(GD_Guidance_High,GD_Item_Name,$B1338,GD_Item_FiscalPeriod,BS$1333,GD_Update_Date,BS$1332)))</f>
        <v/>
      </c>
      <c r="BT1338" s="1902">
        <f>IF(ISBLANK(BT$1333),"N/A",IF(COUNTIFS(GD_Item_FiscalPeriod,BT$1333,GD_Item_Name,$B1338,GD_Update_Date,BT$1332)=0,"NR",SUMIFS(GD_Guidance_High,GD_Item_Name,$B1338,GD_Item_FiscalPeriod,BT$1333,GD_Update_Date,BT$1332)))</f>
        <v/>
      </c>
      <c r="BU1338" s="1902">
        <f>IF(ISBLANK(BU$1333),"N/A",IF(COUNTIFS(GD_Item_FiscalPeriod,BU$1333,GD_Item_Name,$B1338,GD_Update_Date,BU$1332)=0,"NR",SUMIFS(GD_Guidance_High,GD_Item_Name,$B1338,GD_Item_FiscalPeriod,BU$1333,GD_Update_Date,BU$1332)))</f>
        <v/>
      </c>
      <c r="BV1338" s="1902">
        <f>IF(ISBLANK(BV$1333),"N/A",IF(COUNTIFS(GD_Item_FiscalPeriod,BV$1333,GD_Item_Name,$B1338,GD_Update_Date,BV$1332)=0,"NR",SUMIFS(GD_Guidance_High,GD_Item_Name,$B1338,GD_Item_FiscalPeriod,BV$1333,GD_Update_Date,BV$1332)))</f>
        <v/>
      </c>
      <c r="BW1338" s="1902">
        <f>IF(ISBLANK(BW$1333),"N/A",IF(COUNTIFS(GD_Item_FiscalPeriod,BW$1333,GD_Item_Name,$B1338,GD_Update_Date,BW$1332)=0,"NR",SUMIFS(GD_Guidance_High,GD_Item_Name,$B1338,GD_Item_FiscalPeriod,BW$1333,GD_Update_Date,BW$1332)))</f>
        <v/>
      </c>
      <c r="BX1338" s="1902">
        <f>IF(ISBLANK(BX$1333),"N/A",IF(COUNTIFS(GD_Item_FiscalPeriod,BX$1333,GD_Item_Name,$B1338,GD_Update_Date,BX$1332)=0,"NR",SUMIFS(GD_Guidance_High,GD_Item_Name,$B1338,GD_Item_FiscalPeriod,BX$1333,GD_Update_Date,BX$1332)))</f>
        <v/>
      </c>
      <c r="BY1338" s="1902">
        <f>IF(ISBLANK(BY$1333),"N/A",IF(COUNTIFS(GD_Item_FiscalPeriod,BY$1333,GD_Item_Name,$B1338,GD_Update_Date,BY$1332)=0,"NR",SUMIFS(GD_Guidance_High,GD_Item_Name,$B1338,GD_Item_FiscalPeriod,BY$1333,GD_Update_Date,BY$1332)))</f>
        <v/>
      </c>
      <c r="BZ1338" s="1902">
        <f>IF(ISBLANK(BZ$1333),"N/A",IF(COUNTIFS(GD_Item_FiscalPeriod,BZ$1333,GD_Item_Name,$B1338,GD_Update_Date,BZ$1332)=0,"NR",SUMIFS(GD_Guidance_High,GD_Item_Name,$B1338,GD_Item_FiscalPeriod,BZ$1333,GD_Update_Date,BZ$1332)))</f>
        <v/>
      </c>
      <c r="CA1338" s="2004">
        <f>IF(ISBLANK(CA$1333),"N/A",IF(COUNTIFS(GD_Item_FiscalPeriod,CA$1333,GD_Item_Name,$B1338,GD_Update_Date,CA$1332)=0,"NR",SUMIFS(GD_Guidance_High,GD_Item_Name,$B1338,GD_Item_FiscalPeriod,CA$1333,GD_Update_Date,CA$1332)))</f>
        <v/>
      </c>
      <c r="CB1338" s="1472" t="n"/>
    </row>
    <row r="1339" ht="14.4" customFormat="1" customHeight="1" s="1549">
      <c r="A1339" s="2002" t="inlineStr">
        <is>
          <t>Mid - Non-GAAP Operating Income Margin, %</t>
        </is>
      </c>
      <c r="B1339" s="1520" t="inlineStr">
        <is>
          <t>MO_MA_OperatingIncome_NONGAAP</t>
        </is>
      </c>
      <c r="C1339" s="2003" t="n"/>
      <c r="D1339" s="2003" t="n"/>
      <c r="E1339" s="1902" t="n"/>
      <c r="F1339" s="1902" t="n"/>
      <c r="G1339" s="1902" t="n"/>
      <c r="H1339" s="1902" t="n"/>
      <c r="I1339" s="1902" t="n"/>
      <c r="J1339" s="1902" t="n"/>
      <c r="K1339" s="1902" t="n"/>
      <c r="L1339" s="1902" t="n"/>
      <c r="M1339" s="1902" t="n"/>
      <c r="N1339" s="1902" t="n"/>
      <c r="O1339" s="1902" t="n"/>
      <c r="P1339" s="1902" t="n"/>
      <c r="Q1339" s="1902" t="n"/>
      <c r="R1339" s="1902" t="n"/>
      <c r="S1339" s="1902" t="n"/>
      <c r="T1339" s="1902" t="n"/>
      <c r="U1339" s="1902" t="n"/>
      <c r="V1339" s="1902" t="n"/>
      <c r="W1339" s="1902" t="n"/>
      <c r="X1339" s="1902" t="n"/>
      <c r="Y1339" s="1902" t="n"/>
      <c r="Z1339" s="1902" t="n"/>
      <c r="AA1339" s="1902" t="n"/>
      <c r="AB1339" s="1902" t="n"/>
      <c r="AC1339" s="1902">
        <f>IF(ISBLANK(AC$1333),"N/A",IF(COUNTIFS(GD_Item_FiscalPeriod,AC$1333,GD_Item_Name,$B1339,GD_Update_Date,AC$1332)=0,"NR",SUMIFS(GD_Guidance_Mid,GD_Item_Name,$B1339,GD_Item_FiscalPeriod,AC$1333,GD_Update_Date,AC$1332)))</f>
        <v/>
      </c>
      <c r="AD1339" s="1902">
        <f>IF(ISBLANK(AD$1333),"N/A",IF(COUNTIFS(GD_Item_FiscalPeriod,AD$1333,GD_Item_Name,$B1339,GD_Update_Date,AD$1332)=0,"NR",SUMIFS(GD_Guidance_Mid,GD_Item_Name,$B1339,GD_Item_FiscalPeriod,AD$1333,GD_Update_Date,AD$1332)))</f>
        <v/>
      </c>
      <c r="AE1339" s="1902">
        <f>IF(ISBLANK(AE$1333),"N/A",IF(COUNTIFS(GD_Item_FiscalPeriod,AE$1333,GD_Item_Name,$B1339,GD_Update_Date,AE$1332)=0,"NR",SUMIFS(GD_Guidance_Mid,GD_Item_Name,$B1339,GD_Item_FiscalPeriod,AE$1333,GD_Update_Date,AE$1332)))</f>
        <v/>
      </c>
      <c r="AF1339" s="1902">
        <f>IF(ISBLANK(AF$1333),"N/A",IF(COUNTIFS(GD_Item_FiscalPeriod,AF$1333,GD_Item_Name,$B1339,GD_Update_Date,AF$1332)=0,"NR",SUMIFS(GD_Guidance_Mid,GD_Item_Name,$B1339,GD_Item_FiscalPeriod,AF$1333,GD_Update_Date,AF$1332)))</f>
        <v/>
      </c>
      <c r="AG1339" s="1902">
        <f>IF(ISBLANK(AG$1333),"N/A",IF(COUNTIFS(GD_Item_FiscalPeriod,AG$1333,GD_Item_Name,$B1339,GD_Update_Date,AG$1332)=0,"NR",SUMIFS(GD_Guidance_Mid,GD_Item_Name,$B1339,GD_Item_FiscalPeriod,AG$1333,GD_Update_Date,AG$1332)))</f>
        <v/>
      </c>
      <c r="AH1339" s="1902">
        <f>IF(ISBLANK(AH$1333),"N/A",IF(COUNTIFS(GD_Item_FiscalPeriod,AH$1333,GD_Item_Name,$B1339,GD_Update_Date,AH$1332)=0,"NR",SUMIFS(GD_Guidance_Mid,GD_Item_Name,$B1339,GD_Item_FiscalPeriod,AH$1333,GD_Update_Date,AH$1332)))</f>
        <v/>
      </c>
      <c r="AI1339" s="1902">
        <f>IF(ISBLANK(AI$1333),"N/A",IF(COUNTIFS(GD_Item_FiscalPeriod,AI$1333,GD_Item_Name,$B1339,GD_Update_Date,AI$1332)=0,"NR",SUMIFS(GD_Guidance_Mid,GD_Item_Name,$B1339,GD_Item_FiscalPeriod,AI$1333,GD_Update_Date,AI$1332)))</f>
        <v/>
      </c>
      <c r="AJ1339" s="1902">
        <f>IF(ISBLANK(AJ$1333),"N/A",IF(COUNTIFS(GD_Item_FiscalPeriod,AJ$1333,GD_Item_Name,$B1339,GD_Update_Date,AJ$1332)=0,"NR",SUMIFS(GD_Guidance_Mid,GD_Item_Name,$B1339,GD_Item_FiscalPeriod,AJ$1333,GD_Update_Date,AJ$1332)))</f>
        <v/>
      </c>
      <c r="AK1339" s="1902">
        <f>IF(ISBLANK(AK$1333),"N/A",IF(COUNTIFS(GD_Item_FiscalPeriod,AK$1333,GD_Item_Name,$B1339,GD_Update_Date,AK$1332)=0,"NR",SUMIFS(GD_Guidance_Mid,GD_Item_Name,$B1339,GD_Item_FiscalPeriod,AK$1333,GD_Update_Date,AK$1332)))</f>
        <v/>
      </c>
      <c r="AL1339" s="1902">
        <f>IF(ISBLANK(AL$1333),"N/A",IF(COUNTIFS(GD_Item_FiscalPeriod,AL$1333,GD_Item_Name,$B1339,GD_Update_Date,AL$1332)=0,"NR",SUMIFS(GD_Guidance_Mid,GD_Item_Name,$B1339,GD_Item_FiscalPeriod,AL$1333,GD_Update_Date,AL$1332)))</f>
        <v/>
      </c>
      <c r="AM1339" s="1902">
        <f>IF(ISBLANK(AM$1333),"N/A",IF(COUNTIFS(GD_Item_FiscalPeriod,AM$1333,GD_Item_Name,$B1339,GD_Update_Date,AM$1332)=0,"NR",SUMIFS(GD_Guidance_Mid,GD_Item_Name,$B1339,GD_Item_FiscalPeriod,AM$1333,GD_Update_Date,AM$1332)))</f>
        <v/>
      </c>
      <c r="AN1339" s="1902">
        <f>IF(ISBLANK(AN$1333),"N/A",IF(COUNTIFS(GD_Item_FiscalPeriod,AN$1333,GD_Item_Name,$B1339,GD_Update_Date,AN$1332)=0,"NR",SUMIFS(GD_Guidance_Mid,GD_Item_Name,$B1339,GD_Item_FiscalPeriod,AN$1333,GD_Update_Date,AN$1332)))</f>
        <v/>
      </c>
      <c r="AO1339" s="1902">
        <f>IF(ISBLANK(AO$1333),"N/A",IF(COUNTIFS(GD_Item_FiscalPeriod,AO$1333,GD_Item_Name,$B1339,GD_Update_Date,AO$1332)=0,"NR",SUMIFS(GD_Guidance_Mid,GD_Item_Name,$B1339,GD_Item_FiscalPeriod,AO$1333,GD_Update_Date,AO$1332)))</f>
        <v/>
      </c>
      <c r="AP1339" s="1902">
        <f>IF(ISBLANK(AP$1333),"N/A",IF(COUNTIFS(GD_Item_FiscalPeriod,AP$1333,GD_Item_Name,$B1339,GD_Update_Date,AP$1332)=0,"NR",SUMIFS(GD_Guidance_Mid,GD_Item_Name,$B1339,GD_Item_FiscalPeriod,AP$1333,GD_Update_Date,AP$1332)))</f>
        <v/>
      </c>
      <c r="AQ1339" s="1902">
        <f>IF(ISBLANK(AQ$1333),"N/A",IF(COUNTIFS(GD_Item_FiscalPeriod,AQ$1333,GD_Item_Name,$B1339,GD_Update_Date,AQ$1332)=0,"NR",SUMIFS(GD_Guidance_Mid,GD_Item_Name,$B1339,GD_Item_FiscalPeriod,AQ$1333,GD_Update_Date,AQ$1332)))</f>
        <v/>
      </c>
      <c r="AR1339" s="1902">
        <f>IF(ISBLANK(AR$1333),"N/A",IF(COUNTIFS(GD_Item_FiscalPeriod,AR$1333,GD_Item_Name,$B1339,GD_Update_Date,AR$1332)=0,"NR",SUMIFS(GD_Guidance_Mid,GD_Item_Name,$B1339,GD_Item_FiscalPeriod,AR$1333,GD_Update_Date,AR$1332)))</f>
        <v/>
      </c>
      <c r="AS1339" s="1902">
        <f>IF(ISBLANK(AS$1333),"N/A",IF(COUNTIFS(GD_Item_FiscalPeriod,AS$1333,GD_Item_Name,$B1339,GD_Update_Date,AS$1332)=0,"NR",SUMIFS(GD_Guidance_Mid,GD_Item_Name,$B1339,GD_Item_FiscalPeriod,AS$1333,GD_Update_Date,AS$1332)))</f>
        <v/>
      </c>
      <c r="AT1339" s="1902">
        <f>IF(ISBLANK(AT$1333),"N/A",IF(COUNTIFS(GD_Item_FiscalPeriod,AT$1333,GD_Item_Name,$B1339,GD_Update_Date,AT$1332)=0,"NR",SUMIFS(GD_Guidance_Mid,GD_Item_Name,$B1339,GD_Item_FiscalPeriod,AT$1333,GD_Update_Date,AT$1332)))</f>
        <v/>
      </c>
      <c r="AU1339" s="1902">
        <f>IF(ISBLANK(AU$1333),"N/A",IF(COUNTIFS(GD_Item_FiscalPeriod,AU$1333,GD_Item_Name,$B1339,GD_Update_Date,AU$1332)=0,"NR",SUMIFS(GD_Guidance_Mid,GD_Item_Name,$B1339,GD_Item_FiscalPeriod,AU$1333,GD_Update_Date,AU$1332)))</f>
        <v/>
      </c>
      <c r="AV1339" s="1902">
        <f>IF(ISBLANK(AV$1333),"N/A",IF(COUNTIFS(GD_Item_FiscalPeriod,AV$1333,GD_Item_Name,$B1339,GD_Update_Date,AV$1332)=0,"NR",SUMIFS(GD_Guidance_Mid,GD_Item_Name,$B1339,GD_Item_FiscalPeriod,AV$1333,GD_Update_Date,AV$1332)))</f>
        <v/>
      </c>
      <c r="AW1339" s="1902">
        <f>IF(ISBLANK(AW$1333),"N/A",IF(COUNTIFS(GD_Item_FiscalPeriod,AW$1333,GD_Item_Name,$B1339,GD_Update_Date,AW$1332)=0,"NR",SUMIFS(GD_Guidance_Mid,GD_Item_Name,$B1339,GD_Item_FiscalPeriod,AW$1333,GD_Update_Date,AW$1332)))</f>
        <v/>
      </c>
      <c r="AX1339" s="1902">
        <f>IF(ISBLANK(AX$1333),"N/A",IF(COUNTIFS(GD_Item_FiscalPeriod,AX$1333,GD_Item_Name,$B1339,GD_Update_Date,AX$1332)=0,"NR",SUMIFS(GD_Guidance_Mid,GD_Item_Name,$B1339,GD_Item_FiscalPeriod,AX$1333,GD_Update_Date,AX$1332)))</f>
        <v/>
      </c>
      <c r="AY1339" s="1902">
        <f>IF(ISBLANK(AY$1333),"N/A",IF(COUNTIFS(GD_Item_FiscalPeriod,AY$1333,GD_Item_Name,$B1339,GD_Update_Date,AY$1332)=0,"NR",SUMIFS(GD_Guidance_Mid,GD_Item_Name,$B1339,GD_Item_FiscalPeriod,AY$1333,GD_Update_Date,AY$1332)))</f>
        <v/>
      </c>
      <c r="AZ1339" s="1902">
        <f>IF(ISBLANK(AZ$1333),"N/A",IF(COUNTIFS(GD_Item_FiscalPeriod,AZ$1333,GD_Item_Name,$B1339,GD_Update_Date,AZ$1332)=0,"NR",SUMIFS(GD_Guidance_Mid,GD_Item_Name,$B1339,GD_Item_FiscalPeriod,AZ$1333,GD_Update_Date,AZ$1332)))</f>
        <v/>
      </c>
      <c r="BA1339" s="1902">
        <f>IF(ISBLANK(BA$1333),"N/A",IF(COUNTIFS(GD_Item_FiscalPeriod,BA$1333,GD_Item_Name,$B1339,GD_Update_Date,BA$1332)=0,"NR",SUMIFS(GD_Guidance_Mid,GD_Item_Name,$B1339,GD_Item_FiscalPeriod,BA$1333,GD_Update_Date,BA$1332)))</f>
        <v/>
      </c>
      <c r="BB1339" s="1902">
        <f>IF(ISBLANK(BB$1333),"N/A",IF(COUNTIFS(GD_Item_FiscalPeriod,BB$1333,GD_Item_Name,$B1339,GD_Update_Date,BB$1332)=0,"NR",SUMIFS(GD_Guidance_Mid,GD_Item_Name,$B1339,GD_Item_FiscalPeriod,BB$1333,GD_Update_Date,BB$1332)))</f>
        <v/>
      </c>
      <c r="BC1339" s="1902">
        <f>IF(ISBLANK(BC$1333),"N/A",IF(COUNTIFS(GD_Item_FiscalPeriod,BC$1333,GD_Item_Name,$B1339,GD_Update_Date,BC$1332)=0,"NR",SUMIFS(GD_Guidance_Mid,GD_Item_Name,$B1339,GD_Item_FiscalPeriod,BC$1333,GD_Update_Date,BC$1332)))</f>
        <v/>
      </c>
      <c r="BD1339" s="1902">
        <f>IF(ISBLANK(BD$1333),"N/A",IF(COUNTIFS(GD_Item_FiscalPeriod,BD$1333,GD_Item_Name,$B1339,GD_Update_Date,BD$1332)=0,"NR",SUMIFS(GD_Guidance_Mid,GD_Item_Name,$B1339,GD_Item_FiscalPeriod,BD$1333,GD_Update_Date,BD$1332)))</f>
        <v/>
      </c>
      <c r="BE1339" s="1902">
        <f>IF(ISBLANK(BE$1333),"N/A",IF(COUNTIFS(GD_Item_FiscalPeriod,BE$1333,GD_Item_Name,$B1339,GD_Update_Date,BE$1332)=0,"NR",SUMIFS(GD_Guidance_Mid,GD_Item_Name,$B1339,GD_Item_FiscalPeriod,BE$1333,GD_Update_Date,BE$1332)))</f>
        <v/>
      </c>
      <c r="BF1339" s="1902">
        <f>IF(ISBLANK(BF$1333),"N/A",IF(COUNTIFS(GD_Item_FiscalPeriod,BF$1333,GD_Item_Name,$B1339,GD_Update_Date,BF$1332)=0,"NR",SUMIFS(GD_Guidance_Mid,GD_Item_Name,$B1339,GD_Item_FiscalPeriod,BF$1333,GD_Update_Date,BF$1332)))</f>
        <v/>
      </c>
      <c r="BG1339" s="1902">
        <f>IF(ISBLANK(BG$1333),"N/A",IF(COUNTIFS(GD_Item_FiscalPeriod,BG$1333,GD_Item_Name,$B1339,GD_Update_Date,BG$1332)=0,"NR",SUMIFS(GD_Guidance_Mid,GD_Item_Name,$B1339,GD_Item_FiscalPeriod,BG$1333,GD_Update_Date,BG$1332)))</f>
        <v/>
      </c>
      <c r="BH1339" s="1902">
        <f>IF(ISBLANK(BH$1333),"N/A",IF(COUNTIFS(GD_Item_FiscalPeriod,BH$1333,GD_Item_Name,$B1339,GD_Update_Date,BH$1332)=0,"NR",SUMIFS(GD_Guidance_Mid,GD_Item_Name,$B1339,GD_Item_FiscalPeriod,BH$1333,GD_Update_Date,BH$1332)))</f>
        <v/>
      </c>
      <c r="BI1339" s="1902">
        <f>IF(ISBLANK(BI$1333),"N/A",IF(COUNTIFS(GD_Item_FiscalPeriod,BI$1333,GD_Item_Name,$B1339,GD_Update_Date,BI$1332)=0,"NR",SUMIFS(GD_Guidance_Mid,GD_Item_Name,$B1339,GD_Item_FiscalPeriod,BI$1333,GD_Update_Date,BI$1332)))</f>
        <v/>
      </c>
      <c r="BJ1339" s="1902">
        <f>IF(ISBLANK(BJ$1333),"N/A",IF(COUNTIFS(GD_Item_FiscalPeriod,BJ$1333,GD_Item_Name,$B1339,GD_Update_Date,BJ$1332)=0,"NR",SUMIFS(GD_Guidance_Mid,GD_Item_Name,$B1339,GD_Item_FiscalPeriod,BJ$1333,GD_Update_Date,BJ$1332)))</f>
        <v/>
      </c>
      <c r="BK1339" s="1902">
        <f>IF(ISBLANK(BK$1333),"N/A",IF(COUNTIFS(GD_Item_FiscalPeriod,BK$1333,GD_Item_Name,$B1339,GD_Update_Date,BK$1332)=0,"NR",SUMIFS(GD_Guidance_Mid,GD_Item_Name,$B1339,GD_Item_FiscalPeriod,BK$1333,GD_Update_Date,BK$1332)))</f>
        <v/>
      </c>
      <c r="BL1339" s="1902">
        <f>IF(ISBLANK(BL$1333),"N/A",IF(COUNTIFS(GD_Item_FiscalPeriod,BL$1333,GD_Item_Name,$B1339,GD_Update_Date,BL$1332)=0,"NR",SUMIFS(GD_Guidance_Mid,GD_Item_Name,$B1339,GD_Item_FiscalPeriod,BL$1333,GD_Update_Date,BL$1332)))</f>
        <v/>
      </c>
      <c r="BM1339" s="1902">
        <f>IF(ISBLANK(BM$1333),"N/A",IF(COUNTIFS(GD_Item_FiscalPeriod,BM$1333,GD_Item_Name,$B1339,GD_Update_Date,BM$1332)=0,"NR",SUMIFS(GD_Guidance_Mid,GD_Item_Name,$B1339,GD_Item_FiscalPeriod,BM$1333,GD_Update_Date,BM$1332)))</f>
        <v/>
      </c>
      <c r="BN1339" s="1902">
        <f>IF(ISBLANK(BN$1333),"N/A",IF(COUNTIFS(GD_Item_FiscalPeriod,BN$1333,GD_Item_Name,$B1339,GD_Update_Date,BN$1332)=0,"NR",SUMIFS(GD_Guidance_Mid,GD_Item_Name,$B1339,GD_Item_FiscalPeriod,BN$1333,GD_Update_Date,BN$1332)))</f>
        <v/>
      </c>
      <c r="BO1339" s="1902">
        <f>IF(ISBLANK(BO$1333),"N/A",IF(COUNTIFS(GD_Item_FiscalPeriod,BO$1333,GD_Item_Name,$B1339,GD_Update_Date,BO$1332)=0,"NR",SUMIFS(GD_Guidance_Mid,GD_Item_Name,$B1339,GD_Item_FiscalPeriod,BO$1333,GD_Update_Date,BO$1332)))</f>
        <v/>
      </c>
      <c r="BP1339" s="1902">
        <f>IF(ISBLANK(BP$1333),"N/A",IF(COUNTIFS(GD_Item_FiscalPeriod,BP$1333,GD_Item_Name,$B1339,GD_Update_Date,BP$1332)=0,"NR",SUMIFS(GD_Guidance_Mid,GD_Item_Name,$B1339,GD_Item_FiscalPeriod,BP$1333,GD_Update_Date,BP$1332)))</f>
        <v/>
      </c>
      <c r="BQ1339" s="1904">
        <f>IF(ISBLANK(BQ$1333),"N/A",IF(COUNTIFS(GD_Item_FiscalPeriod,BQ$1333,GD_Item_Name,$B1339,GD_Update_Date,BQ$1332)=0,"NR",SUMIFS(GD_Guidance_Mid,GD_Item_Name,$B1339,GD_Item_FiscalPeriod,BQ$1333,GD_Update_Date,BQ$1332)))</f>
        <v/>
      </c>
      <c r="BR1339" s="1902">
        <f>IF(ISBLANK(BR$1333),"N/A",IF(COUNTIFS(GD_Item_FiscalPeriod,BR$1333,GD_Item_Name,$B1339,GD_Update_Date,BR$1332)=0,"NR",SUMIFS(GD_Guidance_Mid,GD_Item_Name,$B1339,GD_Item_FiscalPeriod,BR$1333,GD_Update_Date,BR$1332)))</f>
        <v/>
      </c>
      <c r="BS1339" s="1902">
        <f>IF(ISBLANK(BS$1333),"N/A",IF(COUNTIFS(GD_Item_FiscalPeriod,BS$1333,GD_Item_Name,$B1339,GD_Update_Date,BS$1332)=0,"NR",SUMIFS(GD_Guidance_Mid,GD_Item_Name,$B1339,GD_Item_FiscalPeriod,BS$1333,GD_Update_Date,BS$1332)))</f>
        <v/>
      </c>
      <c r="BT1339" s="1902">
        <f>IF(ISBLANK(BT$1333),"N/A",IF(COUNTIFS(GD_Item_FiscalPeriod,BT$1333,GD_Item_Name,$B1339,GD_Update_Date,BT$1332)=0,"NR",SUMIFS(GD_Guidance_Mid,GD_Item_Name,$B1339,GD_Item_FiscalPeriod,BT$1333,GD_Update_Date,BT$1332)))</f>
        <v/>
      </c>
      <c r="BU1339" s="1902">
        <f>IF(ISBLANK(BU$1333),"N/A",IF(COUNTIFS(GD_Item_FiscalPeriod,BU$1333,GD_Item_Name,$B1339,GD_Update_Date,BU$1332)=0,"NR",SUMIFS(GD_Guidance_Mid,GD_Item_Name,$B1339,GD_Item_FiscalPeriod,BU$1333,GD_Update_Date,BU$1332)))</f>
        <v/>
      </c>
      <c r="BV1339" s="1902">
        <f>IF(ISBLANK(BV$1333),"N/A",IF(COUNTIFS(GD_Item_FiscalPeriod,BV$1333,GD_Item_Name,$B1339,GD_Update_Date,BV$1332)=0,"NR",SUMIFS(GD_Guidance_Mid,GD_Item_Name,$B1339,GD_Item_FiscalPeriod,BV$1333,GD_Update_Date,BV$1332)))</f>
        <v/>
      </c>
      <c r="BW1339" s="1902">
        <f>IF(ISBLANK(BW$1333),"N/A",IF(COUNTIFS(GD_Item_FiscalPeriod,BW$1333,GD_Item_Name,$B1339,GD_Update_Date,BW$1332)=0,"NR",SUMIFS(GD_Guidance_Mid,GD_Item_Name,$B1339,GD_Item_FiscalPeriod,BW$1333,GD_Update_Date,BW$1332)))</f>
        <v/>
      </c>
      <c r="BX1339" s="1902">
        <f>IF(ISBLANK(BX$1333),"N/A",IF(COUNTIFS(GD_Item_FiscalPeriod,BX$1333,GD_Item_Name,$B1339,GD_Update_Date,BX$1332)=0,"NR",SUMIFS(GD_Guidance_Mid,GD_Item_Name,$B1339,GD_Item_FiscalPeriod,BX$1333,GD_Update_Date,BX$1332)))</f>
        <v/>
      </c>
      <c r="BY1339" s="1902">
        <f>IF(ISBLANK(BY$1333),"N/A",IF(COUNTIFS(GD_Item_FiscalPeriod,BY$1333,GD_Item_Name,$B1339,GD_Update_Date,BY$1332)=0,"NR",SUMIFS(GD_Guidance_Mid,GD_Item_Name,$B1339,GD_Item_FiscalPeriod,BY$1333,GD_Update_Date,BY$1332)))</f>
        <v/>
      </c>
      <c r="BZ1339" s="1902">
        <f>IF(ISBLANK(BZ$1333),"N/A",IF(COUNTIFS(GD_Item_FiscalPeriod,BZ$1333,GD_Item_Name,$B1339,GD_Update_Date,BZ$1332)=0,"NR",SUMIFS(GD_Guidance_Mid,GD_Item_Name,$B1339,GD_Item_FiscalPeriod,BZ$1333,GD_Update_Date,BZ$1332)))</f>
        <v/>
      </c>
      <c r="CA1339" s="2004">
        <f>IF(ISBLANK(CA$1333),"N/A",IF(COUNTIFS(GD_Item_FiscalPeriod,CA$1333,GD_Item_Name,$B1339,GD_Update_Date,CA$1332)=0,"NR",SUMIFS(GD_Guidance_Mid,GD_Item_Name,$B1339,GD_Item_FiscalPeriod,CA$1333,GD_Update_Date,CA$1332)))</f>
        <v/>
      </c>
      <c r="CB1339" s="1472" t="n"/>
    </row>
    <row r="1340" ht="14.4" customFormat="1" customHeight="1" s="1549">
      <c r="A1340" s="2005" t="inlineStr">
        <is>
          <t>Low - Non-GAAP Adjusted Earnings Per Share - WAD, currency/share</t>
        </is>
      </c>
      <c r="B1340" s="2006" t="inlineStr">
        <is>
          <t>MO_RIS_EPS_WAD_Adj</t>
        </is>
      </c>
      <c r="C1340" s="2007" t="n"/>
      <c r="D1340" s="2007" t="n"/>
      <c r="E1340" s="1645" t="n"/>
      <c r="F1340" s="1645" t="n"/>
      <c r="G1340" s="1645" t="n"/>
      <c r="H1340" s="1645" t="n"/>
      <c r="I1340" s="1645" t="n"/>
      <c r="J1340" s="1645" t="n"/>
      <c r="K1340" s="1645" t="n"/>
      <c r="L1340" s="1645" t="n"/>
      <c r="M1340" s="1645" t="n"/>
      <c r="N1340" s="1645" t="n"/>
      <c r="O1340" s="1645" t="n"/>
      <c r="P1340" s="1645" t="n"/>
      <c r="Q1340" s="1645" t="n"/>
      <c r="R1340" s="1645" t="n"/>
      <c r="S1340" s="1645" t="n"/>
      <c r="T1340" s="1645" t="n"/>
      <c r="U1340" s="1645" t="n"/>
      <c r="V1340" s="1645" t="n"/>
      <c r="W1340" s="1645" t="n"/>
      <c r="X1340" s="1645" t="n"/>
      <c r="Y1340" s="1645" t="n"/>
      <c r="Z1340" s="1645" t="n"/>
      <c r="AA1340" s="1645" t="n"/>
      <c r="AB1340" s="1645" t="n"/>
      <c r="AC1340" s="1645">
        <f>IF(ISBLANK(AC$1333),"N/A",IF(COUNTIFS(GD_Item_FiscalPeriod,AC$1333,GD_Item_Name,$B1340,GD_Update_Date,AC$1332)=0,"NR",SUMIFS(GD_Guidance_Low,GD_Item_Name,$B1340,GD_Item_FiscalPeriod,AC$1333,GD_Update_Date,AC$1332)))</f>
        <v/>
      </c>
      <c r="AD1340" s="1645">
        <f>IF(ISBLANK(AD$1333),"N/A",IF(COUNTIFS(GD_Item_FiscalPeriod,AD$1333,GD_Item_Name,$B1340,GD_Update_Date,AD$1332)=0,"NR",SUMIFS(GD_Guidance_Low,GD_Item_Name,$B1340,GD_Item_FiscalPeriod,AD$1333,GD_Update_Date,AD$1332)))</f>
        <v/>
      </c>
      <c r="AE1340" s="1645">
        <f>IF(ISBLANK(AE$1333),"N/A",IF(COUNTIFS(GD_Item_FiscalPeriod,AE$1333,GD_Item_Name,$B1340,GD_Update_Date,AE$1332)=0,"NR",SUMIFS(GD_Guidance_Low,GD_Item_Name,$B1340,GD_Item_FiscalPeriod,AE$1333,GD_Update_Date,AE$1332)))</f>
        <v/>
      </c>
      <c r="AF1340" s="1645">
        <f>IF(ISBLANK(AF$1333),"N/A",IF(COUNTIFS(GD_Item_FiscalPeriod,AF$1333,GD_Item_Name,$B1340,GD_Update_Date,AF$1332)=0,"NR",SUMIFS(GD_Guidance_Low,GD_Item_Name,$B1340,GD_Item_FiscalPeriod,AF$1333,GD_Update_Date,AF$1332)))</f>
        <v/>
      </c>
      <c r="AG1340" s="1645">
        <f>IF(ISBLANK(AG$1333),"N/A",IF(COUNTIFS(GD_Item_FiscalPeriod,AG$1333,GD_Item_Name,$B1340,GD_Update_Date,AG$1332)=0,"NR",SUMIFS(GD_Guidance_Low,GD_Item_Name,$B1340,GD_Item_FiscalPeriod,AG$1333,GD_Update_Date,AG$1332)))</f>
        <v/>
      </c>
      <c r="AH1340" s="1645">
        <f>IF(ISBLANK(AH$1333),"N/A",IF(COUNTIFS(GD_Item_FiscalPeriod,AH$1333,GD_Item_Name,$B1340,GD_Update_Date,AH$1332)=0,"NR",SUMIFS(GD_Guidance_Low,GD_Item_Name,$B1340,GD_Item_FiscalPeriod,AH$1333,GD_Update_Date,AH$1332)))</f>
        <v/>
      </c>
      <c r="AI1340" s="1645">
        <f>IF(ISBLANK(AI$1333),"N/A",IF(COUNTIFS(GD_Item_FiscalPeriod,AI$1333,GD_Item_Name,$B1340,GD_Update_Date,AI$1332)=0,"NR",SUMIFS(GD_Guidance_Low,GD_Item_Name,$B1340,GD_Item_FiscalPeriod,AI$1333,GD_Update_Date,AI$1332)))</f>
        <v/>
      </c>
      <c r="AJ1340" s="1645">
        <f>IF(ISBLANK(AJ$1333),"N/A",IF(COUNTIFS(GD_Item_FiscalPeriod,AJ$1333,GD_Item_Name,$B1340,GD_Update_Date,AJ$1332)=0,"NR",SUMIFS(GD_Guidance_Low,GD_Item_Name,$B1340,GD_Item_FiscalPeriod,AJ$1333,GD_Update_Date,AJ$1332)))</f>
        <v/>
      </c>
      <c r="AK1340" s="1645">
        <f>IF(ISBLANK(AK$1333),"N/A",IF(COUNTIFS(GD_Item_FiscalPeriod,AK$1333,GD_Item_Name,$B1340,GD_Update_Date,AK$1332)=0,"NR",SUMIFS(GD_Guidance_Low,GD_Item_Name,$B1340,GD_Item_FiscalPeriod,AK$1333,GD_Update_Date,AK$1332)))</f>
        <v/>
      </c>
      <c r="AL1340" s="1645">
        <f>IF(ISBLANK(AL$1333),"N/A",IF(COUNTIFS(GD_Item_FiscalPeriod,AL$1333,GD_Item_Name,$B1340,GD_Update_Date,AL$1332)=0,"NR",SUMIFS(GD_Guidance_Low,GD_Item_Name,$B1340,GD_Item_FiscalPeriod,AL$1333,GD_Update_Date,AL$1332)))</f>
        <v/>
      </c>
      <c r="AM1340" s="1645">
        <f>IF(ISBLANK(AM$1333),"N/A",IF(COUNTIFS(GD_Item_FiscalPeriod,AM$1333,GD_Item_Name,$B1340,GD_Update_Date,AM$1332)=0,"NR",SUMIFS(GD_Guidance_Low,GD_Item_Name,$B1340,GD_Item_FiscalPeriod,AM$1333,GD_Update_Date,AM$1332)))</f>
        <v/>
      </c>
      <c r="AN1340" s="1645">
        <f>IF(ISBLANK(AN$1333),"N/A",IF(COUNTIFS(GD_Item_FiscalPeriod,AN$1333,GD_Item_Name,$B1340,GD_Update_Date,AN$1332)=0,"NR",SUMIFS(GD_Guidance_Low,GD_Item_Name,$B1340,GD_Item_FiscalPeriod,AN$1333,GD_Update_Date,AN$1332)))</f>
        <v/>
      </c>
      <c r="AO1340" s="1645">
        <f>IF(ISBLANK(AO$1333),"N/A",IF(COUNTIFS(GD_Item_FiscalPeriod,AO$1333,GD_Item_Name,$B1340,GD_Update_Date,AO$1332)=0,"NR",SUMIFS(GD_Guidance_Low,GD_Item_Name,$B1340,GD_Item_FiscalPeriod,AO$1333,GD_Update_Date,AO$1332)))</f>
        <v/>
      </c>
      <c r="AP1340" s="1645">
        <f>IF(ISBLANK(AP$1333),"N/A",IF(COUNTIFS(GD_Item_FiscalPeriod,AP$1333,GD_Item_Name,$B1340,GD_Update_Date,AP$1332)=0,"NR",SUMIFS(GD_Guidance_Low,GD_Item_Name,$B1340,GD_Item_FiscalPeriod,AP$1333,GD_Update_Date,AP$1332)))</f>
        <v/>
      </c>
      <c r="AQ1340" s="1645">
        <f>IF(ISBLANK(AQ$1333),"N/A",IF(COUNTIFS(GD_Item_FiscalPeriod,AQ$1333,GD_Item_Name,$B1340,GD_Update_Date,AQ$1332)=0,"NR",SUMIFS(GD_Guidance_Low,GD_Item_Name,$B1340,GD_Item_FiscalPeriod,AQ$1333,GD_Update_Date,AQ$1332)))</f>
        <v/>
      </c>
      <c r="AR1340" s="1645">
        <f>IF(ISBLANK(AR$1333),"N/A",IF(COUNTIFS(GD_Item_FiscalPeriod,AR$1333,GD_Item_Name,$B1340,GD_Update_Date,AR$1332)=0,"NR",SUMIFS(GD_Guidance_Low,GD_Item_Name,$B1340,GD_Item_FiscalPeriod,AR$1333,GD_Update_Date,AR$1332)))</f>
        <v/>
      </c>
      <c r="AS1340" s="1645">
        <f>IF(ISBLANK(AS$1333),"N/A",IF(COUNTIFS(GD_Item_FiscalPeriod,AS$1333,GD_Item_Name,$B1340,GD_Update_Date,AS$1332)=0,"NR",SUMIFS(GD_Guidance_Low,GD_Item_Name,$B1340,GD_Item_FiscalPeriod,AS$1333,GD_Update_Date,AS$1332)))</f>
        <v/>
      </c>
      <c r="AT1340" s="1645">
        <f>IF(ISBLANK(AT$1333),"N/A",IF(COUNTIFS(GD_Item_FiscalPeriod,AT$1333,GD_Item_Name,$B1340,GD_Update_Date,AT$1332)=0,"NR",SUMIFS(GD_Guidance_Low,GD_Item_Name,$B1340,GD_Item_FiscalPeriod,AT$1333,GD_Update_Date,AT$1332)))</f>
        <v/>
      </c>
      <c r="AU1340" s="1645">
        <f>IF(ISBLANK(AU$1333),"N/A",IF(COUNTIFS(GD_Item_FiscalPeriod,AU$1333,GD_Item_Name,$B1340,GD_Update_Date,AU$1332)=0,"NR",SUMIFS(GD_Guidance_Low,GD_Item_Name,$B1340,GD_Item_FiscalPeriod,AU$1333,GD_Update_Date,AU$1332)))</f>
        <v/>
      </c>
      <c r="AV1340" s="1645">
        <f>IF(ISBLANK(AV$1333),"N/A",IF(COUNTIFS(GD_Item_FiscalPeriod,AV$1333,GD_Item_Name,$B1340,GD_Update_Date,AV$1332)=0,"NR",SUMIFS(GD_Guidance_Low,GD_Item_Name,$B1340,GD_Item_FiscalPeriod,AV$1333,GD_Update_Date,AV$1332)))</f>
        <v/>
      </c>
      <c r="AW1340" s="1645">
        <f>IF(ISBLANK(AW$1333),"N/A",IF(COUNTIFS(GD_Item_FiscalPeriod,AW$1333,GD_Item_Name,$B1340,GD_Update_Date,AW$1332)=0,"NR",SUMIFS(GD_Guidance_Low,GD_Item_Name,$B1340,GD_Item_FiscalPeriod,AW$1333,GD_Update_Date,AW$1332)))</f>
        <v/>
      </c>
      <c r="AX1340" s="1645">
        <f>IF(ISBLANK(AX$1333),"N/A",IF(COUNTIFS(GD_Item_FiscalPeriod,AX$1333,GD_Item_Name,$B1340,GD_Update_Date,AX$1332)=0,"NR",SUMIFS(GD_Guidance_Low,GD_Item_Name,$B1340,GD_Item_FiscalPeriod,AX$1333,GD_Update_Date,AX$1332)))</f>
        <v/>
      </c>
      <c r="AY1340" s="1645">
        <f>IF(ISBLANK(AY$1333),"N/A",IF(COUNTIFS(GD_Item_FiscalPeriod,AY$1333,GD_Item_Name,$B1340,GD_Update_Date,AY$1332)=0,"NR",SUMIFS(GD_Guidance_Low,GD_Item_Name,$B1340,GD_Item_FiscalPeriod,AY$1333,GD_Update_Date,AY$1332)))</f>
        <v/>
      </c>
      <c r="AZ1340" s="1645">
        <f>IF(ISBLANK(AZ$1333),"N/A",IF(COUNTIFS(GD_Item_FiscalPeriod,AZ$1333,GD_Item_Name,$B1340,GD_Update_Date,AZ$1332)=0,"NR",SUMIFS(GD_Guidance_Low,GD_Item_Name,$B1340,GD_Item_FiscalPeriod,AZ$1333,GD_Update_Date,AZ$1332)))</f>
        <v/>
      </c>
      <c r="BA1340" s="1645">
        <f>IF(ISBLANK(BA$1333),"N/A",IF(COUNTIFS(GD_Item_FiscalPeriod,BA$1333,GD_Item_Name,$B1340,GD_Update_Date,BA$1332)=0,"NR",SUMIFS(GD_Guidance_Low,GD_Item_Name,$B1340,GD_Item_FiscalPeriod,BA$1333,GD_Update_Date,BA$1332)))</f>
        <v/>
      </c>
      <c r="BB1340" s="1645">
        <f>IF(ISBLANK(BB$1333),"N/A",IF(COUNTIFS(GD_Item_FiscalPeriod,BB$1333,GD_Item_Name,$B1340,GD_Update_Date,BB$1332)=0,"NR",SUMIFS(GD_Guidance_Low,GD_Item_Name,$B1340,GD_Item_FiscalPeriod,BB$1333,GD_Update_Date,BB$1332)))</f>
        <v/>
      </c>
      <c r="BC1340" s="1645">
        <f>IF(ISBLANK(BC$1333),"N/A",IF(COUNTIFS(GD_Item_FiscalPeriod,BC$1333,GD_Item_Name,$B1340,GD_Update_Date,BC$1332)=0,"NR",SUMIFS(GD_Guidance_Low,GD_Item_Name,$B1340,GD_Item_FiscalPeriod,BC$1333,GD_Update_Date,BC$1332)))</f>
        <v/>
      </c>
      <c r="BD1340" s="1645">
        <f>IF(ISBLANK(BD$1333),"N/A",IF(COUNTIFS(GD_Item_FiscalPeriod,BD$1333,GD_Item_Name,$B1340,GD_Update_Date,BD$1332)=0,"NR",SUMIFS(GD_Guidance_Low,GD_Item_Name,$B1340,GD_Item_FiscalPeriod,BD$1333,GD_Update_Date,BD$1332)))</f>
        <v/>
      </c>
      <c r="BE1340" s="1645">
        <f>IF(ISBLANK(BE$1333),"N/A",IF(COUNTIFS(GD_Item_FiscalPeriod,BE$1333,GD_Item_Name,$B1340,GD_Update_Date,BE$1332)=0,"NR",SUMIFS(GD_Guidance_Low,GD_Item_Name,$B1340,GD_Item_FiscalPeriod,BE$1333,GD_Update_Date,BE$1332)))</f>
        <v/>
      </c>
      <c r="BF1340" s="1645">
        <f>IF(ISBLANK(BF$1333),"N/A",IF(COUNTIFS(GD_Item_FiscalPeriod,BF$1333,GD_Item_Name,$B1340,GD_Update_Date,BF$1332)=0,"NR",SUMIFS(GD_Guidance_Low,GD_Item_Name,$B1340,GD_Item_FiscalPeriod,BF$1333,GD_Update_Date,BF$1332)))</f>
        <v/>
      </c>
      <c r="BG1340" s="1645">
        <f>IF(ISBLANK(BG$1333),"N/A",IF(COUNTIFS(GD_Item_FiscalPeriod,BG$1333,GD_Item_Name,$B1340,GD_Update_Date,BG$1332)=0,"NR",SUMIFS(GD_Guidance_Low,GD_Item_Name,$B1340,GD_Item_FiscalPeriod,BG$1333,GD_Update_Date,BG$1332)))</f>
        <v/>
      </c>
      <c r="BH1340" s="1645">
        <f>IF(ISBLANK(BH$1333),"N/A",IF(COUNTIFS(GD_Item_FiscalPeriod,BH$1333,GD_Item_Name,$B1340,GD_Update_Date,BH$1332)=0,"NR",SUMIFS(GD_Guidance_Low,GD_Item_Name,$B1340,GD_Item_FiscalPeriod,BH$1333,GD_Update_Date,BH$1332)))</f>
        <v/>
      </c>
      <c r="BI1340" s="1645">
        <f>IF(ISBLANK(BI$1333),"N/A",IF(COUNTIFS(GD_Item_FiscalPeriod,BI$1333,GD_Item_Name,$B1340,GD_Update_Date,BI$1332)=0,"NR",SUMIFS(GD_Guidance_Low,GD_Item_Name,$B1340,GD_Item_FiscalPeriod,BI$1333,GD_Update_Date,BI$1332)))</f>
        <v/>
      </c>
      <c r="BJ1340" s="1645">
        <f>IF(ISBLANK(BJ$1333),"N/A",IF(COUNTIFS(GD_Item_FiscalPeriod,BJ$1333,GD_Item_Name,$B1340,GD_Update_Date,BJ$1332)=0,"NR",SUMIFS(GD_Guidance_Low,GD_Item_Name,$B1340,GD_Item_FiscalPeriod,BJ$1333,GD_Update_Date,BJ$1332)))</f>
        <v/>
      </c>
      <c r="BK1340" s="1645">
        <f>IF(ISBLANK(BK$1333),"N/A",IF(COUNTIFS(GD_Item_FiscalPeriod,BK$1333,GD_Item_Name,$B1340,GD_Update_Date,BK$1332)=0,"NR",SUMIFS(GD_Guidance_Low,GD_Item_Name,$B1340,GD_Item_FiscalPeriod,BK$1333,GD_Update_Date,BK$1332)))</f>
        <v/>
      </c>
      <c r="BL1340" s="1645">
        <f>IF(ISBLANK(BL$1333),"N/A",IF(COUNTIFS(GD_Item_FiscalPeriod,BL$1333,GD_Item_Name,$B1340,GD_Update_Date,BL$1332)=0,"NR",SUMIFS(GD_Guidance_Low,GD_Item_Name,$B1340,GD_Item_FiscalPeriod,BL$1333,GD_Update_Date,BL$1332)))</f>
        <v/>
      </c>
      <c r="BM1340" s="1645">
        <f>IF(ISBLANK(BM$1333),"N/A",IF(COUNTIFS(GD_Item_FiscalPeriod,BM$1333,GD_Item_Name,$B1340,GD_Update_Date,BM$1332)=0,"NR",SUMIFS(GD_Guidance_Low,GD_Item_Name,$B1340,GD_Item_FiscalPeriod,BM$1333,GD_Update_Date,BM$1332)))</f>
        <v/>
      </c>
      <c r="BN1340" s="1645">
        <f>IF(ISBLANK(BN$1333),"N/A",IF(COUNTIFS(GD_Item_FiscalPeriod,BN$1333,GD_Item_Name,$B1340,GD_Update_Date,BN$1332)=0,"NR",SUMIFS(GD_Guidance_Low,GD_Item_Name,$B1340,GD_Item_FiscalPeriod,BN$1333,GD_Update_Date,BN$1332)))</f>
        <v/>
      </c>
      <c r="BO1340" s="1645">
        <f>IF(ISBLANK(BO$1333),"N/A",IF(COUNTIFS(GD_Item_FiscalPeriod,BO$1333,GD_Item_Name,$B1340,GD_Update_Date,BO$1332)=0,"NR",SUMIFS(GD_Guidance_Low,GD_Item_Name,$B1340,GD_Item_FiscalPeriod,BO$1333,GD_Update_Date,BO$1332)))</f>
        <v/>
      </c>
      <c r="BP1340" s="1645">
        <f>IF(ISBLANK(BP$1333),"N/A",IF(COUNTIFS(GD_Item_FiscalPeriod,BP$1333,GD_Item_Name,$B1340,GD_Update_Date,BP$1332)=0,"NR",SUMIFS(GD_Guidance_Low,GD_Item_Name,$B1340,GD_Item_FiscalPeriod,BP$1333,GD_Update_Date,BP$1332)))</f>
        <v/>
      </c>
      <c r="BQ1340" s="2008">
        <f>IF(ISBLANK(BQ$1333),"N/A",IF(COUNTIFS(GD_Item_FiscalPeriod,BQ$1333,GD_Item_Name,$B1340,GD_Update_Date,BQ$1332)=0,"NR",SUMIFS(GD_Guidance_Low,GD_Item_Name,$B1340,GD_Item_FiscalPeriod,BQ$1333,GD_Update_Date,BQ$1332)))</f>
        <v/>
      </c>
      <c r="BR1340" s="1645">
        <f>IF(ISBLANK(BR$1333),"N/A",IF(COUNTIFS(GD_Item_FiscalPeriod,BR$1333,GD_Item_Name,$B1340,GD_Update_Date,BR$1332)=0,"NR",SUMIFS(GD_Guidance_Low,GD_Item_Name,$B1340,GD_Item_FiscalPeriod,BR$1333,GD_Update_Date,BR$1332)))</f>
        <v/>
      </c>
      <c r="BS1340" s="1645">
        <f>IF(ISBLANK(BS$1333),"N/A",IF(COUNTIFS(GD_Item_FiscalPeriod,BS$1333,GD_Item_Name,$B1340,GD_Update_Date,BS$1332)=0,"NR",SUMIFS(GD_Guidance_Low,GD_Item_Name,$B1340,GD_Item_FiscalPeriod,BS$1333,GD_Update_Date,BS$1332)))</f>
        <v/>
      </c>
      <c r="BT1340" s="1645">
        <f>IF(ISBLANK(BT$1333),"N/A",IF(COUNTIFS(GD_Item_FiscalPeriod,BT$1333,GD_Item_Name,$B1340,GD_Update_Date,BT$1332)=0,"NR",SUMIFS(GD_Guidance_Low,GD_Item_Name,$B1340,GD_Item_FiscalPeriod,BT$1333,GD_Update_Date,BT$1332)))</f>
        <v/>
      </c>
      <c r="BU1340" s="1645">
        <f>IF(ISBLANK(BU$1333),"N/A",IF(COUNTIFS(GD_Item_FiscalPeriod,BU$1333,GD_Item_Name,$B1340,GD_Update_Date,BU$1332)=0,"NR",SUMIFS(GD_Guidance_Low,GD_Item_Name,$B1340,GD_Item_FiscalPeriod,BU$1333,GD_Update_Date,BU$1332)))</f>
        <v/>
      </c>
      <c r="BV1340" s="1645">
        <f>IF(ISBLANK(BV$1333),"N/A",IF(COUNTIFS(GD_Item_FiscalPeriod,BV$1333,GD_Item_Name,$B1340,GD_Update_Date,BV$1332)=0,"NR",SUMIFS(GD_Guidance_Low,GD_Item_Name,$B1340,GD_Item_FiscalPeriod,BV$1333,GD_Update_Date,BV$1332)))</f>
        <v/>
      </c>
      <c r="BW1340" s="1645">
        <f>IF(ISBLANK(BW$1333),"N/A",IF(COUNTIFS(GD_Item_FiscalPeriod,BW$1333,GD_Item_Name,$B1340,GD_Update_Date,BW$1332)=0,"NR",SUMIFS(GD_Guidance_Low,GD_Item_Name,$B1340,GD_Item_FiscalPeriod,BW$1333,GD_Update_Date,BW$1332)))</f>
        <v/>
      </c>
      <c r="BX1340" s="1645">
        <f>IF(ISBLANK(BX$1333),"N/A",IF(COUNTIFS(GD_Item_FiscalPeriod,BX$1333,GD_Item_Name,$B1340,GD_Update_Date,BX$1332)=0,"NR",SUMIFS(GD_Guidance_Low,GD_Item_Name,$B1340,GD_Item_FiscalPeriod,BX$1333,GD_Update_Date,BX$1332)))</f>
        <v/>
      </c>
      <c r="BY1340" s="1645">
        <f>IF(ISBLANK(BY$1333),"N/A",IF(COUNTIFS(GD_Item_FiscalPeriod,BY$1333,GD_Item_Name,$B1340,GD_Update_Date,BY$1332)=0,"NR",SUMIFS(GD_Guidance_Low,GD_Item_Name,$B1340,GD_Item_FiscalPeriod,BY$1333,GD_Update_Date,BY$1332)))</f>
        <v/>
      </c>
      <c r="BZ1340" s="1645">
        <f>IF(ISBLANK(BZ$1333),"N/A",IF(COUNTIFS(GD_Item_FiscalPeriod,BZ$1333,GD_Item_Name,$B1340,GD_Update_Date,BZ$1332)=0,"NR",SUMIFS(GD_Guidance_Low,GD_Item_Name,$B1340,GD_Item_FiscalPeriod,BZ$1333,GD_Update_Date,BZ$1332)))</f>
        <v/>
      </c>
      <c r="CA1340" s="2009">
        <f>IF(ISBLANK(CA$1333),"N/A",IF(COUNTIFS(GD_Item_FiscalPeriod,CA$1333,GD_Item_Name,$B1340,GD_Update_Date,CA$1332)=0,"NR",SUMIFS(GD_Guidance_Low,GD_Item_Name,$B1340,GD_Item_FiscalPeriod,CA$1333,GD_Update_Date,CA$1332)))</f>
        <v/>
      </c>
      <c r="CB1340" s="1472" t="n"/>
    </row>
    <row r="1341" ht="14.4" customFormat="1" customHeight="1" s="1549">
      <c r="A1341" s="2005" t="inlineStr">
        <is>
          <t>High - Non-GAAP Adjusted Earnings Per Share - WAD, currency/share</t>
        </is>
      </c>
      <c r="B1341" s="2006" t="inlineStr">
        <is>
          <t>MO_RIS_EPS_WAD_Adj</t>
        </is>
      </c>
      <c r="C1341" s="2007" t="n"/>
      <c r="D1341" s="2007" t="n"/>
      <c r="E1341" s="1645" t="n"/>
      <c r="F1341" s="1645" t="n"/>
      <c r="G1341" s="1645" t="n"/>
      <c r="H1341" s="1645" t="n"/>
      <c r="I1341" s="1645" t="n"/>
      <c r="J1341" s="1645" t="n"/>
      <c r="K1341" s="1645" t="n"/>
      <c r="L1341" s="1645" t="n"/>
      <c r="M1341" s="1645" t="n"/>
      <c r="N1341" s="1645" t="n"/>
      <c r="O1341" s="1645" t="n"/>
      <c r="P1341" s="1645" t="n"/>
      <c r="Q1341" s="1645" t="n"/>
      <c r="R1341" s="1645" t="n"/>
      <c r="S1341" s="1645" t="n"/>
      <c r="T1341" s="1645" t="n"/>
      <c r="U1341" s="1645" t="n"/>
      <c r="V1341" s="1645" t="n"/>
      <c r="W1341" s="1645" t="n"/>
      <c r="X1341" s="1645" t="n"/>
      <c r="Y1341" s="1645" t="n"/>
      <c r="Z1341" s="1645" t="n"/>
      <c r="AA1341" s="1645" t="n"/>
      <c r="AB1341" s="1645" t="n"/>
      <c r="AC1341" s="1645">
        <f>IF(ISBLANK(AC$1333),"N/A",IF(COUNTIFS(GD_Item_FiscalPeriod,AC$1333,GD_Item_Name,$B1341,GD_Update_Date,AC$1332)=0,"NR",SUMIFS(GD_Guidance_High,GD_Item_Name,$B1341,GD_Item_FiscalPeriod,AC$1333,GD_Update_Date,AC$1332)))</f>
        <v/>
      </c>
      <c r="AD1341" s="1645">
        <f>IF(ISBLANK(AD$1333),"N/A",IF(COUNTIFS(GD_Item_FiscalPeriod,AD$1333,GD_Item_Name,$B1341,GD_Update_Date,AD$1332)=0,"NR",SUMIFS(GD_Guidance_High,GD_Item_Name,$B1341,GD_Item_FiscalPeriod,AD$1333,GD_Update_Date,AD$1332)))</f>
        <v/>
      </c>
      <c r="AE1341" s="1645">
        <f>IF(ISBLANK(AE$1333),"N/A",IF(COUNTIFS(GD_Item_FiscalPeriod,AE$1333,GD_Item_Name,$B1341,GD_Update_Date,AE$1332)=0,"NR",SUMIFS(GD_Guidance_High,GD_Item_Name,$B1341,GD_Item_FiscalPeriod,AE$1333,GD_Update_Date,AE$1332)))</f>
        <v/>
      </c>
      <c r="AF1341" s="1645">
        <f>IF(ISBLANK(AF$1333),"N/A",IF(COUNTIFS(GD_Item_FiscalPeriod,AF$1333,GD_Item_Name,$B1341,GD_Update_Date,AF$1332)=0,"NR",SUMIFS(GD_Guidance_High,GD_Item_Name,$B1341,GD_Item_FiscalPeriod,AF$1333,GD_Update_Date,AF$1332)))</f>
        <v/>
      </c>
      <c r="AG1341" s="1645">
        <f>IF(ISBLANK(AG$1333),"N/A",IF(COUNTIFS(GD_Item_FiscalPeriod,AG$1333,GD_Item_Name,$B1341,GD_Update_Date,AG$1332)=0,"NR",SUMIFS(GD_Guidance_High,GD_Item_Name,$B1341,GD_Item_FiscalPeriod,AG$1333,GD_Update_Date,AG$1332)))</f>
        <v/>
      </c>
      <c r="AH1341" s="1645">
        <f>IF(ISBLANK(AH$1333),"N/A",IF(COUNTIFS(GD_Item_FiscalPeriod,AH$1333,GD_Item_Name,$B1341,GD_Update_Date,AH$1332)=0,"NR",SUMIFS(GD_Guidance_High,GD_Item_Name,$B1341,GD_Item_FiscalPeriod,AH$1333,GD_Update_Date,AH$1332)))</f>
        <v/>
      </c>
      <c r="AI1341" s="1645">
        <f>IF(ISBLANK(AI$1333),"N/A",IF(COUNTIFS(GD_Item_FiscalPeriod,AI$1333,GD_Item_Name,$B1341,GD_Update_Date,AI$1332)=0,"NR",SUMIFS(GD_Guidance_High,GD_Item_Name,$B1341,GD_Item_FiscalPeriod,AI$1333,GD_Update_Date,AI$1332)))</f>
        <v/>
      </c>
      <c r="AJ1341" s="1645">
        <f>IF(ISBLANK(AJ$1333),"N/A",IF(COUNTIFS(GD_Item_FiscalPeriod,AJ$1333,GD_Item_Name,$B1341,GD_Update_Date,AJ$1332)=0,"NR",SUMIFS(GD_Guidance_High,GD_Item_Name,$B1341,GD_Item_FiscalPeriod,AJ$1333,GD_Update_Date,AJ$1332)))</f>
        <v/>
      </c>
      <c r="AK1341" s="1645">
        <f>IF(ISBLANK(AK$1333),"N/A",IF(COUNTIFS(GD_Item_FiscalPeriod,AK$1333,GD_Item_Name,$B1341,GD_Update_Date,AK$1332)=0,"NR",SUMIFS(GD_Guidance_High,GD_Item_Name,$B1341,GD_Item_FiscalPeriod,AK$1333,GD_Update_Date,AK$1332)))</f>
        <v/>
      </c>
      <c r="AL1341" s="1645">
        <f>IF(ISBLANK(AL$1333),"N/A",IF(COUNTIFS(GD_Item_FiscalPeriod,AL$1333,GD_Item_Name,$B1341,GD_Update_Date,AL$1332)=0,"NR",SUMIFS(GD_Guidance_High,GD_Item_Name,$B1341,GD_Item_FiscalPeriod,AL$1333,GD_Update_Date,AL$1332)))</f>
        <v/>
      </c>
      <c r="AM1341" s="1645">
        <f>IF(ISBLANK(AM$1333),"N/A",IF(COUNTIFS(GD_Item_FiscalPeriod,AM$1333,GD_Item_Name,$B1341,GD_Update_Date,AM$1332)=0,"NR",SUMIFS(GD_Guidance_High,GD_Item_Name,$B1341,GD_Item_FiscalPeriod,AM$1333,GD_Update_Date,AM$1332)))</f>
        <v/>
      </c>
      <c r="AN1341" s="1645">
        <f>IF(ISBLANK(AN$1333),"N/A",IF(COUNTIFS(GD_Item_FiscalPeriod,AN$1333,GD_Item_Name,$B1341,GD_Update_Date,AN$1332)=0,"NR",SUMIFS(GD_Guidance_High,GD_Item_Name,$B1341,GD_Item_FiscalPeriod,AN$1333,GD_Update_Date,AN$1332)))</f>
        <v/>
      </c>
      <c r="AO1341" s="1645">
        <f>IF(ISBLANK(AO$1333),"N/A",IF(COUNTIFS(GD_Item_FiscalPeriod,AO$1333,GD_Item_Name,$B1341,GD_Update_Date,AO$1332)=0,"NR",SUMIFS(GD_Guidance_High,GD_Item_Name,$B1341,GD_Item_FiscalPeriod,AO$1333,GD_Update_Date,AO$1332)))</f>
        <v/>
      </c>
      <c r="AP1341" s="1645">
        <f>IF(ISBLANK(AP$1333),"N/A",IF(COUNTIFS(GD_Item_FiscalPeriod,AP$1333,GD_Item_Name,$B1341,GD_Update_Date,AP$1332)=0,"NR",SUMIFS(GD_Guidance_High,GD_Item_Name,$B1341,GD_Item_FiscalPeriod,AP$1333,GD_Update_Date,AP$1332)))</f>
        <v/>
      </c>
      <c r="AQ1341" s="1645">
        <f>IF(ISBLANK(AQ$1333),"N/A",IF(COUNTIFS(GD_Item_FiscalPeriod,AQ$1333,GD_Item_Name,$B1341,GD_Update_Date,AQ$1332)=0,"NR",SUMIFS(GD_Guidance_High,GD_Item_Name,$B1341,GD_Item_FiscalPeriod,AQ$1333,GD_Update_Date,AQ$1332)))</f>
        <v/>
      </c>
      <c r="AR1341" s="1645">
        <f>IF(ISBLANK(AR$1333),"N/A",IF(COUNTIFS(GD_Item_FiscalPeriod,AR$1333,GD_Item_Name,$B1341,GD_Update_Date,AR$1332)=0,"NR",SUMIFS(GD_Guidance_High,GD_Item_Name,$B1341,GD_Item_FiscalPeriod,AR$1333,GD_Update_Date,AR$1332)))</f>
        <v/>
      </c>
      <c r="AS1341" s="1645">
        <f>IF(ISBLANK(AS$1333),"N/A",IF(COUNTIFS(GD_Item_FiscalPeriod,AS$1333,GD_Item_Name,$B1341,GD_Update_Date,AS$1332)=0,"NR",SUMIFS(GD_Guidance_High,GD_Item_Name,$B1341,GD_Item_FiscalPeriod,AS$1333,GD_Update_Date,AS$1332)))</f>
        <v/>
      </c>
      <c r="AT1341" s="1645">
        <f>IF(ISBLANK(AT$1333),"N/A",IF(COUNTIFS(GD_Item_FiscalPeriod,AT$1333,GD_Item_Name,$B1341,GD_Update_Date,AT$1332)=0,"NR",SUMIFS(GD_Guidance_High,GD_Item_Name,$B1341,GD_Item_FiscalPeriod,AT$1333,GD_Update_Date,AT$1332)))</f>
        <v/>
      </c>
      <c r="AU1341" s="1645">
        <f>IF(ISBLANK(AU$1333),"N/A",IF(COUNTIFS(GD_Item_FiscalPeriod,AU$1333,GD_Item_Name,$B1341,GD_Update_Date,AU$1332)=0,"NR",SUMIFS(GD_Guidance_High,GD_Item_Name,$B1341,GD_Item_FiscalPeriod,AU$1333,GD_Update_Date,AU$1332)))</f>
        <v/>
      </c>
      <c r="AV1341" s="1645">
        <f>IF(ISBLANK(AV$1333),"N/A",IF(COUNTIFS(GD_Item_FiscalPeriod,AV$1333,GD_Item_Name,$B1341,GD_Update_Date,AV$1332)=0,"NR",SUMIFS(GD_Guidance_High,GD_Item_Name,$B1341,GD_Item_FiscalPeriod,AV$1333,GD_Update_Date,AV$1332)))</f>
        <v/>
      </c>
      <c r="AW1341" s="1645">
        <f>IF(ISBLANK(AW$1333),"N/A",IF(COUNTIFS(GD_Item_FiscalPeriod,AW$1333,GD_Item_Name,$B1341,GD_Update_Date,AW$1332)=0,"NR",SUMIFS(GD_Guidance_High,GD_Item_Name,$B1341,GD_Item_FiscalPeriod,AW$1333,GD_Update_Date,AW$1332)))</f>
        <v/>
      </c>
      <c r="AX1341" s="1645">
        <f>IF(ISBLANK(AX$1333),"N/A",IF(COUNTIFS(GD_Item_FiscalPeriod,AX$1333,GD_Item_Name,$B1341,GD_Update_Date,AX$1332)=0,"NR",SUMIFS(GD_Guidance_High,GD_Item_Name,$B1341,GD_Item_FiscalPeriod,AX$1333,GD_Update_Date,AX$1332)))</f>
        <v/>
      </c>
      <c r="AY1341" s="1645">
        <f>IF(ISBLANK(AY$1333),"N/A",IF(COUNTIFS(GD_Item_FiscalPeriod,AY$1333,GD_Item_Name,$B1341,GD_Update_Date,AY$1332)=0,"NR",SUMIFS(GD_Guidance_High,GD_Item_Name,$B1341,GD_Item_FiscalPeriod,AY$1333,GD_Update_Date,AY$1332)))</f>
        <v/>
      </c>
      <c r="AZ1341" s="1645">
        <f>IF(ISBLANK(AZ$1333),"N/A",IF(COUNTIFS(GD_Item_FiscalPeriod,AZ$1333,GD_Item_Name,$B1341,GD_Update_Date,AZ$1332)=0,"NR",SUMIFS(GD_Guidance_High,GD_Item_Name,$B1341,GD_Item_FiscalPeriod,AZ$1333,GD_Update_Date,AZ$1332)))</f>
        <v/>
      </c>
      <c r="BA1341" s="1645">
        <f>IF(ISBLANK(BA$1333),"N/A",IF(COUNTIFS(GD_Item_FiscalPeriod,BA$1333,GD_Item_Name,$B1341,GD_Update_Date,BA$1332)=0,"NR",SUMIFS(GD_Guidance_High,GD_Item_Name,$B1341,GD_Item_FiscalPeriod,BA$1333,GD_Update_Date,BA$1332)))</f>
        <v/>
      </c>
      <c r="BB1341" s="1645">
        <f>IF(ISBLANK(BB$1333),"N/A",IF(COUNTIFS(GD_Item_FiscalPeriod,BB$1333,GD_Item_Name,$B1341,GD_Update_Date,BB$1332)=0,"NR",SUMIFS(GD_Guidance_High,GD_Item_Name,$B1341,GD_Item_FiscalPeriod,BB$1333,GD_Update_Date,BB$1332)))</f>
        <v/>
      </c>
      <c r="BC1341" s="1645">
        <f>IF(ISBLANK(BC$1333),"N/A",IF(COUNTIFS(GD_Item_FiscalPeriod,BC$1333,GD_Item_Name,$B1341,GD_Update_Date,BC$1332)=0,"NR",SUMIFS(GD_Guidance_High,GD_Item_Name,$B1341,GD_Item_FiscalPeriod,BC$1333,GD_Update_Date,BC$1332)))</f>
        <v/>
      </c>
      <c r="BD1341" s="1645">
        <f>IF(ISBLANK(BD$1333),"N/A",IF(COUNTIFS(GD_Item_FiscalPeriod,BD$1333,GD_Item_Name,$B1341,GD_Update_Date,BD$1332)=0,"NR",SUMIFS(GD_Guidance_High,GD_Item_Name,$B1341,GD_Item_FiscalPeriod,BD$1333,GD_Update_Date,BD$1332)))</f>
        <v/>
      </c>
      <c r="BE1341" s="1645">
        <f>IF(ISBLANK(BE$1333),"N/A",IF(COUNTIFS(GD_Item_FiscalPeriod,BE$1333,GD_Item_Name,$B1341,GD_Update_Date,BE$1332)=0,"NR",SUMIFS(GD_Guidance_High,GD_Item_Name,$B1341,GD_Item_FiscalPeriod,BE$1333,GD_Update_Date,BE$1332)))</f>
        <v/>
      </c>
      <c r="BF1341" s="1645">
        <f>IF(ISBLANK(BF$1333),"N/A",IF(COUNTIFS(GD_Item_FiscalPeriod,BF$1333,GD_Item_Name,$B1341,GD_Update_Date,BF$1332)=0,"NR",SUMIFS(GD_Guidance_High,GD_Item_Name,$B1341,GD_Item_FiscalPeriod,BF$1333,GD_Update_Date,BF$1332)))</f>
        <v/>
      </c>
      <c r="BG1341" s="1645">
        <f>IF(ISBLANK(BG$1333),"N/A",IF(COUNTIFS(GD_Item_FiscalPeriod,BG$1333,GD_Item_Name,$B1341,GD_Update_Date,BG$1332)=0,"NR",SUMIFS(GD_Guidance_High,GD_Item_Name,$B1341,GD_Item_FiscalPeriod,BG$1333,GD_Update_Date,BG$1332)))</f>
        <v/>
      </c>
      <c r="BH1341" s="1645">
        <f>IF(ISBLANK(BH$1333),"N/A",IF(COUNTIFS(GD_Item_FiscalPeriod,BH$1333,GD_Item_Name,$B1341,GD_Update_Date,BH$1332)=0,"NR",SUMIFS(GD_Guidance_High,GD_Item_Name,$B1341,GD_Item_FiscalPeriod,BH$1333,GD_Update_Date,BH$1332)))</f>
        <v/>
      </c>
      <c r="BI1341" s="1645">
        <f>IF(ISBLANK(BI$1333),"N/A",IF(COUNTIFS(GD_Item_FiscalPeriod,BI$1333,GD_Item_Name,$B1341,GD_Update_Date,BI$1332)=0,"NR",SUMIFS(GD_Guidance_High,GD_Item_Name,$B1341,GD_Item_FiscalPeriod,BI$1333,GD_Update_Date,BI$1332)))</f>
        <v/>
      </c>
      <c r="BJ1341" s="1645">
        <f>IF(ISBLANK(BJ$1333),"N/A",IF(COUNTIFS(GD_Item_FiscalPeriod,BJ$1333,GD_Item_Name,$B1341,GD_Update_Date,BJ$1332)=0,"NR",SUMIFS(GD_Guidance_High,GD_Item_Name,$B1341,GD_Item_FiscalPeriod,BJ$1333,GD_Update_Date,BJ$1332)))</f>
        <v/>
      </c>
      <c r="BK1341" s="1645">
        <f>IF(ISBLANK(BK$1333),"N/A",IF(COUNTIFS(GD_Item_FiscalPeriod,BK$1333,GD_Item_Name,$B1341,GD_Update_Date,BK$1332)=0,"NR",SUMIFS(GD_Guidance_High,GD_Item_Name,$B1341,GD_Item_FiscalPeriod,BK$1333,GD_Update_Date,BK$1332)))</f>
        <v/>
      </c>
      <c r="BL1341" s="1645">
        <f>IF(ISBLANK(BL$1333),"N/A",IF(COUNTIFS(GD_Item_FiscalPeriod,BL$1333,GD_Item_Name,$B1341,GD_Update_Date,BL$1332)=0,"NR",SUMIFS(GD_Guidance_High,GD_Item_Name,$B1341,GD_Item_FiscalPeriod,BL$1333,GD_Update_Date,BL$1332)))</f>
        <v/>
      </c>
      <c r="BM1341" s="1645">
        <f>IF(ISBLANK(BM$1333),"N/A",IF(COUNTIFS(GD_Item_FiscalPeriod,BM$1333,GD_Item_Name,$B1341,GD_Update_Date,BM$1332)=0,"NR",SUMIFS(GD_Guidance_High,GD_Item_Name,$B1341,GD_Item_FiscalPeriod,BM$1333,GD_Update_Date,BM$1332)))</f>
        <v/>
      </c>
      <c r="BN1341" s="1645">
        <f>IF(ISBLANK(BN$1333),"N/A",IF(COUNTIFS(GD_Item_FiscalPeriod,BN$1333,GD_Item_Name,$B1341,GD_Update_Date,BN$1332)=0,"NR",SUMIFS(GD_Guidance_High,GD_Item_Name,$B1341,GD_Item_FiscalPeriod,BN$1333,GD_Update_Date,BN$1332)))</f>
        <v/>
      </c>
      <c r="BO1341" s="1645">
        <f>IF(ISBLANK(BO$1333),"N/A",IF(COUNTIFS(GD_Item_FiscalPeriod,BO$1333,GD_Item_Name,$B1341,GD_Update_Date,BO$1332)=0,"NR",SUMIFS(GD_Guidance_High,GD_Item_Name,$B1341,GD_Item_FiscalPeriod,BO$1333,GD_Update_Date,BO$1332)))</f>
        <v/>
      </c>
      <c r="BP1341" s="1645">
        <f>IF(ISBLANK(BP$1333),"N/A",IF(COUNTIFS(GD_Item_FiscalPeriod,BP$1333,GD_Item_Name,$B1341,GD_Update_Date,BP$1332)=0,"NR",SUMIFS(GD_Guidance_High,GD_Item_Name,$B1341,GD_Item_FiscalPeriod,BP$1333,GD_Update_Date,BP$1332)))</f>
        <v/>
      </c>
      <c r="BQ1341" s="2008">
        <f>IF(ISBLANK(BQ$1333),"N/A",IF(COUNTIFS(GD_Item_FiscalPeriod,BQ$1333,GD_Item_Name,$B1341,GD_Update_Date,BQ$1332)=0,"NR",SUMIFS(GD_Guidance_High,GD_Item_Name,$B1341,GD_Item_FiscalPeriod,BQ$1333,GD_Update_Date,BQ$1332)))</f>
        <v/>
      </c>
      <c r="BR1341" s="1645">
        <f>IF(ISBLANK(BR$1333),"N/A",IF(COUNTIFS(GD_Item_FiscalPeriod,BR$1333,GD_Item_Name,$B1341,GD_Update_Date,BR$1332)=0,"NR",SUMIFS(GD_Guidance_High,GD_Item_Name,$B1341,GD_Item_FiscalPeriod,BR$1333,GD_Update_Date,BR$1332)))</f>
        <v/>
      </c>
      <c r="BS1341" s="1645">
        <f>IF(ISBLANK(BS$1333),"N/A",IF(COUNTIFS(GD_Item_FiscalPeriod,BS$1333,GD_Item_Name,$B1341,GD_Update_Date,BS$1332)=0,"NR",SUMIFS(GD_Guidance_High,GD_Item_Name,$B1341,GD_Item_FiscalPeriod,BS$1333,GD_Update_Date,BS$1332)))</f>
        <v/>
      </c>
      <c r="BT1341" s="1645">
        <f>IF(ISBLANK(BT$1333),"N/A",IF(COUNTIFS(GD_Item_FiscalPeriod,BT$1333,GD_Item_Name,$B1341,GD_Update_Date,BT$1332)=0,"NR",SUMIFS(GD_Guidance_High,GD_Item_Name,$B1341,GD_Item_FiscalPeriod,BT$1333,GD_Update_Date,BT$1332)))</f>
        <v/>
      </c>
      <c r="BU1341" s="1645">
        <f>IF(ISBLANK(BU$1333),"N/A",IF(COUNTIFS(GD_Item_FiscalPeriod,BU$1333,GD_Item_Name,$B1341,GD_Update_Date,BU$1332)=0,"NR",SUMIFS(GD_Guidance_High,GD_Item_Name,$B1341,GD_Item_FiscalPeriod,BU$1333,GD_Update_Date,BU$1332)))</f>
        <v/>
      </c>
      <c r="BV1341" s="1645">
        <f>IF(ISBLANK(BV$1333),"N/A",IF(COUNTIFS(GD_Item_FiscalPeriod,BV$1333,GD_Item_Name,$B1341,GD_Update_Date,BV$1332)=0,"NR",SUMIFS(GD_Guidance_High,GD_Item_Name,$B1341,GD_Item_FiscalPeriod,BV$1333,GD_Update_Date,BV$1332)))</f>
        <v/>
      </c>
      <c r="BW1341" s="1645">
        <f>IF(ISBLANK(BW$1333),"N/A",IF(COUNTIFS(GD_Item_FiscalPeriod,BW$1333,GD_Item_Name,$B1341,GD_Update_Date,BW$1332)=0,"NR",SUMIFS(GD_Guidance_High,GD_Item_Name,$B1341,GD_Item_FiscalPeriod,BW$1333,GD_Update_Date,BW$1332)))</f>
        <v/>
      </c>
      <c r="BX1341" s="1645">
        <f>IF(ISBLANK(BX$1333),"N/A",IF(COUNTIFS(GD_Item_FiscalPeriod,BX$1333,GD_Item_Name,$B1341,GD_Update_Date,BX$1332)=0,"NR",SUMIFS(GD_Guidance_High,GD_Item_Name,$B1341,GD_Item_FiscalPeriod,BX$1333,GD_Update_Date,BX$1332)))</f>
        <v/>
      </c>
      <c r="BY1341" s="1645">
        <f>IF(ISBLANK(BY$1333),"N/A",IF(COUNTIFS(GD_Item_FiscalPeriod,BY$1333,GD_Item_Name,$B1341,GD_Update_Date,BY$1332)=0,"NR",SUMIFS(GD_Guidance_High,GD_Item_Name,$B1341,GD_Item_FiscalPeriod,BY$1333,GD_Update_Date,BY$1332)))</f>
        <v/>
      </c>
      <c r="BZ1341" s="1645">
        <f>IF(ISBLANK(BZ$1333),"N/A",IF(COUNTIFS(GD_Item_FiscalPeriod,BZ$1333,GD_Item_Name,$B1341,GD_Update_Date,BZ$1332)=0,"NR",SUMIFS(GD_Guidance_High,GD_Item_Name,$B1341,GD_Item_FiscalPeriod,BZ$1333,GD_Update_Date,BZ$1332)))</f>
        <v/>
      </c>
      <c r="CA1341" s="2009">
        <f>IF(ISBLANK(CA$1333),"N/A",IF(COUNTIFS(GD_Item_FiscalPeriod,CA$1333,GD_Item_Name,$B1341,GD_Update_Date,CA$1332)=0,"NR",SUMIFS(GD_Guidance_High,GD_Item_Name,$B1341,GD_Item_FiscalPeriod,CA$1333,GD_Update_Date,CA$1332)))</f>
        <v/>
      </c>
      <c r="CB1341" s="1472" t="n"/>
    </row>
    <row r="1342" ht="14.4" customFormat="1" customHeight="1" s="1549">
      <c r="A1342" s="2005" t="inlineStr">
        <is>
          <t>Mid - Non-GAAP Adjusted Earnings Per Share - WAD, currency/share</t>
        </is>
      </c>
      <c r="B1342" s="2006" t="inlineStr">
        <is>
          <t>MO_RIS_EPS_WAD_Adj</t>
        </is>
      </c>
      <c r="C1342" s="2007" t="n"/>
      <c r="D1342" s="2007" t="n"/>
      <c r="E1342" s="1645" t="n"/>
      <c r="F1342" s="1645" t="n"/>
      <c r="G1342" s="1645" t="n"/>
      <c r="H1342" s="1645" t="n"/>
      <c r="I1342" s="1645" t="n"/>
      <c r="J1342" s="1645" t="n"/>
      <c r="K1342" s="1645" t="n"/>
      <c r="L1342" s="1645" t="n"/>
      <c r="M1342" s="1645" t="n"/>
      <c r="N1342" s="1645" t="n"/>
      <c r="O1342" s="1645" t="n"/>
      <c r="P1342" s="1645" t="n"/>
      <c r="Q1342" s="1645" t="n"/>
      <c r="R1342" s="1645" t="n"/>
      <c r="S1342" s="1645" t="n"/>
      <c r="T1342" s="1645" t="n"/>
      <c r="U1342" s="1645" t="n"/>
      <c r="V1342" s="1645" t="n"/>
      <c r="W1342" s="1645" t="n"/>
      <c r="X1342" s="1645" t="n"/>
      <c r="Y1342" s="1645" t="n"/>
      <c r="Z1342" s="1645" t="n"/>
      <c r="AA1342" s="1645" t="n"/>
      <c r="AB1342" s="1645" t="n"/>
      <c r="AC1342" s="1645">
        <f>IF(ISBLANK(AC$1333),"N/A",IF(COUNTIFS(GD_Item_FiscalPeriod,AC$1333,GD_Item_Name,$B1342,GD_Update_Date,AC$1332)=0,"NR",SUMIFS(GD_Guidance_Mid,GD_Item_Name,$B1342,GD_Item_FiscalPeriod,AC$1333,GD_Update_Date,AC$1332)))</f>
        <v/>
      </c>
      <c r="AD1342" s="1645">
        <f>IF(ISBLANK(AD$1333),"N/A",IF(COUNTIFS(GD_Item_FiscalPeriod,AD$1333,GD_Item_Name,$B1342,GD_Update_Date,AD$1332)=0,"NR",SUMIFS(GD_Guidance_Mid,GD_Item_Name,$B1342,GD_Item_FiscalPeriod,AD$1333,GD_Update_Date,AD$1332)))</f>
        <v/>
      </c>
      <c r="AE1342" s="1645">
        <f>IF(ISBLANK(AE$1333),"N/A",IF(COUNTIFS(GD_Item_FiscalPeriod,AE$1333,GD_Item_Name,$B1342,GD_Update_Date,AE$1332)=0,"NR",SUMIFS(GD_Guidance_Mid,GD_Item_Name,$B1342,GD_Item_FiscalPeriod,AE$1333,GD_Update_Date,AE$1332)))</f>
        <v/>
      </c>
      <c r="AF1342" s="1645">
        <f>IF(ISBLANK(AF$1333),"N/A",IF(COUNTIFS(GD_Item_FiscalPeriod,AF$1333,GD_Item_Name,$B1342,GD_Update_Date,AF$1332)=0,"NR",SUMIFS(GD_Guidance_Mid,GD_Item_Name,$B1342,GD_Item_FiscalPeriod,AF$1333,GD_Update_Date,AF$1332)))</f>
        <v/>
      </c>
      <c r="AG1342" s="1645">
        <f>IF(ISBLANK(AG$1333),"N/A",IF(COUNTIFS(GD_Item_FiscalPeriod,AG$1333,GD_Item_Name,$B1342,GD_Update_Date,AG$1332)=0,"NR",SUMIFS(GD_Guidance_Mid,GD_Item_Name,$B1342,GD_Item_FiscalPeriod,AG$1333,GD_Update_Date,AG$1332)))</f>
        <v/>
      </c>
      <c r="AH1342" s="1645">
        <f>IF(ISBLANK(AH$1333),"N/A",IF(COUNTIFS(GD_Item_FiscalPeriod,AH$1333,GD_Item_Name,$B1342,GD_Update_Date,AH$1332)=0,"NR",SUMIFS(GD_Guidance_Mid,GD_Item_Name,$B1342,GD_Item_FiscalPeriod,AH$1333,GD_Update_Date,AH$1332)))</f>
        <v/>
      </c>
      <c r="AI1342" s="1645">
        <f>IF(ISBLANK(AI$1333),"N/A",IF(COUNTIFS(GD_Item_FiscalPeriod,AI$1333,GD_Item_Name,$B1342,GD_Update_Date,AI$1332)=0,"NR",SUMIFS(GD_Guidance_Mid,GD_Item_Name,$B1342,GD_Item_FiscalPeriod,AI$1333,GD_Update_Date,AI$1332)))</f>
        <v/>
      </c>
      <c r="AJ1342" s="1645">
        <f>IF(ISBLANK(AJ$1333),"N/A",IF(COUNTIFS(GD_Item_FiscalPeriod,AJ$1333,GD_Item_Name,$B1342,GD_Update_Date,AJ$1332)=0,"NR",SUMIFS(GD_Guidance_Mid,GD_Item_Name,$B1342,GD_Item_FiscalPeriod,AJ$1333,GD_Update_Date,AJ$1332)))</f>
        <v/>
      </c>
      <c r="AK1342" s="1645">
        <f>IF(ISBLANK(AK$1333),"N/A",IF(COUNTIFS(GD_Item_FiscalPeriod,AK$1333,GD_Item_Name,$B1342,GD_Update_Date,AK$1332)=0,"NR",SUMIFS(GD_Guidance_Mid,GD_Item_Name,$B1342,GD_Item_FiscalPeriod,AK$1333,GD_Update_Date,AK$1332)))</f>
        <v/>
      </c>
      <c r="AL1342" s="1645">
        <f>IF(ISBLANK(AL$1333),"N/A",IF(COUNTIFS(GD_Item_FiscalPeriod,AL$1333,GD_Item_Name,$B1342,GD_Update_Date,AL$1332)=0,"NR",SUMIFS(GD_Guidance_Mid,GD_Item_Name,$B1342,GD_Item_FiscalPeriod,AL$1333,GD_Update_Date,AL$1332)))</f>
        <v/>
      </c>
      <c r="AM1342" s="1645">
        <f>IF(ISBLANK(AM$1333),"N/A",IF(COUNTIFS(GD_Item_FiscalPeriod,AM$1333,GD_Item_Name,$B1342,GD_Update_Date,AM$1332)=0,"NR",SUMIFS(GD_Guidance_Mid,GD_Item_Name,$B1342,GD_Item_FiscalPeriod,AM$1333,GD_Update_Date,AM$1332)))</f>
        <v/>
      </c>
      <c r="AN1342" s="1645">
        <f>IF(ISBLANK(AN$1333),"N/A",IF(COUNTIFS(GD_Item_FiscalPeriod,AN$1333,GD_Item_Name,$B1342,GD_Update_Date,AN$1332)=0,"NR",SUMIFS(GD_Guidance_Mid,GD_Item_Name,$B1342,GD_Item_FiscalPeriod,AN$1333,GD_Update_Date,AN$1332)))</f>
        <v/>
      </c>
      <c r="AO1342" s="1645">
        <f>IF(ISBLANK(AO$1333),"N/A",IF(COUNTIFS(GD_Item_FiscalPeriod,AO$1333,GD_Item_Name,$B1342,GD_Update_Date,AO$1332)=0,"NR",SUMIFS(GD_Guidance_Mid,GD_Item_Name,$B1342,GD_Item_FiscalPeriod,AO$1333,GD_Update_Date,AO$1332)))</f>
        <v/>
      </c>
      <c r="AP1342" s="1645">
        <f>IF(ISBLANK(AP$1333),"N/A",IF(COUNTIFS(GD_Item_FiscalPeriod,AP$1333,GD_Item_Name,$B1342,GD_Update_Date,AP$1332)=0,"NR",SUMIFS(GD_Guidance_Mid,GD_Item_Name,$B1342,GD_Item_FiscalPeriod,AP$1333,GD_Update_Date,AP$1332)))</f>
        <v/>
      </c>
      <c r="AQ1342" s="1645">
        <f>IF(ISBLANK(AQ$1333),"N/A",IF(COUNTIFS(GD_Item_FiscalPeriod,AQ$1333,GD_Item_Name,$B1342,GD_Update_Date,AQ$1332)=0,"NR",SUMIFS(GD_Guidance_Mid,GD_Item_Name,$B1342,GD_Item_FiscalPeriod,AQ$1333,GD_Update_Date,AQ$1332)))</f>
        <v/>
      </c>
      <c r="AR1342" s="1645">
        <f>IF(ISBLANK(AR$1333),"N/A",IF(COUNTIFS(GD_Item_FiscalPeriod,AR$1333,GD_Item_Name,$B1342,GD_Update_Date,AR$1332)=0,"NR",SUMIFS(GD_Guidance_Mid,GD_Item_Name,$B1342,GD_Item_FiscalPeriod,AR$1333,GD_Update_Date,AR$1332)))</f>
        <v/>
      </c>
      <c r="AS1342" s="1645">
        <f>IF(ISBLANK(AS$1333),"N/A",IF(COUNTIFS(GD_Item_FiscalPeriod,AS$1333,GD_Item_Name,$B1342,GD_Update_Date,AS$1332)=0,"NR",SUMIFS(GD_Guidance_Mid,GD_Item_Name,$B1342,GD_Item_FiscalPeriod,AS$1333,GD_Update_Date,AS$1332)))</f>
        <v/>
      </c>
      <c r="AT1342" s="1645">
        <f>IF(ISBLANK(AT$1333),"N/A",IF(COUNTIFS(GD_Item_FiscalPeriod,AT$1333,GD_Item_Name,$B1342,GD_Update_Date,AT$1332)=0,"NR",SUMIFS(GD_Guidance_Mid,GD_Item_Name,$B1342,GD_Item_FiscalPeriod,AT$1333,GD_Update_Date,AT$1332)))</f>
        <v/>
      </c>
      <c r="AU1342" s="1645">
        <f>IF(ISBLANK(AU$1333),"N/A",IF(COUNTIFS(GD_Item_FiscalPeriod,AU$1333,GD_Item_Name,$B1342,GD_Update_Date,AU$1332)=0,"NR",SUMIFS(GD_Guidance_Mid,GD_Item_Name,$B1342,GD_Item_FiscalPeriod,AU$1333,GD_Update_Date,AU$1332)))</f>
        <v/>
      </c>
      <c r="AV1342" s="1645">
        <f>IF(ISBLANK(AV$1333),"N/A",IF(COUNTIFS(GD_Item_FiscalPeriod,AV$1333,GD_Item_Name,$B1342,GD_Update_Date,AV$1332)=0,"NR",SUMIFS(GD_Guidance_Mid,GD_Item_Name,$B1342,GD_Item_FiscalPeriod,AV$1333,GD_Update_Date,AV$1332)))</f>
        <v/>
      </c>
      <c r="AW1342" s="1645">
        <f>IF(ISBLANK(AW$1333),"N/A",IF(COUNTIFS(GD_Item_FiscalPeriod,AW$1333,GD_Item_Name,$B1342,GD_Update_Date,AW$1332)=0,"NR",SUMIFS(GD_Guidance_Mid,GD_Item_Name,$B1342,GD_Item_FiscalPeriod,AW$1333,GD_Update_Date,AW$1332)))</f>
        <v/>
      </c>
      <c r="AX1342" s="1645">
        <f>IF(ISBLANK(AX$1333),"N/A",IF(COUNTIFS(GD_Item_FiscalPeriod,AX$1333,GD_Item_Name,$B1342,GD_Update_Date,AX$1332)=0,"NR",SUMIFS(GD_Guidance_Mid,GD_Item_Name,$B1342,GD_Item_FiscalPeriod,AX$1333,GD_Update_Date,AX$1332)))</f>
        <v/>
      </c>
      <c r="AY1342" s="1645">
        <f>IF(ISBLANK(AY$1333),"N/A",IF(COUNTIFS(GD_Item_FiscalPeriod,AY$1333,GD_Item_Name,$B1342,GD_Update_Date,AY$1332)=0,"NR",SUMIFS(GD_Guidance_Mid,GD_Item_Name,$B1342,GD_Item_FiscalPeriod,AY$1333,GD_Update_Date,AY$1332)))</f>
        <v/>
      </c>
      <c r="AZ1342" s="1645">
        <f>IF(ISBLANK(AZ$1333),"N/A",IF(COUNTIFS(GD_Item_FiscalPeriod,AZ$1333,GD_Item_Name,$B1342,GD_Update_Date,AZ$1332)=0,"NR",SUMIFS(GD_Guidance_Mid,GD_Item_Name,$B1342,GD_Item_FiscalPeriod,AZ$1333,GD_Update_Date,AZ$1332)))</f>
        <v/>
      </c>
      <c r="BA1342" s="1645">
        <f>IF(ISBLANK(BA$1333),"N/A",IF(COUNTIFS(GD_Item_FiscalPeriod,BA$1333,GD_Item_Name,$B1342,GD_Update_Date,BA$1332)=0,"NR",SUMIFS(GD_Guidance_Mid,GD_Item_Name,$B1342,GD_Item_FiscalPeriod,BA$1333,GD_Update_Date,BA$1332)))</f>
        <v/>
      </c>
      <c r="BB1342" s="1645">
        <f>IF(ISBLANK(BB$1333),"N/A",IF(COUNTIFS(GD_Item_FiscalPeriod,BB$1333,GD_Item_Name,$B1342,GD_Update_Date,BB$1332)=0,"NR",SUMIFS(GD_Guidance_Mid,GD_Item_Name,$B1342,GD_Item_FiscalPeriod,BB$1333,GD_Update_Date,BB$1332)))</f>
        <v/>
      </c>
      <c r="BC1342" s="1645">
        <f>IF(ISBLANK(BC$1333),"N/A",IF(COUNTIFS(GD_Item_FiscalPeriod,BC$1333,GD_Item_Name,$B1342,GD_Update_Date,BC$1332)=0,"NR",SUMIFS(GD_Guidance_Mid,GD_Item_Name,$B1342,GD_Item_FiscalPeriod,BC$1333,GD_Update_Date,BC$1332)))</f>
        <v/>
      </c>
      <c r="BD1342" s="1645">
        <f>IF(ISBLANK(BD$1333),"N/A",IF(COUNTIFS(GD_Item_FiscalPeriod,BD$1333,GD_Item_Name,$B1342,GD_Update_Date,BD$1332)=0,"NR",SUMIFS(GD_Guidance_Mid,GD_Item_Name,$B1342,GD_Item_FiscalPeriod,BD$1333,GD_Update_Date,BD$1332)))</f>
        <v/>
      </c>
      <c r="BE1342" s="1645">
        <f>IF(ISBLANK(BE$1333),"N/A",IF(COUNTIFS(GD_Item_FiscalPeriod,BE$1333,GD_Item_Name,$B1342,GD_Update_Date,BE$1332)=0,"NR",SUMIFS(GD_Guidance_Mid,GD_Item_Name,$B1342,GD_Item_FiscalPeriod,BE$1333,GD_Update_Date,BE$1332)))</f>
        <v/>
      </c>
      <c r="BF1342" s="1645">
        <f>IF(ISBLANK(BF$1333),"N/A",IF(COUNTIFS(GD_Item_FiscalPeriod,BF$1333,GD_Item_Name,$B1342,GD_Update_Date,BF$1332)=0,"NR",SUMIFS(GD_Guidance_Mid,GD_Item_Name,$B1342,GD_Item_FiscalPeriod,BF$1333,GD_Update_Date,BF$1332)))</f>
        <v/>
      </c>
      <c r="BG1342" s="1645">
        <f>IF(ISBLANK(BG$1333),"N/A",IF(COUNTIFS(GD_Item_FiscalPeriod,BG$1333,GD_Item_Name,$B1342,GD_Update_Date,BG$1332)=0,"NR",SUMIFS(GD_Guidance_Mid,GD_Item_Name,$B1342,GD_Item_FiscalPeriod,BG$1333,GD_Update_Date,BG$1332)))</f>
        <v/>
      </c>
      <c r="BH1342" s="1645">
        <f>IF(ISBLANK(BH$1333),"N/A",IF(COUNTIFS(GD_Item_FiscalPeriod,BH$1333,GD_Item_Name,$B1342,GD_Update_Date,BH$1332)=0,"NR",SUMIFS(GD_Guidance_Mid,GD_Item_Name,$B1342,GD_Item_FiscalPeriod,BH$1333,GD_Update_Date,BH$1332)))</f>
        <v/>
      </c>
      <c r="BI1342" s="1645">
        <f>IF(ISBLANK(BI$1333),"N/A",IF(COUNTIFS(GD_Item_FiscalPeriod,BI$1333,GD_Item_Name,$B1342,GD_Update_Date,BI$1332)=0,"NR",SUMIFS(GD_Guidance_Mid,GD_Item_Name,$B1342,GD_Item_FiscalPeriod,BI$1333,GD_Update_Date,BI$1332)))</f>
        <v/>
      </c>
      <c r="BJ1342" s="1645">
        <f>IF(ISBLANK(BJ$1333),"N/A",IF(COUNTIFS(GD_Item_FiscalPeriod,BJ$1333,GD_Item_Name,$B1342,GD_Update_Date,BJ$1332)=0,"NR",SUMIFS(GD_Guidance_Mid,GD_Item_Name,$B1342,GD_Item_FiscalPeriod,BJ$1333,GD_Update_Date,BJ$1332)))</f>
        <v/>
      </c>
      <c r="BK1342" s="1645">
        <f>IF(ISBLANK(BK$1333),"N/A",IF(COUNTIFS(GD_Item_FiscalPeriod,BK$1333,GD_Item_Name,$B1342,GD_Update_Date,BK$1332)=0,"NR",SUMIFS(GD_Guidance_Mid,GD_Item_Name,$B1342,GD_Item_FiscalPeriod,BK$1333,GD_Update_Date,BK$1332)))</f>
        <v/>
      </c>
      <c r="BL1342" s="1645">
        <f>IF(ISBLANK(BL$1333),"N/A",IF(COUNTIFS(GD_Item_FiscalPeriod,BL$1333,GD_Item_Name,$B1342,GD_Update_Date,BL$1332)=0,"NR",SUMIFS(GD_Guidance_Mid,GD_Item_Name,$B1342,GD_Item_FiscalPeriod,BL$1333,GD_Update_Date,BL$1332)))</f>
        <v/>
      </c>
      <c r="BM1342" s="1645">
        <f>IF(ISBLANK(BM$1333),"N/A",IF(COUNTIFS(GD_Item_FiscalPeriod,BM$1333,GD_Item_Name,$B1342,GD_Update_Date,BM$1332)=0,"NR",SUMIFS(GD_Guidance_Mid,GD_Item_Name,$B1342,GD_Item_FiscalPeriod,BM$1333,GD_Update_Date,BM$1332)))</f>
        <v/>
      </c>
      <c r="BN1342" s="1645">
        <f>IF(ISBLANK(BN$1333),"N/A",IF(COUNTIFS(GD_Item_FiscalPeriod,BN$1333,GD_Item_Name,$B1342,GD_Update_Date,BN$1332)=0,"NR",SUMIFS(GD_Guidance_Mid,GD_Item_Name,$B1342,GD_Item_FiscalPeriod,BN$1333,GD_Update_Date,BN$1332)))</f>
        <v/>
      </c>
      <c r="BO1342" s="1645">
        <f>IF(ISBLANK(BO$1333),"N/A",IF(COUNTIFS(GD_Item_FiscalPeriod,BO$1333,GD_Item_Name,$B1342,GD_Update_Date,BO$1332)=0,"NR",SUMIFS(GD_Guidance_Mid,GD_Item_Name,$B1342,GD_Item_FiscalPeriod,BO$1333,GD_Update_Date,BO$1332)))</f>
        <v/>
      </c>
      <c r="BP1342" s="1645">
        <f>IF(ISBLANK(BP$1333),"N/A",IF(COUNTIFS(GD_Item_FiscalPeriod,BP$1333,GD_Item_Name,$B1342,GD_Update_Date,BP$1332)=0,"NR",SUMIFS(GD_Guidance_Mid,GD_Item_Name,$B1342,GD_Item_FiscalPeriod,BP$1333,GD_Update_Date,BP$1332)))</f>
        <v/>
      </c>
      <c r="BQ1342" s="2008">
        <f>IF(ISBLANK(BQ$1333),"N/A",IF(COUNTIFS(GD_Item_FiscalPeriod,BQ$1333,GD_Item_Name,$B1342,GD_Update_Date,BQ$1332)=0,"NR",SUMIFS(GD_Guidance_Mid,GD_Item_Name,$B1342,GD_Item_FiscalPeriod,BQ$1333,GD_Update_Date,BQ$1332)))</f>
        <v/>
      </c>
      <c r="BR1342" s="1645">
        <f>IF(ISBLANK(BR$1333),"N/A",IF(COUNTIFS(GD_Item_FiscalPeriod,BR$1333,GD_Item_Name,$B1342,GD_Update_Date,BR$1332)=0,"NR",SUMIFS(GD_Guidance_Mid,GD_Item_Name,$B1342,GD_Item_FiscalPeriod,BR$1333,GD_Update_Date,BR$1332)))</f>
        <v/>
      </c>
      <c r="BS1342" s="1645">
        <f>IF(ISBLANK(BS$1333),"N/A",IF(COUNTIFS(GD_Item_FiscalPeriod,BS$1333,GD_Item_Name,$B1342,GD_Update_Date,BS$1332)=0,"NR",SUMIFS(GD_Guidance_Mid,GD_Item_Name,$B1342,GD_Item_FiscalPeriod,BS$1333,GD_Update_Date,BS$1332)))</f>
        <v/>
      </c>
      <c r="BT1342" s="1645">
        <f>IF(ISBLANK(BT$1333),"N/A",IF(COUNTIFS(GD_Item_FiscalPeriod,BT$1333,GD_Item_Name,$B1342,GD_Update_Date,BT$1332)=0,"NR",SUMIFS(GD_Guidance_Mid,GD_Item_Name,$B1342,GD_Item_FiscalPeriod,BT$1333,GD_Update_Date,BT$1332)))</f>
        <v/>
      </c>
      <c r="BU1342" s="1645">
        <f>IF(ISBLANK(BU$1333),"N/A",IF(COUNTIFS(GD_Item_FiscalPeriod,BU$1333,GD_Item_Name,$B1342,GD_Update_Date,BU$1332)=0,"NR",SUMIFS(GD_Guidance_Mid,GD_Item_Name,$B1342,GD_Item_FiscalPeriod,BU$1333,GD_Update_Date,BU$1332)))</f>
        <v/>
      </c>
      <c r="BV1342" s="1645">
        <f>IF(ISBLANK(BV$1333),"N/A",IF(COUNTIFS(GD_Item_FiscalPeriod,BV$1333,GD_Item_Name,$B1342,GD_Update_Date,BV$1332)=0,"NR",SUMIFS(GD_Guidance_Mid,GD_Item_Name,$B1342,GD_Item_FiscalPeriod,BV$1333,GD_Update_Date,BV$1332)))</f>
        <v/>
      </c>
      <c r="BW1342" s="1645">
        <f>IF(ISBLANK(BW$1333),"N/A",IF(COUNTIFS(GD_Item_FiscalPeriod,BW$1333,GD_Item_Name,$B1342,GD_Update_Date,BW$1332)=0,"NR",SUMIFS(GD_Guidance_Mid,GD_Item_Name,$B1342,GD_Item_FiscalPeriod,BW$1333,GD_Update_Date,BW$1332)))</f>
        <v/>
      </c>
      <c r="BX1342" s="1645">
        <f>IF(ISBLANK(BX$1333),"N/A",IF(COUNTIFS(GD_Item_FiscalPeriod,BX$1333,GD_Item_Name,$B1342,GD_Update_Date,BX$1332)=0,"NR",SUMIFS(GD_Guidance_Mid,GD_Item_Name,$B1342,GD_Item_FiscalPeriod,BX$1333,GD_Update_Date,BX$1332)))</f>
        <v/>
      </c>
      <c r="BY1342" s="1645">
        <f>IF(ISBLANK(BY$1333),"N/A",IF(COUNTIFS(GD_Item_FiscalPeriod,BY$1333,GD_Item_Name,$B1342,GD_Update_Date,BY$1332)=0,"NR",SUMIFS(GD_Guidance_Mid,GD_Item_Name,$B1342,GD_Item_FiscalPeriod,BY$1333,GD_Update_Date,BY$1332)))</f>
        <v/>
      </c>
      <c r="BZ1342" s="1645">
        <f>IF(ISBLANK(BZ$1333),"N/A",IF(COUNTIFS(GD_Item_FiscalPeriod,BZ$1333,GD_Item_Name,$B1342,GD_Update_Date,BZ$1332)=0,"NR",SUMIFS(GD_Guidance_Mid,GD_Item_Name,$B1342,GD_Item_FiscalPeriod,BZ$1333,GD_Update_Date,BZ$1332)))</f>
        <v/>
      </c>
      <c r="CA1342" s="2009">
        <f>IF(ISBLANK(CA$1333),"N/A",IF(COUNTIFS(GD_Item_FiscalPeriod,CA$1333,GD_Item_Name,$B1342,GD_Update_Date,CA$1332)=0,"NR",SUMIFS(GD_Guidance_Mid,GD_Item_Name,$B1342,GD_Item_FiscalPeriod,CA$1333,GD_Update_Date,CA$1332)))</f>
        <v/>
      </c>
      <c r="CB1342" s="1472" t="n"/>
    </row>
    <row r="1343" ht="14.4" customFormat="1" customHeight="1" s="1549">
      <c r="A1343" s="1999" t="inlineStr">
        <is>
          <t>Low - Shares Outstanding - WAD, mm shares</t>
        </is>
      </c>
      <c r="B1343" s="1493" t="inlineStr">
        <is>
          <t>MO_RIS_ShareCount_WAD</t>
        </is>
      </c>
      <c r="C1343" s="2000" t="n"/>
      <c r="D1343" s="2000" t="n"/>
      <c r="E1343" s="1553" t="n"/>
      <c r="F1343" s="1553" t="n"/>
      <c r="G1343" s="1553" t="n"/>
      <c r="H1343" s="1553" t="n"/>
      <c r="I1343" s="1553" t="n"/>
      <c r="J1343" s="1553" t="n"/>
      <c r="K1343" s="1553" t="n"/>
      <c r="L1343" s="1553" t="n"/>
      <c r="M1343" s="1553" t="n"/>
      <c r="N1343" s="1553" t="n"/>
      <c r="O1343" s="1553" t="n"/>
      <c r="P1343" s="1553" t="n"/>
      <c r="Q1343" s="1553" t="n"/>
      <c r="R1343" s="1553" t="n"/>
      <c r="S1343" s="1553" t="n"/>
      <c r="T1343" s="1553" t="n"/>
      <c r="U1343" s="1553" t="n"/>
      <c r="V1343" s="1553" t="n"/>
      <c r="W1343" s="1553" t="n"/>
      <c r="X1343" s="1553" t="n"/>
      <c r="Y1343" s="1553" t="n"/>
      <c r="Z1343" s="1553" t="n"/>
      <c r="AA1343" s="1553" t="n"/>
      <c r="AB1343" s="1553" t="n"/>
      <c r="AC1343" s="1553">
        <f>IF(ISBLANK(AC$1333),"N/A",IF(COUNTIFS(GD_Item_FiscalPeriod,AC$1333,GD_Item_Name,$B1343,GD_Update_Date,AC$1332)=0,"NR",SUMIFS(GD_Guidance_Low,GD_Item_Name,$B1343,GD_Item_FiscalPeriod,AC$1333,GD_Update_Date,AC$1332)))</f>
        <v/>
      </c>
      <c r="AD1343" s="1553">
        <f>IF(ISBLANK(AD$1333),"N/A",IF(COUNTIFS(GD_Item_FiscalPeriod,AD$1333,GD_Item_Name,$B1343,GD_Update_Date,AD$1332)=0,"NR",SUMIFS(GD_Guidance_Low,GD_Item_Name,$B1343,GD_Item_FiscalPeriod,AD$1333,GD_Update_Date,AD$1332)))</f>
        <v/>
      </c>
      <c r="AE1343" s="1553">
        <f>IF(ISBLANK(AE$1333),"N/A",IF(COUNTIFS(GD_Item_FiscalPeriod,AE$1333,GD_Item_Name,$B1343,GD_Update_Date,AE$1332)=0,"NR",SUMIFS(GD_Guidance_Low,GD_Item_Name,$B1343,GD_Item_FiscalPeriod,AE$1333,GD_Update_Date,AE$1332)))</f>
        <v/>
      </c>
      <c r="AF1343" s="1553">
        <f>IF(ISBLANK(AF$1333),"N/A",IF(COUNTIFS(GD_Item_FiscalPeriod,AF$1333,GD_Item_Name,$B1343,GD_Update_Date,AF$1332)=0,"NR",SUMIFS(GD_Guidance_Low,GD_Item_Name,$B1343,GD_Item_FiscalPeriod,AF$1333,GD_Update_Date,AF$1332)))</f>
        <v/>
      </c>
      <c r="AG1343" s="1553">
        <f>IF(ISBLANK(AG$1333),"N/A",IF(COUNTIFS(GD_Item_FiscalPeriod,AG$1333,GD_Item_Name,$B1343,GD_Update_Date,AG$1332)=0,"NR",SUMIFS(GD_Guidance_Low,GD_Item_Name,$B1343,GD_Item_FiscalPeriod,AG$1333,GD_Update_Date,AG$1332)))</f>
        <v/>
      </c>
      <c r="AH1343" s="1553">
        <f>IF(ISBLANK(AH$1333),"N/A",IF(COUNTIFS(GD_Item_FiscalPeriod,AH$1333,GD_Item_Name,$B1343,GD_Update_Date,AH$1332)=0,"NR",SUMIFS(GD_Guidance_Low,GD_Item_Name,$B1343,GD_Item_FiscalPeriod,AH$1333,GD_Update_Date,AH$1332)))</f>
        <v/>
      </c>
      <c r="AI1343" s="1553">
        <f>IF(ISBLANK(AI$1333),"N/A",IF(COUNTIFS(GD_Item_FiscalPeriod,AI$1333,GD_Item_Name,$B1343,GD_Update_Date,AI$1332)=0,"NR",SUMIFS(GD_Guidance_Low,GD_Item_Name,$B1343,GD_Item_FiscalPeriod,AI$1333,GD_Update_Date,AI$1332)))</f>
        <v/>
      </c>
      <c r="AJ1343" s="1553">
        <f>IF(ISBLANK(AJ$1333),"N/A",IF(COUNTIFS(GD_Item_FiscalPeriod,AJ$1333,GD_Item_Name,$B1343,GD_Update_Date,AJ$1332)=0,"NR",SUMIFS(GD_Guidance_Low,GD_Item_Name,$B1343,GD_Item_FiscalPeriod,AJ$1333,GD_Update_Date,AJ$1332)))</f>
        <v/>
      </c>
      <c r="AK1343" s="1553">
        <f>IF(ISBLANK(AK$1333),"N/A",IF(COUNTIFS(GD_Item_FiscalPeriod,AK$1333,GD_Item_Name,$B1343,GD_Update_Date,AK$1332)=0,"NR",SUMIFS(GD_Guidance_Low,GD_Item_Name,$B1343,GD_Item_FiscalPeriod,AK$1333,GD_Update_Date,AK$1332)))</f>
        <v/>
      </c>
      <c r="AL1343" s="1553">
        <f>IF(ISBLANK(AL$1333),"N/A",IF(COUNTIFS(GD_Item_FiscalPeriod,AL$1333,GD_Item_Name,$B1343,GD_Update_Date,AL$1332)=0,"NR",SUMIFS(GD_Guidance_Low,GD_Item_Name,$B1343,GD_Item_FiscalPeriod,AL$1333,GD_Update_Date,AL$1332)))</f>
        <v/>
      </c>
      <c r="AM1343" s="1553">
        <f>IF(ISBLANK(AM$1333),"N/A",IF(COUNTIFS(GD_Item_FiscalPeriod,AM$1333,GD_Item_Name,$B1343,GD_Update_Date,AM$1332)=0,"NR",SUMIFS(GD_Guidance_Low,GD_Item_Name,$B1343,GD_Item_FiscalPeriod,AM$1333,GD_Update_Date,AM$1332)))</f>
        <v/>
      </c>
      <c r="AN1343" s="1553">
        <f>IF(ISBLANK(AN$1333),"N/A",IF(COUNTIFS(GD_Item_FiscalPeriod,AN$1333,GD_Item_Name,$B1343,GD_Update_Date,AN$1332)=0,"NR",SUMIFS(GD_Guidance_Low,GD_Item_Name,$B1343,GD_Item_FiscalPeriod,AN$1333,GD_Update_Date,AN$1332)))</f>
        <v/>
      </c>
      <c r="AO1343" s="1553">
        <f>IF(ISBLANK(AO$1333),"N/A",IF(COUNTIFS(GD_Item_FiscalPeriod,AO$1333,GD_Item_Name,$B1343,GD_Update_Date,AO$1332)=0,"NR",SUMIFS(GD_Guidance_Low,GD_Item_Name,$B1343,GD_Item_FiscalPeriod,AO$1333,GD_Update_Date,AO$1332)))</f>
        <v/>
      </c>
      <c r="AP1343" s="1553">
        <f>IF(ISBLANK(AP$1333),"N/A",IF(COUNTIFS(GD_Item_FiscalPeriod,AP$1333,GD_Item_Name,$B1343,GD_Update_Date,AP$1332)=0,"NR",SUMIFS(GD_Guidance_Low,GD_Item_Name,$B1343,GD_Item_FiscalPeriod,AP$1333,GD_Update_Date,AP$1332)))</f>
        <v/>
      </c>
      <c r="AQ1343" s="1553">
        <f>IF(ISBLANK(AQ$1333),"N/A",IF(COUNTIFS(GD_Item_FiscalPeriod,AQ$1333,GD_Item_Name,$B1343,GD_Update_Date,AQ$1332)=0,"NR",SUMIFS(GD_Guidance_Low,GD_Item_Name,$B1343,GD_Item_FiscalPeriod,AQ$1333,GD_Update_Date,AQ$1332)))</f>
        <v/>
      </c>
      <c r="AR1343" s="1553">
        <f>IF(ISBLANK(AR$1333),"N/A",IF(COUNTIFS(GD_Item_FiscalPeriod,AR$1333,GD_Item_Name,$B1343,GD_Update_Date,AR$1332)=0,"NR",SUMIFS(GD_Guidance_Low,GD_Item_Name,$B1343,GD_Item_FiscalPeriod,AR$1333,GD_Update_Date,AR$1332)))</f>
        <v/>
      </c>
      <c r="AS1343" s="1553">
        <f>IF(ISBLANK(AS$1333),"N/A",IF(COUNTIFS(GD_Item_FiscalPeriod,AS$1333,GD_Item_Name,$B1343,GD_Update_Date,AS$1332)=0,"NR",SUMIFS(GD_Guidance_Low,GD_Item_Name,$B1343,GD_Item_FiscalPeriod,AS$1333,GD_Update_Date,AS$1332)))</f>
        <v/>
      </c>
      <c r="AT1343" s="1553">
        <f>IF(ISBLANK(AT$1333),"N/A",IF(COUNTIFS(GD_Item_FiscalPeriod,AT$1333,GD_Item_Name,$B1343,GD_Update_Date,AT$1332)=0,"NR",SUMIFS(GD_Guidance_Low,GD_Item_Name,$B1343,GD_Item_FiscalPeriod,AT$1333,GD_Update_Date,AT$1332)))</f>
        <v/>
      </c>
      <c r="AU1343" s="1553">
        <f>IF(ISBLANK(AU$1333),"N/A",IF(COUNTIFS(GD_Item_FiscalPeriod,AU$1333,GD_Item_Name,$B1343,GD_Update_Date,AU$1332)=0,"NR",SUMIFS(GD_Guidance_Low,GD_Item_Name,$B1343,GD_Item_FiscalPeriod,AU$1333,GD_Update_Date,AU$1332)))</f>
        <v/>
      </c>
      <c r="AV1343" s="1553">
        <f>IF(ISBLANK(AV$1333),"N/A",IF(COUNTIFS(GD_Item_FiscalPeriod,AV$1333,GD_Item_Name,$B1343,GD_Update_Date,AV$1332)=0,"NR",SUMIFS(GD_Guidance_Low,GD_Item_Name,$B1343,GD_Item_FiscalPeriod,AV$1333,GD_Update_Date,AV$1332)))</f>
        <v/>
      </c>
      <c r="AW1343" s="1553">
        <f>IF(ISBLANK(AW$1333),"N/A",IF(COUNTIFS(GD_Item_FiscalPeriod,AW$1333,GD_Item_Name,$B1343,GD_Update_Date,AW$1332)=0,"NR",SUMIFS(GD_Guidance_Low,GD_Item_Name,$B1343,GD_Item_FiscalPeriod,AW$1333,GD_Update_Date,AW$1332)))</f>
        <v/>
      </c>
      <c r="AX1343" s="1553">
        <f>IF(ISBLANK(AX$1333),"N/A",IF(COUNTIFS(GD_Item_FiscalPeriod,AX$1333,GD_Item_Name,$B1343,GD_Update_Date,AX$1332)=0,"NR",SUMIFS(GD_Guidance_Low,GD_Item_Name,$B1343,GD_Item_FiscalPeriod,AX$1333,GD_Update_Date,AX$1332)))</f>
        <v/>
      </c>
      <c r="AY1343" s="1553">
        <f>IF(ISBLANK(AY$1333),"N/A",IF(COUNTIFS(GD_Item_FiscalPeriod,AY$1333,GD_Item_Name,$B1343,GD_Update_Date,AY$1332)=0,"NR",SUMIFS(GD_Guidance_Low,GD_Item_Name,$B1343,GD_Item_FiscalPeriod,AY$1333,GD_Update_Date,AY$1332)))</f>
        <v/>
      </c>
      <c r="AZ1343" s="1553">
        <f>IF(ISBLANK(AZ$1333),"N/A",IF(COUNTIFS(GD_Item_FiscalPeriod,AZ$1333,GD_Item_Name,$B1343,GD_Update_Date,AZ$1332)=0,"NR",SUMIFS(GD_Guidance_Low,GD_Item_Name,$B1343,GD_Item_FiscalPeriod,AZ$1333,GD_Update_Date,AZ$1332)))</f>
        <v/>
      </c>
      <c r="BA1343" s="1553">
        <f>IF(ISBLANK(BA$1333),"N/A",IF(COUNTIFS(GD_Item_FiscalPeriod,BA$1333,GD_Item_Name,$B1343,GD_Update_Date,BA$1332)=0,"NR",SUMIFS(GD_Guidance_Low,GD_Item_Name,$B1343,GD_Item_FiscalPeriod,BA$1333,GD_Update_Date,BA$1332)))</f>
        <v/>
      </c>
      <c r="BB1343" s="1553">
        <f>IF(ISBLANK(BB$1333),"N/A",IF(COUNTIFS(GD_Item_FiscalPeriod,BB$1333,GD_Item_Name,$B1343,GD_Update_Date,BB$1332)=0,"NR",SUMIFS(GD_Guidance_Low,GD_Item_Name,$B1343,GD_Item_FiscalPeriod,BB$1333,GD_Update_Date,BB$1332)))</f>
        <v/>
      </c>
      <c r="BC1343" s="1553">
        <f>IF(ISBLANK(BC$1333),"N/A",IF(COUNTIFS(GD_Item_FiscalPeriod,BC$1333,GD_Item_Name,$B1343,GD_Update_Date,BC$1332)=0,"NR",SUMIFS(GD_Guidance_Low,GD_Item_Name,$B1343,GD_Item_FiscalPeriod,BC$1333,GD_Update_Date,BC$1332)))</f>
        <v/>
      </c>
      <c r="BD1343" s="1553">
        <f>IF(ISBLANK(BD$1333),"N/A",IF(COUNTIFS(GD_Item_FiscalPeriod,BD$1333,GD_Item_Name,$B1343,GD_Update_Date,BD$1332)=0,"NR",SUMIFS(GD_Guidance_Low,GD_Item_Name,$B1343,GD_Item_FiscalPeriod,BD$1333,GD_Update_Date,BD$1332)))</f>
        <v/>
      </c>
      <c r="BE1343" s="1553">
        <f>IF(ISBLANK(BE$1333),"N/A",IF(COUNTIFS(GD_Item_FiscalPeriod,BE$1333,GD_Item_Name,$B1343,GD_Update_Date,BE$1332)=0,"NR",SUMIFS(GD_Guidance_Low,GD_Item_Name,$B1343,GD_Item_FiscalPeriod,BE$1333,GD_Update_Date,BE$1332)))</f>
        <v/>
      </c>
      <c r="BF1343" s="1553">
        <f>IF(ISBLANK(BF$1333),"N/A",IF(COUNTIFS(GD_Item_FiscalPeriod,BF$1333,GD_Item_Name,$B1343,GD_Update_Date,BF$1332)=0,"NR",SUMIFS(GD_Guidance_Low,GD_Item_Name,$B1343,GD_Item_FiscalPeriod,BF$1333,GD_Update_Date,BF$1332)))</f>
        <v/>
      </c>
      <c r="BG1343" s="1553">
        <f>IF(ISBLANK(BG$1333),"N/A",IF(COUNTIFS(GD_Item_FiscalPeriod,BG$1333,GD_Item_Name,$B1343,GD_Update_Date,BG$1332)=0,"NR",SUMIFS(GD_Guidance_Low,GD_Item_Name,$B1343,GD_Item_FiscalPeriod,BG$1333,GD_Update_Date,BG$1332)))</f>
        <v/>
      </c>
      <c r="BH1343" s="1553">
        <f>IF(ISBLANK(BH$1333),"N/A",IF(COUNTIFS(GD_Item_FiscalPeriod,BH$1333,GD_Item_Name,$B1343,GD_Update_Date,BH$1332)=0,"NR",SUMIFS(GD_Guidance_Low,GD_Item_Name,$B1343,GD_Item_FiscalPeriod,BH$1333,GD_Update_Date,BH$1332)))</f>
        <v/>
      </c>
      <c r="BI1343" s="1553">
        <f>IF(ISBLANK(BI$1333),"N/A",IF(COUNTIFS(GD_Item_FiscalPeriod,BI$1333,GD_Item_Name,$B1343,GD_Update_Date,BI$1332)=0,"NR",SUMIFS(GD_Guidance_Low,GD_Item_Name,$B1343,GD_Item_FiscalPeriod,BI$1333,GD_Update_Date,BI$1332)))</f>
        <v/>
      </c>
      <c r="BJ1343" s="1553">
        <f>IF(ISBLANK(BJ$1333),"N/A",IF(COUNTIFS(GD_Item_FiscalPeriod,BJ$1333,GD_Item_Name,$B1343,GD_Update_Date,BJ$1332)=0,"NR",SUMIFS(GD_Guidance_Low,GD_Item_Name,$B1343,GD_Item_FiscalPeriod,BJ$1333,GD_Update_Date,BJ$1332)))</f>
        <v/>
      </c>
      <c r="BK1343" s="1553">
        <f>IF(ISBLANK(BK$1333),"N/A",IF(COUNTIFS(GD_Item_FiscalPeriod,BK$1333,GD_Item_Name,$B1343,GD_Update_Date,BK$1332)=0,"NR",SUMIFS(GD_Guidance_Low,GD_Item_Name,$B1343,GD_Item_FiscalPeriod,BK$1333,GD_Update_Date,BK$1332)))</f>
        <v/>
      </c>
      <c r="BL1343" s="1553">
        <f>IF(ISBLANK(BL$1333),"N/A",IF(COUNTIFS(GD_Item_FiscalPeriod,BL$1333,GD_Item_Name,$B1343,GD_Update_Date,BL$1332)=0,"NR",SUMIFS(GD_Guidance_Low,GD_Item_Name,$B1343,GD_Item_FiscalPeriod,BL$1333,GD_Update_Date,BL$1332)))</f>
        <v/>
      </c>
      <c r="BM1343" s="1553">
        <f>IF(ISBLANK(BM$1333),"N/A",IF(COUNTIFS(GD_Item_FiscalPeriod,BM$1333,GD_Item_Name,$B1343,GD_Update_Date,BM$1332)=0,"NR",SUMIFS(GD_Guidance_Low,GD_Item_Name,$B1343,GD_Item_FiscalPeriod,BM$1333,GD_Update_Date,BM$1332)))</f>
        <v/>
      </c>
      <c r="BN1343" s="1553">
        <f>IF(ISBLANK(BN$1333),"N/A",IF(COUNTIFS(GD_Item_FiscalPeriod,BN$1333,GD_Item_Name,$B1343,GD_Update_Date,BN$1332)=0,"NR",SUMIFS(GD_Guidance_Low,GD_Item_Name,$B1343,GD_Item_FiscalPeriod,BN$1333,GD_Update_Date,BN$1332)))</f>
        <v/>
      </c>
      <c r="BO1343" s="1553">
        <f>IF(ISBLANK(BO$1333),"N/A",IF(COUNTIFS(GD_Item_FiscalPeriod,BO$1333,GD_Item_Name,$B1343,GD_Update_Date,BO$1332)=0,"NR",SUMIFS(GD_Guidance_Low,GD_Item_Name,$B1343,GD_Item_FiscalPeriod,BO$1333,GD_Update_Date,BO$1332)))</f>
        <v/>
      </c>
      <c r="BP1343" s="1553">
        <f>IF(ISBLANK(BP$1333),"N/A",IF(COUNTIFS(GD_Item_FiscalPeriod,BP$1333,GD_Item_Name,$B1343,GD_Update_Date,BP$1332)=0,"NR",SUMIFS(GD_Guidance_Low,GD_Item_Name,$B1343,GD_Item_FiscalPeriod,BP$1333,GD_Update_Date,BP$1332)))</f>
        <v/>
      </c>
      <c r="BQ1343" s="1556">
        <f>IF(ISBLANK(BQ$1333),"N/A",IF(COUNTIFS(GD_Item_FiscalPeriod,BQ$1333,GD_Item_Name,$B1343,GD_Update_Date,BQ$1332)=0,"NR",SUMIFS(GD_Guidance_Low,GD_Item_Name,$B1343,GD_Item_FiscalPeriod,BQ$1333,GD_Update_Date,BQ$1332)))</f>
        <v/>
      </c>
      <c r="BR1343" s="1553">
        <f>IF(ISBLANK(BR$1333),"N/A",IF(COUNTIFS(GD_Item_FiscalPeriod,BR$1333,GD_Item_Name,$B1343,GD_Update_Date,BR$1332)=0,"NR",SUMIFS(GD_Guidance_Low,GD_Item_Name,$B1343,GD_Item_FiscalPeriod,BR$1333,GD_Update_Date,BR$1332)))</f>
        <v/>
      </c>
      <c r="BS1343" s="1553">
        <f>IF(ISBLANK(BS$1333),"N/A",IF(COUNTIFS(GD_Item_FiscalPeriod,BS$1333,GD_Item_Name,$B1343,GD_Update_Date,BS$1332)=0,"NR",SUMIFS(GD_Guidance_Low,GD_Item_Name,$B1343,GD_Item_FiscalPeriod,BS$1333,GD_Update_Date,BS$1332)))</f>
        <v/>
      </c>
      <c r="BT1343" s="1553">
        <f>IF(ISBLANK(BT$1333),"N/A",IF(COUNTIFS(GD_Item_FiscalPeriod,BT$1333,GD_Item_Name,$B1343,GD_Update_Date,BT$1332)=0,"NR",SUMIFS(GD_Guidance_Low,GD_Item_Name,$B1343,GD_Item_FiscalPeriod,BT$1333,GD_Update_Date,BT$1332)))</f>
        <v/>
      </c>
      <c r="BU1343" s="1553">
        <f>IF(ISBLANK(BU$1333),"N/A",IF(COUNTIFS(GD_Item_FiscalPeriod,BU$1333,GD_Item_Name,$B1343,GD_Update_Date,BU$1332)=0,"NR",SUMIFS(GD_Guidance_Low,GD_Item_Name,$B1343,GD_Item_FiscalPeriod,BU$1333,GD_Update_Date,BU$1332)))</f>
        <v/>
      </c>
      <c r="BV1343" s="1553">
        <f>IF(ISBLANK(BV$1333),"N/A",IF(COUNTIFS(GD_Item_FiscalPeriod,BV$1333,GD_Item_Name,$B1343,GD_Update_Date,BV$1332)=0,"NR",SUMIFS(GD_Guidance_Low,GD_Item_Name,$B1343,GD_Item_FiscalPeriod,BV$1333,GD_Update_Date,BV$1332)))</f>
        <v/>
      </c>
      <c r="BW1343" s="1553">
        <f>IF(ISBLANK(BW$1333),"N/A",IF(COUNTIFS(GD_Item_FiscalPeriod,BW$1333,GD_Item_Name,$B1343,GD_Update_Date,BW$1332)=0,"NR",SUMIFS(GD_Guidance_Low,GD_Item_Name,$B1343,GD_Item_FiscalPeriod,BW$1333,GD_Update_Date,BW$1332)))</f>
        <v/>
      </c>
      <c r="BX1343" s="1553">
        <f>IF(ISBLANK(BX$1333),"N/A",IF(COUNTIFS(GD_Item_FiscalPeriod,BX$1333,GD_Item_Name,$B1343,GD_Update_Date,BX$1332)=0,"NR",SUMIFS(GD_Guidance_Low,GD_Item_Name,$B1343,GD_Item_FiscalPeriod,BX$1333,GD_Update_Date,BX$1332)))</f>
        <v/>
      </c>
      <c r="BY1343" s="1553">
        <f>IF(ISBLANK(BY$1333),"N/A",IF(COUNTIFS(GD_Item_FiscalPeriod,BY$1333,GD_Item_Name,$B1343,GD_Update_Date,BY$1332)=0,"NR",SUMIFS(GD_Guidance_Low,GD_Item_Name,$B1343,GD_Item_FiscalPeriod,BY$1333,GD_Update_Date,BY$1332)))</f>
        <v/>
      </c>
      <c r="BZ1343" s="1553">
        <f>IF(ISBLANK(BZ$1333),"N/A",IF(COUNTIFS(GD_Item_FiscalPeriod,BZ$1333,GD_Item_Name,$B1343,GD_Update_Date,BZ$1332)=0,"NR",SUMIFS(GD_Guidance_Low,GD_Item_Name,$B1343,GD_Item_FiscalPeriod,BZ$1333,GD_Update_Date,BZ$1332)))</f>
        <v/>
      </c>
      <c r="CA1343" s="2001">
        <f>IF(ISBLANK(CA$1333),"N/A",IF(COUNTIFS(GD_Item_FiscalPeriod,CA$1333,GD_Item_Name,$B1343,GD_Update_Date,CA$1332)=0,"NR",SUMIFS(GD_Guidance_Low,GD_Item_Name,$B1343,GD_Item_FiscalPeriod,CA$1333,GD_Update_Date,CA$1332)))</f>
        <v/>
      </c>
      <c r="CB1343" s="1472" t="n"/>
    </row>
    <row r="1344" ht="14.4" customFormat="1" customHeight="1" s="1549">
      <c r="A1344" s="1999" t="inlineStr">
        <is>
          <t>High - Shares Outstanding - WAD, mm shares</t>
        </is>
      </c>
      <c r="B1344" s="1493" t="inlineStr">
        <is>
          <t>MO_RIS_ShareCount_WAD</t>
        </is>
      </c>
      <c r="C1344" s="2000" t="n"/>
      <c r="D1344" s="2000" t="n"/>
      <c r="E1344" s="1553" t="n"/>
      <c r="F1344" s="1553" t="n"/>
      <c r="G1344" s="1553" t="n"/>
      <c r="H1344" s="1553" t="n"/>
      <c r="I1344" s="1553" t="n"/>
      <c r="J1344" s="1553" t="n"/>
      <c r="K1344" s="1553" t="n"/>
      <c r="L1344" s="1553" t="n"/>
      <c r="M1344" s="1553" t="n"/>
      <c r="N1344" s="1553" t="n"/>
      <c r="O1344" s="1553" t="n"/>
      <c r="P1344" s="1553" t="n"/>
      <c r="Q1344" s="1553" t="n"/>
      <c r="R1344" s="1553" t="n"/>
      <c r="S1344" s="1553" t="n"/>
      <c r="T1344" s="1553" t="n"/>
      <c r="U1344" s="1553" t="n"/>
      <c r="V1344" s="1553" t="n"/>
      <c r="W1344" s="1553" t="n"/>
      <c r="X1344" s="1553" t="n"/>
      <c r="Y1344" s="1553" t="n"/>
      <c r="Z1344" s="1553" t="n"/>
      <c r="AA1344" s="1553" t="n"/>
      <c r="AB1344" s="1553" t="n"/>
      <c r="AC1344" s="1553">
        <f>IF(ISBLANK(AC$1333),"N/A",IF(COUNTIFS(GD_Item_FiscalPeriod,AC$1333,GD_Item_Name,$B1344,GD_Update_Date,AC$1332)=0,"NR",SUMIFS(GD_Guidance_High,GD_Item_Name,$B1344,GD_Item_FiscalPeriod,AC$1333,GD_Update_Date,AC$1332)))</f>
        <v/>
      </c>
      <c r="AD1344" s="1553">
        <f>IF(ISBLANK(AD$1333),"N/A",IF(COUNTIFS(GD_Item_FiscalPeriod,AD$1333,GD_Item_Name,$B1344,GD_Update_Date,AD$1332)=0,"NR",SUMIFS(GD_Guidance_High,GD_Item_Name,$B1344,GD_Item_FiscalPeriod,AD$1333,GD_Update_Date,AD$1332)))</f>
        <v/>
      </c>
      <c r="AE1344" s="1553">
        <f>IF(ISBLANK(AE$1333),"N/A",IF(COUNTIFS(GD_Item_FiscalPeriod,AE$1333,GD_Item_Name,$B1344,GD_Update_Date,AE$1332)=0,"NR",SUMIFS(GD_Guidance_High,GD_Item_Name,$B1344,GD_Item_FiscalPeriod,AE$1333,GD_Update_Date,AE$1332)))</f>
        <v/>
      </c>
      <c r="AF1344" s="1553">
        <f>IF(ISBLANK(AF$1333),"N/A",IF(COUNTIFS(GD_Item_FiscalPeriod,AF$1333,GD_Item_Name,$B1344,GD_Update_Date,AF$1332)=0,"NR",SUMIFS(GD_Guidance_High,GD_Item_Name,$B1344,GD_Item_FiscalPeriod,AF$1333,GD_Update_Date,AF$1332)))</f>
        <v/>
      </c>
      <c r="AG1344" s="1553">
        <f>IF(ISBLANK(AG$1333),"N/A",IF(COUNTIFS(GD_Item_FiscalPeriod,AG$1333,GD_Item_Name,$B1344,GD_Update_Date,AG$1332)=0,"NR",SUMIFS(GD_Guidance_High,GD_Item_Name,$B1344,GD_Item_FiscalPeriod,AG$1333,GD_Update_Date,AG$1332)))</f>
        <v/>
      </c>
      <c r="AH1344" s="1553">
        <f>IF(ISBLANK(AH$1333),"N/A",IF(COUNTIFS(GD_Item_FiscalPeriod,AH$1333,GD_Item_Name,$B1344,GD_Update_Date,AH$1332)=0,"NR",SUMIFS(GD_Guidance_High,GD_Item_Name,$B1344,GD_Item_FiscalPeriod,AH$1333,GD_Update_Date,AH$1332)))</f>
        <v/>
      </c>
      <c r="AI1344" s="1553">
        <f>IF(ISBLANK(AI$1333),"N/A",IF(COUNTIFS(GD_Item_FiscalPeriod,AI$1333,GD_Item_Name,$B1344,GD_Update_Date,AI$1332)=0,"NR",SUMIFS(GD_Guidance_High,GD_Item_Name,$B1344,GD_Item_FiscalPeriod,AI$1333,GD_Update_Date,AI$1332)))</f>
        <v/>
      </c>
      <c r="AJ1344" s="1553">
        <f>IF(ISBLANK(AJ$1333),"N/A",IF(COUNTIFS(GD_Item_FiscalPeriod,AJ$1333,GD_Item_Name,$B1344,GD_Update_Date,AJ$1332)=0,"NR",SUMIFS(GD_Guidance_High,GD_Item_Name,$B1344,GD_Item_FiscalPeriod,AJ$1333,GD_Update_Date,AJ$1332)))</f>
        <v/>
      </c>
      <c r="AK1344" s="1553">
        <f>IF(ISBLANK(AK$1333),"N/A",IF(COUNTIFS(GD_Item_FiscalPeriod,AK$1333,GD_Item_Name,$B1344,GD_Update_Date,AK$1332)=0,"NR",SUMIFS(GD_Guidance_High,GD_Item_Name,$B1344,GD_Item_FiscalPeriod,AK$1333,GD_Update_Date,AK$1332)))</f>
        <v/>
      </c>
      <c r="AL1344" s="1553">
        <f>IF(ISBLANK(AL$1333),"N/A",IF(COUNTIFS(GD_Item_FiscalPeriod,AL$1333,GD_Item_Name,$B1344,GD_Update_Date,AL$1332)=0,"NR",SUMIFS(GD_Guidance_High,GD_Item_Name,$B1344,GD_Item_FiscalPeriod,AL$1333,GD_Update_Date,AL$1332)))</f>
        <v/>
      </c>
      <c r="AM1344" s="1553">
        <f>IF(ISBLANK(AM$1333),"N/A",IF(COUNTIFS(GD_Item_FiscalPeriod,AM$1333,GD_Item_Name,$B1344,GD_Update_Date,AM$1332)=0,"NR",SUMIFS(GD_Guidance_High,GD_Item_Name,$B1344,GD_Item_FiscalPeriod,AM$1333,GD_Update_Date,AM$1332)))</f>
        <v/>
      </c>
      <c r="AN1344" s="1553">
        <f>IF(ISBLANK(AN$1333),"N/A",IF(COUNTIFS(GD_Item_FiscalPeriod,AN$1333,GD_Item_Name,$B1344,GD_Update_Date,AN$1332)=0,"NR",SUMIFS(GD_Guidance_High,GD_Item_Name,$B1344,GD_Item_FiscalPeriod,AN$1333,GD_Update_Date,AN$1332)))</f>
        <v/>
      </c>
      <c r="AO1344" s="1553">
        <f>IF(ISBLANK(AO$1333),"N/A",IF(COUNTIFS(GD_Item_FiscalPeriod,AO$1333,GD_Item_Name,$B1344,GD_Update_Date,AO$1332)=0,"NR",SUMIFS(GD_Guidance_High,GD_Item_Name,$B1344,GD_Item_FiscalPeriod,AO$1333,GD_Update_Date,AO$1332)))</f>
        <v/>
      </c>
      <c r="AP1344" s="1553">
        <f>IF(ISBLANK(AP$1333),"N/A",IF(COUNTIFS(GD_Item_FiscalPeriod,AP$1333,GD_Item_Name,$B1344,GD_Update_Date,AP$1332)=0,"NR",SUMIFS(GD_Guidance_High,GD_Item_Name,$B1344,GD_Item_FiscalPeriod,AP$1333,GD_Update_Date,AP$1332)))</f>
        <v/>
      </c>
      <c r="AQ1344" s="1553">
        <f>IF(ISBLANK(AQ$1333),"N/A",IF(COUNTIFS(GD_Item_FiscalPeriod,AQ$1333,GD_Item_Name,$B1344,GD_Update_Date,AQ$1332)=0,"NR",SUMIFS(GD_Guidance_High,GD_Item_Name,$B1344,GD_Item_FiscalPeriod,AQ$1333,GD_Update_Date,AQ$1332)))</f>
        <v/>
      </c>
      <c r="AR1344" s="1553">
        <f>IF(ISBLANK(AR$1333),"N/A",IF(COUNTIFS(GD_Item_FiscalPeriod,AR$1333,GD_Item_Name,$B1344,GD_Update_Date,AR$1332)=0,"NR",SUMIFS(GD_Guidance_High,GD_Item_Name,$B1344,GD_Item_FiscalPeriod,AR$1333,GD_Update_Date,AR$1332)))</f>
        <v/>
      </c>
      <c r="AS1344" s="1553">
        <f>IF(ISBLANK(AS$1333),"N/A",IF(COUNTIFS(GD_Item_FiscalPeriod,AS$1333,GD_Item_Name,$B1344,GD_Update_Date,AS$1332)=0,"NR",SUMIFS(GD_Guidance_High,GD_Item_Name,$B1344,GD_Item_FiscalPeriod,AS$1333,GD_Update_Date,AS$1332)))</f>
        <v/>
      </c>
      <c r="AT1344" s="1553">
        <f>IF(ISBLANK(AT$1333),"N/A",IF(COUNTIFS(GD_Item_FiscalPeriod,AT$1333,GD_Item_Name,$B1344,GD_Update_Date,AT$1332)=0,"NR",SUMIFS(GD_Guidance_High,GD_Item_Name,$B1344,GD_Item_FiscalPeriod,AT$1333,GD_Update_Date,AT$1332)))</f>
        <v/>
      </c>
      <c r="AU1344" s="1553">
        <f>IF(ISBLANK(AU$1333),"N/A",IF(COUNTIFS(GD_Item_FiscalPeriod,AU$1333,GD_Item_Name,$B1344,GD_Update_Date,AU$1332)=0,"NR",SUMIFS(GD_Guidance_High,GD_Item_Name,$B1344,GD_Item_FiscalPeriod,AU$1333,GD_Update_Date,AU$1332)))</f>
        <v/>
      </c>
      <c r="AV1344" s="1553">
        <f>IF(ISBLANK(AV$1333),"N/A",IF(COUNTIFS(GD_Item_FiscalPeriod,AV$1333,GD_Item_Name,$B1344,GD_Update_Date,AV$1332)=0,"NR",SUMIFS(GD_Guidance_High,GD_Item_Name,$B1344,GD_Item_FiscalPeriod,AV$1333,GD_Update_Date,AV$1332)))</f>
        <v/>
      </c>
      <c r="AW1344" s="1553">
        <f>IF(ISBLANK(AW$1333),"N/A",IF(COUNTIFS(GD_Item_FiscalPeriod,AW$1333,GD_Item_Name,$B1344,GD_Update_Date,AW$1332)=0,"NR",SUMIFS(GD_Guidance_High,GD_Item_Name,$B1344,GD_Item_FiscalPeriod,AW$1333,GD_Update_Date,AW$1332)))</f>
        <v/>
      </c>
      <c r="AX1344" s="1553">
        <f>IF(ISBLANK(AX$1333),"N/A",IF(COUNTIFS(GD_Item_FiscalPeriod,AX$1333,GD_Item_Name,$B1344,GD_Update_Date,AX$1332)=0,"NR",SUMIFS(GD_Guidance_High,GD_Item_Name,$B1344,GD_Item_FiscalPeriod,AX$1333,GD_Update_Date,AX$1332)))</f>
        <v/>
      </c>
      <c r="AY1344" s="1553">
        <f>IF(ISBLANK(AY$1333),"N/A",IF(COUNTIFS(GD_Item_FiscalPeriod,AY$1333,GD_Item_Name,$B1344,GD_Update_Date,AY$1332)=0,"NR",SUMIFS(GD_Guidance_High,GD_Item_Name,$B1344,GD_Item_FiscalPeriod,AY$1333,GD_Update_Date,AY$1332)))</f>
        <v/>
      </c>
      <c r="AZ1344" s="1553">
        <f>IF(ISBLANK(AZ$1333),"N/A",IF(COUNTIFS(GD_Item_FiscalPeriod,AZ$1333,GD_Item_Name,$B1344,GD_Update_Date,AZ$1332)=0,"NR",SUMIFS(GD_Guidance_High,GD_Item_Name,$B1344,GD_Item_FiscalPeriod,AZ$1333,GD_Update_Date,AZ$1332)))</f>
        <v/>
      </c>
      <c r="BA1344" s="1553">
        <f>IF(ISBLANK(BA$1333),"N/A",IF(COUNTIFS(GD_Item_FiscalPeriod,BA$1333,GD_Item_Name,$B1344,GD_Update_Date,BA$1332)=0,"NR",SUMIFS(GD_Guidance_High,GD_Item_Name,$B1344,GD_Item_FiscalPeriod,BA$1333,GD_Update_Date,BA$1332)))</f>
        <v/>
      </c>
      <c r="BB1344" s="1553">
        <f>IF(ISBLANK(BB$1333),"N/A",IF(COUNTIFS(GD_Item_FiscalPeriod,BB$1333,GD_Item_Name,$B1344,GD_Update_Date,BB$1332)=0,"NR",SUMIFS(GD_Guidance_High,GD_Item_Name,$B1344,GD_Item_FiscalPeriod,BB$1333,GD_Update_Date,BB$1332)))</f>
        <v/>
      </c>
      <c r="BC1344" s="1553">
        <f>IF(ISBLANK(BC$1333),"N/A",IF(COUNTIFS(GD_Item_FiscalPeriod,BC$1333,GD_Item_Name,$B1344,GD_Update_Date,BC$1332)=0,"NR",SUMIFS(GD_Guidance_High,GD_Item_Name,$B1344,GD_Item_FiscalPeriod,BC$1333,GD_Update_Date,BC$1332)))</f>
        <v/>
      </c>
      <c r="BD1344" s="1553">
        <f>IF(ISBLANK(BD$1333),"N/A",IF(COUNTIFS(GD_Item_FiscalPeriod,BD$1333,GD_Item_Name,$B1344,GD_Update_Date,BD$1332)=0,"NR",SUMIFS(GD_Guidance_High,GD_Item_Name,$B1344,GD_Item_FiscalPeriod,BD$1333,GD_Update_Date,BD$1332)))</f>
        <v/>
      </c>
      <c r="BE1344" s="1553">
        <f>IF(ISBLANK(BE$1333),"N/A",IF(COUNTIFS(GD_Item_FiscalPeriod,BE$1333,GD_Item_Name,$B1344,GD_Update_Date,BE$1332)=0,"NR",SUMIFS(GD_Guidance_High,GD_Item_Name,$B1344,GD_Item_FiscalPeriod,BE$1333,GD_Update_Date,BE$1332)))</f>
        <v/>
      </c>
      <c r="BF1344" s="1553">
        <f>IF(ISBLANK(BF$1333),"N/A",IF(COUNTIFS(GD_Item_FiscalPeriod,BF$1333,GD_Item_Name,$B1344,GD_Update_Date,BF$1332)=0,"NR",SUMIFS(GD_Guidance_High,GD_Item_Name,$B1344,GD_Item_FiscalPeriod,BF$1333,GD_Update_Date,BF$1332)))</f>
        <v/>
      </c>
      <c r="BG1344" s="1553">
        <f>IF(ISBLANK(BG$1333),"N/A",IF(COUNTIFS(GD_Item_FiscalPeriod,BG$1333,GD_Item_Name,$B1344,GD_Update_Date,BG$1332)=0,"NR",SUMIFS(GD_Guidance_High,GD_Item_Name,$B1344,GD_Item_FiscalPeriod,BG$1333,GD_Update_Date,BG$1332)))</f>
        <v/>
      </c>
      <c r="BH1344" s="1553">
        <f>IF(ISBLANK(BH$1333),"N/A",IF(COUNTIFS(GD_Item_FiscalPeriod,BH$1333,GD_Item_Name,$B1344,GD_Update_Date,BH$1332)=0,"NR",SUMIFS(GD_Guidance_High,GD_Item_Name,$B1344,GD_Item_FiscalPeriod,BH$1333,GD_Update_Date,BH$1332)))</f>
        <v/>
      </c>
      <c r="BI1344" s="1553">
        <f>IF(ISBLANK(BI$1333),"N/A",IF(COUNTIFS(GD_Item_FiscalPeriod,BI$1333,GD_Item_Name,$B1344,GD_Update_Date,BI$1332)=0,"NR",SUMIFS(GD_Guidance_High,GD_Item_Name,$B1344,GD_Item_FiscalPeriod,BI$1333,GD_Update_Date,BI$1332)))</f>
        <v/>
      </c>
      <c r="BJ1344" s="1553">
        <f>IF(ISBLANK(BJ$1333),"N/A",IF(COUNTIFS(GD_Item_FiscalPeriod,BJ$1333,GD_Item_Name,$B1344,GD_Update_Date,BJ$1332)=0,"NR",SUMIFS(GD_Guidance_High,GD_Item_Name,$B1344,GD_Item_FiscalPeriod,BJ$1333,GD_Update_Date,BJ$1332)))</f>
        <v/>
      </c>
      <c r="BK1344" s="1553">
        <f>IF(ISBLANK(BK$1333),"N/A",IF(COUNTIFS(GD_Item_FiscalPeriod,BK$1333,GD_Item_Name,$B1344,GD_Update_Date,BK$1332)=0,"NR",SUMIFS(GD_Guidance_High,GD_Item_Name,$B1344,GD_Item_FiscalPeriod,BK$1333,GD_Update_Date,BK$1332)))</f>
        <v/>
      </c>
      <c r="BL1344" s="1553">
        <f>IF(ISBLANK(BL$1333),"N/A",IF(COUNTIFS(GD_Item_FiscalPeriod,BL$1333,GD_Item_Name,$B1344,GD_Update_Date,BL$1332)=0,"NR",SUMIFS(GD_Guidance_High,GD_Item_Name,$B1344,GD_Item_FiscalPeriod,BL$1333,GD_Update_Date,BL$1332)))</f>
        <v/>
      </c>
      <c r="BM1344" s="1553">
        <f>IF(ISBLANK(BM$1333),"N/A",IF(COUNTIFS(GD_Item_FiscalPeriod,BM$1333,GD_Item_Name,$B1344,GD_Update_Date,BM$1332)=0,"NR",SUMIFS(GD_Guidance_High,GD_Item_Name,$B1344,GD_Item_FiscalPeriod,BM$1333,GD_Update_Date,BM$1332)))</f>
        <v/>
      </c>
      <c r="BN1344" s="1553">
        <f>IF(ISBLANK(BN$1333),"N/A",IF(COUNTIFS(GD_Item_FiscalPeriod,BN$1333,GD_Item_Name,$B1344,GD_Update_Date,BN$1332)=0,"NR",SUMIFS(GD_Guidance_High,GD_Item_Name,$B1344,GD_Item_FiscalPeriod,BN$1333,GD_Update_Date,BN$1332)))</f>
        <v/>
      </c>
      <c r="BO1344" s="1553">
        <f>IF(ISBLANK(BO$1333),"N/A",IF(COUNTIFS(GD_Item_FiscalPeriod,BO$1333,GD_Item_Name,$B1344,GD_Update_Date,BO$1332)=0,"NR",SUMIFS(GD_Guidance_High,GD_Item_Name,$B1344,GD_Item_FiscalPeriod,BO$1333,GD_Update_Date,BO$1332)))</f>
        <v/>
      </c>
      <c r="BP1344" s="1553">
        <f>IF(ISBLANK(BP$1333),"N/A",IF(COUNTIFS(GD_Item_FiscalPeriod,BP$1333,GD_Item_Name,$B1344,GD_Update_Date,BP$1332)=0,"NR",SUMIFS(GD_Guidance_High,GD_Item_Name,$B1344,GD_Item_FiscalPeriod,BP$1333,GD_Update_Date,BP$1332)))</f>
        <v/>
      </c>
      <c r="BQ1344" s="1556">
        <f>IF(ISBLANK(BQ$1333),"N/A",IF(COUNTIFS(GD_Item_FiscalPeriod,BQ$1333,GD_Item_Name,$B1344,GD_Update_Date,BQ$1332)=0,"NR",SUMIFS(GD_Guidance_High,GD_Item_Name,$B1344,GD_Item_FiscalPeriod,BQ$1333,GD_Update_Date,BQ$1332)))</f>
        <v/>
      </c>
      <c r="BR1344" s="1553">
        <f>IF(ISBLANK(BR$1333),"N/A",IF(COUNTIFS(GD_Item_FiscalPeriod,BR$1333,GD_Item_Name,$B1344,GD_Update_Date,BR$1332)=0,"NR",SUMIFS(GD_Guidance_High,GD_Item_Name,$B1344,GD_Item_FiscalPeriod,BR$1333,GD_Update_Date,BR$1332)))</f>
        <v/>
      </c>
      <c r="BS1344" s="1553">
        <f>IF(ISBLANK(BS$1333),"N/A",IF(COUNTIFS(GD_Item_FiscalPeriod,BS$1333,GD_Item_Name,$B1344,GD_Update_Date,BS$1332)=0,"NR",SUMIFS(GD_Guidance_High,GD_Item_Name,$B1344,GD_Item_FiscalPeriod,BS$1333,GD_Update_Date,BS$1332)))</f>
        <v/>
      </c>
      <c r="BT1344" s="1553">
        <f>IF(ISBLANK(BT$1333),"N/A",IF(COUNTIFS(GD_Item_FiscalPeriod,BT$1333,GD_Item_Name,$B1344,GD_Update_Date,BT$1332)=0,"NR",SUMIFS(GD_Guidance_High,GD_Item_Name,$B1344,GD_Item_FiscalPeriod,BT$1333,GD_Update_Date,BT$1332)))</f>
        <v/>
      </c>
      <c r="BU1344" s="1553">
        <f>IF(ISBLANK(BU$1333),"N/A",IF(COUNTIFS(GD_Item_FiscalPeriod,BU$1333,GD_Item_Name,$B1344,GD_Update_Date,BU$1332)=0,"NR",SUMIFS(GD_Guidance_High,GD_Item_Name,$B1344,GD_Item_FiscalPeriod,BU$1333,GD_Update_Date,BU$1332)))</f>
        <v/>
      </c>
      <c r="BV1344" s="1553">
        <f>IF(ISBLANK(BV$1333),"N/A",IF(COUNTIFS(GD_Item_FiscalPeriod,BV$1333,GD_Item_Name,$B1344,GD_Update_Date,BV$1332)=0,"NR",SUMIFS(GD_Guidance_High,GD_Item_Name,$B1344,GD_Item_FiscalPeriod,BV$1333,GD_Update_Date,BV$1332)))</f>
        <v/>
      </c>
      <c r="BW1344" s="1553">
        <f>IF(ISBLANK(BW$1333),"N/A",IF(COUNTIFS(GD_Item_FiscalPeriod,BW$1333,GD_Item_Name,$B1344,GD_Update_Date,BW$1332)=0,"NR",SUMIFS(GD_Guidance_High,GD_Item_Name,$B1344,GD_Item_FiscalPeriod,BW$1333,GD_Update_Date,BW$1332)))</f>
        <v/>
      </c>
      <c r="BX1344" s="1553">
        <f>IF(ISBLANK(BX$1333),"N/A",IF(COUNTIFS(GD_Item_FiscalPeriod,BX$1333,GD_Item_Name,$B1344,GD_Update_Date,BX$1332)=0,"NR",SUMIFS(GD_Guidance_High,GD_Item_Name,$B1344,GD_Item_FiscalPeriod,BX$1333,GD_Update_Date,BX$1332)))</f>
        <v/>
      </c>
      <c r="BY1344" s="1553">
        <f>IF(ISBLANK(BY$1333),"N/A",IF(COUNTIFS(GD_Item_FiscalPeriod,BY$1333,GD_Item_Name,$B1344,GD_Update_Date,BY$1332)=0,"NR",SUMIFS(GD_Guidance_High,GD_Item_Name,$B1344,GD_Item_FiscalPeriod,BY$1333,GD_Update_Date,BY$1332)))</f>
        <v/>
      </c>
      <c r="BZ1344" s="1553">
        <f>IF(ISBLANK(BZ$1333),"N/A",IF(COUNTIFS(GD_Item_FiscalPeriod,BZ$1333,GD_Item_Name,$B1344,GD_Update_Date,BZ$1332)=0,"NR",SUMIFS(GD_Guidance_High,GD_Item_Name,$B1344,GD_Item_FiscalPeriod,BZ$1333,GD_Update_Date,BZ$1332)))</f>
        <v/>
      </c>
      <c r="CA1344" s="2001">
        <f>IF(ISBLANK(CA$1333),"N/A",IF(COUNTIFS(GD_Item_FiscalPeriod,CA$1333,GD_Item_Name,$B1344,GD_Update_Date,CA$1332)=0,"NR",SUMIFS(GD_Guidance_High,GD_Item_Name,$B1344,GD_Item_FiscalPeriod,CA$1333,GD_Update_Date,CA$1332)))</f>
        <v/>
      </c>
      <c r="CB1344" s="1472" t="n"/>
    </row>
    <row r="1345" ht="14.4" customFormat="1" customHeight="1" s="1549">
      <c r="A1345" s="1999" t="inlineStr">
        <is>
          <t>Mid - Shares Outstanding - WAD, mm shares</t>
        </is>
      </c>
      <c r="B1345" s="1493" t="inlineStr">
        <is>
          <t>MO_RIS_ShareCount_WAD</t>
        </is>
      </c>
      <c r="C1345" s="2000" t="n"/>
      <c r="D1345" s="2000" t="n"/>
      <c r="E1345" s="1553" t="n"/>
      <c r="F1345" s="1553" t="n"/>
      <c r="G1345" s="1553" t="n"/>
      <c r="H1345" s="1553" t="n"/>
      <c r="I1345" s="1553" t="n"/>
      <c r="J1345" s="1553" t="n"/>
      <c r="K1345" s="1553" t="n"/>
      <c r="L1345" s="1553" t="n"/>
      <c r="M1345" s="1553" t="n"/>
      <c r="N1345" s="1553" t="n"/>
      <c r="O1345" s="1553" t="n"/>
      <c r="P1345" s="1553" t="n"/>
      <c r="Q1345" s="1553" t="n"/>
      <c r="R1345" s="1553" t="n"/>
      <c r="S1345" s="1553" t="n"/>
      <c r="T1345" s="1553" t="n"/>
      <c r="U1345" s="1553" t="n"/>
      <c r="V1345" s="1553" t="n"/>
      <c r="W1345" s="1553" t="n"/>
      <c r="X1345" s="1553" t="n"/>
      <c r="Y1345" s="1553" t="n"/>
      <c r="Z1345" s="1553" t="n"/>
      <c r="AA1345" s="1553" t="n"/>
      <c r="AB1345" s="1553" t="n"/>
      <c r="AC1345" s="1553">
        <f>IF(ISBLANK(AC$1333),"N/A",IF(COUNTIFS(GD_Item_FiscalPeriod,AC$1333,GD_Item_Name,$B1345,GD_Update_Date,AC$1332)=0,"NR",SUMIFS(GD_Guidance_Mid,GD_Item_Name,$B1345,GD_Item_FiscalPeriod,AC$1333,GD_Update_Date,AC$1332)))</f>
        <v/>
      </c>
      <c r="AD1345" s="1553">
        <f>IF(ISBLANK(AD$1333),"N/A",IF(COUNTIFS(GD_Item_FiscalPeriod,AD$1333,GD_Item_Name,$B1345,GD_Update_Date,AD$1332)=0,"NR",SUMIFS(GD_Guidance_Mid,GD_Item_Name,$B1345,GD_Item_FiscalPeriod,AD$1333,GD_Update_Date,AD$1332)))</f>
        <v/>
      </c>
      <c r="AE1345" s="1553">
        <f>IF(ISBLANK(AE$1333),"N/A",IF(COUNTIFS(GD_Item_FiscalPeriod,AE$1333,GD_Item_Name,$B1345,GD_Update_Date,AE$1332)=0,"NR",SUMIFS(GD_Guidance_Mid,GD_Item_Name,$B1345,GD_Item_FiscalPeriod,AE$1333,GD_Update_Date,AE$1332)))</f>
        <v/>
      </c>
      <c r="AF1345" s="1553">
        <f>IF(ISBLANK(AF$1333),"N/A",IF(COUNTIFS(GD_Item_FiscalPeriod,AF$1333,GD_Item_Name,$B1345,GD_Update_Date,AF$1332)=0,"NR",SUMIFS(GD_Guidance_Mid,GD_Item_Name,$B1345,GD_Item_FiscalPeriod,AF$1333,GD_Update_Date,AF$1332)))</f>
        <v/>
      </c>
      <c r="AG1345" s="1553">
        <f>IF(ISBLANK(AG$1333),"N/A",IF(COUNTIFS(GD_Item_FiscalPeriod,AG$1333,GD_Item_Name,$B1345,GD_Update_Date,AG$1332)=0,"NR",SUMIFS(GD_Guidance_Mid,GD_Item_Name,$B1345,GD_Item_FiscalPeriod,AG$1333,GD_Update_Date,AG$1332)))</f>
        <v/>
      </c>
      <c r="AH1345" s="1553">
        <f>IF(ISBLANK(AH$1333),"N/A",IF(COUNTIFS(GD_Item_FiscalPeriod,AH$1333,GD_Item_Name,$B1345,GD_Update_Date,AH$1332)=0,"NR",SUMIFS(GD_Guidance_Mid,GD_Item_Name,$B1345,GD_Item_FiscalPeriod,AH$1333,GD_Update_Date,AH$1332)))</f>
        <v/>
      </c>
      <c r="AI1345" s="1553">
        <f>IF(ISBLANK(AI$1333),"N/A",IF(COUNTIFS(GD_Item_FiscalPeriod,AI$1333,GD_Item_Name,$B1345,GD_Update_Date,AI$1332)=0,"NR",SUMIFS(GD_Guidance_Mid,GD_Item_Name,$B1345,GD_Item_FiscalPeriod,AI$1333,GD_Update_Date,AI$1332)))</f>
        <v/>
      </c>
      <c r="AJ1345" s="1553">
        <f>IF(ISBLANK(AJ$1333),"N/A",IF(COUNTIFS(GD_Item_FiscalPeriod,AJ$1333,GD_Item_Name,$B1345,GD_Update_Date,AJ$1332)=0,"NR",SUMIFS(GD_Guidance_Mid,GD_Item_Name,$B1345,GD_Item_FiscalPeriod,AJ$1333,GD_Update_Date,AJ$1332)))</f>
        <v/>
      </c>
      <c r="AK1345" s="1553">
        <f>IF(ISBLANK(AK$1333),"N/A",IF(COUNTIFS(GD_Item_FiscalPeriod,AK$1333,GD_Item_Name,$B1345,GD_Update_Date,AK$1332)=0,"NR",SUMIFS(GD_Guidance_Mid,GD_Item_Name,$B1345,GD_Item_FiscalPeriod,AK$1333,GD_Update_Date,AK$1332)))</f>
        <v/>
      </c>
      <c r="AL1345" s="1553">
        <f>IF(ISBLANK(AL$1333),"N/A",IF(COUNTIFS(GD_Item_FiscalPeriod,AL$1333,GD_Item_Name,$B1345,GD_Update_Date,AL$1332)=0,"NR",SUMIFS(GD_Guidance_Mid,GD_Item_Name,$B1345,GD_Item_FiscalPeriod,AL$1333,GD_Update_Date,AL$1332)))</f>
        <v/>
      </c>
      <c r="AM1345" s="1553">
        <f>IF(ISBLANK(AM$1333),"N/A",IF(COUNTIFS(GD_Item_FiscalPeriod,AM$1333,GD_Item_Name,$B1345,GD_Update_Date,AM$1332)=0,"NR",SUMIFS(GD_Guidance_Mid,GD_Item_Name,$B1345,GD_Item_FiscalPeriod,AM$1333,GD_Update_Date,AM$1332)))</f>
        <v/>
      </c>
      <c r="AN1345" s="1553">
        <f>IF(ISBLANK(AN$1333),"N/A",IF(COUNTIFS(GD_Item_FiscalPeriod,AN$1333,GD_Item_Name,$B1345,GD_Update_Date,AN$1332)=0,"NR",SUMIFS(GD_Guidance_Mid,GD_Item_Name,$B1345,GD_Item_FiscalPeriod,AN$1333,GD_Update_Date,AN$1332)))</f>
        <v/>
      </c>
      <c r="AO1345" s="1553">
        <f>IF(ISBLANK(AO$1333),"N/A",IF(COUNTIFS(GD_Item_FiscalPeriod,AO$1333,GD_Item_Name,$B1345,GD_Update_Date,AO$1332)=0,"NR",SUMIFS(GD_Guidance_Mid,GD_Item_Name,$B1345,GD_Item_FiscalPeriod,AO$1333,GD_Update_Date,AO$1332)))</f>
        <v/>
      </c>
      <c r="AP1345" s="1553">
        <f>IF(ISBLANK(AP$1333),"N/A",IF(COUNTIFS(GD_Item_FiscalPeriod,AP$1333,GD_Item_Name,$B1345,GD_Update_Date,AP$1332)=0,"NR",SUMIFS(GD_Guidance_Mid,GD_Item_Name,$B1345,GD_Item_FiscalPeriod,AP$1333,GD_Update_Date,AP$1332)))</f>
        <v/>
      </c>
      <c r="AQ1345" s="1553">
        <f>IF(ISBLANK(AQ$1333),"N/A",IF(COUNTIFS(GD_Item_FiscalPeriod,AQ$1333,GD_Item_Name,$B1345,GD_Update_Date,AQ$1332)=0,"NR",SUMIFS(GD_Guidance_Mid,GD_Item_Name,$B1345,GD_Item_FiscalPeriod,AQ$1333,GD_Update_Date,AQ$1332)))</f>
        <v/>
      </c>
      <c r="AR1345" s="1553">
        <f>IF(ISBLANK(AR$1333),"N/A",IF(COUNTIFS(GD_Item_FiscalPeriod,AR$1333,GD_Item_Name,$B1345,GD_Update_Date,AR$1332)=0,"NR",SUMIFS(GD_Guidance_Mid,GD_Item_Name,$B1345,GD_Item_FiscalPeriod,AR$1333,GD_Update_Date,AR$1332)))</f>
        <v/>
      </c>
      <c r="AS1345" s="1553">
        <f>IF(ISBLANK(AS$1333),"N/A",IF(COUNTIFS(GD_Item_FiscalPeriod,AS$1333,GD_Item_Name,$B1345,GD_Update_Date,AS$1332)=0,"NR",SUMIFS(GD_Guidance_Mid,GD_Item_Name,$B1345,GD_Item_FiscalPeriod,AS$1333,GD_Update_Date,AS$1332)))</f>
        <v/>
      </c>
      <c r="AT1345" s="1553">
        <f>IF(ISBLANK(AT$1333),"N/A",IF(COUNTIFS(GD_Item_FiscalPeriod,AT$1333,GD_Item_Name,$B1345,GD_Update_Date,AT$1332)=0,"NR",SUMIFS(GD_Guidance_Mid,GD_Item_Name,$B1345,GD_Item_FiscalPeriod,AT$1333,GD_Update_Date,AT$1332)))</f>
        <v/>
      </c>
      <c r="AU1345" s="1553">
        <f>IF(ISBLANK(AU$1333),"N/A",IF(COUNTIFS(GD_Item_FiscalPeriod,AU$1333,GD_Item_Name,$B1345,GD_Update_Date,AU$1332)=0,"NR",SUMIFS(GD_Guidance_Mid,GD_Item_Name,$B1345,GD_Item_FiscalPeriod,AU$1333,GD_Update_Date,AU$1332)))</f>
        <v/>
      </c>
      <c r="AV1345" s="1553">
        <f>IF(ISBLANK(AV$1333),"N/A",IF(COUNTIFS(GD_Item_FiscalPeriod,AV$1333,GD_Item_Name,$B1345,GD_Update_Date,AV$1332)=0,"NR",SUMIFS(GD_Guidance_Mid,GD_Item_Name,$B1345,GD_Item_FiscalPeriod,AV$1333,GD_Update_Date,AV$1332)))</f>
        <v/>
      </c>
      <c r="AW1345" s="1553">
        <f>IF(ISBLANK(AW$1333),"N/A",IF(COUNTIFS(GD_Item_FiscalPeriod,AW$1333,GD_Item_Name,$B1345,GD_Update_Date,AW$1332)=0,"NR",SUMIFS(GD_Guidance_Mid,GD_Item_Name,$B1345,GD_Item_FiscalPeriod,AW$1333,GD_Update_Date,AW$1332)))</f>
        <v/>
      </c>
      <c r="AX1345" s="1553">
        <f>IF(ISBLANK(AX$1333),"N/A",IF(COUNTIFS(GD_Item_FiscalPeriod,AX$1333,GD_Item_Name,$B1345,GD_Update_Date,AX$1332)=0,"NR",SUMIFS(GD_Guidance_Mid,GD_Item_Name,$B1345,GD_Item_FiscalPeriod,AX$1333,GD_Update_Date,AX$1332)))</f>
        <v/>
      </c>
      <c r="AY1345" s="1553">
        <f>IF(ISBLANK(AY$1333),"N/A",IF(COUNTIFS(GD_Item_FiscalPeriod,AY$1333,GD_Item_Name,$B1345,GD_Update_Date,AY$1332)=0,"NR",SUMIFS(GD_Guidance_Mid,GD_Item_Name,$B1345,GD_Item_FiscalPeriod,AY$1333,GD_Update_Date,AY$1332)))</f>
        <v/>
      </c>
      <c r="AZ1345" s="1553">
        <f>IF(ISBLANK(AZ$1333),"N/A",IF(COUNTIFS(GD_Item_FiscalPeriod,AZ$1333,GD_Item_Name,$B1345,GD_Update_Date,AZ$1332)=0,"NR",SUMIFS(GD_Guidance_Mid,GD_Item_Name,$B1345,GD_Item_FiscalPeriod,AZ$1333,GD_Update_Date,AZ$1332)))</f>
        <v/>
      </c>
      <c r="BA1345" s="1553">
        <f>IF(ISBLANK(BA$1333),"N/A",IF(COUNTIFS(GD_Item_FiscalPeriod,BA$1333,GD_Item_Name,$B1345,GD_Update_Date,BA$1332)=0,"NR",SUMIFS(GD_Guidance_Mid,GD_Item_Name,$B1345,GD_Item_FiscalPeriod,BA$1333,GD_Update_Date,BA$1332)))</f>
        <v/>
      </c>
      <c r="BB1345" s="1553">
        <f>IF(ISBLANK(BB$1333),"N/A",IF(COUNTIFS(GD_Item_FiscalPeriod,BB$1333,GD_Item_Name,$B1345,GD_Update_Date,BB$1332)=0,"NR",SUMIFS(GD_Guidance_Mid,GD_Item_Name,$B1345,GD_Item_FiscalPeriod,BB$1333,GD_Update_Date,BB$1332)))</f>
        <v/>
      </c>
      <c r="BC1345" s="1553">
        <f>IF(ISBLANK(BC$1333),"N/A",IF(COUNTIFS(GD_Item_FiscalPeriod,BC$1333,GD_Item_Name,$B1345,GD_Update_Date,BC$1332)=0,"NR",SUMIFS(GD_Guidance_Mid,GD_Item_Name,$B1345,GD_Item_FiscalPeriod,BC$1333,GD_Update_Date,BC$1332)))</f>
        <v/>
      </c>
      <c r="BD1345" s="1553">
        <f>IF(ISBLANK(BD$1333),"N/A",IF(COUNTIFS(GD_Item_FiscalPeriod,BD$1333,GD_Item_Name,$B1345,GD_Update_Date,BD$1332)=0,"NR",SUMIFS(GD_Guidance_Mid,GD_Item_Name,$B1345,GD_Item_FiscalPeriod,BD$1333,GD_Update_Date,BD$1332)))</f>
        <v/>
      </c>
      <c r="BE1345" s="1553">
        <f>IF(ISBLANK(BE$1333),"N/A",IF(COUNTIFS(GD_Item_FiscalPeriod,BE$1333,GD_Item_Name,$B1345,GD_Update_Date,BE$1332)=0,"NR",SUMIFS(GD_Guidance_Mid,GD_Item_Name,$B1345,GD_Item_FiscalPeriod,BE$1333,GD_Update_Date,BE$1332)))</f>
        <v/>
      </c>
      <c r="BF1345" s="1553">
        <f>IF(ISBLANK(BF$1333),"N/A",IF(COUNTIFS(GD_Item_FiscalPeriod,BF$1333,GD_Item_Name,$B1345,GD_Update_Date,BF$1332)=0,"NR",SUMIFS(GD_Guidance_Mid,GD_Item_Name,$B1345,GD_Item_FiscalPeriod,BF$1333,GD_Update_Date,BF$1332)))</f>
        <v/>
      </c>
      <c r="BG1345" s="1553">
        <f>IF(ISBLANK(BG$1333),"N/A",IF(COUNTIFS(GD_Item_FiscalPeriod,BG$1333,GD_Item_Name,$B1345,GD_Update_Date,BG$1332)=0,"NR",SUMIFS(GD_Guidance_Mid,GD_Item_Name,$B1345,GD_Item_FiscalPeriod,BG$1333,GD_Update_Date,BG$1332)))</f>
        <v/>
      </c>
      <c r="BH1345" s="1553">
        <f>IF(ISBLANK(BH$1333),"N/A",IF(COUNTIFS(GD_Item_FiscalPeriod,BH$1333,GD_Item_Name,$B1345,GD_Update_Date,BH$1332)=0,"NR",SUMIFS(GD_Guidance_Mid,GD_Item_Name,$B1345,GD_Item_FiscalPeriod,BH$1333,GD_Update_Date,BH$1332)))</f>
        <v/>
      </c>
      <c r="BI1345" s="1553">
        <f>IF(ISBLANK(BI$1333),"N/A",IF(COUNTIFS(GD_Item_FiscalPeriod,BI$1333,GD_Item_Name,$B1345,GD_Update_Date,BI$1332)=0,"NR",SUMIFS(GD_Guidance_Mid,GD_Item_Name,$B1345,GD_Item_FiscalPeriod,BI$1333,GD_Update_Date,BI$1332)))</f>
        <v/>
      </c>
      <c r="BJ1345" s="1553">
        <f>IF(ISBLANK(BJ$1333),"N/A",IF(COUNTIFS(GD_Item_FiscalPeriod,BJ$1333,GD_Item_Name,$B1345,GD_Update_Date,BJ$1332)=0,"NR",SUMIFS(GD_Guidance_Mid,GD_Item_Name,$B1345,GD_Item_FiscalPeriod,BJ$1333,GD_Update_Date,BJ$1332)))</f>
        <v/>
      </c>
      <c r="BK1345" s="1553">
        <f>IF(ISBLANK(BK$1333),"N/A",IF(COUNTIFS(GD_Item_FiscalPeriod,BK$1333,GD_Item_Name,$B1345,GD_Update_Date,BK$1332)=0,"NR",SUMIFS(GD_Guidance_Mid,GD_Item_Name,$B1345,GD_Item_FiscalPeriod,BK$1333,GD_Update_Date,BK$1332)))</f>
        <v/>
      </c>
      <c r="BL1345" s="1553">
        <f>IF(ISBLANK(BL$1333),"N/A",IF(COUNTIFS(GD_Item_FiscalPeriod,BL$1333,GD_Item_Name,$B1345,GD_Update_Date,BL$1332)=0,"NR",SUMIFS(GD_Guidance_Mid,GD_Item_Name,$B1345,GD_Item_FiscalPeriod,BL$1333,GD_Update_Date,BL$1332)))</f>
        <v/>
      </c>
      <c r="BM1345" s="1553">
        <f>IF(ISBLANK(BM$1333),"N/A",IF(COUNTIFS(GD_Item_FiscalPeriod,BM$1333,GD_Item_Name,$B1345,GD_Update_Date,BM$1332)=0,"NR",SUMIFS(GD_Guidance_Mid,GD_Item_Name,$B1345,GD_Item_FiscalPeriod,BM$1333,GD_Update_Date,BM$1332)))</f>
        <v/>
      </c>
      <c r="BN1345" s="1553">
        <f>IF(ISBLANK(BN$1333),"N/A",IF(COUNTIFS(GD_Item_FiscalPeriod,BN$1333,GD_Item_Name,$B1345,GD_Update_Date,BN$1332)=0,"NR",SUMIFS(GD_Guidance_Mid,GD_Item_Name,$B1345,GD_Item_FiscalPeriod,BN$1333,GD_Update_Date,BN$1332)))</f>
        <v/>
      </c>
      <c r="BO1345" s="1553">
        <f>IF(ISBLANK(BO$1333),"N/A",IF(COUNTIFS(GD_Item_FiscalPeriod,BO$1333,GD_Item_Name,$B1345,GD_Update_Date,BO$1332)=0,"NR",SUMIFS(GD_Guidance_Mid,GD_Item_Name,$B1345,GD_Item_FiscalPeriod,BO$1333,GD_Update_Date,BO$1332)))</f>
        <v/>
      </c>
      <c r="BP1345" s="1553">
        <f>IF(ISBLANK(BP$1333),"N/A",IF(COUNTIFS(GD_Item_FiscalPeriod,BP$1333,GD_Item_Name,$B1345,GD_Update_Date,BP$1332)=0,"NR",SUMIFS(GD_Guidance_Mid,GD_Item_Name,$B1345,GD_Item_FiscalPeriod,BP$1333,GD_Update_Date,BP$1332)))</f>
        <v/>
      </c>
      <c r="BQ1345" s="1556">
        <f>IF(ISBLANK(BQ$1333),"N/A",IF(COUNTIFS(GD_Item_FiscalPeriod,BQ$1333,GD_Item_Name,$B1345,GD_Update_Date,BQ$1332)=0,"NR",SUMIFS(GD_Guidance_Mid,GD_Item_Name,$B1345,GD_Item_FiscalPeriod,BQ$1333,GD_Update_Date,BQ$1332)))</f>
        <v/>
      </c>
      <c r="BR1345" s="1553">
        <f>IF(ISBLANK(BR$1333),"N/A",IF(COUNTIFS(GD_Item_FiscalPeriod,BR$1333,GD_Item_Name,$B1345,GD_Update_Date,BR$1332)=0,"NR",SUMIFS(GD_Guidance_Mid,GD_Item_Name,$B1345,GD_Item_FiscalPeriod,BR$1333,GD_Update_Date,BR$1332)))</f>
        <v/>
      </c>
      <c r="BS1345" s="1553">
        <f>IF(ISBLANK(BS$1333),"N/A",IF(COUNTIFS(GD_Item_FiscalPeriod,BS$1333,GD_Item_Name,$B1345,GD_Update_Date,BS$1332)=0,"NR",SUMIFS(GD_Guidance_Mid,GD_Item_Name,$B1345,GD_Item_FiscalPeriod,BS$1333,GD_Update_Date,BS$1332)))</f>
        <v/>
      </c>
      <c r="BT1345" s="1553">
        <f>IF(ISBLANK(BT$1333),"N/A",IF(COUNTIFS(GD_Item_FiscalPeriod,BT$1333,GD_Item_Name,$B1345,GD_Update_Date,BT$1332)=0,"NR",SUMIFS(GD_Guidance_Mid,GD_Item_Name,$B1345,GD_Item_FiscalPeriod,BT$1333,GD_Update_Date,BT$1332)))</f>
        <v/>
      </c>
      <c r="BU1345" s="1553">
        <f>IF(ISBLANK(BU$1333),"N/A",IF(COUNTIFS(GD_Item_FiscalPeriod,BU$1333,GD_Item_Name,$B1345,GD_Update_Date,BU$1332)=0,"NR",SUMIFS(GD_Guidance_Mid,GD_Item_Name,$B1345,GD_Item_FiscalPeriod,BU$1333,GD_Update_Date,BU$1332)))</f>
        <v/>
      </c>
      <c r="BV1345" s="1553">
        <f>IF(ISBLANK(BV$1333),"N/A",IF(COUNTIFS(GD_Item_FiscalPeriod,BV$1333,GD_Item_Name,$B1345,GD_Update_Date,BV$1332)=0,"NR",SUMIFS(GD_Guidance_Mid,GD_Item_Name,$B1345,GD_Item_FiscalPeriod,BV$1333,GD_Update_Date,BV$1332)))</f>
        <v/>
      </c>
      <c r="BW1345" s="1553">
        <f>IF(ISBLANK(BW$1333),"N/A",IF(COUNTIFS(GD_Item_FiscalPeriod,BW$1333,GD_Item_Name,$B1345,GD_Update_Date,BW$1332)=0,"NR",SUMIFS(GD_Guidance_Mid,GD_Item_Name,$B1345,GD_Item_FiscalPeriod,BW$1333,GD_Update_Date,BW$1332)))</f>
        <v/>
      </c>
      <c r="BX1345" s="1553">
        <f>IF(ISBLANK(BX$1333),"N/A",IF(COUNTIFS(GD_Item_FiscalPeriod,BX$1333,GD_Item_Name,$B1345,GD_Update_Date,BX$1332)=0,"NR",SUMIFS(GD_Guidance_Mid,GD_Item_Name,$B1345,GD_Item_FiscalPeriod,BX$1333,GD_Update_Date,BX$1332)))</f>
        <v/>
      </c>
      <c r="BY1345" s="1553">
        <f>IF(ISBLANK(BY$1333),"N/A",IF(COUNTIFS(GD_Item_FiscalPeriod,BY$1333,GD_Item_Name,$B1345,GD_Update_Date,BY$1332)=0,"NR",SUMIFS(GD_Guidance_Mid,GD_Item_Name,$B1345,GD_Item_FiscalPeriod,BY$1333,GD_Update_Date,BY$1332)))</f>
        <v/>
      </c>
      <c r="BZ1345" s="1553">
        <f>IF(ISBLANK(BZ$1333),"N/A",IF(COUNTIFS(GD_Item_FiscalPeriod,BZ$1333,GD_Item_Name,$B1345,GD_Update_Date,BZ$1332)=0,"NR",SUMIFS(GD_Guidance_Mid,GD_Item_Name,$B1345,GD_Item_FiscalPeriod,BZ$1333,GD_Update_Date,BZ$1332)))</f>
        <v/>
      </c>
      <c r="CA1345" s="2001">
        <f>IF(ISBLANK(CA$1333),"N/A",IF(COUNTIFS(GD_Item_FiscalPeriod,CA$1333,GD_Item_Name,$B1345,GD_Update_Date,CA$1332)=0,"NR",SUMIFS(GD_Guidance_Mid,GD_Item_Name,$B1345,GD_Item_FiscalPeriod,CA$1333,GD_Update_Date,CA$1332)))</f>
        <v/>
      </c>
      <c r="CB1345" s="1472" t="n"/>
    </row>
    <row r="1346" ht="14.4" customFormat="1" customHeight="1" s="1549">
      <c r="A1346" s="1999" t="inlineStr">
        <is>
          <t>Low - Capex, mm</t>
        </is>
      </c>
      <c r="B1346" s="1493" t="inlineStr">
        <is>
          <t>MO_CFSum_Capex</t>
        </is>
      </c>
      <c r="C1346" s="2000" t="n"/>
      <c r="D1346" s="2000" t="n"/>
      <c r="E1346" s="1553" t="n"/>
      <c r="F1346" s="1553" t="n"/>
      <c r="G1346" s="1553" t="n"/>
      <c r="H1346" s="1553" t="n"/>
      <c r="I1346" s="1553" t="n"/>
      <c r="J1346" s="1553" t="n"/>
      <c r="K1346" s="1553" t="n"/>
      <c r="L1346" s="1553" t="n"/>
      <c r="M1346" s="1553" t="n"/>
      <c r="N1346" s="1553" t="n"/>
      <c r="O1346" s="1553" t="n"/>
      <c r="P1346" s="1553" t="n"/>
      <c r="Q1346" s="1553" t="n"/>
      <c r="R1346" s="1553" t="n"/>
      <c r="S1346" s="1553" t="n"/>
      <c r="T1346" s="1553" t="n"/>
      <c r="U1346" s="1553" t="n"/>
      <c r="V1346" s="1553" t="n"/>
      <c r="W1346" s="1553" t="n"/>
      <c r="X1346" s="1553" t="n"/>
      <c r="Y1346" s="1553" t="n"/>
      <c r="Z1346" s="1553" t="n"/>
      <c r="AA1346" s="1553" t="n"/>
      <c r="AB1346" s="1553" t="n"/>
      <c r="AC1346" s="1553">
        <f>IF(ISBLANK(AC$1333),"N/A",IF(COUNTIFS(GD_Item_FiscalPeriod,AC$1333,GD_Item_Name,$B1346,GD_Update_Date,AC$1332)=0,"NR",SUMIFS(GD_Guidance_Low,GD_Item_Name,$B1346,GD_Item_FiscalPeriod,AC$1333,GD_Update_Date,AC$1332)))</f>
        <v/>
      </c>
      <c r="AD1346" s="1553">
        <f>IF(ISBLANK(AD$1333),"N/A",IF(COUNTIFS(GD_Item_FiscalPeriod,AD$1333,GD_Item_Name,$B1346,GD_Update_Date,AD$1332)=0,"NR",SUMIFS(GD_Guidance_Low,GD_Item_Name,$B1346,GD_Item_FiscalPeriod,AD$1333,GD_Update_Date,AD$1332)))</f>
        <v/>
      </c>
      <c r="AE1346" s="1553">
        <f>IF(ISBLANK(AE$1333),"N/A",IF(COUNTIFS(GD_Item_FiscalPeriod,AE$1333,GD_Item_Name,$B1346,GD_Update_Date,AE$1332)=0,"NR",SUMIFS(GD_Guidance_Low,GD_Item_Name,$B1346,GD_Item_FiscalPeriod,AE$1333,GD_Update_Date,AE$1332)))</f>
        <v/>
      </c>
      <c r="AF1346" s="1553">
        <f>IF(ISBLANK(AF$1333),"N/A",IF(COUNTIFS(GD_Item_FiscalPeriod,AF$1333,GD_Item_Name,$B1346,GD_Update_Date,AF$1332)=0,"NR",SUMIFS(GD_Guidance_Low,GD_Item_Name,$B1346,GD_Item_FiscalPeriod,AF$1333,GD_Update_Date,AF$1332)))</f>
        <v/>
      </c>
      <c r="AG1346" s="1553">
        <f>IF(ISBLANK(AG$1333),"N/A",IF(COUNTIFS(GD_Item_FiscalPeriod,AG$1333,GD_Item_Name,$B1346,GD_Update_Date,AG$1332)=0,"NR",SUMIFS(GD_Guidance_Low,GD_Item_Name,$B1346,GD_Item_FiscalPeriod,AG$1333,GD_Update_Date,AG$1332)))</f>
        <v/>
      </c>
      <c r="AH1346" s="1553">
        <f>IF(ISBLANK(AH$1333),"N/A",IF(COUNTIFS(GD_Item_FiscalPeriod,AH$1333,GD_Item_Name,$B1346,GD_Update_Date,AH$1332)=0,"NR",SUMIFS(GD_Guidance_Low,GD_Item_Name,$B1346,GD_Item_FiscalPeriod,AH$1333,GD_Update_Date,AH$1332)))</f>
        <v/>
      </c>
      <c r="AI1346" s="1553">
        <f>IF(ISBLANK(AI$1333),"N/A",IF(COUNTIFS(GD_Item_FiscalPeriod,AI$1333,GD_Item_Name,$B1346,GD_Update_Date,AI$1332)=0,"NR",SUMIFS(GD_Guidance_Low,GD_Item_Name,$B1346,GD_Item_FiscalPeriod,AI$1333,GD_Update_Date,AI$1332)))</f>
        <v/>
      </c>
      <c r="AJ1346" s="1553">
        <f>IF(ISBLANK(AJ$1333),"N/A",IF(COUNTIFS(GD_Item_FiscalPeriod,AJ$1333,GD_Item_Name,$B1346,GD_Update_Date,AJ$1332)=0,"NR",SUMIFS(GD_Guidance_Low,GD_Item_Name,$B1346,GD_Item_FiscalPeriod,AJ$1333,GD_Update_Date,AJ$1332)))</f>
        <v/>
      </c>
      <c r="AK1346" s="1553">
        <f>IF(ISBLANK(AK$1333),"N/A",IF(COUNTIFS(GD_Item_FiscalPeriod,AK$1333,GD_Item_Name,$B1346,GD_Update_Date,AK$1332)=0,"NR",SUMIFS(GD_Guidance_Low,GD_Item_Name,$B1346,GD_Item_FiscalPeriod,AK$1333,GD_Update_Date,AK$1332)))</f>
        <v/>
      </c>
      <c r="AL1346" s="1553">
        <f>IF(ISBLANK(AL$1333),"N/A",IF(COUNTIFS(GD_Item_FiscalPeriod,AL$1333,GD_Item_Name,$B1346,GD_Update_Date,AL$1332)=0,"NR",SUMIFS(GD_Guidance_Low,GD_Item_Name,$B1346,GD_Item_FiscalPeriod,AL$1333,GD_Update_Date,AL$1332)))</f>
        <v/>
      </c>
      <c r="AM1346" s="1553">
        <f>IF(ISBLANK(AM$1333),"N/A",IF(COUNTIFS(GD_Item_FiscalPeriod,AM$1333,GD_Item_Name,$B1346,GD_Update_Date,AM$1332)=0,"NR",SUMIFS(GD_Guidance_Low,GD_Item_Name,$B1346,GD_Item_FiscalPeriod,AM$1333,GD_Update_Date,AM$1332)))</f>
        <v/>
      </c>
      <c r="AN1346" s="1553">
        <f>IF(ISBLANK(AN$1333),"N/A",IF(COUNTIFS(GD_Item_FiscalPeriod,AN$1333,GD_Item_Name,$B1346,GD_Update_Date,AN$1332)=0,"NR",SUMIFS(GD_Guidance_Low,GD_Item_Name,$B1346,GD_Item_FiscalPeriod,AN$1333,GD_Update_Date,AN$1332)))</f>
        <v/>
      </c>
      <c r="AO1346" s="1553">
        <f>IF(ISBLANK(AO$1333),"N/A",IF(COUNTIFS(GD_Item_FiscalPeriod,AO$1333,GD_Item_Name,$B1346,GD_Update_Date,AO$1332)=0,"NR",SUMIFS(GD_Guidance_Low,GD_Item_Name,$B1346,GD_Item_FiscalPeriod,AO$1333,GD_Update_Date,AO$1332)))</f>
        <v/>
      </c>
      <c r="AP1346" s="1553">
        <f>IF(ISBLANK(AP$1333),"N/A",IF(COUNTIFS(GD_Item_FiscalPeriod,AP$1333,GD_Item_Name,$B1346,GD_Update_Date,AP$1332)=0,"NR",SUMIFS(GD_Guidance_Low,GD_Item_Name,$B1346,GD_Item_FiscalPeriod,AP$1333,GD_Update_Date,AP$1332)))</f>
        <v/>
      </c>
      <c r="AQ1346" s="1553">
        <f>IF(ISBLANK(AQ$1333),"N/A",IF(COUNTIFS(GD_Item_FiscalPeriod,AQ$1333,GD_Item_Name,$B1346,GD_Update_Date,AQ$1332)=0,"NR",SUMIFS(GD_Guidance_Low,GD_Item_Name,$B1346,GD_Item_FiscalPeriod,AQ$1333,GD_Update_Date,AQ$1332)))</f>
        <v/>
      </c>
      <c r="AR1346" s="1553">
        <f>IF(ISBLANK(AR$1333),"N/A",IF(COUNTIFS(GD_Item_FiscalPeriod,AR$1333,GD_Item_Name,$B1346,GD_Update_Date,AR$1332)=0,"NR",SUMIFS(GD_Guidance_Low,GD_Item_Name,$B1346,GD_Item_FiscalPeriod,AR$1333,GD_Update_Date,AR$1332)))</f>
        <v/>
      </c>
      <c r="AS1346" s="1553">
        <f>IF(ISBLANK(AS$1333),"N/A",IF(COUNTIFS(GD_Item_FiscalPeriod,AS$1333,GD_Item_Name,$B1346,GD_Update_Date,AS$1332)=0,"NR",SUMIFS(GD_Guidance_Low,GD_Item_Name,$B1346,GD_Item_FiscalPeriod,AS$1333,GD_Update_Date,AS$1332)))</f>
        <v/>
      </c>
      <c r="AT1346" s="1553">
        <f>IF(ISBLANK(AT$1333),"N/A",IF(COUNTIFS(GD_Item_FiscalPeriod,AT$1333,GD_Item_Name,$B1346,GD_Update_Date,AT$1332)=0,"NR",SUMIFS(GD_Guidance_Low,GD_Item_Name,$B1346,GD_Item_FiscalPeriod,AT$1333,GD_Update_Date,AT$1332)))</f>
        <v/>
      </c>
      <c r="AU1346" s="1553">
        <f>IF(ISBLANK(AU$1333),"N/A",IF(COUNTIFS(GD_Item_FiscalPeriod,AU$1333,GD_Item_Name,$B1346,GD_Update_Date,AU$1332)=0,"NR",SUMIFS(GD_Guidance_Low,GD_Item_Name,$B1346,GD_Item_FiscalPeriod,AU$1333,GD_Update_Date,AU$1332)))</f>
        <v/>
      </c>
      <c r="AV1346" s="1553">
        <f>IF(ISBLANK(AV$1333),"N/A",IF(COUNTIFS(GD_Item_FiscalPeriod,AV$1333,GD_Item_Name,$B1346,GD_Update_Date,AV$1332)=0,"NR",SUMIFS(GD_Guidance_Low,GD_Item_Name,$B1346,GD_Item_FiscalPeriod,AV$1333,GD_Update_Date,AV$1332)))</f>
        <v/>
      </c>
      <c r="AW1346" s="1553">
        <f>IF(ISBLANK(AW$1333),"N/A",IF(COUNTIFS(GD_Item_FiscalPeriod,AW$1333,GD_Item_Name,$B1346,GD_Update_Date,AW$1332)=0,"NR",SUMIFS(GD_Guidance_Low,GD_Item_Name,$B1346,GD_Item_FiscalPeriod,AW$1333,GD_Update_Date,AW$1332)))</f>
        <v/>
      </c>
      <c r="AX1346" s="1553">
        <f>IF(ISBLANK(AX$1333),"N/A",IF(COUNTIFS(GD_Item_FiscalPeriod,AX$1333,GD_Item_Name,$B1346,GD_Update_Date,AX$1332)=0,"NR",SUMIFS(GD_Guidance_Low,GD_Item_Name,$B1346,GD_Item_FiscalPeriod,AX$1333,GD_Update_Date,AX$1332)))</f>
        <v/>
      </c>
      <c r="AY1346" s="1553">
        <f>IF(ISBLANK(AY$1333),"N/A",IF(COUNTIFS(GD_Item_FiscalPeriod,AY$1333,GD_Item_Name,$B1346,GD_Update_Date,AY$1332)=0,"NR",SUMIFS(GD_Guidance_Low,GD_Item_Name,$B1346,GD_Item_FiscalPeriod,AY$1333,GD_Update_Date,AY$1332)))</f>
        <v/>
      </c>
      <c r="AZ1346" s="1553">
        <f>IF(ISBLANK(AZ$1333),"N/A",IF(COUNTIFS(GD_Item_FiscalPeriod,AZ$1333,GD_Item_Name,$B1346,GD_Update_Date,AZ$1332)=0,"NR",SUMIFS(GD_Guidance_Low,GD_Item_Name,$B1346,GD_Item_FiscalPeriod,AZ$1333,GD_Update_Date,AZ$1332)))</f>
        <v/>
      </c>
      <c r="BA1346" s="1553">
        <f>IF(ISBLANK(BA$1333),"N/A",IF(COUNTIFS(GD_Item_FiscalPeriod,BA$1333,GD_Item_Name,$B1346,GD_Update_Date,BA$1332)=0,"NR",SUMIFS(GD_Guidance_Low,GD_Item_Name,$B1346,GD_Item_FiscalPeriod,BA$1333,GD_Update_Date,BA$1332)))</f>
        <v/>
      </c>
      <c r="BB1346" s="1553">
        <f>IF(ISBLANK(BB$1333),"N/A",IF(COUNTIFS(GD_Item_FiscalPeriod,BB$1333,GD_Item_Name,$B1346,GD_Update_Date,BB$1332)=0,"NR",SUMIFS(GD_Guidance_Low,GD_Item_Name,$B1346,GD_Item_FiscalPeriod,BB$1333,GD_Update_Date,BB$1332)))</f>
        <v/>
      </c>
      <c r="BC1346" s="1553">
        <f>IF(ISBLANK(BC$1333),"N/A",IF(COUNTIFS(GD_Item_FiscalPeriod,BC$1333,GD_Item_Name,$B1346,GD_Update_Date,BC$1332)=0,"NR",SUMIFS(GD_Guidance_Low,GD_Item_Name,$B1346,GD_Item_FiscalPeriod,BC$1333,GD_Update_Date,BC$1332)))</f>
        <v/>
      </c>
      <c r="BD1346" s="1553">
        <f>IF(ISBLANK(BD$1333),"N/A",IF(COUNTIFS(GD_Item_FiscalPeriod,BD$1333,GD_Item_Name,$B1346,GD_Update_Date,BD$1332)=0,"NR",SUMIFS(GD_Guidance_Low,GD_Item_Name,$B1346,GD_Item_FiscalPeriod,BD$1333,GD_Update_Date,BD$1332)))</f>
        <v/>
      </c>
      <c r="BE1346" s="1553">
        <f>IF(ISBLANK(BE$1333),"N/A",IF(COUNTIFS(GD_Item_FiscalPeriod,BE$1333,GD_Item_Name,$B1346,GD_Update_Date,BE$1332)=0,"NR",SUMIFS(GD_Guidance_Low,GD_Item_Name,$B1346,GD_Item_FiscalPeriod,BE$1333,GD_Update_Date,BE$1332)))</f>
        <v/>
      </c>
      <c r="BF1346" s="1553">
        <f>IF(ISBLANK(BF$1333),"N/A",IF(COUNTIFS(GD_Item_FiscalPeriod,BF$1333,GD_Item_Name,$B1346,GD_Update_Date,BF$1332)=0,"NR",SUMIFS(GD_Guidance_Low,GD_Item_Name,$B1346,GD_Item_FiscalPeriod,BF$1333,GD_Update_Date,BF$1332)))</f>
        <v/>
      </c>
      <c r="BG1346" s="1553">
        <f>IF(ISBLANK(BG$1333),"N/A",IF(COUNTIFS(GD_Item_FiscalPeriod,BG$1333,GD_Item_Name,$B1346,GD_Update_Date,BG$1332)=0,"NR",SUMIFS(GD_Guidance_Low,GD_Item_Name,$B1346,GD_Item_FiscalPeriod,BG$1333,GD_Update_Date,BG$1332)))</f>
        <v/>
      </c>
      <c r="BH1346" s="1553">
        <f>IF(ISBLANK(BH$1333),"N/A",IF(COUNTIFS(GD_Item_FiscalPeriod,BH$1333,GD_Item_Name,$B1346,GD_Update_Date,BH$1332)=0,"NR",SUMIFS(GD_Guidance_Low,GD_Item_Name,$B1346,GD_Item_FiscalPeriod,BH$1333,GD_Update_Date,BH$1332)))</f>
        <v/>
      </c>
      <c r="BI1346" s="1553">
        <f>IF(ISBLANK(BI$1333),"N/A",IF(COUNTIFS(GD_Item_FiscalPeriod,BI$1333,GD_Item_Name,$B1346,GD_Update_Date,BI$1332)=0,"NR",SUMIFS(GD_Guidance_Low,GD_Item_Name,$B1346,GD_Item_FiscalPeriod,BI$1333,GD_Update_Date,BI$1332)))</f>
        <v/>
      </c>
      <c r="BJ1346" s="1553">
        <f>IF(ISBLANK(BJ$1333),"N/A",IF(COUNTIFS(GD_Item_FiscalPeriod,BJ$1333,GD_Item_Name,$B1346,GD_Update_Date,BJ$1332)=0,"NR",SUMIFS(GD_Guidance_Low,GD_Item_Name,$B1346,GD_Item_FiscalPeriod,BJ$1333,GD_Update_Date,BJ$1332)))</f>
        <v/>
      </c>
      <c r="BK1346" s="1553">
        <f>IF(ISBLANK(BK$1333),"N/A",IF(COUNTIFS(GD_Item_FiscalPeriod,BK$1333,GD_Item_Name,$B1346,GD_Update_Date,BK$1332)=0,"NR",SUMIFS(GD_Guidance_Low,GD_Item_Name,$B1346,GD_Item_FiscalPeriod,BK$1333,GD_Update_Date,BK$1332)))</f>
        <v/>
      </c>
      <c r="BL1346" s="1553">
        <f>IF(ISBLANK(BL$1333),"N/A",IF(COUNTIFS(GD_Item_FiscalPeriod,BL$1333,GD_Item_Name,$B1346,GD_Update_Date,BL$1332)=0,"NR",SUMIFS(GD_Guidance_Low,GD_Item_Name,$B1346,GD_Item_FiscalPeriod,BL$1333,GD_Update_Date,BL$1332)))</f>
        <v/>
      </c>
      <c r="BM1346" s="1553">
        <f>IF(ISBLANK(BM$1333),"N/A",IF(COUNTIFS(GD_Item_FiscalPeriod,BM$1333,GD_Item_Name,$B1346,GD_Update_Date,BM$1332)=0,"NR",SUMIFS(GD_Guidance_Low,GD_Item_Name,$B1346,GD_Item_FiscalPeriod,BM$1333,GD_Update_Date,BM$1332)))</f>
        <v/>
      </c>
      <c r="BN1346" s="1553">
        <f>IF(ISBLANK(BN$1333),"N/A",IF(COUNTIFS(GD_Item_FiscalPeriod,BN$1333,GD_Item_Name,$B1346,GD_Update_Date,BN$1332)=0,"NR",SUMIFS(GD_Guidance_Low,GD_Item_Name,$B1346,GD_Item_FiscalPeriod,BN$1333,GD_Update_Date,BN$1332)))</f>
        <v/>
      </c>
      <c r="BO1346" s="1553">
        <f>IF(ISBLANK(BO$1333),"N/A",IF(COUNTIFS(GD_Item_FiscalPeriod,BO$1333,GD_Item_Name,$B1346,GD_Update_Date,BO$1332)=0,"NR",SUMIFS(GD_Guidance_Low,GD_Item_Name,$B1346,GD_Item_FiscalPeriod,BO$1333,GD_Update_Date,BO$1332)))</f>
        <v/>
      </c>
      <c r="BP1346" s="1553">
        <f>IF(ISBLANK(BP$1333),"N/A",IF(COUNTIFS(GD_Item_FiscalPeriod,BP$1333,GD_Item_Name,$B1346,GD_Update_Date,BP$1332)=0,"NR",SUMIFS(GD_Guidance_Low,GD_Item_Name,$B1346,GD_Item_FiscalPeriod,BP$1333,GD_Update_Date,BP$1332)))</f>
        <v/>
      </c>
      <c r="BQ1346" s="1556">
        <f>IF(ISBLANK(BQ$1333),"N/A",IF(COUNTIFS(GD_Item_FiscalPeriod,BQ$1333,GD_Item_Name,$B1346,GD_Update_Date,BQ$1332)=0,"NR",SUMIFS(GD_Guidance_Low,GD_Item_Name,$B1346,GD_Item_FiscalPeriod,BQ$1333,GD_Update_Date,BQ$1332)))</f>
        <v/>
      </c>
      <c r="BR1346" s="1553">
        <f>IF(ISBLANK(BR$1333),"N/A",IF(COUNTIFS(GD_Item_FiscalPeriod,BR$1333,GD_Item_Name,$B1346,GD_Update_Date,BR$1332)=0,"NR",SUMIFS(GD_Guidance_Low,GD_Item_Name,$B1346,GD_Item_FiscalPeriod,BR$1333,GD_Update_Date,BR$1332)))</f>
        <v/>
      </c>
      <c r="BS1346" s="1553">
        <f>IF(ISBLANK(BS$1333),"N/A",IF(COUNTIFS(GD_Item_FiscalPeriod,BS$1333,GD_Item_Name,$B1346,GD_Update_Date,BS$1332)=0,"NR",SUMIFS(GD_Guidance_Low,GD_Item_Name,$B1346,GD_Item_FiscalPeriod,BS$1333,GD_Update_Date,BS$1332)))</f>
        <v/>
      </c>
      <c r="BT1346" s="1553">
        <f>IF(ISBLANK(BT$1333),"N/A",IF(COUNTIFS(GD_Item_FiscalPeriod,BT$1333,GD_Item_Name,$B1346,GD_Update_Date,BT$1332)=0,"NR",SUMIFS(GD_Guidance_Low,GD_Item_Name,$B1346,GD_Item_FiscalPeriod,BT$1333,GD_Update_Date,BT$1332)))</f>
        <v/>
      </c>
      <c r="BU1346" s="1553">
        <f>IF(ISBLANK(BU$1333),"N/A",IF(COUNTIFS(GD_Item_FiscalPeriod,BU$1333,GD_Item_Name,$B1346,GD_Update_Date,BU$1332)=0,"NR",SUMIFS(GD_Guidance_Low,GD_Item_Name,$B1346,GD_Item_FiscalPeriod,BU$1333,GD_Update_Date,BU$1332)))</f>
        <v/>
      </c>
      <c r="BV1346" s="1553">
        <f>IF(ISBLANK(BV$1333),"N/A",IF(COUNTIFS(GD_Item_FiscalPeriod,BV$1333,GD_Item_Name,$B1346,GD_Update_Date,BV$1332)=0,"NR",SUMIFS(GD_Guidance_Low,GD_Item_Name,$B1346,GD_Item_FiscalPeriod,BV$1333,GD_Update_Date,BV$1332)))</f>
        <v/>
      </c>
      <c r="BW1346" s="1553">
        <f>IF(ISBLANK(BW$1333),"N/A",IF(COUNTIFS(GD_Item_FiscalPeriod,BW$1333,GD_Item_Name,$B1346,GD_Update_Date,BW$1332)=0,"NR",SUMIFS(GD_Guidance_Low,GD_Item_Name,$B1346,GD_Item_FiscalPeriod,BW$1333,GD_Update_Date,BW$1332)))</f>
        <v/>
      </c>
      <c r="BX1346" s="1553">
        <f>IF(ISBLANK(BX$1333),"N/A",IF(COUNTIFS(GD_Item_FiscalPeriod,BX$1333,GD_Item_Name,$B1346,GD_Update_Date,BX$1332)=0,"NR",SUMIFS(GD_Guidance_Low,GD_Item_Name,$B1346,GD_Item_FiscalPeriod,BX$1333,GD_Update_Date,BX$1332)))</f>
        <v/>
      </c>
      <c r="BY1346" s="1553">
        <f>IF(ISBLANK(BY$1333),"N/A",IF(COUNTIFS(GD_Item_FiscalPeriod,BY$1333,GD_Item_Name,$B1346,GD_Update_Date,BY$1332)=0,"NR",SUMIFS(GD_Guidance_Low,GD_Item_Name,$B1346,GD_Item_FiscalPeriod,BY$1333,GD_Update_Date,BY$1332)))</f>
        <v/>
      </c>
      <c r="BZ1346" s="1553">
        <f>IF(ISBLANK(BZ$1333),"N/A",IF(COUNTIFS(GD_Item_FiscalPeriod,BZ$1333,GD_Item_Name,$B1346,GD_Update_Date,BZ$1332)=0,"NR",SUMIFS(GD_Guidance_Low,GD_Item_Name,$B1346,GD_Item_FiscalPeriod,BZ$1333,GD_Update_Date,BZ$1332)))</f>
        <v/>
      </c>
      <c r="CA1346" s="2001">
        <f>IF(ISBLANK(CA$1333),"N/A",IF(COUNTIFS(GD_Item_FiscalPeriod,CA$1333,GD_Item_Name,$B1346,GD_Update_Date,CA$1332)=0,"NR",SUMIFS(GD_Guidance_Low,GD_Item_Name,$B1346,GD_Item_FiscalPeriod,CA$1333,GD_Update_Date,CA$1332)))</f>
        <v/>
      </c>
      <c r="CB1346" s="1472" t="n"/>
    </row>
    <row r="1347" ht="14.4" customFormat="1" customHeight="1" s="1549">
      <c r="A1347" s="1999" t="inlineStr">
        <is>
          <t>High - Capex, mm</t>
        </is>
      </c>
      <c r="B1347" s="1493" t="inlineStr">
        <is>
          <t>MO_CFSum_Capex</t>
        </is>
      </c>
      <c r="C1347" s="2000" t="n"/>
      <c r="D1347" s="2000" t="n"/>
      <c r="E1347" s="1553" t="n"/>
      <c r="F1347" s="1553" t="n"/>
      <c r="G1347" s="1553" t="n"/>
      <c r="H1347" s="1553" t="n"/>
      <c r="I1347" s="1553" t="n"/>
      <c r="J1347" s="1553" t="n"/>
      <c r="K1347" s="1553" t="n"/>
      <c r="L1347" s="1553" t="n"/>
      <c r="M1347" s="1553" t="n"/>
      <c r="N1347" s="1553" t="n"/>
      <c r="O1347" s="1553" t="n"/>
      <c r="P1347" s="1553" t="n"/>
      <c r="Q1347" s="1553" t="n"/>
      <c r="R1347" s="1553" t="n"/>
      <c r="S1347" s="1553" t="n"/>
      <c r="T1347" s="1553" t="n"/>
      <c r="U1347" s="1553" t="n"/>
      <c r="V1347" s="1553" t="n"/>
      <c r="W1347" s="1553" t="n"/>
      <c r="X1347" s="1553" t="n"/>
      <c r="Y1347" s="1553" t="n"/>
      <c r="Z1347" s="1553" t="n"/>
      <c r="AA1347" s="1553" t="n"/>
      <c r="AB1347" s="1553" t="n"/>
      <c r="AC1347" s="1553">
        <f>IF(ISBLANK(AC$1333),"N/A",IF(COUNTIFS(GD_Item_FiscalPeriod,AC$1333,GD_Item_Name,$B1347,GD_Update_Date,AC$1332)=0,"NR",SUMIFS(GD_Guidance_High,GD_Item_Name,$B1347,GD_Item_FiscalPeriod,AC$1333,GD_Update_Date,AC$1332)))</f>
        <v/>
      </c>
      <c r="AD1347" s="1553">
        <f>IF(ISBLANK(AD$1333),"N/A",IF(COUNTIFS(GD_Item_FiscalPeriod,AD$1333,GD_Item_Name,$B1347,GD_Update_Date,AD$1332)=0,"NR",SUMIFS(GD_Guidance_High,GD_Item_Name,$B1347,GD_Item_FiscalPeriod,AD$1333,GD_Update_Date,AD$1332)))</f>
        <v/>
      </c>
      <c r="AE1347" s="1553">
        <f>IF(ISBLANK(AE$1333),"N/A",IF(COUNTIFS(GD_Item_FiscalPeriod,AE$1333,GD_Item_Name,$B1347,GD_Update_Date,AE$1332)=0,"NR",SUMIFS(GD_Guidance_High,GD_Item_Name,$B1347,GD_Item_FiscalPeriod,AE$1333,GD_Update_Date,AE$1332)))</f>
        <v/>
      </c>
      <c r="AF1347" s="1553">
        <f>IF(ISBLANK(AF$1333),"N/A",IF(COUNTIFS(GD_Item_FiscalPeriod,AF$1333,GD_Item_Name,$B1347,GD_Update_Date,AF$1332)=0,"NR",SUMIFS(GD_Guidance_High,GD_Item_Name,$B1347,GD_Item_FiscalPeriod,AF$1333,GD_Update_Date,AF$1332)))</f>
        <v/>
      </c>
      <c r="AG1347" s="1553">
        <f>IF(ISBLANK(AG$1333),"N/A",IF(COUNTIFS(GD_Item_FiscalPeriod,AG$1333,GD_Item_Name,$B1347,GD_Update_Date,AG$1332)=0,"NR",SUMIFS(GD_Guidance_High,GD_Item_Name,$B1347,GD_Item_FiscalPeriod,AG$1333,GD_Update_Date,AG$1332)))</f>
        <v/>
      </c>
      <c r="AH1347" s="1553">
        <f>IF(ISBLANK(AH$1333),"N/A",IF(COUNTIFS(GD_Item_FiscalPeriod,AH$1333,GD_Item_Name,$B1347,GD_Update_Date,AH$1332)=0,"NR",SUMIFS(GD_Guidance_High,GD_Item_Name,$B1347,GD_Item_FiscalPeriod,AH$1333,GD_Update_Date,AH$1332)))</f>
        <v/>
      </c>
      <c r="AI1347" s="1553">
        <f>IF(ISBLANK(AI$1333),"N/A",IF(COUNTIFS(GD_Item_FiscalPeriod,AI$1333,GD_Item_Name,$B1347,GD_Update_Date,AI$1332)=0,"NR",SUMIFS(GD_Guidance_High,GD_Item_Name,$B1347,GD_Item_FiscalPeriod,AI$1333,GD_Update_Date,AI$1332)))</f>
        <v/>
      </c>
      <c r="AJ1347" s="1553">
        <f>IF(ISBLANK(AJ$1333),"N/A",IF(COUNTIFS(GD_Item_FiscalPeriod,AJ$1333,GD_Item_Name,$B1347,GD_Update_Date,AJ$1332)=0,"NR",SUMIFS(GD_Guidance_High,GD_Item_Name,$B1347,GD_Item_FiscalPeriod,AJ$1333,GD_Update_Date,AJ$1332)))</f>
        <v/>
      </c>
      <c r="AK1347" s="1553">
        <f>IF(ISBLANK(AK$1333),"N/A",IF(COUNTIFS(GD_Item_FiscalPeriod,AK$1333,GD_Item_Name,$B1347,GD_Update_Date,AK$1332)=0,"NR",SUMIFS(GD_Guidance_High,GD_Item_Name,$B1347,GD_Item_FiscalPeriod,AK$1333,GD_Update_Date,AK$1332)))</f>
        <v/>
      </c>
      <c r="AL1347" s="1553">
        <f>IF(ISBLANK(AL$1333),"N/A",IF(COUNTIFS(GD_Item_FiscalPeriod,AL$1333,GD_Item_Name,$B1347,GD_Update_Date,AL$1332)=0,"NR",SUMIFS(GD_Guidance_High,GD_Item_Name,$B1347,GD_Item_FiscalPeriod,AL$1333,GD_Update_Date,AL$1332)))</f>
        <v/>
      </c>
      <c r="AM1347" s="1553">
        <f>IF(ISBLANK(AM$1333),"N/A",IF(COUNTIFS(GD_Item_FiscalPeriod,AM$1333,GD_Item_Name,$B1347,GD_Update_Date,AM$1332)=0,"NR",SUMIFS(GD_Guidance_High,GD_Item_Name,$B1347,GD_Item_FiscalPeriod,AM$1333,GD_Update_Date,AM$1332)))</f>
        <v/>
      </c>
      <c r="AN1347" s="1553">
        <f>IF(ISBLANK(AN$1333),"N/A",IF(COUNTIFS(GD_Item_FiscalPeriod,AN$1333,GD_Item_Name,$B1347,GD_Update_Date,AN$1332)=0,"NR",SUMIFS(GD_Guidance_High,GD_Item_Name,$B1347,GD_Item_FiscalPeriod,AN$1333,GD_Update_Date,AN$1332)))</f>
        <v/>
      </c>
      <c r="AO1347" s="1553">
        <f>IF(ISBLANK(AO$1333),"N/A",IF(COUNTIFS(GD_Item_FiscalPeriod,AO$1333,GD_Item_Name,$B1347,GD_Update_Date,AO$1332)=0,"NR",SUMIFS(GD_Guidance_High,GD_Item_Name,$B1347,GD_Item_FiscalPeriod,AO$1333,GD_Update_Date,AO$1332)))</f>
        <v/>
      </c>
      <c r="AP1347" s="1553">
        <f>IF(ISBLANK(AP$1333),"N/A",IF(COUNTIFS(GD_Item_FiscalPeriod,AP$1333,GD_Item_Name,$B1347,GD_Update_Date,AP$1332)=0,"NR",SUMIFS(GD_Guidance_High,GD_Item_Name,$B1347,GD_Item_FiscalPeriod,AP$1333,GD_Update_Date,AP$1332)))</f>
        <v/>
      </c>
      <c r="AQ1347" s="1553">
        <f>IF(ISBLANK(AQ$1333),"N/A",IF(COUNTIFS(GD_Item_FiscalPeriod,AQ$1333,GD_Item_Name,$B1347,GD_Update_Date,AQ$1332)=0,"NR",SUMIFS(GD_Guidance_High,GD_Item_Name,$B1347,GD_Item_FiscalPeriod,AQ$1333,GD_Update_Date,AQ$1332)))</f>
        <v/>
      </c>
      <c r="AR1347" s="1553">
        <f>IF(ISBLANK(AR$1333),"N/A",IF(COUNTIFS(GD_Item_FiscalPeriod,AR$1333,GD_Item_Name,$B1347,GD_Update_Date,AR$1332)=0,"NR",SUMIFS(GD_Guidance_High,GD_Item_Name,$B1347,GD_Item_FiscalPeriod,AR$1333,GD_Update_Date,AR$1332)))</f>
        <v/>
      </c>
      <c r="AS1347" s="1553">
        <f>IF(ISBLANK(AS$1333),"N/A",IF(COUNTIFS(GD_Item_FiscalPeriod,AS$1333,GD_Item_Name,$B1347,GD_Update_Date,AS$1332)=0,"NR",SUMIFS(GD_Guidance_High,GD_Item_Name,$B1347,GD_Item_FiscalPeriod,AS$1333,GD_Update_Date,AS$1332)))</f>
        <v/>
      </c>
      <c r="AT1347" s="1553">
        <f>IF(ISBLANK(AT$1333),"N/A",IF(COUNTIFS(GD_Item_FiscalPeriod,AT$1333,GD_Item_Name,$B1347,GD_Update_Date,AT$1332)=0,"NR",SUMIFS(GD_Guidance_High,GD_Item_Name,$B1347,GD_Item_FiscalPeriod,AT$1333,GD_Update_Date,AT$1332)))</f>
        <v/>
      </c>
      <c r="AU1347" s="1553">
        <f>IF(ISBLANK(AU$1333),"N/A",IF(COUNTIFS(GD_Item_FiscalPeriod,AU$1333,GD_Item_Name,$B1347,GD_Update_Date,AU$1332)=0,"NR",SUMIFS(GD_Guidance_High,GD_Item_Name,$B1347,GD_Item_FiscalPeriod,AU$1333,GD_Update_Date,AU$1332)))</f>
        <v/>
      </c>
      <c r="AV1347" s="1553">
        <f>IF(ISBLANK(AV$1333),"N/A",IF(COUNTIFS(GD_Item_FiscalPeriod,AV$1333,GD_Item_Name,$B1347,GD_Update_Date,AV$1332)=0,"NR",SUMIFS(GD_Guidance_High,GD_Item_Name,$B1347,GD_Item_FiscalPeriod,AV$1333,GD_Update_Date,AV$1332)))</f>
        <v/>
      </c>
      <c r="AW1347" s="1553">
        <f>IF(ISBLANK(AW$1333),"N/A",IF(COUNTIFS(GD_Item_FiscalPeriod,AW$1333,GD_Item_Name,$B1347,GD_Update_Date,AW$1332)=0,"NR",SUMIFS(GD_Guidance_High,GD_Item_Name,$B1347,GD_Item_FiscalPeriod,AW$1333,GD_Update_Date,AW$1332)))</f>
        <v/>
      </c>
      <c r="AX1347" s="1553">
        <f>IF(ISBLANK(AX$1333),"N/A",IF(COUNTIFS(GD_Item_FiscalPeriod,AX$1333,GD_Item_Name,$B1347,GD_Update_Date,AX$1332)=0,"NR",SUMIFS(GD_Guidance_High,GD_Item_Name,$B1347,GD_Item_FiscalPeriod,AX$1333,GD_Update_Date,AX$1332)))</f>
        <v/>
      </c>
      <c r="AY1347" s="1553">
        <f>IF(ISBLANK(AY$1333),"N/A",IF(COUNTIFS(GD_Item_FiscalPeriod,AY$1333,GD_Item_Name,$B1347,GD_Update_Date,AY$1332)=0,"NR",SUMIFS(GD_Guidance_High,GD_Item_Name,$B1347,GD_Item_FiscalPeriod,AY$1333,GD_Update_Date,AY$1332)))</f>
        <v/>
      </c>
      <c r="AZ1347" s="1553">
        <f>IF(ISBLANK(AZ$1333),"N/A",IF(COUNTIFS(GD_Item_FiscalPeriod,AZ$1333,GD_Item_Name,$B1347,GD_Update_Date,AZ$1332)=0,"NR",SUMIFS(GD_Guidance_High,GD_Item_Name,$B1347,GD_Item_FiscalPeriod,AZ$1333,GD_Update_Date,AZ$1332)))</f>
        <v/>
      </c>
      <c r="BA1347" s="1553">
        <f>IF(ISBLANK(BA$1333),"N/A",IF(COUNTIFS(GD_Item_FiscalPeriod,BA$1333,GD_Item_Name,$B1347,GD_Update_Date,BA$1332)=0,"NR",SUMIFS(GD_Guidance_High,GD_Item_Name,$B1347,GD_Item_FiscalPeriod,BA$1333,GD_Update_Date,BA$1332)))</f>
        <v/>
      </c>
      <c r="BB1347" s="1553">
        <f>IF(ISBLANK(BB$1333),"N/A",IF(COUNTIFS(GD_Item_FiscalPeriod,BB$1333,GD_Item_Name,$B1347,GD_Update_Date,BB$1332)=0,"NR",SUMIFS(GD_Guidance_High,GD_Item_Name,$B1347,GD_Item_FiscalPeriod,BB$1333,GD_Update_Date,BB$1332)))</f>
        <v/>
      </c>
      <c r="BC1347" s="1553">
        <f>IF(ISBLANK(BC$1333),"N/A",IF(COUNTIFS(GD_Item_FiscalPeriod,BC$1333,GD_Item_Name,$B1347,GD_Update_Date,BC$1332)=0,"NR",SUMIFS(GD_Guidance_High,GD_Item_Name,$B1347,GD_Item_FiscalPeriod,BC$1333,GD_Update_Date,BC$1332)))</f>
        <v/>
      </c>
      <c r="BD1347" s="1553">
        <f>IF(ISBLANK(BD$1333),"N/A",IF(COUNTIFS(GD_Item_FiscalPeriod,BD$1333,GD_Item_Name,$B1347,GD_Update_Date,BD$1332)=0,"NR",SUMIFS(GD_Guidance_High,GD_Item_Name,$B1347,GD_Item_FiscalPeriod,BD$1333,GD_Update_Date,BD$1332)))</f>
        <v/>
      </c>
      <c r="BE1347" s="1553">
        <f>IF(ISBLANK(BE$1333),"N/A",IF(COUNTIFS(GD_Item_FiscalPeriod,BE$1333,GD_Item_Name,$B1347,GD_Update_Date,BE$1332)=0,"NR",SUMIFS(GD_Guidance_High,GD_Item_Name,$B1347,GD_Item_FiscalPeriod,BE$1333,GD_Update_Date,BE$1332)))</f>
        <v/>
      </c>
      <c r="BF1347" s="1553">
        <f>IF(ISBLANK(BF$1333),"N/A",IF(COUNTIFS(GD_Item_FiscalPeriod,BF$1333,GD_Item_Name,$B1347,GD_Update_Date,BF$1332)=0,"NR",SUMIFS(GD_Guidance_High,GD_Item_Name,$B1347,GD_Item_FiscalPeriod,BF$1333,GD_Update_Date,BF$1332)))</f>
        <v/>
      </c>
      <c r="BG1347" s="1553">
        <f>IF(ISBLANK(BG$1333),"N/A",IF(COUNTIFS(GD_Item_FiscalPeriod,BG$1333,GD_Item_Name,$B1347,GD_Update_Date,BG$1332)=0,"NR",SUMIFS(GD_Guidance_High,GD_Item_Name,$B1347,GD_Item_FiscalPeriod,BG$1333,GD_Update_Date,BG$1332)))</f>
        <v/>
      </c>
      <c r="BH1347" s="1553">
        <f>IF(ISBLANK(BH$1333),"N/A",IF(COUNTIFS(GD_Item_FiscalPeriod,BH$1333,GD_Item_Name,$B1347,GD_Update_Date,BH$1332)=0,"NR",SUMIFS(GD_Guidance_High,GD_Item_Name,$B1347,GD_Item_FiscalPeriod,BH$1333,GD_Update_Date,BH$1332)))</f>
        <v/>
      </c>
      <c r="BI1347" s="1553">
        <f>IF(ISBLANK(BI$1333),"N/A",IF(COUNTIFS(GD_Item_FiscalPeriod,BI$1333,GD_Item_Name,$B1347,GD_Update_Date,BI$1332)=0,"NR",SUMIFS(GD_Guidance_High,GD_Item_Name,$B1347,GD_Item_FiscalPeriod,BI$1333,GD_Update_Date,BI$1332)))</f>
        <v/>
      </c>
      <c r="BJ1347" s="1553">
        <f>IF(ISBLANK(BJ$1333),"N/A",IF(COUNTIFS(GD_Item_FiscalPeriod,BJ$1333,GD_Item_Name,$B1347,GD_Update_Date,BJ$1332)=0,"NR",SUMIFS(GD_Guidance_High,GD_Item_Name,$B1347,GD_Item_FiscalPeriod,BJ$1333,GD_Update_Date,BJ$1332)))</f>
        <v/>
      </c>
      <c r="BK1347" s="1553">
        <f>IF(ISBLANK(BK$1333),"N/A",IF(COUNTIFS(GD_Item_FiscalPeriod,BK$1333,GD_Item_Name,$B1347,GD_Update_Date,BK$1332)=0,"NR",SUMIFS(GD_Guidance_High,GD_Item_Name,$B1347,GD_Item_FiscalPeriod,BK$1333,GD_Update_Date,BK$1332)))</f>
        <v/>
      </c>
      <c r="BL1347" s="1553">
        <f>IF(ISBLANK(BL$1333),"N/A",IF(COUNTIFS(GD_Item_FiscalPeriod,BL$1333,GD_Item_Name,$B1347,GD_Update_Date,BL$1332)=0,"NR",SUMIFS(GD_Guidance_High,GD_Item_Name,$B1347,GD_Item_FiscalPeriod,BL$1333,GD_Update_Date,BL$1332)))</f>
        <v/>
      </c>
      <c r="BM1347" s="1553">
        <f>IF(ISBLANK(BM$1333),"N/A",IF(COUNTIFS(GD_Item_FiscalPeriod,BM$1333,GD_Item_Name,$B1347,GD_Update_Date,BM$1332)=0,"NR",SUMIFS(GD_Guidance_High,GD_Item_Name,$B1347,GD_Item_FiscalPeriod,BM$1333,GD_Update_Date,BM$1332)))</f>
        <v/>
      </c>
      <c r="BN1347" s="1553">
        <f>IF(ISBLANK(BN$1333),"N/A",IF(COUNTIFS(GD_Item_FiscalPeriod,BN$1333,GD_Item_Name,$B1347,GD_Update_Date,BN$1332)=0,"NR",SUMIFS(GD_Guidance_High,GD_Item_Name,$B1347,GD_Item_FiscalPeriod,BN$1333,GD_Update_Date,BN$1332)))</f>
        <v/>
      </c>
      <c r="BO1347" s="1553">
        <f>IF(ISBLANK(BO$1333),"N/A",IF(COUNTIFS(GD_Item_FiscalPeriod,BO$1333,GD_Item_Name,$B1347,GD_Update_Date,BO$1332)=0,"NR",SUMIFS(GD_Guidance_High,GD_Item_Name,$B1347,GD_Item_FiscalPeriod,BO$1333,GD_Update_Date,BO$1332)))</f>
        <v/>
      </c>
      <c r="BP1347" s="1553">
        <f>IF(ISBLANK(BP$1333),"N/A",IF(COUNTIFS(GD_Item_FiscalPeriod,BP$1333,GD_Item_Name,$B1347,GD_Update_Date,BP$1332)=0,"NR",SUMIFS(GD_Guidance_High,GD_Item_Name,$B1347,GD_Item_FiscalPeriod,BP$1333,GD_Update_Date,BP$1332)))</f>
        <v/>
      </c>
      <c r="BQ1347" s="1556">
        <f>IF(ISBLANK(BQ$1333),"N/A",IF(COUNTIFS(GD_Item_FiscalPeriod,BQ$1333,GD_Item_Name,$B1347,GD_Update_Date,BQ$1332)=0,"NR",SUMIFS(GD_Guidance_High,GD_Item_Name,$B1347,GD_Item_FiscalPeriod,BQ$1333,GD_Update_Date,BQ$1332)))</f>
        <v/>
      </c>
      <c r="BR1347" s="1553">
        <f>IF(ISBLANK(BR$1333),"N/A",IF(COUNTIFS(GD_Item_FiscalPeriod,BR$1333,GD_Item_Name,$B1347,GD_Update_Date,BR$1332)=0,"NR",SUMIFS(GD_Guidance_High,GD_Item_Name,$B1347,GD_Item_FiscalPeriod,BR$1333,GD_Update_Date,BR$1332)))</f>
        <v/>
      </c>
      <c r="BS1347" s="1553">
        <f>IF(ISBLANK(BS$1333),"N/A",IF(COUNTIFS(GD_Item_FiscalPeriod,BS$1333,GD_Item_Name,$B1347,GD_Update_Date,BS$1332)=0,"NR",SUMIFS(GD_Guidance_High,GD_Item_Name,$B1347,GD_Item_FiscalPeriod,BS$1333,GD_Update_Date,BS$1332)))</f>
        <v/>
      </c>
      <c r="BT1347" s="1553">
        <f>IF(ISBLANK(BT$1333),"N/A",IF(COUNTIFS(GD_Item_FiscalPeriod,BT$1333,GD_Item_Name,$B1347,GD_Update_Date,BT$1332)=0,"NR",SUMIFS(GD_Guidance_High,GD_Item_Name,$B1347,GD_Item_FiscalPeriod,BT$1333,GD_Update_Date,BT$1332)))</f>
        <v/>
      </c>
      <c r="BU1347" s="1553">
        <f>IF(ISBLANK(BU$1333),"N/A",IF(COUNTIFS(GD_Item_FiscalPeriod,BU$1333,GD_Item_Name,$B1347,GD_Update_Date,BU$1332)=0,"NR",SUMIFS(GD_Guidance_High,GD_Item_Name,$B1347,GD_Item_FiscalPeriod,BU$1333,GD_Update_Date,BU$1332)))</f>
        <v/>
      </c>
      <c r="BV1347" s="1553">
        <f>IF(ISBLANK(BV$1333),"N/A",IF(COUNTIFS(GD_Item_FiscalPeriod,BV$1333,GD_Item_Name,$B1347,GD_Update_Date,BV$1332)=0,"NR",SUMIFS(GD_Guidance_High,GD_Item_Name,$B1347,GD_Item_FiscalPeriod,BV$1333,GD_Update_Date,BV$1332)))</f>
        <v/>
      </c>
      <c r="BW1347" s="1553">
        <f>IF(ISBLANK(BW$1333),"N/A",IF(COUNTIFS(GD_Item_FiscalPeriod,BW$1333,GD_Item_Name,$B1347,GD_Update_Date,BW$1332)=0,"NR",SUMIFS(GD_Guidance_High,GD_Item_Name,$B1347,GD_Item_FiscalPeriod,BW$1333,GD_Update_Date,BW$1332)))</f>
        <v/>
      </c>
      <c r="BX1347" s="1553">
        <f>IF(ISBLANK(BX$1333),"N/A",IF(COUNTIFS(GD_Item_FiscalPeriod,BX$1333,GD_Item_Name,$B1347,GD_Update_Date,BX$1332)=0,"NR",SUMIFS(GD_Guidance_High,GD_Item_Name,$B1347,GD_Item_FiscalPeriod,BX$1333,GD_Update_Date,BX$1332)))</f>
        <v/>
      </c>
      <c r="BY1347" s="1553">
        <f>IF(ISBLANK(BY$1333),"N/A",IF(COUNTIFS(GD_Item_FiscalPeriod,BY$1333,GD_Item_Name,$B1347,GD_Update_Date,BY$1332)=0,"NR",SUMIFS(GD_Guidance_High,GD_Item_Name,$B1347,GD_Item_FiscalPeriod,BY$1333,GD_Update_Date,BY$1332)))</f>
        <v/>
      </c>
      <c r="BZ1347" s="1553">
        <f>IF(ISBLANK(BZ$1333),"N/A",IF(COUNTIFS(GD_Item_FiscalPeriod,BZ$1333,GD_Item_Name,$B1347,GD_Update_Date,BZ$1332)=0,"NR",SUMIFS(GD_Guidance_High,GD_Item_Name,$B1347,GD_Item_FiscalPeriod,BZ$1333,GD_Update_Date,BZ$1332)))</f>
        <v/>
      </c>
      <c r="CA1347" s="2001">
        <f>IF(ISBLANK(CA$1333),"N/A",IF(COUNTIFS(GD_Item_FiscalPeriod,CA$1333,GD_Item_Name,$B1347,GD_Update_Date,CA$1332)=0,"NR",SUMIFS(GD_Guidance_High,GD_Item_Name,$B1347,GD_Item_FiscalPeriod,CA$1333,GD_Update_Date,CA$1332)))</f>
        <v/>
      </c>
      <c r="CB1347" s="1472" t="n"/>
    </row>
    <row r="1348" ht="14.4" customFormat="1" customHeight="1" s="1549">
      <c r="A1348" s="1999" t="inlineStr">
        <is>
          <t>Mid - Capex, mm</t>
        </is>
      </c>
      <c r="B1348" s="1493" t="inlineStr">
        <is>
          <t>MO_CFSum_Capex</t>
        </is>
      </c>
      <c r="C1348" s="2000" t="n"/>
      <c r="D1348" s="2000" t="n"/>
      <c r="E1348" s="1553" t="n"/>
      <c r="F1348" s="1553" t="n"/>
      <c r="G1348" s="1553" t="n"/>
      <c r="H1348" s="1553" t="n"/>
      <c r="I1348" s="1553" t="n"/>
      <c r="J1348" s="1553" t="n"/>
      <c r="K1348" s="1553" t="n"/>
      <c r="L1348" s="1553" t="n"/>
      <c r="M1348" s="1553" t="n"/>
      <c r="N1348" s="1553" t="n"/>
      <c r="O1348" s="1553" t="n"/>
      <c r="P1348" s="1553" t="n"/>
      <c r="Q1348" s="1553" t="n"/>
      <c r="R1348" s="1553" t="n"/>
      <c r="S1348" s="1553" t="n"/>
      <c r="T1348" s="1553" t="n"/>
      <c r="U1348" s="1553" t="n"/>
      <c r="V1348" s="1553" t="n"/>
      <c r="W1348" s="1553" t="n"/>
      <c r="X1348" s="1553" t="n"/>
      <c r="Y1348" s="1553" t="n"/>
      <c r="Z1348" s="1553" t="n"/>
      <c r="AA1348" s="1553" t="n"/>
      <c r="AB1348" s="1553" t="n"/>
      <c r="AC1348" s="1553">
        <f>IF(ISBLANK(AC$1333),"N/A",IF(COUNTIFS(GD_Item_FiscalPeriod,AC$1333,GD_Item_Name,$B1348,GD_Update_Date,AC$1332)=0,"NR",SUMIFS(GD_Guidance_Mid,GD_Item_Name,$B1348,GD_Item_FiscalPeriod,AC$1333,GD_Update_Date,AC$1332)))</f>
        <v/>
      </c>
      <c r="AD1348" s="1553">
        <f>IF(ISBLANK(AD$1333),"N/A",IF(COUNTIFS(GD_Item_FiscalPeriod,AD$1333,GD_Item_Name,$B1348,GD_Update_Date,AD$1332)=0,"NR",SUMIFS(GD_Guidance_Mid,GD_Item_Name,$B1348,GD_Item_FiscalPeriod,AD$1333,GD_Update_Date,AD$1332)))</f>
        <v/>
      </c>
      <c r="AE1348" s="1553">
        <f>IF(ISBLANK(AE$1333),"N/A",IF(COUNTIFS(GD_Item_FiscalPeriod,AE$1333,GD_Item_Name,$B1348,GD_Update_Date,AE$1332)=0,"NR",SUMIFS(GD_Guidance_Mid,GD_Item_Name,$B1348,GD_Item_FiscalPeriod,AE$1333,GD_Update_Date,AE$1332)))</f>
        <v/>
      </c>
      <c r="AF1348" s="1553">
        <f>IF(ISBLANK(AF$1333),"N/A",IF(COUNTIFS(GD_Item_FiscalPeriod,AF$1333,GD_Item_Name,$B1348,GD_Update_Date,AF$1332)=0,"NR",SUMIFS(GD_Guidance_Mid,GD_Item_Name,$B1348,GD_Item_FiscalPeriod,AF$1333,GD_Update_Date,AF$1332)))</f>
        <v/>
      </c>
      <c r="AG1348" s="1553">
        <f>IF(ISBLANK(AG$1333),"N/A",IF(COUNTIFS(GD_Item_FiscalPeriod,AG$1333,GD_Item_Name,$B1348,GD_Update_Date,AG$1332)=0,"NR",SUMIFS(GD_Guidance_Mid,GD_Item_Name,$B1348,GD_Item_FiscalPeriod,AG$1333,GD_Update_Date,AG$1332)))</f>
        <v/>
      </c>
      <c r="AH1348" s="1553">
        <f>IF(ISBLANK(AH$1333),"N/A",IF(COUNTIFS(GD_Item_FiscalPeriod,AH$1333,GD_Item_Name,$B1348,GD_Update_Date,AH$1332)=0,"NR",SUMIFS(GD_Guidance_Mid,GD_Item_Name,$B1348,GD_Item_FiscalPeriod,AH$1333,GD_Update_Date,AH$1332)))</f>
        <v/>
      </c>
      <c r="AI1348" s="1553">
        <f>IF(ISBLANK(AI$1333),"N/A",IF(COUNTIFS(GD_Item_FiscalPeriod,AI$1333,GD_Item_Name,$B1348,GD_Update_Date,AI$1332)=0,"NR",SUMIFS(GD_Guidance_Mid,GD_Item_Name,$B1348,GD_Item_FiscalPeriod,AI$1333,GD_Update_Date,AI$1332)))</f>
        <v/>
      </c>
      <c r="AJ1348" s="1553">
        <f>IF(ISBLANK(AJ$1333),"N/A",IF(COUNTIFS(GD_Item_FiscalPeriod,AJ$1333,GD_Item_Name,$B1348,GD_Update_Date,AJ$1332)=0,"NR",SUMIFS(GD_Guidance_Mid,GD_Item_Name,$B1348,GD_Item_FiscalPeriod,AJ$1333,GD_Update_Date,AJ$1332)))</f>
        <v/>
      </c>
      <c r="AK1348" s="1553">
        <f>IF(ISBLANK(AK$1333),"N/A",IF(COUNTIFS(GD_Item_FiscalPeriod,AK$1333,GD_Item_Name,$B1348,GD_Update_Date,AK$1332)=0,"NR",SUMIFS(GD_Guidance_Mid,GD_Item_Name,$B1348,GD_Item_FiscalPeriod,AK$1333,GD_Update_Date,AK$1332)))</f>
        <v/>
      </c>
      <c r="AL1348" s="1553">
        <f>IF(ISBLANK(AL$1333),"N/A",IF(COUNTIFS(GD_Item_FiscalPeriod,AL$1333,GD_Item_Name,$B1348,GD_Update_Date,AL$1332)=0,"NR",SUMIFS(GD_Guidance_Mid,GD_Item_Name,$B1348,GD_Item_FiscalPeriod,AL$1333,GD_Update_Date,AL$1332)))</f>
        <v/>
      </c>
      <c r="AM1348" s="1553">
        <f>IF(ISBLANK(AM$1333),"N/A",IF(COUNTIFS(GD_Item_FiscalPeriod,AM$1333,GD_Item_Name,$B1348,GD_Update_Date,AM$1332)=0,"NR",SUMIFS(GD_Guidance_Mid,GD_Item_Name,$B1348,GD_Item_FiscalPeriod,AM$1333,GD_Update_Date,AM$1332)))</f>
        <v/>
      </c>
      <c r="AN1348" s="1553">
        <f>IF(ISBLANK(AN$1333),"N/A",IF(COUNTIFS(GD_Item_FiscalPeriod,AN$1333,GD_Item_Name,$B1348,GD_Update_Date,AN$1332)=0,"NR",SUMIFS(GD_Guidance_Mid,GD_Item_Name,$B1348,GD_Item_FiscalPeriod,AN$1333,GD_Update_Date,AN$1332)))</f>
        <v/>
      </c>
      <c r="AO1348" s="1553">
        <f>IF(ISBLANK(AO$1333),"N/A",IF(COUNTIFS(GD_Item_FiscalPeriod,AO$1333,GD_Item_Name,$B1348,GD_Update_Date,AO$1332)=0,"NR",SUMIFS(GD_Guidance_Mid,GD_Item_Name,$B1348,GD_Item_FiscalPeriod,AO$1333,GD_Update_Date,AO$1332)))</f>
        <v/>
      </c>
      <c r="AP1348" s="1553">
        <f>IF(ISBLANK(AP$1333),"N/A",IF(COUNTIFS(GD_Item_FiscalPeriod,AP$1333,GD_Item_Name,$B1348,GD_Update_Date,AP$1332)=0,"NR",SUMIFS(GD_Guidance_Mid,GD_Item_Name,$B1348,GD_Item_FiscalPeriod,AP$1333,GD_Update_Date,AP$1332)))</f>
        <v/>
      </c>
      <c r="AQ1348" s="1553">
        <f>IF(ISBLANK(AQ$1333),"N/A",IF(COUNTIFS(GD_Item_FiscalPeriod,AQ$1333,GD_Item_Name,$B1348,GD_Update_Date,AQ$1332)=0,"NR",SUMIFS(GD_Guidance_Mid,GD_Item_Name,$B1348,GD_Item_FiscalPeriod,AQ$1333,GD_Update_Date,AQ$1332)))</f>
        <v/>
      </c>
      <c r="AR1348" s="1553">
        <f>IF(ISBLANK(AR$1333),"N/A",IF(COUNTIFS(GD_Item_FiscalPeriod,AR$1333,GD_Item_Name,$B1348,GD_Update_Date,AR$1332)=0,"NR",SUMIFS(GD_Guidance_Mid,GD_Item_Name,$B1348,GD_Item_FiscalPeriod,AR$1333,GD_Update_Date,AR$1332)))</f>
        <v/>
      </c>
      <c r="AS1348" s="1553">
        <f>IF(ISBLANK(AS$1333),"N/A",IF(COUNTIFS(GD_Item_FiscalPeriod,AS$1333,GD_Item_Name,$B1348,GD_Update_Date,AS$1332)=0,"NR",SUMIFS(GD_Guidance_Mid,GD_Item_Name,$B1348,GD_Item_FiscalPeriod,AS$1333,GD_Update_Date,AS$1332)))</f>
        <v/>
      </c>
      <c r="AT1348" s="1553">
        <f>IF(ISBLANK(AT$1333),"N/A",IF(COUNTIFS(GD_Item_FiscalPeriod,AT$1333,GD_Item_Name,$B1348,GD_Update_Date,AT$1332)=0,"NR",SUMIFS(GD_Guidance_Mid,GD_Item_Name,$B1348,GD_Item_FiscalPeriod,AT$1333,GD_Update_Date,AT$1332)))</f>
        <v/>
      </c>
      <c r="AU1348" s="1553">
        <f>IF(ISBLANK(AU$1333),"N/A",IF(COUNTIFS(GD_Item_FiscalPeriod,AU$1333,GD_Item_Name,$B1348,GD_Update_Date,AU$1332)=0,"NR",SUMIFS(GD_Guidance_Mid,GD_Item_Name,$B1348,GD_Item_FiscalPeriod,AU$1333,GD_Update_Date,AU$1332)))</f>
        <v/>
      </c>
      <c r="AV1348" s="1553">
        <f>IF(ISBLANK(AV$1333),"N/A",IF(COUNTIFS(GD_Item_FiscalPeriod,AV$1333,GD_Item_Name,$B1348,GD_Update_Date,AV$1332)=0,"NR",SUMIFS(GD_Guidance_Mid,GD_Item_Name,$B1348,GD_Item_FiscalPeriod,AV$1333,GD_Update_Date,AV$1332)))</f>
        <v/>
      </c>
      <c r="AW1348" s="1553">
        <f>IF(ISBLANK(AW$1333),"N/A",IF(COUNTIFS(GD_Item_FiscalPeriod,AW$1333,GD_Item_Name,$B1348,GD_Update_Date,AW$1332)=0,"NR",SUMIFS(GD_Guidance_Mid,GD_Item_Name,$B1348,GD_Item_FiscalPeriod,AW$1333,GD_Update_Date,AW$1332)))</f>
        <v/>
      </c>
      <c r="AX1348" s="1553">
        <f>IF(ISBLANK(AX$1333),"N/A",IF(COUNTIFS(GD_Item_FiscalPeriod,AX$1333,GD_Item_Name,$B1348,GD_Update_Date,AX$1332)=0,"NR",SUMIFS(GD_Guidance_Mid,GD_Item_Name,$B1348,GD_Item_FiscalPeriod,AX$1333,GD_Update_Date,AX$1332)))</f>
        <v/>
      </c>
      <c r="AY1348" s="1553">
        <f>IF(ISBLANK(AY$1333),"N/A",IF(COUNTIFS(GD_Item_FiscalPeriod,AY$1333,GD_Item_Name,$B1348,GD_Update_Date,AY$1332)=0,"NR",SUMIFS(GD_Guidance_Mid,GD_Item_Name,$B1348,GD_Item_FiscalPeriod,AY$1333,GD_Update_Date,AY$1332)))</f>
        <v/>
      </c>
      <c r="AZ1348" s="1553">
        <f>IF(ISBLANK(AZ$1333),"N/A",IF(COUNTIFS(GD_Item_FiscalPeriod,AZ$1333,GD_Item_Name,$B1348,GD_Update_Date,AZ$1332)=0,"NR",SUMIFS(GD_Guidance_Mid,GD_Item_Name,$B1348,GD_Item_FiscalPeriod,AZ$1333,GD_Update_Date,AZ$1332)))</f>
        <v/>
      </c>
      <c r="BA1348" s="1553">
        <f>IF(ISBLANK(BA$1333),"N/A",IF(COUNTIFS(GD_Item_FiscalPeriod,BA$1333,GD_Item_Name,$B1348,GD_Update_Date,BA$1332)=0,"NR",SUMIFS(GD_Guidance_Mid,GD_Item_Name,$B1348,GD_Item_FiscalPeriod,BA$1333,GD_Update_Date,BA$1332)))</f>
        <v/>
      </c>
      <c r="BB1348" s="1553">
        <f>IF(ISBLANK(BB$1333),"N/A",IF(COUNTIFS(GD_Item_FiscalPeriod,BB$1333,GD_Item_Name,$B1348,GD_Update_Date,BB$1332)=0,"NR",SUMIFS(GD_Guidance_Mid,GD_Item_Name,$B1348,GD_Item_FiscalPeriod,BB$1333,GD_Update_Date,BB$1332)))</f>
        <v/>
      </c>
      <c r="BC1348" s="1553">
        <f>IF(ISBLANK(BC$1333),"N/A",IF(COUNTIFS(GD_Item_FiscalPeriod,BC$1333,GD_Item_Name,$B1348,GD_Update_Date,BC$1332)=0,"NR",SUMIFS(GD_Guidance_Mid,GD_Item_Name,$B1348,GD_Item_FiscalPeriod,BC$1333,GD_Update_Date,BC$1332)))</f>
        <v/>
      </c>
      <c r="BD1348" s="1553">
        <f>IF(ISBLANK(BD$1333),"N/A",IF(COUNTIFS(GD_Item_FiscalPeriod,BD$1333,GD_Item_Name,$B1348,GD_Update_Date,BD$1332)=0,"NR",SUMIFS(GD_Guidance_Mid,GD_Item_Name,$B1348,GD_Item_FiscalPeriod,BD$1333,GD_Update_Date,BD$1332)))</f>
        <v/>
      </c>
      <c r="BE1348" s="1553">
        <f>IF(ISBLANK(BE$1333),"N/A",IF(COUNTIFS(GD_Item_FiscalPeriod,BE$1333,GD_Item_Name,$B1348,GD_Update_Date,BE$1332)=0,"NR",SUMIFS(GD_Guidance_Mid,GD_Item_Name,$B1348,GD_Item_FiscalPeriod,BE$1333,GD_Update_Date,BE$1332)))</f>
        <v/>
      </c>
      <c r="BF1348" s="1553">
        <f>IF(ISBLANK(BF$1333),"N/A",IF(COUNTIFS(GD_Item_FiscalPeriod,BF$1333,GD_Item_Name,$B1348,GD_Update_Date,BF$1332)=0,"NR",SUMIFS(GD_Guidance_Mid,GD_Item_Name,$B1348,GD_Item_FiscalPeriod,BF$1333,GD_Update_Date,BF$1332)))</f>
        <v/>
      </c>
      <c r="BG1348" s="1553">
        <f>IF(ISBLANK(BG$1333),"N/A",IF(COUNTIFS(GD_Item_FiscalPeriod,BG$1333,GD_Item_Name,$B1348,GD_Update_Date,BG$1332)=0,"NR",SUMIFS(GD_Guidance_Mid,GD_Item_Name,$B1348,GD_Item_FiscalPeriod,BG$1333,GD_Update_Date,BG$1332)))</f>
        <v/>
      </c>
      <c r="BH1348" s="1553">
        <f>IF(ISBLANK(BH$1333),"N/A",IF(COUNTIFS(GD_Item_FiscalPeriod,BH$1333,GD_Item_Name,$B1348,GD_Update_Date,BH$1332)=0,"NR",SUMIFS(GD_Guidance_Mid,GD_Item_Name,$B1348,GD_Item_FiscalPeriod,BH$1333,GD_Update_Date,BH$1332)))</f>
        <v/>
      </c>
      <c r="BI1348" s="1553">
        <f>IF(ISBLANK(BI$1333),"N/A",IF(COUNTIFS(GD_Item_FiscalPeriod,BI$1333,GD_Item_Name,$B1348,GD_Update_Date,BI$1332)=0,"NR",SUMIFS(GD_Guidance_Mid,GD_Item_Name,$B1348,GD_Item_FiscalPeriod,BI$1333,GD_Update_Date,BI$1332)))</f>
        <v/>
      </c>
      <c r="BJ1348" s="1553">
        <f>IF(ISBLANK(BJ$1333),"N/A",IF(COUNTIFS(GD_Item_FiscalPeriod,BJ$1333,GD_Item_Name,$B1348,GD_Update_Date,BJ$1332)=0,"NR",SUMIFS(GD_Guidance_Mid,GD_Item_Name,$B1348,GD_Item_FiscalPeriod,BJ$1333,GD_Update_Date,BJ$1332)))</f>
        <v/>
      </c>
      <c r="BK1348" s="1553">
        <f>IF(ISBLANK(BK$1333),"N/A",IF(COUNTIFS(GD_Item_FiscalPeriod,BK$1333,GD_Item_Name,$B1348,GD_Update_Date,BK$1332)=0,"NR",SUMIFS(GD_Guidance_Mid,GD_Item_Name,$B1348,GD_Item_FiscalPeriod,BK$1333,GD_Update_Date,BK$1332)))</f>
        <v/>
      </c>
      <c r="BL1348" s="1553">
        <f>IF(ISBLANK(BL$1333),"N/A",IF(COUNTIFS(GD_Item_FiscalPeriod,BL$1333,GD_Item_Name,$B1348,GD_Update_Date,BL$1332)=0,"NR",SUMIFS(GD_Guidance_Mid,GD_Item_Name,$B1348,GD_Item_FiscalPeriod,BL$1333,GD_Update_Date,BL$1332)))</f>
        <v/>
      </c>
      <c r="BM1348" s="1553">
        <f>IF(ISBLANK(BM$1333),"N/A",IF(COUNTIFS(GD_Item_FiscalPeriod,BM$1333,GD_Item_Name,$B1348,GD_Update_Date,BM$1332)=0,"NR",SUMIFS(GD_Guidance_Mid,GD_Item_Name,$B1348,GD_Item_FiscalPeriod,BM$1333,GD_Update_Date,BM$1332)))</f>
        <v/>
      </c>
      <c r="BN1348" s="1553">
        <f>IF(ISBLANK(BN$1333),"N/A",IF(COUNTIFS(GD_Item_FiscalPeriod,BN$1333,GD_Item_Name,$B1348,GD_Update_Date,BN$1332)=0,"NR",SUMIFS(GD_Guidance_Mid,GD_Item_Name,$B1348,GD_Item_FiscalPeriod,BN$1333,GD_Update_Date,BN$1332)))</f>
        <v/>
      </c>
      <c r="BO1348" s="1553">
        <f>IF(ISBLANK(BO$1333),"N/A",IF(COUNTIFS(GD_Item_FiscalPeriod,BO$1333,GD_Item_Name,$B1348,GD_Update_Date,BO$1332)=0,"NR",SUMIFS(GD_Guidance_Mid,GD_Item_Name,$B1348,GD_Item_FiscalPeriod,BO$1333,GD_Update_Date,BO$1332)))</f>
        <v/>
      </c>
      <c r="BP1348" s="1553">
        <f>IF(ISBLANK(BP$1333),"N/A",IF(COUNTIFS(GD_Item_FiscalPeriod,BP$1333,GD_Item_Name,$B1348,GD_Update_Date,BP$1332)=0,"NR",SUMIFS(GD_Guidance_Mid,GD_Item_Name,$B1348,GD_Item_FiscalPeriod,BP$1333,GD_Update_Date,BP$1332)))</f>
        <v/>
      </c>
      <c r="BQ1348" s="1556">
        <f>IF(ISBLANK(BQ$1333),"N/A",IF(COUNTIFS(GD_Item_FiscalPeriod,BQ$1333,GD_Item_Name,$B1348,GD_Update_Date,BQ$1332)=0,"NR",SUMIFS(GD_Guidance_Mid,GD_Item_Name,$B1348,GD_Item_FiscalPeriod,BQ$1333,GD_Update_Date,BQ$1332)))</f>
        <v/>
      </c>
      <c r="BR1348" s="1553">
        <f>IF(ISBLANK(BR$1333),"N/A",IF(COUNTIFS(GD_Item_FiscalPeriod,BR$1333,GD_Item_Name,$B1348,GD_Update_Date,BR$1332)=0,"NR",SUMIFS(GD_Guidance_Mid,GD_Item_Name,$B1348,GD_Item_FiscalPeriod,BR$1333,GD_Update_Date,BR$1332)))</f>
        <v/>
      </c>
      <c r="BS1348" s="1553">
        <f>IF(ISBLANK(BS$1333),"N/A",IF(COUNTIFS(GD_Item_FiscalPeriod,BS$1333,GD_Item_Name,$B1348,GD_Update_Date,BS$1332)=0,"NR",SUMIFS(GD_Guidance_Mid,GD_Item_Name,$B1348,GD_Item_FiscalPeriod,BS$1333,GD_Update_Date,BS$1332)))</f>
        <v/>
      </c>
      <c r="BT1348" s="1553">
        <f>IF(ISBLANK(BT$1333),"N/A",IF(COUNTIFS(GD_Item_FiscalPeriod,BT$1333,GD_Item_Name,$B1348,GD_Update_Date,BT$1332)=0,"NR",SUMIFS(GD_Guidance_Mid,GD_Item_Name,$B1348,GD_Item_FiscalPeriod,BT$1333,GD_Update_Date,BT$1332)))</f>
        <v/>
      </c>
      <c r="BU1348" s="1553">
        <f>IF(ISBLANK(BU$1333),"N/A",IF(COUNTIFS(GD_Item_FiscalPeriod,BU$1333,GD_Item_Name,$B1348,GD_Update_Date,BU$1332)=0,"NR",SUMIFS(GD_Guidance_Mid,GD_Item_Name,$B1348,GD_Item_FiscalPeriod,BU$1333,GD_Update_Date,BU$1332)))</f>
        <v/>
      </c>
      <c r="BV1348" s="1553">
        <f>IF(ISBLANK(BV$1333),"N/A",IF(COUNTIFS(GD_Item_FiscalPeriod,BV$1333,GD_Item_Name,$B1348,GD_Update_Date,BV$1332)=0,"NR",SUMIFS(GD_Guidance_Mid,GD_Item_Name,$B1348,GD_Item_FiscalPeriod,BV$1333,GD_Update_Date,BV$1332)))</f>
        <v/>
      </c>
      <c r="BW1348" s="1553">
        <f>IF(ISBLANK(BW$1333),"N/A",IF(COUNTIFS(GD_Item_FiscalPeriod,BW$1333,GD_Item_Name,$B1348,GD_Update_Date,BW$1332)=0,"NR",SUMIFS(GD_Guidance_Mid,GD_Item_Name,$B1348,GD_Item_FiscalPeriod,BW$1333,GD_Update_Date,BW$1332)))</f>
        <v/>
      </c>
      <c r="BX1348" s="1553">
        <f>IF(ISBLANK(BX$1333),"N/A",IF(COUNTIFS(GD_Item_FiscalPeriod,BX$1333,GD_Item_Name,$B1348,GD_Update_Date,BX$1332)=0,"NR",SUMIFS(GD_Guidance_Mid,GD_Item_Name,$B1348,GD_Item_FiscalPeriod,BX$1333,GD_Update_Date,BX$1332)))</f>
        <v/>
      </c>
      <c r="BY1348" s="1553">
        <f>IF(ISBLANK(BY$1333),"N/A",IF(COUNTIFS(GD_Item_FiscalPeriod,BY$1333,GD_Item_Name,$B1348,GD_Update_Date,BY$1332)=0,"NR",SUMIFS(GD_Guidance_Mid,GD_Item_Name,$B1348,GD_Item_FiscalPeriod,BY$1333,GD_Update_Date,BY$1332)))</f>
        <v/>
      </c>
      <c r="BZ1348" s="1553">
        <f>IF(ISBLANK(BZ$1333),"N/A",IF(COUNTIFS(GD_Item_FiscalPeriod,BZ$1333,GD_Item_Name,$B1348,GD_Update_Date,BZ$1332)=0,"NR",SUMIFS(GD_Guidance_Mid,GD_Item_Name,$B1348,GD_Item_FiscalPeriod,BZ$1333,GD_Update_Date,BZ$1332)))</f>
        <v/>
      </c>
      <c r="CA1348" s="2001">
        <f>IF(ISBLANK(CA$1333),"N/A",IF(COUNTIFS(GD_Item_FiscalPeriod,CA$1333,GD_Item_Name,$B1348,GD_Update_Date,CA$1332)=0,"NR",SUMIFS(GD_Guidance_Mid,GD_Item_Name,$B1348,GD_Item_FiscalPeriod,CA$1333,GD_Update_Date,CA$1332)))</f>
        <v/>
      </c>
      <c r="CB1348" s="1472" t="n"/>
    </row>
    <row r="1349" ht="14.4" customFormat="1" customHeight="1" s="1549">
      <c r="A1349" s="2010" t="n"/>
      <c r="B1349" s="2011" t="n"/>
      <c r="C1349" s="2012" t="n"/>
      <c r="D1349" s="2012" t="n"/>
      <c r="E1349" s="2011" t="n"/>
      <c r="F1349" s="2011" t="n"/>
      <c r="G1349" s="2011" t="n"/>
      <c r="H1349" s="2011" t="n"/>
      <c r="I1349" s="2011" t="n"/>
      <c r="J1349" s="2011" t="n"/>
      <c r="K1349" s="2011" t="n"/>
      <c r="L1349" s="2011" t="n"/>
      <c r="M1349" s="2011" t="n"/>
      <c r="N1349" s="2011" t="n"/>
      <c r="O1349" s="2011" t="n"/>
      <c r="P1349" s="2011" t="n"/>
      <c r="Q1349" s="2011" t="n"/>
      <c r="R1349" s="2011" t="n"/>
      <c r="S1349" s="2011" t="n"/>
      <c r="T1349" s="2011" t="n"/>
      <c r="U1349" s="2011" t="n"/>
      <c r="V1349" s="2011" t="n"/>
      <c r="W1349" s="2011" t="n"/>
      <c r="X1349" s="2011" t="n"/>
      <c r="Y1349" s="2011" t="n"/>
      <c r="Z1349" s="2011" t="n"/>
      <c r="AA1349" s="2011" t="n"/>
      <c r="AB1349" s="2011" t="n"/>
      <c r="AC1349" s="2011" t="n"/>
      <c r="AD1349" s="2011" t="n"/>
      <c r="AE1349" s="2011" t="n"/>
      <c r="AF1349" s="2011" t="n"/>
      <c r="AG1349" s="2011" t="n"/>
      <c r="AH1349" s="2011" t="n"/>
      <c r="AI1349" s="2011" t="n"/>
      <c r="AJ1349" s="2011" t="n"/>
      <c r="AK1349" s="2011" t="n"/>
      <c r="AL1349" s="2011" t="n"/>
      <c r="AM1349" s="2011" t="n"/>
      <c r="AN1349" s="2011" t="n"/>
      <c r="AO1349" s="2011" t="n"/>
      <c r="AP1349" s="2011" t="n"/>
      <c r="AQ1349" s="2011" t="n"/>
      <c r="AR1349" s="2011" t="n"/>
      <c r="AS1349" s="2011" t="n"/>
      <c r="AT1349" s="2011" t="n"/>
      <c r="AU1349" s="2011" t="n"/>
      <c r="AV1349" s="2011" t="n"/>
      <c r="AW1349" s="2011" t="n"/>
      <c r="AX1349" s="2011" t="n"/>
      <c r="AY1349" s="2011" t="n"/>
      <c r="AZ1349" s="2011" t="n"/>
      <c r="BA1349" s="2011" t="n"/>
      <c r="BB1349" s="2011" t="n"/>
      <c r="BC1349" s="2011" t="n"/>
      <c r="BD1349" s="2011" t="n"/>
      <c r="BE1349" s="2011" t="n"/>
      <c r="BF1349" s="2011" t="n"/>
      <c r="BG1349" s="2011" t="n"/>
      <c r="BH1349" s="2011" t="n"/>
      <c r="BI1349" s="2011" t="n"/>
      <c r="BJ1349" s="2011" t="n"/>
      <c r="BK1349" s="2011" t="n"/>
      <c r="BL1349" s="2011" t="n"/>
      <c r="BM1349" s="2011" t="n"/>
      <c r="BN1349" s="2011" t="n"/>
      <c r="BO1349" s="2011" t="n"/>
      <c r="BP1349" s="2011" t="n"/>
      <c r="BQ1349" s="2013" t="n"/>
      <c r="BR1349" s="2011" t="n"/>
      <c r="BS1349" s="2011" t="n"/>
      <c r="BT1349" s="2011" t="n"/>
      <c r="BU1349" s="2011" t="n"/>
      <c r="BV1349" s="2011" t="n"/>
      <c r="BW1349" s="2011" t="n"/>
      <c r="BX1349" s="2011" t="n"/>
      <c r="BY1349" s="2011" t="n"/>
      <c r="BZ1349" s="2011" t="n"/>
      <c r="CA1349" s="2014" t="n"/>
      <c r="CB1349" s="1472" t="n"/>
    </row>
    <row r="1350" ht="14.4" customFormat="1" customHeight="1" s="1549">
      <c r="A1350" s="1958" t="n"/>
      <c r="B1350" s="1974" t="n"/>
      <c r="C1350" s="1986" t="n"/>
      <c r="D1350" s="1986" t="n"/>
      <c r="E1350" s="1974" t="n"/>
      <c r="F1350" s="1974" t="n"/>
      <c r="G1350" s="1974" t="n"/>
      <c r="H1350" s="1974" t="n"/>
      <c r="I1350" s="1974" t="n"/>
      <c r="J1350" s="1974" t="n"/>
      <c r="K1350" s="1974" t="n"/>
      <c r="L1350" s="1974" t="n"/>
      <c r="M1350" s="1974" t="n"/>
      <c r="N1350" s="1974" t="n"/>
      <c r="O1350" s="1974" t="n"/>
      <c r="P1350" s="1974" t="n"/>
      <c r="Q1350" s="1974" t="n"/>
      <c r="R1350" s="1974" t="n"/>
      <c r="S1350" s="1974" t="n"/>
      <c r="T1350" s="1974" t="n"/>
      <c r="U1350" s="1974" t="n"/>
      <c r="V1350" s="1974" t="n"/>
      <c r="W1350" s="1974" t="n"/>
      <c r="X1350" s="1974" t="n"/>
      <c r="Y1350" s="1974" t="n"/>
      <c r="Z1350" s="1974" t="n"/>
      <c r="AA1350" s="1974" t="n"/>
      <c r="AB1350" s="1974" t="n"/>
      <c r="AC1350" s="1974" t="n"/>
      <c r="AD1350" s="1974" t="n"/>
      <c r="AE1350" s="1974" t="n"/>
      <c r="AF1350" s="1974" t="n"/>
      <c r="AG1350" s="1974" t="n"/>
      <c r="AH1350" s="1974" t="n"/>
      <c r="AI1350" s="1974" t="n"/>
      <c r="AJ1350" s="1974" t="n"/>
      <c r="AK1350" s="1974" t="n"/>
      <c r="AL1350" s="1974" t="n"/>
      <c r="AM1350" s="1974" t="n"/>
      <c r="AN1350" s="1974" t="n"/>
      <c r="AO1350" s="1974" t="n"/>
      <c r="AP1350" s="1974" t="n"/>
      <c r="AQ1350" s="1974" t="n"/>
      <c r="AR1350" s="1974" t="n"/>
      <c r="AS1350" s="1974" t="n"/>
      <c r="AT1350" s="1974" t="n"/>
      <c r="AU1350" s="1974" t="n"/>
      <c r="AV1350" s="1974" t="n"/>
      <c r="AW1350" s="1974" t="n"/>
      <c r="AX1350" s="1974" t="n"/>
      <c r="AY1350" s="1974" t="n"/>
      <c r="AZ1350" s="1974" t="n"/>
      <c r="BA1350" s="1974" t="n"/>
      <c r="BB1350" s="1974" t="n"/>
      <c r="BC1350" s="1974" t="n"/>
      <c r="BD1350" s="1974" t="n"/>
      <c r="BE1350" s="1974" t="n"/>
      <c r="BF1350" s="1974" t="n"/>
      <c r="BG1350" s="1974" t="n"/>
      <c r="BH1350" s="1974" t="n"/>
      <c r="BI1350" s="1974" t="n"/>
      <c r="BJ1350" s="1974" t="n"/>
      <c r="BK1350" s="1974" t="n"/>
      <c r="BL1350" s="1974" t="n"/>
      <c r="BM1350" s="1974" t="n"/>
      <c r="BN1350" s="1974" t="n"/>
      <c r="BO1350" s="1974" t="n"/>
      <c r="BP1350" s="1974" t="n"/>
      <c r="BQ1350" s="1987" t="n"/>
      <c r="BR1350" s="1974" t="n"/>
      <c r="BS1350" s="1974" t="n"/>
      <c r="BT1350" s="1974" t="n"/>
      <c r="BU1350" s="1974" t="n"/>
      <c r="BV1350" s="1974" t="n"/>
      <c r="BW1350" s="1974" t="n"/>
      <c r="BX1350" s="1974" t="n"/>
      <c r="BY1350" s="1974" t="n"/>
      <c r="BZ1350" s="1974" t="n"/>
      <c r="CA1350" s="1974" t="n"/>
      <c r="CB1350" s="1472" t="n"/>
    </row>
    <row r="1351" ht="14.4" customFormat="1" customHeight="1" s="1549">
      <c r="A1351" s="1988" t="inlineStr">
        <is>
          <t>Annual Guidance Table</t>
        </is>
      </c>
      <c r="B1351" s="1989" t="n"/>
      <c r="C1351" s="1990" t="n"/>
      <c r="D1351" s="1990" t="n"/>
      <c r="E1351" s="1989" t="n"/>
      <c r="F1351" s="1989" t="n"/>
      <c r="G1351" s="1989" t="n"/>
      <c r="H1351" s="1989" t="n"/>
      <c r="I1351" s="1989" t="n"/>
      <c r="J1351" s="1989" t="n"/>
      <c r="K1351" s="1989" t="n"/>
      <c r="L1351" s="1989" t="n"/>
      <c r="M1351" s="1989" t="n"/>
      <c r="N1351" s="1989" t="n"/>
      <c r="O1351" s="1989" t="n"/>
      <c r="P1351" s="1989" t="n"/>
      <c r="Q1351" s="1989" t="n"/>
      <c r="R1351" s="1989" t="n"/>
      <c r="S1351" s="1989" t="n"/>
      <c r="T1351" s="1989" t="n"/>
      <c r="U1351" s="1989" t="n"/>
      <c r="V1351" s="1989" t="n"/>
      <c r="W1351" s="1989" t="n"/>
      <c r="X1351" s="1989" t="n"/>
      <c r="Y1351" s="1989" t="n"/>
      <c r="Z1351" s="1989" t="n"/>
      <c r="AA1351" s="1989" t="n"/>
      <c r="AB1351" s="1989" t="n"/>
      <c r="AC1351" s="1989" t="n"/>
      <c r="AD1351" s="1989" t="n"/>
      <c r="AE1351" s="1989" t="n"/>
      <c r="AF1351" s="1989" t="n"/>
      <c r="AG1351" s="1989" t="n"/>
      <c r="AH1351" s="1989" t="n"/>
      <c r="AI1351" s="1989" t="n"/>
      <c r="AJ1351" s="1989" t="n"/>
      <c r="AK1351" s="1989" t="n"/>
      <c r="AL1351" s="1989" t="n"/>
      <c r="AM1351" s="1989" t="n"/>
      <c r="AN1351" s="1989" t="n"/>
      <c r="AO1351" s="1989" t="n"/>
      <c r="AP1351" s="1989" t="n"/>
      <c r="AQ1351" s="1989" t="n"/>
      <c r="AR1351" s="1989" t="n"/>
      <c r="AS1351" s="1989" t="n"/>
      <c r="AT1351" s="1989" t="n"/>
      <c r="AU1351" s="1989" t="n"/>
      <c r="AV1351" s="1989" t="n"/>
      <c r="AW1351" s="1989" t="n"/>
      <c r="AX1351" s="1989" t="n"/>
      <c r="AY1351" s="1989" t="n"/>
      <c r="AZ1351" s="1989" t="n"/>
      <c r="BA1351" s="1989" t="n"/>
      <c r="BB1351" s="1989" t="n"/>
      <c r="BC1351" s="1989" t="n"/>
      <c r="BD1351" s="1989" t="n"/>
      <c r="BE1351" s="1989" t="n"/>
      <c r="BF1351" s="1989" t="n"/>
      <c r="BG1351" s="1989" t="n"/>
      <c r="BH1351" s="1989" t="n"/>
      <c r="BI1351" s="1989" t="n"/>
      <c r="BJ1351" s="1989" t="n"/>
      <c r="BK1351" s="1989" t="n"/>
      <c r="BL1351" s="1989" t="n"/>
      <c r="BM1351" s="1989" t="n"/>
      <c r="BN1351" s="1989" t="n"/>
      <c r="BO1351" s="1989" t="n"/>
      <c r="BP1351" s="1989" t="n"/>
      <c r="BQ1351" s="1991" t="n"/>
      <c r="BR1351" s="1989" t="n"/>
      <c r="BS1351" s="1989" t="n"/>
      <c r="BT1351" s="1989" t="n"/>
      <c r="BU1351" s="1989" t="n"/>
      <c r="BV1351" s="1989" t="n"/>
      <c r="BW1351" s="1989" t="n"/>
      <c r="BX1351" s="1989" t="n"/>
      <c r="BY1351" s="1989" t="n"/>
      <c r="BZ1351" s="1989" t="n"/>
      <c r="CA1351" s="1992" t="n"/>
      <c r="CB1351" s="1472" t="n"/>
    </row>
    <row r="1352" ht="14.4" customFormat="1" customHeight="1" s="1549">
      <c r="A1352" s="1993" t="inlineStr">
        <is>
          <t>Reporting Date</t>
        </is>
      </c>
      <c r="B1352" s="1471" t="n"/>
      <c r="C1352" s="1994" t="n"/>
      <c r="D1352" s="1994" t="n"/>
      <c r="E1352" s="1995" t="n"/>
      <c r="F1352" s="1995" t="n"/>
      <c r="G1352" s="1995" t="n"/>
      <c r="H1352" s="1995" t="n"/>
      <c r="I1352" s="1995" t="n"/>
      <c r="J1352" s="1995" t="n"/>
      <c r="K1352" s="1995" t="n"/>
      <c r="L1352" s="1995" t="n"/>
      <c r="M1352" s="1995" t="n"/>
      <c r="N1352" s="1995" t="n"/>
      <c r="O1352" s="1995" t="n"/>
      <c r="P1352" s="1995" t="n"/>
      <c r="Q1352" s="1995" t="n"/>
      <c r="R1352" s="1995" t="n"/>
      <c r="S1352" s="1995" t="n"/>
      <c r="T1352" s="1995" t="n"/>
      <c r="U1352" s="1995" t="n"/>
      <c r="V1352" s="1995" t="n"/>
      <c r="W1352" s="1995" t="n"/>
      <c r="X1352" s="1995" t="n"/>
      <c r="Y1352" s="1995" t="n"/>
      <c r="Z1352" s="1995" t="n"/>
      <c r="AA1352" s="1995" t="n"/>
      <c r="AB1352" s="1995" t="n"/>
      <c r="AC1352" s="1995">
        <f>AC1332</f>
        <v/>
      </c>
      <c r="AD1352" s="1995">
        <f>AD1332</f>
        <v/>
      </c>
      <c r="AE1352" s="1995">
        <f>AE1332</f>
        <v/>
      </c>
      <c r="AF1352" s="1995">
        <f>AF1332</f>
        <v/>
      </c>
      <c r="AG1352" s="1995">
        <f>AG1332</f>
        <v/>
      </c>
      <c r="AH1352" s="1995">
        <f>AH1332</f>
        <v/>
      </c>
      <c r="AI1352" s="1995">
        <f>AI1332</f>
        <v/>
      </c>
      <c r="AJ1352" s="1995">
        <f>AJ1332</f>
        <v/>
      </c>
      <c r="AK1352" s="1995">
        <f>AK1332</f>
        <v/>
      </c>
      <c r="AL1352" s="1995">
        <f>AL1332</f>
        <v/>
      </c>
      <c r="AM1352" s="1995">
        <f>AM1332</f>
        <v/>
      </c>
      <c r="AN1352" s="1995">
        <f>AN1332</f>
        <v/>
      </c>
      <c r="AO1352" s="1995">
        <f>AO1332</f>
        <v/>
      </c>
      <c r="AP1352" s="1995">
        <f>AP1332</f>
        <v/>
      </c>
      <c r="AQ1352" s="1995">
        <f>AQ1332</f>
        <v/>
      </c>
      <c r="AR1352" s="1995">
        <f>AR1332</f>
        <v/>
      </c>
      <c r="AS1352" s="1995">
        <f>AS1332</f>
        <v/>
      </c>
      <c r="AT1352" s="1995">
        <f>AT1332</f>
        <v/>
      </c>
      <c r="AU1352" s="1995">
        <f>AU1332</f>
        <v/>
      </c>
      <c r="AV1352" s="1995">
        <f>AV1332</f>
        <v/>
      </c>
      <c r="AW1352" s="1995">
        <f>AW1332</f>
        <v/>
      </c>
      <c r="AX1352" s="1995">
        <f>AX1332</f>
        <v/>
      </c>
      <c r="AY1352" s="1995">
        <f>AY1332</f>
        <v/>
      </c>
      <c r="AZ1352" s="1995">
        <f>AZ1332</f>
        <v/>
      </c>
      <c r="BA1352" s="1995">
        <f>BA1332</f>
        <v/>
      </c>
      <c r="BB1352" s="1995">
        <f>BB1332</f>
        <v/>
      </c>
      <c r="BC1352" s="1995">
        <f>BC1332</f>
        <v/>
      </c>
      <c r="BD1352" s="1995">
        <f>BD1332</f>
        <v/>
      </c>
      <c r="BE1352" s="1995">
        <f>BE1332</f>
        <v/>
      </c>
      <c r="BF1352" s="1995">
        <f>BF1332</f>
        <v/>
      </c>
      <c r="BG1352" s="1995">
        <f>BG1332</f>
        <v/>
      </c>
      <c r="BH1352" s="1995">
        <f>BH1332</f>
        <v/>
      </c>
      <c r="BI1352" s="1995">
        <f>BI1332</f>
        <v/>
      </c>
      <c r="BJ1352" s="1995">
        <f>BJ1332</f>
        <v/>
      </c>
      <c r="BK1352" s="1995">
        <f>BK1332</f>
        <v/>
      </c>
      <c r="BL1352" s="1995">
        <f>BL1332</f>
        <v/>
      </c>
      <c r="BM1352" s="1995">
        <f>BM1332</f>
        <v/>
      </c>
      <c r="BN1352" s="1995">
        <f>BN1332</f>
        <v/>
      </c>
      <c r="BO1352" s="1995">
        <f>BO1332</f>
        <v/>
      </c>
      <c r="BP1352" s="1995">
        <f>BP1332</f>
        <v/>
      </c>
      <c r="BQ1352" s="2015">
        <f>BQ1332</f>
        <v/>
      </c>
      <c r="BR1352" s="1995" t="n"/>
      <c r="BS1352" s="1995" t="n"/>
      <c r="BT1352" s="1995" t="n"/>
      <c r="BU1352" s="1995" t="n"/>
      <c r="BV1352" s="1995" t="n"/>
      <c r="BW1352" s="1995" t="n"/>
      <c r="BX1352" s="1995" t="n"/>
      <c r="BY1352" s="1995" t="n"/>
      <c r="BZ1352" s="1995" t="n"/>
      <c r="CA1352" s="1998" t="n"/>
      <c r="CB1352" s="1472" t="n"/>
    </row>
    <row r="1353" ht="14.4" customFormat="1" customHeight="1" s="1549">
      <c r="A1353" s="1993" t="inlineStr">
        <is>
          <t>Is Latest</t>
        </is>
      </c>
      <c r="B1353" s="1471" t="n"/>
      <c r="C1353" s="929" t="n"/>
      <c r="D1353" s="929" t="n"/>
      <c r="E1353" s="490" t="n"/>
      <c r="F1353" s="490" t="n"/>
      <c r="G1353" s="490" t="n"/>
      <c r="H1353" s="490" t="n"/>
      <c r="I1353" s="490" t="n"/>
      <c r="J1353" s="490" t="n"/>
      <c r="K1353" s="490" t="n"/>
      <c r="L1353" s="490" t="n"/>
      <c r="M1353" s="490" t="n"/>
      <c r="N1353" s="490" t="n"/>
      <c r="O1353" s="490" t="n"/>
      <c r="P1353" s="490" t="n"/>
      <c r="Q1353" s="490" t="n"/>
      <c r="R1353" s="490" t="n"/>
      <c r="S1353" s="490" t="n"/>
      <c r="T1353" s="490" t="n"/>
      <c r="U1353" s="490" t="n"/>
      <c r="V1353" s="490" t="n"/>
      <c r="W1353" s="490" t="n"/>
      <c r="X1353" s="490" t="n"/>
      <c r="Y1353" s="490" t="n"/>
      <c r="Z1353" s="490" t="n"/>
      <c r="AA1353" s="490" t="n"/>
      <c r="AB1353" s="490" t="n"/>
      <c r="AC1353" s="490">
        <f>IF(AC1354=AD1354,"",AC1354)</f>
        <v/>
      </c>
      <c r="AD1353" s="490">
        <f>IF(AD1354=AE1354,"",AD1354)</f>
        <v/>
      </c>
      <c r="AE1353" s="490">
        <f>IF(AE1354=AF1354,"",AE1354)</f>
        <v/>
      </c>
      <c r="AF1353" s="490">
        <f>IF(AF1354=AG1354,"",AF1354)</f>
        <v/>
      </c>
      <c r="AG1353" s="490">
        <f>IF(AG1354=AH1354,"",AG1354)</f>
        <v/>
      </c>
      <c r="AH1353" s="490">
        <f>IF(AH1354=AI1354,"",AH1354)</f>
        <v/>
      </c>
      <c r="AI1353" s="490">
        <f>IF(AI1354=AJ1354,"",AI1354)</f>
        <v/>
      </c>
      <c r="AJ1353" s="490">
        <f>IF(AJ1354=AK1354,"",AJ1354)</f>
        <v/>
      </c>
      <c r="AK1353" s="490">
        <f>IF(AK1354=AL1354,"",AK1354)</f>
        <v/>
      </c>
      <c r="AL1353" s="490">
        <f>IF(AL1354=AM1354,"",AL1354)</f>
        <v/>
      </c>
      <c r="AM1353" s="490">
        <f>IF(AM1354=AN1354,"",AM1354)</f>
        <v/>
      </c>
      <c r="AN1353" s="490">
        <f>IF(AN1354=AO1354,"",AN1354)</f>
        <v/>
      </c>
      <c r="AO1353" s="490">
        <f>IF(AO1354=AP1354,"",AO1354)</f>
        <v/>
      </c>
      <c r="AP1353" s="490">
        <f>IF(AP1354=AQ1354,"",AP1354)</f>
        <v/>
      </c>
      <c r="AQ1353" s="490">
        <f>IF(AQ1354=AR1354,"",AQ1354)</f>
        <v/>
      </c>
      <c r="AR1353" s="490">
        <f>IF(AR1354=AS1354,"",AR1354)</f>
        <v/>
      </c>
      <c r="AS1353" s="490">
        <f>IF(AS1354=AT1354,"",AS1354)</f>
        <v/>
      </c>
      <c r="AT1353" s="490">
        <f>IF(AT1354=AU1354,"",AT1354)</f>
        <v/>
      </c>
      <c r="AU1353" s="490">
        <f>IF(AU1354=AV1354,"",AU1354)</f>
        <v/>
      </c>
      <c r="AV1353" s="490">
        <f>IF(AV1354=AW1354,"",AV1354)</f>
        <v/>
      </c>
      <c r="AW1353" s="490">
        <f>IF(AW1354=AX1354,"",AW1354)</f>
        <v/>
      </c>
      <c r="AX1353" s="490">
        <f>IF(AX1354=AY1354,"",AX1354)</f>
        <v/>
      </c>
      <c r="AY1353" s="490">
        <f>IF(AY1354=AZ1354,"",AY1354)</f>
        <v/>
      </c>
      <c r="AZ1353" s="490">
        <f>IF(AZ1354=BA1354,"",AZ1354)</f>
        <v/>
      </c>
      <c r="BA1353" s="490">
        <f>IF(BA1354=BB1354,"",BA1354)</f>
        <v/>
      </c>
      <c r="BB1353" s="490">
        <f>IF(BB1354=BC1354,"",BB1354)</f>
        <v/>
      </c>
      <c r="BC1353" s="490">
        <f>IF(BC1354=BD1354,"",BC1354)</f>
        <v/>
      </c>
      <c r="BD1353" s="490">
        <f>IF(BD1354=BE1354,"",BD1354)</f>
        <v/>
      </c>
      <c r="BE1353" s="490">
        <f>IF(BE1354=BF1354,"",BE1354)</f>
        <v/>
      </c>
      <c r="BF1353" s="490">
        <f>IF(BF1354=BG1354,"",BF1354)</f>
        <v/>
      </c>
      <c r="BG1353" s="490">
        <f>IF(BG1354=BH1354,"",BG1354)</f>
        <v/>
      </c>
      <c r="BH1353" s="490">
        <f>IF(BH1354=BI1354,"",BH1354)</f>
        <v/>
      </c>
      <c r="BI1353" s="490">
        <f>IF(BI1354=BJ1354,"",BI1354)</f>
        <v/>
      </c>
      <c r="BJ1353" s="490">
        <f>IF(BJ1354=BK1354,"",BJ1354)</f>
        <v/>
      </c>
      <c r="BK1353" s="490">
        <f>IF(BK1354=BL1354,"",BK1354)</f>
        <v/>
      </c>
      <c r="BL1353" s="490">
        <f>IF(BL1354=BM1354,"",BL1354)</f>
        <v/>
      </c>
      <c r="BM1353" s="490">
        <f>IF(BM1354=BN1354,"",BM1354)</f>
        <v/>
      </c>
      <c r="BN1353" s="490">
        <f>IF(BN1354=BO1354,"",BN1354)</f>
        <v/>
      </c>
      <c r="BO1353" s="490">
        <f>IF(BO1354=BP1354,"",BO1354)</f>
        <v/>
      </c>
      <c r="BP1353" s="490">
        <f>IF(BP1354=BQ1354,"",BP1354)</f>
        <v/>
      </c>
      <c r="BQ1353" s="648">
        <f>IF(BQ1354=BR1354,"",BQ1354)</f>
        <v/>
      </c>
      <c r="BR1353" s="490" t="n"/>
      <c r="BS1353" s="490" t="n"/>
      <c r="BT1353" s="490" t="n"/>
      <c r="BU1353" s="490" t="n"/>
      <c r="BV1353" s="490" t="n"/>
      <c r="BW1353" s="490" t="n"/>
      <c r="BX1353" s="490" t="n"/>
      <c r="BY1353" s="490" t="n"/>
      <c r="BZ1353" s="490" t="n"/>
      <c r="CA1353" s="491" t="n"/>
      <c r="CB1353" s="1472" t="n"/>
    </row>
    <row r="1354" ht="14.4" customFormat="1" customHeight="1" s="1549">
      <c r="A1354" s="1993" t="inlineStr">
        <is>
          <t>Applicable Period</t>
        </is>
      </c>
      <c r="B1354" s="1471" t="n"/>
      <c r="C1354" s="929" t="n"/>
      <c r="D1354" s="929" t="n"/>
      <c r="E1354" s="490" t="n"/>
      <c r="F1354" s="490" t="n"/>
      <c r="G1354" s="490" t="n"/>
      <c r="H1354" s="490" t="n"/>
      <c r="I1354" s="490" t="n"/>
      <c r="J1354" s="490" t="n"/>
      <c r="K1354" s="490" t="n"/>
      <c r="L1354" s="490" t="n"/>
      <c r="M1354" s="490" t="n"/>
      <c r="N1354" s="490" t="n"/>
      <c r="O1354" s="490" t="n"/>
      <c r="P1354" s="490" t="n"/>
      <c r="Q1354" s="490" t="n"/>
      <c r="R1354" s="490" t="n"/>
      <c r="S1354" s="490" t="n"/>
      <c r="T1354" s="490" t="n"/>
      <c r="U1354" s="490" t="n"/>
      <c r="V1354" s="490" t="n"/>
      <c r="W1354" s="490" t="n"/>
      <c r="X1354" s="490" t="n"/>
      <c r="Y1354" s="490" t="n"/>
      <c r="Z1354" s="490" t="n"/>
      <c r="AA1354" s="490" t="n"/>
      <c r="AB1354" s="490" t="n"/>
      <c r="AC1354" s="490">
        <f>AE$5</f>
        <v/>
      </c>
      <c r="AD1354" s="490">
        <f>AJ$5</f>
        <v/>
      </c>
      <c r="AE1354" s="490">
        <f>AJ$5</f>
        <v/>
      </c>
      <c r="AF1354" s="490">
        <f>AJ$5</f>
        <v/>
      </c>
      <c r="AG1354" s="490">
        <f>AJ$5</f>
        <v/>
      </c>
      <c r="AH1354" s="490">
        <f>AJ$5</f>
        <v/>
      </c>
      <c r="AI1354" s="490">
        <f>AO$5</f>
        <v/>
      </c>
      <c r="AJ1354" s="490">
        <f>AO$5</f>
        <v/>
      </c>
      <c r="AK1354" s="490">
        <f>AO$5</f>
        <v/>
      </c>
      <c r="AL1354" s="490">
        <f>AO$5</f>
        <v/>
      </c>
      <c r="AM1354" s="490">
        <f>AO$5</f>
        <v/>
      </c>
      <c r="AN1354" s="490">
        <f>AT$5</f>
        <v/>
      </c>
      <c r="AO1354" s="490">
        <f>AT$5</f>
        <v/>
      </c>
      <c r="AP1354" s="490">
        <f>AT$5</f>
        <v/>
      </c>
      <c r="AQ1354" s="490">
        <f>AT$5</f>
        <v/>
      </c>
      <c r="AR1354" s="490">
        <f>AT$5</f>
        <v/>
      </c>
      <c r="AS1354" s="490">
        <f>AY$5</f>
        <v/>
      </c>
      <c r="AT1354" s="490">
        <f>AY$5</f>
        <v/>
      </c>
      <c r="AU1354" s="490">
        <f>AY$5</f>
        <v/>
      </c>
      <c r="AV1354" s="490">
        <f>AY$5</f>
        <v/>
      </c>
      <c r="AW1354" s="490">
        <f>AY$5</f>
        <v/>
      </c>
      <c r="AX1354" s="490">
        <f>BD$5</f>
        <v/>
      </c>
      <c r="AY1354" s="490">
        <f>BD$5</f>
        <v/>
      </c>
      <c r="AZ1354" s="490">
        <f>BD$5</f>
        <v/>
      </c>
      <c r="BA1354" s="490">
        <f>BD$5</f>
        <v/>
      </c>
      <c r="BB1354" s="490">
        <f>BD$5</f>
        <v/>
      </c>
      <c r="BC1354" s="490">
        <f>BI$5</f>
        <v/>
      </c>
      <c r="BD1354" s="490">
        <f>BI$5</f>
        <v/>
      </c>
      <c r="BE1354" s="490">
        <f>BI$5</f>
        <v/>
      </c>
      <c r="BF1354" s="490">
        <f>BI$5</f>
        <v/>
      </c>
      <c r="BG1354" s="490">
        <f>BI$5</f>
        <v/>
      </c>
      <c r="BH1354" s="490">
        <f>BN$5</f>
        <v/>
      </c>
      <c r="BI1354" s="490">
        <f>BN$5</f>
        <v/>
      </c>
      <c r="BJ1354" s="490">
        <f>BN$5</f>
        <v/>
      </c>
      <c r="BK1354" s="490">
        <f>BN$5</f>
        <v/>
      </c>
      <c r="BL1354" s="490">
        <f>BN$5</f>
        <v/>
      </c>
      <c r="BM1354" s="490">
        <f>BS$5</f>
        <v/>
      </c>
      <c r="BN1354" s="490">
        <f>BS$5</f>
        <v/>
      </c>
      <c r="BO1354" s="490">
        <f>BS$5</f>
        <v/>
      </c>
      <c r="BP1354" s="490">
        <f>BS$5</f>
        <v/>
      </c>
      <c r="BQ1354" s="648">
        <f>BS$5</f>
        <v/>
      </c>
      <c r="BR1354" s="490" t="n"/>
      <c r="BS1354" s="490" t="n"/>
      <c r="BT1354" s="490" t="n"/>
      <c r="BU1354" s="490" t="n"/>
      <c r="BV1354" s="490" t="n"/>
      <c r="BW1354" s="490" t="n"/>
      <c r="BX1354" s="490" t="n"/>
      <c r="BY1354" s="490" t="n"/>
      <c r="BZ1354" s="490" t="n"/>
      <c r="CA1354" s="491" t="n"/>
      <c r="CB1354" s="1472" t="n"/>
    </row>
    <row r="1355" ht="14.4" customFormat="1" customHeight="1" s="1549">
      <c r="A1355" s="1999" t="inlineStr">
        <is>
          <t>Low - Net Revenue, mm</t>
        </is>
      </c>
      <c r="B1355" s="1493" t="inlineStr">
        <is>
          <t>MO_RIS_REV</t>
        </is>
      </c>
      <c r="C1355" s="2000" t="n"/>
      <c r="D1355" s="2000" t="n"/>
      <c r="E1355" s="1553" t="n"/>
      <c r="F1355" s="1553" t="n"/>
      <c r="G1355" s="1553" t="n"/>
      <c r="H1355" s="1553" t="n"/>
      <c r="I1355" s="1553" t="n"/>
      <c r="J1355" s="1553" t="n"/>
      <c r="K1355" s="1553" t="n"/>
      <c r="L1355" s="1553" t="n"/>
      <c r="M1355" s="1553" t="n"/>
      <c r="N1355" s="1553" t="n"/>
      <c r="O1355" s="1553" t="n"/>
      <c r="P1355" s="1553" t="n"/>
      <c r="Q1355" s="1553" t="n"/>
      <c r="R1355" s="1553" t="n"/>
      <c r="S1355" s="1553" t="n"/>
      <c r="T1355" s="1553" t="n"/>
      <c r="U1355" s="1553" t="n"/>
      <c r="V1355" s="1553" t="n"/>
      <c r="W1355" s="1553" t="n"/>
      <c r="X1355" s="1553" t="n"/>
      <c r="Y1355" s="1553" t="n"/>
      <c r="Z1355" s="1553" t="n"/>
      <c r="AA1355" s="1553" t="n"/>
      <c r="AB1355" s="1553" t="n"/>
      <c r="AC1355" s="1553">
        <f>IF(ISBLANK(AC$1354),"N/A",IF(COUNTIFS(GD_Item_FiscalPeriod,AC$1354,GD_Item_Name,$B1355,GD_Update_Date,AC$1352)=0,"NR",SUMIFS(GD_Guidance_Low,GD_Item_Name,$B1355,GD_Item_FiscalPeriod,AC$1354,GD_Update_Date,AC$1352)))</f>
        <v/>
      </c>
      <c r="AD1355" s="1553">
        <f>IF(ISBLANK(AD$1354),"N/A",IF(COUNTIFS(GD_Item_FiscalPeriod,AD$1354,GD_Item_Name,$B1355,GD_Update_Date,AD$1352)=0,"NR",SUMIFS(GD_Guidance_Low,GD_Item_Name,$B1355,GD_Item_FiscalPeriod,AD$1354,GD_Update_Date,AD$1352)))</f>
        <v/>
      </c>
      <c r="AE1355" s="1553">
        <f>IF(ISBLANK(AE$1354),"N/A",IF(COUNTIFS(GD_Item_FiscalPeriod,AE$1354,GD_Item_Name,$B1355,GD_Update_Date,AE$1352)=0,"NR",SUMIFS(GD_Guidance_Low,GD_Item_Name,$B1355,GD_Item_FiscalPeriod,AE$1354,GD_Update_Date,AE$1352)))</f>
        <v/>
      </c>
      <c r="AF1355" s="1553">
        <f>IF(ISBLANK(AF$1354),"N/A",IF(COUNTIFS(GD_Item_FiscalPeriod,AF$1354,GD_Item_Name,$B1355,GD_Update_Date,AF$1352)=0,"NR",SUMIFS(GD_Guidance_Low,GD_Item_Name,$B1355,GD_Item_FiscalPeriod,AF$1354,GD_Update_Date,AF$1352)))</f>
        <v/>
      </c>
      <c r="AG1355" s="1553">
        <f>IF(ISBLANK(AG$1354),"N/A",IF(COUNTIFS(GD_Item_FiscalPeriod,AG$1354,GD_Item_Name,$B1355,GD_Update_Date,AG$1352)=0,"NR",SUMIFS(GD_Guidance_Low,GD_Item_Name,$B1355,GD_Item_FiscalPeriod,AG$1354,GD_Update_Date,AG$1352)))</f>
        <v/>
      </c>
      <c r="AH1355" s="1553">
        <f>IF(ISBLANK(AH$1354),"N/A",IF(COUNTIFS(GD_Item_FiscalPeriod,AH$1354,GD_Item_Name,$B1355,GD_Update_Date,AH$1352)=0,"NR",SUMIFS(GD_Guidance_Low,GD_Item_Name,$B1355,GD_Item_FiscalPeriod,AH$1354,GD_Update_Date,AH$1352)))</f>
        <v/>
      </c>
      <c r="AI1355" s="1553">
        <f>IF(ISBLANK(AI$1354),"N/A",IF(COUNTIFS(GD_Item_FiscalPeriod,AI$1354,GD_Item_Name,$B1355,GD_Update_Date,AI$1352)=0,"NR",SUMIFS(GD_Guidance_Low,GD_Item_Name,$B1355,GD_Item_FiscalPeriod,AI$1354,GD_Update_Date,AI$1352)))</f>
        <v/>
      </c>
      <c r="AJ1355" s="1553">
        <f>IF(ISBLANK(AJ$1354),"N/A",IF(COUNTIFS(GD_Item_FiscalPeriod,AJ$1354,GD_Item_Name,$B1355,GD_Update_Date,AJ$1352)=0,"NR",SUMIFS(GD_Guidance_Low,GD_Item_Name,$B1355,GD_Item_FiscalPeriod,AJ$1354,GD_Update_Date,AJ$1352)))</f>
        <v/>
      </c>
      <c r="AK1355" s="1553">
        <f>IF(ISBLANK(AK$1354),"N/A",IF(COUNTIFS(GD_Item_FiscalPeriod,AK$1354,GD_Item_Name,$B1355,GD_Update_Date,AK$1352)=0,"NR",SUMIFS(GD_Guidance_Low,GD_Item_Name,$B1355,GD_Item_FiscalPeriod,AK$1354,GD_Update_Date,AK$1352)))</f>
        <v/>
      </c>
      <c r="AL1355" s="1553">
        <f>IF(ISBLANK(AL$1354),"N/A",IF(COUNTIFS(GD_Item_FiscalPeriod,AL$1354,GD_Item_Name,$B1355,GD_Update_Date,AL$1352)=0,"NR",SUMIFS(GD_Guidance_Low,GD_Item_Name,$B1355,GD_Item_FiscalPeriod,AL$1354,GD_Update_Date,AL$1352)))</f>
        <v/>
      </c>
      <c r="AM1355" s="1553">
        <f>IF(ISBLANK(AM$1354),"N/A",IF(COUNTIFS(GD_Item_FiscalPeriod,AM$1354,GD_Item_Name,$B1355,GD_Update_Date,AM$1352)=0,"NR",SUMIFS(GD_Guidance_Low,GD_Item_Name,$B1355,GD_Item_FiscalPeriod,AM$1354,GD_Update_Date,AM$1352)))</f>
        <v/>
      </c>
      <c r="AN1355" s="1553">
        <f>IF(ISBLANK(AN$1354),"N/A",IF(COUNTIFS(GD_Item_FiscalPeriod,AN$1354,GD_Item_Name,$B1355,GD_Update_Date,AN$1352)=0,"NR",SUMIFS(GD_Guidance_Low,GD_Item_Name,$B1355,GD_Item_FiscalPeriod,AN$1354,GD_Update_Date,AN$1352)))</f>
        <v/>
      </c>
      <c r="AO1355" s="1553">
        <f>IF(ISBLANK(AO$1354),"N/A",IF(COUNTIFS(GD_Item_FiscalPeriod,AO$1354,GD_Item_Name,$B1355,GD_Update_Date,AO$1352)=0,"NR",SUMIFS(GD_Guidance_Low,GD_Item_Name,$B1355,GD_Item_FiscalPeriod,AO$1354,GD_Update_Date,AO$1352)))</f>
        <v/>
      </c>
      <c r="AP1355" s="1553">
        <f>IF(ISBLANK(AP$1354),"N/A",IF(COUNTIFS(GD_Item_FiscalPeriod,AP$1354,GD_Item_Name,$B1355,GD_Update_Date,AP$1352)=0,"NR",SUMIFS(GD_Guidance_Low,GD_Item_Name,$B1355,GD_Item_FiscalPeriod,AP$1354,GD_Update_Date,AP$1352)))</f>
        <v/>
      </c>
      <c r="AQ1355" s="1553">
        <f>IF(ISBLANK(AQ$1354),"N/A",IF(COUNTIFS(GD_Item_FiscalPeriod,AQ$1354,GD_Item_Name,$B1355,GD_Update_Date,AQ$1352)=0,"NR",SUMIFS(GD_Guidance_Low,GD_Item_Name,$B1355,GD_Item_FiscalPeriod,AQ$1354,GD_Update_Date,AQ$1352)))</f>
        <v/>
      </c>
      <c r="AR1355" s="1553">
        <f>IF(ISBLANK(AR$1354),"N/A",IF(COUNTIFS(GD_Item_FiscalPeriod,AR$1354,GD_Item_Name,$B1355,GD_Update_Date,AR$1352)=0,"NR",SUMIFS(GD_Guidance_Low,GD_Item_Name,$B1355,GD_Item_FiscalPeriod,AR$1354,GD_Update_Date,AR$1352)))</f>
        <v/>
      </c>
      <c r="AS1355" s="1553">
        <f>IF(ISBLANK(AS$1354),"N/A",IF(COUNTIFS(GD_Item_FiscalPeriod,AS$1354,GD_Item_Name,$B1355,GD_Update_Date,AS$1352)=0,"NR",SUMIFS(GD_Guidance_Low,GD_Item_Name,$B1355,GD_Item_FiscalPeriod,AS$1354,GD_Update_Date,AS$1352)))</f>
        <v/>
      </c>
      <c r="AT1355" s="1553">
        <f>IF(ISBLANK(AT$1354),"N/A",IF(COUNTIFS(GD_Item_FiscalPeriod,AT$1354,GD_Item_Name,$B1355,GD_Update_Date,AT$1352)=0,"NR",SUMIFS(GD_Guidance_Low,GD_Item_Name,$B1355,GD_Item_FiscalPeriod,AT$1354,GD_Update_Date,AT$1352)))</f>
        <v/>
      </c>
      <c r="AU1355" s="1553">
        <f>IF(ISBLANK(AU$1354),"N/A",IF(COUNTIFS(GD_Item_FiscalPeriod,AU$1354,GD_Item_Name,$B1355,GD_Update_Date,AU$1352)=0,"NR",SUMIFS(GD_Guidance_Low,GD_Item_Name,$B1355,GD_Item_FiscalPeriod,AU$1354,GD_Update_Date,AU$1352)))</f>
        <v/>
      </c>
      <c r="AV1355" s="1553">
        <f>IF(ISBLANK(AV$1354),"N/A",IF(COUNTIFS(GD_Item_FiscalPeriod,AV$1354,GD_Item_Name,$B1355,GD_Update_Date,AV$1352)=0,"NR",SUMIFS(GD_Guidance_Low,GD_Item_Name,$B1355,GD_Item_FiscalPeriod,AV$1354,GD_Update_Date,AV$1352)))</f>
        <v/>
      </c>
      <c r="AW1355" s="1553">
        <f>IF(ISBLANK(AW$1354),"N/A",IF(COUNTIFS(GD_Item_FiscalPeriod,AW$1354,GD_Item_Name,$B1355,GD_Update_Date,AW$1352)=0,"NR",SUMIFS(GD_Guidance_Low,GD_Item_Name,$B1355,GD_Item_FiscalPeriod,AW$1354,GD_Update_Date,AW$1352)))</f>
        <v/>
      </c>
      <c r="AX1355" s="1553">
        <f>IF(ISBLANK(AX$1354),"N/A",IF(COUNTIFS(GD_Item_FiscalPeriod,AX$1354,GD_Item_Name,$B1355,GD_Update_Date,AX$1352)=0,"NR",SUMIFS(GD_Guidance_Low,GD_Item_Name,$B1355,GD_Item_FiscalPeriod,AX$1354,GD_Update_Date,AX$1352)))</f>
        <v/>
      </c>
      <c r="AY1355" s="1553">
        <f>IF(ISBLANK(AY$1354),"N/A",IF(COUNTIFS(GD_Item_FiscalPeriod,AY$1354,GD_Item_Name,$B1355,GD_Update_Date,AY$1352)=0,"NR",SUMIFS(GD_Guidance_Low,GD_Item_Name,$B1355,GD_Item_FiscalPeriod,AY$1354,GD_Update_Date,AY$1352)))</f>
        <v/>
      </c>
      <c r="AZ1355" s="1553">
        <f>IF(ISBLANK(AZ$1354),"N/A",IF(COUNTIFS(GD_Item_FiscalPeriod,AZ$1354,GD_Item_Name,$B1355,GD_Update_Date,AZ$1352)=0,"NR",SUMIFS(GD_Guidance_Low,GD_Item_Name,$B1355,GD_Item_FiscalPeriod,AZ$1354,GD_Update_Date,AZ$1352)))</f>
        <v/>
      </c>
      <c r="BA1355" s="1553">
        <f>IF(ISBLANK(BA$1354),"N/A",IF(COUNTIFS(GD_Item_FiscalPeriod,BA$1354,GD_Item_Name,$B1355,GD_Update_Date,BA$1352)=0,"NR",SUMIFS(GD_Guidance_Low,GD_Item_Name,$B1355,GD_Item_FiscalPeriod,BA$1354,GD_Update_Date,BA$1352)))</f>
        <v/>
      </c>
      <c r="BB1355" s="1553">
        <f>IF(ISBLANK(BB$1354),"N/A",IF(COUNTIFS(GD_Item_FiscalPeriod,BB$1354,GD_Item_Name,$B1355,GD_Update_Date,BB$1352)=0,"NR",SUMIFS(GD_Guidance_Low,GD_Item_Name,$B1355,GD_Item_FiscalPeriod,BB$1354,GD_Update_Date,BB$1352)))</f>
        <v/>
      </c>
      <c r="BC1355" s="1553">
        <f>IF(ISBLANK(BC$1354),"N/A",IF(COUNTIFS(GD_Item_FiscalPeriod,BC$1354,GD_Item_Name,$B1355,GD_Update_Date,BC$1352)=0,"NR",SUMIFS(GD_Guidance_Low,GD_Item_Name,$B1355,GD_Item_FiscalPeriod,BC$1354,GD_Update_Date,BC$1352)))</f>
        <v/>
      </c>
      <c r="BD1355" s="1553">
        <f>IF(ISBLANK(BD$1354),"N/A",IF(COUNTIFS(GD_Item_FiscalPeriod,BD$1354,GD_Item_Name,$B1355,GD_Update_Date,BD$1352)=0,"NR",SUMIFS(GD_Guidance_Low,GD_Item_Name,$B1355,GD_Item_FiscalPeriod,BD$1354,GD_Update_Date,BD$1352)))</f>
        <v/>
      </c>
      <c r="BE1355" s="1553">
        <f>IF(ISBLANK(BE$1354),"N/A",IF(COUNTIFS(GD_Item_FiscalPeriod,BE$1354,GD_Item_Name,$B1355,GD_Update_Date,BE$1352)=0,"NR",SUMIFS(GD_Guidance_Low,GD_Item_Name,$B1355,GD_Item_FiscalPeriod,BE$1354,GD_Update_Date,BE$1352)))</f>
        <v/>
      </c>
      <c r="BF1355" s="1553">
        <f>IF(ISBLANK(BF$1354),"N/A",IF(COUNTIFS(GD_Item_FiscalPeriod,BF$1354,GD_Item_Name,$B1355,GD_Update_Date,BF$1352)=0,"NR",SUMIFS(GD_Guidance_Low,GD_Item_Name,$B1355,GD_Item_FiscalPeriod,BF$1354,GD_Update_Date,BF$1352)))</f>
        <v/>
      </c>
      <c r="BG1355" s="1553">
        <f>IF(ISBLANK(BG$1354),"N/A",IF(COUNTIFS(GD_Item_FiscalPeriod,BG$1354,GD_Item_Name,$B1355,GD_Update_Date,BG$1352)=0,"NR",SUMIFS(GD_Guidance_Low,GD_Item_Name,$B1355,GD_Item_FiscalPeriod,BG$1354,GD_Update_Date,BG$1352)))</f>
        <v/>
      </c>
      <c r="BH1355" s="1553">
        <f>IF(ISBLANK(BH$1354),"N/A",IF(COUNTIFS(GD_Item_FiscalPeriod,BH$1354,GD_Item_Name,$B1355,GD_Update_Date,BH$1352)=0,"NR",SUMIFS(GD_Guidance_Low,GD_Item_Name,$B1355,GD_Item_FiscalPeriod,BH$1354,GD_Update_Date,BH$1352)))</f>
        <v/>
      </c>
      <c r="BI1355" s="1553">
        <f>IF(ISBLANK(BI$1354),"N/A",IF(COUNTIFS(GD_Item_FiscalPeriod,BI$1354,GD_Item_Name,$B1355,GD_Update_Date,BI$1352)=0,"NR",SUMIFS(GD_Guidance_Low,GD_Item_Name,$B1355,GD_Item_FiscalPeriod,BI$1354,GD_Update_Date,BI$1352)))</f>
        <v/>
      </c>
      <c r="BJ1355" s="1553">
        <f>IF(ISBLANK(BJ$1354),"N/A",IF(COUNTIFS(GD_Item_FiscalPeriod,BJ$1354,GD_Item_Name,$B1355,GD_Update_Date,BJ$1352)=0,"NR",SUMIFS(GD_Guidance_Low,GD_Item_Name,$B1355,GD_Item_FiscalPeriod,BJ$1354,GD_Update_Date,BJ$1352)))</f>
        <v/>
      </c>
      <c r="BK1355" s="1553">
        <f>IF(ISBLANK(BK$1354),"N/A",IF(COUNTIFS(GD_Item_FiscalPeriod,BK$1354,GD_Item_Name,$B1355,GD_Update_Date,BK$1352)=0,"NR",SUMIFS(GD_Guidance_Low,GD_Item_Name,$B1355,GD_Item_FiscalPeriod,BK$1354,GD_Update_Date,BK$1352)))</f>
        <v/>
      </c>
      <c r="BL1355" s="1553">
        <f>IF(ISBLANK(BL$1354),"N/A",IF(COUNTIFS(GD_Item_FiscalPeriod,BL$1354,GD_Item_Name,$B1355,GD_Update_Date,BL$1352)=0,"NR",SUMIFS(GD_Guidance_Low,GD_Item_Name,$B1355,GD_Item_FiscalPeriod,BL$1354,GD_Update_Date,BL$1352)))</f>
        <v/>
      </c>
      <c r="BM1355" s="1553">
        <f>IF(ISBLANK(BM$1354),"N/A",IF(COUNTIFS(GD_Item_FiscalPeriod,BM$1354,GD_Item_Name,$B1355,GD_Update_Date,BM$1352)=0,"NR",SUMIFS(GD_Guidance_Low,GD_Item_Name,$B1355,GD_Item_FiscalPeriod,BM$1354,GD_Update_Date,BM$1352)))</f>
        <v/>
      </c>
      <c r="BN1355" s="1553">
        <f>IF(ISBLANK(BN$1354),"N/A",IF(COUNTIFS(GD_Item_FiscalPeriod,BN$1354,GD_Item_Name,$B1355,GD_Update_Date,BN$1352)=0,"NR",SUMIFS(GD_Guidance_Low,GD_Item_Name,$B1355,GD_Item_FiscalPeriod,BN$1354,GD_Update_Date,BN$1352)))</f>
        <v/>
      </c>
      <c r="BO1355" s="1553">
        <f>IF(ISBLANK(BO$1354),"N/A",IF(COUNTIFS(GD_Item_FiscalPeriod,BO$1354,GD_Item_Name,$B1355,GD_Update_Date,BO$1352)=0,"NR",SUMIFS(GD_Guidance_Low,GD_Item_Name,$B1355,GD_Item_FiscalPeriod,BO$1354,GD_Update_Date,BO$1352)))</f>
        <v/>
      </c>
      <c r="BP1355" s="1553">
        <f>IF(ISBLANK(BP$1354),"N/A",IF(COUNTIFS(GD_Item_FiscalPeriod,BP$1354,GD_Item_Name,$B1355,GD_Update_Date,BP$1352)=0,"NR",SUMIFS(GD_Guidance_Low,GD_Item_Name,$B1355,GD_Item_FiscalPeriod,BP$1354,GD_Update_Date,BP$1352)))</f>
        <v/>
      </c>
      <c r="BQ1355" s="1556">
        <f>IF(ISBLANK(BQ$1354),"N/A",IF(COUNTIFS(GD_Item_FiscalPeriod,BQ$1354,GD_Item_Name,$B1355,GD_Update_Date,BQ$1352)=0,"NR",SUMIFS(GD_Guidance_Low,GD_Item_Name,$B1355,GD_Item_FiscalPeriod,BQ$1354,GD_Update_Date,BQ$1352)))</f>
        <v/>
      </c>
      <c r="BR1355" s="1553">
        <f>IF(ISBLANK(BR$1354),"N/A",IF(COUNTIFS(GD_Item_FiscalPeriod,BR$1354,GD_Item_Name,$B1355,GD_Update_Date,BR$1352)=0,"NR",SUMIFS(GD_Guidance_Low,GD_Item_Name,$B1355,GD_Item_FiscalPeriod,BR$1354,GD_Update_Date,BR$1352)))</f>
        <v/>
      </c>
      <c r="BS1355" s="1553">
        <f>IF(ISBLANK(BS$1354),"N/A",IF(COUNTIFS(GD_Item_FiscalPeriod,BS$1354,GD_Item_Name,$B1355,GD_Update_Date,BS$1352)=0,"NR",SUMIFS(GD_Guidance_Low,GD_Item_Name,$B1355,GD_Item_FiscalPeriod,BS$1354,GD_Update_Date,BS$1352)))</f>
        <v/>
      </c>
      <c r="BT1355" s="1553">
        <f>IF(ISBLANK(BT$1354),"N/A",IF(COUNTIFS(GD_Item_FiscalPeriod,BT$1354,GD_Item_Name,$B1355,GD_Update_Date,BT$1352)=0,"NR",SUMIFS(GD_Guidance_Low,GD_Item_Name,$B1355,GD_Item_FiscalPeriod,BT$1354,GD_Update_Date,BT$1352)))</f>
        <v/>
      </c>
      <c r="BU1355" s="1553">
        <f>IF(ISBLANK(BU$1354),"N/A",IF(COUNTIFS(GD_Item_FiscalPeriod,BU$1354,GD_Item_Name,$B1355,GD_Update_Date,BU$1352)=0,"NR",SUMIFS(GD_Guidance_Low,GD_Item_Name,$B1355,GD_Item_FiscalPeriod,BU$1354,GD_Update_Date,BU$1352)))</f>
        <v/>
      </c>
      <c r="BV1355" s="1553">
        <f>IF(ISBLANK(BV$1354),"N/A",IF(COUNTIFS(GD_Item_FiscalPeriod,BV$1354,GD_Item_Name,$B1355,GD_Update_Date,BV$1352)=0,"NR",SUMIFS(GD_Guidance_Low,GD_Item_Name,$B1355,GD_Item_FiscalPeriod,BV$1354,GD_Update_Date,BV$1352)))</f>
        <v/>
      </c>
      <c r="BW1355" s="1553">
        <f>IF(ISBLANK(BW$1354),"N/A",IF(COUNTIFS(GD_Item_FiscalPeriod,BW$1354,GD_Item_Name,$B1355,GD_Update_Date,BW$1352)=0,"NR",SUMIFS(GD_Guidance_Low,GD_Item_Name,$B1355,GD_Item_FiscalPeriod,BW$1354,GD_Update_Date,BW$1352)))</f>
        <v/>
      </c>
      <c r="BX1355" s="1553">
        <f>IF(ISBLANK(BX$1354),"N/A",IF(COUNTIFS(GD_Item_FiscalPeriod,BX$1354,GD_Item_Name,$B1355,GD_Update_Date,BX$1352)=0,"NR",SUMIFS(GD_Guidance_Low,GD_Item_Name,$B1355,GD_Item_FiscalPeriod,BX$1354,GD_Update_Date,BX$1352)))</f>
        <v/>
      </c>
      <c r="BY1355" s="1553">
        <f>IF(ISBLANK(BY$1354),"N/A",IF(COUNTIFS(GD_Item_FiscalPeriod,BY$1354,GD_Item_Name,$B1355,GD_Update_Date,BY$1352)=0,"NR",SUMIFS(GD_Guidance_Low,GD_Item_Name,$B1355,GD_Item_FiscalPeriod,BY$1354,GD_Update_Date,BY$1352)))</f>
        <v/>
      </c>
      <c r="BZ1355" s="1553">
        <f>IF(ISBLANK(BZ$1354),"N/A",IF(COUNTIFS(GD_Item_FiscalPeriod,BZ$1354,GD_Item_Name,$B1355,GD_Update_Date,BZ$1352)=0,"NR",SUMIFS(GD_Guidance_Low,GD_Item_Name,$B1355,GD_Item_FiscalPeriod,BZ$1354,GD_Update_Date,BZ$1352)))</f>
        <v/>
      </c>
      <c r="CA1355" s="2001">
        <f>IF(ISBLANK(CA$1354),"N/A",IF(COUNTIFS(GD_Item_FiscalPeriod,CA$1354,GD_Item_Name,$B1355,GD_Update_Date,CA$1352)=0,"NR",SUMIFS(GD_Guidance_Low,GD_Item_Name,$B1355,GD_Item_FiscalPeriod,CA$1354,GD_Update_Date,CA$1352)))</f>
        <v/>
      </c>
      <c r="CB1355" s="1472" t="n"/>
    </row>
    <row r="1356" ht="14.4" customFormat="1" customHeight="1" s="1549">
      <c r="A1356" s="1999" t="inlineStr">
        <is>
          <t>High - Net Revenue, mm</t>
        </is>
      </c>
      <c r="B1356" s="1493" t="inlineStr">
        <is>
          <t>MO_RIS_REV</t>
        </is>
      </c>
      <c r="C1356" s="2000" t="n"/>
      <c r="D1356" s="2000" t="n"/>
      <c r="E1356" s="1553" t="n"/>
      <c r="F1356" s="1553" t="n"/>
      <c r="G1356" s="1553" t="n"/>
      <c r="H1356" s="1553" t="n"/>
      <c r="I1356" s="1553" t="n"/>
      <c r="J1356" s="1553" t="n"/>
      <c r="K1356" s="1553" t="n"/>
      <c r="L1356" s="1553" t="n"/>
      <c r="M1356" s="1553" t="n"/>
      <c r="N1356" s="1553" t="n"/>
      <c r="O1356" s="1553" t="n"/>
      <c r="P1356" s="1553" t="n"/>
      <c r="Q1356" s="1553" t="n"/>
      <c r="R1356" s="1553" t="n"/>
      <c r="S1356" s="1553" t="n"/>
      <c r="T1356" s="1553" t="n"/>
      <c r="U1356" s="1553" t="n"/>
      <c r="V1356" s="1553" t="n"/>
      <c r="W1356" s="1553" t="n"/>
      <c r="X1356" s="1553" t="n"/>
      <c r="Y1356" s="1553" t="n"/>
      <c r="Z1356" s="1553" t="n"/>
      <c r="AA1356" s="1553" t="n"/>
      <c r="AB1356" s="1553" t="n"/>
      <c r="AC1356" s="1553">
        <f>IF(ISBLANK(AC$1354),"N/A",IF(COUNTIFS(GD_Item_FiscalPeriod,AC$1354,GD_Item_Name,$B1356,GD_Update_Date,AC$1352)=0,"NR",SUMIFS(GD_Guidance_High,GD_Item_Name,$B1356,GD_Item_FiscalPeriod,AC$1354,GD_Update_Date,AC$1352)))</f>
        <v/>
      </c>
      <c r="AD1356" s="1553">
        <f>IF(ISBLANK(AD$1354),"N/A",IF(COUNTIFS(GD_Item_FiscalPeriod,AD$1354,GD_Item_Name,$B1356,GD_Update_Date,AD$1352)=0,"NR",SUMIFS(GD_Guidance_High,GD_Item_Name,$B1356,GD_Item_FiscalPeriod,AD$1354,GD_Update_Date,AD$1352)))</f>
        <v/>
      </c>
      <c r="AE1356" s="1553">
        <f>IF(ISBLANK(AE$1354),"N/A",IF(COUNTIFS(GD_Item_FiscalPeriod,AE$1354,GD_Item_Name,$B1356,GD_Update_Date,AE$1352)=0,"NR",SUMIFS(GD_Guidance_High,GD_Item_Name,$B1356,GD_Item_FiscalPeriod,AE$1354,GD_Update_Date,AE$1352)))</f>
        <v/>
      </c>
      <c r="AF1356" s="1553">
        <f>IF(ISBLANK(AF$1354),"N/A",IF(COUNTIFS(GD_Item_FiscalPeriod,AF$1354,GD_Item_Name,$B1356,GD_Update_Date,AF$1352)=0,"NR",SUMIFS(GD_Guidance_High,GD_Item_Name,$B1356,GD_Item_FiscalPeriod,AF$1354,GD_Update_Date,AF$1352)))</f>
        <v/>
      </c>
      <c r="AG1356" s="1553">
        <f>IF(ISBLANK(AG$1354),"N/A",IF(COUNTIFS(GD_Item_FiscalPeriod,AG$1354,GD_Item_Name,$B1356,GD_Update_Date,AG$1352)=0,"NR",SUMIFS(GD_Guidance_High,GD_Item_Name,$B1356,GD_Item_FiscalPeriod,AG$1354,GD_Update_Date,AG$1352)))</f>
        <v/>
      </c>
      <c r="AH1356" s="1553">
        <f>IF(ISBLANK(AH$1354),"N/A",IF(COUNTIFS(GD_Item_FiscalPeriod,AH$1354,GD_Item_Name,$B1356,GD_Update_Date,AH$1352)=0,"NR",SUMIFS(GD_Guidance_High,GD_Item_Name,$B1356,GD_Item_FiscalPeriod,AH$1354,GD_Update_Date,AH$1352)))</f>
        <v/>
      </c>
      <c r="AI1356" s="1553">
        <f>IF(ISBLANK(AI$1354),"N/A",IF(COUNTIFS(GD_Item_FiscalPeriod,AI$1354,GD_Item_Name,$B1356,GD_Update_Date,AI$1352)=0,"NR",SUMIFS(GD_Guidance_High,GD_Item_Name,$B1356,GD_Item_FiscalPeriod,AI$1354,GD_Update_Date,AI$1352)))</f>
        <v/>
      </c>
      <c r="AJ1356" s="1553">
        <f>IF(ISBLANK(AJ$1354),"N/A",IF(COUNTIFS(GD_Item_FiscalPeriod,AJ$1354,GD_Item_Name,$B1356,GD_Update_Date,AJ$1352)=0,"NR",SUMIFS(GD_Guidance_High,GD_Item_Name,$B1356,GD_Item_FiscalPeriod,AJ$1354,GD_Update_Date,AJ$1352)))</f>
        <v/>
      </c>
      <c r="AK1356" s="1553">
        <f>IF(ISBLANK(AK$1354),"N/A",IF(COUNTIFS(GD_Item_FiscalPeriod,AK$1354,GD_Item_Name,$B1356,GD_Update_Date,AK$1352)=0,"NR",SUMIFS(GD_Guidance_High,GD_Item_Name,$B1356,GD_Item_FiscalPeriod,AK$1354,GD_Update_Date,AK$1352)))</f>
        <v/>
      </c>
      <c r="AL1356" s="1553">
        <f>IF(ISBLANK(AL$1354),"N/A",IF(COUNTIFS(GD_Item_FiscalPeriod,AL$1354,GD_Item_Name,$B1356,GD_Update_Date,AL$1352)=0,"NR",SUMIFS(GD_Guidance_High,GD_Item_Name,$B1356,GD_Item_FiscalPeriod,AL$1354,GD_Update_Date,AL$1352)))</f>
        <v/>
      </c>
      <c r="AM1356" s="1553">
        <f>IF(ISBLANK(AM$1354),"N/A",IF(COUNTIFS(GD_Item_FiscalPeriod,AM$1354,GD_Item_Name,$B1356,GD_Update_Date,AM$1352)=0,"NR",SUMIFS(GD_Guidance_High,GD_Item_Name,$B1356,GD_Item_FiscalPeriod,AM$1354,GD_Update_Date,AM$1352)))</f>
        <v/>
      </c>
      <c r="AN1356" s="1553">
        <f>IF(ISBLANK(AN$1354),"N/A",IF(COUNTIFS(GD_Item_FiscalPeriod,AN$1354,GD_Item_Name,$B1356,GD_Update_Date,AN$1352)=0,"NR",SUMIFS(GD_Guidance_High,GD_Item_Name,$B1356,GD_Item_FiscalPeriod,AN$1354,GD_Update_Date,AN$1352)))</f>
        <v/>
      </c>
      <c r="AO1356" s="1553">
        <f>IF(ISBLANK(AO$1354),"N/A",IF(COUNTIFS(GD_Item_FiscalPeriod,AO$1354,GD_Item_Name,$B1356,GD_Update_Date,AO$1352)=0,"NR",SUMIFS(GD_Guidance_High,GD_Item_Name,$B1356,GD_Item_FiscalPeriod,AO$1354,GD_Update_Date,AO$1352)))</f>
        <v/>
      </c>
      <c r="AP1356" s="1553">
        <f>IF(ISBLANK(AP$1354),"N/A",IF(COUNTIFS(GD_Item_FiscalPeriod,AP$1354,GD_Item_Name,$B1356,GD_Update_Date,AP$1352)=0,"NR",SUMIFS(GD_Guidance_High,GD_Item_Name,$B1356,GD_Item_FiscalPeriod,AP$1354,GD_Update_Date,AP$1352)))</f>
        <v/>
      </c>
      <c r="AQ1356" s="1553">
        <f>IF(ISBLANK(AQ$1354),"N/A",IF(COUNTIFS(GD_Item_FiscalPeriod,AQ$1354,GD_Item_Name,$B1356,GD_Update_Date,AQ$1352)=0,"NR",SUMIFS(GD_Guidance_High,GD_Item_Name,$B1356,GD_Item_FiscalPeriod,AQ$1354,GD_Update_Date,AQ$1352)))</f>
        <v/>
      </c>
      <c r="AR1356" s="1553">
        <f>IF(ISBLANK(AR$1354),"N/A",IF(COUNTIFS(GD_Item_FiscalPeriod,AR$1354,GD_Item_Name,$B1356,GD_Update_Date,AR$1352)=0,"NR",SUMIFS(GD_Guidance_High,GD_Item_Name,$B1356,GD_Item_FiscalPeriod,AR$1354,GD_Update_Date,AR$1352)))</f>
        <v/>
      </c>
      <c r="AS1356" s="1553">
        <f>IF(ISBLANK(AS$1354),"N/A",IF(COUNTIFS(GD_Item_FiscalPeriod,AS$1354,GD_Item_Name,$B1356,GD_Update_Date,AS$1352)=0,"NR",SUMIFS(GD_Guidance_High,GD_Item_Name,$B1356,GD_Item_FiscalPeriod,AS$1354,GD_Update_Date,AS$1352)))</f>
        <v/>
      </c>
      <c r="AT1356" s="1553">
        <f>IF(ISBLANK(AT$1354),"N/A",IF(COUNTIFS(GD_Item_FiscalPeriod,AT$1354,GD_Item_Name,$B1356,GD_Update_Date,AT$1352)=0,"NR",SUMIFS(GD_Guidance_High,GD_Item_Name,$B1356,GD_Item_FiscalPeriod,AT$1354,GD_Update_Date,AT$1352)))</f>
        <v/>
      </c>
      <c r="AU1356" s="1553">
        <f>IF(ISBLANK(AU$1354),"N/A",IF(COUNTIFS(GD_Item_FiscalPeriod,AU$1354,GD_Item_Name,$B1356,GD_Update_Date,AU$1352)=0,"NR",SUMIFS(GD_Guidance_High,GD_Item_Name,$B1356,GD_Item_FiscalPeriod,AU$1354,GD_Update_Date,AU$1352)))</f>
        <v/>
      </c>
      <c r="AV1356" s="1553">
        <f>IF(ISBLANK(AV$1354),"N/A",IF(COUNTIFS(GD_Item_FiscalPeriod,AV$1354,GD_Item_Name,$B1356,GD_Update_Date,AV$1352)=0,"NR",SUMIFS(GD_Guidance_High,GD_Item_Name,$B1356,GD_Item_FiscalPeriod,AV$1354,GD_Update_Date,AV$1352)))</f>
        <v/>
      </c>
      <c r="AW1356" s="1553">
        <f>IF(ISBLANK(AW$1354),"N/A",IF(COUNTIFS(GD_Item_FiscalPeriod,AW$1354,GD_Item_Name,$B1356,GD_Update_Date,AW$1352)=0,"NR",SUMIFS(GD_Guidance_High,GD_Item_Name,$B1356,GD_Item_FiscalPeriod,AW$1354,GD_Update_Date,AW$1352)))</f>
        <v/>
      </c>
      <c r="AX1356" s="1553">
        <f>IF(ISBLANK(AX$1354),"N/A",IF(COUNTIFS(GD_Item_FiscalPeriod,AX$1354,GD_Item_Name,$B1356,GD_Update_Date,AX$1352)=0,"NR",SUMIFS(GD_Guidance_High,GD_Item_Name,$B1356,GD_Item_FiscalPeriod,AX$1354,GD_Update_Date,AX$1352)))</f>
        <v/>
      </c>
      <c r="AY1356" s="1553">
        <f>IF(ISBLANK(AY$1354),"N/A",IF(COUNTIFS(GD_Item_FiscalPeriod,AY$1354,GD_Item_Name,$B1356,GD_Update_Date,AY$1352)=0,"NR",SUMIFS(GD_Guidance_High,GD_Item_Name,$B1356,GD_Item_FiscalPeriod,AY$1354,GD_Update_Date,AY$1352)))</f>
        <v/>
      </c>
      <c r="AZ1356" s="1553">
        <f>IF(ISBLANK(AZ$1354),"N/A",IF(COUNTIFS(GD_Item_FiscalPeriod,AZ$1354,GD_Item_Name,$B1356,GD_Update_Date,AZ$1352)=0,"NR",SUMIFS(GD_Guidance_High,GD_Item_Name,$B1356,GD_Item_FiscalPeriod,AZ$1354,GD_Update_Date,AZ$1352)))</f>
        <v/>
      </c>
      <c r="BA1356" s="1553">
        <f>IF(ISBLANK(BA$1354),"N/A",IF(COUNTIFS(GD_Item_FiscalPeriod,BA$1354,GD_Item_Name,$B1356,GD_Update_Date,BA$1352)=0,"NR",SUMIFS(GD_Guidance_High,GD_Item_Name,$B1356,GD_Item_FiscalPeriod,BA$1354,GD_Update_Date,BA$1352)))</f>
        <v/>
      </c>
      <c r="BB1356" s="1553">
        <f>IF(ISBLANK(BB$1354),"N/A",IF(COUNTIFS(GD_Item_FiscalPeriod,BB$1354,GD_Item_Name,$B1356,GD_Update_Date,BB$1352)=0,"NR",SUMIFS(GD_Guidance_High,GD_Item_Name,$B1356,GD_Item_FiscalPeriod,BB$1354,GD_Update_Date,BB$1352)))</f>
        <v/>
      </c>
      <c r="BC1356" s="1553">
        <f>IF(ISBLANK(BC$1354),"N/A",IF(COUNTIFS(GD_Item_FiscalPeriod,BC$1354,GD_Item_Name,$B1356,GD_Update_Date,BC$1352)=0,"NR",SUMIFS(GD_Guidance_High,GD_Item_Name,$B1356,GD_Item_FiscalPeriod,BC$1354,GD_Update_Date,BC$1352)))</f>
        <v/>
      </c>
      <c r="BD1356" s="1553">
        <f>IF(ISBLANK(BD$1354),"N/A",IF(COUNTIFS(GD_Item_FiscalPeriod,BD$1354,GD_Item_Name,$B1356,GD_Update_Date,BD$1352)=0,"NR",SUMIFS(GD_Guidance_High,GD_Item_Name,$B1356,GD_Item_FiscalPeriod,BD$1354,GD_Update_Date,BD$1352)))</f>
        <v/>
      </c>
      <c r="BE1356" s="1553">
        <f>IF(ISBLANK(BE$1354),"N/A",IF(COUNTIFS(GD_Item_FiscalPeriod,BE$1354,GD_Item_Name,$B1356,GD_Update_Date,BE$1352)=0,"NR",SUMIFS(GD_Guidance_High,GD_Item_Name,$B1356,GD_Item_FiscalPeriod,BE$1354,GD_Update_Date,BE$1352)))</f>
        <v/>
      </c>
      <c r="BF1356" s="1553">
        <f>IF(ISBLANK(BF$1354),"N/A",IF(COUNTIFS(GD_Item_FiscalPeriod,BF$1354,GD_Item_Name,$B1356,GD_Update_Date,BF$1352)=0,"NR",SUMIFS(GD_Guidance_High,GD_Item_Name,$B1356,GD_Item_FiscalPeriod,BF$1354,GD_Update_Date,BF$1352)))</f>
        <v/>
      </c>
      <c r="BG1356" s="1553">
        <f>IF(ISBLANK(BG$1354),"N/A",IF(COUNTIFS(GD_Item_FiscalPeriod,BG$1354,GD_Item_Name,$B1356,GD_Update_Date,BG$1352)=0,"NR",SUMIFS(GD_Guidance_High,GD_Item_Name,$B1356,GD_Item_FiscalPeriod,BG$1354,GD_Update_Date,BG$1352)))</f>
        <v/>
      </c>
      <c r="BH1356" s="1553">
        <f>IF(ISBLANK(BH$1354),"N/A",IF(COUNTIFS(GD_Item_FiscalPeriod,BH$1354,GD_Item_Name,$B1356,GD_Update_Date,BH$1352)=0,"NR",SUMIFS(GD_Guidance_High,GD_Item_Name,$B1356,GD_Item_FiscalPeriod,BH$1354,GD_Update_Date,BH$1352)))</f>
        <v/>
      </c>
      <c r="BI1356" s="1553">
        <f>IF(ISBLANK(BI$1354),"N/A",IF(COUNTIFS(GD_Item_FiscalPeriod,BI$1354,GD_Item_Name,$B1356,GD_Update_Date,BI$1352)=0,"NR",SUMIFS(GD_Guidance_High,GD_Item_Name,$B1356,GD_Item_FiscalPeriod,BI$1354,GD_Update_Date,BI$1352)))</f>
        <v/>
      </c>
      <c r="BJ1356" s="1553">
        <f>IF(ISBLANK(BJ$1354),"N/A",IF(COUNTIFS(GD_Item_FiscalPeriod,BJ$1354,GD_Item_Name,$B1356,GD_Update_Date,BJ$1352)=0,"NR",SUMIFS(GD_Guidance_High,GD_Item_Name,$B1356,GD_Item_FiscalPeriod,BJ$1354,GD_Update_Date,BJ$1352)))</f>
        <v/>
      </c>
      <c r="BK1356" s="1553">
        <f>IF(ISBLANK(BK$1354),"N/A",IF(COUNTIFS(GD_Item_FiscalPeriod,BK$1354,GD_Item_Name,$B1356,GD_Update_Date,BK$1352)=0,"NR",SUMIFS(GD_Guidance_High,GD_Item_Name,$B1356,GD_Item_FiscalPeriod,BK$1354,GD_Update_Date,BK$1352)))</f>
        <v/>
      </c>
      <c r="BL1356" s="1553">
        <f>IF(ISBLANK(BL$1354),"N/A",IF(COUNTIFS(GD_Item_FiscalPeriod,BL$1354,GD_Item_Name,$B1356,GD_Update_Date,BL$1352)=0,"NR",SUMIFS(GD_Guidance_High,GD_Item_Name,$B1356,GD_Item_FiscalPeriod,BL$1354,GD_Update_Date,BL$1352)))</f>
        <v/>
      </c>
      <c r="BM1356" s="1553">
        <f>IF(ISBLANK(BM$1354),"N/A",IF(COUNTIFS(GD_Item_FiscalPeriod,BM$1354,GD_Item_Name,$B1356,GD_Update_Date,BM$1352)=0,"NR",SUMIFS(GD_Guidance_High,GD_Item_Name,$B1356,GD_Item_FiscalPeriod,BM$1354,GD_Update_Date,BM$1352)))</f>
        <v/>
      </c>
      <c r="BN1356" s="1553">
        <f>IF(ISBLANK(BN$1354),"N/A",IF(COUNTIFS(GD_Item_FiscalPeriod,BN$1354,GD_Item_Name,$B1356,GD_Update_Date,BN$1352)=0,"NR",SUMIFS(GD_Guidance_High,GD_Item_Name,$B1356,GD_Item_FiscalPeriod,BN$1354,GD_Update_Date,BN$1352)))</f>
        <v/>
      </c>
      <c r="BO1356" s="1553">
        <f>IF(ISBLANK(BO$1354),"N/A",IF(COUNTIFS(GD_Item_FiscalPeriod,BO$1354,GD_Item_Name,$B1356,GD_Update_Date,BO$1352)=0,"NR",SUMIFS(GD_Guidance_High,GD_Item_Name,$B1356,GD_Item_FiscalPeriod,BO$1354,GD_Update_Date,BO$1352)))</f>
        <v/>
      </c>
      <c r="BP1356" s="1553">
        <f>IF(ISBLANK(BP$1354),"N/A",IF(COUNTIFS(GD_Item_FiscalPeriod,BP$1354,GD_Item_Name,$B1356,GD_Update_Date,BP$1352)=0,"NR",SUMIFS(GD_Guidance_High,GD_Item_Name,$B1356,GD_Item_FiscalPeriod,BP$1354,GD_Update_Date,BP$1352)))</f>
        <v/>
      </c>
      <c r="BQ1356" s="1556">
        <f>IF(ISBLANK(BQ$1354),"N/A",IF(COUNTIFS(GD_Item_FiscalPeriod,BQ$1354,GD_Item_Name,$B1356,GD_Update_Date,BQ$1352)=0,"NR",SUMIFS(GD_Guidance_High,GD_Item_Name,$B1356,GD_Item_FiscalPeriod,BQ$1354,GD_Update_Date,BQ$1352)))</f>
        <v/>
      </c>
      <c r="BR1356" s="1553">
        <f>IF(ISBLANK(BR$1354),"N/A",IF(COUNTIFS(GD_Item_FiscalPeriod,BR$1354,GD_Item_Name,$B1356,GD_Update_Date,BR$1352)=0,"NR",SUMIFS(GD_Guidance_High,GD_Item_Name,$B1356,GD_Item_FiscalPeriod,BR$1354,GD_Update_Date,BR$1352)))</f>
        <v/>
      </c>
      <c r="BS1356" s="1553">
        <f>IF(ISBLANK(BS$1354),"N/A",IF(COUNTIFS(GD_Item_FiscalPeriod,BS$1354,GD_Item_Name,$B1356,GD_Update_Date,BS$1352)=0,"NR",SUMIFS(GD_Guidance_High,GD_Item_Name,$B1356,GD_Item_FiscalPeriod,BS$1354,GD_Update_Date,BS$1352)))</f>
        <v/>
      </c>
      <c r="BT1356" s="1553">
        <f>IF(ISBLANK(BT$1354),"N/A",IF(COUNTIFS(GD_Item_FiscalPeriod,BT$1354,GD_Item_Name,$B1356,GD_Update_Date,BT$1352)=0,"NR",SUMIFS(GD_Guidance_High,GD_Item_Name,$B1356,GD_Item_FiscalPeriod,BT$1354,GD_Update_Date,BT$1352)))</f>
        <v/>
      </c>
      <c r="BU1356" s="1553">
        <f>IF(ISBLANK(BU$1354),"N/A",IF(COUNTIFS(GD_Item_FiscalPeriod,BU$1354,GD_Item_Name,$B1356,GD_Update_Date,BU$1352)=0,"NR",SUMIFS(GD_Guidance_High,GD_Item_Name,$B1356,GD_Item_FiscalPeriod,BU$1354,GD_Update_Date,BU$1352)))</f>
        <v/>
      </c>
      <c r="BV1356" s="1553">
        <f>IF(ISBLANK(BV$1354),"N/A",IF(COUNTIFS(GD_Item_FiscalPeriod,BV$1354,GD_Item_Name,$B1356,GD_Update_Date,BV$1352)=0,"NR",SUMIFS(GD_Guidance_High,GD_Item_Name,$B1356,GD_Item_FiscalPeriod,BV$1354,GD_Update_Date,BV$1352)))</f>
        <v/>
      </c>
      <c r="BW1356" s="1553">
        <f>IF(ISBLANK(BW$1354),"N/A",IF(COUNTIFS(GD_Item_FiscalPeriod,BW$1354,GD_Item_Name,$B1356,GD_Update_Date,BW$1352)=0,"NR",SUMIFS(GD_Guidance_High,GD_Item_Name,$B1356,GD_Item_FiscalPeriod,BW$1354,GD_Update_Date,BW$1352)))</f>
        <v/>
      </c>
      <c r="BX1356" s="1553">
        <f>IF(ISBLANK(BX$1354),"N/A",IF(COUNTIFS(GD_Item_FiscalPeriod,BX$1354,GD_Item_Name,$B1356,GD_Update_Date,BX$1352)=0,"NR",SUMIFS(GD_Guidance_High,GD_Item_Name,$B1356,GD_Item_FiscalPeriod,BX$1354,GD_Update_Date,BX$1352)))</f>
        <v/>
      </c>
      <c r="BY1356" s="1553">
        <f>IF(ISBLANK(BY$1354),"N/A",IF(COUNTIFS(GD_Item_FiscalPeriod,BY$1354,GD_Item_Name,$B1356,GD_Update_Date,BY$1352)=0,"NR",SUMIFS(GD_Guidance_High,GD_Item_Name,$B1356,GD_Item_FiscalPeriod,BY$1354,GD_Update_Date,BY$1352)))</f>
        <v/>
      </c>
      <c r="BZ1356" s="1553">
        <f>IF(ISBLANK(BZ$1354),"N/A",IF(COUNTIFS(GD_Item_FiscalPeriod,BZ$1354,GD_Item_Name,$B1356,GD_Update_Date,BZ$1352)=0,"NR",SUMIFS(GD_Guidance_High,GD_Item_Name,$B1356,GD_Item_FiscalPeriod,BZ$1354,GD_Update_Date,BZ$1352)))</f>
        <v/>
      </c>
      <c r="CA1356" s="2001">
        <f>IF(ISBLANK(CA$1354),"N/A",IF(COUNTIFS(GD_Item_FiscalPeriod,CA$1354,GD_Item_Name,$B1356,GD_Update_Date,CA$1352)=0,"NR",SUMIFS(GD_Guidance_High,GD_Item_Name,$B1356,GD_Item_FiscalPeriod,CA$1354,GD_Update_Date,CA$1352)))</f>
        <v/>
      </c>
      <c r="CB1356" s="1472" t="n"/>
    </row>
    <row r="1357" ht="14.4" customFormat="1" customHeight="1" s="1549">
      <c r="A1357" s="1999" t="inlineStr">
        <is>
          <t>Mid - Net Revenue, mm</t>
        </is>
      </c>
      <c r="B1357" s="1493" t="inlineStr">
        <is>
          <t>MO_RIS_REV</t>
        </is>
      </c>
      <c r="C1357" s="2000" t="n"/>
      <c r="D1357" s="2000" t="n"/>
      <c r="E1357" s="1553" t="n"/>
      <c r="F1357" s="1553" t="n"/>
      <c r="G1357" s="1553" t="n"/>
      <c r="H1357" s="1553" t="n"/>
      <c r="I1357" s="1553" t="n"/>
      <c r="J1357" s="1553" t="n"/>
      <c r="K1357" s="1553" t="n"/>
      <c r="L1357" s="1553" t="n"/>
      <c r="M1357" s="1553" t="n"/>
      <c r="N1357" s="1553" t="n"/>
      <c r="O1357" s="1553" t="n"/>
      <c r="P1357" s="1553" t="n"/>
      <c r="Q1357" s="1553" t="n"/>
      <c r="R1357" s="1553" t="n"/>
      <c r="S1357" s="1553" t="n"/>
      <c r="T1357" s="1553" t="n"/>
      <c r="U1357" s="1553" t="n"/>
      <c r="V1357" s="1553" t="n"/>
      <c r="W1357" s="1553" t="n"/>
      <c r="X1357" s="1553" t="n"/>
      <c r="Y1357" s="1553" t="n"/>
      <c r="Z1357" s="1553" t="n"/>
      <c r="AA1357" s="1553" t="n"/>
      <c r="AB1357" s="1553" t="n"/>
      <c r="AC1357" s="1553">
        <f>IF(ISBLANK(AC$1354),"N/A",IF(COUNTIFS(GD_Item_FiscalPeriod,AC$1354,GD_Item_Name,$B1357,GD_Update_Date,AC$1352)=0,"NR",SUMIFS(GD_Guidance_Mid,GD_Item_Name,$B1357,GD_Item_FiscalPeriod,AC$1354,GD_Update_Date,AC$1352)))</f>
        <v/>
      </c>
      <c r="AD1357" s="1553">
        <f>IF(ISBLANK(AD$1354),"N/A",IF(COUNTIFS(GD_Item_FiscalPeriod,AD$1354,GD_Item_Name,$B1357,GD_Update_Date,AD$1352)=0,"NR",SUMIFS(GD_Guidance_Mid,GD_Item_Name,$B1357,GD_Item_FiscalPeriod,AD$1354,GD_Update_Date,AD$1352)))</f>
        <v/>
      </c>
      <c r="AE1357" s="1553">
        <f>IF(ISBLANK(AE$1354),"N/A",IF(COUNTIFS(GD_Item_FiscalPeriod,AE$1354,GD_Item_Name,$B1357,GD_Update_Date,AE$1352)=0,"NR",SUMIFS(GD_Guidance_Mid,GD_Item_Name,$B1357,GD_Item_FiscalPeriod,AE$1354,GD_Update_Date,AE$1352)))</f>
        <v/>
      </c>
      <c r="AF1357" s="1553">
        <f>IF(ISBLANK(AF$1354),"N/A",IF(COUNTIFS(GD_Item_FiscalPeriod,AF$1354,GD_Item_Name,$B1357,GD_Update_Date,AF$1352)=0,"NR",SUMIFS(GD_Guidance_Mid,GD_Item_Name,$B1357,GD_Item_FiscalPeriod,AF$1354,GD_Update_Date,AF$1352)))</f>
        <v/>
      </c>
      <c r="AG1357" s="1553">
        <f>IF(ISBLANK(AG$1354),"N/A",IF(COUNTIFS(GD_Item_FiscalPeriod,AG$1354,GD_Item_Name,$B1357,GD_Update_Date,AG$1352)=0,"NR",SUMIFS(GD_Guidance_Mid,GD_Item_Name,$B1357,GD_Item_FiscalPeriod,AG$1354,GD_Update_Date,AG$1352)))</f>
        <v/>
      </c>
      <c r="AH1357" s="1553">
        <f>IF(ISBLANK(AH$1354),"N/A",IF(COUNTIFS(GD_Item_FiscalPeriod,AH$1354,GD_Item_Name,$B1357,GD_Update_Date,AH$1352)=0,"NR",SUMIFS(GD_Guidance_Mid,GD_Item_Name,$B1357,GD_Item_FiscalPeriod,AH$1354,GD_Update_Date,AH$1352)))</f>
        <v/>
      </c>
      <c r="AI1357" s="1553">
        <f>IF(ISBLANK(AI$1354),"N/A",IF(COUNTIFS(GD_Item_FiscalPeriod,AI$1354,GD_Item_Name,$B1357,GD_Update_Date,AI$1352)=0,"NR",SUMIFS(GD_Guidance_Mid,GD_Item_Name,$B1357,GD_Item_FiscalPeriod,AI$1354,GD_Update_Date,AI$1352)))</f>
        <v/>
      </c>
      <c r="AJ1357" s="1553">
        <f>IF(ISBLANK(AJ$1354),"N/A",IF(COUNTIFS(GD_Item_FiscalPeriod,AJ$1354,GD_Item_Name,$B1357,GD_Update_Date,AJ$1352)=0,"NR",SUMIFS(GD_Guidance_Mid,GD_Item_Name,$B1357,GD_Item_FiscalPeriod,AJ$1354,GD_Update_Date,AJ$1352)))</f>
        <v/>
      </c>
      <c r="AK1357" s="1553">
        <f>IF(ISBLANK(AK$1354),"N/A",IF(COUNTIFS(GD_Item_FiscalPeriod,AK$1354,GD_Item_Name,$B1357,GD_Update_Date,AK$1352)=0,"NR",SUMIFS(GD_Guidance_Mid,GD_Item_Name,$B1357,GD_Item_FiscalPeriod,AK$1354,GD_Update_Date,AK$1352)))</f>
        <v/>
      </c>
      <c r="AL1357" s="1553">
        <f>IF(ISBLANK(AL$1354),"N/A",IF(COUNTIFS(GD_Item_FiscalPeriod,AL$1354,GD_Item_Name,$B1357,GD_Update_Date,AL$1352)=0,"NR",SUMIFS(GD_Guidance_Mid,GD_Item_Name,$B1357,GD_Item_FiscalPeriod,AL$1354,GD_Update_Date,AL$1352)))</f>
        <v/>
      </c>
      <c r="AM1357" s="1553">
        <f>IF(ISBLANK(AM$1354),"N/A",IF(COUNTIFS(GD_Item_FiscalPeriod,AM$1354,GD_Item_Name,$B1357,GD_Update_Date,AM$1352)=0,"NR",SUMIFS(GD_Guidance_Mid,GD_Item_Name,$B1357,GD_Item_FiscalPeriod,AM$1354,GD_Update_Date,AM$1352)))</f>
        <v/>
      </c>
      <c r="AN1357" s="1553">
        <f>IF(ISBLANK(AN$1354),"N/A",IF(COUNTIFS(GD_Item_FiscalPeriod,AN$1354,GD_Item_Name,$B1357,GD_Update_Date,AN$1352)=0,"NR",SUMIFS(GD_Guidance_Mid,GD_Item_Name,$B1357,GD_Item_FiscalPeriod,AN$1354,GD_Update_Date,AN$1352)))</f>
        <v/>
      </c>
      <c r="AO1357" s="1553">
        <f>IF(ISBLANK(AO$1354),"N/A",IF(COUNTIFS(GD_Item_FiscalPeriod,AO$1354,GD_Item_Name,$B1357,GD_Update_Date,AO$1352)=0,"NR",SUMIFS(GD_Guidance_Mid,GD_Item_Name,$B1357,GD_Item_FiscalPeriod,AO$1354,GD_Update_Date,AO$1352)))</f>
        <v/>
      </c>
      <c r="AP1357" s="1553">
        <f>IF(ISBLANK(AP$1354),"N/A",IF(COUNTIFS(GD_Item_FiscalPeriod,AP$1354,GD_Item_Name,$B1357,GD_Update_Date,AP$1352)=0,"NR",SUMIFS(GD_Guidance_Mid,GD_Item_Name,$B1357,GD_Item_FiscalPeriod,AP$1354,GD_Update_Date,AP$1352)))</f>
        <v/>
      </c>
      <c r="AQ1357" s="1553">
        <f>IF(ISBLANK(AQ$1354),"N/A",IF(COUNTIFS(GD_Item_FiscalPeriod,AQ$1354,GD_Item_Name,$B1357,GD_Update_Date,AQ$1352)=0,"NR",SUMIFS(GD_Guidance_Mid,GD_Item_Name,$B1357,GD_Item_FiscalPeriod,AQ$1354,GD_Update_Date,AQ$1352)))</f>
        <v/>
      </c>
      <c r="AR1357" s="1553">
        <f>IF(ISBLANK(AR$1354),"N/A",IF(COUNTIFS(GD_Item_FiscalPeriod,AR$1354,GD_Item_Name,$B1357,GD_Update_Date,AR$1352)=0,"NR",SUMIFS(GD_Guidance_Mid,GD_Item_Name,$B1357,GD_Item_FiscalPeriod,AR$1354,GD_Update_Date,AR$1352)))</f>
        <v/>
      </c>
      <c r="AS1357" s="1553">
        <f>IF(ISBLANK(AS$1354),"N/A",IF(COUNTIFS(GD_Item_FiscalPeriod,AS$1354,GD_Item_Name,$B1357,GD_Update_Date,AS$1352)=0,"NR",SUMIFS(GD_Guidance_Mid,GD_Item_Name,$B1357,GD_Item_FiscalPeriod,AS$1354,GD_Update_Date,AS$1352)))</f>
        <v/>
      </c>
      <c r="AT1357" s="1553">
        <f>IF(ISBLANK(AT$1354),"N/A",IF(COUNTIFS(GD_Item_FiscalPeriod,AT$1354,GD_Item_Name,$B1357,GD_Update_Date,AT$1352)=0,"NR",SUMIFS(GD_Guidance_Mid,GD_Item_Name,$B1357,GD_Item_FiscalPeriod,AT$1354,GD_Update_Date,AT$1352)))</f>
        <v/>
      </c>
      <c r="AU1357" s="1553">
        <f>IF(ISBLANK(AU$1354),"N/A",IF(COUNTIFS(GD_Item_FiscalPeriod,AU$1354,GD_Item_Name,$B1357,GD_Update_Date,AU$1352)=0,"NR",SUMIFS(GD_Guidance_Mid,GD_Item_Name,$B1357,GD_Item_FiscalPeriod,AU$1354,GD_Update_Date,AU$1352)))</f>
        <v/>
      </c>
      <c r="AV1357" s="1553">
        <f>IF(ISBLANK(AV$1354),"N/A",IF(COUNTIFS(GD_Item_FiscalPeriod,AV$1354,GD_Item_Name,$B1357,GD_Update_Date,AV$1352)=0,"NR",SUMIFS(GD_Guidance_Mid,GD_Item_Name,$B1357,GD_Item_FiscalPeriod,AV$1354,GD_Update_Date,AV$1352)))</f>
        <v/>
      </c>
      <c r="AW1357" s="1553">
        <f>IF(ISBLANK(AW$1354),"N/A",IF(COUNTIFS(GD_Item_FiscalPeriod,AW$1354,GD_Item_Name,$B1357,GD_Update_Date,AW$1352)=0,"NR",SUMIFS(GD_Guidance_Mid,GD_Item_Name,$B1357,GD_Item_FiscalPeriod,AW$1354,GD_Update_Date,AW$1352)))</f>
        <v/>
      </c>
      <c r="AX1357" s="1553">
        <f>IF(ISBLANK(AX$1354),"N/A",IF(COUNTIFS(GD_Item_FiscalPeriod,AX$1354,GD_Item_Name,$B1357,GD_Update_Date,AX$1352)=0,"NR",SUMIFS(GD_Guidance_Mid,GD_Item_Name,$B1357,GD_Item_FiscalPeriod,AX$1354,GD_Update_Date,AX$1352)))</f>
        <v/>
      </c>
      <c r="AY1357" s="1553">
        <f>IF(ISBLANK(AY$1354),"N/A",IF(COUNTIFS(GD_Item_FiscalPeriod,AY$1354,GD_Item_Name,$B1357,GD_Update_Date,AY$1352)=0,"NR",SUMIFS(GD_Guidance_Mid,GD_Item_Name,$B1357,GD_Item_FiscalPeriod,AY$1354,GD_Update_Date,AY$1352)))</f>
        <v/>
      </c>
      <c r="AZ1357" s="1553">
        <f>IF(ISBLANK(AZ$1354),"N/A",IF(COUNTIFS(GD_Item_FiscalPeriod,AZ$1354,GD_Item_Name,$B1357,GD_Update_Date,AZ$1352)=0,"NR",SUMIFS(GD_Guidance_Mid,GD_Item_Name,$B1357,GD_Item_FiscalPeriod,AZ$1354,GD_Update_Date,AZ$1352)))</f>
        <v/>
      </c>
      <c r="BA1357" s="1553">
        <f>IF(ISBLANK(BA$1354),"N/A",IF(COUNTIFS(GD_Item_FiscalPeriod,BA$1354,GD_Item_Name,$B1357,GD_Update_Date,BA$1352)=0,"NR",SUMIFS(GD_Guidance_Mid,GD_Item_Name,$B1357,GD_Item_FiscalPeriod,BA$1354,GD_Update_Date,BA$1352)))</f>
        <v/>
      </c>
      <c r="BB1357" s="1553">
        <f>IF(ISBLANK(BB$1354),"N/A",IF(COUNTIFS(GD_Item_FiscalPeriod,BB$1354,GD_Item_Name,$B1357,GD_Update_Date,BB$1352)=0,"NR",SUMIFS(GD_Guidance_Mid,GD_Item_Name,$B1357,GD_Item_FiscalPeriod,BB$1354,GD_Update_Date,BB$1352)))</f>
        <v/>
      </c>
      <c r="BC1357" s="1553">
        <f>IF(ISBLANK(BC$1354),"N/A",IF(COUNTIFS(GD_Item_FiscalPeriod,BC$1354,GD_Item_Name,$B1357,GD_Update_Date,BC$1352)=0,"NR",SUMIFS(GD_Guidance_Mid,GD_Item_Name,$B1357,GD_Item_FiscalPeriod,BC$1354,GD_Update_Date,BC$1352)))</f>
        <v/>
      </c>
      <c r="BD1357" s="1553">
        <f>IF(ISBLANK(BD$1354),"N/A",IF(COUNTIFS(GD_Item_FiscalPeriod,BD$1354,GD_Item_Name,$B1357,GD_Update_Date,BD$1352)=0,"NR",SUMIFS(GD_Guidance_Mid,GD_Item_Name,$B1357,GD_Item_FiscalPeriod,BD$1354,GD_Update_Date,BD$1352)))</f>
        <v/>
      </c>
      <c r="BE1357" s="1553">
        <f>IF(ISBLANK(BE$1354),"N/A",IF(COUNTIFS(GD_Item_FiscalPeriod,BE$1354,GD_Item_Name,$B1357,GD_Update_Date,BE$1352)=0,"NR",SUMIFS(GD_Guidance_Mid,GD_Item_Name,$B1357,GD_Item_FiscalPeriod,BE$1354,GD_Update_Date,BE$1352)))</f>
        <v/>
      </c>
      <c r="BF1357" s="1553">
        <f>IF(ISBLANK(BF$1354),"N/A",IF(COUNTIFS(GD_Item_FiscalPeriod,BF$1354,GD_Item_Name,$B1357,GD_Update_Date,BF$1352)=0,"NR",SUMIFS(GD_Guidance_Mid,GD_Item_Name,$B1357,GD_Item_FiscalPeriod,BF$1354,GD_Update_Date,BF$1352)))</f>
        <v/>
      </c>
      <c r="BG1357" s="1553">
        <f>IF(ISBLANK(BG$1354),"N/A",IF(COUNTIFS(GD_Item_FiscalPeriod,BG$1354,GD_Item_Name,$B1357,GD_Update_Date,BG$1352)=0,"NR",SUMIFS(GD_Guidance_Mid,GD_Item_Name,$B1357,GD_Item_FiscalPeriod,BG$1354,GD_Update_Date,BG$1352)))</f>
        <v/>
      </c>
      <c r="BH1357" s="1553">
        <f>IF(ISBLANK(BH$1354),"N/A",IF(COUNTIFS(GD_Item_FiscalPeriod,BH$1354,GD_Item_Name,$B1357,GD_Update_Date,BH$1352)=0,"NR",SUMIFS(GD_Guidance_Mid,GD_Item_Name,$B1357,GD_Item_FiscalPeriod,BH$1354,GD_Update_Date,BH$1352)))</f>
        <v/>
      </c>
      <c r="BI1357" s="1553">
        <f>IF(ISBLANK(BI$1354),"N/A",IF(COUNTIFS(GD_Item_FiscalPeriod,BI$1354,GD_Item_Name,$B1357,GD_Update_Date,BI$1352)=0,"NR",SUMIFS(GD_Guidance_Mid,GD_Item_Name,$B1357,GD_Item_FiscalPeriod,BI$1354,GD_Update_Date,BI$1352)))</f>
        <v/>
      </c>
      <c r="BJ1357" s="1553">
        <f>IF(ISBLANK(BJ$1354),"N/A",IF(COUNTIFS(GD_Item_FiscalPeriod,BJ$1354,GD_Item_Name,$B1357,GD_Update_Date,BJ$1352)=0,"NR",SUMIFS(GD_Guidance_Mid,GD_Item_Name,$B1357,GD_Item_FiscalPeriod,BJ$1354,GD_Update_Date,BJ$1352)))</f>
        <v/>
      </c>
      <c r="BK1357" s="1553">
        <f>IF(ISBLANK(BK$1354),"N/A",IF(COUNTIFS(GD_Item_FiscalPeriod,BK$1354,GD_Item_Name,$B1357,GD_Update_Date,BK$1352)=0,"NR",SUMIFS(GD_Guidance_Mid,GD_Item_Name,$B1357,GD_Item_FiscalPeriod,BK$1354,GD_Update_Date,BK$1352)))</f>
        <v/>
      </c>
      <c r="BL1357" s="1553">
        <f>IF(ISBLANK(BL$1354),"N/A",IF(COUNTIFS(GD_Item_FiscalPeriod,BL$1354,GD_Item_Name,$B1357,GD_Update_Date,BL$1352)=0,"NR",SUMIFS(GD_Guidance_Mid,GD_Item_Name,$B1357,GD_Item_FiscalPeriod,BL$1354,GD_Update_Date,BL$1352)))</f>
        <v/>
      </c>
      <c r="BM1357" s="1553">
        <f>IF(ISBLANK(BM$1354),"N/A",IF(COUNTIFS(GD_Item_FiscalPeriod,BM$1354,GD_Item_Name,$B1357,GD_Update_Date,BM$1352)=0,"NR",SUMIFS(GD_Guidance_Mid,GD_Item_Name,$B1357,GD_Item_FiscalPeriod,BM$1354,GD_Update_Date,BM$1352)))</f>
        <v/>
      </c>
      <c r="BN1357" s="1553">
        <f>IF(ISBLANK(BN$1354),"N/A",IF(COUNTIFS(GD_Item_FiscalPeriod,BN$1354,GD_Item_Name,$B1357,GD_Update_Date,BN$1352)=0,"NR",SUMIFS(GD_Guidance_Mid,GD_Item_Name,$B1357,GD_Item_FiscalPeriod,BN$1354,GD_Update_Date,BN$1352)))</f>
        <v/>
      </c>
      <c r="BO1357" s="1553">
        <f>IF(ISBLANK(BO$1354),"N/A",IF(COUNTIFS(GD_Item_FiscalPeriod,BO$1354,GD_Item_Name,$B1357,GD_Update_Date,BO$1352)=0,"NR",SUMIFS(GD_Guidance_Mid,GD_Item_Name,$B1357,GD_Item_FiscalPeriod,BO$1354,GD_Update_Date,BO$1352)))</f>
        <v/>
      </c>
      <c r="BP1357" s="1553">
        <f>IF(ISBLANK(BP$1354),"N/A",IF(COUNTIFS(GD_Item_FiscalPeriod,BP$1354,GD_Item_Name,$B1357,GD_Update_Date,BP$1352)=0,"NR",SUMIFS(GD_Guidance_Mid,GD_Item_Name,$B1357,GD_Item_FiscalPeriod,BP$1354,GD_Update_Date,BP$1352)))</f>
        <v/>
      </c>
      <c r="BQ1357" s="1556">
        <f>IF(ISBLANK(BQ$1354),"N/A",IF(COUNTIFS(GD_Item_FiscalPeriod,BQ$1354,GD_Item_Name,$B1357,GD_Update_Date,BQ$1352)=0,"NR",SUMIFS(GD_Guidance_Mid,GD_Item_Name,$B1357,GD_Item_FiscalPeriod,BQ$1354,GD_Update_Date,BQ$1352)))</f>
        <v/>
      </c>
      <c r="BR1357" s="1553">
        <f>IF(ISBLANK(BR$1354),"N/A",IF(COUNTIFS(GD_Item_FiscalPeriod,BR$1354,GD_Item_Name,$B1357,GD_Update_Date,BR$1352)=0,"NR",SUMIFS(GD_Guidance_Mid,GD_Item_Name,$B1357,GD_Item_FiscalPeriod,BR$1354,GD_Update_Date,BR$1352)))</f>
        <v/>
      </c>
      <c r="BS1357" s="1553">
        <f>IF(ISBLANK(BS$1354),"N/A",IF(COUNTIFS(GD_Item_FiscalPeriod,BS$1354,GD_Item_Name,$B1357,GD_Update_Date,BS$1352)=0,"NR",SUMIFS(GD_Guidance_Mid,GD_Item_Name,$B1357,GD_Item_FiscalPeriod,BS$1354,GD_Update_Date,BS$1352)))</f>
        <v/>
      </c>
      <c r="BT1357" s="1553">
        <f>IF(ISBLANK(BT$1354),"N/A",IF(COUNTIFS(GD_Item_FiscalPeriod,BT$1354,GD_Item_Name,$B1357,GD_Update_Date,BT$1352)=0,"NR",SUMIFS(GD_Guidance_Mid,GD_Item_Name,$B1357,GD_Item_FiscalPeriod,BT$1354,GD_Update_Date,BT$1352)))</f>
        <v/>
      </c>
      <c r="BU1357" s="1553">
        <f>IF(ISBLANK(BU$1354),"N/A",IF(COUNTIFS(GD_Item_FiscalPeriod,BU$1354,GD_Item_Name,$B1357,GD_Update_Date,BU$1352)=0,"NR",SUMIFS(GD_Guidance_Mid,GD_Item_Name,$B1357,GD_Item_FiscalPeriod,BU$1354,GD_Update_Date,BU$1352)))</f>
        <v/>
      </c>
      <c r="BV1357" s="1553">
        <f>IF(ISBLANK(BV$1354),"N/A",IF(COUNTIFS(GD_Item_FiscalPeriod,BV$1354,GD_Item_Name,$B1357,GD_Update_Date,BV$1352)=0,"NR",SUMIFS(GD_Guidance_Mid,GD_Item_Name,$B1357,GD_Item_FiscalPeriod,BV$1354,GD_Update_Date,BV$1352)))</f>
        <v/>
      </c>
      <c r="BW1357" s="1553">
        <f>IF(ISBLANK(BW$1354),"N/A",IF(COUNTIFS(GD_Item_FiscalPeriod,BW$1354,GD_Item_Name,$B1357,GD_Update_Date,BW$1352)=0,"NR",SUMIFS(GD_Guidance_Mid,GD_Item_Name,$B1357,GD_Item_FiscalPeriod,BW$1354,GD_Update_Date,BW$1352)))</f>
        <v/>
      </c>
      <c r="BX1357" s="1553">
        <f>IF(ISBLANK(BX$1354),"N/A",IF(COUNTIFS(GD_Item_FiscalPeriod,BX$1354,GD_Item_Name,$B1357,GD_Update_Date,BX$1352)=0,"NR",SUMIFS(GD_Guidance_Mid,GD_Item_Name,$B1357,GD_Item_FiscalPeriod,BX$1354,GD_Update_Date,BX$1352)))</f>
        <v/>
      </c>
      <c r="BY1357" s="1553">
        <f>IF(ISBLANK(BY$1354),"N/A",IF(COUNTIFS(GD_Item_FiscalPeriod,BY$1354,GD_Item_Name,$B1357,GD_Update_Date,BY$1352)=0,"NR",SUMIFS(GD_Guidance_Mid,GD_Item_Name,$B1357,GD_Item_FiscalPeriod,BY$1354,GD_Update_Date,BY$1352)))</f>
        <v/>
      </c>
      <c r="BZ1357" s="1553">
        <f>IF(ISBLANK(BZ$1354),"N/A",IF(COUNTIFS(GD_Item_FiscalPeriod,BZ$1354,GD_Item_Name,$B1357,GD_Update_Date,BZ$1352)=0,"NR",SUMIFS(GD_Guidance_Mid,GD_Item_Name,$B1357,GD_Item_FiscalPeriod,BZ$1354,GD_Update_Date,BZ$1352)))</f>
        <v/>
      </c>
      <c r="CA1357" s="2001">
        <f>IF(ISBLANK(CA$1354),"N/A",IF(COUNTIFS(GD_Item_FiscalPeriod,CA$1354,GD_Item_Name,$B1357,GD_Update_Date,CA$1352)=0,"NR",SUMIFS(GD_Guidance_Mid,GD_Item_Name,$B1357,GD_Item_FiscalPeriod,CA$1354,GD_Update_Date,CA$1352)))</f>
        <v/>
      </c>
      <c r="CB1357" s="1472" t="n"/>
    </row>
    <row r="1358" ht="14.4" customFormat="1" customHeight="1" s="1549">
      <c r="A1358" s="2002" t="inlineStr">
        <is>
          <t>Low - Non-GAAP Operating Income Margin, %</t>
        </is>
      </c>
      <c r="B1358" s="1520" t="inlineStr">
        <is>
          <t>MO_MA_OperatingIncome_NONGAAP</t>
        </is>
      </c>
      <c r="C1358" s="2003" t="n"/>
      <c r="D1358" s="2003" t="n"/>
      <c r="E1358" s="1902" t="n"/>
      <c r="F1358" s="1902" t="n"/>
      <c r="G1358" s="1902" t="n"/>
      <c r="H1358" s="1902" t="n"/>
      <c r="I1358" s="1902" t="n"/>
      <c r="J1358" s="1902" t="n"/>
      <c r="K1358" s="1902" t="n"/>
      <c r="L1358" s="1902" t="n"/>
      <c r="M1358" s="1902" t="n"/>
      <c r="N1358" s="1902" t="n"/>
      <c r="O1358" s="1902" t="n"/>
      <c r="P1358" s="1902" t="n"/>
      <c r="Q1358" s="1902" t="n"/>
      <c r="R1358" s="1902" t="n"/>
      <c r="S1358" s="1902" t="n"/>
      <c r="T1358" s="1902" t="n"/>
      <c r="U1358" s="1902" t="n"/>
      <c r="V1358" s="1902" t="n"/>
      <c r="W1358" s="1902" t="n"/>
      <c r="X1358" s="1902" t="n"/>
      <c r="Y1358" s="1902" t="n"/>
      <c r="Z1358" s="1902" t="n"/>
      <c r="AA1358" s="1902" t="n"/>
      <c r="AB1358" s="1902" t="n"/>
      <c r="AC1358" s="1902">
        <f>IF(ISBLANK(AC$1354),"N/A",IF(COUNTIFS(GD_Item_FiscalPeriod,AC$1354,GD_Item_Name,$B1358,GD_Update_Date,AC$1352)=0,"NR",SUMIFS(GD_Guidance_Low,GD_Item_Name,$B1358,GD_Item_FiscalPeriod,AC$1354,GD_Update_Date,AC$1352)))</f>
        <v/>
      </c>
      <c r="AD1358" s="1902">
        <f>IF(ISBLANK(AD$1354),"N/A",IF(COUNTIFS(GD_Item_FiscalPeriod,AD$1354,GD_Item_Name,$B1358,GD_Update_Date,AD$1352)=0,"NR",SUMIFS(GD_Guidance_Low,GD_Item_Name,$B1358,GD_Item_FiscalPeriod,AD$1354,GD_Update_Date,AD$1352)))</f>
        <v/>
      </c>
      <c r="AE1358" s="1902">
        <f>IF(ISBLANK(AE$1354),"N/A",IF(COUNTIFS(GD_Item_FiscalPeriod,AE$1354,GD_Item_Name,$B1358,GD_Update_Date,AE$1352)=0,"NR",SUMIFS(GD_Guidance_Low,GD_Item_Name,$B1358,GD_Item_FiscalPeriod,AE$1354,GD_Update_Date,AE$1352)))</f>
        <v/>
      </c>
      <c r="AF1358" s="1902">
        <f>IF(ISBLANK(AF$1354),"N/A",IF(COUNTIFS(GD_Item_FiscalPeriod,AF$1354,GD_Item_Name,$B1358,GD_Update_Date,AF$1352)=0,"NR",SUMIFS(GD_Guidance_Low,GD_Item_Name,$B1358,GD_Item_FiscalPeriod,AF$1354,GD_Update_Date,AF$1352)))</f>
        <v/>
      </c>
      <c r="AG1358" s="1902">
        <f>IF(ISBLANK(AG$1354),"N/A",IF(COUNTIFS(GD_Item_FiscalPeriod,AG$1354,GD_Item_Name,$B1358,GD_Update_Date,AG$1352)=0,"NR",SUMIFS(GD_Guidance_Low,GD_Item_Name,$B1358,GD_Item_FiscalPeriod,AG$1354,GD_Update_Date,AG$1352)))</f>
        <v/>
      </c>
      <c r="AH1358" s="1902">
        <f>IF(ISBLANK(AH$1354),"N/A",IF(COUNTIFS(GD_Item_FiscalPeriod,AH$1354,GD_Item_Name,$B1358,GD_Update_Date,AH$1352)=0,"NR",SUMIFS(GD_Guidance_Low,GD_Item_Name,$B1358,GD_Item_FiscalPeriod,AH$1354,GD_Update_Date,AH$1352)))</f>
        <v/>
      </c>
      <c r="AI1358" s="1902">
        <f>IF(ISBLANK(AI$1354),"N/A",IF(COUNTIFS(GD_Item_FiscalPeriod,AI$1354,GD_Item_Name,$B1358,GD_Update_Date,AI$1352)=0,"NR",SUMIFS(GD_Guidance_Low,GD_Item_Name,$B1358,GD_Item_FiscalPeriod,AI$1354,GD_Update_Date,AI$1352)))</f>
        <v/>
      </c>
      <c r="AJ1358" s="1902">
        <f>IF(ISBLANK(AJ$1354),"N/A",IF(COUNTIFS(GD_Item_FiscalPeriod,AJ$1354,GD_Item_Name,$B1358,GD_Update_Date,AJ$1352)=0,"NR",SUMIFS(GD_Guidance_Low,GD_Item_Name,$B1358,GD_Item_FiscalPeriod,AJ$1354,GD_Update_Date,AJ$1352)))</f>
        <v/>
      </c>
      <c r="AK1358" s="1902">
        <f>IF(ISBLANK(AK$1354),"N/A",IF(COUNTIFS(GD_Item_FiscalPeriod,AK$1354,GD_Item_Name,$B1358,GD_Update_Date,AK$1352)=0,"NR",SUMIFS(GD_Guidance_Low,GD_Item_Name,$B1358,GD_Item_FiscalPeriod,AK$1354,GD_Update_Date,AK$1352)))</f>
        <v/>
      </c>
      <c r="AL1358" s="1902">
        <f>IF(ISBLANK(AL$1354),"N/A",IF(COUNTIFS(GD_Item_FiscalPeriod,AL$1354,GD_Item_Name,$B1358,GD_Update_Date,AL$1352)=0,"NR",SUMIFS(GD_Guidance_Low,GD_Item_Name,$B1358,GD_Item_FiscalPeriod,AL$1354,GD_Update_Date,AL$1352)))</f>
        <v/>
      </c>
      <c r="AM1358" s="1902">
        <f>IF(ISBLANK(AM$1354),"N/A",IF(COUNTIFS(GD_Item_FiscalPeriod,AM$1354,GD_Item_Name,$B1358,GD_Update_Date,AM$1352)=0,"NR",SUMIFS(GD_Guidance_Low,GD_Item_Name,$B1358,GD_Item_FiscalPeriod,AM$1354,GD_Update_Date,AM$1352)))</f>
        <v/>
      </c>
      <c r="AN1358" s="1902">
        <f>IF(ISBLANK(AN$1354),"N/A",IF(COUNTIFS(GD_Item_FiscalPeriod,AN$1354,GD_Item_Name,$B1358,GD_Update_Date,AN$1352)=0,"NR",SUMIFS(GD_Guidance_Low,GD_Item_Name,$B1358,GD_Item_FiscalPeriod,AN$1354,GD_Update_Date,AN$1352)))</f>
        <v/>
      </c>
      <c r="AO1358" s="1902">
        <f>IF(ISBLANK(AO$1354),"N/A",IF(COUNTIFS(GD_Item_FiscalPeriod,AO$1354,GD_Item_Name,$B1358,GD_Update_Date,AO$1352)=0,"NR",SUMIFS(GD_Guidance_Low,GD_Item_Name,$B1358,GD_Item_FiscalPeriod,AO$1354,GD_Update_Date,AO$1352)))</f>
        <v/>
      </c>
      <c r="AP1358" s="1902">
        <f>IF(ISBLANK(AP$1354),"N/A",IF(COUNTIFS(GD_Item_FiscalPeriod,AP$1354,GD_Item_Name,$B1358,GD_Update_Date,AP$1352)=0,"NR",SUMIFS(GD_Guidance_Low,GD_Item_Name,$B1358,GD_Item_FiscalPeriod,AP$1354,GD_Update_Date,AP$1352)))</f>
        <v/>
      </c>
      <c r="AQ1358" s="1902">
        <f>IF(ISBLANK(AQ$1354),"N/A",IF(COUNTIFS(GD_Item_FiscalPeriod,AQ$1354,GD_Item_Name,$B1358,GD_Update_Date,AQ$1352)=0,"NR",SUMIFS(GD_Guidance_Low,GD_Item_Name,$B1358,GD_Item_FiscalPeriod,AQ$1354,GD_Update_Date,AQ$1352)))</f>
        <v/>
      </c>
      <c r="AR1358" s="1902">
        <f>IF(ISBLANK(AR$1354),"N/A",IF(COUNTIFS(GD_Item_FiscalPeriod,AR$1354,GD_Item_Name,$B1358,GD_Update_Date,AR$1352)=0,"NR",SUMIFS(GD_Guidance_Low,GD_Item_Name,$B1358,GD_Item_FiscalPeriod,AR$1354,GD_Update_Date,AR$1352)))</f>
        <v/>
      </c>
      <c r="AS1358" s="1902">
        <f>IF(ISBLANK(AS$1354),"N/A",IF(COUNTIFS(GD_Item_FiscalPeriod,AS$1354,GD_Item_Name,$B1358,GD_Update_Date,AS$1352)=0,"NR",SUMIFS(GD_Guidance_Low,GD_Item_Name,$B1358,GD_Item_FiscalPeriod,AS$1354,GD_Update_Date,AS$1352)))</f>
        <v/>
      </c>
      <c r="AT1358" s="1902">
        <f>IF(ISBLANK(AT$1354),"N/A",IF(COUNTIFS(GD_Item_FiscalPeriod,AT$1354,GD_Item_Name,$B1358,GD_Update_Date,AT$1352)=0,"NR",SUMIFS(GD_Guidance_Low,GD_Item_Name,$B1358,GD_Item_FiscalPeriod,AT$1354,GD_Update_Date,AT$1352)))</f>
        <v/>
      </c>
      <c r="AU1358" s="1902">
        <f>IF(ISBLANK(AU$1354),"N/A",IF(COUNTIFS(GD_Item_FiscalPeriod,AU$1354,GD_Item_Name,$B1358,GD_Update_Date,AU$1352)=0,"NR",SUMIFS(GD_Guidance_Low,GD_Item_Name,$B1358,GD_Item_FiscalPeriod,AU$1354,GD_Update_Date,AU$1352)))</f>
        <v/>
      </c>
      <c r="AV1358" s="1902">
        <f>IF(ISBLANK(AV$1354),"N/A",IF(COUNTIFS(GD_Item_FiscalPeriod,AV$1354,GD_Item_Name,$B1358,GD_Update_Date,AV$1352)=0,"NR",SUMIFS(GD_Guidance_Low,GD_Item_Name,$B1358,GD_Item_FiscalPeriod,AV$1354,GD_Update_Date,AV$1352)))</f>
        <v/>
      </c>
      <c r="AW1358" s="1902">
        <f>IF(ISBLANK(AW$1354),"N/A",IF(COUNTIFS(GD_Item_FiscalPeriod,AW$1354,GD_Item_Name,$B1358,GD_Update_Date,AW$1352)=0,"NR",SUMIFS(GD_Guidance_Low,GD_Item_Name,$B1358,GD_Item_FiscalPeriod,AW$1354,GD_Update_Date,AW$1352)))</f>
        <v/>
      </c>
      <c r="AX1358" s="1902">
        <f>IF(ISBLANK(AX$1354),"N/A",IF(COUNTIFS(GD_Item_FiscalPeriod,AX$1354,GD_Item_Name,$B1358,GD_Update_Date,AX$1352)=0,"NR",SUMIFS(GD_Guidance_Low,GD_Item_Name,$B1358,GD_Item_FiscalPeriod,AX$1354,GD_Update_Date,AX$1352)))</f>
        <v/>
      </c>
      <c r="AY1358" s="1902">
        <f>IF(ISBLANK(AY$1354),"N/A",IF(COUNTIFS(GD_Item_FiscalPeriod,AY$1354,GD_Item_Name,$B1358,GD_Update_Date,AY$1352)=0,"NR",SUMIFS(GD_Guidance_Low,GD_Item_Name,$B1358,GD_Item_FiscalPeriod,AY$1354,GD_Update_Date,AY$1352)))</f>
        <v/>
      </c>
      <c r="AZ1358" s="1902">
        <f>IF(ISBLANK(AZ$1354),"N/A",IF(COUNTIFS(GD_Item_FiscalPeriod,AZ$1354,GD_Item_Name,$B1358,GD_Update_Date,AZ$1352)=0,"NR",SUMIFS(GD_Guidance_Low,GD_Item_Name,$B1358,GD_Item_FiscalPeriod,AZ$1354,GD_Update_Date,AZ$1352)))</f>
        <v/>
      </c>
      <c r="BA1358" s="1902">
        <f>IF(ISBLANK(BA$1354),"N/A",IF(COUNTIFS(GD_Item_FiscalPeriod,BA$1354,GD_Item_Name,$B1358,GD_Update_Date,BA$1352)=0,"NR",SUMIFS(GD_Guidance_Low,GD_Item_Name,$B1358,GD_Item_FiscalPeriod,BA$1354,GD_Update_Date,BA$1352)))</f>
        <v/>
      </c>
      <c r="BB1358" s="1902">
        <f>IF(ISBLANK(BB$1354),"N/A",IF(COUNTIFS(GD_Item_FiscalPeriod,BB$1354,GD_Item_Name,$B1358,GD_Update_Date,BB$1352)=0,"NR",SUMIFS(GD_Guidance_Low,GD_Item_Name,$B1358,GD_Item_FiscalPeriod,BB$1354,GD_Update_Date,BB$1352)))</f>
        <v/>
      </c>
      <c r="BC1358" s="1902">
        <f>IF(ISBLANK(BC$1354),"N/A",IF(COUNTIFS(GD_Item_FiscalPeriod,BC$1354,GD_Item_Name,$B1358,GD_Update_Date,BC$1352)=0,"NR",SUMIFS(GD_Guidance_Low,GD_Item_Name,$B1358,GD_Item_FiscalPeriod,BC$1354,GD_Update_Date,BC$1352)))</f>
        <v/>
      </c>
      <c r="BD1358" s="1902">
        <f>IF(ISBLANK(BD$1354),"N/A",IF(COUNTIFS(GD_Item_FiscalPeriod,BD$1354,GD_Item_Name,$B1358,GD_Update_Date,BD$1352)=0,"NR",SUMIFS(GD_Guidance_Low,GD_Item_Name,$B1358,GD_Item_FiscalPeriod,BD$1354,GD_Update_Date,BD$1352)))</f>
        <v/>
      </c>
      <c r="BE1358" s="1902">
        <f>IF(ISBLANK(BE$1354),"N/A",IF(COUNTIFS(GD_Item_FiscalPeriod,BE$1354,GD_Item_Name,$B1358,GD_Update_Date,BE$1352)=0,"NR",SUMIFS(GD_Guidance_Low,GD_Item_Name,$B1358,GD_Item_FiscalPeriod,BE$1354,GD_Update_Date,BE$1352)))</f>
        <v/>
      </c>
      <c r="BF1358" s="1902">
        <f>IF(ISBLANK(BF$1354),"N/A",IF(COUNTIFS(GD_Item_FiscalPeriod,BF$1354,GD_Item_Name,$B1358,GD_Update_Date,BF$1352)=0,"NR",SUMIFS(GD_Guidance_Low,GD_Item_Name,$B1358,GD_Item_FiscalPeriod,BF$1354,GD_Update_Date,BF$1352)))</f>
        <v/>
      </c>
      <c r="BG1358" s="1902">
        <f>IF(ISBLANK(BG$1354),"N/A",IF(COUNTIFS(GD_Item_FiscalPeriod,BG$1354,GD_Item_Name,$B1358,GD_Update_Date,BG$1352)=0,"NR",SUMIFS(GD_Guidance_Low,GD_Item_Name,$B1358,GD_Item_FiscalPeriod,BG$1354,GD_Update_Date,BG$1352)))</f>
        <v/>
      </c>
      <c r="BH1358" s="1902">
        <f>IF(ISBLANK(BH$1354),"N/A",IF(COUNTIFS(GD_Item_FiscalPeriod,BH$1354,GD_Item_Name,$B1358,GD_Update_Date,BH$1352)=0,"NR",SUMIFS(GD_Guidance_Low,GD_Item_Name,$B1358,GD_Item_FiscalPeriod,BH$1354,GD_Update_Date,BH$1352)))</f>
        <v/>
      </c>
      <c r="BI1358" s="1902">
        <f>IF(ISBLANK(BI$1354),"N/A",IF(COUNTIFS(GD_Item_FiscalPeriod,BI$1354,GD_Item_Name,$B1358,GD_Update_Date,BI$1352)=0,"NR",SUMIFS(GD_Guidance_Low,GD_Item_Name,$B1358,GD_Item_FiscalPeriod,BI$1354,GD_Update_Date,BI$1352)))</f>
        <v/>
      </c>
      <c r="BJ1358" s="1902">
        <f>IF(ISBLANK(BJ$1354),"N/A",IF(COUNTIFS(GD_Item_FiscalPeriod,BJ$1354,GD_Item_Name,$B1358,GD_Update_Date,BJ$1352)=0,"NR",SUMIFS(GD_Guidance_Low,GD_Item_Name,$B1358,GD_Item_FiscalPeriod,BJ$1354,GD_Update_Date,BJ$1352)))</f>
        <v/>
      </c>
      <c r="BK1358" s="1902">
        <f>IF(ISBLANK(BK$1354),"N/A",IF(COUNTIFS(GD_Item_FiscalPeriod,BK$1354,GD_Item_Name,$B1358,GD_Update_Date,BK$1352)=0,"NR",SUMIFS(GD_Guidance_Low,GD_Item_Name,$B1358,GD_Item_FiscalPeriod,BK$1354,GD_Update_Date,BK$1352)))</f>
        <v/>
      </c>
      <c r="BL1358" s="1902">
        <f>IF(ISBLANK(BL$1354),"N/A",IF(COUNTIFS(GD_Item_FiscalPeriod,BL$1354,GD_Item_Name,$B1358,GD_Update_Date,BL$1352)=0,"NR",SUMIFS(GD_Guidance_Low,GD_Item_Name,$B1358,GD_Item_FiscalPeriod,BL$1354,GD_Update_Date,BL$1352)))</f>
        <v/>
      </c>
      <c r="BM1358" s="1902">
        <f>IF(ISBLANK(BM$1354),"N/A",IF(COUNTIFS(GD_Item_FiscalPeriod,BM$1354,GD_Item_Name,$B1358,GD_Update_Date,BM$1352)=0,"NR",SUMIFS(GD_Guidance_Low,GD_Item_Name,$B1358,GD_Item_FiscalPeriod,BM$1354,GD_Update_Date,BM$1352)))</f>
        <v/>
      </c>
      <c r="BN1358" s="1902">
        <f>IF(ISBLANK(BN$1354),"N/A",IF(COUNTIFS(GD_Item_FiscalPeriod,BN$1354,GD_Item_Name,$B1358,GD_Update_Date,BN$1352)=0,"NR",SUMIFS(GD_Guidance_Low,GD_Item_Name,$B1358,GD_Item_FiscalPeriod,BN$1354,GD_Update_Date,BN$1352)))</f>
        <v/>
      </c>
      <c r="BO1358" s="1902">
        <f>IF(ISBLANK(BO$1354),"N/A",IF(COUNTIFS(GD_Item_FiscalPeriod,BO$1354,GD_Item_Name,$B1358,GD_Update_Date,BO$1352)=0,"NR",SUMIFS(GD_Guidance_Low,GD_Item_Name,$B1358,GD_Item_FiscalPeriod,BO$1354,GD_Update_Date,BO$1352)))</f>
        <v/>
      </c>
      <c r="BP1358" s="1902">
        <f>IF(ISBLANK(BP$1354),"N/A",IF(COUNTIFS(GD_Item_FiscalPeriod,BP$1354,GD_Item_Name,$B1358,GD_Update_Date,BP$1352)=0,"NR",SUMIFS(GD_Guidance_Low,GD_Item_Name,$B1358,GD_Item_FiscalPeriod,BP$1354,GD_Update_Date,BP$1352)))</f>
        <v/>
      </c>
      <c r="BQ1358" s="1904">
        <f>IF(ISBLANK(BQ$1354),"N/A",IF(COUNTIFS(GD_Item_FiscalPeriod,BQ$1354,GD_Item_Name,$B1358,GD_Update_Date,BQ$1352)=0,"NR",SUMIFS(GD_Guidance_Low,GD_Item_Name,$B1358,GD_Item_FiscalPeriod,BQ$1354,GD_Update_Date,BQ$1352)))</f>
        <v/>
      </c>
      <c r="BR1358" s="1902">
        <f>IF(ISBLANK(BR$1354),"N/A",IF(COUNTIFS(GD_Item_FiscalPeriod,BR$1354,GD_Item_Name,$B1358,GD_Update_Date,BR$1352)=0,"NR",SUMIFS(GD_Guidance_Low,GD_Item_Name,$B1358,GD_Item_FiscalPeriod,BR$1354,GD_Update_Date,BR$1352)))</f>
        <v/>
      </c>
      <c r="BS1358" s="1902">
        <f>IF(ISBLANK(BS$1354),"N/A",IF(COUNTIFS(GD_Item_FiscalPeriod,BS$1354,GD_Item_Name,$B1358,GD_Update_Date,BS$1352)=0,"NR",SUMIFS(GD_Guidance_Low,GD_Item_Name,$B1358,GD_Item_FiscalPeriod,BS$1354,GD_Update_Date,BS$1352)))</f>
        <v/>
      </c>
      <c r="BT1358" s="1902">
        <f>IF(ISBLANK(BT$1354),"N/A",IF(COUNTIFS(GD_Item_FiscalPeriod,BT$1354,GD_Item_Name,$B1358,GD_Update_Date,BT$1352)=0,"NR",SUMIFS(GD_Guidance_Low,GD_Item_Name,$B1358,GD_Item_FiscalPeriod,BT$1354,GD_Update_Date,BT$1352)))</f>
        <v/>
      </c>
      <c r="BU1358" s="1902">
        <f>IF(ISBLANK(BU$1354),"N/A",IF(COUNTIFS(GD_Item_FiscalPeriod,BU$1354,GD_Item_Name,$B1358,GD_Update_Date,BU$1352)=0,"NR",SUMIFS(GD_Guidance_Low,GD_Item_Name,$B1358,GD_Item_FiscalPeriod,BU$1354,GD_Update_Date,BU$1352)))</f>
        <v/>
      </c>
      <c r="BV1358" s="1902">
        <f>IF(ISBLANK(BV$1354),"N/A",IF(COUNTIFS(GD_Item_FiscalPeriod,BV$1354,GD_Item_Name,$B1358,GD_Update_Date,BV$1352)=0,"NR",SUMIFS(GD_Guidance_Low,GD_Item_Name,$B1358,GD_Item_FiscalPeriod,BV$1354,GD_Update_Date,BV$1352)))</f>
        <v/>
      </c>
      <c r="BW1358" s="1902">
        <f>IF(ISBLANK(BW$1354),"N/A",IF(COUNTIFS(GD_Item_FiscalPeriod,BW$1354,GD_Item_Name,$B1358,GD_Update_Date,BW$1352)=0,"NR",SUMIFS(GD_Guidance_Low,GD_Item_Name,$B1358,GD_Item_FiscalPeriod,BW$1354,GD_Update_Date,BW$1352)))</f>
        <v/>
      </c>
      <c r="BX1358" s="1902">
        <f>IF(ISBLANK(BX$1354),"N/A",IF(COUNTIFS(GD_Item_FiscalPeriod,BX$1354,GD_Item_Name,$B1358,GD_Update_Date,BX$1352)=0,"NR",SUMIFS(GD_Guidance_Low,GD_Item_Name,$B1358,GD_Item_FiscalPeriod,BX$1354,GD_Update_Date,BX$1352)))</f>
        <v/>
      </c>
      <c r="BY1358" s="1902">
        <f>IF(ISBLANK(BY$1354),"N/A",IF(COUNTIFS(GD_Item_FiscalPeriod,BY$1354,GD_Item_Name,$B1358,GD_Update_Date,BY$1352)=0,"NR",SUMIFS(GD_Guidance_Low,GD_Item_Name,$B1358,GD_Item_FiscalPeriod,BY$1354,GD_Update_Date,BY$1352)))</f>
        <v/>
      </c>
      <c r="BZ1358" s="1902">
        <f>IF(ISBLANK(BZ$1354),"N/A",IF(COUNTIFS(GD_Item_FiscalPeriod,BZ$1354,GD_Item_Name,$B1358,GD_Update_Date,BZ$1352)=0,"NR",SUMIFS(GD_Guidance_Low,GD_Item_Name,$B1358,GD_Item_FiscalPeriod,BZ$1354,GD_Update_Date,BZ$1352)))</f>
        <v/>
      </c>
      <c r="CA1358" s="2004">
        <f>IF(ISBLANK(CA$1354),"N/A",IF(COUNTIFS(GD_Item_FiscalPeriod,CA$1354,GD_Item_Name,$B1358,GD_Update_Date,CA$1352)=0,"NR",SUMIFS(GD_Guidance_Low,GD_Item_Name,$B1358,GD_Item_FiscalPeriod,CA$1354,GD_Update_Date,CA$1352)))</f>
        <v/>
      </c>
      <c r="CB1358" s="1472" t="n"/>
    </row>
    <row r="1359" ht="14.4" customFormat="1" customHeight="1" s="1549">
      <c r="A1359" s="2002" t="inlineStr">
        <is>
          <t>High - Non-GAAP Operating Income Margin, %</t>
        </is>
      </c>
      <c r="B1359" s="1520" t="inlineStr">
        <is>
          <t>MO_MA_OperatingIncome_NONGAAP</t>
        </is>
      </c>
      <c r="C1359" s="2003" t="n"/>
      <c r="D1359" s="2003" t="n"/>
      <c r="E1359" s="1902" t="n"/>
      <c r="F1359" s="1902" t="n"/>
      <c r="G1359" s="1902" t="n"/>
      <c r="H1359" s="1902" t="n"/>
      <c r="I1359" s="1902" t="n"/>
      <c r="J1359" s="1902" t="n"/>
      <c r="K1359" s="1902" t="n"/>
      <c r="L1359" s="1902" t="n"/>
      <c r="M1359" s="1902" t="n"/>
      <c r="N1359" s="1902" t="n"/>
      <c r="O1359" s="1902" t="n"/>
      <c r="P1359" s="1902" t="n"/>
      <c r="Q1359" s="1902" t="n"/>
      <c r="R1359" s="1902" t="n"/>
      <c r="S1359" s="1902" t="n"/>
      <c r="T1359" s="1902" t="n"/>
      <c r="U1359" s="1902" t="n"/>
      <c r="V1359" s="1902" t="n"/>
      <c r="W1359" s="1902" t="n"/>
      <c r="X1359" s="1902" t="n"/>
      <c r="Y1359" s="1902" t="n"/>
      <c r="Z1359" s="1902" t="n"/>
      <c r="AA1359" s="1902" t="n"/>
      <c r="AB1359" s="1902" t="n"/>
      <c r="AC1359" s="1902">
        <f>IF(ISBLANK(AC$1354),"N/A",IF(COUNTIFS(GD_Item_FiscalPeriod,AC$1354,GD_Item_Name,$B1359,GD_Update_Date,AC$1352)=0,"NR",SUMIFS(GD_Guidance_High,GD_Item_Name,$B1359,GD_Item_FiscalPeriod,AC$1354,GD_Update_Date,AC$1352)))</f>
        <v/>
      </c>
      <c r="AD1359" s="1902">
        <f>IF(ISBLANK(AD$1354),"N/A",IF(COUNTIFS(GD_Item_FiscalPeriod,AD$1354,GD_Item_Name,$B1359,GD_Update_Date,AD$1352)=0,"NR",SUMIFS(GD_Guidance_High,GD_Item_Name,$B1359,GD_Item_FiscalPeriod,AD$1354,GD_Update_Date,AD$1352)))</f>
        <v/>
      </c>
      <c r="AE1359" s="1902">
        <f>IF(ISBLANK(AE$1354),"N/A",IF(COUNTIFS(GD_Item_FiscalPeriod,AE$1354,GD_Item_Name,$B1359,GD_Update_Date,AE$1352)=0,"NR",SUMIFS(GD_Guidance_High,GD_Item_Name,$B1359,GD_Item_FiscalPeriod,AE$1354,GD_Update_Date,AE$1352)))</f>
        <v/>
      </c>
      <c r="AF1359" s="1902">
        <f>IF(ISBLANK(AF$1354),"N/A",IF(COUNTIFS(GD_Item_FiscalPeriod,AF$1354,GD_Item_Name,$B1359,GD_Update_Date,AF$1352)=0,"NR",SUMIFS(GD_Guidance_High,GD_Item_Name,$B1359,GD_Item_FiscalPeriod,AF$1354,GD_Update_Date,AF$1352)))</f>
        <v/>
      </c>
      <c r="AG1359" s="1902">
        <f>IF(ISBLANK(AG$1354),"N/A",IF(COUNTIFS(GD_Item_FiscalPeriod,AG$1354,GD_Item_Name,$B1359,GD_Update_Date,AG$1352)=0,"NR",SUMIFS(GD_Guidance_High,GD_Item_Name,$B1359,GD_Item_FiscalPeriod,AG$1354,GD_Update_Date,AG$1352)))</f>
        <v/>
      </c>
      <c r="AH1359" s="1902">
        <f>IF(ISBLANK(AH$1354),"N/A",IF(COUNTIFS(GD_Item_FiscalPeriod,AH$1354,GD_Item_Name,$B1359,GD_Update_Date,AH$1352)=0,"NR",SUMIFS(GD_Guidance_High,GD_Item_Name,$B1359,GD_Item_FiscalPeriod,AH$1354,GD_Update_Date,AH$1352)))</f>
        <v/>
      </c>
      <c r="AI1359" s="1902">
        <f>IF(ISBLANK(AI$1354),"N/A",IF(COUNTIFS(GD_Item_FiscalPeriod,AI$1354,GD_Item_Name,$B1359,GD_Update_Date,AI$1352)=0,"NR",SUMIFS(GD_Guidance_High,GD_Item_Name,$B1359,GD_Item_FiscalPeriod,AI$1354,GD_Update_Date,AI$1352)))</f>
        <v/>
      </c>
      <c r="AJ1359" s="1902">
        <f>IF(ISBLANK(AJ$1354),"N/A",IF(COUNTIFS(GD_Item_FiscalPeriod,AJ$1354,GD_Item_Name,$B1359,GD_Update_Date,AJ$1352)=0,"NR",SUMIFS(GD_Guidance_High,GD_Item_Name,$B1359,GD_Item_FiscalPeriod,AJ$1354,GD_Update_Date,AJ$1352)))</f>
        <v/>
      </c>
      <c r="AK1359" s="1902">
        <f>IF(ISBLANK(AK$1354),"N/A",IF(COUNTIFS(GD_Item_FiscalPeriod,AK$1354,GD_Item_Name,$B1359,GD_Update_Date,AK$1352)=0,"NR",SUMIFS(GD_Guidance_High,GD_Item_Name,$B1359,GD_Item_FiscalPeriod,AK$1354,GD_Update_Date,AK$1352)))</f>
        <v/>
      </c>
      <c r="AL1359" s="1902">
        <f>IF(ISBLANK(AL$1354),"N/A",IF(COUNTIFS(GD_Item_FiscalPeriod,AL$1354,GD_Item_Name,$B1359,GD_Update_Date,AL$1352)=0,"NR",SUMIFS(GD_Guidance_High,GD_Item_Name,$B1359,GD_Item_FiscalPeriod,AL$1354,GD_Update_Date,AL$1352)))</f>
        <v/>
      </c>
      <c r="AM1359" s="1902">
        <f>IF(ISBLANK(AM$1354),"N/A",IF(COUNTIFS(GD_Item_FiscalPeriod,AM$1354,GD_Item_Name,$B1359,GD_Update_Date,AM$1352)=0,"NR",SUMIFS(GD_Guidance_High,GD_Item_Name,$B1359,GD_Item_FiscalPeriod,AM$1354,GD_Update_Date,AM$1352)))</f>
        <v/>
      </c>
      <c r="AN1359" s="1902">
        <f>IF(ISBLANK(AN$1354),"N/A",IF(COUNTIFS(GD_Item_FiscalPeriod,AN$1354,GD_Item_Name,$B1359,GD_Update_Date,AN$1352)=0,"NR",SUMIFS(GD_Guidance_High,GD_Item_Name,$B1359,GD_Item_FiscalPeriod,AN$1354,GD_Update_Date,AN$1352)))</f>
        <v/>
      </c>
      <c r="AO1359" s="1902">
        <f>IF(ISBLANK(AO$1354),"N/A",IF(COUNTIFS(GD_Item_FiscalPeriod,AO$1354,GD_Item_Name,$B1359,GD_Update_Date,AO$1352)=0,"NR",SUMIFS(GD_Guidance_High,GD_Item_Name,$B1359,GD_Item_FiscalPeriod,AO$1354,GD_Update_Date,AO$1352)))</f>
        <v/>
      </c>
      <c r="AP1359" s="1902">
        <f>IF(ISBLANK(AP$1354),"N/A",IF(COUNTIFS(GD_Item_FiscalPeriod,AP$1354,GD_Item_Name,$B1359,GD_Update_Date,AP$1352)=0,"NR",SUMIFS(GD_Guidance_High,GD_Item_Name,$B1359,GD_Item_FiscalPeriod,AP$1354,GD_Update_Date,AP$1352)))</f>
        <v/>
      </c>
      <c r="AQ1359" s="1902">
        <f>IF(ISBLANK(AQ$1354),"N/A",IF(COUNTIFS(GD_Item_FiscalPeriod,AQ$1354,GD_Item_Name,$B1359,GD_Update_Date,AQ$1352)=0,"NR",SUMIFS(GD_Guidance_High,GD_Item_Name,$B1359,GD_Item_FiscalPeriod,AQ$1354,GD_Update_Date,AQ$1352)))</f>
        <v/>
      </c>
      <c r="AR1359" s="1902">
        <f>IF(ISBLANK(AR$1354),"N/A",IF(COUNTIFS(GD_Item_FiscalPeriod,AR$1354,GD_Item_Name,$B1359,GD_Update_Date,AR$1352)=0,"NR",SUMIFS(GD_Guidance_High,GD_Item_Name,$B1359,GD_Item_FiscalPeriod,AR$1354,GD_Update_Date,AR$1352)))</f>
        <v/>
      </c>
      <c r="AS1359" s="1902">
        <f>IF(ISBLANK(AS$1354),"N/A",IF(COUNTIFS(GD_Item_FiscalPeriod,AS$1354,GD_Item_Name,$B1359,GD_Update_Date,AS$1352)=0,"NR",SUMIFS(GD_Guidance_High,GD_Item_Name,$B1359,GD_Item_FiscalPeriod,AS$1354,GD_Update_Date,AS$1352)))</f>
        <v/>
      </c>
      <c r="AT1359" s="1902">
        <f>IF(ISBLANK(AT$1354),"N/A",IF(COUNTIFS(GD_Item_FiscalPeriod,AT$1354,GD_Item_Name,$B1359,GD_Update_Date,AT$1352)=0,"NR",SUMIFS(GD_Guidance_High,GD_Item_Name,$B1359,GD_Item_FiscalPeriod,AT$1354,GD_Update_Date,AT$1352)))</f>
        <v/>
      </c>
      <c r="AU1359" s="1902">
        <f>IF(ISBLANK(AU$1354),"N/A",IF(COUNTIFS(GD_Item_FiscalPeriod,AU$1354,GD_Item_Name,$B1359,GD_Update_Date,AU$1352)=0,"NR",SUMIFS(GD_Guidance_High,GD_Item_Name,$B1359,GD_Item_FiscalPeriod,AU$1354,GD_Update_Date,AU$1352)))</f>
        <v/>
      </c>
      <c r="AV1359" s="1902">
        <f>IF(ISBLANK(AV$1354),"N/A",IF(COUNTIFS(GD_Item_FiscalPeriod,AV$1354,GD_Item_Name,$B1359,GD_Update_Date,AV$1352)=0,"NR",SUMIFS(GD_Guidance_High,GD_Item_Name,$B1359,GD_Item_FiscalPeriod,AV$1354,GD_Update_Date,AV$1352)))</f>
        <v/>
      </c>
      <c r="AW1359" s="1902">
        <f>IF(ISBLANK(AW$1354),"N/A",IF(COUNTIFS(GD_Item_FiscalPeriod,AW$1354,GD_Item_Name,$B1359,GD_Update_Date,AW$1352)=0,"NR",SUMIFS(GD_Guidance_High,GD_Item_Name,$B1359,GD_Item_FiscalPeriod,AW$1354,GD_Update_Date,AW$1352)))</f>
        <v/>
      </c>
      <c r="AX1359" s="1902">
        <f>IF(ISBLANK(AX$1354),"N/A",IF(COUNTIFS(GD_Item_FiscalPeriod,AX$1354,GD_Item_Name,$B1359,GD_Update_Date,AX$1352)=0,"NR",SUMIFS(GD_Guidance_High,GD_Item_Name,$B1359,GD_Item_FiscalPeriod,AX$1354,GD_Update_Date,AX$1352)))</f>
        <v/>
      </c>
      <c r="AY1359" s="1902">
        <f>IF(ISBLANK(AY$1354),"N/A",IF(COUNTIFS(GD_Item_FiscalPeriod,AY$1354,GD_Item_Name,$B1359,GD_Update_Date,AY$1352)=0,"NR",SUMIFS(GD_Guidance_High,GD_Item_Name,$B1359,GD_Item_FiscalPeriod,AY$1354,GD_Update_Date,AY$1352)))</f>
        <v/>
      </c>
      <c r="AZ1359" s="1902">
        <f>IF(ISBLANK(AZ$1354),"N/A",IF(COUNTIFS(GD_Item_FiscalPeriod,AZ$1354,GD_Item_Name,$B1359,GD_Update_Date,AZ$1352)=0,"NR",SUMIFS(GD_Guidance_High,GD_Item_Name,$B1359,GD_Item_FiscalPeriod,AZ$1354,GD_Update_Date,AZ$1352)))</f>
        <v/>
      </c>
      <c r="BA1359" s="1902">
        <f>IF(ISBLANK(BA$1354),"N/A",IF(COUNTIFS(GD_Item_FiscalPeriod,BA$1354,GD_Item_Name,$B1359,GD_Update_Date,BA$1352)=0,"NR",SUMIFS(GD_Guidance_High,GD_Item_Name,$B1359,GD_Item_FiscalPeriod,BA$1354,GD_Update_Date,BA$1352)))</f>
        <v/>
      </c>
      <c r="BB1359" s="1902">
        <f>IF(ISBLANK(BB$1354),"N/A",IF(COUNTIFS(GD_Item_FiscalPeriod,BB$1354,GD_Item_Name,$B1359,GD_Update_Date,BB$1352)=0,"NR",SUMIFS(GD_Guidance_High,GD_Item_Name,$B1359,GD_Item_FiscalPeriod,BB$1354,GD_Update_Date,BB$1352)))</f>
        <v/>
      </c>
      <c r="BC1359" s="1902">
        <f>IF(ISBLANK(BC$1354),"N/A",IF(COUNTIFS(GD_Item_FiscalPeriod,BC$1354,GD_Item_Name,$B1359,GD_Update_Date,BC$1352)=0,"NR",SUMIFS(GD_Guidance_High,GD_Item_Name,$B1359,GD_Item_FiscalPeriod,BC$1354,GD_Update_Date,BC$1352)))</f>
        <v/>
      </c>
      <c r="BD1359" s="1902">
        <f>IF(ISBLANK(BD$1354),"N/A",IF(COUNTIFS(GD_Item_FiscalPeriod,BD$1354,GD_Item_Name,$B1359,GD_Update_Date,BD$1352)=0,"NR",SUMIFS(GD_Guidance_High,GD_Item_Name,$B1359,GD_Item_FiscalPeriod,BD$1354,GD_Update_Date,BD$1352)))</f>
        <v/>
      </c>
      <c r="BE1359" s="1902">
        <f>IF(ISBLANK(BE$1354),"N/A",IF(COUNTIFS(GD_Item_FiscalPeriod,BE$1354,GD_Item_Name,$B1359,GD_Update_Date,BE$1352)=0,"NR",SUMIFS(GD_Guidance_High,GD_Item_Name,$B1359,GD_Item_FiscalPeriod,BE$1354,GD_Update_Date,BE$1352)))</f>
        <v/>
      </c>
      <c r="BF1359" s="1902">
        <f>IF(ISBLANK(BF$1354),"N/A",IF(COUNTIFS(GD_Item_FiscalPeriod,BF$1354,GD_Item_Name,$B1359,GD_Update_Date,BF$1352)=0,"NR",SUMIFS(GD_Guidance_High,GD_Item_Name,$B1359,GD_Item_FiscalPeriod,BF$1354,GD_Update_Date,BF$1352)))</f>
        <v/>
      </c>
      <c r="BG1359" s="1902">
        <f>IF(ISBLANK(BG$1354),"N/A",IF(COUNTIFS(GD_Item_FiscalPeriod,BG$1354,GD_Item_Name,$B1359,GD_Update_Date,BG$1352)=0,"NR",SUMIFS(GD_Guidance_High,GD_Item_Name,$B1359,GD_Item_FiscalPeriod,BG$1354,GD_Update_Date,BG$1352)))</f>
        <v/>
      </c>
      <c r="BH1359" s="1902">
        <f>IF(ISBLANK(BH$1354),"N/A",IF(COUNTIFS(GD_Item_FiscalPeriod,BH$1354,GD_Item_Name,$B1359,GD_Update_Date,BH$1352)=0,"NR",SUMIFS(GD_Guidance_High,GD_Item_Name,$B1359,GD_Item_FiscalPeriod,BH$1354,GD_Update_Date,BH$1352)))</f>
        <v/>
      </c>
      <c r="BI1359" s="1902">
        <f>IF(ISBLANK(BI$1354),"N/A",IF(COUNTIFS(GD_Item_FiscalPeriod,BI$1354,GD_Item_Name,$B1359,GD_Update_Date,BI$1352)=0,"NR",SUMIFS(GD_Guidance_High,GD_Item_Name,$B1359,GD_Item_FiscalPeriod,BI$1354,GD_Update_Date,BI$1352)))</f>
        <v/>
      </c>
      <c r="BJ1359" s="1902">
        <f>IF(ISBLANK(BJ$1354),"N/A",IF(COUNTIFS(GD_Item_FiscalPeriod,BJ$1354,GD_Item_Name,$B1359,GD_Update_Date,BJ$1352)=0,"NR",SUMIFS(GD_Guidance_High,GD_Item_Name,$B1359,GD_Item_FiscalPeriod,BJ$1354,GD_Update_Date,BJ$1352)))</f>
        <v/>
      </c>
      <c r="BK1359" s="1902">
        <f>IF(ISBLANK(BK$1354),"N/A",IF(COUNTIFS(GD_Item_FiscalPeriod,BK$1354,GD_Item_Name,$B1359,GD_Update_Date,BK$1352)=0,"NR",SUMIFS(GD_Guidance_High,GD_Item_Name,$B1359,GD_Item_FiscalPeriod,BK$1354,GD_Update_Date,BK$1352)))</f>
        <v/>
      </c>
      <c r="BL1359" s="1902">
        <f>IF(ISBLANK(BL$1354),"N/A",IF(COUNTIFS(GD_Item_FiscalPeriod,BL$1354,GD_Item_Name,$B1359,GD_Update_Date,BL$1352)=0,"NR",SUMIFS(GD_Guidance_High,GD_Item_Name,$B1359,GD_Item_FiscalPeriod,BL$1354,GD_Update_Date,BL$1352)))</f>
        <v/>
      </c>
      <c r="BM1359" s="1902">
        <f>IF(ISBLANK(BM$1354),"N/A",IF(COUNTIFS(GD_Item_FiscalPeriod,BM$1354,GD_Item_Name,$B1359,GD_Update_Date,BM$1352)=0,"NR",SUMIFS(GD_Guidance_High,GD_Item_Name,$B1359,GD_Item_FiscalPeriod,BM$1354,GD_Update_Date,BM$1352)))</f>
        <v/>
      </c>
      <c r="BN1359" s="1902">
        <f>IF(ISBLANK(BN$1354),"N/A",IF(COUNTIFS(GD_Item_FiscalPeriod,BN$1354,GD_Item_Name,$B1359,GD_Update_Date,BN$1352)=0,"NR",SUMIFS(GD_Guidance_High,GD_Item_Name,$B1359,GD_Item_FiscalPeriod,BN$1354,GD_Update_Date,BN$1352)))</f>
        <v/>
      </c>
      <c r="BO1359" s="1902">
        <f>IF(ISBLANK(BO$1354),"N/A",IF(COUNTIFS(GD_Item_FiscalPeriod,BO$1354,GD_Item_Name,$B1359,GD_Update_Date,BO$1352)=0,"NR",SUMIFS(GD_Guidance_High,GD_Item_Name,$B1359,GD_Item_FiscalPeriod,BO$1354,GD_Update_Date,BO$1352)))</f>
        <v/>
      </c>
      <c r="BP1359" s="1902">
        <f>IF(ISBLANK(BP$1354),"N/A",IF(COUNTIFS(GD_Item_FiscalPeriod,BP$1354,GD_Item_Name,$B1359,GD_Update_Date,BP$1352)=0,"NR",SUMIFS(GD_Guidance_High,GD_Item_Name,$B1359,GD_Item_FiscalPeriod,BP$1354,GD_Update_Date,BP$1352)))</f>
        <v/>
      </c>
      <c r="BQ1359" s="1904">
        <f>IF(ISBLANK(BQ$1354),"N/A",IF(COUNTIFS(GD_Item_FiscalPeriod,BQ$1354,GD_Item_Name,$B1359,GD_Update_Date,BQ$1352)=0,"NR",SUMIFS(GD_Guidance_High,GD_Item_Name,$B1359,GD_Item_FiscalPeriod,BQ$1354,GD_Update_Date,BQ$1352)))</f>
        <v/>
      </c>
      <c r="BR1359" s="1902">
        <f>IF(ISBLANK(BR$1354),"N/A",IF(COUNTIFS(GD_Item_FiscalPeriod,BR$1354,GD_Item_Name,$B1359,GD_Update_Date,BR$1352)=0,"NR",SUMIFS(GD_Guidance_High,GD_Item_Name,$B1359,GD_Item_FiscalPeriod,BR$1354,GD_Update_Date,BR$1352)))</f>
        <v/>
      </c>
      <c r="BS1359" s="1902">
        <f>IF(ISBLANK(BS$1354),"N/A",IF(COUNTIFS(GD_Item_FiscalPeriod,BS$1354,GD_Item_Name,$B1359,GD_Update_Date,BS$1352)=0,"NR",SUMIFS(GD_Guidance_High,GD_Item_Name,$B1359,GD_Item_FiscalPeriod,BS$1354,GD_Update_Date,BS$1352)))</f>
        <v/>
      </c>
      <c r="BT1359" s="1902">
        <f>IF(ISBLANK(BT$1354),"N/A",IF(COUNTIFS(GD_Item_FiscalPeriod,BT$1354,GD_Item_Name,$B1359,GD_Update_Date,BT$1352)=0,"NR",SUMIFS(GD_Guidance_High,GD_Item_Name,$B1359,GD_Item_FiscalPeriod,BT$1354,GD_Update_Date,BT$1352)))</f>
        <v/>
      </c>
      <c r="BU1359" s="1902">
        <f>IF(ISBLANK(BU$1354),"N/A",IF(COUNTIFS(GD_Item_FiscalPeriod,BU$1354,GD_Item_Name,$B1359,GD_Update_Date,BU$1352)=0,"NR",SUMIFS(GD_Guidance_High,GD_Item_Name,$B1359,GD_Item_FiscalPeriod,BU$1354,GD_Update_Date,BU$1352)))</f>
        <v/>
      </c>
      <c r="BV1359" s="1902">
        <f>IF(ISBLANK(BV$1354),"N/A",IF(COUNTIFS(GD_Item_FiscalPeriod,BV$1354,GD_Item_Name,$B1359,GD_Update_Date,BV$1352)=0,"NR",SUMIFS(GD_Guidance_High,GD_Item_Name,$B1359,GD_Item_FiscalPeriod,BV$1354,GD_Update_Date,BV$1352)))</f>
        <v/>
      </c>
      <c r="BW1359" s="1902">
        <f>IF(ISBLANK(BW$1354),"N/A",IF(COUNTIFS(GD_Item_FiscalPeriod,BW$1354,GD_Item_Name,$B1359,GD_Update_Date,BW$1352)=0,"NR",SUMIFS(GD_Guidance_High,GD_Item_Name,$B1359,GD_Item_FiscalPeriod,BW$1354,GD_Update_Date,BW$1352)))</f>
        <v/>
      </c>
      <c r="BX1359" s="1902">
        <f>IF(ISBLANK(BX$1354),"N/A",IF(COUNTIFS(GD_Item_FiscalPeriod,BX$1354,GD_Item_Name,$B1359,GD_Update_Date,BX$1352)=0,"NR",SUMIFS(GD_Guidance_High,GD_Item_Name,$B1359,GD_Item_FiscalPeriod,BX$1354,GD_Update_Date,BX$1352)))</f>
        <v/>
      </c>
      <c r="BY1359" s="1902">
        <f>IF(ISBLANK(BY$1354),"N/A",IF(COUNTIFS(GD_Item_FiscalPeriod,BY$1354,GD_Item_Name,$B1359,GD_Update_Date,BY$1352)=0,"NR",SUMIFS(GD_Guidance_High,GD_Item_Name,$B1359,GD_Item_FiscalPeriod,BY$1354,GD_Update_Date,BY$1352)))</f>
        <v/>
      </c>
      <c r="BZ1359" s="1902">
        <f>IF(ISBLANK(BZ$1354),"N/A",IF(COUNTIFS(GD_Item_FiscalPeriod,BZ$1354,GD_Item_Name,$B1359,GD_Update_Date,BZ$1352)=0,"NR",SUMIFS(GD_Guidance_High,GD_Item_Name,$B1359,GD_Item_FiscalPeriod,BZ$1354,GD_Update_Date,BZ$1352)))</f>
        <v/>
      </c>
      <c r="CA1359" s="2004">
        <f>IF(ISBLANK(CA$1354),"N/A",IF(COUNTIFS(GD_Item_FiscalPeriod,CA$1354,GD_Item_Name,$B1359,GD_Update_Date,CA$1352)=0,"NR",SUMIFS(GD_Guidance_High,GD_Item_Name,$B1359,GD_Item_FiscalPeriod,CA$1354,GD_Update_Date,CA$1352)))</f>
        <v/>
      </c>
      <c r="CB1359" s="1472" t="n"/>
    </row>
    <row r="1360" ht="14.4" customFormat="1" customHeight="1" s="1549">
      <c r="A1360" s="2002" t="inlineStr">
        <is>
          <t>Mid - Non-GAAP Operating Income Margin, %</t>
        </is>
      </c>
      <c r="B1360" s="1520" t="inlineStr">
        <is>
          <t>MO_MA_OperatingIncome_NONGAAP</t>
        </is>
      </c>
      <c r="C1360" s="2003" t="n"/>
      <c r="D1360" s="2003" t="n"/>
      <c r="E1360" s="1902" t="n"/>
      <c r="F1360" s="1902" t="n"/>
      <c r="G1360" s="1902" t="n"/>
      <c r="H1360" s="1902" t="n"/>
      <c r="I1360" s="1902" t="n"/>
      <c r="J1360" s="1902" t="n"/>
      <c r="K1360" s="1902" t="n"/>
      <c r="L1360" s="1902" t="n"/>
      <c r="M1360" s="1902" t="n"/>
      <c r="N1360" s="1902" t="n"/>
      <c r="O1360" s="1902" t="n"/>
      <c r="P1360" s="1902" t="n"/>
      <c r="Q1360" s="1902" t="n"/>
      <c r="R1360" s="1902" t="n"/>
      <c r="S1360" s="1902" t="n"/>
      <c r="T1360" s="1902" t="n"/>
      <c r="U1360" s="1902" t="n"/>
      <c r="V1360" s="1902" t="n"/>
      <c r="W1360" s="1902" t="n"/>
      <c r="X1360" s="1902" t="n"/>
      <c r="Y1360" s="1902" t="n"/>
      <c r="Z1360" s="1902" t="n"/>
      <c r="AA1360" s="1902" t="n"/>
      <c r="AB1360" s="1902" t="n"/>
      <c r="AC1360" s="1902">
        <f>IF(ISBLANK(AC$1354),"N/A",IF(COUNTIFS(GD_Item_FiscalPeriod,AC$1354,GD_Item_Name,$B1360,GD_Update_Date,AC$1352)=0,"NR",SUMIFS(GD_Guidance_Mid,GD_Item_Name,$B1360,GD_Item_FiscalPeriod,AC$1354,GD_Update_Date,AC$1352)))</f>
        <v/>
      </c>
      <c r="AD1360" s="1902">
        <f>IF(ISBLANK(AD$1354),"N/A",IF(COUNTIFS(GD_Item_FiscalPeriod,AD$1354,GD_Item_Name,$B1360,GD_Update_Date,AD$1352)=0,"NR",SUMIFS(GD_Guidance_Mid,GD_Item_Name,$B1360,GD_Item_FiscalPeriod,AD$1354,GD_Update_Date,AD$1352)))</f>
        <v/>
      </c>
      <c r="AE1360" s="1902">
        <f>IF(ISBLANK(AE$1354),"N/A",IF(COUNTIFS(GD_Item_FiscalPeriod,AE$1354,GD_Item_Name,$B1360,GD_Update_Date,AE$1352)=0,"NR",SUMIFS(GD_Guidance_Mid,GD_Item_Name,$B1360,GD_Item_FiscalPeriod,AE$1354,GD_Update_Date,AE$1352)))</f>
        <v/>
      </c>
      <c r="AF1360" s="1902">
        <f>IF(ISBLANK(AF$1354),"N/A",IF(COUNTIFS(GD_Item_FiscalPeriod,AF$1354,GD_Item_Name,$B1360,GD_Update_Date,AF$1352)=0,"NR",SUMIFS(GD_Guidance_Mid,GD_Item_Name,$B1360,GD_Item_FiscalPeriod,AF$1354,GD_Update_Date,AF$1352)))</f>
        <v/>
      </c>
      <c r="AG1360" s="1902">
        <f>IF(ISBLANK(AG$1354),"N/A",IF(COUNTIFS(GD_Item_FiscalPeriod,AG$1354,GD_Item_Name,$B1360,GD_Update_Date,AG$1352)=0,"NR",SUMIFS(GD_Guidance_Mid,GD_Item_Name,$B1360,GD_Item_FiscalPeriod,AG$1354,GD_Update_Date,AG$1352)))</f>
        <v/>
      </c>
      <c r="AH1360" s="1902">
        <f>IF(ISBLANK(AH$1354),"N/A",IF(COUNTIFS(GD_Item_FiscalPeriod,AH$1354,GD_Item_Name,$B1360,GD_Update_Date,AH$1352)=0,"NR",SUMIFS(GD_Guidance_Mid,GD_Item_Name,$B1360,GD_Item_FiscalPeriod,AH$1354,GD_Update_Date,AH$1352)))</f>
        <v/>
      </c>
      <c r="AI1360" s="1902">
        <f>IF(ISBLANK(AI$1354),"N/A",IF(COUNTIFS(GD_Item_FiscalPeriod,AI$1354,GD_Item_Name,$B1360,GD_Update_Date,AI$1352)=0,"NR",SUMIFS(GD_Guidance_Mid,GD_Item_Name,$B1360,GD_Item_FiscalPeriod,AI$1354,GD_Update_Date,AI$1352)))</f>
        <v/>
      </c>
      <c r="AJ1360" s="1902">
        <f>IF(ISBLANK(AJ$1354),"N/A",IF(COUNTIFS(GD_Item_FiscalPeriod,AJ$1354,GD_Item_Name,$B1360,GD_Update_Date,AJ$1352)=0,"NR",SUMIFS(GD_Guidance_Mid,GD_Item_Name,$B1360,GD_Item_FiscalPeriod,AJ$1354,GD_Update_Date,AJ$1352)))</f>
        <v/>
      </c>
      <c r="AK1360" s="1902">
        <f>IF(ISBLANK(AK$1354),"N/A",IF(COUNTIFS(GD_Item_FiscalPeriod,AK$1354,GD_Item_Name,$B1360,GD_Update_Date,AK$1352)=0,"NR",SUMIFS(GD_Guidance_Mid,GD_Item_Name,$B1360,GD_Item_FiscalPeriod,AK$1354,GD_Update_Date,AK$1352)))</f>
        <v/>
      </c>
      <c r="AL1360" s="1902">
        <f>IF(ISBLANK(AL$1354),"N/A",IF(COUNTIFS(GD_Item_FiscalPeriod,AL$1354,GD_Item_Name,$B1360,GD_Update_Date,AL$1352)=0,"NR",SUMIFS(GD_Guidance_Mid,GD_Item_Name,$B1360,GD_Item_FiscalPeriod,AL$1354,GD_Update_Date,AL$1352)))</f>
        <v/>
      </c>
      <c r="AM1360" s="1902">
        <f>IF(ISBLANK(AM$1354),"N/A",IF(COUNTIFS(GD_Item_FiscalPeriod,AM$1354,GD_Item_Name,$B1360,GD_Update_Date,AM$1352)=0,"NR",SUMIFS(GD_Guidance_Mid,GD_Item_Name,$B1360,GD_Item_FiscalPeriod,AM$1354,GD_Update_Date,AM$1352)))</f>
        <v/>
      </c>
      <c r="AN1360" s="1902">
        <f>IF(ISBLANK(AN$1354),"N/A",IF(COUNTIFS(GD_Item_FiscalPeriod,AN$1354,GD_Item_Name,$B1360,GD_Update_Date,AN$1352)=0,"NR",SUMIFS(GD_Guidance_Mid,GD_Item_Name,$B1360,GD_Item_FiscalPeriod,AN$1354,GD_Update_Date,AN$1352)))</f>
        <v/>
      </c>
      <c r="AO1360" s="1902">
        <f>IF(ISBLANK(AO$1354),"N/A",IF(COUNTIFS(GD_Item_FiscalPeriod,AO$1354,GD_Item_Name,$B1360,GD_Update_Date,AO$1352)=0,"NR",SUMIFS(GD_Guidance_Mid,GD_Item_Name,$B1360,GD_Item_FiscalPeriod,AO$1354,GD_Update_Date,AO$1352)))</f>
        <v/>
      </c>
      <c r="AP1360" s="1902">
        <f>IF(ISBLANK(AP$1354),"N/A",IF(COUNTIFS(GD_Item_FiscalPeriod,AP$1354,GD_Item_Name,$B1360,GD_Update_Date,AP$1352)=0,"NR",SUMIFS(GD_Guidance_Mid,GD_Item_Name,$B1360,GD_Item_FiscalPeriod,AP$1354,GD_Update_Date,AP$1352)))</f>
        <v/>
      </c>
      <c r="AQ1360" s="1902">
        <f>IF(ISBLANK(AQ$1354),"N/A",IF(COUNTIFS(GD_Item_FiscalPeriod,AQ$1354,GD_Item_Name,$B1360,GD_Update_Date,AQ$1352)=0,"NR",SUMIFS(GD_Guidance_Mid,GD_Item_Name,$B1360,GD_Item_FiscalPeriod,AQ$1354,GD_Update_Date,AQ$1352)))</f>
        <v/>
      </c>
      <c r="AR1360" s="1902">
        <f>IF(ISBLANK(AR$1354),"N/A",IF(COUNTIFS(GD_Item_FiscalPeriod,AR$1354,GD_Item_Name,$B1360,GD_Update_Date,AR$1352)=0,"NR",SUMIFS(GD_Guidance_Mid,GD_Item_Name,$B1360,GD_Item_FiscalPeriod,AR$1354,GD_Update_Date,AR$1352)))</f>
        <v/>
      </c>
      <c r="AS1360" s="1902">
        <f>IF(ISBLANK(AS$1354),"N/A",IF(COUNTIFS(GD_Item_FiscalPeriod,AS$1354,GD_Item_Name,$B1360,GD_Update_Date,AS$1352)=0,"NR",SUMIFS(GD_Guidance_Mid,GD_Item_Name,$B1360,GD_Item_FiscalPeriod,AS$1354,GD_Update_Date,AS$1352)))</f>
        <v/>
      </c>
      <c r="AT1360" s="1902">
        <f>IF(ISBLANK(AT$1354),"N/A",IF(COUNTIFS(GD_Item_FiscalPeriod,AT$1354,GD_Item_Name,$B1360,GD_Update_Date,AT$1352)=0,"NR",SUMIFS(GD_Guidance_Mid,GD_Item_Name,$B1360,GD_Item_FiscalPeriod,AT$1354,GD_Update_Date,AT$1352)))</f>
        <v/>
      </c>
      <c r="AU1360" s="1902">
        <f>IF(ISBLANK(AU$1354),"N/A",IF(COUNTIFS(GD_Item_FiscalPeriod,AU$1354,GD_Item_Name,$B1360,GD_Update_Date,AU$1352)=0,"NR",SUMIFS(GD_Guidance_Mid,GD_Item_Name,$B1360,GD_Item_FiscalPeriod,AU$1354,GD_Update_Date,AU$1352)))</f>
        <v/>
      </c>
      <c r="AV1360" s="1902">
        <f>IF(ISBLANK(AV$1354),"N/A",IF(COUNTIFS(GD_Item_FiscalPeriod,AV$1354,GD_Item_Name,$B1360,GD_Update_Date,AV$1352)=0,"NR",SUMIFS(GD_Guidance_Mid,GD_Item_Name,$B1360,GD_Item_FiscalPeriod,AV$1354,GD_Update_Date,AV$1352)))</f>
        <v/>
      </c>
      <c r="AW1360" s="1902">
        <f>IF(ISBLANK(AW$1354),"N/A",IF(COUNTIFS(GD_Item_FiscalPeriod,AW$1354,GD_Item_Name,$B1360,GD_Update_Date,AW$1352)=0,"NR",SUMIFS(GD_Guidance_Mid,GD_Item_Name,$B1360,GD_Item_FiscalPeriod,AW$1354,GD_Update_Date,AW$1352)))</f>
        <v/>
      </c>
      <c r="AX1360" s="1902">
        <f>IF(ISBLANK(AX$1354),"N/A",IF(COUNTIFS(GD_Item_FiscalPeriod,AX$1354,GD_Item_Name,$B1360,GD_Update_Date,AX$1352)=0,"NR",SUMIFS(GD_Guidance_Mid,GD_Item_Name,$B1360,GD_Item_FiscalPeriod,AX$1354,GD_Update_Date,AX$1352)))</f>
        <v/>
      </c>
      <c r="AY1360" s="1902">
        <f>IF(ISBLANK(AY$1354),"N/A",IF(COUNTIFS(GD_Item_FiscalPeriod,AY$1354,GD_Item_Name,$B1360,GD_Update_Date,AY$1352)=0,"NR",SUMIFS(GD_Guidance_Mid,GD_Item_Name,$B1360,GD_Item_FiscalPeriod,AY$1354,GD_Update_Date,AY$1352)))</f>
        <v/>
      </c>
      <c r="AZ1360" s="1902">
        <f>IF(ISBLANK(AZ$1354),"N/A",IF(COUNTIFS(GD_Item_FiscalPeriod,AZ$1354,GD_Item_Name,$B1360,GD_Update_Date,AZ$1352)=0,"NR",SUMIFS(GD_Guidance_Mid,GD_Item_Name,$B1360,GD_Item_FiscalPeriod,AZ$1354,GD_Update_Date,AZ$1352)))</f>
        <v/>
      </c>
      <c r="BA1360" s="1902">
        <f>IF(ISBLANK(BA$1354),"N/A",IF(COUNTIFS(GD_Item_FiscalPeriod,BA$1354,GD_Item_Name,$B1360,GD_Update_Date,BA$1352)=0,"NR",SUMIFS(GD_Guidance_Mid,GD_Item_Name,$B1360,GD_Item_FiscalPeriod,BA$1354,GD_Update_Date,BA$1352)))</f>
        <v/>
      </c>
      <c r="BB1360" s="1902">
        <f>IF(ISBLANK(BB$1354),"N/A",IF(COUNTIFS(GD_Item_FiscalPeriod,BB$1354,GD_Item_Name,$B1360,GD_Update_Date,BB$1352)=0,"NR",SUMIFS(GD_Guidance_Mid,GD_Item_Name,$B1360,GD_Item_FiscalPeriod,BB$1354,GD_Update_Date,BB$1352)))</f>
        <v/>
      </c>
      <c r="BC1360" s="1902">
        <f>IF(ISBLANK(BC$1354),"N/A",IF(COUNTIFS(GD_Item_FiscalPeriod,BC$1354,GD_Item_Name,$B1360,GD_Update_Date,BC$1352)=0,"NR",SUMIFS(GD_Guidance_Mid,GD_Item_Name,$B1360,GD_Item_FiscalPeriod,BC$1354,GD_Update_Date,BC$1352)))</f>
        <v/>
      </c>
      <c r="BD1360" s="1902">
        <f>IF(ISBLANK(BD$1354),"N/A",IF(COUNTIFS(GD_Item_FiscalPeriod,BD$1354,GD_Item_Name,$B1360,GD_Update_Date,BD$1352)=0,"NR",SUMIFS(GD_Guidance_Mid,GD_Item_Name,$B1360,GD_Item_FiscalPeriod,BD$1354,GD_Update_Date,BD$1352)))</f>
        <v/>
      </c>
      <c r="BE1360" s="1902">
        <f>IF(ISBLANK(BE$1354),"N/A",IF(COUNTIFS(GD_Item_FiscalPeriod,BE$1354,GD_Item_Name,$B1360,GD_Update_Date,BE$1352)=0,"NR",SUMIFS(GD_Guidance_Mid,GD_Item_Name,$B1360,GD_Item_FiscalPeriod,BE$1354,GD_Update_Date,BE$1352)))</f>
        <v/>
      </c>
      <c r="BF1360" s="1902">
        <f>IF(ISBLANK(BF$1354),"N/A",IF(COUNTIFS(GD_Item_FiscalPeriod,BF$1354,GD_Item_Name,$B1360,GD_Update_Date,BF$1352)=0,"NR",SUMIFS(GD_Guidance_Mid,GD_Item_Name,$B1360,GD_Item_FiscalPeriod,BF$1354,GD_Update_Date,BF$1352)))</f>
        <v/>
      </c>
      <c r="BG1360" s="1902">
        <f>IF(ISBLANK(BG$1354),"N/A",IF(COUNTIFS(GD_Item_FiscalPeriod,BG$1354,GD_Item_Name,$B1360,GD_Update_Date,BG$1352)=0,"NR",SUMIFS(GD_Guidance_Mid,GD_Item_Name,$B1360,GD_Item_FiscalPeriod,BG$1354,GD_Update_Date,BG$1352)))</f>
        <v/>
      </c>
      <c r="BH1360" s="1902">
        <f>IF(ISBLANK(BH$1354),"N/A",IF(COUNTIFS(GD_Item_FiscalPeriod,BH$1354,GD_Item_Name,$B1360,GD_Update_Date,BH$1352)=0,"NR",SUMIFS(GD_Guidance_Mid,GD_Item_Name,$B1360,GD_Item_FiscalPeriod,BH$1354,GD_Update_Date,BH$1352)))</f>
        <v/>
      </c>
      <c r="BI1360" s="1902">
        <f>IF(ISBLANK(BI$1354),"N/A",IF(COUNTIFS(GD_Item_FiscalPeriod,BI$1354,GD_Item_Name,$B1360,GD_Update_Date,BI$1352)=0,"NR",SUMIFS(GD_Guidance_Mid,GD_Item_Name,$B1360,GD_Item_FiscalPeriod,BI$1354,GD_Update_Date,BI$1352)))</f>
        <v/>
      </c>
      <c r="BJ1360" s="1902">
        <f>IF(ISBLANK(BJ$1354),"N/A",IF(COUNTIFS(GD_Item_FiscalPeriod,BJ$1354,GD_Item_Name,$B1360,GD_Update_Date,BJ$1352)=0,"NR",SUMIFS(GD_Guidance_Mid,GD_Item_Name,$B1360,GD_Item_FiscalPeriod,BJ$1354,GD_Update_Date,BJ$1352)))</f>
        <v/>
      </c>
      <c r="BK1360" s="1902">
        <f>IF(ISBLANK(BK$1354),"N/A",IF(COUNTIFS(GD_Item_FiscalPeriod,BK$1354,GD_Item_Name,$B1360,GD_Update_Date,BK$1352)=0,"NR",SUMIFS(GD_Guidance_Mid,GD_Item_Name,$B1360,GD_Item_FiscalPeriod,BK$1354,GD_Update_Date,BK$1352)))</f>
        <v/>
      </c>
      <c r="BL1360" s="1902">
        <f>IF(ISBLANK(BL$1354),"N/A",IF(COUNTIFS(GD_Item_FiscalPeriod,BL$1354,GD_Item_Name,$B1360,GD_Update_Date,BL$1352)=0,"NR",SUMIFS(GD_Guidance_Mid,GD_Item_Name,$B1360,GD_Item_FiscalPeriod,BL$1354,GD_Update_Date,BL$1352)))</f>
        <v/>
      </c>
      <c r="BM1360" s="1902">
        <f>IF(ISBLANK(BM$1354),"N/A",IF(COUNTIFS(GD_Item_FiscalPeriod,BM$1354,GD_Item_Name,$B1360,GD_Update_Date,BM$1352)=0,"NR",SUMIFS(GD_Guidance_Mid,GD_Item_Name,$B1360,GD_Item_FiscalPeriod,BM$1354,GD_Update_Date,BM$1352)))</f>
        <v/>
      </c>
      <c r="BN1360" s="1902">
        <f>IF(ISBLANK(BN$1354),"N/A",IF(COUNTIFS(GD_Item_FiscalPeriod,BN$1354,GD_Item_Name,$B1360,GD_Update_Date,BN$1352)=0,"NR",SUMIFS(GD_Guidance_Mid,GD_Item_Name,$B1360,GD_Item_FiscalPeriod,BN$1354,GD_Update_Date,BN$1352)))</f>
        <v/>
      </c>
      <c r="BO1360" s="1902">
        <f>IF(ISBLANK(BO$1354),"N/A",IF(COUNTIFS(GD_Item_FiscalPeriod,BO$1354,GD_Item_Name,$B1360,GD_Update_Date,BO$1352)=0,"NR",SUMIFS(GD_Guidance_Mid,GD_Item_Name,$B1360,GD_Item_FiscalPeriod,BO$1354,GD_Update_Date,BO$1352)))</f>
        <v/>
      </c>
      <c r="BP1360" s="1902">
        <f>IF(ISBLANK(BP$1354),"N/A",IF(COUNTIFS(GD_Item_FiscalPeriod,BP$1354,GD_Item_Name,$B1360,GD_Update_Date,BP$1352)=0,"NR",SUMIFS(GD_Guidance_Mid,GD_Item_Name,$B1360,GD_Item_FiscalPeriod,BP$1354,GD_Update_Date,BP$1352)))</f>
        <v/>
      </c>
      <c r="BQ1360" s="1904">
        <f>IF(ISBLANK(BQ$1354),"N/A",IF(COUNTIFS(GD_Item_FiscalPeriod,BQ$1354,GD_Item_Name,$B1360,GD_Update_Date,BQ$1352)=0,"NR",SUMIFS(GD_Guidance_Mid,GD_Item_Name,$B1360,GD_Item_FiscalPeriod,BQ$1354,GD_Update_Date,BQ$1352)))</f>
        <v/>
      </c>
      <c r="BR1360" s="1902">
        <f>IF(ISBLANK(BR$1354),"N/A",IF(COUNTIFS(GD_Item_FiscalPeriod,BR$1354,GD_Item_Name,$B1360,GD_Update_Date,BR$1352)=0,"NR",SUMIFS(GD_Guidance_Mid,GD_Item_Name,$B1360,GD_Item_FiscalPeriod,BR$1354,GD_Update_Date,BR$1352)))</f>
        <v/>
      </c>
      <c r="BS1360" s="1902">
        <f>IF(ISBLANK(BS$1354),"N/A",IF(COUNTIFS(GD_Item_FiscalPeriod,BS$1354,GD_Item_Name,$B1360,GD_Update_Date,BS$1352)=0,"NR",SUMIFS(GD_Guidance_Mid,GD_Item_Name,$B1360,GD_Item_FiscalPeriod,BS$1354,GD_Update_Date,BS$1352)))</f>
        <v/>
      </c>
      <c r="BT1360" s="1902">
        <f>IF(ISBLANK(BT$1354),"N/A",IF(COUNTIFS(GD_Item_FiscalPeriod,BT$1354,GD_Item_Name,$B1360,GD_Update_Date,BT$1352)=0,"NR",SUMIFS(GD_Guidance_Mid,GD_Item_Name,$B1360,GD_Item_FiscalPeriod,BT$1354,GD_Update_Date,BT$1352)))</f>
        <v/>
      </c>
      <c r="BU1360" s="1902">
        <f>IF(ISBLANK(BU$1354),"N/A",IF(COUNTIFS(GD_Item_FiscalPeriod,BU$1354,GD_Item_Name,$B1360,GD_Update_Date,BU$1352)=0,"NR",SUMIFS(GD_Guidance_Mid,GD_Item_Name,$B1360,GD_Item_FiscalPeriod,BU$1354,GD_Update_Date,BU$1352)))</f>
        <v/>
      </c>
      <c r="BV1360" s="1902">
        <f>IF(ISBLANK(BV$1354),"N/A",IF(COUNTIFS(GD_Item_FiscalPeriod,BV$1354,GD_Item_Name,$B1360,GD_Update_Date,BV$1352)=0,"NR",SUMIFS(GD_Guidance_Mid,GD_Item_Name,$B1360,GD_Item_FiscalPeriod,BV$1354,GD_Update_Date,BV$1352)))</f>
        <v/>
      </c>
      <c r="BW1360" s="1902">
        <f>IF(ISBLANK(BW$1354),"N/A",IF(COUNTIFS(GD_Item_FiscalPeriod,BW$1354,GD_Item_Name,$B1360,GD_Update_Date,BW$1352)=0,"NR",SUMIFS(GD_Guidance_Mid,GD_Item_Name,$B1360,GD_Item_FiscalPeriod,BW$1354,GD_Update_Date,BW$1352)))</f>
        <v/>
      </c>
      <c r="BX1360" s="1902">
        <f>IF(ISBLANK(BX$1354),"N/A",IF(COUNTIFS(GD_Item_FiscalPeriod,BX$1354,GD_Item_Name,$B1360,GD_Update_Date,BX$1352)=0,"NR",SUMIFS(GD_Guidance_Mid,GD_Item_Name,$B1360,GD_Item_FiscalPeriod,BX$1354,GD_Update_Date,BX$1352)))</f>
        <v/>
      </c>
      <c r="BY1360" s="1902">
        <f>IF(ISBLANK(BY$1354),"N/A",IF(COUNTIFS(GD_Item_FiscalPeriod,BY$1354,GD_Item_Name,$B1360,GD_Update_Date,BY$1352)=0,"NR",SUMIFS(GD_Guidance_Mid,GD_Item_Name,$B1360,GD_Item_FiscalPeriod,BY$1354,GD_Update_Date,BY$1352)))</f>
        <v/>
      </c>
      <c r="BZ1360" s="1902">
        <f>IF(ISBLANK(BZ$1354),"N/A",IF(COUNTIFS(GD_Item_FiscalPeriod,BZ$1354,GD_Item_Name,$B1360,GD_Update_Date,BZ$1352)=0,"NR",SUMIFS(GD_Guidance_Mid,GD_Item_Name,$B1360,GD_Item_FiscalPeriod,BZ$1354,GD_Update_Date,BZ$1352)))</f>
        <v/>
      </c>
      <c r="CA1360" s="2004">
        <f>IF(ISBLANK(CA$1354),"N/A",IF(COUNTIFS(GD_Item_FiscalPeriod,CA$1354,GD_Item_Name,$B1360,GD_Update_Date,CA$1352)=0,"NR",SUMIFS(GD_Guidance_Mid,GD_Item_Name,$B1360,GD_Item_FiscalPeriod,CA$1354,GD_Update_Date,CA$1352)))</f>
        <v/>
      </c>
      <c r="CB1360" s="1472" t="n"/>
    </row>
    <row r="1361" ht="14.4" customFormat="1" customHeight="1" s="1549">
      <c r="A1361" s="2005" t="inlineStr">
        <is>
          <t>Low - Non-GAAP Adjusted Earnings Per Share - WAD, currency/share</t>
        </is>
      </c>
      <c r="B1361" s="2006" t="inlineStr">
        <is>
          <t>MO_RIS_EPS_WAD_Adj</t>
        </is>
      </c>
      <c r="C1361" s="2007" t="n"/>
      <c r="D1361" s="2007" t="n"/>
      <c r="E1361" s="1645" t="n"/>
      <c r="F1361" s="1645" t="n"/>
      <c r="G1361" s="1645" t="n"/>
      <c r="H1361" s="1645" t="n"/>
      <c r="I1361" s="1645" t="n"/>
      <c r="J1361" s="1645" t="n"/>
      <c r="K1361" s="1645" t="n"/>
      <c r="L1361" s="1645" t="n"/>
      <c r="M1361" s="1645" t="n"/>
      <c r="N1361" s="1645" t="n"/>
      <c r="O1361" s="1645" t="n"/>
      <c r="P1361" s="1645" t="n"/>
      <c r="Q1361" s="1645" t="n"/>
      <c r="R1361" s="1645" t="n"/>
      <c r="S1361" s="1645" t="n"/>
      <c r="T1361" s="1645" t="n"/>
      <c r="U1361" s="1645" t="n"/>
      <c r="V1361" s="1645" t="n"/>
      <c r="W1361" s="1645" t="n"/>
      <c r="X1361" s="1645" t="n"/>
      <c r="Y1361" s="1645" t="n"/>
      <c r="Z1361" s="1645" t="n"/>
      <c r="AA1361" s="1645" t="n"/>
      <c r="AB1361" s="1645" t="n"/>
      <c r="AC1361" s="1645">
        <f>IF(ISBLANK(AC$1354),"N/A",IF(COUNTIFS(GD_Item_FiscalPeriod,AC$1354,GD_Item_Name,$B1361,GD_Update_Date,AC$1352)=0,"NR",SUMIFS(GD_Guidance_Low,GD_Item_Name,$B1361,GD_Item_FiscalPeriod,AC$1354,GD_Update_Date,AC$1352)))</f>
        <v/>
      </c>
      <c r="AD1361" s="1645">
        <f>IF(ISBLANK(AD$1354),"N/A",IF(COUNTIFS(GD_Item_FiscalPeriod,AD$1354,GD_Item_Name,$B1361,GD_Update_Date,AD$1352)=0,"NR",SUMIFS(GD_Guidance_Low,GD_Item_Name,$B1361,GD_Item_FiscalPeriod,AD$1354,GD_Update_Date,AD$1352)))</f>
        <v/>
      </c>
      <c r="AE1361" s="1645">
        <f>IF(ISBLANK(AE$1354),"N/A",IF(COUNTIFS(GD_Item_FiscalPeriod,AE$1354,GD_Item_Name,$B1361,GD_Update_Date,AE$1352)=0,"NR",SUMIFS(GD_Guidance_Low,GD_Item_Name,$B1361,GD_Item_FiscalPeriod,AE$1354,GD_Update_Date,AE$1352)))</f>
        <v/>
      </c>
      <c r="AF1361" s="1645">
        <f>IF(ISBLANK(AF$1354),"N/A",IF(COUNTIFS(GD_Item_FiscalPeriod,AF$1354,GD_Item_Name,$B1361,GD_Update_Date,AF$1352)=0,"NR",SUMIFS(GD_Guidance_Low,GD_Item_Name,$B1361,GD_Item_FiscalPeriod,AF$1354,GD_Update_Date,AF$1352)))</f>
        <v/>
      </c>
      <c r="AG1361" s="1645">
        <f>IF(ISBLANK(AG$1354),"N/A",IF(COUNTIFS(GD_Item_FiscalPeriod,AG$1354,GD_Item_Name,$B1361,GD_Update_Date,AG$1352)=0,"NR",SUMIFS(GD_Guidance_Low,GD_Item_Name,$B1361,GD_Item_FiscalPeriod,AG$1354,GD_Update_Date,AG$1352)))</f>
        <v/>
      </c>
      <c r="AH1361" s="1645">
        <f>IF(ISBLANK(AH$1354),"N/A",IF(COUNTIFS(GD_Item_FiscalPeriod,AH$1354,GD_Item_Name,$B1361,GD_Update_Date,AH$1352)=0,"NR",SUMIFS(GD_Guidance_Low,GD_Item_Name,$B1361,GD_Item_FiscalPeriod,AH$1354,GD_Update_Date,AH$1352)))</f>
        <v/>
      </c>
      <c r="AI1361" s="1645">
        <f>IF(ISBLANK(AI$1354),"N/A",IF(COUNTIFS(GD_Item_FiscalPeriod,AI$1354,GD_Item_Name,$B1361,GD_Update_Date,AI$1352)=0,"NR",SUMIFS(GD_Guidance_Low,GD_Item_Name,$B1361,GD_Item_FiscalPeriod,AI$1354,GD_Update_Date,AI$1352)))</f>
        <v/>
      </c>
      <c r="AJ1361" s="1645">
        <f>IF(ISBLANK(AJ$1354),"N/A",IF(COUNTIFS(GD_Item_FiscalPeriod,AJ$1354,GD_Item_Name,$B1361,GD_Update_Date,AJ$1352)=0,"NR",SUMIFS(GD_Guidance_Low,GD_Item_Name,$B1361,GD_Item_FiscalPeriod,AJ$1354,GD_Update_Date,AJ$1352)))</f>
        <v/>
      </c>
      <c r="AK1361" s="1645">
        <f>IF(ISBLANK(AK$1354),"N/A",IF(COUNTIFS(GD_Item_FiscalPeriod,AK$1354,GD_Item_Name,$B1361,GD_Update_Date,AK$1352)=0,"NR",SUMIFS(GD_Guidance_Low,GD_Item_Name,$B1361,GD_Item_FiscalPeriod,AK$1354,GD_Update_Date,AK$1352)))</f>
        <v/>
      </c>
      <c r="AL1361" s="1645">
        <f>IF(ISBLANK(AL$1354),"N/A",IF(COUNTIFS(GD_Item_FiscalPeriod,AL$1354,GD_Item_Name,$B1361,GD_Update_Date,AL$1352)=0,"NR",SUMIFS(GD_Guidance_Low,GD_Item_Name,$B1361,GD_Item_FiscalPeriod,AL$1354,GD_Update_Date,AL$1352)))</f>
        <v/>
      </c>
      <c r="AM1361" s="1645">
        <f>IF(ISBLANK(AM$1354),"N/A",IF(COUNTIFS(GD_Item_FiscalPeriod,AM$1354,GD_Item_Name,$B1361,GD_Update_Date,AM$1352)=0,"NR",SUMIFS(GD_Guidance_Low,GD_Item_Name,$B1361,GD_Item_FiscalPeriod,AM$1354,GD_Update_Date,AM$1352)))</f>
        <v/>
      </c>
      <c r="AN1361" s="1645">
        <f>IF(ISBLANK(AN$1354),"N/A",IF(COUNTIFS(GD_Item_FiscalPeriod,AN$1354,GD_Item_Name,$B1361,GD_Update_Date,AN$1352)=0,"NR",SUMIFS(GD_Guidance_Low,GD_Item_Name,$B1361,GD_Item_FiscalPeriod,AN$1354,GD_Update_Date,AN$1352)))</f>
        <v/>
      </c>
      <c r="AO1361" s="1645">
        <f>IF(ISBLANK(AO$1354),"N/A",IF(COUNTIFS(GD_Item_FiscalPeriod,AO$1354,GD_Item_Name,$B1361,GD_Update_Date,AO$1352)=0,"NR",SUMIFS(GD_Guidance_Low,GD_Item_Name,$B1361,GD_Item_FiscalPeriod,AO$1354,GD_Update_Date,AO$1352)))</f>
        <v/>
      </c>
      <c r="AP1361" s="1645">
        <f>IF(ISBLANK(AP$1354),"N/A",IF(COUNTIFS(GD_Item_FiscalPeriod,AP$1354,GD_Item_Name,$B1361,GD_Update_Date,AP$1352)=0,"NR",SUMIFS(GD_Guidance_Low,GD_Item_Name,$B1361,GD_Item_FiscalPeriod,AP$1354,GD_Update_Date,AP$1352)))</f>
        <v/>
      </c>
      <c r="AQ1361" s="1645">
        <f>IF(ISBLANK(AQ$1354),"N/A",IF(COUNTIFS(GD_Item_FiscalPeriod,AQ$1354,GD_Item_Name,$B1361,GD_Update_Date,AQ$1352)=0,"NR",SUMIFS(GD_Guidance_Low,GD_Item_Name,$B1361,GD_Item_FiscalPeriod,AQ$1354,GD_Update_Date,AQ$1352)))</f>
        <v/>
      </c>
      <c r="AR1361" s="1645">
        <f>IF(ISBLANK(AR$1354),"N/A",IF(COUNTIFS(GD_Item_FiscalPeriod,AR$1354,GD_Item_Name,$B1361,GD_Update_Date,AR$1352)=0,"NR",SUMIFS(GD_Guidance_Low,GD_Item_Name,$B1361,GD_Item_FiscalPeriod,AR$1354,GD_Update_Date,AR$1352)))</f>
        <v/>
      </c>
      <c r="AS1361" s="1645">
        <f>IF(ISBLANK(AS$1354),"N/A",IF(COUNTIFS(GD_Item_FiscalPeriod,AS$1354,GD_Item_Name,$B1361,GD_Update_Date,AS$1352)=0,"NR",SUMIFS(GD_Guidance_Low,GD_Item_Name,$B1361,GD_Item_FiscalPeriod,AS$1354,GD_Update_Date,AS$1352)))</f>
        <v/>
      </c>
      <c r="AT1361" s="1645">
        <f>IF(ISBLANK(AT$1354),"N/A",IF(COUNTIFS(GD_Item_FiscalPeriod,AT$1354,GD_Item_Name,$B1361,GD_Update_Date,AT$1352)=0,"NR",SUMIFS(GD_Guidance_Low,GD_Item_Name,$B1361,GD_Item_FiscalPeriod,AT$1354,GD_Update_Date,AT$1352)))</f>
        <v/>
      </c>
      <c r="AU1361" s="1645">
        <f>IF(ISBLANK(AU$1354),"N/A",IF(COUNTIFS(GD_Item_FiscalPeriod,AU$1354,GD_Item_Name,$B1361,GD_Update_Date,AU$1352)=0,"NR",SUMIFS(GD_Guidance_Low,GD_Item_Name,$B1361,GD_Item_FiscalPeriod,AU$1354,GD_Update_Date,AU$1352)))</f>
        <v/>
      </c>
      <c r="AV1361" s="1645">
        <f>IF(ISBLANK(AV$1354),"N/A",IF(COUNTIFS(GD_Item_FiscalPeriod,AV$1354,GD_Item_Name,$B1361,GD_Update_Date,AV$1352)=0,"NR",SUMIFS(GD_Guidance_Low,GD_Item_Name,$B1361,GD_Item_FiscalPeriod,AV$1354,GD_Update_Date,AV$1352)))</f>
        <v/>
      </c>
      <c r="AW1361" s="1645">
        <f>IF(ISBLANK(AW$1354),"N/A",IF(COUNTIFS(GD_Item_FiscalPeriod,AW$1354,GD_Item_Name,$B1361,GD_Update_Date,AW$1352)=0,"NR",SUMIFS(GD_Guidance_Low,GD_Item_Name,$B1361,GD_Item_FiscalPeriod,AW$1354,GD_Update_Date,AW$1352)))</f>
        <v/>
      </c>
      <c r="AX1361" s="1645">
        <f>IF(ISBLANK(AX$1354),"N/A",IF(COUNTIFS(GD_Item_FiscalPeriod,AX$1354,GD_Item_Name,$B1361,GD_Update_Date,AX$1352)=0,"NR",SUMIFS(GD_Guidance_Low,GD_Item_Name,$B1361,GD_Item_FiscalPeriod,AX$1354,GD_Update_Date,AX$1352)))</f>
        <v/>
      </c>
      <c r="AY1361" s="1645">
        <f>IF(ISBLANK(AY$1354),"N/A",IF(COUNTIFS(GD_Item_FiscalPeriod,AY$1354,GD_Item_Name,$B1361,GD_Update_Date,AY$1352)=0,"NR",SUMIFS(GD_Guidance_Low,GD_Item_Name,$B1361,GD_Item_FiscalPeriod,AY$1354,GD_Update_Date,AY$1352)))</f>
        <v/>
      </c>
      <c r="AZ1361" s="1645">
        <f>IF(ISBLANK(AZ$1354),"N/A",IF(COUNTIFS(GD_Item_FiscalPeriod,AZ$1354,GD_Item_Name,$B1361,GD_Update_Date,AZ$1352)=0,"NR",SUMIFS(GD_Guidance_Low,GD_Item_Name,$B1361,GD_Item_FiscalPeriod,AZ$1354,GD_Update_Date,AZ$1352)))</f>
        <v/>
      </c>
      <c r="BA1361" s="1645">
        <f>IF(ISBLANK(BA$1354),"N/A",IF(COUNTIFS(GD_Item_FiscalPeriod,BA$1354,GD_Item_Name,$B1361,GD_Update_Date,BA$1352)=0,"NR",SUMIFS(GD_Guidance_Low,GD_Item_Name,$B1361,GD_Item_FiscalPeriod,BA$1354,GD_Update_Date,BA$1352)))</f>
        <v/>
      </c>
      <c r="BB1361" s="1645">
        <f>IF(ISBLANK(BB$1354),"N/A",IF(COUNTIFS(GD_Item_FiscalPeriod,BB$1354,GD_Item_Name,$B1361,GD_Update_Date,BB$1352)=0,"NR",SUMIFS(GD_Guidance_Low,GD_Item_Name,$B1361,GD_Item_FiscalPeriod,BB$1354,GD_Update_Date,BB$1352)))</f>
        <v/>
      </c>
      <c r="BC1361" s="1645">
        <f>IF(ISBLANK(BC$1354),"N/A",IF(COUNTIFS(GD_Item_FiscalPeriod,BC$1354,GD_Item_Name,$B1361,GD_Update_Date,BC$1352)=0,"NR",SUMIFS(GD_Guidance_Low,GD_Item_Name,$B1361,GD_Item_FiscalPeriod,BC$1354,GD_Update_Date,BC$1352)))</f>
        <v/>
      </c>
      <c r="BD1361" s="1645">
        <f>IF(ISBLANK(BD$1354),"N/A",IF(COUNTIFS(GD_Item_FiscalPeriod,BD$1354,GD_Item_Name,$B1361,GD_Update_Date,BD$1352)=0,"NR",SUMIFS(GD_Guidance_Low,GD_Item_Name,$B1361,GD_Item_FiscalPeriod,BD$1354,GD_Update_Date,BD$1352)))</f>
        <v/>
      </c>
      <c r="BE1361" s="1645">
        <f>IF(ISBLANK(BE$1354),"N/A",IF(COUNTIFS(GD_Item_FiscalPeriod,BE$1354,GD_Item_Name,$B1361,GD_Update_Date,BE$1352)=0,"NR",SUMIFS(GD_Guidance_Low,GD_Item_Name,$B1361,GD_Item_FiscalPeriod,BE$1354,GD_Update_Date,BE$1352)))</f>
        <v/>
      </c>
      <c r="BF1361" s="1645">
        <f>IF(ISBLANK(BF$1354),"N/A",IF(COUNTIFS(GD_Item_FiscalPeriod,BF$1354,GD_Item_Name,$B1361,GD_Update_Date,BF$1352)=0,"NR",SUMIFS(GD_Guidance_Low,GD_Item_Name,$B1361,GD_Item_FiscalPeriod,BF$1354,GD_Update_Date,BF$1352)))</f>
        <v/>
      </c>
      <c r="BG1361" s="1645">
        <f>IF(ISBLANK(BG$1354),"N/A",IF(COUNTIFS(GD_Item_FiscalPeriod,BG$1354,GD_Item_Name,$B1361,GD_Update_Date,BG$1352)=0,"NR",SUMIFS(GD_Guidance_Low,GD_Item_Name,$B1361,GD_Item_FiscalPeriod,BG$1354,GD_Update_Date,BG$1352)))</f>
        <v/>
      </c>
      <c r="BH1361" s="1645">
        <f>IF(ISBLANK(BH$1354),"N/A",IF(COUNTIFS(GD_Item_FiscalPeriod,BH$1354,GD_Item_Name,$B1361,GD_Update_Date,BH$1352)=0,"NR",SUMIFS(GD_Guidance_Low,GD_Item_Name,$B1361,GD_Item_FiscalPeriod,BH$1354,GD_Update_Date,BH$1352)))</f>
        <v/>
      </c>
      <c r="BI1361" s="1645">
        <f>IF(ISBLANK(BI$1354),"N/A",IF(COUNTIFS(GD_Item_FiscalPeriod,BI$1354,GD_Item_Name,$B1361,GD_Update_Date,BI$1352)=0,"NR",SUMIFS(GD_Guidance_Low,GD_Item_Name,$B1361,GD_Item_FiscalPeriod,BI$1354,GD_Update_Date,BI$1352)))</f>
        <v/>
      </c>
      <c r="BJ1361" s="1645">
        <f>IF(ISBLANK(BJ$1354),"N/A",IF(COUNTIFS(GD_Item_FiscalPeriod,BJ$1354,GD_Item_Name,$B1361,GD_Update_Date,BJ$1352)=0,"NR",SUMIFS(GD_Guidance_Low,GD_Item_Name,$B1361,GD_Item_FiscalPeriod,BJ$1354,GD_Update_Date,BJ$1352)))</f>
        <v/>
      </c>
      <c r="BK1361" s="1645">
        <f>IF(ISBLANK(BK$1354),"N/A",IF(COUNTIFS(GD_Item_FiscalPeriod,BK$1354,GD_Item_Name,$B1361,GD_Update_Date,BK$1352)=0,"NR",SUMIFS(GD_Guidance_Low,GD_Item_Name,$B1361,GD_Item_FiscalPeriod,BK$1354,GD_Update_Date,BK$1352)))</f>
        <v/>
      </c>
      <c r="BL1361" s="1645">
        <f>IF(ISBLANK(BL$1354),"N/A",IF(COUNTIFS(GD_Item_FiscalPeriod,BL$1354,GD_Item_Name,$B1361,GD_Update_Date,BL$1352)=0,"NR",SUMIFS(GD_Guidance_Low,GD_Item_Name,$B1361,GD_Item_FiscalPeriod,BL$1354,GD_Update_Date,BL$1352)))</f>
        <v/>
      </c>
      <c r="BM1361" s="1645">
        <f>IF(ISBLANK(BM$1354),"N/A",IF(COUNTIFS(GD_Item_FiscalPeriod,BM$1354,GD_Item_Name,$B1361,GD_Update_Date,BM$1352)=0,"NR",SUMIFS(GD_Guidance_Low,GD_Item_Name,$B1361,GD_Item_FiscalPeriod,BM$1354,GD_Update_Date,BM$1352)))</f>
        <v/>
      </c>
      <c r="BN1361" s="1645">
        <f>IF(ISBLANK(BN$1354),"N/A",IF(COUNTIFS(GD_Item_FiscalPeriod,BN$1354,GD_Item_Name,$B1361,GD_Update_Date,BN$1352)=0,"NR",SUMIFS(GD_Guidance_Low,GD_Item_Name,$B1361,GD_Item_FiscalPeriod,BN$1354,GD_Update_Date,BN$1352)))</f>
        <v/>
      </c>
      <c r="BO1361" s="1645">
        <f>IF(ISBLANK(BO$1354),"N/A",IF(COUNTIFS(GD_Item_FiscalPeriod,BO$1354,GD_Item_Name,$B1361,GD_Update_Date,BO$1352)=0,"NR",SUMIFS(GD_Guidance_Low,GD_Item_Name,$B1361,GD_Item_FiscalPeriod,BO$1354,GD_Update_Date,BO$1352)))</f>
        <v/>
      </c>
      <c r="BP1361" s="1645">
        <f>IF(ISBLANK(BP$1354),"N/A",IF(COUNTIFS(GD_Item_FiscalPeriod,BP$1354,GD_Item_Name,$B1361,GD_Update_Date,BP$1352)=0,"NR",SUMIFS(GD_Guidance_Low,GD_Item_Name,$B1361,GD_Item_FiscalPeriod,BP$1354,GD_Update_Date,BP$1352)))</f>
        <v/>
      </c>
      <c r="BQ1361" s="2008">
        <f>IF(ISBLANK(BQ$1354),"N/A",IF(COUNTIFS(GD_Item_FiscalPeriod,BQ$1354,GD_Item_Name,$B1361,GD_Update_Date,BQ$1352)=0,"NR",SUMIFS(GD_Guidance_Low,GD_Item_Name,$B1361,GD_Item_FiscalPeriod,BQ$1354,GD_Update_Date,BQ$1352)))</f>
        <v/>
      </c>
      <c r="BR1361" s="1645">
        <f>IF(ISBLANK(BR$1354),"N/A",IF(COUNTIFS(GD_Item_FiscalPeriod,BR$1354,GD_Item_Name,$B1361,GD_Update_Date,BR$1352)=0,"NR",SUMIFS(GD_Guidance_Low,GD_Item_Name,$B1361,GD_Item_FiscalPeriod,BR$1354,GD_Update_Date,BR$1352)))</f>
        <v/>
      </c>
      <c r="BS1361" s="1645">
        <f>IF(ISBLANK(BS$1354),"N/A",IF(COUNTIFS(GD_Item_FiscalPeriod,BS$1354,GD_Item_Name,$B1361,GD_Update_Date,BS$1352)=0,"NR",SUMIFS(GD_Guidance_Low,GD_Item_Name,$B1361,GD_Item_FiscalPeriod,BS$1354,GD_Update_Date,BS$1352)))</f>
        <v/>
      </c>
      <c r="BT1361" s="1645">
        <f>IF(ISBLANK(BT$1354),"N/A",IF(COUNTIFS(GD_Item_FiscalPeriod,BT$1354,GD_Item_Name,$B1361,GD_Update_Date,BT$1352)=0,"NR",SUMIFS(GD_Guidance_Low,GD_Item_Name,$B1361,GD_Item_FiscalPeriod,BT$1354,GD_Update_Date,BT$1352)))</f>
        <v/>
      </c>
      <c r="BU1361" s="1645">
        <f>IF(ISBLANK(BU$1354),"N/A",IF(COUNTIFS(GD_Item_FiscalPeriod,BU$1354,GD_Item_Name,$B1361,GD_Update_Date,BU$1352)=0,"NR",SUMIFS(GD_Guidance_Low,GD_Item_Name,$B1361,GD_Item_FiscalPeriod,BU$1354,GD_Update_Date,BU$1352)))</f>
        <v/>
      </c>
      <c r="BV1361" s="1645">
        <f>IF(ISBLANK(BV$1354),"N/A",IF(COUNTIFS(GD_Item_FiscalPeriod,BV$1354,GD_Item_Name,$B1361,GD_Update_Date,BV$1352)=0,"NR",SUMIFS(GD_Guidance_Low,GD_Item_Name,$B1361,GD_Item_FiscalPeriod,BV$1354,GD_Update_Date,BV$1352)))</f>
        <v/>
      </c>
      <c r="BW1361" s="1645">
        <f>IF(ISBLANK(BW$1354),"N/A",IF(COUNTIFS(GD_Item_FiscalPeriod,BW$1354,GD_Item_Name,$B1361,GD_Update_Date,BW$1352)=0,"NR",SUMIFS(GD_Guidance_Low,GD_Item_Name,$B1361,GD_Item_FiscalPeriod,BW$1354,GD_Update_Date,BW$1352)))</f>
        <v/>
      </c>
      <c r="BX1361" s="1645">
        <f>IF(ISBLANK(BX$1354),"N/A",IF(COUNTIFS(GD_Item_FiscalPeriod,BX$1354,GD_Item_Name,$B1361,GD_Update_Date,BX$1352)=0,"NR",SUMIFS(GD_Guidance_Low,GD_Item_Name,$B1361,GD_Item_FiscalPeriod,BX$1354,GD_Update_Date,BX$1352)))</f>
        <v/>
      </c>
      <c r="BY1361" s="1645">
        <f>IF(ISBLANK(BY$1354),"N/A",IF(COUNTIFS(GD_Item_FiscalPeriod,BY$1354,GD_Item_Name,$B1361,GD_Update_Date,BY$1352)=0,"NR",SUMIFS(GD_Guidance_Low,GD_Item_Name,$B1361,GD_Item_FiscalPeriod,BY$1354,GD_Update_Date,BY$1352)))</f>
        <v/>
      </c>
      <c r="BZ1361" s="1645">
        <f>IF(ISBLANK(BZ$1354),"N/A",IF(COUNTIFS(GD_Item_FiscalPeriod,BZ$1354,GD_Item_Name,$B1361,GD_Update_Date,BZ$1352)=0,"NR",SUMIFS(GD_Guidance_Low,GD_Item_Name,$B1361,GD_Item_FiscalPeriod,BZ$1354,GD_Update_Date,BZ$1352)))</f>
        <v/>
      </c>
      <c r="CA1361" s="2009">
        <f>IF(ISBLANK(CA$1354),"N/A",IF(COUNTIFS(GD_Item_FiscalPeriod,CA$1354,GD_Item_Name,$B1361,GD_Update_Date,CA$1352)=0,"NR",SUMIFS(GD_Guidance_Low,GD_Item_Name,$B1361,GD_Item_FiscalPeriod,CA$1354,GD_Update_Date,CA$1352)))</f>
        <v/>
      </c>
      <c r="CB1361" s="1472" t="n"/>
    </row>
    <row r="1362" ht="14.4" customFormat="1" customHeight="1" s="1549">
      <c r="A1362" s="2005" t="inlineStr">
        <is>
          <t>High - Non-GAAP Adjusted Earnings Per Share - WAD, currency/share</t>
        </is>
      </c>
      <c r="B1362" s="2006" t="inlineStr">
        <is>
          <t>MO_RIS_EPS_WAD_Adj</t>
        </is>
      </c>
      <c r="C1362" s="2007" t="n"/>
      <c r="D1362" s="2007" t="n"/>
      <c r="E1362" s="1645" t="n"/>
      <c r="F1362" s="1645" t="n"/>
      <c r="G1362" s="1645" t="n"/>
      <c r="H1362" s="1645" t="n"/>
      <c r="I1362" s="1645" t="n"/>
      <c r="J1362" s="1645" t="n"/>
      <c r="K1362" s="1645" t="n"/>
      <c r="L1362" s="1645" t="n"/>
      <c r="M1362" s="1645" t="n"/>
      <c r="N1362" s="1645" t="n"/>
      <c r="O1362" s="1645" t="n"/>
      <c r="P1362" s="1645" t="n"/>
      <c r="Q1362" s="1645" t="n"/>
      <c r="R1362" s="1645" t="n"/>
      <c r="S1362" s="1645" t="n"/>
      <c r="T1362" s="1645" t="n"/>
      <c r="U1362" s="1645" t="n"/>
      <c r="V1362" s="1645" t="n"/>
      <c r="W1362" s="1645" t="n"/>
      <c r="X1362" s="1645" t="n"/>
      <c r="Y1362" s="1645" t="n"/>
      <c r="Z1362" s="1645" t="n"/>
      <c r="AA1362" s="1645" t="n"/>
      <c r="AB1362" s="1645" t="n"/>
      <c r="AC1362" s="1645">
        <f>IF(ISBLANK(AC$1354),"N/A",IF(COUNTIFS(GD_Item_FiscalPeriod,AC$1354,GD_Item_Name,$B1362,GD_Update_Date,AC$1352)=0,"NR",SUMIFS(GD_Guidance_High,GD_Item_Name,$B1362,GD_Item_FiscalPeriod,AC$1354,GD_Update_Date,AC$1352)))</f>
        <v/>
      </c>
      <c r="AD1362" s="1645">
        <f>IF(ISBLANK(AD$1354),"N/A",IF(COUNTIFS(GD_Item_FiscalPeriod,AD$1354,GD_Item_Name,$B1362,GD_Update_Date,AD$1352)=0,"NR",SUMIFS(GD_Guidance_High,GD_Item_Name,$B1362,GD_Item_FiscalPeriod,AD$1354,GD_Update_Date,AD$1352)))</f>
        <v/>
      </c>
      <c r="AE1362" s="1645">
        <f>IF(ISBLANK(AE$1354),"N/A",IF(COUNTIFS(GD_Item_FiscalPeriod,AE$1354,GD_Item_Name,$B1362,GD_Update_Date,AE$1352)=0,"NR",SUMIFS(GD_Guidance_High,GD_Item_Name,$B1362,GD_Item_FiscalPeriod,AE$1354,GD_Update_Date,AE$1352)))</f>
        <v/>
      </c>
      <c r="AF1362" s="1645">
        <f>IF(ISBLANK(AF$1354),"N/A",IF(COUNTIFS(GD_Item_FiscalPeriod,AF$1354,GD_Item_Name,$B1362,GD_Update_Date,AF$1352)=0,"NR",SUMIFS(GD_Guidance_High,GD_Item_Name,$B1362,GD_Item_FiscalPeriod,AF$1354,GD_Update_Date,AF$1352)))</f>
        <v/>
      </c>
      <c r="AG1362" s="1645">
        <f>IF(ISBLANK(AG$1354),"N/A",IF(COUNTIFS(GD_Item_FiscalPeriod,AG$1354,GD_Item_Name,$B1362,GD_Update_Date,AG$1352)=0,"NR",SUMIFS(GD_Guidance_High,GD_Item_Name,$B1362,GD_Item_FiscalPeriod,AG$1354,GD_Update_Date,AG$1352)))</f>
        <v/>
      </c>
      <c r="AH1362" s="1645">
        <f>IF(ISBLANK(AH$1354),"N/A",IF(COUNTIFS(GD_Item_FiscalPeriod,AH$1354,GD_Item_Name,$B1362,GD_Update_Date,AH$1352)=0,"NR",SUMIFS(GD_Guidance_High,GD_Item_Name,$B1362,GD_Item_FiscalPeriod,AH$1354,GD_Update_Date,AH$1352)))</f>
        <v/>
      </c>
      <c r="AI1362" s="1645">
        <f>IF(ISBLANK(AI$1354),"N/A",IF(COUNTIFS(GD_Item_FiscalPeriod,AI$1354,GD_Item_Name,$B1362,GD_Update_Date,AI$1352)=0,"NR",SUMIFS(GD_Guidance_High,GD_Item_Name,$B1362,GD_Item_FiscalPeriod,AI$1354,GD_Update_Date,AI$1352)))</f>
        <v/>
      </c>
      <c r="AJ1362" s="1645">
        <f>IF(ISBLANK(AJ$1354),"N/A",IF(COUNTIFS(GD_Item_FiscalPeriod,AJ$1354,GD_Item_Name,$B1362,GD_Update_Date,AJ$1352)=0,"NR",SUMIFS(GD_Guidance_High,GD_Item_Name,$B1362,GD_Item_FiscalPeriod,AJ$1354,GD_Update_Date,AJ$1352)))</f>
        <v/>
      </c>
      <c r="AK1362" s="1645">
        <f>IF(ISBLANK(AK$1354),"N/A",IF(COUNTIFS(GD_Item_FiscalPeriod,AK$1354,GD_Item_Name,$B1362,GD_Update_Date,AK$1352)=0,"NR",SUMIFS(GD_Guidance_High,GD_Item_Name,$B1362,GD_Item_FiscalPeriod,AK$1354,GD_Update_Date,AK$1352)))</f>
        <v/>
      </c>
      <c r="AL1362" s="1645">
        <f>IF(ISBLANK(AL$1354),"N/A",IF(COUNTIFS(GD_Item_FiscalPeriod,AL$1354,GD_Item_Name,$B1362,GD_Update_Date,AL$1352)=0,"NR",SUMIFS(GD_Guidance_High,GD_Item_Name,$B1362,GD_Item_FiscalPeriod,AL$1354,GD_Update_Date,AL$1352)))</f>
        <v/>
      </c>
      <c r="AM1362" s="1645">
        <f>IF(ISBLANK(AM$1354),"N/A",IF(COUNTIFS(GD_Item_FiscalPeriod,AM$1354,GD_Item_Name,$B1362,GD_Update_Date,AM$1352)=0,"NR",SUMIFS(GD_Guidance_High,GD_Item_Name,$B1362,GD_Item_FiscalPeriod,AM$1354,GD_Update_Date,AM$1352)))</f>
        <v/>
      </c>
      <c r="AN1362" s="1645">
        <f>IF(ISBLANK(AN$1354),"N/A",IF(COUNTIFS(GD_Item_FiscalPeriod,AN$1354,GD_Item_Name,$B1362,GD_Update_Date,AN$1352)=0,"NR",SUMIFS(GD_Guidance_High,GD_Item_Name,$B1362,GD_Item_FiscalPeriod,AN$1354,GD_Update_Date,AN$1352)))</f>
        <v/>
      </c>
      <c r="AO1362" s="1645">
        <f>IF(ISBLANK(AO$1354),"N/A",IF(COUNTIFS(GD_Item_FiscalPeriod,AO$1354,GD_Item_Name,$B1362,GD_Update_Date,AO$1352)=0,"NR",SUMIFS(GD_Guidance_High,GD_Item_Name,$B1362,GD_Item_FiscalPeriod,AO$1354,GD_Update_Date,AO$1352)))</f>
        <v/>
      </c>
      <c r="AP1362" s="1645">
        <f>IF(ISBLANK(AP$1354),"N/A",IF(COUNTIFS(GD_Item_FiscalPeriod,AP$1354,GD_Item_Name,$B1362,GD_Update_Date,AP$1352)=0,"NR",SUMIFS(GD_Guidance_High,GD_Item_Name,$B1362,GD_Item_FiscalPeriod,AP$1354,GD_Update_Date,AP$1352)))</f>
        <v/>
      </c>
      <c r="AQ1362" s="1645">
        <f>IF(ISBLANK(AQ$1354),"N/A",IF(COUNTIFS(GD_Item_FiscalPeriod,AQ$1354,GD_Item_Name,$B1362,GD_Update_Date,AQ$1352)=0,"NR",SUMIFS(GD_Guidance_High,GD_Item_Name,$B1362,GD_Item_FiscalPeriod,AQ$1354,GD_Update_Date,AQ$1352)))</f>
        <v/>
      </c>
      <c r="AR1362" s="1645">
        <f>IF(ISBLANK(AR$1354),"N/A",IF(COUNTIFS(GD_Item_FiscalPeriod,AR$1354,GD_Item_Name,$B1362,GD_Update_Date,AR$1352)=0,"NR",SUMIFS(GD_Guidance_High,GD_Item_Name,$B1362,GD_Item_FiscalPeriod,AR$1354,GD_Update_Date,AR$1352)))</f>
        <v/>
      </c>
      <c r="AS1362" s="1645">
        <f>IF(ISBLANK(AS$1354),"N/A",IF(COUNTIFS(GD_Item_FiscalPeriod,AS$1354,GD_Item_Name,$B1362,GD_Update_Date,AS$1352)=0,"NR",SUMIFS(GD_Guidance_High,GD_Item_Name,$B1362,GD_Item_FiscalPeriod,AS$1354,GD_Update_Date,AS$1352)))</f>
        <v/>
      </c>
      <c r="AT1362" s="1645">
        <f>IF(ISBLANK(AT$1354),"N/A",IF(COUNTIFS(GD_Item_FiscalPeriod,AT$1354,GD_Item_Name,$B1362,GD_Update_Date,AT$1352)=0,"NR",SUMIFS(GD_Guidance_High,GD_Item_Name,$B1362,GD_Item_FiscalPeriod,AT$1354,GD_Update_Date,AT$1352)))</f>
        <v/>
      </c>
      <c r="AU1362" s="1645">
        <f>IF(ISBLANK(AU$1354),"N/A",IF(COUNTIFS(GD_Item_FiscalPeriod,AU$1354,GD_Item_Name,$B1362,GD_Update_Date,AU$1352)=0,"NR",SUMIFS(GD_Guidance_High,GD_Item_Name,$B1362,GD_Item_FiscalPeriod,AU$1354,GD_Update_Date,AU$1352)))</f>
        <v/>
      </c>
      <c r="AV1362" s="1645">
        <f>IF(ISBLANK(AV$1354),"N/A",IF(COUNTIFS(GD_Item_FiscalPeriod,AV$1354,GD_Item_Name,$B1362,GD_Update_Date,AV$1352)=0,"NR",SUMIFS(GD_Guidance_High,GD_Item_Name,$B1362,GD_Item_FiscalPeriod,AV$1354,GD_Update_Date,AV$1352)))</f>
        <v/>
      </c>
      <c r="AW1362" s="1645">
        <f>IF(ISBLANK(AW$1354),"N/A",IF(COUNTIFS(GD_Item_FiscalPeriod,AW$1354,GD_Item_Name,$B1362,GD_Update_Date,AW$1352)=0,"NR",SUMIFS(GD_Guidance_High,GD_Item_Name,$B1362,GD_Item_FiscalPeriod,AW$1354,GD_Update_Date,AW$1352)))</f>
        <v/>
      </c>
      <c r="AX1362" s="1645">
        <f>IF(ISBLANK(AX$1354),"N/A",IF(COUNTIFS(GD_Item_FiscalPeriod,AX$1354,GD_Item_Name,$B1362,GD_Update_Date,AX$1352)=0,"NR",SUMIFS(GD_Guidance_High,GD_Item_Name,$B1362,GD_Item_FiscalPeriod,AX$1354,GD_Update_Date,AX$1352)))</f>
        <v/>
      </c>
      <c r="AY1362" s="1645">
        <f>IF(ISBLANK(AY$1354),"N/A",IF(COUNTIFS(GD_Item_FiscalPeriod,AY$1354,GD_Item_Name,$B1362,GD_Update_Date,AY$1352)=0,"NR",SUMIFS(GD_Guidance_High,GD_Item_Name,$B1362,GD_Item_FiscalPeriod,AY$1354,GD_Update_Date,AY$1352)))</f>
        <v/>
      </c>
      <c r="AZ1362" s="1645">
        <f>IF(ISBLANK(AZ$1354),"N/A",IF(COUNTIFS(GD_Item_FiscalPeriod,AZ$1354,GD_Item_Name,$B1362,GD_Update_Date,AZ$1352)=0,"NR",SUMIFS(GD_Guidance_High,GD_Item_Name,$B1362,GD_Item_FiscalPeriod,AZ$1354,GD_Update_Date,AZ$1352)))</f>
        <v/>
      </c>
      <c r="BA1362" s="1645">
        <f>IF(ISBLANK(BA$1354),"N/A",IF(COUNTIFS(GD_Item_FiscalPeriod,BA$1354,GD_Item_Name,$B1362,GD_Update_Date,BA$1352)=0,"NR",SUMIFS(GD_Guidance_High,GD_Item_Name,$B1362,GD_Item_FiscalPeriod,BA$1354,GD_Update_Date,BA$1352)))</f>
        <v/>
      </c>
      <c r="BB1362" s="1645">
        <f>IF(ISBLANK(BB$1354),"N/A",IF(COUNTIFS(GD_Item_FiscalPeriod,BB$1354,GD_Item_Name,$B1362,GD_Update_Date,BB$1352)=0,"NR",SUMIFS(GD_Guidance_High,GD_Item_Name,$B1362,GD_Item_FiscalPeriod,BB$1354,GD_Update_Date,BB$1352)))</f>
        <v/>
      </c>
      <c r="BC1362" s="1645">
        <f>IF(ISBLANK(BC$1354),"N/A",IF(COUNTIFS(GD_Item_FiscalPeriod,BC$1354,GD_Item_Name,$B1362,GD_Update_Date,BC$1352)=0,"NR",SUMIFS(GD_Guidance_High,GD_Item_Name,$B1362,GD_Item_FiscalPeriod,BC$1354,GD_Update_Date,BC$1352)))</f>
        <v/>
      </c>
      <c r="BD1362" s="1645">
        <f>IF(ISBLANK(BD$1354),"N/A",IF(COUNTIFS(GD_Item_FiscalPeriod,BD$1354,GD_Item_Name,$B1362,GD_Update_Date,BD$1352)=0,"NR",SUMIFS(GD_Guidance_High,GD_Item_Name,$B1362,GD_Item_FiscalPeriod,BD$1354,GD_Update_Date,BD$1352)))</f>
        <v/>
      </c>
      <c r="BE1362" s="1645">
        <f>IF(ISBLANK(BE$1354),"N/A",IF(COUNTIFS(GD_Item_FiscalPeriod,BE$1354,GD_Item_Name,$B1362,GD_Update_Date,BE$1352)=0,"NR",SUMIFS(GD_Guidance_High,GD_Item_Name,$B1362,GD_Item_FiscalPeriod,BE$1354,GD_Update_Date,BE$1352)))</f>
        <v/>
      </c>
      <c r="BF1362" s="1645">
        <f>IF(ISBLANK(BF$1354),"N/A",IF(COUNTIFS(GD_Item_FiscalPeriod,BF$1354,GD_Item_Name,$B1362,GD_Update_Date,BF$1352)=0,"NR",SUMIFS(GD_Guidance_High,GD_Item_Name,$B1362,GD_Item_FiscalPeriod,BF$1354,GD_Update_Date,BF$1352)))</f>
        <v/>
      </c>
      <c r="BG1362" s="1645">
        <f>IF(ISBLANK(BG$1354),"N/A",IF(COUNTIFS(GD_Item_FiscalPeriod,BG$1354,GD_Item_Name,$B1362,GD_Update_Date,BG$1352)=0,"NR",SUMIFS(GD_Guidance_High,GD_Item_Name,$B1362,GD_Item_FiscalPeriod,BG$1354,GD_Update_Date,BG$1352)))</f>
        <v/>
      </c>
      <c r="BH1362" s="1645">
        <f>IF(ISBLANK(BH$1354),"N/A",IF(COUNTIFS(GD_Item_FiscalPeriod,BH$1354,GD_Item_Name,$B1362,GD_Update_Date,BH$1352)=0,"NR",SUMIFS(GD_Guidance_High,GD_Item_Name,$B1362,GD_Item_FiscalPeriod,BH$1354,GD_Update_Date,BH$1352)))</f>
        <v/>
      </c>
      <c r="BI1362" s="1645">
        <f>IF(ISBLANK(BI$1354),"N/A",IF(COUNTIFS(GD_Item_FiscalPeriod,BI$1354,GD_Item_Name,$B1362,GD_Update_Date,BI$1352)=0,"NR",SUMIFS(GD_Guidance_High,GD_Item_Name,$B1362,GD_Item_FiscalPeriod,BI$1354,GD_Update_Date,BI$1352)))</f>
        <v/>
      </c>
      <c r="BJ1362" s="1645">
        <f>IF(ISBLANK(BJ$1354),"N/A",IF(COUNTIFS(GD_Item_FiscalPeriod,BJ$1354,GD_Item_Name,$B1362,GD_Update_Date,BJ$1352)=0,"NR",SUMIFS(GD_Guidance_High,GD_Item_Name,$B1362,GD_Item_FiscalPeriod,BJ$1354,GD_Update_Date,BJ$1352)))</f>
        <v/>
      </c>
      <c r="BK1362" s="1645">
        <f>IF(ISBLANK(BK$1354),"N/A",IF(COUNTIFS(GD_Item_FiscalPeriod,BK$1354,GD_Item_Name,$B1362,GD_Update_Date,BK$1352)=0,"NR",SUMIFS(GD_Guidance_High,GD_Item_Name,$B1362,GD_Item_FiscalPeriod,BK$1354,GD_Update_Date,BK$1352)))</f>
        <v/>
      </c>
      <c r="BL1362" s="1645">
        <f>IF(ISBLANK(BL$1354),"N/A",IF(COUNTIFS(GD_Item_FiscalPeriod,BL$1354,GD_Item_Name,$B1362,GD_Update_Date,BL$1352)=0,"NR",SUMIFS(GD_Guidance_High,GD_Item_Name,$B1362,GD_Item_FiscalPeriod,BL$1354,GD_Update_Date,BL$1352)))</f>
        <v/>
      </c>
      <c r="BM1362" s="1645">
        <f>IF(ISBLANK(BM$1354),"N/A",IF(COUNTIFS(GD_Item_FiscalPeriod,BM$1354,GD_Item_Name,$B1362,GD_Update_Date,BM$1352)=0,"NR",SUMIFS(GD_Guidance_High,GD_Item_Name,$B1362,GD_Item_FiscalPeriod,BM$1354,GD_Update_Date,BM$1352)))</f>
        <v/>
      </c>
      <c r="BN1362" s="1645">
        <f>IF(ISBLANK(BN$1354),"N/A",IF(COUNTIFS(GD_Item_FiscalPeriod,BN$1354,GD_Item_Name,$B1362,GD_Update_Date,BN$1352)=0,"NR",SUMIFS(GD_Guidance_High,GD_Item_Name,$B1362,GD_Item_FiscalPeriod,BN$1354,GD_Update_Date,BN$1352)))</f>
        <v/>
      </c>
      <c r="BO1362" s="1645">
        <f>IF(ISBLANK(BO$1354),"N/A",IF(COUNTIFS(GD_Item_FiscalPeriod,BO$1354,GD_Item_Name,$B1362,GD_Update_Date,BO$1352)=0,"NR",SUMIFS(GD_Guidance_High,GD_Item_Name,$B1362,GD_Item_FiscalPeriod,BO$1354,GD_Update_Date,BO$1352)))</f>
        <v/>
      </c>
      <c r="BP1362" s="1645">
        <f>IF(ISBLANK(BP$1354),"N/A",IF(COUNTIFS(GD_Item_FiscalPeriod,BP$1354,GD_Item_Name,$B1362,GD_Update_Date,BP$1352)=0,"NR",SUMIFS(GD_Guidance_High,GD_Item_Name,$B1362,GD_Item_FiscalPeriod,BP$1354,GD_Update_Date,BP$1352)))</f>
        <v/>
      </c>
      <c r="BQ1362" s="2008">
        <f>IF(ISBLANK(BQ$1354),"N/A",IF(COUNTIFS(GD_Item_FiscalPeriod,BQ$1354,GD_Item_Name,$B1362,GD_Update_Date,BQ$1352)=0,"NR",SUMIFS(GD_Guidance_High,GD_Item_Name,$B1362,GD_Item_FiscalPeriod,BQ$1354,GD_Update_Date,BQ$1352)))</f>
        <v/>
      </c>
      <c r="BR1362" s="1645">
        <f>IF(ISBLANK(BR$1354),"N/A",IF(COUNTIFS(GD_Item_FiscalPeriod,BR$1354,GD_Item_Name,$B1362,GD_Update_Date,BR$1352)=0,"NR",SUMIFS(GD_Guidance_High,GD_Item_Name,$B1362,GD_Item_FiscalPeriod,BR$1354,GD_Update_Date,BR$1352)))</f>
        <v/>
      </c>
      <c r="BS1362" s="1645">
        <f>IF(ISBLANK(BS$1354),"N/A",IF(COUNTIFS(GD_Item_FiscalPeriod,BS$1354,GD_Item_Name,$B1362,GD_Update_Date,BS$1352)=0,"NR",SUMIFS(GD_Guidance_High,GD_Item_Name,$B1362,GD_Item_FiscalPeriod,BS$1354,GD_Update_Date,BS$1352)))</f>
        <v/>
      </c>
      <c r="BT1362" s="1645">
        <f>IF(ISBLANK(BT$1354),"N/A",IF(COUNTIFS(GD_Item_FiscalPeriod,BT$1354,GD_Item_Name,$B1362,GD_Update_Date,BT$1352)=0,"NR",SUMIFS(GD_Guidance_High,GD_Item_Name,$B1362,GD_Item_FiscalPeriod,BT$1354,GD_Update_Date,BT$1352)))</f>
        <v/>
      </c>
      <c r="BU1362" s="1645">
        <f>IF(ISBLANK(BU$1354),"N/A",IF(COUNTIFS(GD_Item_FiscalPeriod,BU$1354,GD_Item_Name,$B1362,GD_Update_Date,BU$1352)=0,"NR",SUMIFS(GD_Guidance_High,GD_Item_Name,$B1362,GD_Item_FiscalPeriod,BU$1354,GD_Update_Date,BU$1352)))</f>
        <v/>
      </c>
      <c r="BV1362" s="1645">
        <f>IF(ISBLANK(BV$1354),"N/A",IF(COUNTIFS(GD_Item_FiscalPeriod,BV$1354,GD_Item_Name,$B1362,GD_Update_Date,BV$1352)=0,"NR",SUMIFS(GD_Guidance_High,GD_Item_Name,$B1362,GD_Item_FiscalPeriod,BV$1354,GD_Update_Date,BV$1352)))</f>
        <v/>
      </c>
      <c r="BW1362" s="1645">
        <f>IF(ISBLANK(BW$1354),"N/A",IF(COUNTIFS(GD_Item_FiscalPeriod,BW$1354,GD_Item_Name,$B1362,GD_Update_Date,BW$1352)=0,"NR",SUMIFS(GD_Guidance_High,GD_Item_Name,$B1362,GD_Item_FiscalPeriod,BW$1354,GD_Update_Date,BW$1352)))</f>
        <v/>
      </c>
      <c r="BX1362" s="1645">
        <f>IF(ISBLANK(BX$1354),"N/A",IF(COUNTIFS(GD_Item_FiscalPeriod,BX$1354,GD_Item_Name,$B1362,GD_Update_Date,BX$1352)=0,"NR",SUMIFS(GD_Guidance_High,GD_Item_Name,$B1362,GD_Item_FiscalPeriod,BX$1354,GD_Update_Date,BX$1352)))</f>
        <v/>
      </c>
      <c r="BY1362" s="1645">
        <f>IF(ISBLANK(BY$1354),"N/A",IF(COUNTIFS(GD_Item_FiscalPeriod,BY$1354,GD_Item_Name,$B1362,GD_Update_Date,BY$1352)=0,"NR",SUMIFS(GD_Guidance_High,GD_Item_Name,$B1362,GD_Item_FiscalPeriod,BY$1354,GD_Update_Date,BY$1352)))</f>
        <v/>
      </c>
      <c r="BZ1362" s="1645">
        <f>IF(ISBLANK(BZ$1354),"N/A",IF(COUNTIFS(GD_Item_FiscalPeriod,BZ$1354,GD_Item_Name,$B1362,GD_Update_Date,BZ$1352)=0,"NR",SUMIFS(GD_Guidance_High,GD_Item_Name,$B1362,GD_Item_FiscalPeriod,BZ$1354,GD_Update_Date,BZ$1352)))</f>
        <v/>
      </c>
      <c r="CA1362" s="2009">
        <f>IF(ISBLANK(CA$1354),"N/A",IF(COUNTIFS(GD_Item_FiscalPeriod,CA$1354,GD_Item_Name,$B1362,GD_Update_Date,CA$1352)=0,"NR",SUMIFS(GD_Guidance_High,GD_Item_Name,$B1362,GD_Item_FiscalPeriod,CA$1354,GD_Update_Date,CA$1352)))</f>
        <v/>
      </c>
      <c r="CB1362" s="1472" t="n"/>
    </row>
    <row r="1363" ht="14.4" customFormat="1" customHeight="1" s="1549">
      <c r="A1363" s="2005" t="inlineStr">
        <is>
          <t>Mid - Non-GAAP Adjusted Earnings Per Share - WAD, currency/share</t>
        </is>
      </c>
      <c r="B1363" s="2006" t="inlineStr">
        <is>
          <t>MO_RIS_EPS_WAD_Adj</t>
        </is>
      </c>
      <c r="C1363" s="2007" t="n"/>
      <c r="D1363" s="2007" t="n"/>
      <c r="E1363" s="1645" t="n"/>
      <c r="F1363" s="1645" t="n"/>
      <c r="G1363" s="1645" t="n"/>
      <c r="H1363" s="1645" t="n"/>
      <c r="I1363" s="1645" t="n"/>
      <c r="J1363" s="1645" t="n"/>
      <c r="K1363" s="1645" t="n"/>
      <c r="L1363" s="1645" t="n"/>
      <c r="M1363" s="1645" t="n"/>
      <c r="N1363" s="1645" t="n"/>
      <c r="O1363" s="1645" t="n"/>
      <c r="P1363" s="1645" t="n"/>
      <c r="Q1363" s="1645" t="n"/>
      <c r="R1363" s="1645" t="n"/>
      <c r="S1363" s="1645" t="n"/>
      <c r="T1363" s="1645" t="n"/>
      <c r="U1363" s="1645" t="n"/>
      <c r="V1363" s="1645" t="n"/>
      <c r="W1363" s="1645" t="n"/>
      <c r="X1363" s="1645" t="n"/>
      <c r="Y1363" s="1645" t="n"/>
      <c r="Z1363" s="1645" t="n"/>
      <c r="AA1363" s="1645" t="n"/>
      <c r="AB1363" s="1645" t="n"/>
      <c r="AC1363" s="1645">
        <f>IF(ISBLANK(AC$1354),"N/A",IF(COUNTIFS(GD_Item_FiscalPeriod,AC$1354,GD_Item_Name,$B1363,GD_Update_Date,AC$1352)=0,"NR",SUMIFS(GD_Guidance_Mid,GD_Item_Name,$B1363,GD_Item_FiscalPeriod,AC$1354,GD_Update_Date,AC$1352)))</f>
        <v/>
      </c>
      <c r="AD1363" s="1645">
        <f>IF(ISBLANK(AD$1354),"N/A",IF(COUNTIFS(GD_Item_FiscalPeriod,AD$1354,GD_Item_Name,$B1363,GD_Update_Date,AD$1352)=0,"NR",SUMIFS(GD_Guidance_Mid,GD_Item_Name,$B1363,GD_Item_FiscalPeriod,AD$1354,GD_Update_Date,AD$1352)))</f>
        <v/>
      </c>
      <c r="AE1363" s="1645">
        <f>IF(ISBLANK(AE$1354),"N/A",IF(COUNTIFS(GD_Item_FiscalPeriod,AE$1354,GD_Item_Name,$B1363,GD_Update_Date,AE$1352)=0,"NR",SUMIFS(GD_Guidance_Mid,GD_Item_Name,$B1363,GD_Item_FiscalPeriod,AE$1354,GD_Update_Date,AE$1352)))</f>
        <v/>
      </c>
      <c r="AF1363" s="1645">
        <f>IF(ISBLANK(AF$1354),"N/A",IF(COUNTIFS(GD_Item_FiscalPeriod,AF$1354,GD_Item_Name,$B1363,GD_Update_Date,AF$1352)=0,"NR",SUMIFS(GD_Guidance_Mid,GD_Item_Name,$B1363,GD_Item_FiscalPeriod,AF$1354,GD_Update_Date,AF$1352)))</f>
        <v/>
      </c>
      <c r="AG1363" s="1645">
        <f>IF(ISBLANK(AG$1354),"N/A",IF(COUNTIFS(GD_Item_FiscalPeriod,AG$1354,GD_Item_Name,$B1363,GD_Update_Date,AG$1352)=0,"NR",SUMIFS(GD_Guidance_Mid,GD_Item_Name,$B1363,GD_Item_FiscalPeriod,AG$1354,GD_Update_Date,AG$1352)))</f>
        <v/>
      </c>
      <c r="AH1363" s="1645">
        <f>IF(ISBLANK(AH$1354),"N/A",IF(COUNTIFS(GD_Item_FiscalPeriod,AH$1354,GD_Item_Name,$B1363,GD_Update_Date,AH$1352)=0,"NR",SUMIFS(GD_Guidance_Mid,GD_Item_Name,$B1363,GD_Item_FiscalPeriod,AH$1354,GD_Update_Date,AH$1352)))</f>
        <v/>
      </c>
      <c r="AI1363" s="1645">
        <f>IF(ISBLANK(AI$1354),"N/A",IF(COUNTIFS(GD_Item_FiscalPeriod,AI$1354,GD_Item_Name,$B1363,GD_Update_Date,AI$1352)=0,"NR",SUMIFS(GD_Guidance_Mid,GD_Item_Name,$B1363,GD_Item_FiscalPeriod,AI$1354,GD_Update_Date,AI$1352)))</f>
        <v/>
      </c>
      <c r="AJ1363" s="1645">
        <f>IF(ISBLANK(AJ$1354),"N/A",IF(COUNTIFS(GD_Item_FiscalPeriod,AJ$1354,GD_Item_Name,$B1363,GD_Update_Date,AJ$1352)=0,"NR",SUMIFS(GD_Guidance_Mid,GD_Item_Name,$B1363,GD_Item_FiscalPeriod,AJ$1354,GD_Update_Date,AJ$1352)))</f>
        <v/>
      </c>
      <c r="AK1363" s="1645">
        <f>IF(ISBLANK(AK$1354),"N/A",IF(COUNTIFS(GD_Item_FiscalPeriod,AK$1354,GD_Item_Name,$B1363,GD_Update_Date,AK$1352)=0,"NR",SUMIFS(GD_Guidance_Mid,GD_Item_Name,$B1363,GD_Item_FiscalPeriod,AK$1354,GD_Update_Date,AK$1352)))</f>
        <v/>
      </c>
      <c r="AL1363" s="1645">
        <f>IF(ISBLANK(AL$1354),"N/A",IF(COUNTIFS(GD_Item_FiscalPeriod,AL$1354,GD_Item_Name,$B1363,GD_Update_Date,AL$1352)=0,"NR",SUMIFS(GD_Guidance_Mid,GD_Item_Name,$B1363,GD_Item_FiscalPeriod,AL$1354,GD_Update_Date,AL$1352)))</f>
        <v/>
      </c>
      <c r="AM1363" s="1645">
        <f>IF(ISBLANK(AM$1354),"N/A",IF(COUNTIFS(GD_Item_FiscalPeriod,AM$1354,GD_Item_Name,$B1363,GD_Update_Date,AM$1352)=0,"NR",SUMIFS(GD_Guidance_Mid,GD_Item_Name,$B1363,GD_Item_FiscalPeriod,AM$1354,GD_Update_Date,AM$1352)))</f>
        <v/>
      </c>
      <c r="AN1363" s="1645">
        <f>IF(ISBLANK(AN$1354),"N/A",IF(COUNTIFS(GD_Item_FiscalPeriod,AN$1354,GD_Item_Name,$B1363,GD_Update_Date,AN$1352)=0,"NR",SUMIFS(GD_Guidance_Mid,GD_Item_Name,$B1363,GD_Item_FiscalPeriod,AN$1354,GD_Update_Date,AN$1352)))</f>
        <v/>
      </c>
      <c r="AO1363" s="1645">
        <f>IF(ISBLANK(AO$1354),"N/A",IF(COUNTIFS(GD_Item_FiscalPeriod,AO$1354,GD_Item_Name,$B1363,GD_Update_Date,AO$1352)=0,"NR",SUMIFS(GD_Guidance_Mid,GD_Item_Name,$B1363,GD_Item_FiscalPeriod,AO$1354,GD_Update_Date,AO$1352)))</f>
        <v/>
      </c>
      <c r="AP1363" s="1645">
        <f>IF(ISBLANK(AP$1354),"N/A",IF(COUNTIFS(GD_Item_FiscalPeriod,AP$1354,GD_Item_Name,$B1363,GD_Update_Date,AP$1352)=0,"NR",SUMIFS(GD_Guidance_Mid,GD_Item_Name,$B1363,GD_Item_FiscalPeriod,AP$1354,GD_Update_Date,AP$1352)))</f>
        <v/>
      </c>
      <c r="AQ1363" s="1645">
        <f>IF(ISBLANK(AQ$1354),"N/A",IF(COUNTIFS(GD_Item_FiscalPeriod,AQ$1354,GD_Item_Name,$B1363,GD_Update_Date,AQ$1352)=0,"NR",SUMIFS(GD_Guidance_Mid,GD_Item_Name,$B1363,GD_Item_FiscalPeriod,AQ$1354,GD_Update_Date,AQ$1352)))</f>
        <v/>
      </c>
      <c r="AR1363" s="1645">
        <f>IF(ISBLANK(AR$1354),"N/A",IF(COUNTIFS(GD_Item_FiscalPeriod,AR$1354,GD_Item_Name,$B1363,GD_Update_Date,AR$1352)=0,"NR",SUMIFS(GD_Guidance_Mid,GD_Item_Name,$B1363,GD_Item_FiscalPeriod,AR$1354,GD_Update_Date,AR$1352)))</f>
        <v/>
      </c>
      <c r="AS1363" s="1645">
        <f>IF(ISBLANK(AS$1354),"N/A",IF(COUNTIFS(GD_Item_FiscalPeriod,AS$1354,GD_Item_Name,$B1363,GD_Update_Date,AS$1352)=0,"NR",SUMIFS(GD_Guidance_Mid,GD_Item_Name,$B1363,GD_Item_FiscalPeriod,AS$1354,GD_Update_Date,AS$1352)))</f>
        <v/>
      </c>
      <c r="AT1363" s="1645">
        <f>IF(ISBLANK(AT$1354),"N/A",IF(COUNTIFS(GD_Item_FiscalPeriod,AT$1354,GD_Item_Name,$B1363,GD_Update_Date,AT$1352)=0,"NR",SUMIFS(GD_Guidance_Mid,GD_Item_Name,$B1363,GD_Item_FiscalPeriod,AT$1354,GD_Update_Date,AT$1352)))</f>
        <v/>
      </c>
      <c r="AU1363" s="1645">
        <f>IF(ISBLANK(AU$1354),"N/A",IF(COUNTIFS(GD_Item_FiscalPeriod,AU$1354,GD_Item_Name,$B1363,GD_Update_Date,AU$1352)=0,"NR",SUMIFS(GD_Guidance_Mid,GD_Item_Name,$B1363,GD_Item_FiscalPeriod,AU$1354,GD_Update_Date,AU$1352)))</f>
        <v/>
      </c>
      <c r="AV1363" s="1645">
        <f>IF(ISBLANK(AV$1354),"N/A",IF(COUNTIFS(GD_Item_FiscalPeriod,AV$1354,GD_Item_Name,$B1363,GD_Update_Date,AV$1352)=0,"NR",SUMIFS(GD_Guidance_Mid,GD_Item_Name,$B1363,GD_Item_FiscalPeriod,AV$1354,GD_Update_Date,AV$1352)))</f>
        <v/>
      </c>
      <c r="AW1363" s="1645">
        <f>IF(ISBLANK(AW$1354),"N/A",IF(COUNTIFS(GD_Item_FiscalPeriod,AW$1354,GD_Item_Name,$B1363,GD_Update_Date,AW$1352)=0,"NR",SUMIFS(GD_Guidance_Mid,GD_Item_Name,$B1363,GD_Item_FiscalPeriod,AW$1354,GD_Update_Date,AW$1352)))</f>
        <v/>
      </c>
      <c r="AX1363" s="1645">
        <f>IF(ISBLANK(AX$1354),"N/A",IF(COUNTIFS(GD_Item_FiscalPeriod,AX$1354,GD_Item_Name,$B1363,GD_Update_Date,AX$1352)=0,"NR",SUMIFS(GD_Guidance_Mid,GD_Item_Name,$B1363,GD_Item_FiscalPeriod,AX$1354,GD_Update_Date,AX$1352)))</f>
        <v/>
      </c>
      <c r="AY1363" s="1645">
        <f>IF(ISBLANK(AY$1354),"N/A",IF(COUNTIFS(GD_Item_FiscalPeriod,AY$1354,GD_Item_Name,$B1363,GD_Update_Date,AY$1352)=0,"NR",SUMIFS(GD_Guidance_Mid,GD_Item_Name,$B1363,GD_Item_FiscalPeriod,AY$1354,GD_Update_Date,AY$1352)))</f>
        <v/>
      </c>
      <c r="AZ1363" s="1645">
        <f>IF(ISBLANK(AZ$1354),"N/A",IF(COUNTIFS(GD_Item_FiscalPeriod,AZ$1354,GD_Item_Name,$B1363,GD_Update_Date,AZ$1352)=0,"NR",SUMIFS(GD_Guidance_Mid,GD_Item_Name,$B1363,GD_Item_FiscalPeriod,AZ$1354,GD_Update_Date,AZ$1352)))</f>
        <v/>
      </c>
      <c r="BA1363" s="1645">
        <f>IF(ISBLANK(BA$1354),"N/A",IF(COUNTIFS(GD_Item_FiscalPeriod,BA$1354,GD_Item_Name,$B1363,GD_Update_Date,BA$1352)=0,"NR",SUMIFS(GD_Guidance_Mid,GD_Item_Name,$B1363,GD_Item_FiscalPeriod,BA$1354,GD_Update_Date,BA$1352)))</f>
        <v/>
      </c>
      <c r="BB1363" s="1645">
        <f>IF(ISBLANK(BB$1354),"N/A",IF(COUNTIFS(GD_Item_FiscalPeriod,BB$1354,GD_Item_Name,$B1363,GD_Update_Date,BB$1352)=0,"NR",SUMIFS(GD_Guidance_Mid,GD_Item_Name,$B1363,GD_Item_FiscalPeriod,BB$1354,GD_Update_Date,BB$1352)))</f>
        <v/>
      </c>
      <c r="BC1363" s="1645">
        <f>IF(ISBLANK(BC$1354),"N/A",IF(COUNTIFS(GD_Item_FiscalPeriod,BC$1354,GD_Item_Name,$B1363,GD_Update_Date,BC$1352)=0,"NR",SUMIFS(GD_Guidance_Mid,GD_Item_Name,$B1363,GD_Item_FiscalPeriod,BC$1354,GD_Update_Date,BC$1352)))</f>
        <v/>
      </c>
      <c r="BD1363" s="1645">
        <f>IF(ISBLANK(BD$1354),"N/A",IF(COUNTIFS(GD_Item_FiscalPeriod,BD$1354,GD_Item_Name,$B1363,GD_Update_Date,BD$1352)=0,"NR",SUMIFS(GD_Guidance_Mid,GD_Item_Name,$B1363,GD_Item_FiscalPeriod,BD$1354,GD_Update_Date,BD$1352)))</f>
        <v/>
      </c>
      <c r="BE1363" s="1645">
        <f>IF(ISBLANK(BE$1354),"N/A",IF(COUNTIFS(GD_Item_FiscalPeriod,BE$1354,GD_Item_Name,$B1363,GD_Update_Date,BE$1352)=0,"NR",SUMIFS(GD_Guidance_Mid,GD_Item_Name,$B1363,GD_Item_FiscalPeriod,BE$1354,GD_Update_Date,BE$1352)))</f>
        <v/>
      </c>
      <c r="BF1363" s="1645">
        <f>IF(ISBLANK(BF$1354),"N/A",IF(COUNTIFS(GD_Item_FiscalPeriod,BF$1354,GD_Item_Name,$B1363,GD_Update_Date,BF$1352)=0,"NR",SUMIFS(GD_Guidance_Mid,GD_Item_Name,$B1363,GD_Item_FiscalPeriod,BF$1354,GD_Update_Date,BF$1352)))</f>
        <v/>
      </c>
      <c r="BG1363" s="1645">
        <f>IF(ISBLANK(BG$1354),"N/A",IF(COUNTIFS(GD_Item_FiscalPeriod,BG$1354,GD_Item_Name,$B1363,GD_Update_Date,BG$1352)=0,"NR",SUMIFS(GD_Guidance_Mid,GD_Item_Name,$B1363,GD_Item_FiscalPeriod,BG$1354,GD_Update_Date,BG$1352)))</f>
        <v/>
      </c>
      <c r="BH1363" s="1645">
        <f>IF(ISBLANK(BH$1354),"N/A",IF(COUNTIFS(GD_Item_FiscalPeriod,BH$1354,GD_Item_Name,$B1363,GD_Update_Date,BH$1352)=0,"NR",SUMIFS(GD_Guidance_Mid,GD_Item_Name,$B1363,GD_Item_FiscalPeriod,BH$1354,GD_Update_Date,BH$1352)))</f>
        <v/>
      </c>
      <c r="BI1363" s="1645">
        <f>IF(ISBLANK(BI$1354),"N/A",IF(COUNTIFS(GD_Item_FiscalPeriod,BI$1354,GD_Item_Name,$B1363,GD_Update_Date,BI$1352)=0,"NR",SUMIFS(GD_Guidance_Mid,GD_Item_Name,$B1363,GD_Item_FiscalPeriod,BI$1354,GD_Update_Date,BI$1352)))</f>
        <v/>
      </c>
      <c r="BJ1363" s="1645">
        <f>IF(ISBLANK(BJ$1354),"N/A",IF(COUNTIFS(GD_Item_FiscalPeriod,BJ$1354,GD_Item_Name,$B1363,GD_Update_Date,BJ$1352)=0,"NR",SUMIFS(GD_Guidance_Mid,GD_Item_Name,$B1363,GD_Item_FiscalPeriod,BJ$1354,GD_Update_Date,BJ$1352)))</f>
        <v/>
      </c>
      <c r="BK1363" s="1645">
        <f>IF(ISBLANK(BK$1354),"N/A",IF(COUNTIFS(GD_Item_FiscalPeriod,BK$1354,GD_Item_Name,$B1363,GD_Update_Date,BK$1352)=0,"NR",SUMIFS(GD_Guidance_Mid,GD_Item_Name,$B1363,GD_Item_FiscalPeriod,BK$1354,GD_Update_Date,BK$1352)))</f>
        <v/>
      </c>
      <c r="BL1363" s="1645">
        <f>IF(ISBLANK(BL$1354),"N/A",IF(COUNTIFS(GD_Item_FiscalPeriod,BL$1354,GD_Item_Name,$B1363,GD_Update_Date,BL$1352)=0,"NR",SUMIFS(GD_Guidance_Mid,GD_Item_Name,$B1363,GD_Item_FiscalPeriod,BL$1354,GD_Update_Date,BL$1352)))</f>
        <v/>
      </c>
      <c r="BM1363" s="1645">
        <f>IF(ISBLANK(BM$1354),"N/A",IF(COUNTIFS(GD_Item_FiscalPeriod,BM$1354,GD_Item_Name,$B1363,GD_Update_Date,BM$1352)=0,"NR",SUMIFS(GD_Guidance_Mid,GD_Item_Name,$B1363,GD_Item_FiscalPeriod,BM$1354,GD_Update_Date,BM$1352)))</f>
        <v/>
      </c>
      <c r="BN1363" s="1645">
        <f>IF(ISBLANK(BN$1354),"N/A",IF(COUNTIFS(GD_Item_FiscalPeriod,BN$1354,GD_Item_Name,$B1363,GD_Update_Date,BN$1352)=0,"NR",SUMIFS(GD_Guidance_Mid,GD_Item_Name,$B1363,GD_Item_FiscalPeriod,BN$1354,GD_Update_Date,BN$1352)))</f>
        <v/>
      </c>
      <c r="BO1363" s="1645">
        <f>IF(ISBLANK(BO$1354),"N/A",IF(COUNTIFS(GD_Item_FiscalPeriod,BO$1354,GD_Item_Name,$B1363,GD_Update_Date,BO$1352)=0,"NR",SUMIFS(GD_Guidance_Mid,GD_Item_Name,$B1363,GD_Item_FiscalPeriod,BO$1354,GD_Update_Date,BO$1352)))</f>
        <v/>
      </c>
      <c r="BP1363" s="1645">
        <f>IF(ISBLANK(BP$1354),"N/A",IF(COUNTIFS(GD_Item_FiscalPeriod,BP$1354,GD_Item_Name,$B1363,GD_Update_Date,BP$1352)=0,"NR",SUMIFS(GD_Guidance_Mid,GD_Item_Name,$B1363,GD_Item_FiscalPeriod,BP$1354,GD_Update_Date,BP$1352)))</f>
        <v/>
      </c>
      <c r="BQ1363" s="2008">
        <f>IF(ISBLANK(BQ$1354),"N/A",IF(COUNTIFS(GD_Item_FiscalPeriod,BQ$1354,GD_Item_Name,$B1363,GD_Update_Date,BQ$1352)=0,"NR",SUMIFS(GD_Guidance_Mid,GD_Item_Name,$B1363,GD_Item_FiscalPeriod,BQ$1354,GD_Update_Date,BQ$1352)))</f>
        <v/>
      </c>
      <c r="BR1363" s="1645">
        <f>IF(ISBLANK(BR$1354),"N/A",IF(COUNTIFS(GD_Item_FiscalPeriod,BR$1354,GD_Item_Name,$B1363,GD_Update_Date,BR$1352)=0,"NR",SUMIFS(GD_Guidance_Mid,GD_Item_Name,$B1363,GD_Item_FiscalPeriod,BR$1354,GD_Update_Date,BR$1352)))</f>
        <v/>
      </c>
      <c r="BS1363" s="1645">
        <f>IF(ISBLANK(BS$1354),"N/A",IF(COUNTIFS(GD_Item_FiscalPeriod,BS$1354,GD_Item_Name,$B1363,GD_Update_Date,BS$1352)=0,"NR",SUMIFS(GD_Guidance_Mid,GD_Item_Name,$B1363,GD_Item_FiscalPeriod,BS$1354,GD_Update_Date,BS$1352)))</f>
        <v/>
      </c>
      <c r="BT1363" s="1645">
        <f>IF(ISBLANK(BT$1354),"N/A",IF(COUNTIFS(GD_Item_FiscalPeriod,BT$1354,GD_Item_Name,$B1363,GD_Update_Date,BT$1352)=0,"NR",SUMIFS(GD_Guidance_Mid,GD_Item_Name,$B1363,GD_Item_FiscalPeriod,BT$1354,GD_Update_Date,BT$1352)))</f>
        <v/>
      </c>
      <c r="BU1363" s="1645">
        <f>IF(ISBLANK(BU$1354),"N/A",IF(COUNTIFS(GD_Item_FiscalPeriod,BU$1354,GD_Item_Name,$B1363,GD_Update_Date,BU$1352)=0,"NR",SUMIFS(GD_Guidance_Mid,GD_Item_Name,$B1363,GD_Item_FiscalPeriod,BU$1354,GD_Update_Date,BU$1352)))</f>
        <v/>
      </c>
      <c r="BV1363" s="1645">
        <f>IF(ISBLANK(BV$1354),"N/A",IF(COUNTIFS(GD_Item_FiscalPeriod,BV$1354,GD_Item_Name,$B1363,GD_Update_Date,BV$1352)=0,"NR",SUMIFS(GD_Guidance_Mid,GD_Item_Name,$B1363,GD_Item_FiscalPeriod,BV$1354,GD_Update_Date,BV$1352)))</f>
        <v/>
      </c>
      <c r="BW1363" s="1645">
        <f>IF(ISBLANK(BW$1354),"N/A",IF(COUNTIFS(GD_Item_FiscalPeriod,BW$1354,GD_Item_Name,$B1363,GD_Update_Date,BW$1352)=0,"NR",SUMIFS(GD_Guidance_Mid,GD_Item_Name,$B1363,GD_Item_FiscalPeriod,BW$1354,GD_Update_Date,BW$1352)))</f>
        <v/>
      </c>
      <c r="BX1363" s="1645">
        <f>IF(ISBLANK(BX$1354),"N/A",IF(COUNTIFS(GD_Item_FiscalPeriod,BX$1354,GD_Item_Name,$B1363,GD_Update_Date,BX$1352)=0,"NR",SUMIFS(GD_Guidance_Mid,GD_Item_Name,$B1363,GD_Item_FiscalPeriod,BX$1354,GD_Update_Date,BX$1352)))</f>
        <v/>
      </c>
      <c r="BY1363" s="1645">
        <f>IF(ISBLANK(BY$1354),"N/A",IF(COUNTIFS(GD_Item_FiscalPeriod,BY$1354,GD_Item_Name,$B1363,GD_Update_Date,BY$1352)=0,"NR",SUMIFS(GD_Guidance_Mid,GD_Item_Name,$B1363,GD_Item_FiscalPeriod,BY$1354,GD_Update_Date,BY$1352)))</f>
        <v/>
      </c>
      <c r="BZ1363" s="1645">
        <f>IF(ISBLANK(BZ$1354),"N/A",IF(COUNTIFS(GD_Item_FiscalPeriod,BZ$1354,GD_Item_Name,$B1363,GD_Update_Date,BZ$1352)=0,"NR",SUMIFS(GD_Guidance_Mid,GD_Item_Name,$B1363,GD_Item_FiscalPeriod,BZ$1354,GD_Update_Date,BZ$1352)))</f>
        <v/>
      </c>
      <c r="CA1363" s="2009">
        <f>IF(ISBLANK(CA$1354),"N/A",IF(COUNTIFS(GD_Item_FiscalPeriod,CA$1354,GD_Item_Name,$B1363,GD_Update_Date,CA$1352)=0,"NR",SUMIFS(GD_Guidance_Mid,GD_Item_Name,$B1363,GD_Item_FiscalPeriod,CA$1354,GD_Update_Date,CA$1352)))</f>
        <v/>
      </c>
      <c r="CB1363" s="1472" t="n"/>
    </row>
    <row r="1364" ht="14.4" customFormat="1" customHeight="1" s="1549">
      <c r="A1364" s="1999" t="inlineStr">
        <is>
          <t>Low - Shares Outstanding - WAD, mm shares</t>
        </is>
      </c>
      <c r="B1364" s="1493" t="inlineStr">
        <is>
          <t>MO_RIS_ShareCount_WAD</t>
        </is>
      </c>
      <c r="C1364" s="2000" t="n"/>
      <c r="D1364" s="2000" t="n"/>
      <c r="E1364" s="1553" t="n"/>
      <c r="F1364" s="1553" t="n"/>
      <c r="G1364" s="1553" t="n"/>
      <c r="H1364" s="1553" t="n"/>
      <c r="I1364" s="1553" t="n"/>
      <c r="J1364" s="1553" t="n"/>
      <c r="K1364" s="1553" t="n"/>
      <c r="L1364" s="1553" t="n"/>
      <c r="M1364" s="1553" t="n"/>
      <c r="N1364" s="1553" t="n"/>
      <c r="O1364" s="1553" t="n"/>
      <c r="P1364" s="1553" t="n"/>
      <c r="Q1364" s="1553" t="n"/>
      <c r="R1364" s="1553" t="n"/>
      <c r="S1364" s="1553" t="n"/>
      <c r="T1364" s="1553" t="n"/>
      <c r="U1364" s="1553" t="n"/>
      <c r="V1364" s="1553" t="n"/>
      <c r="W1364" s="1553" t="n"/>
      <c r="X1364" s="1553" t="n"/>
      <c r="Y1364" s="1553" t="n"/>
      <c r="Z1364" s="1553" t="n"/>
      <c r="AA1364" s="1553" t="n"/>
      <c r="AB1364" s="1553" t="n"/>
      <c r="AC1364" s="1553">
        <f>IF(ISBLANK(AC$1354),"N/A",IF(COUNTIFS(GD_Item_FiscalPeriod,AC$1354,GD_Item_Name,$B1364,GD_Update_Date,AC$1352)=0,"NR",SUMIFS(GD_Guidance_Low,GD_Item_Name,$B1364,GD_Item_FiscalPeriod,AC$1354,GD_Update_Date,AC$1352)))</f>
        <v/>
      </c>
      <c r="AD1364" s="1553">
        <f>IF(ISBLANK(AD$1354),"N/A",IF(COUNTIFS(GD_Item_FiscalPeriod,AD$1354,GD_Item_Name,$B1364,GD_Update_Date,AD$1352)=0,"NR",SUMIFS(GD_Guidance_Low,GD_Item_Name,$B1364,GD_Item_FiscalPeriod,AD$1354,GD_Update_Date,AD$1352)))</f>
        <v/>
      </c>
      <c r="AE1364" s="1553">
        <f>IF(ISBLANK(AE$1354),"N/A",IF(COUNTIFS(GD_Item_FiscalPeriod,AE$1354,GD_Item_Name,$B1364,GD_Update_Date,AE$1352)=0,"NR",SUMIFS(GD_Guidance_Low,GD_Item_Name,$B1364,GD_Item_FiscalPeriod,AE$1354,GD_Update_Date,AE$1352)))</f>
        <v/>
      </c>
      <c r="AF1364" s="1553">
        <f>IF(ISBLANK(AF$1354),"N/A",IF(COUNTIFS(GD_Item_FiscalPeriod,AF$1354,GD_Item_Name,$B1364,GD_Update_Date,AF$1352)=0,"NR",SUMIFS(GD_Guidance_Low,GD_Item_Name,$B1364,GD_Item_FiscalPeriod,AF$1354,GD_Update_Date,AF$1352)))</f>
        <v/>
      </c>
      <c r="AG1364" s="1553">
        <f>IF(ISBLANK(AG$1354),"N/A",IF(COUNTIFS(GD_Item_FiscalPeriod,AG$1354,GD_Item_Name,$B1364,GD_Update_Date,AG$1352)=0,"NR",SUMIFS(GD_Guidance_Low,GD_Item_Name,$B1364,GD_Item_FiscalPeriod,AG$1354,GD_Update_Date,AG$1352)))</f>
        <v/>
      </c>
      <c r="AH1364" s="1553">
        <f>IF(ISBLANK(AH$1354),"N/A",IF(COUNTIFS(GD_Item_FiscalPeriod,AH$1354,GD_Item_Name,$B1364,GD_Update_Date,AH$1352)=0,"NR",SUMIFS(GD_Guidance_Low,GD_Item_Name,$B1364,GD_Item_FiscalPeriod,AH$1354,GD_Update_Date,AH$1352)))</f>
        <v/>
      </c>
      <c r="AI1364" s="1553">
        <f>IF(ISBLANK(AI$1354),"N/A",IF(COUNTIFS(GD_Item_FiscalPeriod,AI$1354,GD_Item_Name,$B1364,GD_Update_Date,AI$1352)=0,"NR",SUMIFS(GD_Guidance_Low,GD_Item_Name,$B1364,GD_Item_FiscalPeriod,AI$1354,GD_Update_Date,AI$1352)))</f>
        <v/>
      </c>
      <c r="AJ1364" s="1553">
        <f>IF(ISBLANK(AJ$1354),"N/A",IF(COUNTIFS(GD_Item_FiscalPeriod,AJ$1354,GD_Item_Name,$B1364,GD_Update_Date,AJ$1352)=0,"NR",SUMIFS(GD_Guidance_Low,GD_Item_Name,$B1364,GD_Item_FiscalPeriod,AJ$1354,GD_Update_Date,AJ$1352)))</f>
        <v/>
      </c>
      <c r="AK1364" s="1553">
        <f>IF(ISBLANK(AK$1354),"N/A",IF(COUNTIFS(GD_Item_FiscalPeriod,AK$1354,GD_Item_Name,$B1364,GD_Update_Date,AK$1352)=0,"NR",SUMIFS(GD_Guidance_Low,GD_Item_Name,$B1364,GD_Item_FiscalPeriod,AK$1354,GD_Update_Date,AK$1352)))</f>
        <v/>
      </c>
      <c r="AL1364" s="1553">
        <f>IF(ISBLANK(AL$1354),"N/A",IF(COUNTIFS(GD_Item_FiscalPeriod,AL$1354,GD_Item_Name,$B1364,GD_Update_Date,AL$1352)=0,"NR",SUMIFS(GD_Guidance_Low,GD_Item_Name,$B1364,GD_Item_FiscalPeriod,AL$1354,GD_Update_Date,AL$1352)))</f>
        <v/>
      </c>
      <c r="AM1364" s="1553">
        <f>IF(ISBLANK(AM$1354),"N/A",IF(COUNTIFS(GD_Item_FiscalPeriod,AM$1354,GD_Item_Name,$B1364,GD_Update_Date,AM$1352)=0,"NR",SUMIFS(GD_Guidance_Low,GD_Item_Name,$B1364,GD_Item_FiscalPeriod,AM$1354,GD_Update_Date,AM$1352)))</f>
        <v/>
      </c>
      <c r="AN1364" s="1553">
        <f>IF(ISBLANK(AN$1354),"N/A",IF(COUNTIFS(GD_Item_FiscalPeriod,AN$1354,GD_Item_Name,$B1364,GD_Update_Date,AN$1352)=0,"NR",SUMIFS(GD_Guidance_Low,GD_Item_Name,$B1364,GD_Item_FiscalPeriod,AN$1354,GD_Update_Date,AN$1352)))</f>
        <v/>
      </c>
      <c r="AO1364" s="1553">
        <f>IF(ISBLANK(AO$1354),"N/A",IF(COUNTIFS(GD_Item_FiscalPeriod,AO$1354,GD_Item_Name,$B1364,GD_Update_Date,AO$1352)=0,"NR",SUMIFS(GD_Guidance_Low,GD_Item_Name,$B1364,GD_Item_FiscalPeriod,AO$1354,GD_Update_Date,AO$1352)))</f>
        <v/>
      </c>
      <c r="AP1364" s="1553">
        <f>IF(ISBLANK(AP$1354),"N/A",IF(COUNTIFS(GD_Item_FiscalPeriod,AP$1354,GD_Item_Name,$B1364,GD_Update_Date,AP$1352)=0,"NR",SUMIFS(GD_Guidance_Low,GD_Item_Name,$B1364,GD_Item_FiscalPeriod,AP$1354,GD_Update_Date,AP$1352)))</f>
        <v/>
      </c>
      <c r="AQ1364" s="1553">
        <f>IF(ISBLANK(AQ$1354),"N/A",IF(COUNTIFS(GD_Item_FiscalPeriod,AQ$1354,GD_Item_Name,$B1364,GD_Update_Date,AQ$1352)=0,"NR",SUMIFS(GD_Guidance_Low,GD_Item_Name,$B1364,GD_Item_FiscalPeriod,AQ$1354,GD_Update_Date,AQ$1352)))</f>
        <v/>
      </c>
      <c r="AR1364" s="1553">
        <f>IF(ISBLANK(AR$1354),"N/A",IF(COUNTIFS(GD_Item_FiscalPeriod,AR$1354,GD_Item_Name,$B1364,GD_Update_Date,AR$1352)=0,"NR",SUMIFS(GD_Guidance_Low,GD_Item_Name,$B1364,GD_Item_FiscalPeriod,AR$1354,GD_Update_Date,AR$1352)))</f>
        <v/>
      </c>
      <c r="AS1364" s="1553">
        <f>IF(ISBLANK(AS$1354),"N/A",IF(COUNTIFS(GD_Item_FiscalPeriod,AS$1354,GD_Item_Name,$B1364,GD_Update_Date,AS$1352)=0,"NR",SUMIFS(GD_Guidance_Low,GD_Item_Name,$B1364,GD_Item_FiscalPeriod,AS$1354,GD_Update_Date,AS$1352)))</f>
        <v/>
      </c>
      <c r="AT1364" s="1553">
        <f>IF(ISBLANK(AT$1354),"N/A",IF(COUNTIFS(GD_Item_FiscalPeriod,AT$1354,GD_Item_Name,$B1364,GD_Update_Date,AT$1352)=0,"NR",SUMIFS(GD_Guidance_Low,GD_Item_Name,$B1364,GD_Item_FiscalPeriod,AT$1354,GD_Update_Date,AT$1352)))</f>
        <v/>
      </c>
      <c r="AU1364" s="1553">
        <f>IF(ISBLANK(AU$1354),"N/A",IF(COUNTIFS(GD_Item_FiscalPeriod,AU$1354,GD_Item_Name,$B1364,GD_Update_Date,AU$1352)=0,"NR",SUMIFS(GD_Guidance_Low,GD_Item_Name,$B1364,GD_Item_FiscalPeriod,AU$1354,GD_Update_Date,AU$1352)))</f>
        <v/>
      </c>
      <c r="AV1364" s="1553">
        <f>IF(ISBLANK(AV$1354),"N/A",IF(COUNTIFS(GD_Item_FiscalPeriod,AV$1354,GD_Item_Name,$B1364,GD_Update_Date,AV$1352)=0,"NR",SUMIFS(GD_Guidance_Low,GD_Item_Name,$B1364,GD_Item_FiscalPeriod,AV$1354,GD_Update_Date,AV$1352)))</f>
        <v/>
      </c>
      <c r="AW1364" s="1553">
        <f>IF(ISBLANK(AW$1354),"N/A",IF(COUNTIFS(GD_Item_FiscalPeriod,AW$1354,GD_Item_Name,$B1364,GD_Update_Date,AW$1352)=0,"NR",SUMIFS(GD_Guidance_Low,GD_Item_Name,$B1364,GD_Item_FiscalPeriod,AW$1354,GD_Update_Date,AW$1352)))</f>
        <v/>
      </c>
      <c r="AX1364" s="1553">
        <f>IF(ISBLANK(AX$1354),"N/A",IF(COUNTIFS(GD_Item_FiscalPeriod,AX$1354,GD_Item_Name,$B1364,GD_Update_Date,AX$1352)=0,"NR",SUMIFS(GD_Guidance_Low,GD_Item_Name,$B1364,GD_Item_FiscalPeriod,AX$1354,GD_Update_Date,AX$1352)))</f>
        <v/>
      </c>
      <c r="AY1364" s="1553">
        <f>IF(ISBLANK(AY$1354),"N/A",IF(COUNTIFS(GD_Item_FiscalPeriod,AY$1354,GD_Item_Name,$B1364,GD_Update_Date,AY$1352)=0,"NR",SUMIFS(GD_Guidance_Low,GD_Item_Name,$B1364,GD_Item_FiscalPeriod,AY$1354,GD_Update_Date,AY$1352)))</f>
        <v/>
      </c>
      <c r="AZ1364" s="1553">
        <f>IF(ISBLANK(AZ$1354),"N/A",IF(COUNTIFS(GD_Item_FiscalPeriod,AZ$1354,GD_Item_Name,$B1364,GD_Update_Date,AZ$1352)=0,"NR",SUMIFS(GD_Guidance_Low,GD_Item_Name,$B1364,GD_Item_FiscalPeriod,AZ$1354,GD_Update_Date,AZ$1352)))</f>
        <v/>
      </c>
      <c r="BA1364" s="1553">
        <f>IF(ISBLANK(BA$1354),"N/A",IF(COUNTIFS(GD_Item_FiscalPeriod,BA$1354,GD_Item_Name,$B1364,GD_Update_Date,BA$1352)=0,"NR",SUMIFS(GD_Guidance_Low,GD_Item_Name,$B1364,GD_Item_FiscalPeriod,BA$1354,GD_Update_Date,BA$1352)))</f>
        <v/>
      </c>
      <c r="BB1364" s="1553">
        <f>IF(ISBLANK(BB$1354),"N/A",IF(COUNTIFS(GD_Item_FiscalPeriod,BB$1354,GD_Item_Name,$B1364,GD_Update_Date,BB$1352)=0,"NR",SUMIFS(GD_Guidance_Low,GD_Item_Name,$B1364,GD_Item_FiscalPeriod,BB$1354,GD_Update_Date,BB$1352)))</f>
        <v/>
      </c>
      <c r="BC1364" s="1553">
        <f>IF(ISBLANK(BC$1354),"N/A",IF(COUNTIFS(GD_Item_FiscalPeriod,BC$1354,GD_Item_Name,$B1364,GD_Update_Date,BC$1352)=0,"NR",SUMIFS(GD_Guidance_Low,GD_Item_Name,$B1364,GD_Item_FiscalPeriod,BC$1354,GD_Update_Date,BC$1352)))</f>
        <v/>
      </c>
      <c r="BD1364" s="1553">
        <f>IF(ISBLANK(BD$1354),"N/A",IF(COUNTIFS(GD_Item_FiscalPeriod,BD$1354,GD_Item_Name,$B1364,GD_Update_Date,BD$1352)=0,"NR",SUMIFS(GD_Guidance_Low,GD_Item_Name,$B1364,GD_Item_FiscalPeriod,BD$1354,GD_Update_Date,BD$1352)))</f>
        <v/>
      </c>
      <c r="BE1364" s="1553">
        <f>IF(ISBLANK(BE$1354),"N/A",IF(COUNTIFS(GD_Item_FiscalPeriod,BE$1354,GD_Item_Name,$B1364,GD_Update_Date,BE$1352)=0,"NR",SUMIFS(GD_Guidance_Low,GD_Item_Name,$B1364,GD_Item_FiscalPeriod,BE$1354,GD_Update_Date,BE$1352)))</f>
        <v/>
      </c>
      <c r="BF1364" s="1553">
        <f>IF(ISBLANK(BF$1354),"N/A",IF(COUNTIFS(GD_Item_FiscalPeriod,BF$1354,GD_Item_Name,$B1364,GD_Update_Date,BF$1352)=0,"NR",SUMIFS(GD_Guidance_Low,GD_Item_Name,$B1364,GD_Item_FiscalPeriod,BF$1354,GD_Update_Date,BF$1352)))</f>
        <v/>
      </c>
      <c r="BG1364" s="1553">
        <f>IF(ISBLANK(BG$1354),"N/A",IF(COUNTIFS(GD_Item_FiscalPeriod,BG$1354,GD_Item_Name,$B1364,GD_Update_Date,BG$1352)=0,"NR",SUMIFS(GD_Guidance_Low,GD_Item_Name,$B1364,GD_Item_FiscalPeriod,BG$1354,GD_Update_Date,BG$1352)))</f>
        <v/>
      </c>
      <c r="BH1364" s="1553">
        <f>IF(ISBLANK(BH$1354),"N/A",IF(COUNTIFS(GD_Item_FiscalPeriod,BH$1354,GD_Item_Name,$B1364,GD_Update_Date,BH$1352)=0,"NR",SUMIFS(GD_Guidance_Low,GD_Item_Name,$B1364,GD_Item_FiscalPeriod,BH$1354,GD_Update_Date,BH$1352)))</f>
        <v/>
      </c>
      <c r="BI1364" s="1553">
        <f>IF(ISBLANK(BI$1354),"N/A",IF(COUNTIFS(GD_Item_FiscalPeriod,BI$1354,GD_Item_Name,$B1364,GD_Update_Date,BI$1352)=0,"NR",SUMIFS(GD_Guidance_Low,GD_Item_Name,$B1364,GD_Item_FiscalPeriod,BI$1354,GD_Update_Date,BI$1352)))</f>
        <v/>
      </c>
      <c r="BJ1364" s="1553">
        <f>IF(ISBLANK(BJ$1354),"N/A",IF(COUNTIFS(GD_Item_FiscalPeriod,BJ$1354,GD_Item_Name,$B1364,GD_Update_Date,BJ$1352)=0,"NR",SUMIFS(GD_Guidance_Low,GD_Item_Name,$B1364,GD_Item_FiscalPeriod,BJ$1354,GD_Update_Date,BJ$1352)))</f>
        <v/>
      </c>
      <c r="BK1364" s="1553">
        <f>IF(ISBLANK(BK$1354),"N/A",IF(COUNTIFS(GD_Item_FiscalPeriod,BK$1354,GD_Item_Name,$B1364,GD_Update_Date,BK$1352)=0,"NR",SUMIFS(GD_Guidance_Low,GD_Item_Name,$B1364,GD_Item_FiscalPeriod,BK$1354,GD_Update_Date,BK$1352)))</f>
        <v/>
      </c>
      <c r="BL1364" s="1553">
        <f>IF(ISBLANK(BL$1354),"N/A",IF(COUNTIFS(GD_Item_FiscalPeriod,BL$1354,GD_Item_Name,$B1364,GD_Update_Date,BL$1352)=0,"NR",SUMIFS(GD_Guidance_Low,GD_Item_Name,$B1364,GD_Item_FiscalPeriod,BL$1354,GD_Update_Date,BL$1352)))</f>
        <v/>
      </c>
      <c r="BM1364" s="1553">
        <f>IF(ISBLANK(BM$1354),"N/A",IF(COUNTIFS(GD_Item_FiscalPeriod,BM$1354,GD_Item_Name,$B1364,GD_Update_Date,BM$1352)=0,"NR",SUMIFS(GD_Guidance_Low,GD_Item_Name,$B1364,GD_Item_FiscalPeriod,BM$1354,GD_Update_Date,BM$1352)))</f>
        <v/>
      </c>
      <c r="BN1364" s="1553">
        <f>IF(ISBLANK(BN$1354),"N/A",IF(COUNTIFS(GD_Item_FiscalPeriod,BN$1354,GD_Item_Name,$B1364,GD_Update_Date,BN$1352)=0,"NR",SUMIFS(GD_Guidance_Low,GD_Item_Name,$B1364,GD_Item_FiscalPeriod,BN$1354,GD_Update_Date,BN$1352)))</f>
        <v/>
      </c>
      <c r="BO1364" s="1553">
        <f>IF(ISBLANK(BO$1354),"N/A",IF(COUNTIFS(GD_Item_FiscalPeriod,BO$1354,GD_Item_Name,$B1364,GD_Update_Date,BO$1352)=0,"NR",SUMIFS(GD_Guidance_Low,GD_Item_Name,$B1364,GD_Item_FiscalPeriod,BO$1354,GD_Update_Date,BO$1352)))</f>
        <v/>
      </c>
      <c r="BP1364" s="1553">
        <f>IF(ISBLANK(BP$1354),"N/A",IF(COUNTIFS(GD_Item_FiscalPeriod,BP$1354,GD_Item_Name,$B1364,GD_Update_Date,BP$1352)=0,"NR",SUMIFS(GD_Guidance_Low,GD_Item_Name,$B1364,GD_Item_FiscalPeriod,BP$1354,GD_Update_Date,BP$1352)))</f>
        <v/>
      </c>
      <c r="BQ1364" s="1556">
        <f>IF(ISBLANK(BQ$1354),"N/A",IF(COUNTIFS(GD_Item_FiscalPeriod,BQ$1354,GD_Item_Name,$B1364,GD_Update_Date,BQ$1352)=0,"NR",SUMIFS(GD_Guidance_Low,GD_Item_Name,$B1364,GD_Item_FiscalPeriod,BQ$1354,GD_Update_Date,BQ$1352)))</f>
        <v/>
      </c>
      <c r="BR1364" s="1553">
        <f>IF(ISBLANK(BR$1354),"N/A",IF(COUNTIFS(GD_Item_FiscalPeriod,BR$1354,GD_Item_Name,$B1364,GD_Update_Date,BR$1352)=0,"NR",SUMIFS(GD_Guidance_Low,GD_Item_Name,$B1364,GD_Item_FiscalPeriod,BR$1354,GD_Update_Date,BR$1352)))</f>
        <v/>
      </c>
      <c r="BS1364" s="1553">
        <f>IF(ISBLANK(BS$1354),"N/A",IF(COUNTIFS(GD_Item_FiscalPeriod,BS$1354,GD_Item_Name,$B1364,GD_Update_Date,BS$1352)=0,"NR",SUMIFS(GD_Guidance_Low,GD_Item_Name,$B1364,GD_Item_FiscalPeriod,BS$1354,GD_Update_Date,BS$1352)))</f>
        <v/>
      </c>
      <c r="BT1364" s="1553">
        <f>IF(ISBLANK(BT$1354),"N/A",IF(COUNTIFS(GD_Item_FiscalPeriod,BT$1354,GD_Item_Name,$B1364,GD_Update_Date,BT$1352)=0,"NR",SUMIFS(GD_Guidance_Low,GD_Item_Name,$B1364,GD_Item_FiscalPeriod,BT$1354,GD_Update_Date,BT$1352)))</f>
        <v/>
      </c>
      <c r="BU1364" s="1553">
        <f>IF(ISBLANK(BU$1354),"N/A",IF(COUNTIFS(GD_Item_FiscalPeriod,BU$1354,GD_Item_Name,$B1364,GD_Update_Date,BU$1352)=0,"NR",SUMIFS(GD_Guidance_Low,GD_Item_Name,$B1364,GD_Item_FiscalPeriod,BU$1354,GD_Update_Date,BU$1352)))</f>
        <v/>
      </c>
      <c r="BV1364" s="1553">
        <f>IF(ISBLANK(BV$1354),"N/A",IF(COUNTIFS(GD_Item_FiscalPeriod,BV$1354,GD_Item_Name,$B1364,GD_Update_Date,BV$1352)=0,"NR",SUMIFS(GD_Guidance_Low,GD_Item_Name,$B1364,GD_Item_FiscalPeriod,BV$1354,GD_Update_Date,BV$1352)))</f>
        <v/>
      </c>
      <c r="BW1364" s="1553">
        <f>IF(ISBLANK(BW$1354),"N/A",IF(COUNTIFS(GD_Item_FiscalPeriod,BW$1354,GD_Item_Name,$B1364,GD_Update_Date,BW$1352)=0,"NR",SUMIFS(GD_Guidance_Low,GD_Item_Name,$B1364,GD_Item_FiscalPeriod,BW$1354,GD_Update_Date,BW$1352)))</f>
        <v/>
      </c>
      <c r="BX1364" s="1553">
        <f>IF(ISBLANK(BX$1354),"N/A",IF(COUNTIFS(GD_Item_FiscalPeriod,BX$1354,GD_Item_Name,$B1364,GD_Update_Date,BX$1352)=0,"NR",SUMIFS(GD_Guidance_Low,GD_Item_Name,$B1364,GD_Item_FiscalPeriod,BX$1354,GD_Update_Date,BX$1352)))</f>
        <v/>
      </c>
      <c r="BY1364" s="1553">
        <f>IF(ISBLANK(BY$1354),"N/A",IF(COUNTIFS(GD_Item_FiscalPeriod,BY$1354,GD_Item_Name,$B1364,GD_Update_Date,BY$1352)=0,"NR",SUMIFS(GD_Guidance_Low,GD_Item_Name,$B1364,GD_Item_FiscalPeriod,BY$1354,GD_Update_Date,BY$1352)))</f>
        <v/>
      </c>
      <c r="BZ1364" s="1553">
        <f>IF(ISBLANK(BZ$1354),"N/A",IF(COUNTIFS(GD_Item_FiscalPeriod,BZ$1354,GD_Item_Name,$B1364,GD_Update_Date,BZ$1352)=0,"NR",SUMIFS(GD_Guidance_Low,GD_Item_Name,$B1364,GD_Item_FiscalPeriod,BZ$1354,GD_Update_Date,BZ$1352)))</f>
        <v/>
      </c>
      <c r="CA1364" s="2001">
        <f>IF(ISBLANK(CA$1354),"N/A",IF(COUNTIFS(GD_Item_FiscalPeriod,CA$1354,GD_Item_Name,$B1364,GD_Update_Date,CA$1352)=0,"NR",SUMIFS(GD_Guidance_Low,GD_Item_Name,$B1364,GD_Item_FiscalPeriod,CA$1354,GD_Update_Date,CA$1352)))</f>
        <v/>
      </c>
      <c r="CB1364" s="1472" t="n"/>
    </row>
    <row r="1365" ht="14.4" customFormat="1" customHeight="1" s="1549">
      <c r="A1365" s="1999" t="inlineStr">
        <is>
          <t>High - Shares Outstanding - WAD, mm shares</t>
        </is>
      </c>
      <c r="B1365" s="1493" t="inlineStr">
        <is>
          <t>MO_RIS_ShareCount_WAD</t>
        </is>
      </c>
      <c r="C1365" s="2000" t="n"/>
      <c r="D1365" s="2000" t="n"/>
      <c r="E1365" s="1553" t="n"/>
      <c r="F1365" s="1553" t="n"/>
      <c r="G1365" s="1553" t="n"/>
      <c r="H1365" s="1553" t="n"/>
      <c r="I1365" s="1553" t="n"/>
      <c r="J1365" s="1553" t="n"/>
      <c r="K1365" s="1553" t="n"/>
      <c r="L1365" s="1553" t="n"/>
      <c r="M1365" s="1553" t="n"/>
      <c r="N1365" s="1553" t="n"/>
      <c r="O1365" s="1553" t="n"/>
      <c r="P1365" s="1553" t="n"/>
      <c r="Q1365" s="1553" t="n"/>
      <c r="R1365" s="1553" t="n"/>
      <c r="S1365" s="1553" t="n"/>
      <c r="T1365" s="1553" t="n"/>
      <c r="U1365" s="1553" t="n"/>
      <c r="V1365" s="1553" t="n"/>
      <c r="W1365" s="1553" t="n"/>
      <c r="X1365" s="1553" t="n"/>
      <c r="Y1365" s="1553" t="n"/>
      <c r="Z1365" s="1553" t="n"/>
      <c r="AA1365" s="1553" t="n"/>
      <c r="AB1365" s="1553" t="n"/>
      <c r="AC1365" s="1553">
        <f>IF(ISBLANK(AC$1354),"N/A",IF(COUNTIFS(GD_Item_FiscalPeriod,AC$1354,GD_Item_Name,$B1365,GD_Update_Date,AC$1352)=0,"NR",SUMIFS(GD_Guidance_High,GD_Item_Name,$B1365,GD_Item_FiscalPeriod,AC$1354,GD_Update_Date,AC$1352)))</f>
        <v/>
      </c>
      <c r="AD1365" s="1553">
        <f>IF(ISBLANK(AD$1354),"N/A",IF(COUNTIFS(GD_Item_FiscalPeriod,AD$1354,GD_Item_Name,$B1365,GD_Update_Date,AD$1352)=0,"NR",SUMIFS(GD_Guidance_High,GD_Item_Name,$B1365,GD_Item_FiscalPeriod,AD$1354,GD_Update_Date,AD$1352)))</f>
        <v/>
      </c>
      <c r="AE1365" s="1553">
        <f>IF(ISBLANK(AE$1354),"N/A",IF(COUNTIFS(GD_Item_FiscalPeriod,AE$1354,GD_Item_Name,$B1365,GD_Update_Date,AE$1352)=0,"NR",SUMIFS(GD_Guidance_High,GD_Item_Name,$B1365,GD_Item_FiscalPeriod,AE$1354,GD_Update_Date,AE$1352)))</f>
        <v/>
      </c>
      <c r="AF1365" s="1553">
        <f>IF(ISBLANK(AF$1354),"N/A",IF(COUNTIFS(GD_Item_FiscalPeriod,AF$1354,GD_Item_Name,$B1365,GD_Update_Date,AF$1352)=0,"NR",SUMIFS(GD_Guidance_High,GD_Item_Name,$B1365,GD_Item_FiscalPeriod,AF$1354,GD_Update_Date,AF$1352)))</f>
        <v/>
      </c>
      <c r="AG1365" s="1553">
        <f>IF(ISBLANK(AG$1354),"N/A",IF(COUNTIFS(GD_Item_FiscalPeriod,AG$1354,GD_Item_Name,$B1365,GD_Update_Date,AG$1352)=0,"NR",SUMIFS(GD_Guidance_High,GD_Item_Name,$B1365,GD_Item_FiscalPeriod,AG$1354,GD_Update_Date,AG$1352)))</f>
        <v/>
      </c>
      <c r="AH1365" s="1553">
        <f>IF(ISBLANK(AH$1354),"N/A",IF(COUNTIFS(GD_Item_FiscalPeriod,AH$1354,GD_Item_Name,$B1365,GD_Update_Date,AH$1352)=0,"NR",SUMIFS(GD_Guidance_High,GD_Item_Name,$B1365,GD_Item_FiscalPeriod,AH$1354,GD_Update_Date,AH$1352)))</f>
        <v/>
      </c>
      <c r="AI1365" s="1553">
        <f>IF(ISBLANK(AI$1354),"N/A",IF(COUNTIFS(GD_Item_FiscalPeriod,AI$1354,GD_Item_Name,$B1365,GD_Update_Date,AI$1352)=0,"NR",SUMIFS(GD_Guidance_High,GD_Item_Name,$B1365,GD_Item_FiscalPeriod,AI$1354,GD_Update_Date,AI$1352)))</f>
        <v/>
      </c>
      <c r="AJ1365" s="1553">
        <f>IF(ISBLANK(AJ$1354),"N/A",IF(COUNTIFS(GD_Item_FiscalPeriod,AJ$1354,GD_Item_Name,$B1365,GD_Update_Date,AJ$1352)=0,"NR",SUMIFS(GD_Guidance_High,GD_Item_Name,$B1365,GD_Item_FiscalPeriod,AJ$1354,GD_Update_Date,AJ$1352)))</f>
        <v/>
      </c>
      <c r="AK1365" s="1553">
        <f>IF(ISBLANK(AK$1354),"N/A",IF(COUNTIFS(GD_Item_FiscalPeriod,AK$1354,GD_Item_Name,$B1365,GD_Update_Date,AK$1352)=0,"NR",SUMIFS(GD_Guidance_High,GD_Item_Name,$B1365,GD_Item_FiscalPeriod,AK$1354,GD_Update_Date,AK$1352)))</f>
        <v/>
      </c>
      <c r="AL1365" s="1553">
        <f>IF(ISBLANK(AL$1354),"N/A",IF(COUNTIFS(GD_Item_FiscalPeriod,AL$1354,GD_Item_Name,$B1365,GD_Update_Date,AL$1352)=0,"NR",SUMIFS(GD_Guidance_High,GD_Item_Name,$B1365,GD_Item_FiscalPeriod,AL$1354,GD_Update_Date,AL$1352)))</f>
        <v/>
      </c>
      <c r="AM1365" s="1553">
        <f>IF(ISBLANK(AM$1354),"N/A",IF(COUNTIFS(GD_Item_FiscalPeriod,AM$1354,GD_Item_Name,$B1365,GD_Update_Date,AM$1352)=0,"NR",SUMIFS(GD_Guidance_High,GD_Item_Name,$B1365,GD_Item_FiscalPeriod,AM$1354,GD_Update_Date,AM$1352)))</f>
        <v/>
      </c>
      <c r="AN1365" s="1553">
        <f>IF(ISBLANK(AN$1354),"N/A",IF(COUNTIFS(GD_Item_FiscalPeriod,AN$1354,GD_Item_Name,$B1365,GD_Update_Date,AN$1352)=0,"NR",SUMIFS(GD_Guidance_High,GD_Item_Name,$B1365,GD_Item_FiscalPeriod,AN$1354,GD_Update_Date,AN$1352)))</f>
        <v/>
      </c>
      <c r="AO1365" s="1553">
        <f>IF(ISBLANK(AO$1354),"N/A",IF(COUNTIFS(GD_Item_FiscalPeriod,AO$1354,GD_Item_Name,$B1365,GD_Update_Date,AO$1352)=0,"NR",SUMIFS(GD_Guidance_High,GD_Item_Name,$B1365,GD_Item_FiscalPeriod,AO$1354,GD_Update_Date,AO$1352)))</f>
        <v/>
      </c>
      <c r="AP1365" s="1553">
        <f>IF(ISBLANK(AP$1354),"N/A",IF(COUNTIFS(GD_Item_FiscalPeriod,AP$1354,GD_Item_Name,$B1365,GD_Update_Date,AP$1352)=0,"NR",SUMIFS(GD_Guidance_High,GD_Item_Name,$B1365,GD_Item_FiscalPeriod,AP$1354,GD_Update_Date,AP$1352)))</f>
        <v/>
      </c>
      <c r="AQ1365" s="1553">
        <f>IF(ISBLANK(AQ$1354),"N/A",IF(COUNTIFS(GD_Item_FiscalPeriod,AQ$1354,GD_Item_Name,$B1365,GD_Update_Date,AQ$1352)=0,"NR",SUMIFS(GD_Guidance_High,GD_Item_Name,$B1365,GD_Item_FiscalPeriod,AQ$1354,GD_Update_Date,AQ$1352)))</f>
        <v/>
      </c>
      <c r="AR1365" s="1553">
        <f>IF(ISBLANK(AR$1354),"N/A",IF(COUNTIFS(GD_Item_FiscalPeriod,AR$1354,GD_Item_Name,$B1365,GD_Update_Date,AR$1352)=0,"NR",SUMIFS(GD_Guidance_High,GD_Item_Name,$B1365,GD_Item_FiscalPeriod,AR$1354,GD_Update_Date,AR$1352)))</f>
        <v/>
      </c>
      <c r="AS1365" s="1553">
        <f>IF(ISBLANK(AS$1354),"N/A",IF(COUNTIFS(GD_Item_FiscalPeriod,AS$1354,GD_Item_Name,$B1365,GD_Update_Date,AS$1352)=0,"NR",SUMIFS(GD_Guidance_High,GD_Item_Name,$B1365,GD_Item_FiscalPeriod,AS$1354,GD_Update_Date,AS$1352)))</f>
        <v/>
      </c>
      <c r="AT1365" s="1553">
        <f>IF(ISBLANK(AT$1354),"N/A",IF(COUNTIFS(GD_Item_FiscalPeriod,AT$1354,GD_Item_Name,$B1365,GD_Update_Date,AT$1352)=0,"NR",SUMIFS(GD_Guidance_High,GD_Item_Name,$B1365,GD_Item_FiscalPeriod,AT$1354,GD_Update_Date,AT$1352)))</f>
        <v/>
      </c>
      <c r="AU1365" s="1553">
        <f>IF(ISBLANK(AU$1354),"N/A",IF(COUNTIFS(GD_Item_FiscalPeriod,AU$1354,GD_Item_Name,$B1365,GD_Update_Date,AU$1352)=0,"NR",SUMIFS(GD_Guidance_High,GD_Item_Name,$B1365,GD_Item_FiscalPeriod,AU$1354,GD_Update_Date,AU$1352)))</f>
        <v/>
      </c>
      <c r="AV1365" s="1553">
        <f>IF(ISBLANK(AV$1354),"N/A",IF(COUNTIFS(GD_Item_FiscalPeriod,AV$1354,GD_Item_Name,$B1365,GD_Update_Date,AV$1352)=0,"NR",SUMIFS(GD_Guidance_High,GD_Item_Name,$B1365,GD_Item_FiscalPeriod,AV$1354,GD_Update_Date,AV$1352)))</f>
        <v/>
      </c>
      <c r="AW1365" s="1553">
        <f>IF(ISBLANK(AW$1354),"N/A",IF(COUNTIFS(GD_Item_FiscalPeriod,AW$1354,GD_Item_Name,$B1365,GD_Update_Date,AW$1352)=0,"NR",SUMIFS(GD_Guidance_High,GD_Item_Name,$B1365,GD_Item_FiscalPeriod,AW$1354,GD_Update_Date,AW$1352)))</f>
        <v/>
      </c>
      <c r="AX1365" s="1553">
        <f>IF(ISBLANK(AX$1354),"N/A",IF(COUNTIFS(GD_Item_FiscalPeriod,AX$1354,GD_Item_Name,$B1365,GD_Update_Date,AX$1352)=0,"NR",SUMIFS(GD_Guidance_High,GD_Item_Name,$B1365,GD_Item_FiscalPeriod,AX$1354,GD_Update_Date,AX$1352)))</f>
        <v/>
      </c>
      <c r="AY1365" s="1553">
        <f>IF(ISBLANK(AY$1354),"N/A",IF(COUNTIFS(GD_Item_FiscalPeriod,AY$1354,GD_Item_Name,$B1365,GD_Update_Date,AY$1352)=0,"NR",SUMIFS(GD_Guidance_High,GD_Item_Name,$B1365,GD_Item_FiscalPeriod,AY$1354,GD_Update_Date,AY$1352)))</f>
        <v/>
      </c>
      <c r="AZ1365" s="1553">
        <f>IF(ISBLANK(AZ$1354),"N/A",IF(COUNTIFS(GD_Item_FiscalPeriod,AZ$1354,GD_Item_Name,$B1365,GD_Update_Date,AZ$1352)=0,"NR",SUMIFS(GD_Guidance_High,GD_Item_Name,$B1365,GD_Item_FiscalPeriod,AZ$1354,GD_Update_Date,AZ$1352)))</f>
        <v/>
      </c>
      <c r="BA1365" s="1553">
        <f>IF(ISBLANK(BA$1354),"N/A",IF(COUNTIFS(GD_Item_FiscalPeriod,BA$1354,GD_Item_Name,$B1365,GD_Update_Date,BA$1352)=0,"NR",SUMIFS(GD_Guidance_High,GD_Item_Name,$B1365,GD_Item_FiscalPeriod,BA$1354,GD_Update_Date,BA$1352)))</f>
        <v/>
      </c>
      <c r="BB1365" s="1553">
        <f>IF(ISBLANK(BB$1354),"N/A",IF(COUNTIFS(GD_Item_FiscalPeriod,BB$1354,GD_Item_Name,$B1365,GD_Update_Date,BB$1352)=0,"NR",SUMIFS(GD_Guidance_High,GD_Item_Name,$B1365,GD_Item_FiscalPeriod,BB$1354,GD_Update_Date,BB$1352)))</f>
        <v/>
      </c>
      <c r="BC1365" s="1553">
        <f>IF(ISBLANK(BC$1354),"N/A",IF(COUNTIFS(GD_Item_FiscalPeriod,BC$1354,GD_Item_Name,$B1365,GD_Update_Date,BC$1352)=0,"NR",SUMIFS(GD_Guidance_High,GD_Item_Name,$B1365,GD_Item_FiscalPeriod,BC$1354,GD_Update_Date,BC$1352)))</f>
        <v/>
      </c>
      <c r="BD1365" s="1553">
        <f>IF(ISBLANK(BD$1354),"N/A",IF(COUNTIFS(GD_Item_FiscalPeriod,BD$1354,GD_Item_Name,$B1365,GD_Update_Date,BD$1352)=0,"NR",SUMIFS(GD_Guidance_High,GD_Item_Name,$B1365,GD_Item_FiscalPeriod,BD$1354,GD_Update_Date,BD$1352)))</f>
        <v/>
      </c>
      <c r="BE1365" s="1553">
        <f>IF(ISBLANK(BE$1354),"N/A",IF(COUNTIFS(GD_Item_FiscalPeriod,BE$1354,GD_Item_Name,$B1365,GD_Update_Date,BE$1352)=0,"NR",SUMIFS(GD_Guidance_High,GD_Item_Name,$B1365,GD_Item_FiscalPeriod,BE$1354,GD_Update_Date,BE$1352)))</f>
        <v/>
      </c>
      <c r="BF1365" s="1553">
        <f>IF(ISBLANK(BF$1354),"N/A",IF(COUNTIFS(GD_Item_FiscalPeriod,BF$1354,GD_Item_Name,$B1365,GD_Update_Date,BF$1352)=0,"NR",SUMIFS(GD_Guidance_High,GD_Item_Name,$B1365,GD_Item_FiscalPeriod,BF$1354,GD_Update_Date,BF$1352)))</f>
        <v/>
      </c>
      <c r="BG1365" s="1553">
        <f>IF(ISBLANK(BG$1354),"N/A",IF(COUNTIFS(GD_Item_FiscalPeriod,BG$1354,GD_Item_Name,$B1365,GD_Update_Date,BG$1352)=0,"NR",SUMIFS(GD_Guidance_High,GD_Item_Name,$B1365,GD_Item_FiscalPeriod,BG$1354,GD_Update_Date,BG$1352)))</f>
        <v/>
      </c>
      <c r="BH1365" s="1553">
        <f>IF(ISBLANK(BH$1354),"N/A",IF(COUNTIFS(GD_Item_FiscalPeriod,BH$1354,GD_Item_Name,$B1365,GD_Update_Date,BH$1352)=0,"NR",SUMIFS(GD_Guidance_High,GD_Item_Name,$B1365,GD_Item_FiscalPeriod,BH$1354,GD_Update_Date,BH$1352)))</f>
        <v/>
      </c>
      <c r="BI1365" s="1553">
        <f>IF(ISBLANK(BI$1354),"N/A",IF(COUNTIFS(GD_Item_FiscalPeriod,BI$1354,GD_Item_Name,$B1365,GD_Update_Date,BI$1352)=0,"NR",SUMIFS(GD_Guidance_High,GD_Item_Name,$B1365,GD_Item_FiscalPeriod,BI$1354,GD_Update_Date,BI$1352)))</f>
        <v/>
      </c>
      <c r="BJ1365" s="1553">
        <f>IF(ISBLANK(BJ$1354),"N/A",IF(COUNTIFS(GD_Item_FiscalPeriod,BJ$1354,GD_Item_Name,$B1365,GD_Update_Date,BJ$1352)=0,"NR",SUMIFS(GD_Guidance_High,GD_Item_Name,$B1365,GD_Item_FiscalPeriod,BJ$1354,GD_Update_Date,BJ$1352)))</f>
        <v/>
      </c>
      <c r="BK1365" s="1553">
        <f>IF(ISBLANK(BK$1354),"N/A",IF(COUNTIFS(GD_Item_FiscalPeriod,BK$1354,GD_Item_Name,$B1365,GD_Update_Date,BK$1352)=0,"NR",SUMIFS(GD_Guidance_High,GD_Item_Name,$B1365,GD_Item_FiscalPeriod,BK$1354,GD_Update_Date,BK$1352)))</f>
        <v/>
      </c>
      <c r="BL1365" s="1553">
        <f>IF(ISBLANK(BL$1354),"N/A",IF(COUNTIFS(GD_Item_FiscalPeriod,BL$1354,GD_Item_Name,$B1365,GD_Update_Date,BL$1352)=0,"NR",SUMIFS(GD_Guidance_High,GD_Item_Name,$B1365,GD_Item_FiscalPeriod,BL$1354,GD_Update_Date,BL$1352)))</f>
        <v/>
      </c>
      <c r="BM1365" s="1553">
        <f>IF(ISBLANK(BM$1354),"N/A",IF(COUNTIFS(GD_Item_FiscalPeriod,BM$1354,GD_Item_Name,$B1365,GD_Update_Date,BM$1352)=0,"NR",SUMIFS(GD_Guidance_High,GD_Item_Name,$B1365,GD_Item_FiscalPeriod,BM$1354,GD_Update_Date,BM$1352)))</f>
        <v/>
      </c>
      <c r="BN1365" s="1553">
        <f>IF(ISBLANK(BN$1354),"N/A",IF(COUNTIFS(GD_Item_FiscalPeriod,BN$1354,GD_Item_Name,$B1365,GD_Update_Date,BN$1352)=0,"NR",SUMIFS(GD_Guidance_High,GD_Item_Name,$B1365,GD_Item_FiscalPeriod,BN$1354,GD_Update_Date,BN$1352)))</f>
        <v/>
      </c>
      <c r="BO1365" s="1553">
        <f>IF(ISBLANK(BO$1354),"N/A",IF(COUNTIFS(GD_Item_FiscalPeriod,BO$1354,GD_Item_Name,$B1365,GD_Update_Date,BO$1352)=0,"NR",SUMIFS(GD_Guidance_High,GD_Item_Name,$B1365,GD_Item_FiscalPeriod,BO$1354,GD_Update_Date,BO$1352)))</f>
        <v/>
      </c>
      <c r="BP1365" s="1553">
        <f>IF(ISBLANK(BP$1354),"N/A",IF(COUNTIFS(GD_Item_FiscalPeriod,BP$1354,GD_Item_Name,$B1365,GD_Update_Date,BP$1352)=0,"NR",SUMIFS(GD_Guidance_High,GD_Item_Name,$B1365,GD_Item_FiscalPeriod,BP$1354,GD_Update_Date,BP$1352)))</f>
        <v/>
      </c>
      <c r="BQ1365" s="1556">
        <f>IF(ISBLANK(BQ$1354),"N/A",IF(COUNTIFS(GD_Item_FiscalPeriod,BQ$1354,GD_Item_Name,$B1365,GD_Update_Date,BQ$1352)=0,"NR",SUMIFS(GD_Guidance_High,GD_Item_Name,$B1365,GD_Item_FiscalPeriod,BQ$1354,GD_Update_Date,BQ$1352)))</f>
        <v/>
      </c>
      <c r="BR1365" s="1553">
        <f>IF(ISBLANK(BR$1354),"N/A",IF(COUNTIFS(GD_Item_FiscalPeriod,BR$1354,GD_Item_Name,$B1365,GD_Update_Date,BR$1352)=0,"NR",SUMIFS(GD_Guidance_High,GD_Item_Name,$B1365,GD_Item_FiscalPeriod,BR$1354,GD_Update_Date,BR$1352)))</f>
        <v/>
      </c>
      <c r="BS1365" s="1553">
        <f>IF(ISBLANK(BS$1354),"N/A",IF(COUNTIFS(GD_Item_FiscalPeriod,BS$1354,GD_Item_Name,$B1365,GD_Update_Date,BS$1352)=0,"NR",SUMIFS(GD_Guidance_High,GD_Item_Name,$B1365,GD_Item_FiscalPeriod,BS$1354,GD_Update_Date,BS$1352)))</f>
        <v/>
      </c>
      <c r="BT1365" s="1553">
        <f>IF(ISBLANK(BT$1354),"N/A",IF(COUNTIFS(GD_Item_FiscalPeriod,BT$1354,GD_Item_Name,$B1365,GD_Update_Date,BT$1352)=0,"NR",SUMIFS(GD_Guidance_High,GD_Item_Name,$B1365,GD_Item_FiscalPeriod,BT$1354,GD_Update_Date,BT$1352)))</f>
        <v/>
      </c>
      <c r="BU1365" s="1553">
        <f>IF(ISBLANK(BU$1354),"N/A",IF(COUNTIFS(GD_Item_FiscalPeriod,BU$1354,GD_Item_Name,$B1365,GD_Update_Date,BU$1352)=0,"NR",SUMIFS(GD_Guidance_High,GD_Item_Name,$B1365,GD_Item_FiscalPeriod,BU$1354,GD_Update_Date,BU$1352)))</f>
        <v/>
      </c>
      <c r="BV1365" s="1553">
        <f>IF(ISBLANK(BV$1354),"N/A",IF(COUNTIFS(GD_Item_FiscalPeriod,BV$1354,GD_Item_Name,$B1365,GD_Update_Date,BV$1352)=0,"NR",SUMIFS(GD_Guidance_High,GD_Item_Name,$B1365,GD_Item_FiscalPeriod,BV$1354,GD_Update_Date,BV$1352)))</f>
        <v/>
      </c>
      <c r="BW1365" s="1553">
        <f>IF(ISBLANK(BW$1354),"N/A",IF(COUNTIFS(GD_Item_FiscalPeriod,BW$1354,GD_Item_Name,$B1365,GD_Update_Date,BW$1352)=0,"NR",SUMIFS(GD_Guidance_High,GD_Item_Name,$B1365,GD_Item_FiscalPeriod,BW$1354,GD_Update_Date,BW$1352)))</f>
        <v/>
      </c>
      <c r="BX1365" s="1553">
        <f>IF(ISBLANK(BX$1354),"N/A",IF(COUNTIFS(GD_Item_FiscalPeriod,BX$1354,GD_Item_Name,$B1365,GD_Update_Date,BX$1352)=0,"NR",SUMIFS(GD_Guidance_High,GD_Item_Name,$B1365,GD_Item_FiscalPeriod,BX$1354,GD_Update_Date,BX$1352)))</f>
        <v/>
      </c>
      <c r="BY1365" s="1553">
        <f>IF(ISBLANK(BY$1354),"N/A",IF(COUNTIFS(GD_Item_FiscalPeriod,BY$1354,GD_Item_Name,$B1365,GD_Update_Date,BY$1352)=0,"NR",SUMIFS(GD_Guidance_High,GD_Item_Name,$B1365,GD_Item_FiscalPeriod,BY$1354,GD_Update_Date,BY$1352)))</f>
        <v/>
      </c>
      <c r="BZ1365" s="1553">
        <f>IF(ISBLANK(BZ$1354),"N/A",IF(COUNTIFS(GD_Item_FiscalPeriod,BZ$1354,GD_Item_Name,$B1365,GD_Update_Date,BZ$1352)=0,"NR",SUMIFS(GD_Guidance_High,GD_Item_Name,$B1365,GD_Item_FiscalPeriod,BZ$1354,GD_Update_Date,BZ$1352)))</f>
        <v/>
      </c>
      <c r="CA1365" s="2001">
        <f>IF(ISBLANK(CA$1354),"N/A",IF(COUNTIFS(GD_Item_FiscalPeriod,CA$1354,GD_Item_Name,$B1365,GD_Update_Date,CA$1352)=0,"NR",SUMIFS(GD_Guidance_High,GD_Item_Name,$B1365,GD_Item_FiscalPeriod,CA$1354,GD_Update_Date,CA$1352)))</f>
        <v/>
      </c>
      <c r="CB1365" s="1472" t="n"/>
    </row>
    <row r="1366" ht="14.4" customFormat="1" customHeight="1" s="1549">
      <c r="A1366" s="1999" t="inlineStr">
        <is>
          <t>Mid - Shares Outstanding - WAD, mm shares</t>
        </is>
      </c>
      <c r="B1366" s="1493" t="inlineStr">
        <is>
          <t>MO_RIS_ShareCount_WAD</t>
        </is>
      </c>
      <c r="C1366" s="2000" t="n"/>
      <c r="D1366" s="2000" t="n"/>
      <c r="E1366" s="1553" t="n"/>
      <c r="F1366" s="1553" t="n"/>
      <c r="G1366" s="1553" t="n"/>
      <c r="H1366" s="1553" t="n"/>
      <c r="I1366" s="1553" t="n"/>
      <c r="J1366" s="1553" t="n"/>
      <c r="K1366" s="1553" t="n"/>
      <c r="L1366" s="1553" t="n"/>
      <c r="M1366" s="1553" t="n"/>
      <c r="N1366" s="1553" t="n"/>
      <c r="O1366" s="1553" t="n"/>
      <c r="P1366" s="1553" t="n"/>
      <c r="Q1366" s="1553" t="n"/>
      <c r="R1366" s="1553" t="n"/>
      <c r="S1366" s="1553" t="n"/>
      <c r="T1366" s="1553" t="n"/>
      <c r="U1366" s="1553" t="n"/>
      <c r="V1366" s="1553" t="n"/>
      <c r="W1366" s="1553" t="n"/>
      <c r="X1366" s="1553" t="n"/>
      <c r="Y1366" s="1553" t="n"/>
      <c r="Z1366" s="1553" t="n"/>
      <c r="AA1366" s="1553" t="n"/>
      <c r="AB1366" s="1553" t="n"/>
      <c r="AC1366" s="1553">
        <f>IF(ISBLANK(AC$1354),"N/A",IF(COUNTIFS(GD_Item_FiscalPeriod,AC$1354,GD_Item_Name,$B1366,GD_Update_Date,AC$1352)=0,"NR",SUMIFS(GD_Guidance_Mid,GD_Item_Name,$B1366,GD_Item_FiscalPeriod,AC$1354,GD_Update_Date,AC$1352)))</f>
        <v/>
      </c>
      <c r="AD1366" s="1553">
        <f>IF(ISBLANK(AD$1354),"N/A",IF(COUNTIFS(GD_Item_FiscalPeriod,AD$1354,GD_Item_Name,$B1366,GD_Update_Date,AD$1352)=0,"NR",SUMIFS(GD_Guidance_Mid,GD_Item_Name,$B1366,GD_Item_FiscalPeriod,AD$1354,GD_Update_Date,AD$1352)))</f>
        <v/>
      </c>
      <c r="AE1366" s="1553">
        <f>IF(ISBLANK(AE$1354),"N/A",IF(COUNTIFS(GD_Item_FiscalPeriod,AE$1354,GD_Item_Name,$B1366,GD_Update_Date,AE$1352)=0,"NR",SUMIFS(GD_Guidance_Mid,GD_Item_Name,$B1366,GD_Item_FiscalPeriod,AE$1354,GD_Update_Date,AE$1352)))</f>
        <v/>
      </c>
      <c r="AF1366" s="1553">
        <f>IF(ISBLANK(AF$1354),"N/A",IF(COUNTIFS(GD_Item_FiscalPeriod,AF$1354,GD_Item_Name,$B1366,GD_Update_Date,AF$1352)=0,"NR",SUMIFS(GD_Guidance_Mid,GD_Item_Name,$B1366,GD_Item_FiscalPeriod,AF$1354,GD_Update_Date,AF$1352)))</f>
        <v/>
      </c>
      <c r="AG1366" s="1553">
        <f>IF(ISBLANK(AG$1354),"N/A",IF(COUNTIFS(GD_Item_FiscalPeriod,AG$1354,GD_Item_Name,$B1366,GD_Update_Date,AG$1352)=0,"NR",SUMIFS(GD_Guidance_Mid,GD_Item_Name,$B1366,GD_Item_FiscalPeriod,AG$1354,GD_Update_Date,AG$1352)))</f>
        <v/>
      </c>
      <c r="AH1366" s="1553">
        <f>IF(ISBLANK(AH$1354),"N/A",IF(COUNTIFS(GD_Item_FiscalPeriod,AH$1354,GD_Item_Name,$B1366,GD_Update_Date,AH$1352)=0,"NR",SUMIFS(GD_Guidance_Mid,GD_Item_Name,$B1366,GD_Item_FiscalPeriod,AH$1354,GD_Update_Date,AH$1352)))</f>
        <v/>
      </c>
      <c r="AI1366" s="1553">
        <f>IF(ISBLANK(AI$1354),"N/A",IF(COUNTIFS(GD_Item_FiscalPeriod,AI$1354,GD_Item_Name,$B1366,GD_Update_Date,AI$1352)=0,"NR",SUMIFS(GD_Guidance_Mid,GD_Item_Name,$B1366,GD_Item_FiscalPeriod,AI$1354,GD_Update_Date,AI$1352)))</f>
        <v/>
      </c>
      <c r="AJ1366" s="1553">
        <f>IF(ISBLANK(AJ$1354),"N/A",IF(COUNTIFS(GD_Item_FiscalPeriod,AJ$1354,GD_Item_Name,$B1366,GD_Update_Date,AJ$1352)=0,"NR",SUMIFS(GD_Guidance_Mid,GD_Item_Name,$B1366,GD_Item_FiscalPeriod,AJ$1354,GD_Update_Date,AJ$1352)))</f>
        <v/>
      </c>
      <c r="AK1366" s="1553">
        <f>IF(ISBLANK(AK$1354),"N/A",IF(COUNTIFS(GD_Item_FiscalPeriod,AK$1354,GD_Item_Name,$B1366,GD_Update_Date,AK$1352)=0,"NR",SUMIFS(GD_Guidance_Mid,GD_Item_Name,$B1366,GD_Item_FiscalPeriod,AK$1354,GD_Update_Date,AK$1352)))</f>
        <v/>
      </c>
      <c r="AL1366" s="1553">
        <f>IF(ISBLANK(AL$1354),"N/A",IF(COUNTIFS(GD_Item_FiscalPeriod,AL$1354,GD_Item_Name,$B1366,GD_Update_Date,AL$1352)=0,"NR",SUMIFS(GD_Guidance_Mid,GD_Item_Name,$B1366,GD_Item_FiscalPeriod,AL$1354,GD_Update_Date,AL$1352)))</f>
        <v/>
      </c>
      <c r="AM1366" s="1553">
        <f>IF(ISBLANK(AM$1354),"N/A",IF(COUNTIFS(GD_Item_FiscalPeriod,AM$1354,GD_Item_Name,$B1366,GD_Update_Date,AM$1352)=0,"NR",SUMIFS(GD_Guidance_Mid,GD_Item_Name,$B1366,GD_Item_FiscalPeriod,AM$1354,GD_Update_Date,AM$1352)))</f>
        <v/>
      </c>
      <c r="AN1366" s="1553">
        <f>IF(ISBLANK(AN$1354),"N/A",IF(COUNTIFS(GD_Item_FiscalPeriod,AN$1354,GD_Item_Name,$B1366,GD_Update_Date,AN$1352)=0,"NR",SUMIFS(GD_Guidance_Mid,GD_Item_Name,$B1366,GD_Item_FiscalPeriod,AN$1354,GD_Update_Date,AN$1352)))</f>
        <v/>
      </c>
      <c r="AO1366" s="1553">
        <f>IF(ISBLANK(AO$1354),"N/A",IF(COUNTIFS(GD_Item_FiscalPeriod,AO$1354,GD_Item_Name,$B1366,GD_Update_Date,AO$1352)=0,"NR",SUMIFS(GD_Guidance_Mid,GD_Item_Name,$B1366,GD_Item_FiscalPeriod,AO$1354,GD_Update_Date,AO$1352)))</f>
        <v/>
      </c>
      <c r="AP1366" s="1553">
        <f>IF(ISBLANK(AP$1354),"N/A",IF(COUNTIFS(GD_Item_FiscalPeriod,AP$1354,GD_Item_Name,$B1366,GD_Update_Date,AP$1352)=0,"NR",SUMIFS(GD_Guidance_Mid,GD_Item_Name,$B1366,GD_Item_FiscalPeriod,AP$1354,GD_Update_Date,AP$1352)))</f>
        <v/>
      </c>
      <c r="AQ1366" s="1553">
        <f>IF(ISBLANK(AQ$1354),"N/A",IF(COUNTIFS(GD_Item_FiscalPeriod,AQ$1354,GD_Item_Name,$B1366,GD_Update_Date,AQ$1352)=0,"NR",SUMIFS(GD_Guidance_Mid,GD_Item_Name,$B1366,GD_Item_FiscalPeriod,AQ$1354,GD_Update_Date,AQ$1352)))</f>
        <v/>
      </c>
      <c r="AR1366" s="1553">
        <f>IF(ISBLANK(AR$1354),"N/A",IF(COUNTIFS(GD_Item_FiscalPeriod,AR$1354,GD_Item_Name,$B1366,GD_Update_Date,AR$1352)=0,"NR",SUMIFS(GD_Guidance_Mid,GD_Item_Name,$B1366,GD_Item_FiscalPeriod,AR$1354,GD_Update_Date,AR$1352)))</f>
        <v/>
      </c>
      <c r="AS1366" s="1553">
        <f>IF(ISBLANK(AS$1354),"N/A",IF(COUNTIFS(GD_Item_FiscalPeriod,AS$1354,GD_Item_Name,$B1366,GD_Update_Date,AS$1352)=0,"NR",SUMIFS(GD_Guidance_Mid,GD_Item_Name,$B1366,GD_Item_FiscalPeriod,AS$1354,GD_Update_Date,AS$1352)))</f>
        <v/>
      </c>
      <c r="AT1366" s="1553">
        <f>IF(ISBLANK(AT$1354),"N/A",IF(COUNTIFS(GD_Item_FiscalPeriod,AT$1354,GD_Item_Name,$B1366,GD_Update_Date,AT$1352)=0,"NR",SUMIFS(GD_Guidance_Mid,GD_Item_Name,$B1366,GD_Item_FiscalPeriod,AT$1354,GD_Update_Date,AT$1352)))</f>
        <v/>
      </c>
      <c r="AU1366" s="1553">
        <f>IF(ISBLANK(AU$1354),"N/A",IF(COUNTIFS(GD_Item_FiscalPeriod,AU$1354,GD_Item_Name,$B1366,GD_Update_Date,AU$1352)=0,"NR",SUMIFS(GD_Guidance_Mid,GD_Item_Name,$B1366,GD_Item_FiscalPeriod,AU$1354,GD_Update_Date,AU$1352)))</f>
        <v/>
      </c>
      <c r="AV1366" s="1553">
        <f>IF(ISBLANK(AV$1354),"N/A",IF(COUNTIFS(GD_Item_FiscalPeriod,AV$1354,GD_Item_Name,$B1366,GD_Update_Date,AV$1352)=0,"NR",SUMIFS(GD_Guidance_Mid,GD_Item_Name,$B1366,GD_Item_FiscalPeriod,AV$1354,GD_Update_Date,AV$1352)))</f>
        <v/>
      </c>
      <c r="AW1366" s="1553">
        <f>IF(ISBLANK(AW$1354),"N/A",IF(COUNTIFS(GD_Item_FiscalPeriod,AW$1354,GD_Item_Name,$B1366,GD_Update_Date,AW$1352)=0,"NR",SUMIFS(GD_Guidance_Mid,GD_Item_Name,$B1366,GD_Item_FiscalPeriod,AW$1354,GD_Update_Date,AW$1352)))</f>
        <v/>
      </c>
      <c r="AX1366" s="1553">
        <f>IF(ISBLANK(AX$1354),"N/A",IF(COUNTIFS(GD_Item_FiscalPeriod,AX$1354,GD_Item_Name,$B1366,GD_Update_Date,AX$1352)=0,"NR",SUMIFS(GD_Guidance_Mid,GD_Item_Name,$B1366,GD_Item_FiscalPeriod,AX$1354,GD_Update_Date,AX$1352)))</f>
        <v/>
      </c>
      <c r="AY1366" s="1553">
        <f>IF(ISBLANK(AY$1354),"N/A",IF(COUNTIFS(GD_Item_FiscalPeriod,AY$1354,GD_Item_Name,$B1366,GD_Update_Date,AY$1352)=0,"NR",SUMIFS(GD_Guidance_Mid,GD_Item_Name,$B1366,GD_Item_FiscalPeriod,AY$1354,GD_Update_Date,AY$1352)))</f>
        <v/>
      </c>
      <c r="AZ1366" s="1553">
        <f>IF(ISBLANK(AZ$1354),"N/A",IF(COUNTIFS(GD_Item_FiscalPeriod,AZ$1354,GD_Item_Name,$B1366,GD_Update_Date,AZ$1352)=0,"NR",SUMIFS(GD_Guidance_Mid,GD_Item_Name,$B1366,GD_Item_FiscalPeriod,AZ$1354,GD_Update_Date,AZ$1352)))</f>
        <v/>
      </c>
      <c r="BA1366" s="1553">
        <f>IF(ISBLANK(BA$1354),"N/A",IF(COUNTIFS(GD_Item_FiscalPeriod,BA$1354,GD_Item_Name,$B1366,GD_Update_Date,BA$1352)=0,"NR",SUMIFS(GD_Guidance_Mid,GD_Item_Name,$B1366,GD_Item_FiscalPeriod,BA$1354,GD_Update_Date,BA$1352)))</f>
        <v/>
      </c>
      <c r="BB1366" s="1553">
        <f>IF(ISBLANK(BB$1354),"N/A",IF(COUNTIFS(GD_Item_FiscalPeriod,BB$1354,GD_Item_Name,$B1366,GD_Update_Date,BB$1352)=0,"NR",SUMIFS(GD_Guidance_Mid,GD_Item_Name,$B1366,GD_Item_FiscalPeriod,BB$1354,GD_Update_Date,BB$1352)))</f>
        <v/>
      </c>
      <c r="BC1366" s="1553">
        <f>IF(ISBLANK(BC$1354),"N/A",IF(COUNTIFS(GD_Item_FiscalPeriod,BC$1354,GD_Item_Name,$B1366,GD_Update_Date,BC$1352)=0,"NR",SUMIFS(GD_Guidance_Mid,GD_Item_Name,$B1366,GD_Item_FiscalPeriod,BC$1354,GD_Update_Date,BC$1352)))</f>
        <v/>
      </c>
      <c r="BD1366" s="1553">
        <f>IF(ISBLANK(BD$1354),"N/A",IF(COUNTIFS(GD_Item_FiscalPeriod,BD$1354,GD_Item_Name,$B1366,GD_Update_Date,BD$1352)=0,"NR",SUMIFS(GD_Guidance_Mid,GD_Item_Name,$B1366,GD_Item_FiscalPeriod,BD$1354,GD_Update_Date,BD$1352)))</f>
        <v/>
      </c>
      <c r="BE1366" s="1553">
        <f>IF(ISBLANK(BE$1354),"N/A",IF(COUNTIFS(GD_Item_FiscalPeriod,BE$1354,GD_Item_Name,$B1366,GD_Update_Date,BE$1352)=0,"NR",SUMIFS(GD_Guidance_Mid,GD_Item_Name,$B1366,GD_Item_FiscalPeriod,BE$1354,GD_Update_Date,BE$1352)))</f>
        <v/>
      </c>
      <c r="BF1366" s="1553">
        <f>IF(ISBLANK(BF$1354),"N/A",IF(COUNTIFS(GD_Item_FiscalPeriod,BF$1354,GD_Item_Name,$B1366,GD_Update_Date,BF$1352)=0,"NR",SUMIFS(GD_Guidance_Mid,GD_Item_Name,$B1366,GD_Item_FiscalPeriod,BF$1354,GD_Update_Date,BF$1352)))</f>
        <v/>
      </c>
      <c r="BG1366" s="1553">
        <f>IF(ISBLANK(BG$1354),"N/A",IF(COUNTIFS(GD_Item_FiscalPeriod,BG$1354,GD_Item_Name,$B1366,GD_Update_Date,BG$1352)=0,"NR",SUMIFS(GD_Guidance_Mid,GD_Item_Name,$B1366,GD_Item_FiscalPeriod,BG$1354,GD_Update_Date,BG$1352)))</f>
        <v/>
      </c>
      <c r="BH1366" s="1553">
        <f>IF(ISBLANK(BH$1354),"N/A",IF(COUNTIFS(GD_Item_FiscalPeriod,BH$1354,GD_Item_Name,$B1366,GD_Update_Date,BH$1352)=0,"NR",SUMIFS(GD_Guidance_Mid,GD_Item_Name,$B1366,GD_Item_FiscalPeriod,BH$1354,GD_Update_Date,BH$1352)))</f>
        <v/>
      </c>
      <c r="BI1366" s="1553">
        <f>IF(ISBLANK(BI$1354),"N/A",IF(COUNTIFS(GD_Item_FiscalPeriod,BI$1354,GD_Item_Name,$B1366,GD_Update_Date,BI$1352)=0,"NR",SUMIFS(GD_Guidance_Mid,GD_Item_Name,$B1366,GD_Item_FiscalPeriod,BI$1354,GD_Update_Date,BI$1352)))</f>
        <v/>
      </c>
      <c r="BJ1366" s="1553">
        <f>IF(ISBLANK(BJ$1354),"N/A",IF(COUNTIFS(GD_Item_FiscalPeriod,BJ$1354,GD_Item_Name,$B1366,GD_Update_Date,BJ$1352)=0,"NR",SUMIFS(GD_Guidance_Mid,GD_Item_Name,$B1366,GD_Item_FiscalPeriod,BJ$1354,GD_Update_Date,BJ$1352)))</f>
        <v/>
      </c>
      <c r="BK1366" s="1553">
        <f>IF(ISBLANK(BK$1354),"N/A",IF(COUNTIFS(GD_Item_FiscalPeriod,BK$1354,GD_Item_Name,$B1366,GD_Update_Date,BK$1352)=0,"NR",SUMIFS(GD_Guidance_Mid,GD_Item_Name,$B1366,GD_Item_FiscalPeriod,BK$1354,GD_Update_Date,BK$1352)))</f>
        <v/>
      </c>
      <c r="BL1366" s="1553">
        <f>IF(ISBLANK(BL$1354),"N/A",IF(COUNTIFS(GD_Item_FiscalPeriod,BL$1354,GD_Item_Name,$B1366,GD_Update_Date,BL$1352)=0,"NR",SUMIFS(GD_Guidance_Mid,GD_Item_Name,$B1366,GD_Item_FiscalPeriod,BL$1354,GD_Update_Date,BL$1352)))</f>
        <v/>
      </c>
      <c r="BM1366" s="1553">
        <f>IF(ISBLANK(BM$1354),"N/A",IF(COUNTIFS(GD_Item_FiscalPeriod,BM$1354,GD_Item_Name,$B1366,GD_Update_Date,BM$1352)=0,"NR",SUMIFS(GD_Guidance_Mid,GD_Item_Name,$B1366,GD_Item_FiscalPeriod,BM$1354,GD_Update_Date,BM$1352)))</f>
        <v/>
      </c>
      <c r="BN1366" s="1553">
        <f>IF(ISBLANK(BN$1354),"N/A",IF(COUNTIFS(GD_Item_FiscalPeriod,BN$1354,GD_Item_Name,$B1366,GD_Update_Date,BN$1352)=0,"NR",SUMIFS(GD_Guidance_Mid,GD_Item_Name,$B1366,GD_Item_FiscalPeriod,BN$1354,GD_Update_Date,BN$1352)))</f>
        <v/>
      </c>
      <c r="BO1366" s="1553">
        <f>IF(ISBLANK(BO$1354),"N/A",IF(COUNTIFS(GD_Item_FiscalPeriod,BO$1354,GD_Item_Name,$B1366,GD_Update_Date,BO$1352)=0,"NR",SUMIFS(GD_Guidance_Mid,GD_Item_Name,$B1366,GD_Item_FiscalPeriod,BO$1354,GD_Update_Date,BO$1352)))</f>
        <v/>
      </c>
      <c r="BP1366" s="1553">
        <f>IF(ISBLANK(BP$1354),"N/A",IF(COUNTIFS(GD_Item_FiscalPeriod,BP$1354,GD_Item_Name,$B1366,GD_Update_Date,BP$1352)=0,"NR",SUMIFS(GD_Guidance_Mid,GD_Item_Name,$B1366,GD_Item_FiscalPeriod,BP$1354,GD_Update_Date,BP$1352)))</f>
        <v/>
      </c>
      <c r="BQ1366" s="1556">
        <f>IF(ISBLANK(BQ$1354),"N/A",IF(COUNTIFS(GD_Item_FiscalPeriod,BQ$1354,GD_Item_Name,$B1366,GD_Update_Date,BQ$1352)=0,"NR",SUMIFS(GD_Guidance_Mid,GD_Item_Name,$B1366,GD_Item_FiscalPeriod,BQ$1354,GD_Update_Date,BQ$1352)))</f>
        <v/>
      </c>
      <c r="BR1366" s="1553">
        <f>IF(ISBLANK(BR$1354),"N/A",IF(COUNTIFS(GD_Item_FiscalPeriod,BR$1354,GD_Item_Name,$B1366,GD_Update_Date,BR$1352)=0,"NR",SUMIFS(GD_Guidance_Mid,GD_Item_Name,$B1366,GD_Item_FiscalPeriod,BR$1354,GD_Update_Date,BR$1352)))</f>
        <v/>
      </c>
      <c r="BS1366" s="1553">
        <f>IF(ISBLANK(BS$1354),"N/A",IF(COUNTIFS(GD_Item_FiscalPeriod,BS$1354,GD_Item_Name,$B1366,GD_Update_Date,BS$1352)=0,"NR",SUMIFS(GD_Guidance_Mid,GD_Item_Name,$B1366,GD_Item_FiscalPeriod,BS$1354,GD_Update_Date,BS$1352)))</f>
        <v/>
      </c>
      <c r="BT1366" s="1553">
        <f>IF(ISBLANK(BT$1354),"N/A",IF(COUNTIFS(GD_Item_FiscalPeriod,BT$1354,GD_Item_Name,$B1366,GD_Update_Date,BT$1352)=0,"NR",SUMIFS(GD_Guidance_Mid,GD_Item_Name,$B1366,GD_Item_FiscalPeriod,BT$1354,GD_Update_Date,BT$1352)))</f>
        <v/>
      </c>
      <c r="BU1366" s="1553">
        <f>IF(ISBLANK(BU$1354),"N/A",IF(COUNTIFS(GD_Item_FiscalPeriod,BU$1354,GD_Item_Name,$B1366,GD_Update_Date,BU$1352)=0,"NR",SUMIFS(GD_Guidance_Mid,GD_Item_Name,$B1366,GD_Item_FiscalPeriod,BU$1354,GD_Update_Date,BU$1352)))</f>
        <v/>
      </c>
      <c r="BV1366" s="1553">
        <f>IF(ISBLANK(BV$1354),"N/A",IF(COUNTIFS(GD_Item_FiscalPeriod,BV$1354,GD_Item_Name,$B1366,GD_Update_Date,BV$1352)=0,"NR",SUMIFS(GD_Guidance_Mid,GD_Item_Name,$B1366,GD_Item_FiscalPeriod,BV$1354,GD_Update_Date,BV$1352)))</f>
        <v/>
      </c>
      <c r="BW1366" s="1553">
        <f>IF(ISBLANK(BW$1354),"N/A",IF(COUNTIFS(GD_Item_FiscalPeriod,BW$1354,GD_Item_Name,$B1366,GD_Update_Date,BW$1352)=0,"NR",SUMIFS(GD_Guidance_Mid,GD_Item_Name,$B1366,GD_Item_FiscalPeriod,BW$1354,GD_Update_Date,BW$1352)))</f>
        <v/>
      </c>
      <c r="BX1366" s="1553">
        <f>IF(ISBLANK(BX$1354),"N/A",IF(COUNTIFS(GD_Item_FiscalPeriod,BX$1354,GD_Item_Name,$B1366,GD_Update_Date,BX$1352)=0,"NR",SUMIFS(GD_Guidance_Mid,GD_Item_Name,$B1366,GD_Item_FiscalPeriod,BX$1354,GD_Update_Date,BX$1352)))</f>
        <v/>
      </c>
      <c r="BY1366" s="1553">
        <f>IF(ISBLANK(BY$1354),"N/A",IF(COUNTIFS(GD_Item_FiscalPeriod,BY$1354,GD_Item_Name,$B1366,GD_Update_Date,BY$1352)=0,"NR",SUMIFS(GD_Guidance_Mid,GD_Item_Name,$B1366,GD_Item_FiscalPeriod,BY$1354,GD_Update_Date,BY$1352)))</f>
        <v/>
      </c>
      <c r="BZ1366" s="1553">
        <f>IF(ISBLANK(BZ$1354),"N/A",IF(COUNTIFS(GD_Item_FiscalPeriod,BZ$1354,GD_Item_Name,$B1366,GD_Update_Date,BZ$1352)=0,"NR",SUMIFS(GD_Guidance_Mid,GD_Item_Name,$B1366,GD_Item_FiscalPeriod,BZ$1354,GD_Update_Date,BZ$1352)))</f>
        <v/>
      </c>
      <c r="CA1366" s="2001">
        <f>IF(ISBLANK(CA$1354),"N/A",IF(COUNTIFS(GD_Item_FiscalPeriod,CA$1354,GD_Item_Name,$B1366,GD_Update_Date,CA$1352)=0,"NR",SUMIFS(GD_Guidance_Mid,GD_Item_Name,$B1366,GD_Item_FiscalPeriod,CA$1354,GD_Update_Date,CA$1352)))</f>
        <v/>
      </c>
      <c r="CB1366" s="1472" t="n"/>
    </row>
    <row r="1367" ht="14.4" customFormat="1" customHeight="1" s="1549">
      <c r="A1367" s="1999" t="inlineStr">
        <is>
          <t>Low - Capex, mm</t>
        </is>
      </c>
      <c r="B1367" s="1493" t="inlineStr">
        <is>
          <t>MO_CFSum_Capex</t>
        </is>
      </c>
      <c r="C1367" s="2000" t="n"/>
      <c r="D1367" s="2000" t="n"/>
      <c r="E1367" s="1553" t="n"/>
      <c r="F1367" s="1553" t="n"/>
      <c r="G1367" s="1553" t="n"/>
      <c r="H1367" s="1553" t="n"/>
      <c r="I1367" s="1553" t="n"/>
      <c r="J1367" s="1553" t="n"/>
      <c r="K1367" s="1553" t="n"/>
      <c r="L1367" s="1553" t="n"/>
      <c r="M1367" s="1553" t="n"/>
      <c r="N1367" s="1553" t="n"/>
      <c r="O1367" s="1553" t="n"/>
      <c r="P1367" s="1553" t="n"/>
      <c r="Q1367" s="1553" t="n"/>
      <c r="R1367" s="1553" t="n"/>
      <c r="S1367" s="1553" t="n"/>
      <c r="T1367" s="1553" t="n"/>
      <c r="U1367" s="1553" t="n"/>
      <c r="V1367" s="1553" t="n"/>
      <c r="W1367" s="1553" t="n"/>
      <c r="X1367" s="1553" t="n"/>
      <c r="Y1367" s="1553" t="n"/>
      <c r="Z1367" s="1553" t="n"/>
      <c r="AA1367" s="1553" t="n"/>
      <c r="AB1367" s="1553" t="n"/>
      <c r="AC1367" s="1553">
        <f>IF(ISBLANK(AC$1354),"N/A",IF(COUNTIFS(GD_Item_FiscalPeriod,AC$1354,GD_Item_Name,$B1367,GD_Update_Date,AC$1352)=0,"NR",SUMIFS(GD_Guidance_Low,GD_Item_Name,$B1367,GD_Item_FiscalPeriod,AC$1354,GD_Update_Date,AC$1352)))</f>
        <v/>
      </c>
      <c r="AD1367" s="1553">
        <f>IF(ISBLANK(AD$1354),"N/A",IF(COUNTIFS(GD_Item_FiscalPeriod,AD$1354,GD_Item_Name,$B1367,GD_Update_Date,AD$1352)=0,"NR",SUMIFS(GD_Guidance_Low,GD_Item_Name,$B1367,GD_Item_FiscalPeriod,AD$1354,GD_Update_Date,AD$1352)))</f>
        <v/>
      </c>
      <c r="AE1367" s="1553">
        <f>IF(ISBLANK(AE$1354),"N/A",IF(COUNTIFS(GD_Item_FiscalPeriod,AE$1354,GD_Item_Name,$B1367,GD_Update_Date,AE$1352)=0,"NR",SUMIFS(GD_Guidance_Low,GD_Item_Name,$B1367,GD_Item_FiscalPeriod,AE$1354,GD_Update_Date,AE$1352)))</f>
        <v/>
      </c>
      <c r="AF1367" s="1553">
        <f>IF(ISBLANK(AF$1354),"N/A",IF(COUNTIFS(GD_Item_FiscalPeriod,AF$1354,GD_Item_Name,$B1367,GD_Update_Date,AF$1352)=0,"NR",SUMIFS(GD_Guidance_Low,GD_Item_Name,$B1367,GD_Item_FiscalPeriod,AF$1354,GD_Update_Date,AF$1352)))</f>
        <v/>
      </c>
      <c r="AG1367" s="1553">
        <f>IF(ISBLANK(AG$1354),"N/A",IF(COUNTIFS(GD_Item_FiscalPeriod,AG$1354,GD_Item_Name,$B1367,GD_Update_Date,AG$1352)=0,"NR",SUMIFS(GD_Guidance_Low,GD_Item_Name,$B1367,GD_Item_FiscalPeriod,AG$1354,GD_Update_Date,AG$1352)))</f>
        <v/>
      </c>
      <c r="AH1367" s="1553">
        <f>IF(ISBLANK(AH$1354),"N/A",IF(COUNTIFS(GD_Item_FiscalPeriod,AH$1354,GD_Item_Name,$B1367,GD_Update_Date,AH$1352)=0,"NR",SUMIFS(GD_Guidance_Low,GD_Item_Name,$B1367,GD_Item_FiscalPeriod,AH$1354,GD_Update_Date,AH$1352)))</f>
        <v/>
      </c>
      <c r="AI1367" s="1553">
        <f>IF(ISBLANK(AI$1354),"N/A",IF(COUNTIFS(GD_Item_FiscalPeriod,AI$1354,GD_Item_Name,$B1367,GD_Update_Date,AI$1352)=0,"NR",SUMIFS(GD_Guidance_Low,GD_Item_Name,$B1367,GD_Item_FiscalPeriod,AI$1354,GD_Update_Date,AI$1352)))</f>
        <v/>
      </c>
      <c r="AJ1367" s="1553">
        <f>IF(ISBLANK(AJ$1354),"N/A",IF(COUNTIFS(GD_Item_FiscalPeriod,AJ$1354,GD_Item_Name,$B1367,GD_Update_Date,AJ$1352)=0,"NR",SUMIFS(GD_Guidance_Low,GD_Item_Name,$B1367,GD_Item_FiscalPeriod,AJ$1354,GD_Update_Date,AJ$1352)))</f>
        <v/>
      </c>
      <c r="AK1367" s="1553">
        <f>IF(ISBLANK(AK$1354),"N/A",IF(COUNTIFS(GD_Item_FiscalPeriod,AK$1354,GD_Item_Name,$B1367,GD_Update_Date,AK$1352)=0,"NR",SUMIFS(GD_Guidance_Low,GD_Item_Name,$B1367,GD_Item_FiscalPeriod,AK$1354,GD_Update_Date,AK$1352)))</f>
        <v/>
      </c>
      <c r="AL1367" s="1553">
        <f>IF(ISBLANK(AL$1354),"N/A",IF(COUNTIFS(GD_Item_FiscalPeriod,AL$1354,GD_Item_Name,$B1367,GD_Update_Date,AL$1352)=0,"NR",SUMIFS(GD_Guidance_Low,GD_Item_Name,$B1367,GD_Item_FiscalPeriod,AL$1354,GD_Update_Date,AL$1352)))</f>
        <v/>
      </c>
      <c r="AM1367" s="1553">
        <f>IF(ISBLANK(AM$1354),"N/A",IF(COUNTIFS(GD_Item_FiscalPeriod,AM$1354,GD_Item_Name,$B1367,GD_Update_Date,AM$1352)=0,"NR",SUMIFS(GD_Guidance_Low,GD_Item_Name,$B1367,GD_Item_FiscalPeriod,AM$1354,GD_Update_Date,AM$1352)))</f>
        <v/>
      </c>
      <c r="AN1367" s="1553">
        <f>IF(ISBLANK(AN$1354),"N/A",IF(COUNTIFS(GD_Item_FiscalPeriod,AN$1354,GD_Item_Name,$B1367,GD_Update_Date,AN$1352)=0,"NR",SUMIFS(GD_Guidance_Low,GD_Item_Name,$B1367,GD_Item_FiscalPeriod,AN$1354,GD_Update_Date,AN$1352)))</f>
        <v/>
      </c>
      <c r="AO1367" s="1553">
        <f>IF(ISBLANK(AO$1354),"N/A",IF(COUNTIFS(GD_Item_FiscalPeriod,AO$1354,GD_Item_Name,$B1367,GD_Update_Date,AO$1352)=0,"NR",SUMIFS(GD_Guidance_Low,GD_Item_Name,$B1367,GD_Item_FiscalPeriod,AO$1354,GD_Update_Date,AO$1352)))</f>
        <v/>
      </c>
      <c r="AP1367" s="1553">
        <f>IF(ISBLANK(AP$1354),"N/A",IF(COUNTIFS(GD_Item_FiscalPeriod,AP$1354,GD_Item_Name,$B1367,GD_Update_Date,AP$1352)=0,"NR",SUMIFS(GD_Guidance_Low,GD_Item_Name,$B1367,GD_Item_FiscalPeriod,AP$1354,GD_Update_Date,AP$1352)))</f>
        <v/>
      </c>
      <c r="AQ1367" s="1553">
        <f>IF(ISBLANK(AQ$1354),"N/A",IF(COUNTIFS(GD_Item_FiscalPeriod,AQ$1354,GD_Item_Name,$B1367,GD_Update_Date,AQ$1352)=0,"NR",SUMIFS(GD_Guidance_Low,GD_Item_Name,$B1367,GD_Item_FiscalPeriod,AQ$1354,GD_Update_Date,AQ$1352)))</f>
        <v/>
      </c>
      <c r="AR1367" s="1553">
        <f>IF(ISBLANK(AR$1354),"N/A",IF(COUNTIFS(GD_Item_FiscalPeriod,AR$1354,GD_Item_Name,$B1367,GD_Update_Date,AR$1352)=0,"NR",SUMIFS(GD_Guidance_Low,GD_Item_Name,$B1367,GD_Item_FiscalPeriod,AR$1354,GD_Update_Date,AR$1352)))</f>
        <v/>
      </c>
      <c r="AS1367" s="1553">
        <f>IF(ISBLANK(AS$1354),"N/A",IF(COUNTIFS(GD_Item_FiscalPeriod,AS$1354,GD_Item_Name,$B1367,GD_Update_Date,AS$1352)=0,"NR",SUMIFS(GD_Guidance_Low,GD_Item_Name,$B1367,GD_Item_FiscalPeriod,AS$1354,GD_Update_Date,AS$1352)))</f>
        <v/>
      </c>
      <c r="AT1367" s="1553">
        <f>IF(ISBLANK(AT$1354),"N/A",IF(COUNTIFS(GD_Item_FiscalPeriod,AT$1354,GD_Item_Name,$B1367,GD_Update_Date,AT$1352)=0,"NR",SUMIFS(GD_Guidance_Low,GD_Item_Name,$B1367,GD_Item_FiscalPeriod,AT$1354,GD_Update_Date,AT$1352)))</f>
        <v/>
      </c>
      <c r="AU1367" s="1553">
        <f>IF(ISBLANK(AU$1354),"N/A",IF(COUNTIFS(GD_Item_FiscalPeriod,AU$1354,GD_Item_Name,$B1367,GD_Update_Date,AU$1352)=0,"NR",SUMIFS(GD_Guidance_Low,GD_Item_Name,$B1367,GD_Item_FiscalPeriod,AU$1354,GD_Update_Date,AU$1352)))</f>
        <v/>
      </c>
      <c r="AV1367" s="1553">
        <f>IF(ISBLANK(AV$1354),"N/A",IF(COUNTIFS(GD_Item_FiscalPeriod,AV$1354,GD_Item_Name,$B1367,GD_Update_Date,AV$1352)=0,"NR",SUMIFS(GD_Guidance_Low,GD_Item_Name,$B1367,GD_Item_FiscalPeriod,AV$1354,GD_Update_Date,AV$1352)))</f>
        <v/>
      </c>
      <c r="AW1367" s="1553">
        <f>IF(ISBLANK(AW$1354),"N/A",IF(COUNTIFS(GD_Item_FiscalPeriod,AW$1354,GD_Item_Name,$B1367,GD_Update_Date,AW$1352)=0,"NR",SUMIFS(GD_Guidance_Low,GD_Item_Name,$B1367,GD_Item_FiscalPeriod,AW$1354,GD_Update_Date,AW$1352)))</f>
        <v/>
      </c>
      <c r="AX1367" s="1553">
        <f>IF(ISBLANK(AX$1354),"N/A",IF(COUNTIFS(GD_Item_FiscalPeriod,AX$1354,GD_Item_Name,$B1367,GD_Update_Date,AX$1352)=0,"NR",SUMIFS(GD_Guidance_Low,GD_Item_Name,$B1367,GD_Item_FiscalPeriod,AX$1354,GD_Update_Date,AX$1352)))</f>
        <v/>
      </c>
      <c r="AY1367" s="1553">
        <f>IF(ISBLANK(AY$1354),"N/A",IF(COUNTIFS(GD_Item_FiscalPeriod,AY$1354,GD_Item_Name,$B1367,GD_Update_Date,AY$1352)=0,"NR",SUMIFS(GD_Guidance_Low,GD_Item_Name,$B1367,GD_Item_FiscalPeriod,AY$1354,GD_Update_Date,AY$1352)))</f>
        <v/>
      </c>
      <c r="AZ1367" s="1553">
        <f>IF(ISBLANK(AZ$1354),"N/A",IF(COUNTIFS(GD_Item_FiscalPeriod,AZ$1354,GD_Item_Name,$B1367,GD_Update_Date,AZ$1352)=0,"NR",SUMIFS(GD_Guidance_Low,GD_Item_Name,$B1367,GD_Item_FiscalPeriod,AZ$1354,GD_Update_Date,AZ$1352)))</f>
        <v/>
      </c>
      <c r="BA1367" s="1553">
        <f>IF(ISBLANK(BA$1354),"N/A",IF(COUNTIFS(GD_Item_FiscalPeriod,BA$1354,GD_Item_Name,$B1367,GD_Update_Date,BA$1352)=0,"NR",SUMIFS(GD_Guidance_Low,GD_Item_Name,$B1367,GD_Item_FiscalPeriod,BA$1354,GD_Update_Date,BA$1352)))</f>
        <v/>
      </c>
      <c r="BB1367" s="1553">
        <f>IF(ISBLANK(BB$1354),"N/A",IF(COUNTIFS(GD_Item_FiscalPeriod,BB$1354,GD_Item_Name,$B1367,GD_Update_Date,BB$1352)=0,"NR",SUMIFS(GD_Guidance_Low,GD_Item_Name,$B1367,GD_Item_FiscalPeriod,BB$1354,GD_Update_Date,BB$1352)))</f>
        <v/>
      </c>
      <c r="BC1367" s="1553">
        <f>IF(ISBLANK(BC$1354),"N/A",IF(COUNTIFS(GD_Item_FiscalPeriod,BC$1354,GD_Item_Name,$B1367,GD_Update_Date,BC$1352)=0,"NR",SUMIFS(GD_Guidance_Low,GD_Item_Name,$B1367,GD_Item_FiscalPeriod,BC$1354,GD_Update_Date,BC$1352)))</f>
        <v/>
      </c>
      <c r="BD1367" s="1553">
        <f>IF(ISBLANK(BD$1354),"N/A",IF(COUNTIFS(GD_Item_FiscalPeriod,BD$1354,GD_Item_Name,$B1367,GD_Update_Date,BD$1352)=0,"NR",SUMIFS(GD_Guidance_Low,GD_Item_Name,$B1367,GD_Item_FiscalPeriod,BD$1354,GD_Update_Date,BD$1352)))</f>
        <v/>
      </c>
      <c r="BE1367" s="1553">
        <f>IF(ISBLANK(BE$1354),"N/A",IF(COUNTIFS(GD_Item_FiscalPeriod,BE$1354,GD_Item_Name,$B1367,GD_Update_Date,BE$1352)=0,"NR",SUMIFS(GD_Guidance_Low,GD_Item_Name,$B1367,GD_Item_FiscalPeriod,BE$1354,GD_Update_Date,BE$1352)))</f>
        <v/>
      </c>
      <c r="BF1367" s="1553">
        <f>IF(ISBLANK(BF$1354),"N/A",IF(COUNTIFS(GD_Item_FiscalPeriod,BF$1354,GD_Item_Name,$B1367,GD_Update_Date,BF$1352)=0,"NR",SUMIFS(GD_Guidance_Low,GD_Item_Name,$B1367,GD_Item_FiscalPeriod,BF$1354,GD_Update_Date,BF$1352)))</f>
        <v/>
      </c>
      <c r="BG1367" s="1553">
        <f>IF(ISBLANK(BG$1354),"N/A",IF(COUNTIFS(GD_Item_FiscalPeriod,BG$1354,GD_Item_Name,$B1367,GD_Update_Date,BG$1352)=0,"NR",SUMIFS(GD_Guidance_Low,GD_Item_Name,$B1367,GD_Item_FiscalPeriod,BG$1354,GD_Update_Date,BG$1352)))</f>
        <v/>
      </c>
      <c r="BH1367" s="1553">
        <f>IF(ISBLANK(BH$1354),"N/A",IF(COUNTIFS(GD_Item_FiscalPeriod,BH$1354,GD_Item_Name,$B1367,GD_Update_Date,BH$1352)=0,"NR",SUMIFS(GD_Guidance_Low,GD_Item_Name,$B1367,GD_Item_FiscalPeriod,BH$1354,GD_Update_Date,BH$1352)))</f>
        <v/>
      </c>
      <c r="BI1367" s="1553">
        <f>IF(ISBLANK(BI$1354),"N/A",IF(COUNTIFS(GD_Item_FiscalPeriod,BI$1354,GD_Item_Name,$B1367,GD_Update_Date,BI$1352)=0,"NR",SUMIFS(GD_Guidance_Low,GD_Item_Name,$B1367,GD_Item_FiscalPeriod,BI$1354,GD_Update_Date,BI$1352)))</f>
        <v/>
      </c>
      <c r="BJ1367" s="1553">
        <f>IF(ISBLANK(BJ$1354),"N/A",IF(COUNTIFS(GD_Item_FiscalPeriod,BJ$1354,GD_Item_Name,$B1367,GD_Update_Date,BJ$1352)=0,"NR",SUMIFS(GD_Guidance_Low,GD_Item_Name,$B1367,GD_Item_FiscalPeriod,BJ$1354,GD_Update_Date,BJ$1352)))</f>
        <v/>
      </c>
      <c r="BK1367" s="1553">
        <f>IF(ISBLANK(BK$1354),"N/A",IF(COUNTIFS(GD_Item_FiscalPeriod,BK$1354,GD_Item_Name,$B1367,GD_Update_Date,BK$1352)=0,"NR",SUMIFS(GD_Guidance_Low,GD_Item_Name,$B1367,GD_Item_FiscalPeriod,BK$1354,GD_Update_Date,BK$1352)))</f>
        <v/>
      </c>
      <c r="BL1367" s="1553">
        <f>IF(ISBLANK(BL$1354),"N/A",IF(COUNTIFS(GD_Item_FiscalPeriod,BL$1354,GD_Item_Name,$B1367,GD_Update_Date,BL$1352)=0,"NR",SUMIFS(GD_Guidance_Low,GD_Item_Name,$B1367,GD_Item_FiscalPeriod,BL$1354,GD_Update_Date,BL$1352)))</f>
        <v/>
      </c>
      <c r="BM1367" s="1553">
        <f>IF(ISBLANK(BM$1354),"N/A",IF(COUNTIFS(GD_Item_FiscalPeriod,BM$1354,GD_Item_Name,$B1367,GD_Update_Date,BM$1352)=0,"NR",SUMIFS(GD_Guidance_Low,GD_Item_Name,$B1367,GD_Item_FiscalPeriod,BM$1354,GD_Update_Date,BM$1352)))</f>
        <v/>
      </c>
      <c r="BN1367" s="1553">
        <f>IF(ISBLANK(BN$1354),"N/A",IF(COUNTIFS(GD_Item_FiscalPeriod,BN$1354,GD_Item_Name,$B1367,GD_Update_Date,BN$1352)=0,"NR",SUMIFS(GD_Guidance_Low,GD_Item_Name,$B1367,GD_Item_FiscalPeriod,BN$1354,GD_Update_Date,BN$1352)))</f>
        <v/>
      </c>
      <c r="BO1367" s="1553">
        <f>IF(ISBLANK(BO$1354),"N/A",IF(COUNTIFS(GD_Item_FiscalPeriod,BO$1354,GD_Item_Name,$B1367,GD_Update_Date,BO$1352)=0,"NR",SUMIFS(GD_Guidance_Low,GD_Item_Name,$B1367,GD_Item_FiscalPeriod,BO$1354,GD_Update_Date,BO$1352)))</f>
        <v/>
      </c>
      <c r="BP1367" s="1553">
        <f>IF(ISBLANK(BP$1354),"N/A",IF(COUNTIFS(GD_Item_FiscalPeriod,BP$1354,GD_Item_Name,$B1367,GD_Update_Date,BP$1352)=0,"NR",SUMIFS(GD_Guidance_Low,GD_Item_Name,$B1367,GD_Item_FiscalPeriod,BP$1354,GD_Update_Date,BP$1352)))</f>
        <v/>
      </c>
      <c r="BQ1367" s="1556">
        <f>IF(ISBLANK(BQ$1354),"N/A",IF(COUNTIFS(GD_Item_FiscalPeriod,BQ$1354,GD_Item_Name,$B1367,GD_Update_Date,BQ$1352)=0,"NR",SUMIFS(GD_Guidance_Low,GD_Item_Name,$B1367,GD_Item_FiscalPeriod,BQ$1354,GD_Update_Date,BQ$1352)))</f>
        <v/>
      </c>
      <c r="BR1367" s="1553">
        <f>IF(ISBLANK(BR$1354),"N/A",IF(COUNTIFS(GD_Item_FiscalPeriod,BR$1354,GD_Item_Name,$B1367,GD_Update_Date,BR$1352)=0,"NR",SUMIFS(GD_Guidance_Low,GD_Item_Name,$B1367,GD_Item_FiscalPeriod,BR$1354,GD_Update_Date,BR$1352)))</f>
        <v/>
      </c>
      <c r="BS1367" s="1553">
        <f>IF(ISBLANK(BS$1354),"N/A",IF(COUNTIFS(GD_Item_FiscalPeriod,BS$1354,GD_Item_Name,$B1367,GD_Update_Date,BS$1352)=0,"NR",SUMIFS(GD_Guidance_Low,GD_Item_Name,$B1367,GD_Item_FiscalPeriod,BS$1354,GD_Update_Date,BS$1352)))</f>
        <v/>
      </c>
      <c r="BT1367" s="1553">
        <f>IF(ISBLANK(BT$1354),"N/A",IF(COUNTIFS(GD_Item_FiscalPeriod,BT$1354,GD_Item_Name,$B1367,GD_Update_Date,BT$1352)=0,"NR",SUMIFS(GD_Guidance_Low,GD_Item_Name,$B1367,GD_Item_FiscalPeriod,BT$1354,GD_Update_Date,BT$1352)))</f>
        <v/>
      </c>
      <c r="BU1367" s="1553">
        <f>IF(ISBLANK(BU$1354),"N/A",IF(COUNTIFS(GD_Item_FiscalPeriod,BU$1354,GD_Item_Name,$B1367,GD_Update_Date,BU$1352)=0,"NR",SUMIFS(GD_Guidance_Low,GD_Item_Name,$B1367,GD_Item_FiscalPeriod,BU$1354,GD_Update_Date,BU$1352)))</f>
        <v/>
      </c>
      <c r="BV1367" s="1553">
        <f>IF(ISBLANK(BV$1354),"N/A",IF(COUNTIFS(GD_Item_FiscalPeriod,BV$1354,GD_Item_Name,$B1367,GD_Update_Date,BV$1352)=0,"NR",SUMIFS(GD_Guidance_Low,GD_Item_Name,$B1367,GD_Item_FiscalPeriod,BV$1354,GD_Update_Date,BV$1352)))</f>
        <v/>
      </c>
      <c r="BW1367" s="1553">
        <f>IF(ISBLANK(BW$1354),"N/A",IF(COUNTIFS(GD_Item_FiscalPeriod,BW$1354,GD_Item_Name,$B1367,GD_Update_Date,BW$1352)=0,"NR",SUMIFS(GD_Guidance_Low,GD_Item_Name,$B1367,GD_Item_FiscalPeriod,BW$1354,GD_Update_Date,BW$1352)))</f>
        <v/>
      </c>
      <c r="BX1367" s="1553">
        <f>IF(ISBLANK(BX$1354),"N/A",IF(COUNTIFS(GD_Item_FiscalPeriod,BX$1354,GD_Item_Name,$B1367,GD_Update_Date,BX$1352)=0,"NR",SUMIFS(GD_Guidance_Low,GD_Item_Name,$B1367,GD_Item_FiscalPeriod,BX$1354,GD_Update_Date,BX$1352)))</f>
        <v/>
      </c>
      <c r="BY1367" s="1553">
        <f>IF(ISBLANK(BY$1354),"N/A",IF(COUNTIFS(GD_Item_FiscalPeriod,BY$1354,GD_Item_Name,$B1367,GD_Update_Date,BY$1352)=0,"NR",SUMIFS(GD_Guidance_Low,GD_Item_Name,$B1367,GD_Item_FiscalPeriod,BY$1354,GD_Update_Date,BY$1352)))</f>
        <v/>
      </c>
      <c r="BZ1367" s="1553">
        <f>IF(ISBLANK(BZ$1354),"N/A",IF(COUNTIFS(GD_Item_FiscalPeriod,BZ$1354,GD_Item_Name,$B1367,GD_Update_Date,BZ$1352)=0,"NR",SUMIFS(GD_Guidance_Low,GD_Item_Name,$B1367,GD_Item_FiscalPeriod,BZ$1354,GD_Update_Date,BZ$1352)))</f>
        <v/>
      </c>
      <c r="CA1367" s="2001">
        <f>IF(ISBLANK(CA$1354),"N/A",IF(COUNTIFS(GD_Item_FiscalPeriod,CA$1354,GD_Item_Name,$B1367,GD_Update_Date,CA$1352)=0,"NR",SUMIFS(GD_Guidance_Low,GD_Item_Name,$B1367,GD_Item_FiscalPeriod,CA$1354,GD_Update_Date,CA$1352)))</f>
        <v/>
      </c>
      <c r="CB1367" s="1472" t="n"/>
    </row>
    <row r="1368" ht="14.4" customFormat="1" customHeight="1" s="1549">
      <c r="A1368" s="1999" t="inlineStr">
        <is>
          <t>High - Capex, mm</t>
        </is>
      </c>
      <c r="B1368" s="1493" t="inlineStr">
        <is>
          <t>MO_CFSum_Capex</t>
        </is>
      </c>
      <c r="C1368" s="2000" t="n"/>
      <c r="D1368" s="2000" t="n"/>
      <c r="E1368" s="1553" t="n"/>
      <c r="F1368" s="1553" t="n"/>
      <c r="G1368" s="1553" t="n"/>
      <c r="H1368" s="1553" t="n"/>
      <c r="I1368" s="1553" t="n"/>
      <c r="J1368" s="1553" t="n"/>
      <c r="K1368" s="1553" t="n"/>
      <c r="L1368" s="1553" t="n"/>
      <c r="M1368" s="1553" t="n"/>
      <c r="N1368" s="1553" t="n"/>
      <c r="O1368" s="1553" t="n"/>
      <c r="P1368" s="1553" t="n"/>
      <c r="Q1368" s="1553" t="n"/>
      <c r="R1368" s="1553" t="n"/>
      <c r="S1368" s="1553" t="n"/>
      <c r="T1368" s="1553" t="n"/>
      <c r="U1368" s="1553" t="n"/>
      <c r="V1368" s="1553" t="n"/>
      <c r="W1368" s="1553" t="n"/>
      <c r="X1368" s="1553" t="n"/>
      <c r="Y1368" s="1553" t="n"/>
      <c r="Z1368" s="1553" t="n"/>
      <c r="AA1368" s="1553" t="n"/>
      <c r="AB1368" s="1553" t="n"/>
      <c r="AC1368" s="1553">
        <f>IF(ISBLANK(AC$1354),"N/A",IF(COUNTIFS(GD_Item_FiscalPeriod,AC$1354,GD_Item_Name,$B1368,GD_Update_Date,AC$1352)=0,"NR",SUMIFS(GD_Guidance_High,GD_Item_Name,$B1368,GD_Item_FiscalPeriod,AC$1354,GD_Update_Date,AC$1352)))</f>
        <v/>
      </c>
      <c r="AD1368" s="1553">
        <f>IF(ISBLANK(AD$1354),"N/A",IF(COUNTIFS(GD_Item_FiscalPeriod,AD$1354,GD_Item_Name,$B1368,GD_Update_Date,AD$1352)=0,"NR",SUMIFS(GD_Guidance_High,GD_Item_Name,$B1368,GD_Item_FiscalPeriod,AD$1354,GD_Update_Date,AD$1352)))</f>
        <v/>
      </c>
      <c r="AE1368" s="1553">
        <f>IF(ISBLANK(AE$1354),"N/A",IF(COUNTIFS(GD_Item_FiscalPeriod,AE$1354,GD_Item_Name,$B1368,GD_Update_Date,AE$1352)=0,"NR",SUMIFS(GD_Guidance_High,GD_Item_Name,$B1368,GD_Item_FiscalPeriod,AE$1354,GD_Update_Date,AE$1352)))</f>
        <v/>
      </c>
      <c r="AF1368" s="1553">
        <f>IF(ISBLANK(AF$1354),"N/A",IF(COUNTIFS(GD_Item_FiscalPeriod,AF$1354,GD_Item_Name,$B1368,GD_Update_Date,AF$1352)=0,"NR",SUMIFS(GD_Guidance_High,GD_Item_Name,$B1368,GD_Item_FiscalPeriod,AF$1354,GD_Update_Date,AF$1352)))</f>
        <v/>
      </c>
      <c r="AG1368" s="1553">
        <f>IF(ISBLANK(AG$1354),"N/A",IF(COUNTIFS(GD_Item_FiscalPeriod,AG$1354,GD_Item_Name,$B1368,GD_Update_Date,AG$1352)=0,"NR",SUMIFS(GD_Guidance_High,GD_Item_Name,$B1368,GD_Item_FiscalPeriod,AG$1354,GD_Update_Date,AG$1352)))</f>
        <v/>
      </c>
      <c r="AH1368" s="1553">
        <f>IF(ISBLANK(AH$1354),"N/A",IF(COUNTIFS(GD_Item_FiscalPeriod,AH$1354,GD_Item_Name,$B1368,GD_Update_Date,AH$1352)=0,"NR",SUMIFS(GD_Guidance_High,GD_Item_Name,$B1368,GD_Item_FiscalPeriod,AH$1354,GD_Update_Date,AH$1352)))</f>
        <v/>
      </c>
      <c r="AI1368" s="1553">
        <f>IF(ISBLANK(AI$1354),"N/A",IF(COUNTIFS(GD_Item_FiscalPeriod,AI$1354,GD_Item_Name,$B1368,GD_Update_Date,AI$1352)=0,"NR",SUMIFS(GD_Guidance_High,GD_Item_Name,$B1368,GD_Item_FiscalPeriod,AI$1354,GD_Update_Date,AI$1352)))</f>
        <v/>
      </c>
      <c r="AJ1368" s="1553">
        <f>IF(ISBLANK(AJ$1354),"N/A",IF(COUNTIFS(GD_Item_FiscalPeriod,AJ$1354,GD_Item_Name,$B1368,GD_Update_Date,AJ$1352)=0,"NR",SUMIFS(GD_Guidance_High,GD_Item_Name,$B1368,GD_Item_FiscalPeriod,AJ$1354,GD_Update_Date,AJ$1352)))</f>
        <v/>
      </c>
      <c r="AK1368" s="1553">
        <f>IF(ISBLANK(AK$1354),"N/A",IF(COUNTIFS(GD_Item_FiscalPeriod,AK$1354,GD_Item_Name,$B1368,GD_Update_Date,AK$1352)=0,"NR",SUMIFS(GD_Guidance_High,GD_Item_Name,$B1368,GD_Item_FiscalPeriod,AK$1354,GD_Update_Date,AK$1352)))</f>
        <v/>
      </c>
      <c r="AL1368" s="1553">
        <f>IF(ISBLANK(AL$1354),"N/A",IF(COUNTIFS(GD_Item_FiscalPeriod,AL$1354,GD_Item_Name,$B1368,GD_Update_Date,AL$1352)=0,"NR",SUMIFS(GD_Guidance_High,GD_Item_Name,$B1368,GD_Item_FiscalPeriod,AL$1354,GD_Update_Date,AL$1352)))</f>
        <v/>
      </c>
      <c r="AM1368" s="1553">
        <f>IF(ISBLANK(AM$1354),"N/A",IF(COUNTIFS(GD_Item_FiscalPeriod,AM$1354,GD_Item_Name,$B1368,GD_Update_Date,AM$1352)=0,"NR",SUMIFS(GD_Guidance_High,GD_Item_Name,$B1368,GD_Item_FiscalPeriod,AM$1354,GD_Update_Date,AM$1352)))</f>
        <v/>
      </c>
      <c r="AN1368" s="1553">
        <f>IF(ISBLANK(AN$1354),"N/A",IF(COUNTIFS(GD_Item_FiscalPeriod,AN$1354,GD_Item_Name,$B1368,GD_Update_Date,AN$1352)=0,"NR",SUMIFS(GD_Guidance_High,GD_Item_Name,$B1368,GD_Item_FiscalPeriod,AN$1354,GD_Update_Date,AN$1352)))</f>
        <v/>
      </c>
      <c r="AO1368" s="1553">
        <f>IF(ISBLANK(AO$1354),"N/A",IF(COUNTIFS(GD_Item_FiscalPeriod,AO$1354,GD_Item_Name,$B1368,GD_Update_Date,AO$1352)=0,"NR",SUMIFS(GD_Guidance_High,GD_Item_Name,$B1368,GD_Item_FiscalPeriod,AO$1354,GD_Update_Date,AO$1352)))</f>
        <v/>
      </c>
      <c r="AP1368" s="1553">
        <f>IF(ISBLANK(AP$1354),"N/A",IF(COUNTIFS(GD_Item_FiscalPeriod,AP$1354,GD_Item_Name,$B1368,GD_Update_Date,AP$1352)=0,"NR",SUMIFS(GD_Guidance_High,GD_Item_Name,$B1368,GD_Item_FiscalPeriod,AP$1354,GD_Update_Date,AP$1352)))</f>
        <v/>
      </c>
      <c r="AQ1368" s="1553">
        <f>IF(ISBLANK(AQ$1354),"N/A",IF(COUNTIFS(GD_Item_FiscalPeriod,AQ$1354,GD_Item_Name,$B1368,GD_Update_Date,AQ$1352)=0,"NR",SUMIFS(GD_Guidance_High,GD_Item_Name,$B1368,GD_Item_FiscalPeriod,AQ$1354,GD_Update_Date,AQ$1352)))</f>
        <v/>
      </c>
      <c r="AR1368" s="1553">
        <f>IF(ISBLANK(AR$1354),"N/A",IF(COUNTIFS(GD_Item_FiscalPeriod,AR$1354,GD_Item_Name,$B1368,GD_Update_Date,AR$1352)=0,"NR",SUMIFS(GD_Guidance_High,GD_Item_Name,$B1368,GD_Item_FiscalPeriod,AR$1354,GD_Update_Date,AR$1352)))</f>
        <v/>
      </c>
      <c r="AS1368" s="1553">
        <f>IF(ISBLANK(AS$1354),"N/A",IF(COUNTIFS(GD_Item_FiscalPeriod,AS$1354,GD_Item_Name,$B1368,GD_Update_Date,AS$1352)=0,"NR",SUMIFS(GD_Guidance_High,GD_Item_Name,$B1368,GD_Item_FiscalPeriod,AS$1354,GD_Update_Date,AS$1352)))</f>
        <v/>
      </c>
      <c r="AT1368" s="1553">
        <f>IF(ISBLANK(AT$1354),"N/A",IF(COUNTIFS(GD_Item_FiscalPeriod,AT$1354,GD_Item_Name,$B1368,GD_Update_Date,AT$1352)=0,"NR",SUMIFS(GD_Guidance_High,GD_Item_Name,$B1368,GD_Item_FiscalPeriod,AT$1354,GD_Update_Date,AT$1352)))</f>
        <v/>
      </c>
      <c r="AU1368" s="1553">
        <f>IF(ISBLANK(AU$1354),"N/A",IF(COUNTIFS(GD_Item_FiscalPeriod,AU$1354,GD_Item_Name,$B1368,GD_Update_Date,AU$1352)=0,"NR",SUMIFS(GD_Guidance_High,GD_Item_Name,$B1368,GD_Item_FiscalPeriod,AU$1354,GD_Update_Date,AU$1352)))</f>
        <v/>
      </c>
      <c r="AV1368" s="1553">
        <f>IF(ISBLANK(AV$1354),"N/A",IF(COUNTIFS(GD_Item_FiscalPeriod,AV$1354,GD_Item_Name,$B1368,GD_Update_Date,AV$1352)=0,"NR",SUMIFS(GD_Guidance_High,GD_Item_Name,$B1368,GD_Item_FiscalPeriod,AV$1354,GD_Update_Date,AV$1352)))</f>
        <v/>
      </c>
      <c r="AW1368" s="1553">
        <f>IF(ISBLANK(AW$1354),"N/A",IF(COUNTIFS(GD_Item_FiscalPeriod,AW$1354,GD_Item_Name,$B1368,GD_Update_Date,AW$1352)=0,"NR",SUMIFS(GD_Guidance_High,GD_Item_Name,$B1368,GD_Item_FiscalPeriod,AW$1354,GD_Update_Date,AW$1352)))</f>
        <v/>
      </c>
      <c r="AX1368" s="1553">
        <f>IF(ISBLANK(AX$1354),"N/A",IF(COUNTIFS(GD_Item_FiscalPeriod,AX$1354,GD_Item_Name,$B1368,GD_Update_Date,AX$1352)=0,"NR",SUMIFS(GD_Guidance_High,GD_Item_Name,$B1368,GD_Item_FiscalPeriod,AX$1354,GD_Update_Date,AX$1352)))</f>
        <v/>
      </c>
      <c r="AY1368" s="1553">
        <f>IF(ISBLANK(AY$1354),"N/A",IF(COUNTIFS(GD_Item_FiscalPeriod,AY$1354,GD_Item_Name,$B1368,GD_Update_Date,AY$1352)=0,"NR",SUMIFS(GD_Guidance_High,GD_Item_Name,$B1368,GD_Item_FiscalPeriod,AY$1354,GD_Update_Date,AY$1352)))</f>
        <v/>
      </c>
      <c r="AZ1368" s="1553">
        <f>IF(ISBLANK(AZ$1354),"N/A",IF(COUNTIFS(GD_Item_FiscalPeriod,AZ$1354,GD_Item_Name,$B1368,GD_Update_Date,AZ$1352)=0,"NR",SUMIFS(GD_Guidance_High,GD_Item_Name,$B1368,GD_Item_FiscalPeriod,AZ$1354,GD_Update_Date,AZ$1352)))</f>
        <v/>
      </c>
      <c r="BA1368" s="1553">
        <f>IF(ISBLANK(BA$1354),"N/A",IF(COUNTIFS(GD_Item_FiscalPeriod,BA$1354,GD_Item_Name,$B1368,GD_Update_Date,BA$1352)=0,"NR",SUMIFS(GD_Guidance_High,GD_Item_Name,$B1368,GD_Item_FiscalPeriod,BA$1354,GD_Update_Date,BA$1352)))</f>
        <v/>
      </c>
      <c r="BB1368" s="1553">
        <f>IF(ISBLANK(BB$1354),"N/A",IF(COUNTIFS(GD_Item_FiscalPeriod,BB$1354,GD_Item_Name,$B1368,GD_Update_Date,BB$1352)=0,"NR",SUMIFS(GD_Guidance_High,GD_Item_Name,$B1368,GD_Item_FiscalPeriod,BB$1354,GD_Update_Date,BB$1352)))</f>
        <v/>
      </c>
      <c r="BC1368" s="1553">
        <f>IF(ISBLANK(BC$1354),"N/A",IF(COUNTIFS(GD_Item_FiscalPeriod,BC$1354,GD_Item_Name,$B1368,GD_Update_Date,BC$1352)=0,"NR",SUMIFS(GD_Guidance_High,GD_Item_Name,$B1368,GD_Item_FiscalPeriod,BC$1354,GD_Update_Date,BC$1352)))</f>
        <v/>
      </c>
      <c r="BD1368" s="1553">
        <f>IF(ISBLANK(BD$1354),"N/A",IF(COUNTIFS(GD_Item_FiscalPeriod,BD$1354,GD_Item_Name,$B1368,GD_Update_Date,BD$1352)=0,"NR",SUMIFS(GD_Guidance_High,GD_Item_Name,$B1368,GD_Item_FiscalPeriod,BD$1354,GD_Update_Date,BD$1352)))</f>
        <v/>
      </c>
      <c r="BE1368" s="1553">
        <f>IF(ISBLANK(BE$1354),"N/A",IF(COUNTIFS(GD_Item_FiscalPeriod,BE$1354,GD_Item_Name,$B1368,GD_Update_Date,BE$1352)=0,"NR",SUMIFS(GD_Guidance_High,GD_Item_Name,$B1368,GD_Item_FiscalPeriod,BE$1354,GD_Update_Date,BE$1352)))</f>
        <v/>
      </c>
      <c r="BF1368" s="1553">
        <f>IF(ISBLANK(BF$1354),"N/A",IF(COUNTIFS(GD_Item_FiscalPeriod,BF$1354,GD_Item_Name,$B1368,GD_Update_Date,BF$1352)=0,"NR",SUMIFS(GD_Guidance_High,GD_Item_Name,$B1368,GD_Item_FiscalPeriod,BF$1354,GD_Update_Date,BF$1352)))</f>
        <v/>
      </c>
      <c r="BG1368" s="1553">
        <f>IF(ISBLANK(BG$1354),"N/A",IF(COUNTIFS(GD_Item_FiscalPeriod,BG$1354,GD_Item_Name,$B1368,GD_Update_Date,BG$1352)=0,"NR",SUMIFS(GD_Guidance_High,GD_Item_Name,$B1368,GD_Item_FiscalPeriod,BG$1354,GD_Update_Date,BG$1352)))</f>
        <v/>
      </c>
      <c r="BH1368" s="1553">
        <f>IF(ISBLANK(BH$1354),"N/A",IF(COUNTIFS(GD_Item_FiscalPeriod,BH$1354,GD_Item_Name,$B1368,GD_Update_Date,BH$1352)=0,"NR",SUMIFS(GD_Guidance_High,GD_Item_Name,$B1368,GD_Item_FiscalPeriod,BH$1354,GD_Update_Date,BH$1352)))</f>
        <v/>
      </c>
      <c r="BI1368" s="1553">
        <f>IF(ISBLANK(BI$1354),"N/A",IF(COUNTIFS(GD_Item_FiscalPeriod,BI$1354,GD_Item_Name,$B1368,GD_Update_Date,BI$1352)=0,"NR",SUMIFS(GD_Guidance_High,GD_Item_Name,$B1368,GD_Item_FiscalPeriod,BI$1354,GD_Update_Date,BI$1352)))</f>
        <v/>
      </c>
      <c r="BJ1368" s="1553">
        <f>IF(ISBLANK(BJ$1354),"N/A",IF(COUNTIFS(GD_Item_FiscalPeriod,BJ$1354,GD_Item_Name,$B1368,GD_Update_Date,BJ$1352)=0,"NR",SUMIFS(GD_Guidance_High,GD_Item_Name,$B1368,GD_Item_FiscalPeriod,BJ$1354,GD_Update_Date,BJ$1352)))</f>
        <v/>
      </c>
      <c r="BK1368" s="1553">
        <f>IF(ISBLANK(BK$1354),"N/A",IF(COUNTIFS(GD_Item_FiscalPeriod,BK$1354,GD_Item_Name,$B1368,GD_Update_Date,BK$1352)=0,"NR",SUMIFS(GD_Guidance_High,GD_Item_Name,$B1368,GD_Item_FiscalPeriod,BK$1354,GD_Update_Date,BK$1352)))</f>
        <v/>
      </c>
      <c r="BL1368" s="1553">
        <f>IF(ISBLANK(BL$1354),"N/A",IF(COUNTIFS(GD_Item_FiscalPeriod,BL$1354,GD_Item_Name,$B1368,GD_Update_Date,BL$1352)=0,"NR",SUMIFS(GD_Guidance_High,GD_Item_Name,$B1368,GD_Item_FiscalPeriod,BL$1354,GD_Update_Date,BL$1352)))</f>
        <v/>
      </c>
      <c r="BM1368" s="1553">
        <f>IF(ISBLANK(BM$1354),"N/A",IF(COUNTIFS(GD_Item_FiscalPeriod,BM$1354,GD_Item_Name,$B1368,GD_Update_Date,BM$1352)=0,"NR",SUMIFS(GD_Guidance_High,GD_Item_Name,$B1368,GD_Item_FiscalPeriod,BM$1354,GD_Update_Date,BM$1352)))</f>
        <v/>
      </c>
      <c r="BN1368" s="1553">
        <f>IF(ISBLANK(BN$1354),"N/A",IF(COUNTIFS(GD_Item_FiscalPeriod,BN$1354,GD_Item_Name,$B1368,GD_Update_Date,BN$1352)=0,"NR",SUMIFS(GD_Guidance_High,GD_Item_Name,$B1368,GD_Item_FiscalPeriod,BN$1354,GD_Update_Date,BN$1352)))</f>
        <v/>
      </c>
      <c r="BO1368" s="1553">
        <f>IF(ISBLANK(BO$1354),"N/A",IF(COUNTIFS(GD_Item_FiscalPeriod,BO$1354,GD_Item_Name,$B1368,GD_Update_Date,BO$1352)=0,"NR",SUMIFS(GD_Guidance_High,GD_Item_Name,$B1368,GD_Item_FiscalPeriod,BO$1354,GD_Update_Date,BO$1352)))</f>
        <v/>
      </c>
      <c r="BP1368" s="1553">
        <f>IF(ISBLANK(BP$1354),"N/A",IF(COUNTIFS(GD_Item_FiscalPeriod,BP$1354,GD_Item_Name,$B1368,GD_Update_Date,BP$1352)=0,"NR",SUMIFS(GD_Guidance_High,GD_Item_Name,$B1368,GD_Item_FiscalPeriod,BP$1354,GD_Update_Date,BP$1352)))</f>
        <v/>
      </c>
      <c r="BQ1368" s="1556">
        <f>IF(ISBLANK(BQ$1354),"N/A",IF(COUNTIFS(GD_Item_FiscalPeriod,BQ$1354,GD_Item_Name,$B1368,GD_Update_Date,BQ$1352)=0,"NR",SUMIFS(GD_Guidance_High,GD_Item_Name,$B1368,GD_Item_FiscalPeriod,BQ$1354,GD_Update_Date,BQ$1352)))</f>
        <v/>
      </c>
      <c r="BR1368" s="1553">
        <f>IF(ISBLANK(BR$1354),"N/A",IF(COUNTIFS(GD_Item_FiscalPeriod,BR$1354,GD_Item_Name,$B1368,GD_Update_Date,BR$1352)=0,"NR",SUMIFS(GD_Guidance_High,GD_Item_Name,$B1368,GD_Item_FiscalPeriod,BR$1354,GD_Update_Date,BR$1352)))</f>
        <v/>
      </c>
      <c r="BS1368" s="1553">
        <f>IF(ISBLANK(BS$1354),"N/A",IF(COUNTIFS(GD_Item_FiscalPeriod,BS$1354,GD_Item_Name,$B1368,GD_Update_Date,BS$1352)=0,"NR",SUMIFS(GD_Guidance_High,GD_Item_Name,$B1368,GD_Item_FiscalPeriod,BS$1354,GD_Update_Date,BS$1352)))</f>
        <v/>
      </c>
      <c r="BT1368" s="1553">
        <f>IF(ISBLANK(BT$1354),"N/A",IF(COUNTIFS(GD_Item_FiscalPeriod,BT$1354,GD_Item_Name,$B1368,GD_Update_Date,BT$1352)=0,"NR",SUMIFS(GD_Guidance_High,GD_Item_Name,$B1368,GD_Item_FiscalPeriod,BT$1354,GD_Update_Date,BT$1352)))</f>
        <v/>
      </c>
      <c r="BU1368" s="1553">
        <f>IF(ISBLANK(BU$1354),"N/A",IF(COUNTIFS(GD_Item_FiscalPeriod,BU$1354,GD_Item_Name,$B1368,GD_Update_Date,BU$1352)=0,"NR",SUMIFS(GD_Guidance_High,GD_Item_Name,$B1368,GD_Item_FiscalPeriod,BU$1354,GD_Update_Date,BU$1352)))</f>
        <v/>
      </c>
      <c r="BV1368" s="1553">
        <f>IF(ISBLANK(BV$1354),"N/A",IF(COUNTIFS(GD_Item_FiscalPeriod,BV$1354,GD_Item_Name,$B1368,GD_Update_Date,BV$1352)=0,"NR",SUMIFS(GD_Guidance_High,GD_Item_Name,$B1368,GD_Item_FiscalPeriod,BV$1354,GD_Update_Date,BV$1352)))</f>
        <v/>
      </c>
      <c r="BW1368" s="1553">
        <f>IF(ISBLANK(BW$1354),"N/A",IF(COUNTIFS(GD_Item_FiscalPeriod,BW$1354,GD_Item_Name,$B1368,GD_Update_Date,BW$1352)=0,"NR",SUMIFS(GD_Guidance_High,GD_Item_Name,$B1368,GD_Item_FiscalPeriod,BW$1354,GD_Update_Date,BW$1352)))</f>
        <v/>
      </c>
      <c r="BX1368" s="1553">
        <f>IF(ISBLANK(BX$1354),"N/A",IF(COUNTIFS(GD_Item_FiscalPeriod,BX$1354,GD_Item_Name,$B1368,GD_Update_Date,BX$1352)=0,"NR",SUMIFS(GD_Guidance_High,GD_Item_Name,$B1368,GD_Item_FiscalPeriod,BX$1354,GD_Update_Date,BX$1352)))</f>
        <v/>
      </c>
      <c r="BY1368" s="1553">
        <f>IF(ISBLANK(BY$1354),"N/A",IF(COUNTIFS(GD_Item_FiscalPeriod,BY$1354,GD_Item_Name,$B1368,GD_Update_Date,BY$1352)=0,"NR",SUMIFS(GD_Guidance_High,GD_Item_Name,$B1368,GD_Item_FiscalPeriod,BY$1354,GD_Update_Date,BY$1352)))</f>
        <v/>
      </c>
      <c r="BZ1368" s="1553">
        <f>IF(ISBLANK(BZ$1354),"N/A",IF(COUNTIFS(GD_Item_FiscalPeriod,BZ$1354,GD_Item_Name,$B1368,GD_Update_Date,BZ$1352)=0,"NR",SUMIFS(GD_Guidance_High,GD_Item_Name,$B1368,GD_Item_FiscalPeriod,BZ$1354,GD_Update_Date,BZ$1352)))</f>
        <v/>
      </c>
      <c r="CA1368" s="2001">
        <f>IF(ISBLANK(CA$1354),"N/A",IF(COUNTIFS(GD_Item_FiscalPeriod,CA$1354,GD_Item_Name,$B1368,GD_Update_Date,CA$1352)=0,"NR",SUMIFS(GD_Guidance_High,GD_Item_Name,$B1368,GD_Item_FiscalPeriod,CA$1354,GD_Update_Date,CA$1352)))</f>
        <v/>
      </c>
      <c r="CB1368" s="1472" t="n"/>
    </row>
    <row r="1369" ht="14.4" customFormat="1" customHeight="1" s="1549">
      <c r="A1369" s="1999" t="inlineStr">
        <is>
          <t>Mid - Capex, mm</t>
        </is>
      </c>
      <c r="B1369" s="1493" t="inlineStr">
        <is>
          <t>MO_CFSum_Capex</t>
        </is>
      </c>
      <c r="C1369" s="2000" t="n"/>
      <c r="D1369" s="2000" t="n"/>
      <c r="E1369" s="1553" t="n"/>
      <c r="F1369" s="1553" t="n"/>
      <c r="G1369" s="1553" t="n"/>
      <c r="H1369" s="1553" t="n"/>
      <c r="I1369" s="1553" t="n"/>
      <c r="J1369" s="1553" t="n"/>
      <c r="K1369" s="1553" t="n"/>
      <c r="L1369" s="1553" t="n"/>
      <c r="M1369" s="1553" t="n"/>
      <c r="N1369" s="1553" t="n"/>
      <c r="O1369" s="1553" t="n"/>
      <c r="P1369" s="1553" t="n"/>
      <c r="Q1369" s="1553" t="n"/>
      <c r="R1369" s="1553" t="n"/>
      <c r="S1369" s="1553" t="n"/>
      <c r="T1369" s="1553" t="n"/>
      <c r="U1369" s="1553" t="n"/>
      <c r="V1369" s="1553" t="n"/>
      <c r="W1369" s="1553" t="n"/>
      <c r="X1369" s="1553" t="n"/>
      <c r="Y1369" s="1553" t="n"/>
      <c r="Z1369" s="1553" t="n"/>
      <c r="AA1369" s="1553" t="n"/>
      <c r="AB1369" s="1553" t="n"/>
      <c r="AC1369" s="1553">
        <f>IF(ISBLANK(AC$1354),"N/A",IF(COUNTIFS(GD_Item_FiscalPeriod,AC$1354,GD_Item_Name,$B1369,GD_Update_Date,AC$1352)=0,"NR",SUMIFS(GD_Guidance_Mid,GD_Item_Name,$B1369,GD_Item_FiscalPeriod,AC$1354,GD_Update_Date,AC$1352)))</f>
        <v/>
      </c>
      <c r="AD1369" s="1553">
        <f>IF(ISBLANK(AD$1354),"N/A",IF(COUNTIFS(GD_Item_FiscalPeriod,AD$1354,GD_Item_Name,$B1369,GD_Update_Date,AD$1352)=0,"NR",SUMIFS(GD_Guidance_Mid,GD_Item_Name,$B1369,GD_Item_FiscalPeriod,AD$1354,GD_Update_Date,AD$1352)))</f>
        <v/>
      </c>
      <c r="AE1369" s="1553">
        <f>IF(ISBLANK(AE$1354),"N/A",IF(COUNTIFS(GD_Item_FiscalPeriod,AE$1354,GD_Item_Name,$B1369,GD_Update_Date,AE$1352)=0,"NR",SUMIFS(GD_Guidance_Mid,GD_Item_Name,$B1369,GD_Item_FiscalPeriod,AE$1354,GD_Update_Date,AE$1352)))</f>
        <v/>
      </c>
      <c r="AF1369" s="1553">
        <f>IF(ISBLANK(AF$1354),"N/A",IF(COUNTIFS(GD_Item_FiscalPeriod,AF$1354,GD_Item_Name,$B1369,GD_Update_Date,AF$1352)=0,"NR",SUMIFS(GD_Guidance_Mid,GD_Item_Name,$B1369,GD_Item_FiscalPeriod,AF$1354,GD_Update_Date,AF$1352)))</f>
        <v/>
      </c>
      <c r="AG1369" s="1553">
        <f>IF(ISBLANK(AG$1354),"N/A",IF(COUNTIFS(GD_Item_FiscalPeriod,AG$1354,GD_Item_Name,$B1369,GD_Update_Date,AG$1352)=0,"NR",SUMIFS(GD_Guidance_Mid,GD_Item_Name,$B1369,GD_Item_FiscalPeriod,AG$1354,GD_Update_Date,AG$1352)))</f>
        <v/>
      </c>
      <c r="AH1369" s="1553">
        <f>IF(ISBLANK(AH$1354),"N/A",IF(COUNTIFS(GD_Item_FiscalPeriod,AH$1354,GD_Item_Name,$B1369,GD_Update_Date,AH$1352)=0,"NR",SUMIFS(GD_Guidance_Mid,GD_Item_Name,$B1369,GD_Item_FiscalPeriod,AH$1354,GD_Update_Date,AH$1352)))</f>
        <v/>
      </c>
      <c r="AI1369" s="1553">
        <f>IF(ISBLANK(AI$1354),"N/A",IF(COUNTIFS(GD_Item_FiscalPeriod,AI$1354,GD_Item_Name,$B1369,GD_Update_Date,AI$1352)=0,"NR",SUMIFS(GD_Guidance_Mid,GD_Item_Name,$B1369,GD_Item_FiscalPeriod,AI$1354,GD_Update_Date,AI$1352)))</f>
        <v/>
      </c>
      <c r="AJ1369" s="1553">
        <f>IF(ISBLANK(AJ$1354),"N/A",IF(COUNTIFS(GD_Item_FiscalPeriod,AJ$1354,GD_Item_Name,$B1369,GD_Update_Date,AJ$1352)=0,"NR",SUMIFS(GD_Guidance_Mid,GD_Item_Name,$B1369,GD_Item_FiscalPeriod,AJ$1354,GD_Update_Date,AJ$1352)))</f>
        <v/>
      </c>
      <c r="AK1369" s="1553">
        <f>IF(ISBLANK(AK$1354),"N/A",IF(COUNTIFS(GD_Item_FiscalPeriod,AK$1354,GD_Item_Name,$B1369,GD_Update_Date,AK$1352)=0,"NR",SUMIFS(GD_Guidance_Mid,GD_Item_Name,$B1369,GD_Item_FiscalPeriod,AK$1354,GD_Update_Date,AK$1352)))</f>
        <v/>
      </c>
      <c r="AL1369" s="1553">
        <f>IF(ISBLANK(AL$1354),"N/A",IF(COUNTIFS(GD_Item_FiscalPeriod,AL$1354,GD_Item_Name,$B1369,GD_Update_Date,AL$1352)=0,"NR",SUMIFS(GD_Guidance_Mid,GD_Item_Name,$B1369,GD_Item_FiscalPeriod,AL$1354,GD_Update_Date,AL$1352)))</f>
        <v/>
      </c>
      <c r="AM1369" s="1553">
        <f>IF(ISBLANK(AM$1354),"N/A",IF(COUNTIFS(GD_Item_FiscalPeriod,AM$1354,GD_Item_Name,$B1369,GD_Update_Date,AM$1352)=0,"NR",SUMIFS(GD_Guidance_Mid,GD_Item_Name,$B1369,GD_Item_FiscalPeriod,AM$1354,GD_Update_Date,AM$1352)))</f>
        <v/>
      </c>
      <c r="AN1369" s="1553">
        <f>IF(ISBLANK(AN$1354),"N/A",IF(COUNTIFS(GD_Item_FiscalPeriod,AN$1354,GD_Item_Name,$B1369,GD_Update_Date,AN$1352)=0,"NR",SUMIFS(GD_Guidance_Mid,GD_Item_Name,$B1369,GD_Item_FiscalPeriod,AN$1354,GD_Update_Date,AN$1352)))</f>
        <v/>
      </c>
      <c r="AO1369" s="1553">
        <f>IF(ISBLANK(AO$1354),"N/A",IF(COUNTIFS(GD_Item_FiscalPeriod,AO$1354,GD_Item_Name,$B1369,GD_Update_Date,AO$1352)=0,"NR",SUMIFS(GD_Guidance_Mid,GD_Item_Name,$B1369,GD_Item_FiscalPeriod,AO$1354,GD_Update_Date,AO$1352)))</f>
        <v/>
      </c>
      <c r="AP1369" s="1553">
        <f>IF(ISBLANK(AP$1354),"N/A",IF(COUNTIFS(GD_Item_FiscalPeriod,AP$1354,GD_Item_Name,$B1369,GD_Update_Date,AP$1352)=0,"NR",SUMIFS(GD_Guidance_Mid,GD_Item_Name,$B1369,GD_Item_FiscalPeriod,AP$1354,GD_Update_Date,AP$1352)))</f>
        <v/>
      </c>
      <c r="AQ1369" s="1553">
        <f>IF(ISBLANK(AQ$1354),"N/A",IF(COUNTIFS(GD_Item_FiscalPeriod,AQ$1354,GD_Item_Name,$B1369,GD_Update_Date,AQ$1352)=0,"NR",SUMIFS(GD_Guidance_Mid,GD_Item_Name,$B1369,GD_Item_FiscalPeriod,AQ$1354,GD_Update_Date,AQ$1352)))</f>
        <v/>
      </c>
      <c r="AR1369" s="1553">
        <f>IF(ISBLANK(AR$1354),"N/A",IF(COUNTIFS(GD_Item_FiscalPeriod,AR$1354,GD_Item_Name,$B1369,GD_Update_Date,AR$1352)=0,"NR",SUMIFS(GD_Guidance_Mid,GD_Item_Name,$B1369,GD_Item_FiscalPeriod,AR$1354,GD_Update_Date,AR$1352)))</f>
        <v/>
      </c>
      <c r="AS1369" s="1553">
        <f>IF(ISBLANK(AS$1354),"N/A",IF(COUNTIFS(GD_Item_FiscalPeriod,AS$1354,GD_Item_Name,$B1369,GD_Update_Date,AS$1352)=0,"NR",SUMIFS(GD_Guidance_Mid,GD_Item_Name,$B1369,GD_Item_FiscalPeriod,AS$1354,GD_Update_Date,AS$1352)))</f>
        <v/>
      </c>
      <c r="AT1369" s="1553">
        <f>IF(ISBLANK(AT$1354),"N/A",IF(COUNTIFS(GD_Item_FiscalPeriod,AT$1354,GD_Item_Name,$B1369,GD_Update_Date,AT$1352)=0,"NR",SUMIFS(GD_Guidance_Mid,GD_Item_Name,$B1369,GD_Item_FiscalPeriod,AT$1354,GD_Update_Date,AT$1352)))</f>
        <v/>
      </c>
      <c r="AU1369" s="1553">
        <f>IF(ISBLANK(AU$1354),"N/A",IF(COUNTIFS(GD_Item_FiscalPeriod,AU$1354,GD_Item_Name,$B1369,GD_Update_Date,AU$1352)=0,"NR",SUMIFS(GD_Guidance_Mid,GD_Item_Name,$B1369,GD_Item_FiscalPeriod,AU$1354,GD_Update_Date,AU$1352)))</f>
        <v/>
      </c>
      <c r="AV1369" s="1553">
        <f>IF(ISBLANK(AV$1354),"N/A",IF(COUNTIFS(GD_Item_FiscalPeriod,AV$1354,GD_Item_Name,$B1369,GD_Update_Date,AV$1352)=0,"NR",SUMIFS(GD_Guidance_Mid,GD_Item_Name,$B1369,GD_Item_FiscalPeriod,AV$1354,GD_Update_Date,AV$1352)))</f>
        <v/>
      </c>
      <c r="AW1369" s="1553">
        <f>IF(ISBLANK(AW$1354),"N/A",IF(COUNTIFS(GD_Item_FiscalPeriod,AW$1354,GD_Item_Name,$B1369,GD_Update_Date,AW$1352)=0,"NR",SUMIFS(GD_Guidance_Mid,GD_Item_Name,$B1369,GD_Item_FiscalPeriod,AW$1354,GD_Update_Date,AW$1352)))</f>
        <v/>
      </c>
      <c r="AX1369" s="1553">
        <f>IF(ISBLANK(AX$1354),"N/A",IF(COUNTIFS(GD_Item_FiscalPeriod,AX$1354,GD_Item_Name,$B1369,GD_Update_Date,AX$1352)=0,"NR",SUMIFS(GD_Guidance_Mid,GD_Item_Name,$B1369,GD_Item_FiscalPeriod,AX$1354,GD_Update_Date,AX$1352)))</f>
        <v/>
      </c>
      <c r="AY1369" s="1553">
        <f>IF(ISBLANK(AY$1354),"N/A",IF(COUNTIFS(GD_Item_FiscalPeriod,AY$1354,GD_Item_Name,$B1369,GD_Update_Date,AY$1352)=0,"NR",SUMIFS(GD_Guidance_Mid,GD_Item_Name,$B1369,GD_Item_FiscalPeriod,AY$1354,GD_Update_Date,AY$1352)))</f>
        <v/>
      </c>
      <c r="AZ1369" s="1553">
        <f>IF(ISBLANK(AZ$1354),"N/A",IF(COUNTIFS(GD_Item_FiscalPeriod,AZ$1354,GD_Item_Name,$B1369,GD_Update_Date,AZ$1352)=0,"NR",SUMIFS(GD_Guidance_Mid,GD_Item_Name,$B1369,GD_Item_FiscalPeriod,AZ$1354,GD_Update_Date,AZ$1352)))</f>
        <v/>
      </c>
      <c r="BA1369" s="1553">
        <f>IF(ISBLANK(BA$1354),"N/A",IF(COUNTIFS(GD_Item_FiscalPeriod,BA$1354,GD_Item_Name,$B1369,GD_Update_Date,BA$1352)=0,"NR",SUMIFS(GD_Guidance_Mid,GD_Item_Name,$B1369,GD_Item_FiscalPeriod,BA$1354,GD_Update_Date,BA$1352)))</f>
        <v/>
      </c>
      <c r="BB1369" s="1553">
        <f>IF(ISBLANK(BB$1354),"N/A",IF(COUNTIFS(GD_Item_FiscalPeriod,BB$1354,GD_Item_Name,$B1369,GD_Update_Date,BB$1352)=0,"NR",SUMIFS(GD_Guidance_Mid,GD_Item_Name,$B1369,GD_Item_FiscalPeriod,BB$1354,GD_Update_Date,BB$1352)))</f>
        <v/>
      </c>
      <c r="BC1369" s="1553">
        <f>IF(ISBLANK(BC$1354),"N/A",IF(COUNTIFS(GD_Item_FiscalPeriod,BC$1354,GD_Item_Name,$B1369,GD_Update_Date,BC$1352)=0,"NR",SUMIFS(GD_Guidance_Mid,GD_Item_Name,$B1369,GD_Item_FiscalPeriod,BC$1354,GD_Update_Date,BC$1352)))</f>
        <v/>
      </c>
      <c r="BD1369" s="1553">
        <f>IF(ISBLANK(BD$1354),"N/A",IF(COUNTIFS(GD_Item_FiscalPeriod,BD$1354,GD_Item_Name,$B1369,GD_Update_Date,BD$1352)=0,"NR",SUMIFS(GD_Guidance_Mid,GD_Item_Name,$B1369,GD_Item_FiscalPeriod,BD$1354,GD_Update_Date,BD$1352)))</f>
        <v/>
      </c>
      <c r="BE1369" s="1553">
        <f>IF(ISBLANK(BE$1354),"N/A",IF(COUNTIFS(GD_Item_FiscalPeriod,BE$1354,GD_Item_Name,$B1369,GD_Update_Date,BE$1352)=0,"NR",SUMIFS(GD_Guidance_Mid,GD_Item_Name,$B1369,GD_Item_FiscalPeriod,BE$1354,GD_Update_Date,BE$1352)))</f>
        <v/>
      </c>
      <c r="BF1369" s="1553">
        <f>IF(ISBLANK(BF$1354),"N/A",IF(COUNTIFS(GD_Item_FiscalPeriod,BF$1354,GD_Item_Name,$B1369,GD_Update_Date,BF$1352)=0,"NR",SUMIFS(GD_Guidance_Mid,GD_Item_Name,$B1369,GD_Item_FiscalPeriod,BF$1354,GD_Update_Date,BF$1352)))</f>
        <v/>
      </c>
      <c r="BG1369" s="1553">
        <f>IF(ISBLANK(BG$1354),"N/A",IF(COUNTIFS(GD_Item_FiscalPeriod,BG$1354,GD_Item_Name,$B1369,GD_Update_Date,BG$1352)=0,"NR",SUMIFS(GD_Guidance_Mid,GD_Item_Name,$B1369,GD_Item_FiscalPeriod,BG$1354,GD_Update_Date,BG$1352)))</f>
        <v/>
      </c>
      <c r="BH1369" s="1553">
        <f>IF(ISBLANK(BH$1354),"N/A",IF(COUNTIFS(GD_Item_FiscalPeriod,BH$1354,GD_Item_Name,$B1369,GD_Update_Date,BH$1352)=0,"NR",SUMIFS(GD_Guidance_Mid,GD_Item_Name,$B1369,GD_Item_FiscalPeriod,BH$1354,GD_Update_Date,BH$1352)))</f>
        <v/>
      </c>
      <c r="BI1369" s="1553">
        <f>IF(ISBLANK(BI$1354),"N/A",IF(COUNTIFS(GD_Item_FiscalPeriod,BI$1354,GD_Item_Name,$B1369,GD_Update_Date,BI$1352)=0,"NR",SUMIFS(GD_Guidance_Mid,GD_Item_Name,$B1369,GD_Item_FiscalPeriod,BI$1354,GD_Update_Date,BI$1352)))</f>
        <v/>
      </c>
      <c r="BJ1369" s="1553">
        <f>IF(ISBLANK(BJ$1354),"N/A",IF(COUNTIFS(GD_Item_FiscalPeriod,BJ$1354,GD_Item_Name,$B1369,GD_Update_Date,BJ$1352)=0,"NR",SUMIFS(GD_Guidance_Mid,GD_Item_Name,$B1369,GD_Item_FiscalPeriod,BJ$1354,GD_Update_Date,BJ$1352)))</f>
        <v/>
      </c>
      <c r="BK1369" s="1553">
        <f>IF(ISBLANK(BK$1354),"N/A",IF(COUNTIFS(GD_Item_FiscalPeriod,BK$1354,GD_Item_Name,$B1369,GD_Update_Date,BK$1352)=0,"NR",SUMIFS(GD_Guidance_Mid,GD_Item_Name,$B1369,GD_Item_FiscalPeriod,BK$1354,GD_Update_Date,BK$1352)))</f>
        <v/>
      </c>
      <c r="BL1369" s="1553">
        <f>IF(ISBLANK(BL$1354),"N/A",IF(COUNTIFS(GD_Item_FiscalPeriod,BL$1354,GD_Item_Name,$B1369,GD_Update_Date,BL$1352)=0,"NR",SUMIFS(GD_Guidance_Mid,GD_Item_Name,$B1369,GD_Item_FiscalPeriod,BL$1354,GD_Update_Date,BL$1352)))</f>
        <v/>
      </c>
      <c r="BM1369" s="1553">
        <f>IF(ISBLANK(BM$1354),"N/A",IF(COUNTIFS(GD_Item_FiscalPeriod,BM$1354,GD_Item_Name,$B1369,GD_Update_Date,BM$1352)=0,"NR",SUMIFS(GD_Guidance_Mid,GD_Item_Name,$B1369,GD_Item_FiscalPeriod,BM$1354,GD_Update_Date,BM$1352)))</f>
        <v/>
      </c>
      <c r="BN1369" s="1553">
        <f>IF(ISBLANK(BN$1354),"N/A",IF(COUNTIFS(GD_Item_FiscalPeriod,BN$1354,GD_Item_Name,$B1369,GD_Update_Date,BN$1352)=0,"NR",SUMIFS(GD_Guidance_Mid,GD_Item_Name,$B1369,GD_Item_FiscalPeriod,BN$1354,GD_Update_Date,BN$1352)))</f>
        <v/>
      </c>
      <c r="BO1369" s="1553">
        <f>IF(ISBLANK(BO$1354),"N/A",IF(COUNTIFS(GD_Item_FiscalPeriod,BO$1354,GD_Item_Name,$B1369,GD_Update_Date,BO$1352)=0,"NR",SUMIFS(GD_Guidance_Mid,GD_Item_Name,$B1369,GD_Item_FiscalPeriod,BO$1354,GD_Update_Date,BO$1352)))</f>
        <v/>
      </c>
      <c r="BP1369" s="1553">
        <f>IF(ISBLANK(BP$1354),"N/A",IF(COUNTIFS(GD_Item_FiscalPeriod,BP$1354,GD_Item_Name,$B1369,GD_Update_Date,BP$1352)=0,"NR",SUMIFS(GD_Guidance_Mid,GD_Item_Name,$B1369,GD_Item_FiscalPeriod,BP$1354,GD_Update_Date,BP$1352)))</f>
        <v/>
      </c>
      <c r="BQ1369" s="1556">
        <f>IF(ISBLANK(BQ$1354),"N/A",IF(COUNTIFS(GD_Item_FiscalPeriod,BQ$1354,GD_Item_Name,$B1369,GD_Update_Date,BQ$1352)=0,"NR",SUMIFS(GD_Guidance_Mid,GD_Item_Name,$B1369,GD_Item_FiscalPeriod,BQ$1354,GD_Update_Date,BQ$1352)))</f>
        <v/>
      </c>
      <c r="BR1369" s="1553">
        <f>IF(ISBLANK(BR$1354),"N/A",IF(COUNTIFS(GD_Item_FiscalPeriod,BR$1354,GD_Item_Name,$B1369,GD_Update_Date,BR$1352)=0,"NR",SUMIFS(GD_Guidance_Mid,GD_Item_Name,$B1369,GD_Item_FiscalPeriod,BR$1354,GD_Update_Date,BR$1352)))</f>
        <v/>
      </c>
      <c r="BS1369" s="1553">
        <f>IF(ISBLANK(BS$1354),"N/A",IF(COUNTIFS(GD_Item_FiscalPeriod,BS$1354,GD_Item_Name,$B1369,GD_Update_Date,BS$1352)=0,"NR",SUMIFS(GD_Guidance_Mid,GD_Item_Name,$B1369,GD_Item_FiscalPeriod,BS$1354,GD_Update_Date,BS$1352)))</f>
        <v/>
      </c>
      <c r="BT1369" s="1553">
        <f>IF(ISBLANK(BT$1354),"N/A",IF(COUNTIFS(GD_Item_FiscalPeriod,BT$1354,GD_Item_Name,$B1369,GD_Update_Date,BT$1352)=0,"NR",SUMIFS(GD_Guidance_Mid,GD_Item_Name,$B1369,GD_Item_FiscalPeriod,BT$1354,GD_Update_Date,BT$1352)))</f>
        <v/>
      </c>
      <c r="BU1369" s="1553">
        <f>IF(ISBLANK(BU$1354),"N/A",IF(COUNTIFS(GD_Item_FiscalPeriod,BU$1354,GD_Item_Name,$B1369,GD_Update_Date,BU$1352)=0,"NR",SUMIFS(GD_Guidance_Mid,GD_Item_Name,$B1369,GD_Item_FiscalPeriod,BU$1354,GD_Update_Date,BU$1352)))</f>
        <v/>
      </c>
      <c r="BV1369" s="1553">
        <f>IF(ISBLANK(BV$1354),"N/A",IF(COUNTIFS(GD_Item_FiscalPeriod,BV$1354,GD_Item_Name,$B1369,GD_Update_Date,BV$1352)=0,"NR",SUMIFS(GD_Guidance_Mid,GD_Item_Name,$B1369,GD_Item_FiscalPeriod,BV$1354,GD_Update_Date,BV$1352)))</f>
        <v/>
      </c>
      <c r="BW1369" s="1553">
        <f>IF(ISBLANK(BW$1354),"N/A",IF(COUNTIFS(GD_Item_FiscalPeriod,BW$1354,GD_Item_Name,$B1369,GD_Update_Date,BW$1352)=0,"NR",SUMIFS(GD_Guidance_Mid,GD_Item_Name,$B1369,GD_Item_FiscalPeriod,BW$1354,GD_Update_Date,BW$1352)))</f>
        <v/>
      </c>
      <c r="BX1369" s="1553">
        <f>IF(ISBLANK(BX$1354),"N/A",IF(COUNTIFS(GD_Item_FiscalPeriod,BX$1354,GD_Item_Name,$B1369,GD_Update_Date,BX$1352)=0,"NR",SUMIFS(GD_Guidance_Mid,GD_Item_Name,$B1369,GD_Item_FiscalPeriod,BX$1354,GD_Update_Date,BX$1352)))</f>
        <v/>
      </c>
      <c r="BY1369" s="1553">
        <f>IF(ISBLANK(BY$1354),"N/A",IF(COUNTIFS(GD_Item_FiscalPeriod,BY$1354,GD_Item_Name,$B1369,GD_Update_Date,BY$1352)=0,"NR",SUMIFS(GD_Guidance_Mid,GD_Item_Name,$B1369,GD_Item_FiscalPeriod,BY$1354,GD_Update_Date,BY$1352)))</f>
        <v/>
      </c>
      <c r="BZ1369" s="1553">
        <f>IF(ISBLANK(BZ$1354),"N/A",IF(COUNTIFS(GD_Item_FiscalPeriod,BZ$1354,GD_Item_Name,$B1369,GD_Update_Date,BZ$1352)=0,"NR",SUMIFS(GD_Guidance_Mid,GD_Item_Name,$B1369,GD_Item_FiscalPeriod,BZ$1354,GD_Update_Date,BZ$1352)))</f>
        <v/>
      </c>
      <c r="CA1369" s="2001">
        <f>IF(ISBLANK(CA$1354),"N/A",IF(COUNTIFS(GD_Item_FiscalPeriod,CA$1354,GD_Item_Name,$B1369,GD_Update_Date,CA$1352)=0,"NR",SUMIFS(GD_Guidance_Mid,GD_Item_Name,$B1369,GD_Item_FiscalPeriod,CA$1354,GD_Update_Date,CA$1352)))</f>
        <v/>
      </c>
      <c r="CB1369" s="1472" t="n"/>
    </row>
    <row r="1370" ht="14.4" customFormat="1" customHeight="1" s="1549">
      <c r="A1370" s="2010" t="n"/>
      <c r="B1370" s="2011" t="n"/>
      <c r="C1370" s="2012" t="n"/>
      <c r="D1370" s="2012" t="n"/>
      <c r="E1370" s="2011" t="n"/>
      <c r="F1370" s="2011" t="n"/>
      <c r="G1370" s="2011" t="n"/>
      <c r="H1370" s="2011" t="n"/>
      <c r="I1370" s="2011" t="n"/>
      <c r="J1370" s="2011" t="n"/>
      <c r="K1370" s="2011" t="n"/>
      <c r="L1370" s="2011" t="n"/>
      <c r="M1370" s="2011" t="n"/>
      <c r="N1370" s="2011" t="n"/>
      <c r="O1370" s="2011" t="n"/>
      <c r="P1370" s="2011" t="n"/>
      <c r="Q1370" s="2011" t="n"/>
      <c r="R1370" s="2011" t="n"/>
      <c r="S1370" s="2011" t="n"/>
      <c r="T1370" s="2011" t="n"/>
      <c r="U1370" s="2011" t="n"/>
      <c r="V1370" s="2011" t="n"/>
      <c r="W1370" s="2011" t="n"/>
      <c r="X1370" s="2011" t="n"/>
      <c r="Y1370" s="2011" t="n"/>
      <c r="Z1370" s="2011" t="n"/>
      <c r="AA1370" s="2011" t="n"/>
      <c r="AB1370" s="2011" t="n"/>
      <c r="AC1370" s="2011" t="n"/>
      <c r="AD1370" s="2011" t="n"/>
      <c r="AE1370" s="2011" t="n"/>
      <c r="AF1370" s="2011" t="n"/>
      <c r="AG1370" s="2011" t="n"/>
      <c r="AH1370" s="2011" t="n"/>
      <c r="AI1370" s="2011" t="n"/>
      <c r="AJ1370" s="2011" t="n"/>
      <c r="AK1370" s="2011" t="n"/>
      <c r="AL1370" s="2011" t="n"/>
      <c r="AM1370" s="2011" t="n"/>
      <c r="AN1370" s="2011" t="n"/>
      <c r="AO1370" s="2011" t="n"/>
      <c r="AP1370" s="2011" t="n"/>
      <c r="AQ1370" s="2011" t="n"/>
      <c r="AR1370" s="2011" t="n"/>
      <c r="AS1370" s="2011" t="n"/>
      <c r="AT1370" s="2011" t="n"/>
      <c r="AU1370" s="2011" t="n"/>
      <c r="AV1370" s="2011" t="n"/>
      <c r="AW1370" s="2011" t="n"/>
      <c r="AX1370" s="2011" t="n"/>
      <c r="AY1370" s="2011" t="n"/>
      <c r="AZ1370" s="2011" t="n"/>
      <c r="BA1370" s="2011" t="n"/>
      <c r="BB1370" s="2011" t="n"/>
      <c r="BC1370" s="2011" t="n"/>
      <c r="BD1370" s="2011" t="n"/>
      <c r="BE1370" s="2011" t="n"/>
      <c r="BF1370" s="2011" t="n"/>
      <c r="BG1370" s="2011" t="n"/>
      <c r="BH1370" s="2011" t="n"/>
      <c r="BI1370" s="2011" t="n"/>
      <c r="BJ1370" s="2011" t="n"/>
      <c r="BK1370" s="2011" t="n"/>
      <c r="BL1370" s="2011" t="n"/>
      <c r="BM1370" s="2011" t="n"/>
      <c r="BN1370" s="2011" t="n"/>
      <c r="BO1370" s="2011" t="n"/>
      <c r="BP1370" s="2011" t="n"/>
      <c r="BQ1370" s="2013" t="n"/>
      <c r="BR1370" s="2011" t="n"/>
      <c r="BS1370" s="2011" t="n"/>
      <c r="BT1370" s="2011" t="n"/>
      <c r="BU1370" s="2011" t="n"/>
      <c r="BV1370" s="2011" t="n"/>
      <c r="BW1370" s="2011" t="n"/>
      <c r="BX1370" s="2011" t="n"/>
      <c r="BY1370" s="2011" t="n"/>
      <c r="BZ1370" s="2011" t="n"/>
      <c r="CA1370" s="2014" t="n"/>
      <c r="CB1370" s="1472" t="n"/>
    </row>
    <row r="1371" ht="14.4" customFormat="1" customHeight="1" s="1549">
      <c r="A1371" s="1958" t="n"/>
      <c r="B1371" s="1974" t="n"/>
      <c r="C1371" s="1986" t="n"/>
      <c r="D1371" s="1986" t="n"/>
      <c r="E1371" s="1974" t="n"/>
      <c r="F1371" s="1974" t="n"/>
      <c r="G1371" s="1974" t="n"/>
      <c r="H1371" s="1974" t="n"/>
      <c r="I1371" s="1974" t="n"/>
      <c r="J1371" s="1974" t="n"/>
      <c r="K1371" s="1974" t="n"/>
      <c r="L1371" s="1974" t="n"/>
      <c r="M1371" s="1974" t="n"/>
      <c r="N1371" s="1974" t="n"/>
      <c r="O1371" s="1974" t="n"/>
      <c r="P1371" s="1974" t="n"/>
      <c r="Q1371" s="1974" t="n"/>
      <c r="R1371" s="1974" t="n"/>
      <c r="S1371" s="1974" t="n"/>
      <c r="T1371" s="1974" t="n"/>
      <c r="U1371" s="1974" t="n"/>
      <c r="V1371" s="1974" t="n"/>
      <c r="W1371" s="1974" t="n"/>
      <c r="X1371" s="1974" t="n"/>
      <c r="Y1371" s="1974" t="n"/>
      <c r="Z1371" s="1974" t="n"/>
      <c r="AA1371" s="1974" t="n"/>
      <c r="AB1371" s="1974" t="n"/>
      <c r="AC1371" s="1974" t="n"/>
      <c r="AD1371" s="1974" t="n"/>
      <c r="AE1371" s="1974" t="n"/>
      <c r="AF1371" s="1974" t="n"/>
      <c r="AG1371" s="1974" t="n"/>
      <c r="AH1371" s="1974" t="n"/>
      <c r="AI1371" s="1974" t="n"/>
      <c r="AJ1371" s="1974" t="n"/>
      <c r="AK1371" s="1974" t="n"/>
      <c r="AL1371" s="1974" t="n"/>
      <c r="AM1371" s="1974" t="n"/>
      <c r="AN1371" s="1974" t="n"/>
      <c r="AO1371" s="1974" t="n"/>
      <c r="AP1371" s="1974" t="n"/>
      <c r="AQ1371" s="1974" t="n"/>
      <c r="AR1371" s="1974" t="n"/>
      <c r="AS1371" s="1974" t="n"/>
      <c r="AT1371" s="1974" t="n"/>
      <c r="AU1371" s="1974" t="n"/>
      <c r="AV1371" s="1974" t="n"/>
      <c r="AW1371" s="1974" t="n"/>
      <c r="AX1371" s="1974" t="n"/>
      <c r="AY1371" s="1974" t="n"/>
      <c r="AZ1371" s="1974" t="n"/>
      <c r="BA1371" s="1974" t="n"/>
      <c r="BB1371" s="1974" t="n"/>
      <c r="BC1371" s="1974" t="n"/>
      <c r="BD1371" s="1974" t="n"/>
      <c r="BE1371" s="1974" t="n"/>
      <c r="BF1371" s="1974" t="n"/>
      <c r="BG1371" s="1974" t="n"/>
      <c r="BH1371" s="1974" t="n"/>
      <c r="BI1371" s="1974" t="n"/>
      <c r="BJ1371" s="1974" t="n"/>
      <c r="BK1371" s="1974" t="n"/>
      <c r="BL1371" s="1974" t="n"/>
      <c r="BM1371" s="1974" t="n"/>
      <c r="BN1371" s="1974" t="n"/>
      <c r="BO1371" s="1974" t="n"/>
      <c r="BP1371" s="1974" t="n"/>
      <c r="BQ1371" s="1987" t="n"/>
      <c r="BR1371" s="1974" t="n"/>
      <c r="BS1371" s="1974" t="n"/>
      <c r="BT1371" s="1974" t="n"/>
      <c r="BU1371" s="1974" t="n"/>
      <c r="BV1371" s="1974" t="n"/>
      <c r="BW1371" s="1974" t="n"/>
      <c r="BX1371" s="1974" t="n"/>
      <c r="BY1371" s="1974" t="n"/>
      <c r="BZ1371" s="1974" t="n"/>
      <c r="CA1371" s="1974" t="n"/>
      <c r="CB1371" s="1472" t="n"/>
    </row>
    <row r="1372" ht="14.4" customFormat="1" customHeight="1" s="1372">
      <c r="A1372" s="2016" t="inlineStr">
        <is>
          <t>Consensus Estimate Table</t>
        </is>
      </c>
      <c r="B1372" s="1404" t="n"/>
      <c r="C1372" s="1404" t="n"/>
      <c r="D1372" s="1404" t="n"/>
      <c r="E1372" s="1404" t="n"/>
      <c r="F1372" s="1404" t="n"/>
      <c r="G1372" s="1404" t="n"/>
      <c r="H1372" s="1404" t="n"/>
      <c r="I1372" s="1404" t="n"/>
      <c r="J1372" s="1404" t="n"/>
      <c r="K1372" s="1404" t="n"/>
      <c r="L1372" s="1404" t="n"/>
      <c r="M1372" s="1404" t="n"/>
      <c r="N1372" s="1404" t="n"/>
      <c r="O1372" s="1404" t="n"/>
      <c r="P1372" s="1404" t="n"/>
      <c r="Q1372" s="1404" t="n"/>
      <c r="R1372" s="1404" t="n"/>
      <c r="S1372" s="1404" t="n"/>
      <c r="T1372" s="1404" t="n"/>
      <c r="U1372" s="1404" t="n"/>
      <c r="V1372" s="1404" t="n"/>
      <c r="W1372" s="1404" t="n"/>
      <c r="X1372" s="1404" t="n"/>
      <c r="Y1372" s="1404" t="n"/>
      <c r="Z1372" s="1404" t="n"/>
      <c r="AA1372" s="1404" t="n"/>
      <c r="AB1372" s="1404" t="n"/>
      <c r="AC1372" s="1404" t="n"/>
      <c r="AD1372" s="1404" t="n"/>
      <c r="AE1372" s="1404" t="n"/>
      <c r="AF1372" s="1404" t="n"/>
      <c r="AG1372" s="1404" t="n"/>
      <c r="AH1372" s="1404" t="n"/>
      <c r="AI1372" s="1404" t="n"/>
      <c r="AJ1372" s="1404" t="n"/>
      <c r="AK1372" s="1404" t="n"/>
      <c r="AL1372" s="1404" t="n"/>
      <c r="AM1372" s="1404" t="n"/>
      <c r="AN1372" s="1404" t="n"/>
      <c r="AO1372" s="1404" t="n"/>
      <c r="AP1372" s="1404" t="n"/>
      <c r="AQ1372" s="1404" t="n"/>
      <c r="AR1372" s="1404" t="n"/>
      <c r="AS1372" s="1404" t="n"/>
      <c r="AT1372" s="1404" t="n"/>
      <c r="AU1372" s="1404" t="n"/>
      <c r="AV1372" s="1404" t="n"/>
      <c r="AW1372" s="1404" t="n"/>
      <c r="AX1372" s="1404" t="n"/>
      <c r="AY1372" s="1404" t="n"/>
      <c r="AZ1372" s="1404" t="n"/>
      <c r="BA1372" s="1404" t="n"/>
      <c r="BB1372" s="1404" t="n"/>
      <c r="BC1372" s="1404" t="n"/>
      <c r="BD1372" s="1404" t="n"/>
      <c r="BE1372" s="1404" t="n"/>
      <c r="BF1372" s="1404" t="n"/>
      <c r="BG1372" s="1404" t="n"/>
      <c r="BH1372" s="1404" t="n"/>
      <c r="BI1372" s="1404" t="n"/>
      <c r="BJ1372" s="1404" t="n"/>
      <c r="BK1372" s="1404" t="n"/>
      <c r="BL1372" s="1404" t="n"/>
      <c r="BM1372" s="1404" t="n"/>
      <c r="BN1372" s="1404" t="n"/>
      <c r="BO1372" s="1404" t="n"/>
      <c r="BP1372" s="1404" t="n"/>
      <c r="BQ1372" s="1536" t="n"/>
      <c r="BR1372" s="1404">
        <f>BR5</f>
        <v/>
      </c>
      <c r="BS1372" s="1404">
        <f>BS5</f>
        <v/>
      </c>
      <c r="BT1372" s="1404">
        <f>BT5</f>
        <v/>
      </c>
      <c r="BU1372" s="1404">
        <f>BU5</f>
        <v/>
      </c>
      <c r="BV1372" s="1404">
        <f>BV5</f>
        <v/>
      </c>
      <c r="BW1372" s="1404">
        <f>BW5</f>
        <v/>
      </c>
      <c r="BX1372" s="1404">
        <f>BX5</f>
        <v/>
      </c>
      <c r="BY1372" s="1404">
        <f>BY5</f>
        <v/>
      </c>
      <c r="BZ1372" s="1404">
        <f>BZ5</f>
        <v/>
      </c>
      <c r="CA1372" s="2017">
        <f>CA5</f>
        <v/>
      </c>
      <c r="CB1372" s="2018" t="n"/>
    </row>
    <row r="1373" ht="14.4" customFormat="1" customHeight="1" s="1372">
      <c r="A1373" s="2019" t="inlineStr">
        <is>
          <t>FY or FQ</t>
        </is>
      </c>
      <c r="B1373" s="1450" t="n"/>
      <c r="C1373" s="1450" t="n"/>
      <c r="D1373" s="1450" t="n"/>
      <c r="E1373" s="1450" t="n"/>
      <c r="F1373" s="1450" t="n"/>
      <c r="G1373" s="1450" t="n"/>
      <c r="H1373" s="1450" t="n"/>
      <c r="I1373" s="1450" t="n"/>
      <c r="J1373" s="1450" t="n"/>
      <c r="K1373" s="1450" t="n"/>
      <c r="L1373" s="1450" t="n"/>
      <c r="M1373" s="1450" t="n"/>
      <c r="N1373" s="1450" t="n"/>
      <c r="O1373" s="1450" t="n"/>
      <c r="P1373" s="1450" t="n"/>
      <c r="Q1373" s="1450" t="n"/>
      <c r="R1373" s="1450" t="n"/>
      <c r="S1373" s="1450" t="n"/>
      <c r="T1373" s="1450" t="n"/>
      <c r="U1373" s="1450" t="n"/>
      <c r="V1373" s="1450" t="n"/>
      <c r="W1373" s="1450" t="n"/>
      <c r="X1373" s="1450" t="n"/>
      <c r="Y1373" s="1450" t="n"/>
      <c r="Z1373" s="1450" t="n"/>
      <c r="AA1373" s="1450" t="n"/>
      <c r="AB1373" s="1450" t="n"/>
      <c r="AC1373" s="1450" t="n"/>
      <c r="AD1373" s="1450" t="n"/>
      <c r="AE1373" s="1450" t="n"/>
      <c r="AF1373" s="1450" t="n"/>
      <c r="AG1373" s="1450" t="n"/>
      <c r="AH1373" s="1450" t="n"/>
      <c r="AI1373" s="1450" t="n"/>
      <c r="AJ1373" s="1450" t="n"/>
      <c r="AK1373" s="1450" t="n"/>
      <c r="AL1373" s="1450" t="n"/>
      <c r="AM1373" s="1450" t="n"/>
      <c r="AN1373" s="1450" t="n"/>
      <c r="AO1373" s="1450" t="n"/>
      <c r="AP1373" s="1450" t="n"/>
      <c r="AQ1373" s="1450" t="n"/>
      <c r="AR1373" s="1450" t="n"/>
      <c r="AS1373" s="1450" t="n"/>
      <c r="AT1373" s="1450" t="n"/>
      <c r="AU1373" s="1450" t="n"/>
      <c r="AV1373" s="1450" t="n"/>
      <c r="AW1373" s="1450" t="n"/>
      <c r="AX1373" s="1450" t="n"/>
      <c r="AY1373" s="1450" t="n"/>
      <c r="AZ1373" s="1450" t="n"/>
      <c r="BA1373" s="1450" t="n"/>
      <c r="BB1373" s="1450" t="n"/>
      <c r="BC1373" s="1450" t="n"/>
      <c r="BD1373" s="1450" t="n"/>
      <c r="BE1373" s="1450" t="n"/>
      <c r="BF1373" s="1450" t="n"/>
      <c r="BG1373" s="1450" t="n"/>
      <c r="BH1373" s="1450" t="n"/>
      <c r="BI1373" s="1450" t="n"/>
      <c r="BJ1373" s="1450" t="n"/>
      <c r="BK1373" s="1450" t="n"/>
      <c r="BL1373" s="1450" t="n"/>
      <c r="BM1373" s="1450" t="n"/>
      <c r="BN1373" s="1450" t="n"/>
      <c r="BO1373" s="1450" t="n"/>
      <c r="BP1373" s="1450" t="n"/>
      <c r="BQ1373" s="1451" t="n"/>
      <c r="BR1373" s="1450">
        <f>IF(MO.DataSourceIndex=3,IF(LEFT(INDIRECT(ADDRESS(ROW()-1,COLUMN())),2)="FY","ANNUAL",IF(LEFT(INDIRECT(ADDRESS(ROW()-1,COLUMN())),1)="Q","QUARTERLY","")),IF(LEFT(INDIRECT(ADDRESS(ROW()-1,COLUMN())),2)="FY","FY",IF(LEFT(INDIRECT(ADDRESS(ROW()-1,COLUMN())),1)="Q","FQ","FS")))</f>
        <v/>
      </c>
      <c r="BS1373" s="1450">
        <f>IF(MO.DataSourceIndex=3,IF(LEFT(INDIRECT(ADDRESS(ROW()-1,COLUMN())),2)="FY","ANNUAL",IF(LEFT(INDIRECT(ADDRESS(ROW()-1,COLUMN())),1)="Q","QUARTERLY","")),IF(LEFT(INDIRECT(ADDRESS(ROW()-1,COLUMN())),2)="FY","FY",IF(LEFT(INDIRECT(ADDRESS(ROW()-1,COLUMN())),1)="Q","FQ","FS")))</f>
        <v/>
      </c>
      <c r="BT1373" s="1450">
        <f>IF(MO.DataSourceIndex=3,IF(LEFT(INDIRECT(ADDRESS(ROW()-1,COLUMN())),2)="FY","ANNUAL",IF(LEFT(INDIRECT(ADDRESS(ROW()-1,COLUMN())),1)="Q","QUARTERLY","")),IF(LEFT(INDIRECT(ADDRESS(ROW()-1,COLUMN())),2)="FY","FY",IF(LEFT(INDIRECT(ADDRESS(ROW()-1,COLUMN())),1)="Q","FQ","FS")))</f>
        <v/>
      </c>
      <c r="BU1373" s="1450">
        <f>IF(MO.DataSourceIndex=3,IF(LEFT(INDIRECT(ADDRESS(ROW()-1,COLUMN())),2)="FY","ANNUAL",IF(LEFT(INDIRECT(ADDRESS(ROW()-1,COLUMN())),1)="Q","QUARTERLY","")),IF(LEFT(INDIRECT(ADDRESS(ROW()-1,COLUMN())),2)="FY","FY",IF(LEFT(INDIRECT(ADDRESS(ROW()-1,COLUMN())),1)="Q","FQ","FS")))</f>
        <v/>
      </c>
      <c r="BV1373" s="1450">
        <f>IF(MO.DataSourceIndex=3,IF(LEFT(INDIRECT(ADDRESS(ROW()-1,COLUMN())),2)="FY","ANNUAL",IF(LEFT(INDIRECT(ADDRESS(ROW()-1,COLUMN())),1)="Q","QUARTERLY","")),IF(LEFT(INDIRECT(ADDRESS(ROW()-1,COLUMN())),2)="FY","FY",IF(LEFT(INDIRECT(ADDRESS(ROW()-1,COLUMN())),1)="Q","FQ","FS")))</f>
        <v/>
      </c>
      <c r="BW1373" s="1450">
        <f>IF(MO.DataSourceIndex=3,IF(LEFT(INDIRECT(ADDRESS(ROW()-1,COLUMN())),2)="FY","ANNUAL",IF(LEFT(INDIRECT(ADDRESS(ROW()-1,COLUMN())),1)="Q","QUARTERLY","")),IF(LEFT(INDIRECT(ADDRESS(ROW()-1,COLUMN())),2)="FY","FY",IF(LEFT(INDIRECT(ADDRESS(ROW()-1,COLUMN())),1)="Q","FQ","FS")))</f>
        <v/>
      </c>
      <c r="BX1373" s="1450">
        <f>IF(MO.DataSourceIndex=3,IF(LEFT(INDIRECT(ADDRESS(ROW()-1,COLUMN())),2)="FY","ANNUAL",IF(LEFT(INDIRECT(ADDRESS(ROW()-1,COLUMN())),1)="Q","QUARTERLY","")),IF(LEFT(INDIRECT(ADDRESS(ROW()-1,COLUMN())),2)="FY","FY",IF(LEFT(INDIRECT(ADDRESS(ROW()-1,COLUMN())),1)="Q","FQ","FS")))</f>
        <v/>
      </c>
      <c r="BY1373" s="1450">
        <f>IF(MO.DataSourceIndex=3,IF(LEFT(INDIRECT(ADDRESS(ROW()-1,COLUMN())),2)="FY","ANNUAL",IF(LEFT(INDIRECT(ADDRESS(ROW()-1,COLUMN())),1)="Q","QUARTERLY","")),IF(LEFT(INDIRECT(ADDRESS(ROW()-1,COLUMN())),2)="FY","FY",IF(LEFT(INDIRECT(ADDRESS(ROW()-1,COLUMN())),1)="Q","FQ","FS")))</f>
        <v/>
      </c>
      <c r="BZ1373" s="1450">
        <f>IF(MO.DataSourceIndex=3,IF(LEFT(INDIRECT(ADDRESS(ROW()-1,COLUMN())),2)="FY","ANNUAL",IF(LEFT(INDIRECT(ADDRESS(ROW()-1,COLUMN())),1)="Q","QUARTERLY","")),IF(LEFT(INDIRECT(ADDRESS(ROW()-1,COLUMN())),2)="FY","FY",IF(LEFT(INDIRECT(ADDRESS(ROW()-1,COLUMN())),1)="Q","FQ","FS")))</f>
        <v/>
      </c>
      <c r="CA1373" s="2020">
        <f>IF(MO.DataSourceIndex=3,IF(LEFT(INDIRECT(ADDRESS(ROW()-1,COLUMN())),2)="FY","ANNUAL",IF(LEFT(INDIRECT(ADDRESS(ROW()-1,COLUMN())),1)="Q","QUARTERLY","")),IF(LEFT(INDIRECT(ADDRESS(ROW()-1,COLUMN())),2)="FY","FY",IF(LEFT(INDIRECT(ADDRESS(ROW()-1,COLUMN())),1)="Q","FQ","FS")))</f>
        <v/>
      </c>
      <c r="CB1373" s="2018" t="n"/>
    </row>
    <row r="1374" ht="14.4" customFormat="1" customHeight="1" s="1372">
      <c r="A1374" s="2019" t="inlineStr">
        <is>
          <t>Period</t>
        </is>
      </c>
      <c r="B1374" s="1450" t="n"/>
      <c r="C1374" s="1450" t="n"/>
      <c r="D1374" s="1450" t="n"/>
      <c r="E1374" s="1450" t="n"/>
      <c r="F1374" s="1450" t="n"/>
      <c r="G1374" s="1450" t="n"/>
      <c r="H1374" s="1450" t="n"/>
      <c r="I1374" s="1450" t="n"/>
      <c r="J1374" s="1450" t="n"/>
      <c r="K1374" s="1450" t="n"/>
      <c r="L1374" s="1450" t="n"/>
      <c r="M1374" s="1450" t="n"/>
      <c r="N1374" s="1450" t="n"/>
      <c r="O1374" s="1450" t="n"/>
      <c r="P1374" s="1450" t="n"/>
      <c r="Q1374" s="1450" t="n"/>
      <c r="R1374" s="1450" t="n"/>
      <c r="S1374" s="1450" t="n"/>
      <c r="T1374" s="1450" t="n"/>
      <c r="U1374" s="1450" t="n"/>
      <c r="V1374" s="1450" t="n"/>
      <c r="W1374" s="1450" t="n"/>
      <c r="X1374" s="1450" t="n"/>
      <c r="Y1374" s="1450" t="n"/>
      <c r="Z1374" s="1450" t="n"/>
      <c r="AA1374" s="1450" t="n"/>
      <c r="AB1374" s="1450" t="n"/>
      <c r="AC1374" s="1450" t="n"/>
      <c r="AD1374" s="1450" t="n"/>
      <c r="AE1374" s="1450" t="n"/>
      <c r="AF1374" s="1450" t="n"/>
      <c r="AG1374" s="1450" t="n"/>
      <c r="AH1374" s="1450" t="n"/>
      <c r="AI1374" s="1450" t="n"/>
      <c r="AJ1374" s="1450" t="n"/>
      <c r="AK1374" s="1450" t="n"/>
      <c r="AL1374" s="1450" t="n"/>
      <c r="AM1374" s="1450" t="n"/>
      <c r="AN1374" s="1450" t="n"/>
      <c r="AO1374" s="1450" t="n"/>
      <c r="AP1374" s="1450" t="n"/>
      <c r="AQ1374" s="1450" t="n"/>
      <c r="AR1374" s="1450" t="n"/>
      <c r="AS1374" s="1450" t="n"/>
      <c r="AT1374" s="1450" t="n"/>
      <c r="AU1374" s="1450" t="n"/>
      <c r="AV1374" s="1450" t="n"/>
      <c r="AW1374" s="1450" t="n"/>
      <c r="AX1374" s="1450" t="n"/>
      <c r="AY1374" s="1450" t="n"/>
      <c r="AZ1374" s="1450" t="n"/>
      <c r="BA1374" s="1450" t="n"/>
      <c r="BB1374" s="1450" t="n"/>
      <c r="BC1374" s="1450" t="n"/>
      <c r="BD1374" s="1450" t="n"/>
      <c r="BE1374" s="1450" t="n"/>
      <c r="BF1374" s="1450" t="n"/>
      <c r="BG1374" s="1450" t="n"/>
      <c r="BH1374" s="1450" t="n"/>
      <c r="BI1374" s="1450" t="n"/>
      <c r="BJ1374" s="1450" t="n"/>
      <c r="BK1374" s="1450" t="n"/>
      <c r="BL1374" s="1450" t="n"/>
      <c r="BM1374" s="1450" t="n"/>
      <c r="BN1374" s="1450" t="n"/>
      <c r="BO1374" s="1450" t="n"/>
      <c r="BP1374" s="1450" t="n"/>
      <c r="BQ1374" s="1451" t="n"/>
      <c r="BR1374" s="1450">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S1374" s="1450">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T1374" s="1450">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U1374" s="1450">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V1374" s="1450">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W1374" s="1450">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X1374" s="1450">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Y1374" s="1450">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BZ1374" s="1450">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CA1374" s="2020">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CB1374" s="2018" t="n"/>
    </row>
    <row r="1375" ht="14.4" customFormat="1" customHeight="1" s="1359">
      <c r="A1375" s="1976">
        <f>$A$328</f>
        <v/>
      </c>
      <c r="B1375" s="1361" t="n"/>
      <c r="C1375" s="2021" t="n"/>
      <c r="D1375" s="2021" t="n"/>
      <c r="E1375" s="2021" t="n"/>
      <c r="F1375" s="2021" t="n"/>
      <c r="G1375" s="2021" t="n"/>
      <c r="H1375" s="1466" t="n"/>
      <c r="I1375" s="1466" t="n"/>
      <c r="J1375" s="1466" t="n"/>
      <c r="K1375" s="1466" t="n"/>
      <c r="L1375" s="1466" t="n"/>
      <c r="M1375" s="1466" t="n"/>
      <c r="N1375" s="1466" t="n"/>
      <c r="O1375" s="1466" t="n"/>
      <c r="P1375" s="1361" t="n"/>
      <c r="Q1375" s="1361" t="n"/>
      <c r="R1375" s="1361" t="n"/>
      <c r="S1375" s="1361" t="n"/>
      <c r="T1375" s="1361" t="n"/>
      <c r="U1375" s="1361" t="n"/>
      <c r="V1375" s="1361" t="n"/>
      <c r="W1375" s="1361" t="n"/>
      <c r="X1375" s="1361" t="n"/>
      <c r="Y1375" s="1361" t="n"/>
      <c r="Z1375" s="1361" t="n"/>
      <c r="AA1375" s="1361" t="n"/>
      <c r="AB1375" s="1361" t="n"/>
      <c r="AC1375" s="1361" t="n"/>
      <c r="AD1375" s="1361" t="n"/>
      <c r="AE1375" s="1361" t="n"/>
      <c r="AF1375" s="1361" t="n"/>
      <c r="AG1375" s="1361" t="n"/>
      <c r="AH1375" s="1361" t="n"/>
      <c r="AI1375" s="1361" t="n"/>
      <c r="AJ1375" s="1361" t="n"/>
      <c r="AK1375" s="1361" t="n"/>
      <c r="AL1375" s="1361" t="n"/>
      <c r="AM1375" s="1361" t="n"/>
      <c r="AN1375" s="1361" t="n"/>
      <c r="AO1375" s="1361" t="n"/>
      <c r="AP1375" s="1361" t="n"/>
      <c r="AQ1375" s="1361" t="n"/>
      <c r="AR1375" s="1361" t="n"/>
      <c r="AS1375" s="1361" t="n"/>
      <c r="AT1375" s="1361" t="n"/>
      <c r="AU1375" s="1361" t="n"/>
      <c r="AV1375" s="1361" t="n"/>
      <c r="AW1375" s="1361" t="n"/>
      <c r="AX1375" s="1361" t="n"/>
      <c r="AY1375" s="1361" t="n"/>
      <c r="AZ1375" s="1361" t="n"/>
      <c r="BA1375" s="1361" t="n"/>
      <c r="BB1375" s="1361" t="n"/>
      <c r="BC1375" s="1361" t="n"/>
      <c r="BD1375" s="1361" t="n"/>
      <c r="BE1375" s="1361" t="n"/>
      <c r="BF1375" s="1361" t="n"/>
      <c r="BG1375" s="1361" t="n"/>
      <c r="BH1375" s="1361" t="n"/>
      <c r="BI1375" s="1361" t="n"/>
      <c r="BJ1375" s="1361" t="n"/>
      <c r="BK1375" s="1361" t="n"/>
      <c r="BL1375" s="1361" t="n"/>
      <c r="BM1375" s="1361" t="n"/>
      <c r="BN1375" s="1361" t="n"/>
      <c r="BO1375" s="1361" t="n"/>
      <c r="BP1375" s="1361" t="n"/>
      <c r="BQ1375" s="1363" t="n"/>
      <c r="BR1375" s="1466">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S1375" s="1466">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T1375" s="1466">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U1375" s="1466">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V1375" s="1466">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W1375" s="1466">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X1375" s="1466">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Y1375" s="1466">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BZ1375" s="1466">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CA1375" s="2022">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CB1375" s="2023" t="n"/>
    </row>
    <row r="1376" ht="14.4" customFormat="1" customHeight="1" s="1359">
      <c r="A1376" s="1976">
        <f>$A$455</f>
        <v/>
      </c>
      <c r="B1376" s="1361" t="n"/>
      <c r="C1376" s="1959" t="n"/>
      <c r="D1376" s="1959" t="n"/>
      <c r="E1376" s="1959" t="n"/>
      <c r="F1376" s="1959" t="n"/>
      <c r="G1376" s="1959" t="n"/>
      <c r="H1376" s="1361" t="n"/>
      <c r="I1376" s="1361" t="n"/>
      <c r="J1376" s="1361" t="n"/>
      <c r="K1376" s="1361" t="n"/>
      <c r="L1376" s="1361" t="n"/>
      <c r="M1376" s="1361" t="n"/>
      <c r="N1376" s="1361" t="n"/>
      <c r="O1376" s="1361" t="n"/>
      <c r="P1376" s="1361" t="n"/>
      <c r="Q1376" s="1361" t="n"/>
      <c r="R1376" s="1361" t="n"/>
      <c r="S1376" s="1361" t="n"/>
      <c r="T1376" s="1361" t="n"/>
      <c r="U1376" s="1361" t="n"/>
      <c r="V1376" s="1361" t="n"/>
      <c r="W1376" s="1361" t="n"/>
      <c r="X1376" s="1361" t="n"/>
      <c r="Y1376" s="1361" t="n"/>
      <c r="Z1376" s="1361" t="n"/>
      <c r="AA1376" s="1361" t="n"/>
      <c r="AB1376" s="1361" t="n"/>
      <c r="AC1376" s="1361" t="n"/>
      <c r="AD1376" s="1361" t="n"/>
      <c r="AE1376" s="1361" t="n"/>
      <c r="AF1376" s="1361" t="n"/>
      <c r="AG1376" s="1361" t="n"/>
      <c r="AH1376" s="1361" t="n"/>
      <c r="AI1376" s="1361" t="n"/>
      <c r="AJ1376" s="1361" t="n"/>
      <c r="AK1376" s="1361" t="n"/>
      <c r="AL1376" s="1361" t="n"/>
      <c r="AM1376" s="1361" t="n"/>
      <c r="AN1376" s="1361" t="n"/>
      <c r="AO1376" s="1361" t="n"/>
      <c r="AP1376" s="1361" t="n"/>
      <c r="AQ1376" s="1361" t="n"/>
      <c r="AR1376" s="1361" t="n"/>
      <c r="AS1376" s="1361" t="n"/>
      <c r="AT1376" s="1361" t="n"/>
      <c r="AU1376" s="1361" t="n"/>
      <c r="AV1376" s="1361" t="n"/>
      <c r="AW1376" s="1361" t="n"/>
      <c r="AX1376" s="1361" t="n"/>
      <c r="AY1376" s="1361" t="n"/>
      <c r="AZ1376" s="1361" t="n"/>
      <c r="BA1376" s="1361" t="n"/>
      <c r="BB1376" s="1361" t="n"/>
      <c r="BC1376" s="1361" t="n"/>
      <c r="BD1376" s="1361" t="n"/>
      <c r="BE1376" s="1361" t="n"/>
      <c r="BF1376" s="1361" t="n"/>
      <c r="BG1376" s="1361" t="n"/>
      <c r="BH1376" s="1361" t="n"/>
      <c r="BI1376" s="1361" t="n"/>
      <c r="BJ1376" s="1361" t="n"/>
      <c r="BK1376" s="1361" t="n"/>
      <c r="BL1376" s="1361" t="n"/>
      <c r="BM1376" s="1361" t="n"/>
      <c r="BN1376" s="1361" t="n"/>
      <c r="BO1376" s="1361" t="n"/>
      <c r="BP1376" s="1361" t="n"/>
      <c r="BQ1376" s="1363" t="n"/>
      <c r="BR1376" s="1361">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S1376" s="1361">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T1376" s="1361">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U1376" s="1361">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V1376" s="1361">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W1376" s="1361">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X1376" s="1361">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Y1376" s="1361">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BZ1376" s="1361">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CA1376" s="2024">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CB1376" s="2023" t="n"/>
    </row>
    <row r="1377" ht="14.4" customFormat="1" customHeight="1" s="1359">
      <c r="A1377" s="1976">
        <f>A479</f>
        <v/>
      </c>
      <c r="B1377" s="1361" t="n"/>
      <c r="C1377" s="1959" t="n"/>
      <c r="D1377" s="1959" t="n"/>
      <c r="E1377" s="1959" t="n"/>
      <c r="F1377" s="1959" t="n"/>
      <c r="G1377" s="1959" t="n"/>
      <c r="H1377" s="1361" t="n"/>
      <c r="I1377" s="1361" t="n"/>
      <c r="J1377" s="1361" t="n"/>
      <c r="K1377" s="1361" t="n"/>
      <c r="L1377" s="1361" t="n"/>
      <c r="M1377" s="1361" t="n"/>
      <c r="N1377" s="1361" t="n"/>
      <c r="O1377" s="1361" t="n"/>
      <c r="P1377" s="1361" t="n"/>
      <c r="Q1377" s="1361" t="n"/>
      <c r="R1377" s="1361" t="n"/>
      <c r="S1377" s="1361" t="n"/>
      <c r="T1377" s="1361" t="n"/>
      <c r="U1377" s="1361" t="n"/>
      <c r="V1377" s="1361" t="n"/>
      <c r="W1377" s="1361" t="n"/>
      <c r="X1377" s="1361" t="n"/>
      <c r="Y1377" s="1361" t="n"/>
      <c r="Z1377" s="1361" t="n"/>
      <c r="AA1377" s="1361" t="n"/>
      <c r="AB1377" s="1361" t="n"/>
      <c r="AC1377" s="1361" t="n"/>
      <c r="AD1377" s="1361" t="n"/>
      <c r="AE1377" s="1361" t="n"/>
      <c r="AF1377" s="1361" t="n"/>
      <c r="AG1377" s="1361" t="n"/>
      <c r="AH1377" s="1361" t="n"/>
      <c r="AI1377" s="1361" t="n"/>
      <c r="AJ1377" s="1361" t="n"/>
      <c r="AK1377" s="1361" t="n"/>
      <c r="AL1377" s="1361" t="n"/>
      <c r="AM1377" s="1361" t="n"/>
      <c r="AN1377" s="1361" t="n"/>
      <c r="AO1377" s="1361" t="n"/>
      <c r="AP1377" s="1361" t="n"/>
      <c r="AQ1377" s="1361" t="n"/>
      <c r="AR1377" s="1361" t="n"/>
      <c r="AS1377" s="1361" t="n"/>
      <c r="AT1377" s="1361" t="n"/>
      <c r="AU1377" s="1361" t="n"/>
      <c r="AV1377" s="1361" t="n"/>
      <c r="AW1377" s="1361" t="n"/>
      <c r="AX1377" s="1361" t="n"/>
      <c r="AY1377" s="1361" t="n"/>
      <c r="AZ1377" s="1361" t="n"/>
      <c r="BA1377" s="1361" t="n"/>
      <c r="BB1377" s="1361" t="n"/>
      <c r="BC1377" s="1361" t="n"/>
      <c r="BD1377" s="1361" t="n"/>
      <c r="BE1377" s="1361" t="n"/>
      <c r="BF1377" s="1361" t="n"/>
      <c r="BG1377" s="1361" t="n"/>
      <c r="BH1377" s="1361" t="n"/>
      <c r="BI1377" s="1361" t="n"/>
      <c r="BJ1377" s="1361" t="n"/>
      <c r="BK1377" s="1361" t="n"/>
      <c r="BL1377" s="1361" t="n"/>
      <c r="BM1377" s="1361" t="n"/>
      <c r="BN1377" s="1361" t="n"/>
      <c r="BO1377" s="1361" t="n"/>
      <c r="BP1377" s="1361" t="n"/>
      <c r="BQ1377" s="1363" t="n"/>
      <c r="BR1377" s="1361">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S1377" s="1361">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T1377" s="1361">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U1377" s="1361">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V1377" s="1361">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W1377" s="1361">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X1377" s="1361">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Y1377" s="1361">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BZ1377" s="1361">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CA1377" s="2024">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CB1377" s="2023" t="n"/>
    </row>
    <row r="1378" ht="14.4" customFormat="1" customHeight="1" s="1359">
      <c r="A1378" s="1976">
        <f>$A$484</f>
        <v/>
      </c>
      <c r="B1378" s="1361" t="n"/>
      <c r="C1378" s="1959" t="n"/>
      <c r="D1378" s="1959" t="n"/>
      <c r="E1378" s="1959" t="n"/>
      <c r="F1378" s="1959" t="n"/>
      <c r="G1378" s="1959" t="n"/>
      <c r="H1378" s="1361" t="n"/>
      <c r="I1378" s="1361" t="n"/>
      <c r="J1378" s="1361" t="n"/>
      <c r="K1378" s="1361" t="n"/>
      <c r="L1378" s="1361" t="n"/>
      <c r="M1378" s="1361" t="n"/>
      <c r="N1378" s="1361" t="n"/>
      <c r="O1378" s="1361" t="n"/>
      <c r="P1378" s="1361" t="n"/>
      <c r="Q1378" s="1361" t="n"/>
      <c r="R1378" s="1361" t="n"/>
      <c r="S1378" s="1361" t="n"/>
      <c r="T1378" s="1361" t="n"/>
      <c r="U1378" s="1361" t="n"/>
      <c r="V1378" s="1361" t="n"/>
      <c r="W1378" s="1361" t="n"/>
      <c r="X1378" s="1361" t="n"/>
      <c r="Y1378" s="1361" t="n"/>
      <c r="Z1378" s="1361" t="n"/>
      <c r="AA1378" s="1361" t="n"/>
      <c r="AB1378" s="1361" t="n"/>
      <c r="AC1378" s="1361" t="n"/>
      <c r="AD1378" s="1361" t="n"/>
      <c r="AE1378" s="1361" t="n"/>
      <c r="AF1378" s="1361" t="n"/>
      <c r="AG1378" s="1361" t="n"/>
      <c r="AH1378" s="1361" t="n"/>
      <c r="AI1378" s="1361" t="n"/>
      <c r="AJ1378" s="1361" t="n"/>
      <c r="AK1378" s="1361" t="n"/>
      <c r="AL1378" s="1361" t="n"/>
      <c r="AM1378" s="1361" t="n"/>
      <c r="AN1378" s="1361" t="n"/>
      <c r="AO1378" s="1361" t="n"/>
      <c r="AP1378" s="1361" t="n"/>
      <c r="AQ1378" s="1361" t="n"/>
      <c r="AR1378" s="1361" t="n"/>
      <c r="AS1378" s="1361" t="n"/>
      <c r="AT1378" s="1361" t="n"/>
      <c r="AU1378" s="1361" t="n"/>
      <c r="AV1378" s="1361" t="n"/>
      <c r="AW1378" s="1361" t="n"/>
      <c r="AX1378" s="1361" t="n"/>
      <c r="AY1378" s="1361" t="n"/>
      <c r="AZ1378" s="1361" t="n"/>
      <c r="BA1378" s="1361" t="n"/>
      <c r="BB1378" s="1361" t="n"/>
      <c r="BC1378" s="1361" t="n"/>
      <c r="BD1378" s="1361" t="n"/>
      <c r="BE1378" s="1361" t="n"/>
      <c r="BF1378" s="1361" t="n"/>
      <c r="BG1378" s="1361" t="n"/>
      <c r="BH1378" s="1361" t="n"/>
      <c r="BI1378" s="1361" t="n"/>
      <c r="BJ1378" s="1361" t="n"/>
      <c r="BK1378" s="1361" t="n"/>
      <c r="BL1378" s="1361" t="n"/>
      <c r="BM1378" s="1361" t="n"/>
      <c r="BN1378" s="1361" t="n"/>
      <c r="BO1378" s="1361" t="n"/>
      <c r="BP1378" s="1361" t="n"/>
      <c r="BQ1378" s="1363" t="n"/>
      <c r="BR1378" s="1361">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S1378" s="1361">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T1378" s="1361">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U1378" s="1361">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V1378" s="1361">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W1378" s="1361">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X1378" s="1361">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Y1378" s="1361">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BZ1378" s="1361">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CA1378" s="2024">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CB1378" s="2023" t="n"/>
    </row>
    <row r="1379" ht="14.4" customFormat="1" customHeight="1" s="1359">
      <c r="A1379" s="1976">
        <f>$A$517</f>
        <v/>
      </c>
      <c r="B1379" s="1361" t="n"/>
      <c r="C1379" s="2025" t="n"/>
      <c r="D1379" s="2025" t="n"/>
      <c r="E1379" s="2025" t="n"/>
      <c r="F1379" s="2025" t="n"/>
      <c r="G1379" s="2025" t="n"/>
      <c r="H1379" s="1361" t="n"/>
      <c r="I1379" s="1361" t="n"/>
      <c r="J1379" s="1361" t="n"/>
      <c r="K1379" s="1361" t="n"/>
      <c r="L1379" s="1361" t="n"/>
      <c r="M1379" s="1361" t="n"/>
      <c r="N1379" s="1361" t="n"/>
      <c r="O1379" s="1361" t="n"/>
      <c r="P1379" s="1361" t="n"/>
      <c r="Q1379" s="1361" t="n"/>
      <c r="R1379" s="1361" t="n"/>
      <c r="S1379" s="1361" t="n"/>
      <c r="T1379" s="1361" t="n"/>
      <c r="U1379" s="1361" t="n"/>
      <c r="V1379" s="1361" t="n"/>
      <c r="W1379" s="1361" t="n"/>
      <c r="X1379" s="1361" t="n"/>
      <c r="Y1379" s="1361" t="n"/>
      <c r="Z1379" s="1361" t="n"/>
      <c r="AA1379" s="1361" t="n"/>
      <c r="AB1379" s="1361" t="n"/>
      <c r="AC1379" s="1361" t="n"/>
      <c r="AD1379" s="1361" t="n"/>
      <c r="AE1379" s="1361" t="n"/>
      <c r="AF1379" s="1361" t="n"/>
      <c r="AG1379" s="1361" t="n"/>
      <c r="AH1379" s="1361" t="n"/>
      <c r="AI1379" s="1361" t="n"/>
      <c r="AJ1379" s="1361" t="n"/>
      <c r="AK1379" s="1361" t="n"/>
      <c r="AL1379" s="1361" t="n"/>
      <c r="AM1379" s="1361" t="n"/>
      <c r="AN1379" s="1361" t="n"/>
      <c r="AO1379" s="1361" t="n"/>
      <c r="AP1379" s="1361" t="n"/>
      <c r="AQ1379" s="1361" t="n"/>
      <c r="AR1379" s="1361" t="n"/>
      <c r="AS1379" s="1361" t="n"/>
      <c r="AT1379" s="1361" t="n"/>
      <c r="AU1379" s="1361" t="n"/>
      <c r="AV1379" s="1361" t="n"/>
      <c r="AW1379" s="1361" t="n"/>
      <c r="AX1379" s="1361" t="n"/>
      <c r="AY1379" s="1361" t="n"/>
      <c r="AZ1379" s="1361" t="n"/>
      <c r="BA1379" s="1361" t="n"/>
      <c r="BB1379" s="1361" t="n"/>
      <c r="BC1379" s="1361" t="n"/>
      <c r="BD1379" s="1361" t="n"/>
      <c r="BE1379" s="1361" t="n"/>
      <c r="BF1379" s="1361" t="n"/>
      <c r="BG1379" s="1361" t="n"/>
      <c r="BH1379" s="1361" t="n"/>
      <c r="BI1379" s="1361" t="n"/>
      <c r="BJ1379" s="1361" t="n"/>
      <c r="BK1379" s="1361" t="n"/>
      <c r="BL1379" s="1361" t="n"/>
      <c r="BM1379" s="1361" t="n"/>
      <c r="BN1379" s="1361" t="n"/>
      <c r="BO1379" s="1361" t="n"/>
      <c r="BP1379" s="1361" t="n"/>
      <c r="BQ1379" s="1363" t="n"/>
      <c r="BR1379" s="1361">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BS1379" s="1361">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BT1379" s="1361">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BU1379" s="1361">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BV1379" s="1361">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BW1379" s="1361">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BX1379" s="1361">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BY1379" s="1361">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BZ1379" s="1361">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CA1379" s="2024">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CB1379" s="2023" t="n"/>
    </row>
    <row r="1380" ht="14.4" customFormat="1" customHeight="1" s="1359">
      <c r="A1380" s="1976">
        <f>$A$937</f>
        <v/>
      </c>
      <c r="B1380" s="1361" t="n"/>
      <c r="C1380" s="2025" t="n"/>
      <c r="D1380" s="2025" t="n"/>
      <c r="E1380" s="2025" t="n"/>
      <c r="F1380" s="2025" t="n"/>
      <c r="G1380" s="2025" t="n"/>
      <c r="H1380" s="1361" t="n"/>
      <c r="I1380" s="1361" t="n"/>
      <c r="J1380" s="1361" t="n"/>
      <c r="K1380" s="1361" t="n"/>
      <c r="L1380" s="1361" t="n"/>
      <c r="M1380" s="1361" t="n"/>
      <c r="N1380" s="1361" t="n"/>
      <c r="O1380" s="1361" t="n"/>
      <c r="P1380" s="1361" t="n"/>
      <c r="Q1380" s="1361" t="n"/>
      <c r="R1380" s="1361" t="n"/>
      <c r="S1380" s="1361" t="n"/>
      <c r="T1380" s="1361" t="n"/>
      <c r="U1380" s="1361" t="n"/>
      <c r="V1380" s="1361" t="n"/>
      <c r="W1380" s="1361" t="n"/>
      <c r="X1380" s="1361" t="n"/>
      <c r="Y1380" s="1361" t="n"/>
      <c r="Z1380" s="1361" t="n"/>
      <c r="AA1380" s="1361" t="n"/>
      <c r="AB1380" s="1361" t="n"/>
      <c r="AC1380" s="1361" t="n"/>
      <c r="AD1380" s="1361" t="n"/>
      <c r="AE1380" s="1361" t="n"/>
      <c r="AF1380" s="1361" t="n"/>
      <c r="AG1380" s="1361" t="n"/>
      <c r="AH1380" s="1361" t="n"/>
      <c r="AI1380" s="1361" t="n"/>
      <c r="AJ1380" s="1361" t="n"/>
      <c r="AK1380" s="1361" t="n"/>
      <c r="AL1380" s="1361" t="n"/>
      <c r="AM1380" s="1361" t="n"/>
      <c r="AN1380" s="1361" t="n"/>
      <c r="AO1380" s="1361" t="n"/>
      <c r="AP1380" s="1361" t="n"/>
      <c r="AQ1380" s="1361" t="n"/>
      <c r="AR1380" s="1361" t="n"/>
      <c r="AS1380" s="1361" t="n"/>
      <c r="AT1380" s="1361" t="n"/>
      <c r="AU1380" s="1361" t="n"/>
      <c r="AV1380" s="1361" t="n"/>
      <c r="AW1380" s="1361" t="n"/>
      <c r="AX1380" s="1361" t="n"/>
      <c r="AY1380" s="1361" t="n"/>
      <c r="AZ1380" s="1361" t="n"/>
      <c r="BA1380" s="1361" t="n"/>
      <c r="BB1380" s="1361" t="n"/>
      <c r="BC1380" s="1361" t="n"/>
      <c r="BD1380" s="1361" t="n"/>
      <c r="BE1380" s="1361" t="n"/>
      <c r="BF1380" s="1361" t="n"/>
      <c r="BG1380" s="1361" t="n"/>
      <c r="BH1380" s="1361" t="n"/>
      <c r="BI1380" s="1361" t="n"/>
      <c r="BJ1380" s="1361" t="n"/>
      <c r="BK1380" s="1361" t="n"/>
      <c r="BL1380" s="1361" t="n"/>
      <c r="BM1380" s="1361" t="n"/>
      <c r="BN1380" s="1361" t="n"/>
      <c r="BO1380" s="1361" t="n"/>
      <c r="BP1380" s="1361" t="n"/>
      <c r="BQ1380" s="1363" t="n"/>
      <c r="BR1380" s="1361">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S1380" s="1361">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T1380" s="1361">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U1380" s="1361">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V1380" s="1361">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W1380" s="1361">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X1380" s="1361">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Y1380" s="1361">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BZ1380" s="1361">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CA1380" s="2024">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CB1380" s="2023" t="n"/>
    </row>
    <row r="1381" ht="14.4" customFormat="1" customHeight="1" s="1359">
      <c r="A1381" s="1976">
        <f>A939</f>
        <v/>
      </c>
      <c r="B1381" s="1361" t="n"/>
      <c r="C1381" s="1959" t="n"/>
      <c r="D1381" s="1959" t="n"/>
      <c r="E1381" s="1959" t="n"/>
      <c r="F1381" s="1959" t="n"/>
      <c r="G1381" s="1959" t="n"/>
      <c r="H1381" s="1361" t="n"/>
      <c r="I1381" s="1361" t="n"/>
      <c r="J1381" s="1361" t="n"/>
      <c r="K1381" s="1361" t="n"/>
      <c r="L1381" s="1361" t="n"/>
      <c r="M1381" s="1361" t="n"/>
      <c r="N1381" s="1361" t="n"/>
      <c r="O1381" s="1361" t="n"/>
      <c r="P1381" s="1361" t="n"/>
      <c r="Q1381" s="1361" t="n"/>
      <c r="R1381" s="1361" t="n"/>
      <c r="S1381" s="1361" t="n"/>
      <c r="T1381" s="1361" t="n"/>
      <c r="U1381" s="1361" t="n"/>
      <c r="V1381" s="1361" t="n"/>
      <c r="W1381" s="1361" t="n"/>
      <c r="X1381" s="1361" t="n"/>
      <c r="Y1381" s="1361" t="n"/>
      <c r="Z1381" s="1361" t="n"/>
      <c r="AA1381" s="1361" t="n"/>
      <c r="AB1381" s="1361" t="n"/>
      <c r="AC1381" s="1361" t="n"/>
      <c r="AD1381" s="1361" t="n"/>
      <c r="AE1381" s="1361" t="n"/>
      <c r="AF1381" s="1361" t="n"/>
      <c r="AG1381" s="1361" t="n"/>
      <c r="AH1381" s="1361" t="n"/>
      <c r="AI1381" s="1361" t="n"/>
      <c r="AJ1381" s="1361" t="n"/>
      <c r="AK1381" s="1361" t="n"/>
      <c r="AL1381" s="1361" t="n"/>
      <c r="AM1381" s="1361" t="n"/>
      <c r="AN1381" s="1361" t="n"/>
      <c r="AO1381" s="1361" t="n"/>
      <c r="AP1381" s="1361" t="n"/>
      <c r="AQ1381" s="1361" t="n"/>
      <c r="AR1381" s="1361" t="n"/>
      <c r="AS1381" s="1361" t="n"/>
      <c r="AT1381" s="1361" t="n"/>
      <c r="AU1381" s="1361" t="n"/>
      <c r="AV1381" s="1361" t="n"/>
      <c r="AW1381" s="1361" t="n"/>
      <c r="AX1381" s="1361" t="n"/>
      <c r="AY1381" s="1361" t="n"/>
      <c r="AZ1381" s="1361" t="n"/>
      <c r="BA1381" s="1361" t="n"/>
      <c r="BB1381" s="1361" t="n"/>
      <c r="BC1381" s="1361" t="n"/>
      <c r="BD1381" s="1361" t="n"/>
      <c r="BE1381" s="1361" t="n"/>
      <c r="BF1381" s="1361" t="n"/>
      <c r="BG1381" s="1361" t="n"/>
      <c r="BH1381" s="1361" t="n"/>
      <c r="BI1381" s="1361" t="n"/>
      <c r="BJ1381" s="1361" t="n"/>
      <c r="BK1381" s="1361" t="n"/>
      <c r="BL1381" s="1361" t="n"/>
      <c r="BM1381" s="1361" t="n"/>
      <c r="BN1381" s="1361" t="n"/>
      <c r="BO1381" s="1361" t="n"/>
      <c r="BP1381" s="1361" t="n"/>
      <c r="BQ1381" s="1363" t="n"/>
      <c r="BR1381" s="1361">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S1381" s="1361">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T1381" s="1361">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U1381" s="1361">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V1381" s="1361">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W1381" s="1361">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X1381" s="1361">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Y1381" s="1361">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BZ1381" s="1361">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CA1381" s="2024">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CB1381" s="2023" t="n"/>
    </row>
    <row r="1382" ht="14.4" customFormat="1" customHeight="1" s="1359">
      <c r="A1382" s="1978" t="n"/>
      <c r="B1382" s="1456" t="n"/>
      <c r="C1382" s="2026" t="n"/>
      <c r="D1382" s="2026" t="n"/>
      <c r="E1382" s="2026" t="n"/>
      <c r="F1382" s="2026" t="n"/>
      <c r="G1382" s="2026" t="n"/>
      <c r="H1382" s="1456" t="n"/>
      <c r="I1382" s="1456" t="n"/>
      <c r="J1382" s="1456" t="n"/>
      <c r="K1382" s="1456" t="n"/>
      <c r="L1382" s="1456" t="n"/>
      <c r="M1382" s="1456" t="n"/>
      <c r="N1382" s="1456" t="n"/>
      <c r="O1382" s="1456" t="n"/>
      <c r="P1382" s="1456" t="n"/>
      <c r="Q1382" s="1456" t="n"/>
      <c r="R1382" s="1456" t="n"/>
      <c r="S1382" s="1456" t="n"/>
      <c r="T1382" s="1456" t="n"/>
      <c r="U1382" s="1456" t="n"/>
      <c r="V1382" s="1456" t="n"/>
      <c r="W1382" s="1456" t="n"/>
      <c r="X1382" s="1456" t="n"/>
      <c r="Y1382" s="1456" t="n"/>
      <c r="Z1382" s="1456" t="n"/>
      <c r="AA1382" s="1456" t="n"/>
      <c r="AB1382" s="1456" t="n"/>
      <c r="AC1382" s="1456" t="n"/>
      <c r="AD1382" s="1456" t="n"/>
      <c r="AE1382" s="1456" t="n"/>
      <c r="AF1382" s="1456" t="n"/>
      <c r="AG1382" s="1456" t="n"/>
      <c r="AH1382" s="1456" t="n"/>
      <c r="AI1382" s="1456" t="n"/>
      <c r="AJ1382" s="1456" t="n"/>
      <c r="AK1382" s="1456" t="n"/>
      <c r="AL1382" s="1456" t="n"/>
      <c r="AM1382" s="1456" t="n"/>
      <c r="AN1382" s="1456" t="n"/>
      <c r="AO1382" s="1456" t="n"/>
      <c r="AP1382" s="1456" t="n"/>
      <c r="AQ1382" s="1456" t="n"/>
      <c r="AR1382" s="1456" t="n"/>
      <c r="AS1382" s="1456" t="n"/>
      <c r="AT1382" s="1456" t="n"/>
      <c r="AU1382" s="1456" t="n"/>
      <c r="AV1382" s="1456" t="n"/>
      <c r="AW1382" s="1456" t="n"/>
      <c r="AX1382" s="1456" t="n"/>
      <c r="AY1382" s="1456" t="n"/>
      <c r="AZ1382" s="1456" t="n"/>
      <c r="BA1382" s="1456" t="n"/>
      <c r="BB1382" s="1456" t="n"/>
      <c r="BC1382" s="1456" t="n"/>
      <c r="BD1382" s="1456" t="n"/>
      <c r="BE1382" s="1456" t="n"/>
      <c r="BF1382" s="1456" t="n"/>
      <c r="BG1382" s="1456" t="n"/>
      <c r="BH1382" s="1456" t="n"/>
      <c r="BI1382" s="1456" t="n"/>
      <c r="BJ1382" s="1456" t="n"/>
      <c r="BK1382" s="1456" t="n"/>
      <c r="BL1382" s="1456" t="n"/>
      <c r="BM1382" s="1456" t="n"/>
      <c r="BN1382" s="1456" t="n"/>
      <c r="BO1382" s="1456" t="n"/>
      <c r="BP1382" s="1456" t="n"/>
      <c r="BQ1382" s="1457" t="n"/>
      <c r="BR1382" s="1456" t="n"/>
      <c r="BS1382" s="1456" t="n"/>
      <c r="BT1382" s="1456" t="n"/>
      <c r="BU1382" s="1456" t="n"/>
      <c r="BV1382" s="1456" t="n"/>
      <c r="BW1382" s="1456" t="n"/>
      <c r="BX1382" s="1456" t="n"/>
      <c r="BY1382" s="1456" t="n"/>
      <c r="BZ1382" s="1456" t="n"/>
      <c r="CA1382" s="2027" t="n"/>
      <c r="CB1382" s="2023" t="n"/>
    </row>
    <row r="1383" ht="14.4" customFormat="1" customHeight="1" s="1359">
      <c r="A1383" s="1973" t="n"/>
      <c r="B1383" s="2028" t="n"/>
      <c r="C1383" s="2029" t="n"/>
      <c r="D1383" s="2029" t="n"/>
      <c r="E1383" s="2029" t="n"/>
      <c r="F1383" s="2029" t="n"/>
      <c r="G1383" s="2029" t="n"/>
      <c r="H1383" s="2028" t="n"/>
      <c r="I1383" s="2028" t="n"/>
      <c r="J1383" s="2028" t="n"/>
      <c r="K1383" s="2028" t="n"/>
      <c r="L1383" s="2028" t="n"/>
      <c r="M1383" s="2028" t="n"/>
      <c r="N1383" s="2028" t="n"/>
      <c r="O1383" s="2028" t="n"/>
      <c r="P1383" s="2028" t="n"/>
      <c r="Q1383" s="2028" t="n"/>
      <c r="R1383" s="2028" t="n"/>
      <c r="S1383" s="2028" t="n"/>
      <c r="T1383" s="2028" t="n"/>
      <c r="U1383" s="2028" t="n"/>
      <c r="V1383" s="2028" t="n"/>
      <c r="W1383" s="2028" t="n"/>
      <c r="X1383" s="2028" t="n"/>
      <c r="Y1383" s="2028" t="n"/>
      <c r="Z1383" s="2028" t="n"/>
      <c r="AA1383" s="2028" t="n"/>
      <c r="AB1383" s="2028" t="n"/>
      <c r="AC1383" s="2028" t="n"/>
      <c r="AD1383" s="2028" t="n"/>
      <c r="AE1383" s="2028" t="n"/>
      <c r="AF1383" s="2028" t="n"/>
      <c r="AG1383" s="2028" t="n"/>
      <c r="AH1383" s="2028" t="n"/>
      <c r="AI1383" s="2028" t="n"/>
      <c r="AJ1383" s="2028" t="n"/>
      <c r="AK1383" s="2028" t="n"/>
      <c r="AL1383" s="2028" t="n"/>
      <c r="AM1383" s="2028" t="n"/>
      <c r="AN1383" s="2028" t="n"/>
      <c r="AO1383" s="2028" t="n"/>
      <c r="AP1383" s="2028" t="n"/>
      <c r="AQ1383" s="2028" t="n"/>
      <c r="AR1383" s="2028" t="n"/>
      <c r="AS1383" s="2028" t="n"/>
      <c r="AT1383" s="2028" t="n"/>
      <c r="AU1383" s="2028" t="n"/>
      <c r="AV1383" s="2028" t="n"/>
      <c r="AW1383" s="2028" t="n"/>
      <c r="AX1383" s="2028" t="n"/>
      <c r="AY1383" s="2028" t="n"/>
      <c r="AZ1383" s="2028" t="n"/>
      <c r="BA1383" s="2028" t="n"/>
      <c r="BB1383" s="2028" t="n"/>
      <c r="BC1383" s="2028" t="n"/>
      <c r="BD1383" s="2028" t="n"/>
      <c r="BE1383" s="2028" t="n"/>
      <c r="BF1383" s="2028" t="n"/>
      <c r="BG1383" s="2028" t="n"/>
      <c r="BH1383" s="2028" t="n"/>
      <c r="BI1383" s="2028" t="n"/>
      <c r="BJ1383" s="2028" t="n"/>
      <c r="BK1383" s="2028" t="n"/>
      <c r="BL1383" s="2028" t="n"/>
      <c r="BM1383" s="2028" t="n"/>
      <c r="BN1383" s="2028" t="n"/>
      <c r="BO1383" s="2028" t="n"/>
      <c r="BP1383" s="2028" t="n"/>
      <c r="BQ1383" s="2030" t="n"/>
      <c r="BR1383" s="2028" t="n"/>
      <c r="BS1383" s="2028" t="n"/>
      <c r="BT1383" s="2028" t="n"/>
      <c r="BU1383" s="2028" t="n"/>
      <c r="BV1383" s="2028" t="n"/>
      <c r="BW1383" s="2028" t="n"/>
      <c r="BX1383" s="2028" t="n"/>
      <c r="BY1383" s="2028" t="n"/>
      <c r="BZ1383" s="2028" t="n"/>
      <c r="CA1383" s="2028" t="n"/>
      <c r="CB1383" s="1364" t="n"/>
    </row>
    <row r="1384" ht="14.4" customFormat="1" customHeight="1" s="1359">
      <c r="A1384" s="2031" t="inlineStr">
        <is>
          <t>Stock Price Table</t>
        </is>
      </c>
      <c r="B1384" s="1693" t="n"/>
      <c r="C1384" s="2032" t="n"/>
      <c r="D1384" s="2032" t="n"/>
      <c r="E1384" s="2032" t="n"/>
      <c r="F1384" s="2032" t="n"/>
      <c r="G1384" s="2032" t="n"/>
      <c r="H1384" s="1693" t="n"/>
      <c r="I1384" s="1693" t="n"/>
      <c r="J1384" s="1693" t="n"/>
      <c r="K1384" s="1693" t="n"/>
      <c r="L1384" s="1693" t="n"/>
      <c r="M1384" s="1693" t="n"/>
      <c r="N1384" s="1693" t="n"/>
      <c r="O1384" s="1693" t="n"/>
      <c r="P1384" s="1693" t="n"/>
      <c r="Q1384" s="1693" t="n"/>
      <c r="R1384" s="1693" t="n"/>
      <c r="S1384" s="1693" t="n"/>
      <c r="T1384" s="1693" t="n"/>
      <c r="U1384" s="1693" t="n"/>
      <c r="V1384" s="1693" t="n"/>
      <c r="W1384" s="1693" t="n"/>
      <c r="X1384" s="1693" t="n"/>
      <c r="Y1384" s="1693" t="n"/>
      <c r="Z1384" s="1693" t="n"/>
      <c r="AA1384" s="1693" t="n"/>
      <c r="AB1384" s="1693" t="n"/>
      <c r="AC1384" s="1693" t="n"/>
      <c r="AD1384" s="1693" t="n"/>
      <c r="AE1384" s="1693" t="n"/>
      <c r="AF1384" s="1693" t="n"/>
      <c r="AG1384" s="1693" t="n"/>
      <c r="AH1384" s="1693" t="n"/>
      <c r="AI1384" s="1693" t="n"/>
      <c r="AJ1384" s="1693" t="n"/>
      <c r="AK1384" s="1693" t="n"/>
      <c r="AL1384" s="1693" t="n"/>
      <c r="AM1384" s="1693" t="n"/>
      <c r="AN1384" s="1693" t="n"/>
      <c r="AO1384" s="1693" t="n"/>
      <c r="AP1384" s="1693" t="n"/>
      <c r="AQ1384" s="1693" t="n"/>
      <c r="AR1384" s="1693" t="n"/>
      <c r="AS1384" s="1693" t="n"/>
      <c r="AT1384" s="1693" t="n"/>
      <c r="AU1384" s="1693" t="n"/>
      <c r="AV1384" s="1693" t="n"/>
      <c r="AW1384" s="1693" t="n"/>
      <c r="AX1384" s="1693" t="n"/>
      <c r="AY1384" s="1693" t="n"/>
      <c r="AZ1384" s="1693" t="n"/>
      <c r="BA1384" s="1693" t="n"/>
      <c r="BB1384" s="1693" t="n"/>
      <c r="BC1384" s="1693" t="n"/>
      <c r="BD1384" s="1693" t="n"/>
      <c r="BE1384" s="1693" t="n"/>
      <c r="BF1384" s="1693" t="n"/>
      <c r="BG1384" s="1693" t="n"/>
      <c r="BH1384" s="1693" t="n"/>
      <c r="BI1384" s="1693" t="n"/>
      <c r="BJ1384" s="1693" t="n"/>
      <c r="BK1384" s="1693" t="n"/>
      <c r="BL1384" s="1693" t="n"/>
      <c r="BM1384" s="1693" t="n"/>
      <c r="BN1384" s="1693" t="n"/>
      <c r="BO1384" s="1693" t="n"/>
      <c r="BP1384" s="1693" t="n"/>
      <c r="BQ1384" s="1733" t="n"/>
      <c r="BR1384" s="1693" t="n"/>
      <c r="BS1384" s="1693" t="n"/>
      <c r="BT1384" s="1693" t="n"/>
      <c r="BU1384" s="1693" t="n"/>
      <c r="BV1384" s="1693" t="n"/>
      <c r="BW1384" s="1693" t="n"/>
      <c r="BX1384" s="1693" t="n"/>
      <c r="BY1384" s="1693" t="n"/>
      <c r="BZ1384" s="1693" t="n"/>
      <c r="CA1384" s="2033" t="n"/>
      <c r="CB1384" s="2023" t="n"/>
    </row>
    <row r="1385" ht="14.4" customFormat="1" customHeight="1" s="1359">
      <c r="A1385" s="2034" t="inlineStr">
        <is>
          <t>Fiscal Period Start Date</t>
        </is>
      </c>
      <c r="B1385" s="1361" t="n"/>
      <c r="C1385" s="933">
        <f>INDEX(MO_Common_QEndDate,0,COLUMN())-INDEX(MO_Common_FPDays,0,COLUMN())+1</f>
        <v/>
      </c>
      <c r="D1385" s="933">
        <f>INDEX(MO_Common_QEndDate,0,COLUMN())-INDEX(MO_Common_FPDays,0,COLUMN())+1</f>
        <v/>
      </c>
      <c r="E1385" s="933">
        <f>INDEX(MO_Common_QEndDate,0,COLUMN())-INDEX(MO_Common_FPDays,0,COLUMN())+1</f>
        <v/>
      </c>
      <c r="F1385" s="933">
        <f>INDEX(MO_Common_QEndDate,0,COLUMN())-INDEX(MO_Common_FPDays,0,COLUMN())+1</f>
        <v/>
      </c>
      <c r="G1385" s="933">
        <f>INDEX(MO_Common_QEndDate,0,COLUMN())-INDEX(MO_Common_FPDays,0,COLUMN())+1</f>
        <v/>
      </c>
      <c r="H1385" s="358">
        <f>INDEX(MO_Common_QEndDate,0,COLUMN())-INDEX(MO_Common_FPDays,0,COLUMN())+1</f>
        <v/>
      </c>
      <c r="I1385" s="358">
        <f>INDEX(MO_Common_QEndDate,0,COLUMN())-INDEX(MO_Common_FPDays,0,COLUMN())+1</f>
        <v/>
      </c>
      <c r="J1385" s="358">
        <f>INDEX(MO_Common_QEndDate,0,COLUMN())-INDEX(MO_Common_FPDays,0,COLUMN())+1</f>
        <v/>
      </c>
      <c r="K1385" s="358">
        <f>INDEX(MO_Common_QEndDate,0,COLUMN())-INDEX(MO_Common_FPDays,0,COLUMN())+1</f>
        <v/>
      </c>
      <c r="L1385" s="358">
        <f>INDEX(MO_Common_QEndDate,0,COLUMN())-INDEX(MO_Common_FPDays,0,COLUMN())+1</f>
        <v/>
      </c>
      <c r="M1385" s="358">
        <f>INDEX(MO_Common_QEndDate,0,COLUMN())-INDEX(MO_Common_FPDays,0,COLUMN())+1</f>
        <v/>
      </c>
      <c r="N1385" s="358">
        <f>INDEX(MO_Common_QEndDate,0,COLUMN())-INDEX(MO_Common_FPDays,0,COLUMN())+1</f>
        <v/>
      </c>
      <c r="O1385" s="358">
        <f>INDEX(MO_Common_QEndDate,0,COLUMN())-INDEX(MO_Common_FPDays,0,COLUMN())+1</f>
        <v/>
      </c>
      <c r="P1385" s="358">
        <f>INDEX(MO_Common_QEndDate,0,COLUMN())-INDEX(MO_Common_FPDays,0,COLUMN())+1</f>
        <v/>
      </c>
      <c r="Q1385" s="358">
        <f>INDEX(MO_Common_QEndDate,0,COLUMN())-INDEX(MO_Common_FPDays,0,COLUMN())+1</f>
        <v/>
      </c>
      <c r="R1385" s="358">
        <f>INDEX(MO_Common_QEndDate,0,COLUMN())-INDEX(MO_Common_FPDays,0,COLUMN())+1</f>
        <v/>
      </c>
      <c r="S1385" s="358">
        <f>INDEX(MO_Common_QEndDate,0,COLUMN())-INDEX(MO_Common_FPDays,0,COLUMN())+1</f>
        <v/>
      </c>
      <c r="T1385" s="358">
        <f>INDEX(MO_Common_QEndDate,0,COLUMN())-INDEX(MO_Common_FPDays,0,COLUMN())+1</f>
        <v/>
      </c>
      <c r="U1385" s="358">
        <f>INDEX(MO_Common_QEndDate,0,COLUMN())-INDEX(MO_Common_FPDays,0,COLUMN())+1</f>
        <v/>
      </c>
      <c r="V1385" s="358">
        <f>INDEX(MO_Common_QEndDate,0,COLUMN())-INDEX(MO_Common_FPDays,0,COLUMN())+1</f>
        <v/>
      </c>
      <c r="W1385" s="358">
        <f>INDEX(MO_Common_QEndDate,0,COLUMN())-INDEX(MO_Common_FPDays,0,COLUMN())+1</f>
        <v/>
      </c>
      <c r="X1385" s="358">
        <f>INDEX(MO_Common_QEndDate,0,COLUMN())-INDEX(MO_Common_FPDays,0,COLUMN())+1</f>
        <v/>
      </c>
      <c r="Y1385" s="358">
        <f>INDEX(MO_Common_QEndDate,0,COLUMN())-INDEX(MO_Common_FPDays,0,COLUMN())+1</f>
        <v/>
      </c>
      <c r="Z1385" s="358">
        <f>INDEX(MO_Common_QEndDate,0,COLUMN())-INDEX(MO_Common_FPDays,0,COLUMN())+1</f>
        <v/>
      </c>
      <c r="AA1385" s="358">
        <f>INDEX(MO_Common_QEndDate,0,COLUMN())-INDEX(MO_Common_FPDays,0,COLUMN())+1</f>
        <v/>
      </c>
      <c r="AB1385" s="358">
        <f>INDEX(MO_Common_QEndDate,0,COLUMN())-INDEX(MO_Common_FPDays,0,COLUMN())+1</f>
        <v/>
      </c>
      <c r="AC1385" s="358">
        <f>INDEX(MO_Common_QEndDate,0,COLUMN())-INDEX(MO_Common_FPDays,0,COLUMN())+1</f>
        <v/>
      </c>
      <c r="AD1385" s="358">
        <f>INDEX(MO_Common_QEndDate,0,COLUMN())-INDEX(MO_Common_FPDays,0,COLUMN())+1</f>
        <v/>
      </c>
      <c r="AE1385" s="358">
        <f>INDEX(MO_Common_QEndDate,0,COLUMN())-INDEX(MO_Common_FPDays,0,COLUMN())+1</f>
        <v/>
      </c>
      <c r="AF1385" s="358">
        <f>INDEX(MO_Common_QEndDate,0,COLUMN())-INDEX(MO_Common_FPDays,0,COLUMN())+1</f>
        <v/>
      </c>
      <c r="AG1385" s="358">
        <f>INDEX(MO_Common_QEndDate,0,COLUMN())-INDEX(MO_Common_FPDays,0,COLUMN())+1</f>
        <v/>
      </c>
      <c r="AH1385" s="358">
        <f>INDEX(MO_Common_QEndDate,0,COLUMN())-INDEX(MO_Common_FPDays,0,COLUMN())+1</f>
        <v/>
      </c>
      <c r="AI1385" s="358">
        <f>INDEX(MO_Common_QEndDate,0,COLUMN())-INDEX(MO_Common_FPDays,0,COLUMN())+1</f>
        <v/>
      </c>
      <c r="AJ1385" s="358">
        <f>INDEX(MO_Common_QEndDate,0,COLUMN())-INDEX(MO_Common_FPDays,0,COLUMN())+1</f>
        <v/>
      </c>
      <c r="AK1385" s="358">
        <f>INDEX(MO_Common_QEndDate,0,COLUMN())-INDEX(MO_Common_FPDays,0,COLUMN())+1</f>
        <v/>
      </c>
      <c r="AL1385" s="358">
        <f>INDEX(MO_Common_QEndDate,0,COLUMN())-INDEX(MO_Common_FPDays,0,COLUMN())+1</f>
        <v/>
      </c>
      <c r="AM1385" s="358">
        <f>INDEX(MO_Common_QEndDate,0,COLUMN())-INDEX(MO_Common_FPDays,0,COLUMN())+1</f>
        <v/>
      </c>
      <c r="AN1385" s="358">
        <f>INDEX(MO_Common_QEndDate,0,COLUMN())-INDEX(MO_Common_FPDays,0,COLUMN())+1</f>
        <v/>
      </c>
      <c r="AO1385" s="358">
        <f>INDEX(MO_Common_QEndDate,0,COLUMN())-INDEX(MO_Common_FPDays,0,COLUMN())+1</f>
        <v/>
      </c>
      <c r="AP1385" s="358">
        <f>INDEX(MO_Common_QEndDate,0,COLUMN())-INDEX(MO_Common_FPDays,0,COLUMN())+1</f>
        <v/>
      </c>
      <c r="AQ1385" s="358">
        <f>INDEX(MO_Common_QEndDate,0,COLUMN())-INDEX(MO_Common_FPDays,0,COLUMN())+1</f>
        <v/>
      </c>
      <c r="AR1385" s="358">
        <f>INDEX(MO_Common_QEndDate,0,COLUMN())-INDEX(MO_Common_FPDays,0,COLUMN())+1</f>
        <v/>
      </c>
      <c r="AS1385" s="358">
        <f>INDEX(MO_Common_QEndDate,0,COLUMN())-INDEX(MO_Common_FPDays,0,COLUMN())+1</f>
        <v/>
      </c>
      <c r="AT1385" s="358">
        <f>INDEX(MO_Common_QEndDate,0,COLUMN())-INDEX(MO_Common_FPDays,0,COLUMN())+1</f>
        <v/>
      </c>
      <c r="AU1385" s="358">
        <f>INDEX(MO_Common_QEndDate,0,COLUMN())-INDEX(MO_Common_FPDays,0,COLUMN())+1</f>
        <v/>
      </c>
      <c r="AV1385" s="358">
        <f>INDEX(MO_Common_QEndDate,0,COLUMN())-INDEX(MO_Common_FPDays,0,COLUMN())+1</f>
        <v/>
      </c>
      <c r="AW1385" s="358">
        <f>INDEX(MO_Common_QEndDate,0,COLUMN())-INDEX(MO_Common_FPDays,0,COLUMN())+1</f>
        <v/>
      </c>
      <c r="AX1385" s="358">
        <f>INDEX(MO_Common_QEndDate,0,COLUMN())-INDEX(MO_Common_FPDays,0,COLUMN())+1</f>
        <v/>
      </c>
      <c r="AY1385" s="358">
        <f>INDEX(MO_Common_QEndDate,0,COLUMN())-INDEX(MO_Common_FPDays,0,COLUMN())+1</f>
        <v/>
      </c>
      <c r="AZ1385" s="358">
        <f>INDEX(MO_Common_QEndDate,0,COLUMN())-INDEX(MO_Common_FPDays,0,COLUMN())+1</f>
        <v/>
      </c>
      <c r="BA1385" s="358">
        <f>INDEX(MO_Common_QEndDate,0,COLUMN())-INDEX(MO_Common_FPDays,0,COLUMN())+1</f>
        <v/>
      </c>
      <c r="BB1385" s="358">
        <f>INDEX(MO_Common_QEndDate,0,COLUMN())-INDEX(MO_Common_FPDays,0,COLUMN())+1</f>
        <v/>
      </c>
      <c r="BC1385" s="358">
        <f>INDEX(MO_Common_QEndDate,0,COLUMN())-INDEX(MO_Common_FPDays,0,COLUMN())+1</f>
        <v/>
      </c>
      <c r="BD1385" s="358">
        <f>INDEX(MO_Common_QEndDate,0,COLUMN())-INDEX(MO_Common_FPDays,0,COLUMN())+1</f>
        <v/>
      </c>
      <c r="BE1385" s="358">
        <f>INDEX(MO_Common_QEndDate,0,COLUMN())-INDEX(MO_Common_FPDays,0,COLUMN())+1</f>
        <v/>
      </c>
      <c r="BF1385" s="358">
        <f>INDEX(MO_Common_QEndDate,0,COLUMN())-INDEX(MO_Common_FPDays,0,COLUMN())+1</f>
        <v/>
      </c>
      <c r="BG1385" s="358">
        <f>INDEX(MO_Common_QEndDate,0,COLUMN())-INDEX(MO_Common_FPDays,0,COLUMN())+1</f>
        <v/>
      </c>
      <c r="BH1385" s="358">
        <f>INDEX(MO_Common_QEndDate,0,COLUMN())-INDEX(MO_Common_FPDays,0,COLUMN())+1</f>
        <v/>
      </c>
      <c r="BI1385" s="358">
        <f>INDEX(MO_Common_QEndDate,0,COLUMN())-INDEX(MO_Common_FPDays,0,COLUMN())+1</f>
        <v/>
      </c>
      <c r="BJ1385" s="358">
        <f>INDEX(MO_Common_QEndDate,0,COLUMN())-INDEX(MO_Common_FPDays,0,COLUMN())+1</f>
        <v/>
      </c>
      <c r="BK1385" s="358">
        <f>INDEX(MO_Common_QEndDate,0,COLUMN())-INDEX(MO_Common_FPDays,0,COLUMN())+1</f>
        <v/>
      </c>
      <c r="BL1385" s="358">
        <f>INDEX(MO_Common_QEndDate,0,COLUMN())-INDEX(MO_Common_FPDays,0,COLUMN())+1</f>
        <v/>
      </c>
      <c r="BM1385" s="358">
        <f>INDEX(MO_Common_QEndDate,0,COLUMN())-INDEX(MO_Common_FPDays,0,COLUMN())+1</f>
        <v/>
      </c>
      <c r="BN1385" s="358">
        <f>INDEX(MO_Common_QEndDate,0,COLUMN())-INDEX(MO_Common_FPDays,0,COLUMN())+1</f>
        <v/>
      </c>
      <c r="BO1385" s="358">
        <f>INDEX(MO_Common_QEndDate,0,COLUMN())-INDEX(MO_Common_FPDays,0,COLUMN())+1</f>
        <v/>
      </c>
      <c r="BP1385" s="358">
        <f>INDEX(MO_Common_QEndDate,0,COLUMN())-INDEX(MO_Common_FPDays,0,COLUMN())+1</f>
        <v/>
      </c>
      <c r="BQ1385" s="650">
        <f>INDEX(MO_Common_QEndDate,0,COLUMN())-INDEX(MO_Common_FPDays,0,COLUMN())+1</f>
        <v/>
      </c>
      <c r="BR1385" s="358">
        <f>INDEX(MO_Common_QEndDate,0,COLUMN())-INDEX(MO_Common_FPDays,0,COLUMN())+1</f>
        <v/>
      </c>
      <c r="BS1385" s="358">
        <f>INDEX(MO_Common_QEndDate,0,COLUMN())-INDEX(MO_Common_FPDays,0,COLUMN())+1</f>
        <v/>
      </c>
      <c r="BT1385" s="358">
        <f>INDEX(MO_Common_QEndDate,0,COLUMN())-INDEX(MO_Common_FPDays,0,COLUMN())+1</f>
        <v/>
      </c>
      <c r="BU1385" s="358">
        <f>INDEX(MO_Common_QEndDate,0,COLUMN())-INDEX(MO_Common_FPDays,0,COLUMN())+1</f>
        <v/>
      </c>
      <c r="BV1385" s="358">
        <f>INDEX(MO_Common_QEndDate,0,COLUMN())-INDEX(MO_Common_FPDays,0,COLUMN())+1</f>
        <v/>
      </c>
      <c r="BW1385" s="358">
        <f>INDEX(MO_Common_QEndDate,0,COLUMN())-INDEX(MO_Common_FPDays,0,COLUMN())+1</f>
        <v/>
      </c>
      <c r="BX1385" s="358">
        <f>INDEX(MO_Common_QEndDate,0,COLUMN())-INDEX(MO_Common_FPDays,0,COLUMN())+1</f>
        <v/>
      </c>
      <c r="BY1385" s="358">
        <f>INDEX(MO_Common_QEndDate,0,COLUMN())-INDEX(MO_Common_FPDays,0,COLUMN())+1</f>
        <v/>
      </c>
      <c r="BZ1385" s="358">
        <f>INDEX(MO_Common_QEndDate,0,COLUMN())-INDEX(MO_Common_FPDays,0,COLUMN())+1</f>
        <v/>
      </c>
      <c r="CA1385" s="359">
        <f>INDEX(MO_Common_QEndDate,0,COLUMN())-INDEX(MO_Common_FPDays,0,COLUMN())+1</f>
        <v/>
      </c>
      <c r="CB1385" s="2023" t="n"/>
    </row>
    <row r="1386" ht="14.4" customFormat="1" customHeight="1" s="1359">
      <c r="A1386" s="2034" t="inlineStr">
        <is>
          <t>Is Historical Period</t>
        </is>
      </c>
      <c r="B1386" s="1361" t="n"/>
      <c r="C1386" s="933">
        <f>TRUE</f>
        <v/>
      </c>
      <c r="D1386" s="933">
        <f>TRUE</f>
        <v/>
      </c>
      <c r="E1386" s="933">
        <f>TRUE</f>
        <v/>
      </c>
      <c r="F1386" s="933">
        <f>TRUE</f>
        <v/>
      </c>
      <c r="G1386" s="933">
        <f>TRUE</f>
        <v/>
      </c>
      <c r="H1386" s="358">
        <f>TRUE</f>
        <v/>
      </c>
      <c r="I1386" s="358">
        <f>TRUE</f>
        <v/>
      </c>
      <c r="J1386" s="358">
        <f>TRUE</f>
        <v/>
      </c>
      <c r="K1386" s="358">
        <f>TRUE</f>
        <v/>
      </c>
      <c r="L1386" s="358">
        <f>TRUE</f>
        <v/>
      </c>
      <c r="M1386" s="358">
        <f>TRUE</f>
        <v/>
      </c>
      <c r="N1386" s="358">
        <f>TRUE</f>
        <v/>
      </c>
      <c r="O1386" s="358">
        <f>TRUE</f>
        <v/>
      </c>
      <c r="P1386" s="358">
        <f>TRUE</f>
        <v/>
      </c>
      <c r="Q1386" s="358">
        <f>TRUE</f>
        <v/>
      </c>
      <c r="R1386" s="358">
        <f>TRUE</f>
        <v/>
      </c>
      <c r="S1386" s="358">
        <f>TRUE</f>
        <v/>
      </c>
      <c r="T1386" s="358">
        <f>TRUE</f>
        <v/>
      </c>
      <c r="U1386" s="358">
        <f>TRUE</f>
        <v/>
      </c>
      <c r="V1386" s="358">
        <f>TRUE</f>
        <v/>
      </c>
      <c r="W1386" s="358">
        <f>TRUE</f>
        <v/>
      </c>
      <c r="X1386" s="358">
        <f>TRUE</f>
        <v/>
      </c>
      <c r="Y1386" s="358">
        <f>TRUE</f>
        <v/>
      </c>
      <c r="Z1386" s="358">
        <f>TRUE</f>
        <v/>
      </c>
      <c r="AA1386" s="358">
        <f>TRUE</f>
        <v/>
      </c>
      <c r="AB1386" s="358">
        <f>TRUE</f>
        <v/>
      </c>
      <c r="AC1386" s="358">
        <f>TRUE</f>
        <v/>
      </c>
      <c r="AD1386" s="358">
        <f>TRUE</f>
        <v/>
      </c>
      <c r="AE1386" s="358">
        <f>TRUE</f>
        <v/>
      </c>
      <c r="AF1386" s="358">
        <f>TRUE</f>
        <v/>
      </c>
      <c r="AG1386" s="358">
        <f>TRUE</f>
        <v/>
      </c>
      <c r="AH1386" s="358">
        <f>TRUE</f>
        <v/>
      </c>
      <c r="AI1386" s="358">
        <f>TRUE</f>
        <v/>
      </c>
      <c r="AJ1386" s="358">
        <f>TRUE</f>
        <v/>
      </c>
      <c r="AK1386" s="358">
        <f>TRUE</f>
        <v/>
      </c>
      <c r="AL1386" s="358">
        <f>TRUE</f>
        <v/>
      </c>
      <c r="AM1386" s="358">
        <f>TRUE</f>
        <v/>
      </c>
      <c r="AN1386" s="358">
        <f>TRUE</f>
        <v/>
      </c>
      <c r="AO1386" s="358">
        <f>TRUE</f>
        <v/>
      </c>
      <c r="AP1386" s="358">
        <f>TRUE</f>
        <v/>
      </c>
      <c r="AQ1386" s="358">
        <f>TRUE</f>
        <v/>
      </c>
      <c r="AR1386" s="358">
        <f>TRUE</f>
        <v/>
      </c>
      <c r="AS1386" s="358">
        <f>TRUE</f>
        <v/>
      </c>
      <c r="AT1386" s="358">
        <f>TRUE</f>
        <v/>
      </c>
      <c r="AU1386" s="358">
        <f>TRUE</f>
        <v/>
      </c>
      <c r="AV1386" s="358">
        <f>TRUE</f>
        <v/>
      </c>
      <c r="AW1386" s="358">
        <f>TRUE</f>
        <v/>
      </c>
      <c r="AX1386" s="358">
        <f>TRUE</f>
        <v/>
      </c>
      <c r="AY1386" s="358">
        <f>TRUE</f>
        <v/>
      </c>
      <c r="AZ1386" s="358">
        <f>TRUE</f>
        <v/>
      </c>
      <c r="BA1386" s="358">
        <f>TRUE</f>
        <v/>
      </c>
      <c r="BB1386" s="358">
        <f>TRUE</f>
        <v/>
      </c>
      <c r="BC1386" s="358">
        <f>TRUE</f>
        <v/>
      </c>
      <c r="BD1386" s="358">
        <f>TRUE</f>
        <v/>
      </c>
      <c r="BE1386" s="358">
        <f>TRUE</f>
        <v/>
      </c>
      <c r="BF1386" s="358">
        <f>TRUE</f>
        <v/>
      </c>
      <c r="BG1386" s="358">
        <f>TRUE</f>
        <v/>
      </c>
      <c r="BH1386" s="358">
        <f>TRUE</f>
        <v/>
      </c>
      <c r="BI1386" s="358">
        <f>TRUE</f>
        <v/>
      </c>
      <c r="BJ1386" s="358">
        <f>TRUE</f>
        <v/>
      </c>
      <c r="BK1386" s="358">
        <f>TRUE</f>
        <v/>
      </c>
      <c r="BL1386" s="358">
        <f>TRUE</f>
        <v/>
      </c>
      <c r="BM1386" s="358">
        <f>TRUE</f>
        <v/>
      </c>
      <c r="BN1386" s="358">
        <f>TRUE</f>
        <v/>
      </c>
      <c r="BO1386" s="358">
        <f>TRUE</f>
        <v/>
      </c>
      <c r="BP1386" s="358">
        <f>TRUE</f>
        <v/>
      </c>
      <c r="BQ1386" s="650">
        <f>TRUE</f>
        <v/>
      </c>
      <c r="BR1386" s="358">
        <f>FALSE</f>
        <v/>
      </c>
      <c r="BS1386" s="358">
        <f>FALSE</f>
        <v/>
      </c>
      <c r="BT1386" s="358">
        <f>FALSE</f>
        <v/>
      </c>
      <c r="BU1386" s="358">
        <f>FALSE</f>
        <v/>
      </c>
      <c r="BV1386" s="358">
        <f>FALSE</f>
        <v/>
      </c>
      <c r="BW1386" s="358">
        <f>FALSE</f>
        <v/>
      </c>
      <c r="BX1386" s="358">
        <f>FALSE</f>
        <v/>
      </c>
      <c r="BY1386" s="358">
        <f>FALSE</f>
        <v/>
      </c>
      <c r="BZ1386" s="358">
        <f>FALSE</f>
        <v/>
      </c>
      <c r="CA1386" s="359">
        <f>FALSE</f>
        <v/>
      </c>
      <c r="CB1386" s="2023" t="n"/>
    </row>
    <row r="1387" ht="14.4" customFormat="1" customHeight="1" s="1905">
      <c r="A1387" s="2035">
        <f>"Stock High: "&amp;IF(OR(MO.RealTimeStockPriceToggle=FALSE,VLOOKUP(MO.DataSourceName,MO_SPT_StockHigh_Sources,COLUMN()+2,FALSE)="N/A"),"Real-Time Off Source",MO.DataSourceName)</f>
        <v/>
      </c>
      <c r="B1387" s="1714" t="n"/>
      <c r="C1387" s="2036">
        <f>IF(OR(MO.RealTimeStockPriceToggle=FALSE,VLOOKUP(MO.DataSourceName,MO_SPT_StockHigh_Sources,COLUMN(),FALSE)="N/A"),VLOOKUP("Real-Time Off Source",MO_SPT_StockHigh_Sources,COLUMN(),FALSE),VLOOKUP(MO.DataSourceName,MO_SPT_StockHigh_Sources,COLUMN(),FALSE))</f>
        <v/>
      </c>
      <c r="D1387" s="2036">
        <f>IF(OR(MO.RealTimeStockPriceToggle=FALSE,VLOOKUP(MO.DataSourceName,MO_SPT_StockHigh_Sources,COLUMN(),FALSE)="N/A"),VLOOKUP("Real-Time Off Source",MO_SPT_StockHigh_Sources,COLUMN(),FALSE),VLOOKUP(MO.DataSourceName,MO_SPT_StockHigh_Sources,COLUMN(),FALSE))</f>
        <v/>
      </c>
      <c r="E1387" s="2036">
        <f>IF(OR(MO.RealTimeStockPriceToggle=FALSE,VLOOKUP(MO.DataSourceName,MO_SPT_StockHigh_Sources,COLUMN(),FALSE)="N/A"),VLOOKUP("Real-Time Off Source",MO_SPT_StockHigh_Sources,COLUMN(),FALSE),VLOOKUP(MO.DataSourceName,MO_SPT_StockHigh_Sources,COLUMN(),FALSE))</f>
        <v/>
      </c>
      <c r="F1387" s="2036">
        <f>IF(OR(MO.RealTimeStockPriceToggle=FALSE,VLOOKUP(MO.DataSourceName,MO_SPT_StockHigh_Sources,COLUMN(),FALSE)="N/A"),VLOOKUP("Real-Time Off Source",MO_SPT_StockHigh_Sources,COLUMN(),FALSE),VLOOKUP(MO.DataSourceName,MO_SPT_StockHigh_Sources,COLUMN(),FALSE))</f>
        <v/>
      </c>
      <c r="G1387" s="2036">
        <f>IF(OR(MO.RealTimeStockPriceToggle=FALSE,VLOOKUP(MO.DataSourceName,MO_SPT_StockHigh_Sources,COLUMN(),FALSE)="N/A"),VLOOKUP("Real-Time Off Source",MO_SPT_StockHigh_Sources,COLUMN(),FALSE),VLOOKUP(MO.DataSourceName,MO_SPT_StockHigh_Sources,COLUMN(),FALSE))</f>
        <v/>
      </c>
      <c r="H1387" s="1714">
        <f>IF(OR(MO.RealTimeStockPriceToggle=FALSE,VLOOKUP(MO.DataSourceName,MO_SPT_StockHigh_Sources,COLUMN(),FALSE)="N/A"),VLOOKUP("Real-Time Off Source",MO_SPT_StockHigh_Sources,COLUMN(),FALSE),VLOOKUP(MO.DataSourceName,MO_SPT_StockHigh_Sources,COLUMN(),FALSE))</f>
        <v/>
      </c>
      <c r="I1387" s="1714">
        <f>IF(OR(MO.RealTimeStockPriceToggle=FALSE,VLOOKUP(MO.DataSourceName,MO_SPT_StockHigh_Sources,COLUMN(),FALSE)="N/A"),VLOOKUP("Real-Time Off Source",MO_SPT_StockHigh_Sources,COLUMN(),FALSE),VLOOKUP(MO.DataSourceName,MO_SPT_StockHigh_Sources,COLUMN(),FALSE))</f>
        <v/>
      </c>
      <c r="J1387" s="1714">
        <f>IF(OR(MO.RealTimeStockPriceToggle=FALSE,VLOOKUP(MO.DataSourceName,MO_SPT_StockHigh_Sources,COLUMN(),FALSE)="N/A"),VLOOKUP("Real-Time Off Source",MO_SPT_StockHigh_Sources,COLUMN(),FALSE),VLOOKUP(MO.DataSourceName,MO_SPT_StockHigh_Sources,COLUMN(),FALSE))</f>
        <v/>
      </c>
      <c r="K1387" s="1714">
        <f>IF(OR(MO.RealTimeStockPriceToggle=FALSE,VLOOKUP(MO.DataSourceName,MO_SPT_StockHigh_Sources,COLUMN(),FALSE)="N/A"),VLOOKUP("Real-Time Off Source",MO_SPT_StockHigh_Sources,COLUMN(),FALSE),VLOOKUP(MO.DataSourceName,MO_SPT_StockHigh_Sources,COLUMN(),FALSE))</f>
        <v/>
      </c>
      <c r="L1387" s="1714">
        <f>IF(OR(MO.RealTimeStockPriceToggle=FALSE,VLOOKUP(MO.DataSourceName,MO_SPT_StockHigh_Sources,COLUMN(),FALSE)="N/A"),VLOOKUP("Real-Time Off Source",MO_SPT_StockHigh_Sources,COLUMN(),FALSE),VLOOKUP(MO.DataSourceName,MO_SPT_StockHigh_Sources,COLUMN(),FALSE))</f>
        <v/>
      </c>
      <c r="M1387" s="1714">
        <f>IF(OR(MO.RealTimeStockPriceToggle=FALSE,VLOOKUP(MO.DataSourceName,MO_SPT_StockHigh_Sources,COLUMN(),FALSE)="N/A"),VLOOKUP("Real-Time Off Source",MO_SPT_StockHigh_Sources,COLUMN(),FALSE),VLOOKUP(MO.DataSourceName,MO_SPT_StockHigh_Sources,COLUMN(),FALSE))</f>
        <v/>
      </c>
      <c r="N1387" s="1714">
        <f>IF(OR(MO.RealTimeStockPriceToggle=FALSE,VLOOKUP(MO.DataSourceName,MO_SPT_StockHigh_Sources,COLUMN(),FALSE)="N/A"),VLOOKUP("Real-Time Off Source",MO_SPT_StockHigh_Sources,COLUMN(),FALSE),VLOOKUP(MO.DataSourceName,MO_SPT_StockHigh_Sources,COLUMN(),FALSE))</f>
        <v/>
      </c>
      <c r="O1387" s="1714">
        <f>IF(OR(MO.RealTimeStockPriceToggle=FALSE,VLOOKUP(MO.DataSourceName,MO_SPT_StockHigh_Sources,COLUMN(),FALSE)="N/A"),VLOOKUP("Real-Time Off Source",MO_SPT_StockHigh_Sources,COLUMN(),FALSE),VLOOKUP(MO.DataSourceName,MO_SPT_StockHigh_Sources,COLUMN(),FALSE))</f>
        <v/>
      </c>
      <c r="P1387" s="1714">
        <f>IF(OR(MO.RealTimeStockPriceToggle=FALSE,VLOOKUP(MO.DataSourceName,MO_SPT_StockHigh_Sources,COLUMN(),FALSE)="N/A"),VLOOKUP("Real-Time Off Source",MO_SPT_StockHigh_Sources,COLUMN(),FALSE),VLOOKUP(MO.DataSourceName,MO_SPT_StockHigh_Sources,COLUMN(),FALSE))</f>
        <v/>
      </c>
      <c r="Q1387" s="1714">
        <f>IF(OR(MO.RealTimeStockPriceToggle=FALSE,VLOOKUP(MO.DataSourceName,MO_SPT_StockHigh_Sources,COLUMN(),FALSE)="N/A"),VLOOKUP("Real-Time Off Source",MO_SPT_StockHigh_Sources,COLUMN(),FALSE),VLOOKUP(MO.DataSourceName,MO_SPT_StockHigh_Sources,COLUMN(),FALSE))</f>
        <v/>
      </c>
      <c r="R1387" s="1714">
        <f>IF(OR(MO.RealTimeStockPriceToggle=FALSE,VLOOKUP(MO.DataSourceName,MO_SPT_StockHigh_Sources,COLUMN(),FALSE)="N/A"),VLOOKUP("Real-Time Off Source",MO_SPT_StockHigh_Sources,COLUMN(),FALSE),VLOOKUP(MO.DataSourceName,MO_SPT_StockHigh_Sources,COLUMN(),FALSE))</f>
        <v/>
      </c>
      <c r="S1387" s="1714">
        <f>IF(OR(MO.RealTimeStockPriceToggle=FALSE,VLOOKUP(MO.DataSourceName,MO_SPT_StockHigh_Sources,COLUMN(),FALSE)="N/A"),VLOOKUP("Real-Time Off Source",MO_SPT_StockHigh_Sources,COLUMN(),FALSE),VLOOKUP(MO.DataSourceName,MO_SPT_StockHigh_Sources,COLUMN(),FALSE))</f>
        <v/>
      </c>
      <c r="T1387" s="1714">
        <f>IF(OR(MO.RealTimeStockPriceToggle=FALSE,VLOOKUP(MO.DataSourceName,MO_SPT_StockHigh_Sources,COLUMN(),FALSE)="N/A"),VLOOKUP("Real-Time Off Source",MO_SPT_StockHigh_Sources,COLUMN(),FALSE),VLOOKUP(MO.DataSourceName,MO_SPT_StockHigh_Sources,COLUMN(),FALSE))</f>
        <v/>
      </c>
      <c r="U1387" s="1714">
        <f>IF(OR(MO.RealTimeStockPriceToggle=FALSE,VLOOKUP(MO.DataSourceName,MO_SPT_StockHigh_Sources,COLUMN(),FALSE)="N/A"),VLOOKUP("Real-Time Off Source",MO_SPT_StockHigh_Sources,COLUMN(),FALSE),VLOOKUP(MO.DataSourceName,MO_SPT_StockHigh_Sources,COLUMN(),FALSE))</f>
        <v/>
      </c>
      <c r="V1387" s="1714">
        <f>IF(OR(MO.RealTimeStockPriceToggle=FALSE,VLOOKUP(MO.DataSourceName,MO_SPT_StockHigh_Sources,COLUMN(),FALSE)="N/A"),VLOOKUP("Real-Time Off Source",MO_SPT_StockHigh_Sources,COLUMN(),FALSE),VLOOKUP(MO.DataSourceName,MO_SPT_StockHigh_Sources,COLUMN(),FALSE))</f>
        <v/>
      </c>
      <c r="W1387" s="1714">
        <f>IF(OR(MO.RealTimeStockPriceToggle=FALSE,VLOOKUP(MO.DataSourceName,MO_SPT_StockHigh_Sources,COLUMN(),FALSE)="N/A"),VLOOKUP("Real-Time Off Source",MO_SPT_StockHigh_Sources,COLUMN(),FALSE),VLOOKUP(MO.DataSourceName,MO_SPT_StockHigh_Sources,COLUMN(),FALSE))</f>
        <v/>
      </c>
      <c r="X1387" s="1714">
        <f>IF(OR(MO.RealTimeStockPriceToggle=FALSE,VLOOKUP(MO.DataSourceName,MO_SPT_StockHigh_Sources,COLUMN(),FALSE)="N/A"),VLOOKUP("Real-Time Off Source",MO_SPT_StockHigh_Sources,COLUMN(),FALSE),VLOOKUP(MO.DataSourceName,MO_SPT_StockHigh_Sources,COLUMN(),FALSE))</f>
        <v/>
      </c>
      <c r="Y1387" s="1714">
        <f>IF(OR(MO.RealTimeStockPriceToggle=FALSE,VLOOKUP(MO.DataSourceName,MO_SPT_StockHigh_Sources,COLUMN(),FALSE)="N/A"),VLOOKUP("Real-Time Off Source",MO_SPT_StockHigh_Sources,COLUMN(),FALSE),VLOOKUP(MO.DataSourceName,MO_SPT_StockHigh_Sources,COLUMN(),FALSE))</f>
        <v/>
      </c>
      <c r="Z1387" s="1714">
        <f>IF(OR(MO.RealTimeStockPriceToggle=FALSE,VLOOKUP(MO.DataSourceName,MO_SPT_StockHigh_Sources,COLUMN(),FALSE)="N/A"),VLOOKUP("Real-Time Off Source",MO_SPT_StockHigh_Sources,COLUMN(),FALSE),VLOOKUP(MO.DataSourceName,MO_SPT_StockHigh_Sources,COLUMN(),FALSE))</f>
        <v/>
      </c>
      <c r="AA1387" s="1714">
        <f>IF(OR(MO.RealTimeStockPriceToggle=FALSE,VLOOKUP(MO.DataSourceName,MO_SPT_StockHigh_Sources,COLUMN(),FALSE)="N/A"),VLOOKUP("Real-Time Off Source",MO_SPT_StockHigh_Sources,COLUMN(),FALSE),VLOOKUP(MO.DataSourceName,MO_SPT_StockHigh_Sources,COLUMN(),FALSE))</f>
        <v/>
      </c>
      <c r="AB1387" s="1714">
        <f>IF(OR(MO.RealTimeStockPriceToggle=FALSE,VLOOKUP(MO.DataSourceName,MO_SPT_StockHigh_Sources,COLUMN(),FALSE)="N/A"),VLOOKUP("Real-Time Off Source",MO_SPT_StockHigh_Sources,COLUMN(),FALSE),VLOOKUP(MO.DataSourceName,MO_SPT_StockHigh_Sources,COLUMN(),FALSE))</f>
        <v/>
      </c>
      <c r="AC1387" s="1714">
        <f>IF(OR(MO.RealTimeStockPriceToggle=FALSE,VLOOKUP(MO.DataSourceName,MO_SPT_StockHigh_Sources,COLUMN(),FALSE)="N/A"),VLOOKUP("Real-Time Off Source",MO_SPT_StockHigh_Sources,COLUMN(),FALSE),VLOOKUP(MO.DataSourceName,MO_SPT_StockHigh_Sources,COLUMN(),FALSE))</f>
        <v/>
      </c>
      <c r="AD1387" s="1714">
        <f>IF(OR(MO.RealTimeStockPriceToggle=FALSE,VLOOKUP(MO.DataSourceName,MO_SPT_StockHigh_Sources,COLUMN(),FALSE)="N/A"),VLOOKUP("Real-Time Off Source",MO_SPT_StockHigh_Sources,COLUMN(),FALSE),VLOOKUP(MO.DataSourceName,MO_SPT_StockHigh_Sources,COLUMN(),FALSE))</f>
        <v/>
      </c>
      <c r="AE1387" s="1714">
        <f>IF(OR(MO.RealTimeStockPriceToggle=FALSE,VLOOKUP(MO.DataSourceName,MO_SPT_StockHigh_Sources,COLUMN(),FALSE)="N/A"),VLOOKUP("Real-Time Off Source",MO_SPT_StockHigh_Sources,COLUMN(),FALSE),VLOOKUP(MO.DataSourceName,MO_SPT_StockHigh_Sources,COLUMN(),FALSE))</f>
        <v/>
      </c>
      <c r="AF1387" s="1714">
        <f>IF(OR(MO.RealTimeStockPriceToggle=FALSE,VLOOKUP(MO.DataSourceName,MO_SPT_StockHigh_Sources,COLUMN(),FALSE)="N/A"),VLOOKUP("Real-Time Off Source",MO_SPT_StockHigh_Sources,COLUMN(),FALSE),VLOOKUP(MO.DataSourceName,MO_SPT_StockHigh_Sources,COLUMN(),FALSE))</f>
        <v/>
      </c>
      <c r="AG1387" s="1714">
        <f>IF(OR(MO.RealTimeStockPriceToggle=FALSE,VLOOKUP(MO.DataSourceName,MO_SPT_StockHigh_Sources,COLUMN(),FALSE)="N/A"),VLOOKUP("Real-Time Off Source",MO_SPT_StockHigh_Sources,COLUMN(),FALSE),VLOOKUP(MO.DataSourceName,MO_SPT_StockHigh_Sources,COLUMN(),FALSE))</f>
        <v/>
      </c>
      <c r="AH1387" s="1714">
        <f>IF(OR(MO.RealTimeStockPriceToggle=FALSE,VLOOKUP(MO.DataSourceName,MO_SPT_StockHigh_Sources,COLUMN(),FALSE)="N/A"),VLOOKUP("Real-Time Off Source",MO_SPT_StockHigh_Sources,COLUMN(),FALSE),VLOOKUP(MO.DataSourceName,MO_SPT_StockHigh_Sources,COLUMN(),FALSE))</f>
        <v/>
      </c>
      <c r="AI1387" s="1714">
        <f>IF(OR(MO.RealTimeStockPriceToggle=FALSE,VLOOKUP(MO.DataSourceName,MO_SPT_StockHigh_Sources,COLUMN(),FALSE)="N/A"),VLOOKUP("Real-Time Off Source",MO_SPT_StockHigh_Sources,COLUMN(),FALSE),VLOOKUP(MO.DataSourceName,MO_SPT_StockHigh_Sources,COLUMN(),FALSE))</f>
        <v/>
      </c>
      <c r="AJ1387" s="1714">
        <f>IF(OR(MO.RealTimeStockPriceToggle=FALSE,VLOOKUP(MO.DataSourceName,MO_SPT_StockHigh_Sources,COLUMN(),FALSE)="N/A"),VLOOKUP("Real-Time Off Source",MO_SPT_StockHigh_Sources,COLUMN(),FALSE),VLOOKUP(MO.DataSourceName,MO_SPT_StockHigh_Sources,COLUMN(),FALSE))</f>
        <v/>
      </c>
      <c r="AK1387" s="1714">
        <f>IF(OR(MO.RealTimeStockPriceToggle=FALSE,VLOOKUP(MO.DataSourceName,MO_SPT_StockHigh_Sources,COLUMN(),FALSE)="N/A"),VLOOKUP("Real-Time Off Source",MO_SPT_StockHigh_Sources,COLUMN(),FALSE),VLOOKUP(MO.DataSourceName,MO_SPT_StockHigh_Sources,COLUMN(),FALSE))</f>
        <v/>
      </c>
      <c r="AL1387" s="1714">
        <f>IF(OR(MO.RealTimeStockPriceToggle=FALSE,VLOOKUP(MO.DataSourceName,MO_SPT_StockHigh_Sources,COLUMN(),FALSE)="N/A"),VLOOKUP("Real-Time Off Source",MO_SPT_StockHigh_Sources,COLUMN(),FALSE),VLOOKUP(MO.DataSourceName,MO_SPT_StockHigh_Sources,COLUMN(),FALSE))</f>
        <v/>
      </c>
      <c r="AM1387" s="1714">
        <f>IF(OR(MO.RealTimeStockPriceToggle=FALSE,VLOOKUP(MO.DataSourceName,MO_SPT_StockHigh_Sources,COLUMN(),FALSE)="N/A"),VLOOKUP("Real-Time Off Source",MO_SPT_StockHigh_Sources,COLUMN(),FALSE),VLOOKUP(MO.DataSourceName,MO_SPT_StockHigh_Sources,COLUMN(),FALSE))</f>
        <v/>
      </c>
      <c r="AN1387" s="1714">
        <f>IF(OR(MO.RealTimeStockPriceToggle=FALSE,VLOOKUP(MO.DataSourceName,MO_SPT_StockHigh_Sources,COLUMN(),FALSE)="N/A"),VLOOKUP("Real-Time Off Source",MO_SPT_StockHigh_Sources,COLUMN(),FALSE),VLOOKUP(MO.DataSourceName,MO_SPT_StockHigh_Sources,COLUMN(),FALSE))</f>
        <v/>
      </c>
      <c r="AO1387" s="1714">
        <f>IF(OR(MO.RealTimeStockPriceToggle=FALSE,VLOOKUP(MO.DataSourceName,MO_SPT_StockHigh_Sources,COLUMN(),FALSE)="N/A"),VLOOKUP("Real-Time Off Source",MO_SPT_StockHigh_Sources,COLUMN(),FALSE),VLOOKUP(MO.DataSourceName,MO_SPT_StockHigh_Sources,COLUMN(),FALSE))</f>
        <v/>
      </c>
      <c r="AP1387" s="1714">
        <f>IF(OR(MO.RealTimeStockPriceToggle=FALSE,VLOOKUP(MO.DataSourceName,MO_SPT_StockHigh_Sources,COLUMN(),FALSE)="N/A"),VLOOKUP("Real-Time Off Source",MO_SPT_StockHigh_Sources,COLUMN(),FALSE),VLOOKUP(MO.DataSourceName,MO_SPT_StockHigh_Sources,COLUMN(),FALSE))</f>
        <v/>
      </c>
      <c r="AQ1387" s="1714">
        <f>IF(OR(MO.RealTimeStockPriceToggle=FALSE,VLOOKUP(MO.DataSourceName,MO_SPT_StockHigh_Sources,COLUMN(),FALSE)="N/A"),VLOOKUP("Real-Time Off Source",MO_SPT_StockHigh_Sources,COLUMN(),FALSE),VLOOKUP(MO.DataSourceName,MO_SPT_StockHigh_Sources,COLUMN(),FALSE))</f>
        <v/>
      </c>
      <c r="AR1387" s="1714">
        <f>IF(OR(MO.RealTimeStockPriceToggle=FALSE,VLOOKUP(MO.DataSourceName,MO_SPT_StockHigh_Sources,COLUMN(),FALSE)="N/A"),VLOOKUP("Real-Time Off Source",MO_SPT_StockHigh_Sources,COLUMN(),FALSE),VLOOKUP(MO.DataSourceName,MO_SPT_StockHigh_Sources,COLUMN(),FALSE))</f>
        <v/>
      </c>
      <c r="AS1387" s="1714">
        <f>IF(OR(MO.RealTimeStockPriceToggle=FALSE,VLOOKUP(MO.DataSourceName,MO_SPT_StockHigh_Sources,COLUMN(),FALSE)="N/A"),VLOOKUP("Real-Time Off Source",MO_SPT_StockHigh_Sources,COLUMN(),FALSE),VLOOKUP(MO.DataSourceName,MO_SPT_StockHigh_Sources,COLUMN(),FALSE))</f>
        <v/>
      </c>
      <c r="AT1387" s="1714">
        <f>IF(OR(MO.RealTimeStockPriceToggle=FALSE,VLOOKUP(MO.DataSourceName,MO_SPT_StockHigh_Sources,COLUMN(),FALSE)="N/A"),VLOOKUP("Real-Time Off Source",MO_SPT_StockHigh_Sources,COLUMN(),FALSE),VLOOKUP(MO.DataSourceName,MO_SPT_StockHigh_Sources,COLUMN(),FALSE))</f>
        <v/>
      </c>
      <c r="AU1387" s="1714">
        <f>IF(OR(MO.RealTimeStockPriceToggle=FALSE,VLOOKUP(MO.DataSourceName,MO_SPT_StockHigh_Sources,COLUMN(),FALSE)="N/A"),VLOOKUP("Real-Time Off Source",MO_SPT_StockHigh_Sources,COLUMN(),FALSE),VLOOKUP(MO.DataSourceName,MO_SPT_StockHigh_Sources,COLUMN(),FALSE))</f>
        <v/>
      </c>
      <c r="AV1387" s="1714">
        <f>IF(OR(MO.RealTimeStockPriceToggle=FALSE,VLOOKUP(MO.DataSourceName,MO_SPT_StockHigh_Sources,COLUMN(),FALSE)="N/A"),VLOOKUP("Real-Time Off Source",MO_SPT_StockHigh_Sources,COLUMN(),FALSE),VLOOKUP(MO.DataSourceName,MO_SPT_StockHigh_Sources,COLUMN(),FALSE))</f>
        <v/>
      </c>
      <c r="AW1387" s="1714">
        <f>IF(OR(MO.RealTimeStockPriceToggle=FALSE,VLOOKUP(MO.DataSourceName,MO_SPT_StockHigh_Sources,COLUMN(),FALSE)="N/A"),VLOOKUP("Real-Time Off Source",MO_SPT_StockHigh_Sources,COLUMN(),FALSE),VLOOKUP(MO.DataSourceName,MO_SPT_StockHigh_Sources,COLUMN(),FALSE))</f>
        <v/>
      </c>
      <c r="AX1387" s="1714">
        <f>IF(OR(MO.RealTimeStockPriceToggle=FALSE,VLOOKUP(MO.DataSourceName,MO_SPT_StockHigh_Sources,COLUMN(),FALSE)="N/A"),VLOOKUP("Real-Time Off Source",MO_SPT_StockHigh_Sources,COLUMN(),FALSE),VLOOKUP(MO.DataSourceName,MO_SPT_StockHigh_Sources,COLUMN(),FALSE))</f>
        <v/>
      </c>
      <c r="AY1387" s="1714">
        <f>IF(OR(MO.RealTimeStockPriceToggle=FALSE,VLOOKUP(MO.DataSourceName,MO_SPT_StockHigh_Sources,COLUMN(),FALSE)="N/A"),VLOOKUP("Real-Time Off Source",MO_SPT_StockHigh_Sources,COLUMN(),FALSE),VLOOKUP(MO.DataSourceName,MO_SPT_StockHigh_Sources,COLUMN(),FALSE))</f>
        <v/>
      </c>
      <c r="AZ1387" s="1714">
        <f>IF(OR(MO.RealTimeStockPriceToggle=FALSE,VLOOKUP(MO.DataSourceName,MO_SPT_StockHigh_Sources,COLUMN(),FALSE)="N/A"),VLOOKUP("Real-Time Off Source",MO_SPT_StockHigh_Sources,COLUMN(),FALSE),VLOOKUP(MO.DataSourceName,MO_SPT_StockHigh_Sources,COLUMN(),FALSE))</f>
        <v/>
      </c>
      <c r="BA1387" s="1714">
        <f>IF(OR(MO.RealTimeStockPriceToggle=FALSE,VLOOKUP(MO.DataSourceName,MO_SPT_StockHigh_Sources,COLUMN(),FALSE)="N/A"),VLOOKUP("Real-Time Off Source",MO_SPT_StockHigh_Sources,COLUMN(),FALSE),VLOOKUP(MO.DataSourceName,MO_SPT_StockHigh_Sources,COLUMN(),FALSE))</f>
        <v/>
      </c>
      <c r="BB1387" s="1714">
        <f>IF(OR(MO.RealTimeStockPriceToggle=FALSE,VLOOKUP(MO.DataSourceName,MO_SPT_StockHigh_Sources,COLUMN(),FALSE)="N/A"),VLOOKUP("Real-Time Off Source",MO_SPT_StockHigh_Sources,COLUMN(),FALSE),VLOOKUP(MO.DataSourceName,MO_SPT_StockHigh_Sources,COLUMN(),FALSE))</f>
        <v/>
      </c>
      <c r="BC1387" s="1714">
        <f>IF(OR(MO.RealTimeStockPriceToggle=FALSE,VLOOKUP(MO.DataSourceName,MO_SPT_StockHigh_Sources,COLUMN(),FALSE)="N/A"),VLOOKUP("Real-Time Off Source",MO_SPT_StockHigh_Sources,COLUMN(),FALSE),VLOOKUP(MO.DataSourceName,MO_SPT_StockHigh_Sources,COLUMN(),FALSE))</f>
        <v/>
      </c>
      <c r="BD1387" s="1714">
        <f>IF(OR(MO.RealTimeStockPriceToggle=FALSE,VLOOKUP(MO.DataSourceName,MO_SPT_StockHigh_Sources,COLUMN(),FALSE)="N/A"),VLOOKUP("Real-Time Off Source",MO_SPT_StockHigh_Sources,COLUMN(),FALSE),VLOOKUP(MO.DataSourceName,MO_SPT_StockHigh_Sources,COLUMN(),FALSE))</f>
        <v/>
      </c>
      <c r="BE1387" s="1714">
        <f>IF(OR(MO.RealTimeStockPriceToggle=FALSE,VLOOKUP(MO.DataSourceName,MO_SPT_StockHigh_Sources,COLUMN(),FALSE)="N/A"),VLOOKUP("Real-Time Off Source",MO_SPT_StockHigh_Sources,COLUMN(),FALSE),VLOOKUP(MO.DataSourceName,MO_SPT_StockHigh_Sources,COLUMN(),FALSE))</f>
        <v/>
      </c>
      <c r="BF1387" s="1714">
        <f>IF(OR(MO.RealTimeStockPriceToggle=FALSE,VLOOKUP(MO.DataSourceName,MO_SPT_StockHigh_Sources,COLUMN(),FALSE)="N/A"),VLOOKUP("Real-Time Off Source",MO_SPT_StockHigh_Sources,COLUMN(),FALSE),VLOOKUP(MO.DataSourceName,MO_SPT_StockHigh_Sources,COLUMN(),FALSE))</f>
        <v/>
      </c>
      <c r="BG1387" s="1714">
        <f>IF(OR(MO.RealTimeStockPriceToggle=FALSE,VLOOKUP(MO.DataSourceName,MO_SPT_StockHigh_Sources,COLUMN(),FALSE)="N/A"),VLOOKUP("Real-Time Off Source",MO_SPT_StockHigh_Sources,COLUMN(),FALSE),VLOOKUP(MO.DataSourceName,MO_SPT_StockHigh_Sources,COLUMN(),FALSE))</f>
        <v/>
      </c>
      <c r="BH1387" s="1714">
        <f>IF(OR(MO.RealTimeStockPriceToggle=FALSE,VLOOKUP(MO.DataSourceName,MO_SPT_StockHigh_Sources,COLUMN(),FALSE)="N/A"),VLOOKUP("Real-Time Off Source",MO_SPT_StockHigh_Sources,COLUMN(),FALSE),VLOOKUP(MO.DataSourceName,MO_SPT_StockHigh_Sources,COLUMN(),FALSE))</f>
        <v/>
      </c>
      <c r="BI1387" s="1714">
        <f>IF(OR(MO.RealTimeStockPriceToggle=FALSE,VLOOKUP(MO.DataSourceName,MO_SPT_StockHigh_Sources,COLUMN(),FALSE)="N/A"),VLOOKUP("Real-Time Off Source",MO_SPT_StockHigh_Sources,COLUMN(),FALSE),VLOOKUP(MO.DataSourceName,MO_SPT_StockHigh_Sources,COLUMN(),FALSE))</f>
        <v/>
      </c>
      <c r="BJ1387" s="1714">
        <f>IF(OR(MO.RealTimeStockPriceToggle=FALSE,VLOOKUP(MO.DataSourceName,MO_SPT_StockHigh_Sources,COLUMN(),FALSE)="N/A"),VLOOKUP("Real-Time Off Source",MO_SPT_StockHigh_Sources,COLUMN(),FALSE),VLOOKUP(MO.DataSourceName,MO_SPT_StockHigh_Sources,COLUMN(),FALSE))</f>
        <v/>
      </c>
      <c r="BK1387" s="1714">
        <f>IF(OR(MO.RealTimeStockPriceToggle=FALSE,VLOOKUP(MO.DataSourceName,MO_SPT_StockHigh_Sources,COLUMN(),FALSE)="N/A"),VLOOKUP("Real-Time Off Source",MO_SPT_StockHigh_Sources,COLUMN(),FALSE),VLOOKUP(MO.DataSourceName,MO_SPT_StockHigh_Sources,COLUMN(),FALSE))</f>
        <v/>
      </c>
      <c r="BL1387" s="1714">
        <f>IF(OR(MO.RealTimeStockPriceToggle=FALSE,VLOOKUP(MO.DataSourceName,MO_SPT_StockHigh_Sources,COLUMN(),FALSE)="N/A"),VLOOKUP("Real-Time Off Source",MO_SPT_StockHigh_Sources,COLUMN(),FALSE),VLOOKUP(MO.DataSourceName,MO_SPT_StockHigh_Sources,COLUMN(),FALSE))</f>
        <v/>
      </c>
      <c r="BM1387" s="1714">
        <f>IF(OR(MO.RealTimeStockPriceToggle=FALSE,VLOOKUP(MO.DataSourceName,MO_SPT_StockHigh_Sources,COLUMN(),FALSE)="N/A"),VLOOKUP("Real-Time Off Source",MO_SPT_StockHigh_Sources,COLUMN(),FALSE),VLOOKUP(MO.DataSourceName,MO_SPT_StockHigh_Sources,COLUMN(),FALSE))</f>
        <v/>
      </c>
      <c r="BN1387" s="1714">
        <f>IF(OR(MO.RealTimeStockPriceToggle=FALSE,VLOOKUP(MO.DataSourceName,MO_SPT_StockHigh_Sources,COLUMN(),FALSE)="N/A"),VLOOKUP("Real-Time Off Source",MO_SPT_StockHigh_Sources,COLUMN(),FALSE),VLOOKUP(MO.DataSourceName,MO_SPT_StockHigh_Sources,COLUMN(),FALSE))</f>
        <v/>
      </c>
      <c r="BO1387" s="1714">
        <f>IF(OR(MO.RealTimeStockPriceToggle=FALSE,VLOOKUP(MO.DataSourceName,MO_SPT_StockHigh_Sources,COLUMN(),FALSE)="N/A"),VLOOKUP("Real-Time Off Source",MO_SPT_StockHigh_Sources,COLUMN(),FALSE),VLOOKUP(MO.DataSourceName,MO_SPT_StockHigh_Sources,COLUMN(),FALSE))</f>
        <v/>
      </c>
      <c r="BP1387" s="1714">
        <f>IF(OR(MO.RealTimeStockPriceToggle=FALSE,VLOOKUP(MO.DataSourceName,MO_SPT_StockHigh_Sources,COLUMN(),FALSE)="N/A"),VLOOKUP("Real-Time Off Source",MO_SPT_StockHigh_Sources,COLUMN(),FALSE),VLOOKUP(MO.DataSourceName,MO_SPT_StockHigh_Sources,COLUMN(),FALSE))</f>
        <v/>
      </c>
      <c r="BQ1387" s="1717">
        <f>IF(OR(MO.RealTimeStockPriceToggle=FALSE,VLOOKUP(MO.DataSourceName,MO_SPT_StockHigh_Sources,COLUMN(),FALSE)="N/A"),VLOOKUP("Real-Time Off Source",MO_SPT_StockHigh_Sources,COLUMN(),FALSE),VLOOKUP(MO.DataSourceName,MO_SPT_StockHigh_Sources,COLUMN(),FALSE))</f>
        <v/>
      </c>
      <c r="BR1387" s="1714">
        <f>IF(OR(MO.RealTimeStockPriceToggle=FALSE,VLOOKUP(MO.DataSourceName,MO_SPT_StockHigh_Sources,COLUMN(),FALSE)="N/A"),VLOOKUP("Real-Time Off Source",MO_SPT_StockHigh_Sources,COLUMN(),FALSE),VLOOKUP(MO.DataSourceName,MO_SPT_StockHigh_Sources,COLUMN(),FALSE))</f>
        <v/>
      </c>
      <c r="BS1387" s="1714">
        <f>IF(OR(MO.RealTimeStockPriceToggle=FALSE,VLOOKUP(MO.DataSourceName,MO_SPT_StockHigh_Sources,COLUMN(),FALSE)="N/A"),VLOOKUP("Real-Time Off Source",MO_SPT_StockHigh_Sources,COLUMN(),FALSE),VLOOKUP(MO.DataSourceName,MO_SPT_StockHigh_Sources,COLUMN(),FALSE))</f>
        <v/>
      </c>
      <c r="BT1387" s="1714">
        <f>IF(OR(MO.RealTimeStockPriceToggle=FALSE,VLOOKUP(MO.DataSourceName,MO_SPT_StockHigh_Sources,COLUMN(),FALSE)="N/A"),VLOOKUP("Real-Time Off Source",MO_SPT_StockHigh_Sources,COLUMN(),FALSE),VLOOKUP(MO.DataSourceName,MO_SPT_StockHigh_Sources,COLUMN(),FALSE))</f>
        <v/>
      </c>
      <c r="BU1387" s="1714">
        <f>IF(OR(MO.RealTimeStockPriceToggle=FALSE,VLOOKUP(MO.DataSourceName,MO_SPT_StockHigh_Sources,COLUMN(),FALSE)="N/A"),VLOOKUP("Real-Time Off Source",MO_SPT_StockHigh_Sources,COLUMN(),FALSE),VLOOKUP(MO.DataSourceName,MO_SPT_StockHigh_Sources,COLUMN(),FALSE))</f>
        <v/>
      </c>
      <c r="BV1387" s="1714">
        <f>IF(OR(MO.RealTimeStockPriceToggle=FALSE,VLOOKUP(MO.DataSourceName,MO_SPT_StockHigh_Sources,COLUMN(),FALSE)="N/A"),VLOOKUP("Real-Time Off Source",MO_SPT_StockHigh_Sources,COLUMN(),FALSE),VLOOKUP(MO.DataSourceName,MO_SPT_StockHigh_Sources,COLUMN(),FALSE))</f>
        <v/>
      </c>
      <c r="BW1387" s="1714">
        <f>IF(OR(MO.RealTimeStockPriceToggle=FALSE,VLOOKUP(MO.DataSourceName,MO_SPT_StockHigh_Sources,COLUMN(),FALSE)="N/A"),VLOOKUP("Real-Time Off Source",MO_SPT_StockHigh_Sources,COLUMN(),FALSE),VLOOKUP(MO.DataSourceName,MO_SPT_StockHigh_Sources,COLUMN(),FALSE))</f>
        <v/>
      </c>
      <c r="BX1387" s="1714">
        <f>IF(OR(MO.RealTimeStockPriceToggle=FALSE,VLOOKUP(MO.DataSourceName,MO_SPT_StockHigh_Sources,COLUMN(),FALSE)="N/A"),VLOOKUP("Real-Time Off Source",MO_SPT_StockHigh_Sources,COLUMN(),FALSE),VLOOKUP(MO.DataSourceName,MO_SPT_StockHigh_Sources,COLUMN(),FALSE))</f>
        <v/>
      </c>
      <c r="BY1387" s="1714">
        <f>IF(OR(MO.RealTimeStockPriceToggle=FALSE,VLOOKUP(MO.DataSourceName,MO_SPT_StockHigh_Sources,COLUMN(),FALSE)="N/A"),VLOOKUP("Real-Time Off Source",MO_SPT_StockHigh_Sources,COLUMN(),FALSE),VLOOKUP(MO.DataSourceName,MO_SPT_StockHigh_Sources,COLUMN(),FALSE))</f>
        <v/>
      </c>
      <c r="BZ1387" s="1714">
        <f>IF(OR(MO.RealTimeStockPriceToggle=FALSE,VLOOKUP(MO.DataSourceName,MO_SPT_StockHigh_Sources,COLUMN(),FALSE)="N/A"),VLOOKUP("Real-Time Off Source",MO_SPT_StockHigh_Sources,COLUMN(),FALSE),VLOOKUP(MO.DataSourceName,MO_SPT_StockHigh_Sources,COLUMN(),FALSE))</f>
        <v/>
      </c>
      <c r="CA1387" s="2037">
        <f>IF(OR(MO.RealTimeStockPriceToggle=FALSE,VLOOKUP(MO.DataSourceName,MO_SPT_StockHigh_Sources,COLUMN(),FALSE)="N/A"),VLOOKUP("Real-Time Off Source",MO_SPT_StockHigh_Sources,COLUMN(),FALSE),VLOOKUP(MO.DataSourceName,MO_SPT_StockHigh_Sources,COLUMN(),FALSE))</f>
        <v/>
      </c>
      <c r="CB1387" s="2038" t="n"/>
    </row>
    <row r="1388" hidden="1" outlineLevel="1" ht="14.4" customFormat="1" customHeight="1" s="1905">
      <c r="A1388" s="2039" t="inlineStr">
        <is>
          <t>Real-Time Off Source</t>
        </is>
      </c>
      <c r="B1388" s="1714" t="n"/>
      <c r="C1388" s="2040" t="n">
        <v>8.18</v>
      </c>
      <c r="D1388" s="2040" t="n">
        <v>8.68</v>
      </c>
      <c r="E1388" s="2040" t="n">
        <v>11.72</v>
      </c>
      <c r="F1388" s="2040" t="n">
        <v>13.79</v>
      </c>
      <c r="G1388" s="2040" t="n">
        <v>14.81</v>
      </c>
      <c r="H1388" s="1754" t="n">
        <v>15.32</v>
      </c>
      <c r="I1388" s="1754" t="n">
        <v>15.96</v>
      </c>
      <c r="J1388" s="1754" t="n">
        <v>14.72</v>
      </c>
      <c r="K1388" s="1754" t="n">
        <v>15.96</v>
      </c>
      <c r="L1388" s="1754" t="n">
        <v>16.25</v>
      </c>
      <c r="M1388" s="1754" t="n">
        <v>17.55</v>
      </c>
      <c r="N1388" s="1754" t="n">
        <v>18.25</v>
      </c>
      <c r="O1388" s="1754" t="n">
        <v>19.54</v>
      </c>
      <c r="P1388" s="1754" t="n">
        <v>19.54</v>
      </c>
      <c r="Q1388" s="1754" t="n">
        <v>18.86</v>
      </c>
      <c r="R1388" s="1754" t="n">
        <v>20.51</v>
      </c>
      <c r="S1388" s="1754" t="n">
        <v>21.86</v>
      </c>
      <c r="T1388" s="1754" t="n">
        <v>23.3</v>
      </c>
      <c r="U1388" s="1754" t="n">
        <v>23.3</v>
      </c>
      <c r="V1388" s="1754" t="n">
        <v>28</v>
      </c>
      <c r="W1388" s="1754" t="n">
        <v>26.24</v>
      </c>
      <c r="X1388" s="1754" t="n">
        <v>25.49</v>
      </c>
      <c r="Y1388" s="1754" t="n">
        <v>23.75</v>
      </c>
      <c r="Z1388" s="1754" t="n">
        <v>28</v>
      </c>
      <c r="AA1388" s="1754" t="n">
        <v>32.19</v>
      </c>
      <c r="AB1388" s="1754" t="n">
        <v>35.69</v>
      </c>
      <c r="AC1388" s="1754" t="n">
        <v>39.49</v>
      </c>
      <c r="AD1388" s="1754" t="n">
        <v>45.64</v>
      </c>
      <c r="AE1388" s="1754" t="n">
        <v>45.64</v>
      </c>
      <c r="AF1388" s="1754" t="n">
        <v>45.8</v>
      </c>
      <c r="AG1388" s="1754" t="n">
        <v>45.2</v>
      </c>
      <c r="AH1388" s="1754" t="n">
        <v>47.26</v>
      </c>
      <c r="AI1388" s="1754" t="n">
        <v>46.85</v>
      </c>
      <c r="AJ1388" s="1754" t="n">
        <v>47.26</v>
      </c>
      <c r="AK1388" s="1754" t="n">
        <v>63.51</v>
      </c>
      <c r="AL1388" s="1754" t="n">
        <v>72.67</v>
      </c>
      <c r="AM1388" s="1754" t="n">
        <v>76.34999999999999</v>
      </c>
      <c r="AN1388" s="1754" t="n">
        <v>70.90000000000001</v>
      </c>
      <c r="AO1388" s="1754" t="n">
        <v>76.34999999999999</v>
      </c>
      <c r="AP1388" s="1754" t="n">
        <v>80.02</v>
      </c>
      <c r="AQ1388" s="1754" t="n">
        <v>95.95999999999999</v>
      </c>
      <c r="AR1388" s="1754" t="n">
        <v>117.09</v>
      </c>
      <c r="AS1388" s="1754" t="n">
        <v>136.43</v>
      </c>
      <c r="AT1388" s="1754" t="n">
        <v>136.43</v>
      </c>
      <c r="AU1388" s="1754" t="n">
        <v>147.44</v>
      </c>
      <c r="AV1388" s="1754" t="n">
        <v>147.59</v>
      </c>
      <c r="AW1388" s="1754" t="n">
        <v>167.61</v>
      </c>
      <c r="AX1388" s="1754" t="n">
        <v>191.65</v>
      </c>
      <c r="AY1388" s="1754" t="n">
        <v>191.65</v>
      </c>
      <c r="AZ1388" s="1754" t="n">
        <v>183.16</v>
      </c>
      <c r="BA1388" s="1754" t="n">
        <v>167.11</v>
      </c>
      <c r="BB1388" s="1754" t="n">
        <v>193.09</v>
      </c>
      <c r="BC1388" s="1754" t="n">
        <v>176.78</v>
      </c>
      <c r="BD1388" s="1754" t="n">
        <v>193.09</v>
      </c>
      <c r="BE1388" s="1754" t="n">
        <v>210.09</v>
      </c>
      <c r="BF1388" s="1754" t="n">
        <v>239</v>
      </c>
      <c r="BG1388" s="1754" t="n">
        <v>246.7</v>
      </c>
      <c r="BH1388" s="1754" t="n">
        <v>276.57</v>
      </c>
      <c r="BI1388" s="1754" t="n">
        <v>276.57</v>
      </c>
      <c r="BJ1388" s="1754" t="n">
        <v>322.8</v>
      </c>
      <c r="BK1388" s="1754" t="n">
        <v>326.5</v>
      </c>
      <c r="BL1388" s="1754" t="n">
        <v>321.11</v>
      </c>
      <c r="BM1388" s="1754" t="n">
        <v>324.54</v>
      </c>
      <c r="BN1388" s="1754" t="n">
        <v>326.5</v>
      </c>
      <c r="BO1388" s="1754" t="n">
        <v>324.52</v>
      </c>
      <c r="BP1388" s="1754" t="n">
        <v>323.08</v>
      </c>
      <c r="BQ1388" s="2041" t="n">
        <v>373.37</v>
      </c>
      <c r="BR1388" s="1714" t="n"/>
      <c r="BS1388" s="1714" t="n"/>
      <c r="BT1388" s="1714" t="n"/>
      <c r="BU1388" s="1714" t="n"/>
      <c r="BV1388" s="1714" t="n"/>
      <c r="BW1388" s="1714" t="n"/>
      <c r="BX1388" s="1714" t="n"/>
      <c r="BY1388" s="1714" t="n"/>
      <c r="BZ1388" s="1714" t="n"/>
      <c r="CA1388" s="2037" t="n"/>
      <c r="CB1388" s="2038" t="n"/>
    </row>
    <row r="1389" hidden="1" outlineLevel="1" ht="14.4" customFormat="1" customHeight="1" s="1905">
      <c r="A1389" s="2039" t="inlineStr">
        <is>
          <t>Bloomberg</t>
        </is>
      </c>
      <c r="B1389" s="1714" t="n"/>
      <c r="C1389" s="2036">
        <f>IFERROR(BDP(MO.Ticker.Bloomberg&amp;" Equity","INTERVAL_HIGH","MARKET_DATA_OVERRIDE=PX_LAST","START_DATE_OVERRIDE",TEXT(INDEX(MO_SNA_FPStartDate,0,COLUMN()),"YYYYMMDD"),"END_DATE_OVERRIDE",TEXT(INDEX(MO_Common_QEndDate,0,COLUMN()),"YYYYMMDD")),"N/A")</f>
        <v/>
      </c>
      <c r="D1389" s="2036">
        <f>IFERROR(BDP(MO.Ticker.Bloomberg&amp;" Equity","INTERVAL_HIGH","MARKET_DATA_OVERRIDE=PX_LAST","START_DATE_OVERRIDE",TEXT(INDEX(MO_SNA_FPStartDate,0,COLUMN()),"YYYYMMDD"),"END_DATE_OVERRIDE",TEXT(INDEX(MO_Common_QEndDate,0,COLUMN()),"YYYYMMDD")),"N/A")</f>
        <v/>
      </c>
      <c r="E1389" s="2036">
        <f>IFERROR(BDP(MO.Ticker.Bloomberg&amp;" Equity","INTERVAL_HIGH","MARKET_DATA_OVERRIDE=PX_LAST","START_DATE_OVERRIDE",TEXT(INDEX(MO_SNA_FPStartDate,0,COLUMN()),"YYYYMMDD"),"END_DATE_OVERRIDE",TEXT(INDEX(MO_Common_QEndDate,0,COLUMN()),"YYYYMMDD")),"N/A")</f>
        <v/>
      </c>
      <c r="F1389" s="2036">
        <f>IFERROR(BDP(MO.Ticker.Bloomberg&amp;" Equity","INTERVAL_HIGH","MARKET_DATA_OVERRIDE=PX_LAST","START_DATE_OVERRIDE",TEXT(INDEX(MO_SNA_FPStartDate,0,COLUMN()),"YYYYMMDD"),"END_DATE_OVERRIDE",TEXT(INDEX(MO_Common_QEndDate,0,COLUMN()),"YYYYMMDD")),"N/A")</f>
        <v/>
      </c>
      <c r="G1389" s="2036">
        <f>IFERROR(BDP(MO.Ticker.Bloomberg&amp;" Equity","INTERVAL_HIGH","MARKET_DATA_OVERRIDE=PX_LAST","START_DATE_OVERRIDE",TEXT(INDEX(MO_SNA_FPStartDate,0,COLUMN()),"YYYYMMDD"),"END_DATE_OVERRIDE",TEXT(INDEX(MO_Common_QEndDate,0,COLUMN()),"YYYYMMDD")),"N/A")</f>
        <v/>
      </c>
      <c r="H1389" s="1714">
        <f>IFERROR(BDP(MO.Ticker.Bloomberg&amp;" Equity","INTERVAL_HIGH","MARKET_DATA_OVERRIDE=PX_LAST","START_DATE_OVERRIDE",TEXT(INDEX(MO_SNA_FPStartDate,0,COLUMN()),"YYYYMMDD"),"END_DATE_OVERRIDE",TEXT(INDEX(MO_Common_QEndDate,0,COLUMN()),"YYYYMMDD")),"N/A")</f>
        <v/>
      </c>
      <c r="I1389" s="1714">
        <f>IFERROR(BDP(MO.Ticker.Bloomberg&amp;" Equity","INTERVAL_HIGH","MARKET_DATA_OVERRIDE=PX_LAST","START_DATE_OVERRIDE",TEXT(INDEX(MO_SNA_FPStartDate,0,COLUMN()),"YYYYMMDD"),"END_DATE_OVERRIDE",TEXT(INDEX(MO_Common_QEndDate,0,COLUMN()),"YYYYMMDD")),"N/A")</f>
        <v/>
      </c>
      <c r="J1389" s="1714">
        <f>IFERROR(BDP(MO.Ticker.Bloomberg&amp;" Equity","INTERVAL_HIGH","MARKET_DATA_OVERRIDE=PX_LAST","START_DATE_OVERRIDE",TEXT(INDEX(MO_SNA_FPStartDate,0,COLUMN()),"YYYYMMDD"),"END_DATE_OVERRIDE",TEXT(INDEX(MO_Common_QEndDate,0,COLUMN()),"YYYYMMDD")),"N/A")</f>
        <v/>
      </c>
      <c r="K1389" s="1714">
        <f>IFERROR(BDP(MO.Ticker.Bloomberg&amp;" Equity","INTERVAL_HIGH","MARKET_DATA_OVERRIDE=PX_LAST","START_DATE_OVERRIDE",TEXT(INDEX(MO_SNA_FPStartDate,0,COLUMN()),"YYYYMMDD"),"END_DATE_OVERRIDE",TEXT(INDEX(MO_Common_QEndDate,0,COLUMN()),"YYYYMMDD")),"N/A")</f>
        <v/>
      </c>
      <c r="L1389" s="1714">
        <f>IFERROR(BDP(MO.Ticker.Bloomberg&amp;" Equity","INTERVAL_HIGH","MARKET_DATA_OVERRIDE=PX_LAST","START_DATE_OVERRIDE",TEXT(INDEX(MO_SNA_FPStartDate,0,COLUMN()),"YYYYMMDD"),"END_DATE_OVERRIDE",TEXT(INDEX(MO_Common_QEndDate,0,COLUMN()),"YYYYMMDD")),"N/A")</f>
        <v/>
      </c>
      <c r="M1389" s="1714">
        <f>IFERROR(BDP(MO.Ticker.Bloomberg&amp;" Equity","INTERVAL_HIGH","MARKET_DATA_OVERRIDE=PX_LAST","START_DATE_OVERRIDE",TEXT(INDEX(MO_SNA_FPStartDate,0,COLUMN()),"YYYYMMDD"),"END_DATE_OVERRIDE",TEXT(INDEX(MO_Common_QEndDate,0,COLUMN()),"YYYYMMDD")),"N/A")</f>
        <v/>
      </c>
      <c r="N1389" s="1714">
        <f>IFERROR(BDP(MO.Ticker.Bloomberg&amp;" Equity","INTERVAL_HIGH","MARKET_DATA_OVERRIDE=PX_LAST","START_DATE_OVERRIDE",TEXT(INDEX(MO_SNA_FPStartDate,0,COLUMN()),"YYYYMMDD"),"END_DATE_OVERRIDE",TEXT(INDEX(MO_Common_QEndDate,0,COLUMN()),"YYYYMMDD")),"N/A")</f>
        <v/>
      </c>
      <c r="O1389" s="1714">
        <f>IFERROR(BDP(MO.Ticker.Bloomberg&amp;" Equity","INTERVAL_HIGH","MARKET_DATA_OVERRIDE=PX_LAST","START_DATE_OVERRIDE",TEXT(INDEX(MO_SNA_FPStartDate,0,COLUMN()),"YYYYMMDD"),"END_DATE_OVERRIDE",TEXT(INDEX(MO_Common_QEndDate,0,COLUMN()),"YYYYMMDD")),"N/A")</f>
        <v/>
      </c>
      <c r="P1389" s="1714">
        <f>IFERROR(BDP(MO.Ticker.Bloomberg&amp;" Equity","INTERVAL_HIGH","MARKET_DATA_OVERRIDE=PX_LAST","START_DATE_OVERRIDE",TEXT(INDEX(MO_SNA_FPStartDate,0,COLUMN()),"YYYYMMDD"),"END_DATE_OVERRIDE",TEXT(INDEX(MO_Common_QEndDate,0,COLUMN()),"YYYYMMDD")),"N/A")</f>
        <v/>
      </c>
      <c r="Q1389" s="1714">
        <f>IFERROR(BDP(MO.Ticker.Bloomberg&amp;" Equity","INTERVAL_HIGH","MARKET_DATA_OVERRIDE=PX_LAST","START_DATE_OVERRIDE",TEXT(INDEX(MO_SNA_FPStartDate,0,COLUMN()),"YYYYMMDD"),"END_DATE_OVERRIDE",TEXT(INDEX(MO_Common_QEndDate,0,COLUMN()),"YYYYMMDD")),"N/A")</f>
        <v/>
      </c>
      <c r="R1389" s="1714">
        <f>IFERROR(BDP(MO.Ticker.Bloomberg&amp;" Equity","INTERVAL_HIGH","MARKET_DATA_OVERRIDE=PX_LAST","START_DATE_OVERRIDE",TEXT(INDEX(MO_SNA_FPStartDate,0,COLUMN()),"YYYYMMDD"),"END_DATE_OVERRIDE",TEXT(INDEX(MO_Common_QEndDate,0,COLUMN()),"YYYYMMDD")),"N/A")</f>
        <v/>
      </c>
      <c r="S1389" s="1714">
        <f>IFERROR(BDP(MO.Ticker.Bloomberg&amp;" Equity","INTERVAL_HIGH","MARKET_DATA_OVERRIDE=PX_LAST","START_DATE_OVERRIDE",TEXT(INDEX(MO_SNA_FPStartDate,0,COLUMN()),"YYYYMMDD"),"END_DATE_OVERRIDE",TEXT(INDEX(MO_Common_QEndDate,0,COLUMN()),"YYYYMMDD")),"N/A")</f>
        <v/>
      </c>
      <c r="T1389" s="1714">
        <f>IFERROR(BDP(MO.Ticker.Bloomberg&amp;" Equity","INTERVAL_HIGH","MARKET_DATA_OVERRIDE=PX_LAST","START_DATE_OVERRIDE",TEXT(INDEX(MO_SNA_FPStartDate,0,COLUMN()),"YYYYMMDD"),"END_DATE_OVERRIDE",TEXT(INDEX(MO_Common_QEndDate,0,COLUMN()),"YYYYMMDD")),"N/A")</f>
        <v/>
      </c>
      <c r="U1389" s="1714">
        <f>IFERROR(BDP(MO.Ticker.Bloomberg&amp;" Equity","INTERVAL_HIGH","MARKET_DATA_OVERRIDE=PX_LAST","START_DATE_OVERRIDE",TEXT(INDEX(MO_SNA_FPStartDate,0,COLUMN()),"YYYYMMDD"),"END_DATE_OVERRIDE",TEXT(INDEX(MO_Common_QEndDate,0,COLUMN()),"YYYYMMDD")),"N/A")</f>
        <v/>
      </c>
      <c r="V1389" s="1714">
        <f>IFERROR(BDP(MO.Ticker.Bloomberg&amp;" Equity","INTERVAL_HIGH","MARKET_DATA_OVERRIDE=PX_LAST","START_DATE_OVERRIDE",TEXT(INDEX(MO_SNA_FPStartDate,0,COLUMN()),"YYYYMMDD"),"END_DATE_OVERRIDE",TEXT(INDEX(MO_Common_QEndDate,0,COLUMN()),"YYYYMMDD")),"N/A")</f>
        <v/>
      </c>
      <c r="W1389" s="1714">
        <f>IFERROR(BDP(MO.Ticker.Bloomberg&amp;" Equity","INTERVAL_HIGH","MARKET_DATA_OVERRIDE=PX_LAST","START_DATE_OVERRIDE",TEXT(INDEX(MO_SNA_FPStartDate,0,COLUMN()),"YYYYMMDD"),"END_DATE_OVERRIDE",TEXT(INDEX(MO_Common_QEndDate,0,COLUMN()),"YYYYMMDD")),"N/A")</f>
        <v/>
      </c>
      <c r="X1389" s="1714">
        <f>IFERROR(BDP(MO.Ticker.Bloomberg&amp;" Equity","INTERVAL_HIGH","MARKET_DATA_OVERRIDE=PX_LAST","START_DATE_OVERRIDE",TEXT(INDEX(MO_SNA_FPStartDate,0,COLUMN()),"YYYYMMDD"),"END_DATE_OVERRIDE",TEXT(INDEX(MO_Common_QEndDate,0,COLUMN()),"YYYYMMDD")),"N/A")</f>
        <v/>
      </c>
      <c r="Y1389" s="1714">
        <f>IFERROR(BDP(MO.Ticker.Bloomberg&amp;" Equity","INTERVAL_HIGH","MARKET_DATA_OVERRIDE=PX_LAST","START_DATE_OVERRIDE",TEXT(INDEX(MO_SNA_FPStartDate,0,COLUMN()),"YYYYMMDD"),"END_DATE_OVERRIDE",TEXT(INDEX(MO_Common_QEndDate,0,COLUMN()),"YYYYMMDD")),"N/A")</f>
        <v/>
      </c>
      <c r="Z1389" s="1714">
        <f>IFERROR(BDP(MO.Ticker.Bloomberg&amp;" Equity","INTERVAL_HIGH","MARKET_DATA_OVERRIDE=PX_LAST","START_DATE_OVERRIDE",TEXT(INDEX(MO_SNA_FPStartDate,0,COLUMN()),"YYYYMMDD"),"END_DATE_OVERRIDE",TEXT(INDEX(MO_Common_QEndDate,0,COLUMN()),"YYYYMMDD")),"N/A")</f>
        <v/>
      </c>
      <c r="AA1389" s="1714">
        <f>IFERROR(BDP(MO.Ticker.Bloomberg&amp;" Equity","INTERVAL_HIGH","MARKET_DATA_OVERRIDE=PX_LAST","START_DATE_OVERRIDE",TEXT(INDEX(MO_SNA_FPStartDate,0,COLUMN()),"YYYYMMDD"),"END_DATE_OVERRIDE",TEXT(INDEX(MO_Common_QEndDate,0,COLUMN()),"YYYYMMDD")),"N/A")</f>
        <v/>
      </c>
      <c r="AB1389" s="1714">
        <f>IFERROR(BDP(MO.Ticker.Bloomberg&amp;" Equity","INTERVAL_HIGH","MARKET_DATA_OVERRIDE=PX_LAST","START_DATE_OVERRIDE",TEXT(INDEX(MO_SNA_FPStartDate,0,COLUMN()),"YYYYMMDD"),"END_DATE_OVERRIDE",TEXT(INDEX(MO_Common_QEndDate,0,COLUMN()),"YYYYMMDD")),"N/A")</f>
        <v/>
      </c>
      <c r="AC1389" s="1714">
        <f>IFERROR(BDP(MO.Ticker.Bloomberg&amp;" Equity","INTERVAL_HIGH","MARKET_DATA_OVERRIDE=PX_LAST","START_DATE_OVERRIDE",TEXT(INDEX(MO_SNA_FPStartDate,0,COLUMN()),"YYYYMMDD"),"END_DATE_OVERRIDE",TEXT(INDEX(MO_Common_QEndDate,0,COLUMN()),"YYYYMMDD")),"N/A")</f>
        <v/>
      </c>
      <c r="AD1389" s="1714">
        <f>IFERROR(BDP(MO.Ticker.Bloomberg&amp;" Equity","INTERVAL_HIGH","MARKET_DATA_OVERRIDE=PX_LAST","START_DATE_OVERRIDE",TEXT(INDEX(MO_SNA_FPStartDate,0,COLUMN()),"YYYYMMDD"),"END_DATE_OVERRIDE",TEXT(INDEX(MO_Common_QEndDate,0,COLUMN()),"YYYYMMDD")),"N/A")</f>
        <v/>
      </c>
      <c r="AE1389" s="1714">
        <f>IFERROR(BDP(MO.Ticker.Bloomberg&amp;" Equity","INTERVAL_HIGH","MARKET_DATA_OVERRIDE=PX_LAST","START_DATE_OVERRIDE",TEXT(INDEX(MO_SNA_FPStartDate,0,COLUMN()),"YYYYMMDD"),"END_DATE_OVERRIDE",TEXT(INDEX(MO_Common_QEndDate,0,COLUMN()),"YYYYMMDD")),"N/A")</f>
        <v/>
      </c>
      <c r="AF1389" s="1714">
        <f>IFERROR(BDP(MO.Ticker.Bloomberg&amp;" Equity","INTERVAL_HIGH","MARKET_DATA_OVERRIDE=PX_LAST","START_DATE_OVERRIDE",TEXT(INDEX(MO_SNA_FPStartDate,0,COLUMN()),"YYYYMMDD"),"END_DATE_OVERRIDE",TEXT(INDEX(MO_Common_QEndDate,0,COLUMN()),"YYYYMMDD")),"N/A")</f>
        <v/>
      </c>
      <c r="AG1389" s="1714">
        <f>IFERROR(BDP(MO.Ticker.Bloomberg&amp;" Equity","INTERVAL_HIGH","MARKET_DATA_OVERRIDE=PX_LAST","START_DATE_OVERRIDE",TEXT(INDEX(MO_SNA_FPStartDate,0,COLUMN()),"YYYYMMDD"),"END_DATE_OVERRIDE",TEXT(INDEX(MO_Common_QEndDate,0,COLUMN()),"YYYYMMDD")),"N/A")</f>
        <v/>
      </c>
      <c r="AH1389" s="1714">
        <f>IFERROR(BDP(MO.Ticker.Bloomberg&amp;" Equity","INTERVAL_HIGH","MARKET_DATA_OVERRIDE=PX_LAST","START_DATE_OVERRIDE",TEXT(INDEX(MO_SNA_FPStartDate,0,COLUMN()),"YYYYMMDD"),"END_DATE_OVERRIDE",TEXT(INDEX(MO_Common_QEndDate,0,COLUMN()),"YYYYMMDD")),"N/A")</f>
        <v/>
      </c>
      <c r="AI1389" s="1714">
        <f>IFERROR(BDP(MO.Ticker.Bloomberg&amp;" Equity","INTERVAL_HIGH","MARKET_DATA_OVERRIDE=PX_LAST","START_DATE_OVERRIDE",TEXT(INDEX(MO_SNA_FPStartDate,0,COLUMN()),"YYYYMMDD"),"END_DATE_OVERRIDE",TEXT(INDEX(MO_Common_QEndDate,0,COLUMN()),"YYYYMMDD")),"N/A")</f>
        <v/>
      </c>
      <c r="AJ1389" s="1714">
        <f>IFERROR(BDP(MO.Ticker.Bloomberg&amp;" Equity","INTERVAL_HIGH","MARKET_DATA_OVERRIDE=PX_LAST","START_DATE_OVERRIDE",TEXT(INDEX(MO_SNA_FPStartDate,0,COLUMN()),"YYYYMMDD"),"END_DATE_OVERRIDE",TEXT(INDEX(MO_Common_QEndDate,0,COLUMN()),"YYYYMMDD")),"N/A")</f>
        <v/>
      </c>
      <c r="AK1389" s="1714">
        <f>IFERROR(BDP(MO.Ticker.Bloomberg&amp;" Equity","INTERVAL_HIGH","MARKET_DATA_OVERRIDE=PX_LAST","START_DATE_OVERRIDE",TEXT(INDEX(MO_SNA_FPStartDate,0,COLUMN()),"YYYYMMDD"),"END_DATE_OVERRIDE",TEXT(INDEX(MO_Common_QEndDate,0,COLUMN()),"YYYYMMDD")),"N/A")</f>
        <v/>
      </c>
      <c r="AL1389" s="1714">
        <f>IFERROR(BDP(MO.Ticker.Bloomberg&amp;" Equity","INTERVAL_HIGH","MARKET_DATA_OVERRIDE=PX_LAST","START_DATE_OVERRIDE",TEXT(INDEX(MO_SNA_FPStartDate,0,COLUMN()),"YYYYMMDD"),"END_DATE_OVERRIDE",TEXT(INDEX(MO_Common_QEndDate,0,COLUMN()),"YYYYMMDD")),"N/A")</f>
        <v/>
      </c>
      <c r="AM1389" s="1714">
        <f>IFERROR(BDP(MO.Ticker.Bloomberg&amp;" Equity","INTERVAL_HIGH","MARKET_DATA_OVERRIDE=PX_LAST","START_DATE_OVERRIDE",TEXT(INDEX(MO_SNA_FPStartDate,0,COLUMN()),"YYYYMMDD"),"END_DATE_OVERRIDE",TEXT(INDEX(MO_Common_QEndDate,0,COLUMN()),"YYYYMMDD")),"N/A")</f>
        <v/>
      </c>
      <c r="AN1389" s="1714">
        <f>IFERROR(BDP(MO.Ticker.Bloomberg&amp;" Equity","INTERVAL_HIGH","MARKET_DATA_OVERRIDE=PX_LAST","START_DATE_OVERRIDE",TEXT(INDEX(MO_SNA_FPStartDate,0,COLUMN()),"YYYYMMDD"),"END_DATE_OVERRIDE",TEXT(INDEX(MO_Common_QEndDate,0,COLUMN()),"YYYYMMDD")),"N/A")</f>
        <v/>
      </c>
      <c r="AO1389" s="1714">
        <f>IFERROR(BDP(MO.Ticker.Bloomberg&amp;" Equity","INTERVAL_HIGH","MARKET_DATA_OVERRIDE=PX_LAST","START_DATE_OVERRIDE",TEXT(INDEX(MO_SNA_FPStartDate,0,COLUMN()),"YYYYMMDD"),"END_DATE_OVERRIDE",TEXT(INDEX(MO_Common_QEndDate,0,COLUMN()),"YYYYMMDD")),"N/A")</f>
        <v/>
      </c>
      <c r="AP1389" s="1714">
        <f>IFERROR(BDP(MO.Ticker.Bloomberg&amp;" Equity","INTERVAL_HIGH","MARKET_DATA_OVERRIDE=PX_LAST","START_DATE_OVERRIDE",TEXT(INDEX(MO_SNA_FPStartDate,0,COLUMN()),"YYYYMMDD"),"END_DATE_OVERRIDE",TEXT(INDEX(MO_Common_QEndDate,0,COLUMN()),"YYYYMMDD")),"N/A")</f>
        <v/>
      </c>
      <c r="AQ1389" s="1714">
        <f>IFERROR(BDP(MO.Ticker.Bloomberg&amp;" Equity","INTERVAL_HIGH","MARKET_DATA_OVERRIDE=PX_LAST","START_DATE_OVERRIDE",TEXT(INDEX(MO_SNA_FPStartDate,0,COLUMN()),"YYYYMMDD"),"END_DATE_OVERRIDE",TEXT(INDEX(MO_Common_QEndDate,0,COLUMN()),"YYYYMMDD")),"N/A")</f>
        <v/>
      </c>
      <c r="AR1389" s="1714">
        <f>IFERROR(BDP(MO.Ticker.Bloomberg&amp;" Equity","INTERVAL_HIGH","MARKET_DATA_OVERRIDE=PX_LAST","START_DATE_OVERRIDE",TEXT(INDEX(MO_SNA_FPStartDate,0,COLUMN()),"YYYYMMDD"),"END_DATE_OVERRIDE",TEXT(INDEX(MO_Common_QEndDate,0,COLUMN()),"YYYYMMDD")),"N/A")</f>
        <v/>
      </c>
      <c r="AS1389" s="1714">
        <f>IFERROR(BDP(MO.Ticker.Bloomberg&amp;" Equity","INTERVAL_HIGH","MARKET_DATA_OVERRIDE=PX_LAST","START_DATE_OVERRIDE",TEXT(INDEX(MO_SNA_FPStartDate,0,COLUMN()),"YYYYMMDD"),"END_DATE_OVERRIDE",TEXT(INDEX(MO_Common_QEndDate,0,COLUMN()),"YYYYMMDD")),"N/A")</f>
        <v/>
      </c>
      <c r="AT1389" s="1714">
        <f>IFERROR(BDP(MO.Ticker.Bloomberg&amp;" Equity","INTERVAL_HIGH","MARKET_DATA_OVERRIDE=PX_LAST","START_DATE_OVERRIDE",TEXT(INDEX(MO_SNA_FPStartDate,0,COLUMN()),"YYYYMMDD"),"END_DATE_OVERRIDE",TEXT(INDEX(MO_Common_QEndDate,0,COLUMN()),"YYYYMMDD")),"N/A")</f>
        <v/>
      </c>
      <c r="AU1389" s="1714">
        <f>IFERROR(BDP(MO.Ticker.Bloomberg&amp;" Equity","INTERVAL_HIGH","MARKET_DATA_OVERRIDE=PX_LAST","START_DATE_OVERRIDE",TEXT(INDEX(MO_SNA_FPStartDate,0,COLUMN()),"YYYYMMDD"),"END_DATE_OVERRIDE",TEXT(INDEX(MO_Common_QEndDate,0,COLUMN()),"YYYYMMDD")),"N/A")</f>
        <v/>
      </c>
      <c r="AV1389" s="1714">
        <f>IFERROR(BDP(MO.Ticker.Bloomberg&amp;" Equity","INTERVAL_HIGH","MARKET_DATA_OVERRIDE=PX_LAST","START_DATE_OVERRIDE",TEXT(INDEX(MO_SNA_FPStartDate,0,COLUMN()),"YYYYMMDD"),"END_DATE_OVERRIDE",TEXT(INDEX(MO_Common_QEndDate,0,COLUMN()),"YYYYMMDD")),"N/A")</f>
        <v/>
      </c>
      <c r="AW1389" s="1714">
        <f>IFERROR(BDP(MO.Ticker.Bloomberg&amp;" Equity","INTERVAL_HIGH","MARKET_DATA_OVERRIDE=PX_LAST","START_DATE_OVERRIDE",TEXT(INDEX(MO_SNA_FPStartDate,0,COLUMN()),"YYYYMMDD"),"END_DATE_OVERRIDE",TEXT(INDEX(MO_Common_QEndDate,0,COLUMN()),"YYYYMMDD")),"N/A")</f>
        <v/>
      </c>
      <c r="AX1389" s="1714">
        <f>IFERROR(BDP(MO.Ticker.Bloomberg&amp;" Equity","INTERVAL_HIGH","MARKET_DATA_OVERRIDE=PX_LAST","START_DATE_OVERRIDE",TEXT(INDEX(MO_SNA_FPStartDate,0,COLUMN()),"YYYYMMDD"),"END_DATE_OVERRIDE",TEXT(INDEX(MO_Common_QEndDate,0,COLUMN()),"YYYYMMDD")),"N/A")</f>
        <v/>
      </c>
      <c r="AY1389" s="1714">
        <f>IFERROR(BDP(MO.Ticker.Bloomberg&amp;" Equity","INTERVAL_HIGH","MARKET_DATA_OVERRIDE=PX_LAST","START_DATE_OVERRIDE",TEXT(INDEX(MO_SNA_FPStartDate,0,COLUMN()),"YYYYMMDD"),"END_DATE_OVERRIDE",TEXT(INDEX(MO_Common_QEndDate,0,COLUMN()),"YYYYMMDD")),"N/A")</f>
        <v/>
      </c>
      <c r="AZ1389" s="1714">
        <f>IFERROR(BDP(MO.Ticker.Bloomberg&amp;" Equity","INTERVAL_HIGH","MARKET_DATA_OVERRIDE=PX_LAST","START_DATE_OVERRIDE",TEXT(INDEX(MO_SNA_FPStartDate,0,COLUMN()),"YYYYMMDD"),"END_DATE_OVERRIDE",TEXT(INDEX(MO_Common_QEndDate,0,COLUMN()),"YYYYMMDD")),"N/A")</f>
        <v/>
      </c>
      <c r="BA1389" s="1714">
        <f>IFERROR(BDP(MO.Ticker.Bloomberg&amp;" Equity","INTERVAL_HIGH","MARKET_DATA_OVERRIDE=PX_LAST","START_DATE_OVERRIDE",TEXT(INDEX(MO_SNA_FPStartDate,0,COLUMN()),"YYYYMMDD"),"END_DATE_OVERRIDE",TEXT(INDEX(MO_Common_QEndDate,0,COLUMN()),"YYYYMMDD")),"N/A")</f>
        <v/>
      </c>
      <c r="BB1389" s="1714">
        <f>IFERROR(BDP(MO.Ticker.Bloomberg&amp;" Equity","INTERVAL_HIGH","MARKET_DATA_OVERRIDE=PX_LAST","START_DATE_OVERRIDE",TEXT(INDEX(MO_SNA_FPStartDate,0,COLUMN()),"YYYYMMDD"),"END_DATE_OVERRIDE",TEXT(INDEX(MO_Common_QEndDate,0,COLUMN()),"YYYYMMDD")),"N/A")</f>
        <v/>
      </c>
      <c r="BC1389" s="1714">
        <f>IFERROR(BDP(MO.Ticker.Bloomberg&amp;" Equity","INTERVAL_HIGH","MARKET_DATA_OVERRIDE=PX_LAST","START_DATE_OVERRIDE",TEXT(INDEX(MO_SNA_FPStartDate,0,COLUMN()),"YYYYMMDD"),"END_DATE_OVERRIDE",TEXT(INDEX(MO_Common_QEndDate,0,COLUMN()),"YYYYMMDD")),"N/A")</f>
        <v/>
      </c>
      <c r="BD1389" s="1714">
        <f>IFERROR(BDP(MO.Ticker.Bloomberg&amp;" Equity","INTERVAL_HIGH","MARKET_DATA_OVERRIDE=PX_LAST","START_DATE_OVERRIDE",TEXT(INDEX(MO_SNA_FPStartDate,0,COLUMN()),"YYYYMMDD"),"END_DATE_OVERRIDE",TEXT(INDEX(MO_Common_QEndDate,0,COLUMN()),"YYYYMMDD")),"N/A")</f>
        <v/>
      </c>
      <c r="BE1389" s="1714">
        <f>IFERROR(BDP(MO.Ticker.Bloomberg&amp;" Equity","INTERVAL_HIGH","MARKET_DATA_OVERRIDE=PX_LAST","START_DATE_OVERRIDE",TEXT(INDEX(MO_SNA_FPStartDate,0,COLUMN()),"YYYYMMDD"),"END_DATE_OVERRIDE",TEXT(INDEX(MO_Common_QEndDate,0,COLUMN()),"YYYYMMDD")),"N/A")</f>
        <v/>
      </c>
      <c r="BF1389" s="1714">
        <f>IFERROR(BDP(MO.Ticker.Bloomberg&amp;" Equity","INTERVAL_HIGH","MARKET_DATA_OVERRIDE=PX_LAST","START_DATE_OVERRIDE",TEXT(INDEX(MO_SNA_FPStartDate,0,COLUMN()),"YYYYMMDD"),"END_DATE_OVERRIDE",TEXT(INDEX(MO_Common_QEndDate,0,COLUMN()),"YYYYMMDD")),"N/A")</f>
        <v/>
      </c>
      <c r="BG1389" s="1714">
        <f>IFERROR(BDP(MO.Ticker.Bloomberg&amp;" Equity","INTERVAL_HIGH","MARKET_DATA_OVERRIDE=PX_LAST","START_DATE_OVERRIDE",TEXT(INDEX(MO_SNA_FPStartDate,0,COLUMN()),"YYYYMMDD"),"END_DATE_OVERRIDE",TEXT(INDEX(MO_Common_QEndDate,0,COLUMN()),"YYYYMMDD")),"N/A")</f>
        <v/>
      </c>
      <c r="BH1389" s="1714">
        <f>IFERROR(BDP(MO.Ticker.Bloomberg&amp;" Equity","INTERVAL_HIGH","MARKET_DATA_OVERRIDE=PX_LAST","START_DATE_OVERRIDE",TEXT(INDEX(MO_SNA_FPStartDate,0,COLUMN()),"YYYYMMDD"),"END_DATE_OVERRIDE",TEXT(INDEX(MO_Common_QEndDate,0,COLUMN()),"YYYYMMDD")),"N/A")</f>
        <v/>
      </c>
      <c r="BI1389" s="1714">
        <f>IFERROR(BDP(MO.Ticker.Bloomberg&amp;" Equity","INTERVAL_HIGH","MARKET_DATA_OVERRIDE=PX_LAST","START_DATE_OVERRIDE",TEXT(INDEX(MO_SNA_FPStartDate,0,COLUMN()),"YYYYMMDD"),"END_DATE_OVERRIDE",TEXT(INDEX(MO_Common_QEndDate,0,COLUMN()),"YYYYMMDD")),"N/A")</f>
        <v/>
      </c>
      <c r="BJ1389" s="1714">
        <f>IFERROR(BDP(MO.Ticker.Bloomberg&amp;" Equity","INTERVAL_HIGH","MARKET_DATA_OVERRIDE=PX_LAST","START_DATE_OVERRIDE",TEXT(INDEX(MO_SNA_FPStartDate,0,COLUMN()),"YYYYMMDD"),"END_DATE_OVERRIDE",TEXT(INDEX(MO_Common_QEndDate,0,COLUMN()),"YYYYMMDD")),"N/A")</f>
        <v/>
      </c>
      <c r="BK1389" s="1714">
        <f>IFERROR(BDP(MO.Ticker.Bloomberg&amp;" Equity","INTERVAL_HIGH","MARKET_DATA_OVERRIDE=PX_LAST","START_DATE_OVERRIDE",TEXT(INDEX(MO_SNA_FPStartDate,0,COLUMN()),"YYYYMMDD"),"END_DATE_OVERRIDE",TEXT(INDEX(MO_Common_QEndDate,0,COLUMN()),"YYYYMMDD")),"N/A")</f>
        <v/>
      </c>
      <c r="BL1389" s="1714">
        <f>IFERROR(BDP(MO.Ticker.Bloomberg&amp;" Equity","INTERVAL_HIGH","MARKET_DATA_OVERRIDE=PX_LAST","START_DATE_OVERRIDE",TEXT(INDEX(MO_SNA_FPStartDate,0,COLUMN()),"YYYYMMDD"),"END_DATE_OVERRIDE",TEXT(INDEX(MO_Common_QEndDate,0,COLUMN()),"YYYYMMDD")),"N/A")</f>
        <v/>
      </c>
      <c r="BM1389" s="1714">
        <f>IFERROR(BDP(MO.Ticker.Bloomberg&amp;" Equity","INTERVAL_HIGH","MARKET_DATA_OVERRIDE=PX_LAST","START_DATE_OVERRIDE",TEXT(INDEX(MO_SNA_FPStartDate,0,COLUMN()),"YYYYMMDD"),"END_DATE_OVERRIDE",TEXT(INDEX(MO_Common_QEndDate,0,COLUMN()),"YYYYMMDD")),"N/A")</f>
        <v/>
      </c>
      <c r="BN1389" s="1714">
        <f>IFERROR(BDP(MO.Ticker.Bloomberg&amp;" Equity","INTERVAL_HIGH","MARKET_DATA_OVERRIDE=PX_LAST","START_DATE_OVERRIDE",TEXT(INDEX(MO_SNA_FPStartDate,0,COLUMN()),"YYYYMMDD"),"END_DATE_OVERRIDE",TEXT(INDEX(MO_Common_QEndDate,0,COLUMN()),"YYYYMMDD")),"N/A")</f>
        <v/>
      </c>
      <c r="BO1389" s="1714">
        <f>IFERROR(BDP(MO.Ticker.Bloomberg&amp;" Equity","INTERVAL_HIGH","MARKET_DATA_OVERRIDE=PX_LAST","START_DATE_OVERRIDE",TEXT(INDEX(MO_SNA_FPStartDate,0,COLUMN()),"YYYYMMDD"),"END_DATE_OVERRIDE",TEXT(INDEX(MO_Common_QEndDate,0,COLUMN()),"YYYYMMDD")),"N/A")</f>
        <v/>
      </c>
      <c r="BP1389" s="1714">
        <f>IFERROR(BDP(MO.Ticker.Bloomberg&amp;" Equity","INTERVAL_HIGH","MARKET_DATA_OVERRIDE=PX_LAST","START_DATE_OVERRIDE",TEXT(INDEX(MO_SNA_FPStartDate,0,COLUMN()),"YYYYMMDD"),"END_DATE_OVERRIDE",TEXT(INDEX(MO_Common_QEndDate,0,COLUMN()),"YYYYMMDD")),"N/A")</f>
        <v/>
      </c>
      <c r="BQ1389" s="1717">
        <f>IFERROR(BDP(MO.Ticker.Bloomberg&amp;" Equity","INTERVAL_HIGH","MARKET_DATA_OVERRIDE=PX_LAST","START_DATE_OVERRIDE",TEXT(INDEX(MO_SNA_FPStartDate,0,COLUMN()),"YYYYMMDD"),"END_DATE_OVERRIDE",TEXT(INDEX(MO_Common_QEndDate,0,COLUMN()),"YYYYMMDD")),"N/A")</f>
        <v/>
      </c>
      <c r="BR1389" s="1714">
        <f>IFERROR(BDP(MO.Ticker.Bloomberg&amp;" Equity","INTERVAL_HIGH","MARKET_DATA_OVERRIDE=PX_LAST","START_DATE_OVERRIDE",TEXT(INDEX(MO_SNA_FPStartDate,0,COLUMN()),"YYYYMMDD"),"END_DATE_OVERRIDE",TEXT(INDEX(MO_Common_QEndDate,0,COLUMN()),"YYYYMMDD")),"N/A")</f>
        <v/>
      </c>
      <c r="BS1389" s="1714">
        <f>IFERROR(BDP(MO.Ticker.Bloomberg&amp;" Equity","INTERVAL_HIGH","MARKET_DATA_OVERRIDE=PX_LAST","START_DATE_OVERRIDE",TEXT(INDEX(MO_SNA_FPStartDate,0,COLUMN()),"YYYYMMDD"),"END_DATE_OVERRIDE",TEXT(INDEX(MO_Common_QEndDate,0,COLUMN()),"YYYYMMDD")),"N/A")</f>
        <v/>
      </c>
      <c r="BT1389" s="1714">
        <f>IFERROR(BDP(MO.Ticker.Bloomberg&amp;" Equity","INTERVAL_HIGH","MARKET_DATA_OVERRIDE=PX_LAST","START_DATE_OVERRIDE",TEXT(INDEX(MO_SNA_FPStartDate,0,COLUMN()),"YYYYMMDD"),"END_DATE_OVERRIDE",TEXT(INDEX(MO_Common_QEndDate,0,COLUMN()),"YYYYMMDD")),"N/A")</f>
        <v/>
      </c>
      <c r="BU1389" s="1714">
        <f>IFERROR(BDP(MO.Ticker.Bloomberg&amp;" Equity","INTERVAL_HIGH","MARKET_DATA_OVERRIDE=PX_LAST","START_DATE_OVERRIDE",TEXT(INDEX(MO_SNA_FPStartDate,0,COLUMN()),"YYYYMMDD"),"END_DATE_OVERRIDE",TEXT(INDEX(MO_Common_QEndDate,0,COLUMN()),"YYYYMMDD")),"N/A")</f>
        <v/>
      </c>
      <c r="BV1389" s="1714">
        <f>IFERROR(BDP(MO.Ticker.Bloomberg&amp;" Equity","INTERVAL_HIGH","MARKET_DATA_OVERRIDE=PX_LAST","START_DATE_OVERRIDE",TEXT(INDEX(MO_SNA_FPStartDate,0,COLUMN()),"YYYYMMDD"),"END_DATE_OVERRIDE",TEXT(INDEX(MO_Common_QEndDate,0,COLUMN()),"YYYYMMDD")),"N/A")</f>
        <v/>
      </c>
      <c r="BW1389" s="1714">
        <f>IFERROR(BDP(MO.Ticker.Bloomberg&amp;" Equity","INTERVAL_HIGH","MARKET_DATA_OVERRIDE=PX_LAST","START_DATE_OVERRIDE",TEXT(INDEX(MO_SNA_FPStartDate,0,COLUMN()),"YYYYMMDD"),"END_DATE_OVERRIDE",TEXT(INDEX(MO_Common_QEndDate,0,COLUMN()),"YYYYMMDD")),"N/A")</f>
        <v/>
      </c>
      <c r="BX1389" s="1714">
        <f>IFERROR(BDP(MO.Ticker.Bloomberg&amp;" Equity","INTERVAL_HIGH","MARKET_DATA_OVERRIDE=PX_LAST","START_DATE_OVERRIDE",TEXT(INDEX(MO_SNA_FPStartDate,0,COLUMN()),"YYYYMMDD"),"END_DATE_OVERRIDE",TEXT(INDEX(MO_Common_QEndDate,0,COLUMN()),"YYYYMMDD")),"N/A")</f>
        <v/>
      </c>
      <c r="BY1389" s="1714">
        <f>IFERROR(BDP(MO.Ticker.Bloomberg&amp;" Equity","INTERVAL_HIGH","MARKET_DATA_OVERRIDE=PX_LAST","START_DATE_OVERRIDE",TEXT(INDEX(MO_SNA_FPStartDate,0,COLUMN()),"YYYYMMDD"),"END_DATE_OVERRIDE",TEXT(INDEX(MO_Common_QEndDate,0,COLUMN()),"YYYYMMDD")),"N/A")</f>
        <v/>
      </c>
      <c r="BZ1389" s="1714">
        <f>IFERROR(BDP(MO.Ticker.Bloomberg&amp;" Equity","INTERVAL_HIGH","MARKET_DATA_OVERRIDE=PX_LAST","START_DATE_OVERRIDE",TEXT(INDEX(MO_SNA_FPStartDate,0,COLUMN()),"YYYYMMDD"),"END_DATE_OVERRIDE",TEXT(INDEX(MO_Common_QEndDate,0,COLUMN()),"YYYYMMDD")),"N/A")</f>
        <v/>
      </c>
      <c r="CA1389" s="2037">
        <f>IFERROR(BDP(MO.Ticker.Bloomberg&amp;" Equity","INTERVAL_HIGH","MARKET_DATA_OVERRIDE=PX_LAST","START_DATE_OVERRIDE",TEXT(INDEX(MO_SNA_FPStartDate,0,COLUMN()),"YYYYMMDD"),"END_DATE_OVERRIDE",TEXT(INDEX(MO_Common_QEndDate,0,COLUMN()),"YYYYMMDD")),"N/A")</f>
        <v/>
      </c>
      <c r="CB1389" s="2038" t="n"/>
    </row>
    <row r="1390" hidden="1" outlineLevel="1" ht="14.4" customFormat="1" customHeight="1" s="1905">
      <c r="A1390" s="2039" t="inlineStr">
        <is>
          <t>Capital IQ</t>
        </is>
      </c>
      <c r="B1390" s="1714" t="n"/>
      <c r="C1390" s="2036">
        <f>IFERROR(CIQHI(MO.Ticker.CapIQ,"IQ_LASTSALEPRICE",INDEX(MO_SNA_FPStartDate,0,COLUMN()),INDEX(MO_Common_QEndDate,0,COLUMN())),"N/A")</f>
        <v/>
      </c>
      <c r="D1390" s="2036">
        <f>IFERROR(CIQHI(MO.Ticker.CapIQ,"IQ_LASTSALEPRICE",INDEX(MO_SNA_FPStartDate,0,COLUMN()),INDEX(MO_Common_QEndDate,0,COLUMN())),"N/A")</f>
        <v/>
      </c>
      <c r="E1390" s="2036">
        <f>IFERROR(CIQHI(MO.Ticker.CapIQ,"IQ_LASTSALEPRICE",INDEX(MO_SNA_FPStartDate,0,COLUMN()),INDEX(MO_Common_QEndDate,0,COLUMN())),"N/A")</f>
        <v/>
      </c>
      <c r="F1390" s="2036">
        <f>IFERROR(CIQHI(MO.Ticker.CapIQ,"IQ_LASTSALEPRICE",INDEX(MO_SNA_FPStartDate,0,COLUMN()),INDEX(MO_Common_QEndDate,0,COLUMN())),"N/A")</f>
        <v/>
      </c>
      <c r="G1390" s="2036">
        <f>IFERROR(CIQHI(MO.Ticker.CapIQ,"IQ_LASTSALEPRICE",INDEX(MO_SNA_FPStartDate,0,COLUMN()),INDEX(MO_Common_QEndDate,0,COLUMN())),"N/A")</f>
        <v/>
      </c>
      <c r="H1390" s="1714">
        <f>IFERROR(CIQHI(MO.Ticker.CapIQ,"IQ_LASTSALEPRICE",INDEX(MO_SNA_FPStartDate,0,COLUMN()),INDEX(MO_Common_QEndDate,0,COLUMN())),"N/A")</f>
        <v/>
      </c>
      <c r="I1390" s="1714">
        <f>IFERROR(CIQHI(MO.Ticker.CapIQ,"IQ_LASTSALEPRICE",INDEX(MO_SNA_FPStartDate,0,COLUMN()),INDEX(MO_Common_QEndDate,0,COLUMN())),"N/A")</f>
        <v/>
      </c>
      <c r="J1390" s="1714">
        <f>IFERROR(CIQHI(MO.Ticker.CapIQ,"IQ_LASTSALEPRICE",INDEX(MO_SNA_FPStartDate,0,COLUMN()),INDEX(MO_Common_QEndDate,0,COLUMN())),"N/A")</f>
        <v/>
      </c>
      <c r="K1390" s="1714">
        <f>IFERROR(CIQHI(MO.Ticker.CapIQ,"IQ_LASTSALEPRICE",INDEX(MO_SNA_FPStartDate,0,COLUMN()),INDEX(MO_Common_QEndDate,0,COLUMN())),"N/A")</f>
        <v/>
      </c>
      <c r="L1390" s="1714">
        <f>IFERROR(CIQHI(MO.Ticker.CapIQ,"IQ_LASTSALEPRICE",INDEX(MO_SNA_FPStartDate,0,COLUMN()),INDEX(MO_Common_QEndDate,0,COLUMN())),"N/A")</f>
        <v/>
      </c>
      <c r="M1390" s="1714">
        <f>IFERROR(CIQHI(MO.Ticker.CapIQ,"IQ_LASTSALEPRICE",INDEX(MO_SNA_FPStartDate,0,COLUMN()),INDEX(MO_Common_QEndDate,0,COLUMN())),"N/A")</f>
        <v/>
      </c>
      <c r="N1390" s="1714">
        <f>IFERROR(CIQHI(MO.Ticker.CapIQ,"IQ_LASTSALEPRICE",INDEX(MO_SNA_FPStartDate,0,COLUMN()),INDEX(MO_Common_QEndDate,0,COLUMN())),"N/A")</f>
        <v/>
      </c>
      <c r="O1390" s="1714">
        <f>IFERROR(CIQHI(MO.Ticker.CapIQ,"IQ_LASTSALEPRICE",INDEX(MO_SNA_FPStartDate,0,COLUMN()),INDEX(MO_Common_QEndDate,0,COLUMN())),"N/A")</f>
        <v/>
      </c>
      <c r="P1390" s="1714">
        <f>IFERROR(CIQHI(MO.Ticker.CapIQ,"IQ_LASTSALEPRICE",INDEX(MO_SNA_FPStartDate,0,COLUMN()),INDEX(MO_Common_QEndDate,0,COLUMN())),"N/A")</f>
        <v/>
      </c>
      <c r="Q1390" s="1714">
        <f>IFERROR(CIQHI(MO.Ticker.CapIQ,"IQ_LASTSALEPRICE",INDEX(MO_SNA_FPStartDate,0,COLUMN()),INDEX(MO_Common_QEndDate,0,COLUMN())),"N/A")</f>
        <v/>
      </c>
      <c r="R1390" s="1714">
        <f>IFERROR(CIQHI(MO.Ticker.CapIQ,"IQ_LASTSALEPRICE",INDEX(MO_SNA_FPStartDate,0,COLUMN()),INDEX(MO_Common_QEndDate,0,COLUMN())),"N/A")</f>
        <v/>
      </c>
      <c r="S1390" s="1714">
        <f>IFERROR(CIQHI(MO.Ticker.CapIQ,"IQ_LASTSALEPRICE",INDEX(MO_SNA_FPStartDate,0,COLUMN()),INDEX(MO_Common_QEndDate,0,COLUMN())),"N/A")</f>
        <v/>
      </c>
      <c r="T1390" s="1714">
        <f>IFERROR(CIQHI(MO.Ticker.CapIQ,"IQ_LASTSALEPRICE",INDEX(MO_SNA_FPStartDate,0,COLUMN()),INDEX(MO_Common_QEndDate,0,COLUMN())),"N/A")</f>
        <v/>
      </c>
      <c r="U1390" s="1714">
        <f>IFERROR(CIQHI(MO.Ticker.CapIQ,"IQ_LASTSALEPRICE",INDEX(MO_SNA_FPStartDate,0,COLUMN()),INDEX(MO_Common_QEndDate,0,COLUMN())),"N/A")</f>
        <v/>
      </c>
      <c r="V1390" s="1714">
        <f>IFERROR(CIQHI(MO.Ticker.CapIQ,"IQ_LASTSALEPRICE",INDEX(MO_SNA_FPStartDate,0,COLUMN()),INDEX(MO_Common_QEndDate,0,COLUMN())),"N/A")</f>
        <v/>
      </c>
      <c r="W1390" s="1714">
        <f>IFERROR(CIQHI(MO.Ticker.CapIQ,"IQ_LASTSALEPRICE",INDEX(MO_SNA_FPStartDate,0,COLUMN()),INDEX(MO_Common_QEndDate,0,COLUMN())),"N/A")</f>
        <v/>
      </c>
      <c r="X1390" s="1714">
        <f>IFERROR(CIQHI(MO.Ticker.CapIQ,"IQ_LASTSALEPRICE",INDEX(MO_SNA_FPStartDate,0,COLUMN()),INDEX(MO_Common_QEndDate,0,COLUMN())),"N/A")</f>
        <v/>
      </c>
      <c r="Y1390" s="1714">
        <f>IFERROR(CIQHI(MO.Ticker.CapIQ,"IQ_LASTSALEPRICE",INDEX(MO_SNA_FPStartDate,0,COLUMN()),INDEX(MO_Common_QEndDate,0,COLUMN())),"N/A")</f>
        <v/>
      </c>
      <c r="Z1390" s="1714">
        <f>IFERROR(CIQHI(MO.Ticker.CapIQ,"IQ_LASTSALEPRICE",INDEX(MO_SNA_FPStartDate,0,COLUMN()),INDEX(MO_Common_QEndDate,0,COLUMN())),"N/A")</f>
        <v/>
      </c>
      <c r="AA1390" s="1714">
        <f>IFERROR(CIQHI(MO.Ticker.CapIQ,"IQ_LASTSALEPRICE",INDEX(MO_SNA_FPStartDate,0,COLUMN()),INDEX(MO_Common_QEndDate,0,COLUMN())),"N/A")</f>
        <v/>
      </c>
      <c r="AB1390" s="1714">
        <f>IFERROR(CIQHI(MO.Ticker.CapIQ,"IQ_LASTSALEPRICE",INDEX(MO_SNA_FPStartDate,0,COLUMN()),INDEX(MO_Common_QEndDate,0,COLUMN())),"N/A")</f>
        <v/>
      </c>
      <c r="AC1390" s="1714">
        <f>IFERROR(CIQHI(MO.Ticker.CapIQ,"IQ_LASTSALEPRICE",INDEX(MO_SNA_FPStartDate,0,COLUMN()),INDEX(MO_Common_QEndDate,0,COLUMN())),"N/A")</f>
        <v/>
      </c>
      <c r="AD1390" s="1714">
        <f>IFERROR(CIQHI(MO.Ticker.CapIQ,"IQ_LASTSALEPRICE",INDEX(MO_SNA_FPStartDate,0,COLUMN()),INDEX(MO_Common_QEndDate,0,COLUMN())),"N/A")</f>
        <v/>
      </c>
      <c r="AE1390" s="1714">
        <f>IFERROR(CIQHI(MO.Ticker.CapIQ,"IQ_LASTSALEPRICE",INDEX(MO_SNA_FPStartDate,0,COLUMN()),INDEX(MO_Common_QEndDate,0,COLUMN())),"N/A")</f>
        <v/>
      </c>
      <c r="AF1390" s="1714">
        <f>IFERROR(CIQHI(MO.Ticker.CapIQ,"IQ_LASTSALEPRICE",INDEX(MO_SNA_FPStartDate,0,COLUMN()),INDEX(MO_Common_QEndDate,0,COLUMN())),"N/A")</f>
        <v/>
      </c>
      <c r="AG1390" s="1714">
        <f>IFERROR(CIQHI(MO.Ticker.CapIQ,"IQ_LASTSALEPRICE",INDEX(MO_SNA_FPStartDate,0,COLUMN()),INDEX(MO_Common_QEndDate,0,COLUMN())),"N/A")</f>
        <v/>
      </c>
      <c r="AH1390" s="1714">
        <f>IFERROR(CIQHI(MO.Ticker.CapIQ,"IQ_LASTSALEPRICE",INDEX(MO_SNA_FPStartDate,0,COLUMN()),INDEX(MO_Common_QEndDate,0,COLUMN())),"N/A")</f>
        <v/>
      </c>
      <c r="AI1390" s="1714">
        <f>IFERROR(CIQHI(MO.Ticker.CapIQ,"IQ_LASTSALEPRICE",INDEX(MO_SNA_FPStartDate,0,COLUMN()),INDEX(MO_Common_QEndDate,0,COLUMN())),"N/A")</f>
        <v/>
      </c>
      <c r="AJ1390" s="1714">
        <f>IFERROR(CIQHI(MO.Ticker.CapIQ,"IQ_LASTSALEPRICE",INDEX(MO_SNA_FPStartDate,0,COLUMN()),INDEX(MO_Common_QEndDate,0,COLUMN())),"N/A")</f>
        <v/>
      </c>
      <c r="AK1390" s="1714">
        <f>IFERROR(CIQHI(MO.Ticker.CapIQ,"IQ_LASTSALEPRICE",INDEX(MO_SNA_FPStartDate,0,COLUMN()),INDEX(MO_Common_QEndDate,0,COLUMN())),"N/A")</f>
        <v/>
      </c>
      <c r="AL1390" s="1714">
        <f>IFERROR(CIQHI(MO.Ticker.CapIQ,"IQ_LASTSALEPRICE",INDEX(MO_SNA_FPStartDate,0,COLUMN()),INDEX(MO_Common_QEndDate,0,COLUMN())),"N/A")</f>
        <v/>
      </c>
      <c r="AM1390" s="1714">
        <f>IFERROR(CIQHI(MO.Ticker.CapIQ,"IQ_LASTSALEPRICE",INDEX(MO_SNA_FPStartDate,0,COLUMN()),INDEX(MO_Common_QEndDate,0,COLUMN())),"N/A")</f>
        <v/>
      </c>
      <c r="AN1390" s="1714">
        <f>IFERROR(CIQHI(MO.Ticker.CapIQ,"IQ_LASTSALEPRICE",INDEX(MO_SNA_FPStartDate,0,COLUMN()),INDEX(MO_Common_QEndDate,0,COLUMN())),"N/A")</f>
        <v/>
      </c>
      <c r="AO1390" s="1714">
        <f>IFERROR(CIQHI(MO.Ticker.CapIQ,"IQ_LASTSALEPRICE",INDEX(MO_SNA_FPStartDate,0,COLUMN()),INDEX(MO_Common_QEndDate,0,COLUMN())),"N/A")</f>
        <v/>
      </c>
      <c r="AP1390" s="1714">
        <f>IFERROR(CIQHI(MO.Ticker.CapIQ,"IQ_LASTSALEPRICE",INDEX(MO_SNA_FPStartDate,0,COLUMN()),INDEX(MO_Common_QEndDate,0,COLUMN())),"N/A")</f>
        <v/>
      </c>
      <c r="AQ1390" s="1714">
        <f>IFERROR(CIQHI(MO.Ticker.CapIQ,"IQ_LASTSALEPRICE",INDEX(MO_SNA_FPStartDate,0,COLUMN()),INDEX(MO_Common_QEndDate,0,COLUMN())),"N/A")</f>
        <v/>
      </c>
      <c r="AR1390" s="1714">
        <f>IFERROR(CIQHI(MO.Ticker.CapIQ,"IQ_LASTSALEPRICE",INDEX(MO_SNA_FPStartDate,0,COLUMN()),INDEX(MO_Common_QEndDate,0,COLUMN())),"N/A")</f>
        <v/>
      </c>
      <c r="AS1390" s="1714">
        <f>IFERROR(CIQHI(MO.Ticker.CapIQ,"IQ_LASTSALEPRICE",INDEX(MO_SNA_FPStartDate,0,COLUMN()),INDEX(MO_Common_QEndDate,0,COLUMN())),"N/A")</f>
        <v/>
      </c>
      <c r="AT1390" s="1714">
        <f>IFERROR(CIQHI(MO.Ticker.CapIQ,"IQ_LASTSALEPRICE",INDEX(MO_SNA_FPStartDate,0,COLUMN()),INDEX(MO_Common_QEndDate,0,COLUMN())),"N/A")</f>
        <v/>
      </c>
      <c r="AU1390" s="1714">
        <f>IFERROR(CIQHI(MO.Ticker.CapIQ,"IQ_LASTSALEPRICE",INDEX(MO_SNA_FPStartDate,0,COLUMN()),INDEX(MO_Common_QEndDate,0,COLUMN())),"N/A")</f>
        <v/>
      </c>
      <c r="AV1390" s="1714">
        <f>IFERROR(CIQHI(MO.Ticker.CapIQ,"IQ_LASTSALEPRICE",INDEX(MO_SNA_FPStartDate,0,COLUMN()),INDEX(MO_Common_QEndDate,0,COLUMN())),"N/A")</f>
        <v/>
      </c>
      <c r="AW1390" s="1714">
        <f>IFERROR(CIQHI(MO.Ticker.CapIQ,"IQ_LASTSALEPRICE",INDEX(MO_SNA_FPStartDate,0,COLUMN()),INDEX(MO_Common_QEndDate,0,COLUMN())),"N/A")</f>
        <v/>
      </c>
      <c r="AX1390" s="1714">
        <f>IFERROR(CIQHI(MO.Ticker.CapIQ,"IQ_LASTSALEPRICE",INDEX(MO_SNA_FPStartDate,0,COLUMN()),INDEX(MO_Common_QEndDate,0,COLUMN())),"N/A")</f>
        <v/>
      </c>
      <c r="AY1390" s="1714">
        <f>IFERROR(CIQHI(MO.Ticker.CapIQ,"IQ_LASTSALEPRICE",INDEX(MO_SNA_FPStartDate,0,COLUMN()),INDEX(MO_Common_QEndDate,0,COLUMN())),"N/A")</f>
        <v/>
      </c>
      <c r="AZ1390" s="1714">
        <f>IFERROR(CIQHI(MO.Ticker.CapIQ,"IQ_LASTSALEPRICE",INDEX(MO_SNA_FPStartDate,0,COLUMN()),INDEX(MO_Common_QEndDate,0,COLUMN())),"N/A")</f>
        <v/>
      </c>
      <c r="BA1390" s="1714">
        <f>IFERROR(CIQHI(MO.Ticker.CapIQ,"IQ_LASTSALEPRICE",INDEX(MO_SNA_FPStartDate,0,COLUMN()),INDEX(MO_Common_QEndDate,0,COLUMN())),"N/A")</f>
        <v/>
      </c>
      <c r="BB1390" s="1714">
        <f>IFERROR(CIQHI(MO.Ticker.CapIQ,"IQ_LASTSALEPRICE",INDEX(MO_SNA_FPStartDate,0,COLUMN()),INDEX(MO_Common_QEndDate,0,COLUMN())),"N/A")</f>
        <v/>
      </c>
      <c r="BC1390" s="1714">
        <f>IFERROR(CIQHI(MO.Ticker.CapIQ,"IQ_LASTSALEPRICE",INDEX(MO_SNA_FPStartDate,0,COLUMN()),INDEX(MO_Common_QEndDate,0,COLUMN())),"N/A")</f>
        <v/>
      </c>
      <c r="BD1390" s="1714">
        <f>IFERROR(CIQHI(MO.Ticker.CapIQ,"IQ_LASTSALEPRICE",INDEX(MO_SNA_FPStartDate,0,COLUMN()),INDEX(MO_Common_QEndDate,0,COLUMN())),"N/A")</f>
        <v/>
      </c>
      <c r="BE1390" s="1714">
        <f>IFERROR(CIQHI(MO.Ticker.CapIQ,"IQ_LASTSALEPRICE",INDEX(MO_SNA_FPStartDate,0,COLUMN()),INDEX(MO_Common_QEndDate,0,COLUMN())),"N/A")</f>
        <v/>
      </c>
      <c r="BF1390" s="1714">
        <f>IFERROR(CIQHI(MO.Ticker.CapIQ,"IQ_LASTSALEPRICE",INDEX(MO_SNA_FPStartDate,0,COLUMN()),INDEX(MO_Common_QEndDate,0,COLUMN())),"N/A")</f>
        <v/>
      </c>
      <c r="BG1390" s="1714">
        <f>IFERROR(CIQHI(MO.Ticker.CapIQ,"IQ_LASTSALEPRICE",INDEX(MO_SNA_FPStartDate,0,COLUMN()),INDEX(MO_Common_QEndDate,0,COLUMN())),"N/A")</f>
        <v/>
      </c>
      <c r="BH1390" s="1714">
        <f>IFERROR(CIQHI(MO.Ticker.CapIQ,"IQ_LASTSALEPRICE",INDEX(MO_SNA_FPStartDate,0,COLUMN()),INDEX(MO_Common_QEndDate,0,COLUMN())),"N/A")</f>
        <v/>
      </c>
      <c r="BI1390" s="1714">
        <f>IFERROR(CIQHI(MO.Ticker.CapIQ,"IQ_LASTSALEPRICE",INDEX(MO_SNA_FPStartDate,0,COLUMN()),INDEX(MO_Common_QEndDate,0,COLUMN())),"N/A")</f>
        <v/>
      </c>
      <c r="BJ1390" s="1714">
        <f>IFERROR(CIQHI(MO.Ticker.CapIQ,"IQ_LASTSALEPRICE",INDEX(MO_SNA_FPStartDate,0,COLUMN()),INDEX(MO_Common_QEndDate,0,COLUMN())),"N/A")</f>
        <v/>
      </c>
      <c r="BK1390" s="1714">
        <f>IFERROR(CIQHI(MO.Ticker.CapIQ,"IQ_LASTSALEPRICE",INDEX(MO_SNA_FPStartDate,0,COLUMN()),INDEX(MO_Common_QEndDate,0,COLUMN())),"N/A")</f>
        <v/>
      </c>
      <c r="BL1390" s="1714">
        <f>IFERROR(CIQHI(MO.Ticker.CapIQ,"IQ_LASTSALEPRICE",INDEX(MO_SNA_FPStartDate,0,COLUMN()),INDEX(MO_Common_QEndDate,0,COLUMN())),"N/A")</f>
        <v/>
      </c>
      <c r="BM1390" s="1714">
        <f>IFERROR(CIQHI(MO.Ticker.CapIQ,"IQ_LASTSALEPRICE",INDEX(MO_SNA_FPStartDate,0,COLUMN()),INDEX(MO_Common_QEndDate,0,COLUMN())),"N/A")</f>
        <v/>
      </c>
      <c r="BN1390" s="1714">
        <f>IFERROR(CIQHI(MO.Ticker.CapIQ,"IQ_LASTSALEPRICE",INDEX(MO_SNA_FPStartDate,0,COLUMN()),INDEX(MO_Common_QEndDate,0,COLUMN())),"N/A")</f>
        <v/>
      </c>
      <c r="BO1390" s="1714">
        <f>IFERROR(CIQHI(MO.Ticker.CapIQ,"IQ_LASTSALEPRICE",INDEX(MO_SNA_FPStartDate,0,COLUMN()),INDEX(MO_Common_QEndDate,0,COLUMN())),"N/A")</f>
        <v/>
      </c>
      <c r="BP1390" s="1714">
        <f>IFERROR(CIQHI(MO.Ticker.CapIQ,"IQ_LASTSALEPRICE",INDEX(MO_SNA_FPStartDate,0,COLUMN()),INDEX(MO_Common_QEndDate,0,COLUMN())),"N/A")</f>
        <v/>
      </c>
      <c r="BQ1390" s="1717">
        <f>IFERROR(CIQHI(MO.Ticker.CapIQ,"IQ_LASTSALEPRICE",INDEX(MO_SNA_FPStartDate,0,COLUMN()),INDEX(MO_Common_QEndDate,0,COLUMN())),"N/A")</f>
        <v/>
      </c>
      <c r="BR1390" s="1714">
        <f>IFERROR(CIQHI(MO.Ticker.CapIQ,"IQ_LASTSALEPRICE",INDEX(MO_SNA_FPStartDate,0,COLUMN()),INDEX(MO_Common_QEndDate,0,COLUMN())),"N/A")</f>
        <v/>
      </c>
      <c r="BS1390" s="1714">
        <f>IFERROR(CIQHI(MO.Ticker.CapIQ,"IQ_LASTSALEPRICE",INDEX(MO_SNA_FPStartDate,0,COLUMN()),INDEX(MO_Common_QEndDate,0,COLUMN())),"N/A")</f>
        <v/>
      </c>
      <c r="BT1390" s="1714">
        <f>IFERROR(CIQHI(MO.Ticker.CapIQ,"IQ_LASTSALEPRICE",INDEX(MO_SNA_FPStartDate,0,COLUMN()),INDEX(MO_Common_QEndDate,0,COLUMN())),"N/A")</f>
        <v/>
      </c>
      <c r="BU1390" s="1714">
        <f>IFERROR(CIQHI(MO.Ticker.CapIQ,"IQ_LASTSALEPRICE",INDEX(MO_SNA_FPStartDate,0,COLUMN()),INDEX(MO_Common_QEndDate,0,COLUMN())),"N/A")</f>
        <v/>
      </c>
      <c r="BV1390" s="1714">
        <f>IFERROR(CIQHI(MO.Ticker.CapIQ,"IQ_LASTSALEPRICE",INDEX(MO_SNA_FPStartDate,0,COLUMN()),INDEX(MO_Common_QEndDate,0,COLUMN())),"N/A")</f>
        <v/>
      </c>
      <c r="BW1390" s="1714">
        <f>IFERROR(CIQHI(MO.Ticker.CapIQ,"IQ_LASTSALEPRICE",INDEX(MO_SNA_FPStartDate,0,COLUMN()),INDEX(MO_Common_QEndDate,0,COLUMN())),"N/A")</f>
        <v/>
      </c>
      <c r="BX1390" s="1714">
        <f>IFERROR(CIQHI(MO.Ticker.CapIQ,"IQ_LASTSALEPRICE",INDEX(MO_SNA_FPStartDate,0,COLUMN()),INDEX(MO_Common_QEndDate,0,COLUMN())),"N/A")</f>
        <v/>
      </c>
      <c r="BY1390" s="1714">
        <f>IFERROR(CIQHI(MO.Ticker.CapIQ,"IQ_LASTSALEPRICE",INDEX(MO_SNA_FPStartDate,0,COLUMN()),INDEX(MO_Common_QEndDate,0,COLUMN())),"N/A")</f>
        <v/>
      </c>
      <c r="BZ1390" s="1714">
        <f>IFERROR(CIQHI(MO.Ticker.CapIQ,"IQ_LASTSALEPRICE",INDEX(MO_SNA_FPStartDate,0,COLUMN()),INDEX(MO_Common_QEndDate,0,COLUMN())),"N/A")</f>
        <v/>
      </c>
      <c r="CA1390" s="2037">
        <f>IFERROR(CIQHI(MO.Ticker.CapIQ,"IQ_LASTSALEPRICE",INDEX(MO_SNA_FPStartDate,0,COLUMN()),INDEX(MO_Common_QEndDate,0,COLUMN())),"N/A")</f>
        <v/>
      </c>
      <c r="CB1390" s="2038" t="n"/>
    </row>
    <row r="1391" hidden="1" outlineLevel="1" ht="14.4" customFormat="1" customHeight="1" s="1905">
      <c r="A1391" s="2039" t="inlineStr">
        <is>
          <t>FactSet</t>
        </is>
      </c>
      <c r="B1391" s="1714" t="n"/>
      <c r="C1391" s="2036">
        <f>IFERROR(FDS(MO.Ticker.FactSet,"P_PRICE_HIGH"&amp;"("&amp;INDEX(MO_SNA_FPStartDate,0,COLUMN())&amp;","&amp;INDEX(MO_Common_QEndDate,0,COLUMN())&amp;",,,,""PRICE"",""CLOSE"")"),"N/A")</f>
        <v/>
      </c>
      <c r="D1391" s="2036">
        <f>IFERROR(FDS(MO.Ticker.FactSet,"P_PRICE_HIGH"&amp;"("&amp;INDEX(MO_SNA_FPStartDate,0,COLUMN())&amp;","&amp;INDEX(MO_Common_QEndDate,0,COLUMN())&amp;",,,,""PRICE"",""CLOSE"")"),"N/A")</f>
        <v/>
      </c>
      <c r="E1391" s="2036">
        <f>IFERROR(FDS(MO.Ticker.FactSet,"P_PRICE_HIGH"&amp;"("&amp;INDEX(MO_SNA_FPStartDate,0,COLUMN())&amp;","&amp;INDEX(MO_Common_QEndDate,0,COLUMN())&amp;",,,,""PRICE"",""CLOSE"")"),"N/A")</f>
        <v/>
      </c>
      <c r="F1391" s="2036">
        <f>IFERROR(FDS(MO.Ticker.FactSet,"P_PRICE_HIGH"&amp;"("&amp;INDEX(MO_SNA_FPStartDate,0,COLUMN())&amp;","&amp;INDEX(MO_Common_QEndDate,0,COLUMN())&amp;",,,,""PRICE"",""CLOSE"")"),"N/A")</f>
        <v/>
      </c>
      <c r="G1391" s="2036">
        <f>IFERROR(FDS(MO.Ticker.FactSet,"P_PRICE_HIGH"&amp;"("&amp;INDEX(MO_SNA_FPStartDate,0,COLUMN())&amp;","&amp;INDEX(MO_Common_QEndDate,0,COLUMN())&amp;",,,,""PRICE"",""CLOSE"")"),"N/A")</f>
        <v/>
      </c>
      <c r="H1391" s="1714">
        <f>IFERROR(FDS(MO.Ticker.FactSet,"P_PRICE_HIGH"&amp;"("&amp;INDEX(MO_SNA_FPStartDate,0,COLUMN())&amp;","&amp;INDEX(MO_Common_QEndDate,0,COLUMN())&amp;",,,,""PRICE"",""CLOSE"")"),"N/A")</f>
        <v/>
      </c>
      <c r="I1391" s="1714">
        <f>IFERROR(FDS(MO.Ticker.FactSet,"P_PRICE_HIGH"&amp;"("&amp;INDEX(MO_SNA_FPStartDate,0,COLUMN())&amp;","&amp;INDEX(MO_Common_QEndDate,0,COLUMN())&amp;",,,,""PRICE"",""CLOSE"")"),"N/A")</f>
        <v/>
      </c>
      <c r="J1391" s="1714">
        <f>IFERROR(FDS(MO.Ticker.FactSet,"P_PRICE_HIGH"&amp;"("&amp;INDEX(MO_SNA_FPStartDate,0,COLUMN())&amp;","&amp;INDEX(MO_Common_QEndDate,0,COLUMN())&amp;",,,,""PRICE"",""CLOSE"")"),"N/A")</f>
        <v/>
      </c>
      <c r="K1391" s="1714">
        <f>IFERROR(FDS(MO.Ticker.FactSet,"P_PRICE_HIGH"&amp;"("&amp;INDEX(MO_SNA_FPStartDate,0,COLUMN())&amp;","&amp;INDEX(MO_Common_QEndDate,0,COLUMN())&amp;",,,,""PRICE"",""CLOSE"")"),"N/A")</f>
        <v/>
      </c>
      <c r="L1391" s="1714">
        <f>IFERROR(FDS(MO.Ticker.FactSet,"P_PRICE_HIGH"&amp;"("&amp;INDEX(MO_SNA_FPStartDate,0,COLUMN())&amp;","&amp;INDEX(MO_Common_QEndDate,0,COLUMN())&amp;",,,,""PRICE"",""CLOSE"")"),"N/A")</f>
        <v/>
      </c>
      <c r="M1391" s="1714">
        <f>IFERROR(FDS(MO.Ticker.FactSet,"P_PRICE_HIGH"&amp;"("&amp;INDEX(MO_SNA_FPStartDate,0,COLUMN())&amp;","&amp;INDEX(MO_Common_QEndDate,0,COLUMN())&amp;",,,,""PRICE"",""CLOSE"")"),"N/A")</f>
        <v/>
      </c>
      <c r="N1391" s="1714">
        <f>IFERROR(FDS(MO.Ticker.FactSet,"P_PRICE_HIGH"&amp;"("&amp;INDEX(MO_SNA_FPStartDate,0,COLUMN())&amp;","&amp;INDEX(MO_Common_QEndDate,0,COLUMN())&amp;",,,,""PRICE"",""CLOSE"")"),"N/A")</f>
        <v/>
      </c>
      <c r="O1391" s="1714">
        <f>IFERROR(FDS(MO.Ticker.FactSet,"P_PRICE_HIGH"&amp;"("&amp;INDEX(MO_SNA_FPStartDate,0,COLUMN())&amp;","&amp;INDEX(MO_Common_QEndDate,0,COLUMN())&amp;",,,,""PRICE"",""CLOSE"")"),"N/A")</f>
        <v/>
      </c>
      <c r="P1391" s="1714">
        <f>IFERROR(FDS(MO.Ticker.FactSet,"P_PRICE_HIGH"&amp;"("&amp;INDEX(MO_SNA_FPStartDate,0,COLUMN())&amp;","&amp;INDEX(MO_Common_QEndDate,0,COLUMN())&amp;",,,,""PRICE"",""CLOSE"")"),"N/A")</f>
        <v/>
      </c>
      <c r="Q1391" s="1714">
        <f>IFERROR(FDS(MO.Ticker.FactSet,"P_PRICE_HIGH"&amp;"("&amp;INDEX(MO_SNA_FPStartDate,0,COLUMN())&amp;","&amp;INDEX(MO_Common_QEndDate,0,COLUMN())&amp;",,,,""PRICE"",""CLOSE"")"),"N/A")</f>
        <v/>
      </c>
      <c r="R1391" s="1714">
        <f>IFERROR(FDS(MO.Ticker.FactSet,"P_PRICE_HIGH"&amp;"("&amp;INDEX(MO_SNA_FPStartDate,0,COLUMN())&amp;","&amp;INDEX(MO_Common_QEndDate,0,COLUMN())&amp;",,,,""PRICE"",""CLOSE"")"),"N/A")</f>
        <v/>
      </c>
      <c r="S1391" s="1714">
        <f>IFERROR(FDS(MO.Ticker.FactSet,"P_PRICE_HIGH"&amp;"("&amp;INDEX(MO_SNA_FPStartDate,0,COLUMN())&amp;","&amp;INDEX(MO_Common_QEndDate,0,COLUMN())&amp;",,,,""PRICE"",""CLOSE"")"),"N/A")</f>
        <v/>
      </c>
      <c r="T1391" s="1714">
        <f>IFERROR(FDS(MO.Ticker.FactSet,"P_PRICE_HIGH"&amp;"("&amp;INDEX(MO_SNA_FPStartDate,0,COLUMN())&amp;","&amp;INDEX(MO_Common_QEndDate,0,COLUMN())&amp;",,,,""PRICE"",""CLOSE"")"),"N/A")</f>
        <v/>
      </c>
      <c r="U1391" s="1714">
        <f>IFERROR(FDS(MO.Ticker.FactSet,"P_PRICE_HIGH"&amp;"("&amp;INDEX(MO_SNA_FPStartDate,0,COLUMN())&amp;","&amp;INDEX(MO_Common_QEndDate,0,COLUMN())&amp;",,,,""PRICE"",""CLOSE"")"),"N/A")</f>
        <v/>
      </c>
      <c r="V1391" s="1714">
        <f>IFERROR(FDS(MO.Ticker.FactSet,"P_PRICE_HIGH"&amp;"("&amp;INDEX(MO_SNA_FPStartDate,0,COLUMN())&amp;","&amp;INDEX(MO_Common_QEndDate,0,COLUMN())&amp;",,,,""PRICE"",""CLOSE"")"),"N/A")</f>
        <v/>
      </c>
      <c r="W1391" s="1714">
        <f>IFERROR(FDS(MO.Ticker.FactSet,"P_PRICE_HIGH"&amp;"("&amp;INDEX(MO_SNA_FPStartDate,0,COLUMN())&amp;","&amp;INDEX(MO_Common_QEndDate,0,COLUMN())&amp;",,,,""PRICE"",""CLOSE"")"),"N/A")</f>
        <v/>
      </c>
      <c r="X1391" s="1714">
        <f>IFERROR(FDS(MO.Ticker.FactSet,"P_PRICE_HIGH"&amp;"("&amp;INDEX(MO_SNA_FPStartDate,0,COLUMN())&amp;","&amp;INDEX(MO_Common_QEndDate,0,COLUMN())&amp;",,,,""PRICE"",""CLOSE"")"),"N/A")</f>
        <v/>
      </c>
      <c r="Y1391" s="1714">
        <f>IFERROR(FDS(MO.Ticker.FactSet,"P_PRICE_HIGH"&amp;"("&amp;INDEX(MO_SNA_FPStartDate,0,COLUMN())&amp;","&amp;INDEX(MO_Common_QEndDate,0,COLUMN())&amp;",,,,""PRICE"",""CLOSE"")"),"N/A")</f>
        <v/>
      </c>
      <c r="Z1391" s="1714">
        <f>IFERROR(FDS(MO.Ticker.FactSet,"P_PRICE_HIGH"&amp;"("&amp;INDEX(MO_SNA_FPStartDate,0,COLUMN())&amp;","&amp;INDEX(MO_Common_QEndDate,0,COLUMN())&amp;",,,,""PRICE"",""CLOSE"")"),"N/A")</f>
        <v/>
      </c>
      <c r="AA1391" s="1714">
        <f>IFERROR(FDS(MO.Ticker.FactSet,"P_PRICE_HIGH"&amp;"("&amp;INDEX(MO_SNA_FPStartDate,0,COLUMN())&amp;","&amp;INDEX(MO_Common_QEndDate,0,COLUMN())&amp;",,,,""PRICE"",""CLOSE"")"),"N/A")</f>
        <v/>
      </c>
      <c r="AB1391" s="1714">
        <f>IFERROR(FDS(MO.Ticker.FactSet,"P_PRICE_HIGH"&amp;"("&amp;INDEX(MO_SNA_FPStartDate,0,COLUMN())&amp;","&amp;INDEX(MO_Common_QEndDate,0,COLUMN())&amp;",,,,""PRICE"",""CLOSE"")"),"N/A")</f>
        <v/>
      </c>
      <c r="AC1391" s="1714">
        <f>IFERROR(FDS(MO.Ticker.FactSet,"P_PRICE_HIGH"&amp;"("&amp;INDEX(MO_SNA_FPStartDate,0,COLUMN())&amp;","&amp;INDEX(MO_Common_QEndDate,0,COLUMN())&amp;",,,,""PRICE"",""CLOSE"")"),"N/A")</f>
        <v/>
      </c>
      <c r="AD1391" s="1714">
        <f>IFERROR(FDS(MO.Ticker.FactSet,"P_PRICE_HIGH"&amp;"("&amp;INDEX(MO_SNA_FPStartDate,0,COLUMN())&amp;","&amp;INDEX(MO_Common_QEndDate,0,COLUMN())&amp;",,,,""PRICE"",""CLOSE"")"),"N/A")</f>
        <v/>
      </c>
      <c r="AE1391" s="1714">
        <f>IFERROR(FDS(MO.Ticker.FactSet,"P_PRICE_HIGH"&amp;"("&amp;INDEX(MO_SNA_FPStartDate,0,COLUMN())&amp;","&amp;INDEX(MO_Common_QEndDate,0,COLUMN())&amp;",,,,""PRICE"",""CLOSE"")"),"N/A")</f>
        <v/>
      </c>
      <c r="AF1391" s="1714">
        <f>IFERROR(FDS(MO.Ticker.FactSet,"P_PRICE_HIGH"&amp;"("&amp;INDEX(MO_SNA_FPStartDate,0,COLUMN())&amp;","&amp;INDEX(MO_Common_QEndDate,0,COLUMN())&amp;",,,,""PRICE"",""CLOSE"")"),"N/A")</f>
        <v/>
      </c>
      <c r="AG1391" s="1714">
        <f>IFERROR(FDS(MO.Ticker.FactSet,"P_PRICE_HIGH"&amp;"("&amp;INDEX(MO_SNA_FPStartDate,0,COLUMN())&amp;","&amp;INDEX(MO_Common_QEndDate,0,COLUMN())&amp;",,,,""PRICE"",""CLOSE"")"),"N/A")</f>
        <v/>
      </c>
      <c r="AH1391" s="1714">
        <f>IFERROR(FDS(MO.Ticker.FactSet,"P_PRICE_HIGH"&amp;"("&amp;INDEX(MO_SNA_FPStartDate,0,COLUMN())&amp;","&amp;INDEX(MO_Common_QEndDate,0,COLUMN())&amp;",,,,""PRICE"",""CLOSE"")"),"N/A")</f>
        <v/>
      </c>
      <c r="AI1391" s="1714">
        <f>IFERROR(FDS(MO.Ticker.FactSet,"P_PRICE_HIGH"&amp;"("&amp;INDEX(MO_SNA_FPStartDate,0,COLUMN())&amp;","&amp;INDEX(MO_Common_QEndDate,0,COLUMN())&amp;",,,,""PRICE"",""CLOSE"")"),"N/A")</f>
        <v/>
      </c>
      <c r="AJ1391" s="1714">
        <f>IFERROR(FDS(MO.Ticker.FactSet,"P_PRICE_HIGH"&amp;"("&amp;INDEX(MO_SNA_FPStartDate,0,COLUMN())&amp;","&amp;INDEX(MO_Common_QEndDate,0,COLUMN())&amp;",,,,""PRICE"",""CLOSE"")"),"N/A")</f>
        <v/>
      </c>
      <c r="AK1391" s="1714">
        <f>IFERROR(FDS(MO.Ticker.FactSet,"P_PRICE_HIGH"&amp;"("&amp;INDEX(MO_SNA_FPStartDate,0,COLUMN())&amp;","&amp;INDEX(MO_Common_QEndDate,0,COLUMN())&amp;",,,,""PRICE"",""CLOSE"")"),"N/A")</f>
        <v/>
      </c>
      <c r="AL1391" s="1714">
        <f>IFERROR(FDS(MO.Ticker.FactSet,"P_PRICE_HIGH"&amp;"("&amp;INDEX(MO_SNA_FPStartDate,0,COLUMN())&amp;","&amp;INDEX(MO_Common_QEndDate,0,COLUMN())&amp;",,,,""PRICE"",""CLOSE"")"),"N/A")</f>
        <v/>
      </c>
      <c r="AM1391" s="1714">
        <f>IFERROR(FDS(MO.Ticker.FactSet,"P_PRICE_HIGH"&amp;"("&amp;INDEX(MO_SNA_FPStartDate,0,COLUMN())&amp;","&amp;INDEX(MO_Common_QEndDate,0,COLUMN())&amp;",,,,""PRICE"",""CLOSE"")"),"N/A")</f>
        <v/>
      </c>
      <c r="AN1391" s="1714">
        <f>IFERROR(FDS(MO.Ticker.FactSet,"P_PRICE_HIGH"&amp;"("&amp;INDEX(MO_SNA_FPStartDate,0,COLUMN())&amp;","&amp;INDEX(MO_Common_QEndDate,0,COLUMN())&amp;",,,,""PRICE"",""CLOSE"")"),"N/A")</f>
        <v/>
      </c>
      <c r="AO1391" s="1714">
        <f>IFERROR(FDS(MO.Ticker.FactSet,"P_PRICE_HIGH"&amp;"("&amp;INDEX(MO_SNA_FPStartDate,0,COLUMN())&amp;","&amp;INDEX(MO_Common_QEndDate,0,COLUMN())&amp;",,,,""PRICE"",""CLOSE"")"),"N/A")</f>
        <v/>
      </c>
      <c r="AP1391" s="1714">
        <f>IFERROR(FDS(MO.Ticker.FactSet,"P_PRICE_HIGH"&amp;"("&amp;INDEX(MO_SNA_FPStartDate,0,COLUMN())&amp;","&amp;INDEX(MO_Common_QEndDate,0,COLUMN())&amp;",,,,""PRICE"",""CLOSE"")"),"N/A")</f>
        <v/>
      </c>
      <c r="AQ1391" s="1714">
        <f>IFERROR(FDS(MO.Ticker.FactSet,"P_PRICE_HIGH"&amp;"("&amp;INDEX(MO_SNA_FPStartDate,0,COLUMN())&amp;","&amp;INDEX(MO_Common_QEndDate,0,COLUMN())&amp;",,,,""PRICE"",""CLOSE"")"),"N/A")</f>
        <v/>
      </c>
      <c r="AR1391" s="1714">
        <f>IFERROR(FDS(MO.Ticker.FactSet,"P_PRICE_HIGH"&amp;"("&amp;INDEX(MO_SNA_FPStartDate,0,COLUMN())&amp;","&amp;INDEX(MO_Common_QEndDate,0,COLUMN())&amp;",,,,""PRICE"",""CLOSE"")"),"N/A")</f>
        <v/>
      </c>
      <c r="AS1391" s="1714">
        <f>IFERROR(FDS(MO.Ticker.FactSet,"P_PRICE_HIGH"&amp;"("&amp;INDEX(MO_SNA_FPStartDate,0,COLUMN())&amp;","&amp;INDEX(MO_Common_QEndDate,0,COLUMN())&amp;",,,,""PRICE"",""CLOSE"")"),"N/A")</f>
        <v/>
      </c>
      <c r="AT1391" s="1714">
        <f>IFERROR(FDS(MO.Ticker.FactSet,"P_PRICE_HIGH"&amp;"("&amp;INDEX(MO_SNA_FPStartDate,0,COLUMN())&amp;","&amp;INDEX(MO_Common_QEndDate,0,COLUMN())&amp;",,,,""PRICE"",""CLOSE"")"),"N/A")</f>
        <v/>
      </c>
      <c r="AU1391" s="1714">
        <f>IFERROR(FDS(MO.Ticker.FactSet,"P_PRICE_HIGH"&amp;"("&amp;INDEX(MO_SNA_FPStartDate,0,COLUMN())&amp;","&amp;INDEX(MO_Common_QEndDate,0,COLUMN())&amp;",,,,""PRICE"",""CLOSE"")"),"N/A")</f>
        <v/>
      </c>
      <c r="AV1391" s="1714">
        <f>IFERROR(FDS(MO.Ticker.FactSet,"P_PRICE_HIGH"&amp;"("&amp;INDEX(MO_SNA_FPStartDate,0,COLUMN())&amp;","&amp;INDEX(MO_Common_QEndDate,0,COLUMN())&amp;",,,,""PRICE"",""CLOSE"")"),"N/A")</f>
        <v/>
      </c>
      <c r="AW1391" s="1714">
        <f>IFERROR(FDS(MO.Ticker.FactSet,"P_PRICE_HIGH"&amp;"("&amp;INDEX(MO_SNA_FPStartDate,0,COLUMN())&amp;","&amp;INDEX(MO_Common_QEndDate,0,COLUMN())&amp;",,,,""PRICE"",""CLOSE"")"),"N/A")</f>
        <v/>
      </c>
      <c r="AX1391" s="1714">
        <f>IFERROR(FDS(MO.Ticker.FactSet,"P_PRICE_HIGH"&amp;"("&amp;INDEX(MO_SNA_FPStartDate,0,COLUMN())&amp;","&amp;INDEX(MO_Common_QEndDate,0,COLUMN())&amp;",,,,""PRICE"",""CLOSE"")"),"N/A")</f>
        <v/>
      </c>
      <c r="AY1391" s="1714">
        <f>IFERROR(FDS(MO.Ticker.FactSet,"P_PRICE_HIGH"&amp;"("&amp;INDEX(MO_SNA_FPStartDate,0,COLUMN())&amp;","&amp;INDEX(MO_Common_QEndDate,0,COLUMN())&amp;",,,,""PRICE"",""CLOSE"")"),"N/A")</f>
        <v/>
      </c>
      <c r="AZ1391" s="1714">
        <f>IFERROR(FDS(MO.Ticker.FactSet,"P_PRICE_HIGH"&amp;"("&amp;INDEX(MO_SNA_FPStartDate,0,COLUMN())&amp;","&amp;INDEX(MO_Common_QEndDate,0,COLUMN())&amp;",,,,""PRICE"",""CLOSE"")"),"N/A")</f>
        <v/>
      </c>
      <c r="BA1391" s="1714">
        <f>IFERROR(FDS(MO.Ticker.FactSet,"P_PRICE_HIGH"&amp;"("&amp;INDEX(MO_SNA_FPStartDate,0,COLUMN())&amp;","&amp;INDEX(MO_Common_QEndDate,0,COLUMN())&amp;",,,,""PRICE"",""CLOSE"")"),"N/A")</f>
        <v/>
      </c>
      <c r="BB1391" s="1714">
        <f>IFERROR(FDS(MO.Ticker.FactSet,"P_PRICE_HIGH"&amp;"("&amp;INDEX(MO_SNA_FPStartDate,0,COLUMN())&amp;","&amp;INDEX(MO_Common_QEndDate,0,COLUMN())&amp;",,,,""PRICE"",""CLOSE"")"),"N/A")</f>
        <v/>
      </c>
      <c r="BC1391" s="1714">
        <f>IFERROR(FDS(MO.Ticker.FactSet,"P_PRICE_HIGH"&amp;"("&amp;INDEX(MO_SNA_FPStartDate,0,COLUMN())&amp;","&amp;INDEX(MO_Common_QEndDate,0,COLUMN())&amp;",,,,""PRICE"",""CLOSE"")"),"N/A")</f>
        <v/>
      </c>
      <c r="BD1391" s="1714">
        <f>IFERROR(FDS(MO.Ticker.FactSet,"P_PRICE_HIGH"&amp;"("&amp;INDEX(MO_SNA_FPStartDate,0,COLUMN())&amp;","&amp;INDEX(MO_Common_QEndDate,0,COLUMN())&amp;",,,,""PRICE"",""CLOSE"")"),"N/A")</f>
        <v/>
      </c>
      <c r="BE1391" s="1714">
        <f>IFERROR(FDS(MO.Ticker.FactSet,"P_PRICE_HIGH"&amp;"("&amp;INDEX(MO_SNA_FPStartDate,0,COLUMN())&amp;","&amp;INDEX(MO_Common_QEndDate,0,COLUMN())&amp;",,,,""PRICE"",""CLOSE"")"),"N/A")</f>
        <v/>
      </c>
      <c r="BF1391" s="1714">
        <f>IFERROR(FDS(MO.Ticker.FactSet,"P_PRICE_HIGH"&amp;"("&amp;INDEX(MO_SNA_FPStartDate,0,COLUMN())&amp;","&amp;INDEX(MO_Common_QEndDate,0,COLUMN())&amp;",,,,""PRICE"",""CLOSE"")"),"N/A")</f>
        <v/>
      </c>
      <c r="BG1391" s="1714">
        <f>IFERROR(FDS(MO.Ticker.FactSet,"P_PRICE_HIGH"&amp;"("&amp;INDEX(MO_SNA_FPStartDate,0,COLUMN())&amp;","&amp;INDEX(MO_Common_QEndDate,0,COLUMN())&amp;",,,,""PRICE"",""CLOSE"")"),"N/A")</f>
        <v/>
      </c>
      <c r="BH1391" s="1714">
        <f>IFERROR(FDS(MO.Ticker.FactSet,"P_PRICE_HIGH"&amp;"("&amp;INDEX(MO_SNA_FPStartDate,0,COLUMN())&amp;","&amp;INDEX(MO_Common_QEndDate,0,COLUMN())&amp;",,,,""PRICE"",""CLOSE"")"),"N/A")</f>
        <v/>
      </c>
      <c r="BI1391" s="1714">
        <f>IFERROR(FDS(MO.Ticker.FactSet,"P_PRICE_HIGH"&amp;"("&amp;INDEX(MO_SNA_FPStartDate,0,COLUMN())&amp;","&amp;INDEX(MO_Common_QEndDate,0,COLUMN())&amp;",,,,""PRICE"",""CLOSE"")"),"N/A")</f>
        <v/>
      </c>
      <c r="BJ1391" s="1714">
        <f>IFERROR(FDS(MO.Ticker.FactSet,"P_PRICE_HIGH"&amp;"("&amp;INDEX(MO_SNA_FPStartDate,0,COLUMN())&amp;","&amp;INDEX(MO_Common_QEndDate,0,COLUMN())&amp;",,,,""PRICE"",""CLOSE"")"),"N/A")</f>
        <v/>
      </c>
      <c r="BK1391" s="1714">
        <f>IFERROR(FDS(MO.Ticker.FactSet,"P_PRICE_HIGH"&amp;"("&amp;INDEX(MO_SNA_FPStartDate,0,COLUMN())&amp;","&amp;INDEX(MO_Common_QEndDate,0,COLUMN())&amp;",,,,""PRICE"",""CLOSE"")"),"N/A")</f>
        <v/>
      </c>
      <c r="BL1391" s="1714">
        <f>IFERROR(FDS(MO.Ticker.FactSet,"P_PRICE_HIGH"&amp;"("&amp;INDEX(MO_SNA_FPStartDate,0,COLUMN())&amp;","&amp;INDEX(MO_Common_QEndDate,0,COLUMN())&amp;",,,,""PRICE"",""CLOSE"")"),"N/A")</f>
        <v/>
      </c>
      <c r="BM1391" s="1714">
        <f>IFERROR(FDS(MO.Ticker.FactSet,"P_PRICE_HIGH"&amp;"("&amp;INDEX(MO_SNA_FPStartDate,0,COLUMN())&amp;","&amp;INDEX(MO_Common_QEndDate,0,COLUMN())&amp;",,,,""PRICE"",""CLOSE"")"),"N/A")</f>
        <v/>
      </c>
      <c r="BN1391" s="1714">
        <f>IFERROR(FDS(MO.Ticker.FactSet,"P_PRICE_HIGH"&amp;"("&amp;INDEX(MO_SNA_FPStartDate,0,COLUMN())&amp;","&amp;INDEX(MO_Common_QEndDate,0,COLUMN())&amp;",,,,""PRICE"",""CLOSE"")"),"N/A")</f>
        <v/>
      </c>
      <c r="BO1391" s="1714">
        <f>IFERROR(FDS(MO.Ticker.FactSet,"P_PRICE_HIGH"&amp;"("&amp;INDEX(MO_SNA_FPStartDate,0,COLUMN())&amp;","&amp;INDEX(MO_Common_QEndDate,0,COLUMN())&amp;",,,,""PRICE"",""CLOSE"")"),"N/A")</f>
        <v/>
      </c>
      <c r="BP1391" s="1714">
        <f>IFERROR(FDS(MO.Ticker.FactSet,"P_PRICE_HIGH"&amp;"("&amp;INDEX(MO_SNA_FPStartDate,0,COLUMN())&amp;","&amp;INDEX(MO_Common_QEndDate,0,COLUMN())&amp;",,,,""PRICE"",""CLOSE"")"),"N/A")</f>
        <v/>
      </c>
      <c r="BQ1391" s="1717">
        <f>IFERROR(FDS(MO.Ticker.FactSet,"P_PRICE_HIGH"&amp;"("&amp;INDEX(MO_SNA_FPStartDate,0,COLUMN())&amp;","&amp;INDEX(MO_Common_QEndDate,0,COLUMN())&amp;",,,,""PRICE"",""CLOSE"")"),"N/A")</f>
        <v/>
      </c>
      <c r="BR1391" s="1714">
        <f>IFERROR(FDS(MO.Ticker.FactSet,"P_PRICE_HIGH"&amp;"("&amp;INDEX(MO_SNA_FPStartDate,0,COLUMN())&amp;","&amp;INDEX(MO_Common_QEndDate,0,COLUMN())&amp;",,,,""PRICE"",""CLOSE"")"),"N/A")</f>
        <v/>
      </c>
      <c r="BS1391" s="1714">
        <f>IFERROR(FDS(MO.Ticker.FactSet,"P_PRICE_HIGH"&amp;"("&amp;INDEX(MO_SNA_FPStartDate,0,COLUMN())&amp;","&amp;INDEX(MO_Common_QEndDate,0,COLUMN())&amp;",,,,""PRICE"",""CLOSE"")"),"N/A")</f>
        <v/>
      </c>
      <c r="BT1391" s="1714">
        <f>IFERROR(FDS(MO.Ticker.FactSet,"P_PRICE_HIGH"&amp;"("&amp;INDEX(MO_SNA_FPStartDate,0,COLUMN())&amp;","&amp;INDEX(MO_Common_QEndDate,0,COLUMN())&amp;",,,,""PRICE"",""CLOSE"")"),"N/A")</f>
        <v/>
      </c>
      <c r="BU1391" s="1714">
        <f>IFERROR(FDS(MO.Ticker.FactSet,"P_PRICE_HIGH"&amp;"("&amp;INDEX(MO_SNA_FPStartDate,0,COLUMN())&amp;","&amp;INDEX(MO_Common_QEndDate,0,COLUMN())&amp;",,,,""PRICE"",""CLOSE"")"),"N/A")</f>
        <v/>
      </c>
      <c r="BV1391" s="1714">
        <f>IFERROR(FDS(MO.Ticker.FactSet,"P_PRICE_HIGH"&amp;"("&amp;INDEX(MO_SNA_FPStartDate,0,COLUMN())&amp;","&amp;INDEX(MO_Common_QEndDate,0,COLUMN())&amp;",,,,""PRICE"",""CLOSE"")"),"N/A")</f>
        <v/>
      </c>
      <c r="BW1391" s="1714">
        <f>IFERROR(FDS(MO.Ticker.FactSet,"P_PRICE_HIGH"&amp;"("&amp;INDEX(MO_SNA_FPStartDate,0,COLUMN())&amp;","&amp;INDEX(MO_Common_QEndDate,0,COLUMN())&amp;",,,,""PRICE"",""CLOSE"")"),"N/A")</f>
        <v/>
      </c>
      <c r="BX1391" s="1714">
        <f>IFERROR(FDS(MO.Ticker.FactSet,"P_PRICE_HIGH"&amp;"("&amp;INDEX(MO_SNA_FPStartDate,0,COLUMN())&amp;","&amp;INDEX(MO_Common_QEndDate,0,COLUMN())&amp;",,,,""PRICE"",""CLOSE"")"),"N/A")</f>
        <v/>
      </c>
      <c r="BY1391" s="1714">
        <f>IFERROR(FDS(MO.Ticker.FactSet,"P_PRICE_HIGH"&amp;"("&amp;INDEX(MO_SNA_FPStartDate,0,COLUMN())&amp;","&amp;INDEX(MO_Common_QEndDate,0,COLUMN())&amp;",,,,""PRICE"",""CLOSE"")"),"N/A")</f>
        <v/>
      </c>
      <c r="BZ1391" s="1714">
        <f>IFERROR(FDS(MO.Ticker.FactSet,"P_PRICE_HIGH"&amp;"("&amp;INDEX(MO_SNA_FPStartDate,0,COLUMN())&amp;","&amp;INDEX(MO_Common_QEndDate,0,COLUMN())&amp;",,,,""PRICE"",""CLOSE"")"),"N/A")</f>
        <v/>
      </c>
      <c r="CA1391" s="2037">
        <f>IFERROR(FDS(MO.Ticker.FactSet,"P_PRICE_HIGH"&amp;"("&amp;INDEX(MO_SNA_FPStartDate,0,COLUMN())&amp;","&amp;INDEX(MO_Common_QEndDate,0,COLUMN())&amp;",,,,""PRICE"",""CLOSE"")"),"N/A")</f>
        <v/>
      </c>
      <c r="CB1391" s="2038" t="n"/>
    </row>
    <row r="1392" hidden="1" outlineLevel="1" ht="14.4" customFormat="1" customHeight="1" s="1905">
      <c r="A1392" s="2039" t="inlineStr">
        <is>
          <t>Refinitiv</t>
        </is>
      </c>
      <c r="B1392" s="1714" t="n"/>
      <c r="C1392" s="2036">
        <f>IFERROR(_xll.TR(MO.Ticker.Thomson,"MAX(TR.Pricehigh)","sdate:#1 edate:#2",,INDEX(MO_SNA_FPStartDate,0,COLUMN()),INDEX(MO_Common_QEndDate,0,COLUMN())),"N/A")</f>
        <v/>
      </c>
      <c r="D1392" s="2036">
        <f>IFERROR(_xll.TR(MO.Ticker.Thomson,"MAX(TR.Pricehigh)","sdate:#1 edate:#2",,INDEX(MO_SNA_FPStartDate,0,COLUMN()),INDEX(MO_Common_QEndDate,0,COLUMN())),"N/A")</f>
        <v/>
      </c>
      <c r="E1392" s="2036">
        <f>IFERROR(_xll.TR(MO.Ticker.Thomson,"MAX(TR.Pricehigh)","sdate:#1 edate:#2",,INDEX(MO_SNA_FPStartDate,0,COLUMN()),INDEX(MO_Common_QEndDate,0,COLUMN())),"N/A")</f>
        <v/>
      </c>
      <c r="F1392" s="2036">
        <f>IFERROR(_xll.TR(MO.Ticker.Thomson,"MAX(TR.Pricehigh)","sdate:#1 edate:#2",,INDEX(MO_SNA_FPStartDate,0,COLUMN()),INDEX(MO_Common_QEndDate,0,COLUMN())),"N/A")</f>
        <v/>
      </c>
      <c r="G1392" s="2036">
        <f>IFERROR(_xll.TR(MO.Ticker.Thomson,"MAX(TR.Pricehigh)","sdate:#1 edate:#2",,INDEX(MO_SNA_FPStartDate,0,COLUMN()),INDEX(MO_Common_QEndDate,0,COLUMN())),"N/A")</f>
        <v/>
      </c>
      <c r="H1392" s="1714">
        <f>IFERROR(_xll.TR(MO.Ticker.Thomson,"MAX(TR.Pricehigh)","sdate:#1 edate:#2",,INDEX(MO_SNA_FPStartDate,0,COLUMN()),INDEX(MO_Common_QEndDate,0,COLUMN())),"N/A")</f>
        <v/>
      </c>
      <c r="I1392" s="1714">
        <f>IFERROR(_xll.TR(MO.Ticker.Thomson,"MAX(TR.Pricehigh)","sdate:#1 edate:#2",,INDEX(MO_SNA_FPStartDate,0,COLUMN()),INDEX(MO_Common_QEndDate,0,COLUMN())),"N/A")</f>
        <v/>
      </c>
      <c r="J1392" s="1714">
        <f>IFERROR(_xll.TR(MO.Ticker.Thomson,"MAX(TR.Pricehigh)","sdate:#1 edate:#2",,INDEX(MO_SNA_FPStartDate,0,COLUMN()),INDEX(MO_Common_QEndDate,0,COLUMN())),"N/A")</f>
        <v/>
      </c>
      <c r="K1392" s="1714">
        <f>IFERROR(_xll.TR(MO.Ticker.Thomson,"MAX(TR.Pricehigh)","sdate:#1 edate:#2",,INDEX(MO_SNA_FPStartDate,0,COLUMN()),INDEX(MO_Common_QEndDate,0,COLUMN())),"N/A")</f>
        <v/>
      </c>
      <c r="L1392" s="1714">
        <f>IFERROR(_xll.TR(MO.Ticker.Thomson,"MAX(TR.Pricehigh)","sdate:#1 edate:#2",,INDEX(MO_SNA_FPStartDate,0,COLUMN()),INDEX(MO_Common_QEndDate,0,COLUMN())),"N/A")</f>
        <v/>
      </c>
      <c r="M1392" s="1714">
        <f>IFERROR(_xll.TR(MO.Ticker.Thomson,"MAX(TR.Pricehigh)","sdate:#1 edate:#2",,INDEX(MO_SNA_FPStartDate,0,COLUMN()),INDEX(MO_Common_QEndDate,0,COLUMN())),"N/A")</f>
        <v/>
      </c>
      <c r="N1392" s="1714">
        <f>IFERROR(_xll.TR(MO.Ticker.Thomson,"MAX(TR.Pricehigh)","sdate:#1 edate:#2",,INDEX(MO_SNA_FPStartDate,0,COLUMN()),INDEX(MO_Common_QEndDate,0,COLUMN())),"N/A")</f>
        <v/>
      </c>
      <c r="O1392" s="1714">
        <f>IFERROR(_xll.TR(MO.Ticker.Thomson,"MAX(TR.Pricehigh)","sdate:#1 edate:#2",,INDEX(MO_SNA_FPStartDate,0,COLUMN()),INDEX(MO_Common_QEndDate,0,COLUMN())),"N/A")</f>
        <v/>
      </c>
      <c r="P1392" s="1714">
        <f>IFERROR(_xll.TR(MO.Ticker.Thomson,"MAX(TR.Pricehigh)","sdate:#1 edate:#2",,INDEX(MO_SNA_FPStartDate,0,COLUMN()),INDEX(MO_Common_QEndDate,0,COLUMN())),"N/A")</f>
        <v/>
      </c>
      <c r="Q1392" s="1714">
        <f>IFERROR(_xll.TR(MO.Ticker.Thomson,"MAX(TR.Pricehigh)","sdate:#1 edate:#2",,INDEX(MO_SNA_FPStartDate,0,COLUMN()),INDEX(MO_Common_QEndDate,0,COLUMN())),"N/A")</f>
        <v/>
      </c>
      <c r="R1392" s="1714">
        <f>IFERROR(_xll.TR(MO.Ticker.Thomson,"MAX(TR.Pricehigh)","sdate:#1 edate:#2",,INDEX(MO_SNA_FPStartDate,0,COLUMN()),INDEX(MO_Common_QEndDate,0,COLUMN())),"N/A")</f>
        <v/>
      </c>
      <c r="S1392" s="1714">
        <f>IFERROR(_xll.TR(MO.Ticker.Thomson,"MAX(TR.Pricehigh)","sdate:#1 edate:#2",,INDEX(MO_SNA_FPStartDate,0,COLUMN()),INDEX(MO_Common_QEndDate,0,COLUMN())),"N/A")</f>
        <v/>
      </c>
      <c r="T1392" s="1714">
        <f>IFERROR(_xll.TR(MO.Ticker.Thomson,"MAX(TR.Pricehigh)","sdate:#1 edate:#2",,INDEX(MO_SNA_FPStartDate,0,COLUMN()),INDEX(MO_Common_QEndDate,0,COLUMN())),"N/A")</f>
        <v/>
      </c>
      <c r="U1392" s="1714">
        <f>IFERROR(_xll.TR(MO.Ticker.Thomson,"MAX(TR.Pricehigh)","sdate:#1 edate:#2",,INDEX(MO_SNA_FPStartDate,0,COLUMN()),INDEX(MO_Common_QEndDate,0,COLUMN())),"N/A")</f>
        <v/>
      </c>
      <c r="V1392" s="1714">
        <f>IFERROR(_xll.TR(MO.Ticker.Thomson,"MAX(TR.Pricehigh)","sdate:#1 edate:#2",,INDEX(MO_SNA_FPStartDate,0,COLUMN()),INDEX(MO_Common_QEndDate,0,COLUMN())),"N/A")</f>
        <v/>
      </c>
      <c r="W1392" s="1714">
        <f>IFERROR(_xll.TR(MO.Ticker.Thomson,"MAX(TR.Pricehigh)","sdate:#1 edate:#2",,INDEX(MO_SNA_FPStartDate,0,COLUMN()),INDEX(MO_Common_QEndDate,0,COLUMN())),"N/A")</f>
        <v/>
      </c>
      <c r="X1392" s="1714">
        <f>IFERROR(_xll.TR(MO.Ticker.Thomson,"MAX(TR.Pricehigh)","sdate:#1 edate:#2",,INDEX(MO_SNA_FPStartDate,0,COLUMN()),INDEX(MO_Common_QEndDate,0,COLUMN())),"N/A")</f>
        <v/>
      </c>
      <c r="Y1392" s="1714">
        <f>IFERROR(_xll.TR(MO.Ticker.Thomson,"MAX(TR.Pricehigh)","sdate:#1 edate:#2",,INDEX(MO_SNA_FPStartDate,0,COLUMN()),INDEX(MO_Common_QEndDate,0,COLUMN())),"N/A")</f>
        <v/>
      </c>
      <c r="Z1392" s="1714">
        <f>IFERROR(_xll.TR(MO.Ticker.Thomson,"MAX(TR.Pricehigh)","sdate:#1 edate:#2",,INDEX(MO_SNA_FPStartDate,0,COLUMN()),INDEX(MO_Common_QEndDate,0,COLUMN())),"N/A")</f>
        <v/>
      </c>
      <c r="AA1392" s="1714">
        <f>IFERROR(_xll.TR(MO.Ticker.Thomson,"MAX(TR.Pricehigh)","sdate:#1 edate:#2",,INDEX(MO_SNA_FPStartDate,0,COLUMN()),INDEX(MO_Common_QEndDate,0,COLUMN())),"N/A")</f>
        <v/>
      </c>
      <c r="AB1392" s="1714">
        <f>IFERROR(_xll.TR(MO.Ticker.Thomson,"MAX(TR.Pricehigh)","sdate:#1 edate:#2",,INDEX(MO_SNA_FPStartDate,0,COLUMN()),INDEX(MO_Common_QEndDate,0,COLUMN())),"N/A")</f>
        <v/>
      </c>
      <c r="AC1392" s="1714">
        <f>IFERROR(_xll.TR(MO.Ticker.Thomson,"MAX(TR.Pricehigh)","sdate:#1 edate:#2",,INDEX(MO_SNA_FPStartDate,0,COLUMN()),INDEX(MO_Common_QEndDate,0,COLUMN())),"N/A")</f>
        <v/>
      </c>
      <c r="AD1392" s="1714">
        <f>IFERROR(_xll.TR(MO.Ticker.Thomson,"MAX(TR.Pricehigh)","sdate:#1 edate:#2",,INDEX(MO_SNA_FPStartDate,0,COLUMN()),INDEX(MO_Common_QEndDate,0,COLUMN())),"N/A")</f>
        <v/>
      </c>
      <c r="AE1392" s="1714">
        <f>IFERROR(_xll.TR(MO.Ticker.Thomson,"MAX(TR.Pricehigh)","sdate:#1 edate:#2",,INDEX(MO_SNA_FPStartDate,0,COLUMN()),INDEX(MO_Common_QEndDate,0,COLUMN())),"N/A")</f>
        <v/>
      </c>
      <c r="AF1392" s="1714">
        <f>IFERROR(_xll.TR(MO.Ticker.Thomson,"MAX(TR.Pricehigh)","sdate:#1 edate:#2",,INDEX(MO_SNA_FPStartDate,0,COLUMN()),INDEX(MO_Common_QEndDate,0,COLUMN())),"N/A")</f>
        <v/>
      </c>
      <c r="AG1392" s="1714">
        <f>IFERROR(_xll.TR(MO.Ticker.Thomson,"MAX(TR.Pricehigh)","sdate:#1 edate:#2",,INDEX(MO_SNA_FPStartDate,0,COLUMN()),INDEX(MO_Common_QEndDate,0,COLUMN())),"N/A")</f>
        <v/>
      </c>
      <c r="AH1392" s="1714">
        <f>IFERROR(_xll.TR(MO.Ticker.Thomson,"MAX(TR.Pricehigh)","sdate:#1 edate:#2",,INDEX(MO_SNA_FPStartDate,0,COLUMN()),INDEX(MO_Common_QEndDate,0,COLUMN())),"N/A")</f>
        <v/>
      </c>
      <c r="AI1392" s="1714">
        <f>IFERROR(_xll.TR(MO.Ticker.Thomson,"MAX(TR.Pricehigh)","sdate:#1 edate:#2",,INDEX(MO_SNA_FPStartDate,0,COLUMN()),INDEX(MO_Common_QEndDate,0,COLUMN())),"N/A")</f>
        <v/>
      </c>
      <c r="AJ1392" s="1714">
        <f>IFERROR(_xll.TR(MO.Ticker.Thomson,"MAX(TR.Pricehigh)","sdate:#1 edate:#2",,INDEX(MO_SNA_FPStartDate,0,COLUMN()),INDEX(MO_Common_QEndDate,0,COLUMN())),"N/A")</f>
        <v/>
      </c>
      <c r="AK1392" s="1714">
        <f>IFERROR(_xll.TR(MO.Ticker.Thomson,"MAX(TR.Pricehigh)","sdate:#1 edate:#2",,INDEX(MO_SNA_FPStartDate,0,COLUMN()),INDEX(MO_Common_QEndDate,0,COLUMN())),"N/A")</f>
        <v/>
      </c>
      <c r="AL1392" s="1714">
        <f>IFERROR(_xll.TR(MO.Ticker.Thomson,"MAX(TR.Pricehigh)","sdate:#1 edate:#2",,INDEX(MO_SNA_FPStartDate,0,COLUMN()),INDEX(MO_Common_QEndDate,0,COLUMN())),"N/A")</f>
        <v/>
      </c>
      <c r="AM1392" s="1714">
        <f>IFERROR(_xll.TR(MO.Ticker.Thomson,"MAX(TR.Pricehigh)","sdate:#1 edate:#2",,INDEX(MO_SNA_FPStartDate,0,COLUMN()),INDEX(MO_Common_QEndDate,0,COLUMN())),"N/A")</f>
        <v/>
      </c>
      <c r="AN1392" s="1714">
        <f>IFERROR(_xll.TR(MO.Ticker.Thomson,"MAX(TR.Pricehigh)","sdate:#1 edate:#2",,INDEX(MO_SNA_FPStartDate,0,COLUMN()),INDEX(MO_Common_QEndDate,0,COLUMN())),"N/A")</f>
        <v/>
      </c>
      <c r="AO1392" s="1714">
        <f>IFERROR(_xll.TR(MO.Ticker.Thomson,"MAX(TR.Pricehigh)","sdate:#1 edate:#2",,INDEX(MO_SNA_FPStartDate,0,COLUMN()),INDEX(MO_Common_QEndDate,0,COLUMN())),"N/A")</f>
        <v/>
      </c>
      <c r="AP1392" s="1714">
        <f>IFERROR(_xll.TR(MO.Ticker.Thomson,"MAX(TR.Pricehigh)","sdate:#1 edate:#2",,INDEX(MO_SNA_FPStartDate,0,COLUMN()),INDEX(MO_Common_QEndDate,0,COLUMN())),"N/A")</f>
        <v/>
      </c>
      <c r="AQ1392" s="1714">
        <f>IFERROR(_xll.TR(MO.Ticker.Thomson,"MAX(TR.Pricehigh)","sdate:#1 edate:#2",,INDEX(MO_SNA_FPStartDate,0,COLUMN()),INDEX(MO_Common_QEndDate,0,COLUMN())),"N/A")</f>
        <v/>
      </c>
      <c r="AR1392" s="1714">
        <f>IFERROR(_xll.TR(MO.Ticker.Thomson,"MAX(TR.Pricehigh)","sdate:#1 edate:#2",,INDEX(MO_SNA_FPStartDate,0,COLUMN()),INDEX(MO_Common_QEndDate,0,COLUMN())),"N/A")</f>
        <v/>
      </c>
      <c r="AS1392" s="1714">
        <f>IFERROR(_xll.TR(MO.Ticker.Thomson,"MAX(TR.Pricehigh)","sdate:#1 edate:#2",,INDEX(MO_SNA_FPStartDate,0,COLUMN()),INDEX(MO_Common_QEndDate,0,COLUMN())),"N/A")</f>
        <v/>
      </c>
      <c r="AT1392" s="1714">
        <f>IFERROR(_xll.TR(MO.Ticker.Thomson,"MAX(TR.Pricehigh)","sdate:#1 edate:#2",,INDEX(MO_SNA_FPStartDate,0,COLUMN()),INDEX(MO_Common_QEndDate,0,COLUMN())),"N/A")</f>
        <v/>
      </c>
      <c r="AU1392" s="1714">
        <f>IFERROR(_xll.TR(MO.Ticker.Thomson,"MAX(TR.Pricehigh)","sdate:#1 edate:#2",,INDEX(MO_SNA_FPStartDate,0,COLUMN()),INDEX(MO_Common_QEndDate,0,COLUMN())),"N/A")</f>
        <v/>
      </c>
      <c r="AV1392" s="1714">
        <f>IFERROR(_xll.TR(MO.Ticker.Thomson,"MAX(TR.Pricehigh)","sdate:#1 edate:#2",,INDEX(MO_SNA_FPStartDate,0,COLUMN()),INDEX(MO_Common_QEndDate,0,COLUMN())),"N/A")</f>
        <v/>
      </c>
      <c r="AW1392" s="1714">
        <f>IFERROR(_xll.TR(MO.Ticker.Thomson,"MAX(TR.Pricehigh)","sdate:#1 edate:#2",,INDEX(MO_SNA_FPStartDate,0,COLUMN()),INDEX(MO_Common_QEndDate,0,COLUMN())),"N/A")</f>
        <v/>
      </c>
      <c r="AX1392" s="1714">
        <f>IFERROR(_xll.TR(MO.Ticker.Thomson,"MAX(TR.Pricehigh)","sdate:#1 edate:#2",,INDEX(MO_SNA_FPStartDate,0,COLUMN()),INDEX(MO_Common_QEndDate,0,COLUMN())),"N/A")</f>
        <v/>
      </c>
      <c r="AY1392" s="1714">
        <f>IFERROR(_xll.TR(MO.Ticker.Thomson,"MAX(TR.Pricehigh)","sdate:#1 edate:#2",,INDEX(MO_SNA_FPStartDate,0,COLUMN()),INDEX(MO_Common_QEndDate,0,COLUMN())),"N/A")</f>
        <v/>
      </c>
      <c r="AZ1392" s="1714">
        <f>IFERROR(_xll.TR(MO.Ticker.Thomson,"MAX(TR.Pricehigh)","sdate:#1 edate:#2",,INDEX(MO_SNA_FPStartDate,0,COLUMN()),INDEX(MO_Common_QEndDate,0,COLUMN())),"N/A")</f>
        <v/>
      </c>
      <c r="BA1392" s="1714">
        <f>IFERROR(_xll.TR(MO.Ticker.Thomson,"MAX(TR.Pricehigh)","sdate:#1 edate:#2",,INDEX(MO_SNA_FPStartDate,0,COLUMN()),INDEX(MO_Common_QEndDate,0,COLUMN())),"N/A")</f>
        <v/>
      </c>
      <c r="BB1392" s="1714">
        <f>IFERROR(_xll.TR(MO.Ticker.Thomson,"MAX(TR.Pricehigh)","sdate:#1 edate:#2",,INDEX(MO_SNA_FPStartDate,0,COLUMN()),INDEX(MO_Common_QEndDate,0,COLUMN())),"N/A")</f>
        <v/>
      </c>
      <c r="BC1392" s="1714">
        <f>IFERROR(_xll.TR(MO.Ticker.Thomson,"MAX(TR.Pricehigh)","sdate:#1 edate:#2",,INDEX(MO_SNA_FPStartDate,0,COLUMN()),INDEX(MO_Common_QEndDate,0,COLUMN())),"N/A")</f>
        <v/>
      </c>
      <c r="BD1392" s="1714">
        <f>IFERROR(_xll.TR(MO.Ticker.Thomson,"MAX(TR.Pricehigh)","sdate:#1 edate:#2",,INDEX(MO_SNA_FPStartDate,0,COLUMN()),INDEX(MO_Common_QEndDate,0,COLUMN())),"N/A")</f>
        <v/>
      </c>
      <c r="BE1392" s="1714">
        <f>IFERROR(_xll.TR(MO.Ticker.Thomson,"MAX(TR.Pricehigh)","sdate:#1 edate:#2",,INDEX(MO_SNA_FPStartDate,0,COLUMN()),INDEX(MO_Common_QEndDate,0,COLUMN())),"N/A")</f>
        <v/>
      </c>
      <c r="BF1392" s="1714">
        <f>IFERROR(_xll.TR(MO.Ticker.Thomson,"MAX(TR.Pricehigh)","sdate:#1 edate:#2",,INDEX(MO_SNA_FPStartDate,0,COLUMN()),INDEX(MO_Common_QEndDate,0,COLUMN())),"N/A")</f>
        <v/>
      </c>
      <c r="BG1392" s="1714">
        <f>IFERROR(_xll.TR(MO.Ticker.Thomson,"MAX(TR.Pricehigh)","sdate:#1 edate:#2",,INDEX(MO_SNA_FPStartDate,0,COLUMN()),INDEX(MO_Common_QEndDate,0,COLUMN())),"N/A")</f>
        <v/>
      </c>
      <c r="BH1392" s="1714">
        <f>IFERROR(_xll.TR(MO.Ticker.Thomson,"MAX(TR.Pricehigh)","sdate:#1 edate:#2",,INDEX(MO_SNA_FPStartDate,0,COLUMN()),INDEX(MO_Common_QEndDate,0,COLUMN())),"N/A")</f>
        <v/>
      </c>
      <c r="BI1392" s="1714">
        <f>IFERROR(_xll.TR(MO.Ticker.Thomson,"MAX(TR.Pricehigh)","sdate:#1 edate:#2",,INDEX(MO_SNA_FPStartDate,0,COLUMN()),INDEX(MO_Common_QEndDate,0,COLUMN())),"N/A")</f>
        <v/>
      </c>
      <c r="BJ1392" s="1714">
        <f>IFERROR(_xll.TR(MO.Ticker.Thomson,"MAX(TR.Pricehigh)","sdate:#1 edate:#2",,INDEX(MO_SNA_FPStartDate,0,COLUMN()),INDEX(MO_Common_QEndDate,0,COLUMN())),"N/A")</f>
        <v/>
      </c>
      <c r="BK1392" s="1714">
        <f>IFERROR(_xll.TR(MO.Ticker.Thomson,"MAX(TR.Pricehigh)","sdate:#1 edate:#2",,INDEX(MO_SNA_FPStartDate,0,COLUMN()),INDEX(MO_Common_QEndDate,0,COLUMN())),"N/A")</f>
        <v/>
      </c>
      <c r="BL1392" s="1714">
        <f>IFERROR(_xll.TR(MO.Ticker.Thomson,"MAX(TR.Pricehigh)","sdate:#1 edate:#2",,INDEX(MO_SNA_FPStartDate,0,COLUMN()),INDEX(MO_Common_QEndDate,0,COLUMN())),"N/A")</f>
        <v/>
      </c>
      <c r="BM1392" s="1714">
        <f>IFERROR(_xll.TR(MO.Ticker.Thomson,"MAX(TR.Pricehigh)","sdate:#1 edate:#2",,INDEX(MO_SNA_FPStartDate,0,COLUMN()),INDEX(MO_Common_QEndDate,0,COLUMN())),"N/A")</f>
        <v/>
      </c>
      <c r="BN1392" s="1714">
        <f>IFERROR(_xll.TR(MO.Ticker.Thomson,"MAX(TR.Pricehigh)","sdate:#1 edate:#2",,INDEX(MO_SNA_FPStartDate,0,COLUMN()),INDEX(MO_Common_QEndDate,0,COLUMN())),"N/A")</f>
        <v/>
      </c>
      <c r="BO1392" s="1714">
        <f>IFERROR(_xll.TR(MO.Ticker.Thomson,"MAX(TR.Pricehigh)","sdate:#1 edate:#2",,INDEX(MO_SNA_FPStartDate,0,COLUMN()),INDEX(MO_Common_QEndDate,0,COLUMN())),"N/A")</f>
        <v/>
      </c>
      <c r="BP1392" s="1714">
        <f>IFERROR(_xll.TR(MO.Ticker.Thomson,"MAX(TR.Pricehigh)","sdate:#1 edate:#2",,INDEX(MO_SNA_FPStartDate,0,COLUMN()),INDEX(MO_Common_QEndDate,0,COLUMN())),"N/A")</f>
        <v/>
      </c>
      <c r="BQ1392" s="1717">
        <f>IFERROR(_xll.TR(MO.Ticker.Thomson,"MAX(TR.Pricehigh)","sdate:#1 edate:#2",,INDEX(MO_SNA_FPStartDate,0,COLUMN()),INDEX(MO_Common_QEndDate,0,COLUMN())),"N/A")</f>
        <v/>
      </c>
      <c r="BR1392" s="1714">
        <f>IFERROR(_xll.TR(MO.Ticker.Thomson,"MAX(TR.Pricehigh)","sdate:#1 edate:#2",,INDEX(MO_SNA_FPStartDate,0,COLUMN()),INDEX(MO_Common_QEndDate,0,COLUMN())),"N/A")</f>
        <v/>
      </c>
      <c r="BS1392" s="1714">
        <f>IFERROR(_xll.TR(MO.Ticker.Thomson,"MAX(TR.Pricehigh)","sdate:#1 edate:#2",,INDEX(MO_SNA_FPStartDate,0,COLUMN()),INDEX(MO_Common_QEndDate,0,COLUMN())),"N/A")</f>
        <v/>
      </c>
      <c r="BT1392" s="1714">
        <f>IFERROR(_xll.TR(MO.Ticker.Thomson,"MAX(TR.Pricehigh)","sdate:#1 edate:#2",,INDEX(MO_SNA_FPStartDate,0,COLUMN()),INDEX(MO_Common_QEndDate,0,COLUMN())),"N/A")</f>
        <v/>
      </c>
      <c r="BU1392" s="1714">
        <f>IFERROR(_xll.TR(MO.Ticker.Thomson,"MAX(TR.Pricehigh)","sdate:#1 edate:#2",,INDEX(MO_SNA_FPStartDate,0,COLUMN()),INDEX(MO_Common_QEndDate,0,COLUMN())),"N/A")</f>
        <v/>
      </c>
      <c r="BV1392" s="1714">
        <f>IFERROR(_xll.TR(MO.Ticker.Thomson,"MAX(TR.Pricehigh)","sdate:#1 edate:#2",,INDEX(MO_SNA_FPStartDate,0,COLUMN()),INDEX(MO_Common_QEndDate,0,COLUMN())),"N/A")</f>
        <v/>
      </c>
      <c r="BW1392" s="1714">
        <f>IFERROR(_xll.TR(MO.Ticker.Thomson,"MAX(TR.Pricehigh)","sdate:#1 edate:#2",,INDEX(MO_SNA_FPStartDate,0,COLUMN()),INDEX(MO_Common_QEndDate,0,COLUMN())),"N/A")</f>
        <v/>
      </c>
      <c r="BX1392" s="1714">
        <f>IFERROR(_xll.TR(MO.Ticker.Thomson,"MAX(TR.Pricehigh)","sdate:#1 edate:#2",,INDEX(MO_SNA_FPStartDate,0,COLUMN()),INDEX(MO_Common_QEndDate,0,COLUMN())),"N/A")</f>
        <v/>
      </c>
      <c r="BY1392" s="1714">
        <f>IFERROR(_xll.TR(MO.Ticker.Thomson,"MAX(TR.Pricehigh)","sdate:#1 edate:#2",,INDEX(MO_SNA_FPStartDate,0,COLUMN()),INDEX(MO_Common_QEndDate,0,COLUMN())),"N/A")</f>
        <v/>
      </c>
      <c r="BZ1392" s="1714">
        <f>IFERROR(_xll.TR(MO.Ticker.Thomson,"MAX(TR.Pricehigh)","sdate:#1 edate:#2",,INDEX(MO_SNA_FPStartDate,0,COLUMN()),INDEX(MO_Common_QEndDate,0,COLUMN())),"N/A")</f>
        <v/>
      </c>
      <c r="CA1392" s="2037">
        <f>IFERROR(_xll.TR(MO.Ticker.Thomson,"MAX(TR.Pricehigh)","sdate:#1 edate:#2",,INDEX(MO_SNA_FPStartDate,0,COLUMN()),INDEX(MO_Common_QEndDate,0,COLUMN())),"N/A")</f>
        <v/>
      </c>
      <c r="CB1392" s="2038" t="n"/>
    </row>
    <row r="1393" hidden="1" outlineLevel="1" ht="14.4" customFormat="1" customHeight="1" s="1359">
      <c r="A1393" s="2042" t="n"/>
      <c r="B1393" s="1361" t="n"/>
      <c r="C1393" s="1959" t="n"/>
      <c r="D1393" s="1959" t="n"/>
      <c r="E1393" s="1959" t="n"/>
      <c r="F1393" s="1959" t="n"/>
      <c r="G1393" s="1959" t="n"/>
      <c r="H1393" s="1361" t="n"/>
      <c r="I1393" s="1361" t="n"/>
      <c r="J1393" s="1361" t="n"/>
      <c r="K1393" s="1361" t="n"/>
      <c r="L1393" s="1361" t="n"/>
      <c r="M1393" s="1361" t="n"/>
      <c r="N1393" s="1361" t="n"/>
      <c r="O1393" s="1361" t="n"/>
      <c r="P1393" s="1361" t="n"/>
      <c r="Q1393" s="1361" t="n"/>
      <c r="R1393" s="1361" t="n"/>
      <c r="S1393" s="1361" t="n"/>
      <c r="T1393" s="1361" t="n"/>
      <c r="U1393" s="1361" t="n"/>
      <c r="V1393" s="1361" t="n"/>
      <c r="W1393" s="1361" t="n"/>
      <c r="X1393" s="1361" t="n"/>
      <c r="Y1393" s="1361" t="n"/>
      <c r="Z1393" s="1361" t="n"/>
      <c r="AA1393" s="1361" t="n"/>
      <c r="AB1393" s="1361" t="n"/>
      <c r="AC1393" s="1361" t="n"/>
      <c r="AD1393" s="1361" t="n"/>
      <c r="AE1393" s="1361" t="n"/>
      <c r="AF1393" s="1361" t="n"/>
      <c r="AG1393" s="1361" t="n"/>
      <c r="AH1393" s="1361" t="n"/>
      <c r="AI1393" s="1361" t="n"/>
      <c r="AJ1393" s="1361" t="n"/>
      <c r="AK1393" s="1361" t="n"/>
      <c r="AL1393" s="1361" t="n"/>
      <c r="AM1393" s="1361" t="n"/>
      <c r="AN1393" s="1361" t="n"/>
      <c r="AO1393" s="1361" t="n"/>
      <c r="AP1393" s="1361" t="n"/>
      <c r="AQ1393" s="1361" t="n"/>
      <c r="AR1393" s="1361" t="n"/>
      <c r="AS1393" s="1361" t="n"/>
      <c r="AT1393" s="1361" t="n"/>
      <c r="AU1393" s="1361" t="n"/>
      <c r="AV1393" s="1361" t="n"/>
      <c r="AW1393" s="1361" t="n"/>
      <c r="AX1393" s="1361" t="n"/>
      <c r="AY1393" s="1361" t="n"/>
      <c r="AZ1393" s="1361" t="n"/>
      <c r="BA1393" s="1361" t="n"/>
      <c r="BB1393" s="1361" t="n"/>
      <c r="BC1393" s="1361" t="n"/>
      <c r="BD1393" s="1361" t="n"/>
      <c r="BE1393" s="1361" t="n"/>
      <c r="BF1393" s="1361" t="n"/>
      <c r="BG1393" s="1361" t="n"/>
      <c r="BH1393" s="1361" t="n"/>
      <c r="BI1393" s="1361" t="n"/>
      <c r="BJ1393" s="1361" t="n"/>
      <c r="BK1393" s="1361" t="n"/>
      <c r="BL1393" s="1361" t="n"/>
      <c r="BM1393" s="1361" t="n"/>
      <c r="BN1393" s="1361" t="n"/>
      <c r="BO1393" s="1361" t="n"/>
      <c r="BP1393" s="1361" t="n"/>
      <c r="BQ1393" s="1363" t="n"/>
      <c r="BR1393" s="1361" t="n"/>
      <c r="BS1393" s="1361" t="n"/>
      <c r="BT1393" s="1361" t="n"/>
      <c r="BU1393" s="1361" t="n"/>
      <c r="BV1393" s="1361" t="n"/>
      <c r="BW1393" s="1361" t="n"/>
      <c r="BX1393" s="1361" t="n"/>
      <c r="BY1393" s="1361" t="n"/>
      <c r="BZ1393" s="1361" t="n"/>
      <c r="CA1393" s="2043" t="n"/>
      <c r="CB1393" s="2023" t="n"/>
    </row>
    <row r="1394" collapsed="1" ht="14.4" customFormat="1" customHeight="1" s="1905">
      <c r="A1394" s="2035">
        <f>"Stock Low: "&amp;IF(OR(MO.RealTimeStockPriceToggle=FALSE,VLOOKUP(MO.DataSourceName,MO_SPT_StockLow_Sources,COLUMN()+2,FALSE)="N/A"),"Real-Time Off Source",MO.DataSourceName)</f>
        <v/>
      </c>
      <c r="B1394" s="1714" t="n"/>
      <c r="C1394" s="2036">
        <f>IF(OR(MO.RealTimeStockPriceToggle=FALSE,VLOOKUP(MO.DataSourceName,MO_SPT_StockLow_Sources,COLUMN(),FALSE)="N/A"),VLOOKUP("Real-Time Off Source",MO_SPT_StockLow_Sources,COLUMN(),FALSE),VLOOKUP(MO.DataSourceName,MO_SPT_StockLow_Sources,COLUMN(),FALSE))</f>
        <v/>
      </c>
      <c r="D1394" s="2036">
        <f>IF(OR(MO.RealTimeStockPriceToggle=FALSE,VLOOKUP(MO.DataSourceName,MO_SPT_StockLow_Sources,COLUMN(),FALSE)="N/A"),VLOOKUP("Real-Time Off Source",MO_SPT_StockLow_Sources,COLUMN(),FALSE),VLOOKUP(MO.DataSourceName,MO_SPT_StockLow_Sources,COLUMN(),FALSE))</f>
        <v/>
      </c>
      <c r="E1394" s="2036">
        <f>IF(OR(MO.RealTimeStockPriceToggle=FALSE,VLOOKUP(MO.DataSourceName,MO_SPT_StockLow_Sources,COLUMN(),FALSE)="N/A"),VLOOKUP("Real-Time Off Source",MO_SPT_StockLow_Sources,COLUMN(),FALSE),VLOOKUP(MO.DataSourceName,MO_SPT_StockLow_Sources,COLUMN(),FALSE))</f>
        <v/>
      </c>
      <c r="F1394" s="2036">
        <f>IF(OR(MO.RealTimeStockPriceToggle=FALSE,VLOOKUP(MO.DataSourceName,MO_SPT_StockLow_Sources,COLUMN(),FALSE)="N/A"),VLOOKUP("Real-Time Off Source",MO_SPT_StockLow_Sources,COLUMN(),FALSE),VLOOKUP(MO.DataSourceName,MO_SPT_StockLow_Sources,COLUMN(),FALSE))</f>
        <v/>
      </c>
      <c r="G1394" s="2036">
        <f>IF(OR(MO.RealTimeStockPriceToggle=FALSE,VLOOKUP(MO.DataSourceName,MO_SPT_StockLow_Sources,COLUMN(),FALSE)="N/A"),VLOOKUP("Real-Time Off Source",MO_SPT_StockLow_Sources,COLUMN(),FALSE),VLOOKUP(MO.DataSourceName,MO_SPT_StockLow_Sources,COLUMN(),FALSE))</f>
        <v/>
      </c>
      <c r="H1394" s="1714">
        <f>IF(OR(MO.RealTimeStockPriceToggle=FALSE,VLOOKUP(MO.DataSourceName,MO_SPT_StockLow_Sources,COLUMN(),FALSE)="N/A"),VLOOKUP("Real-Time Off Source",MO_SPT_StockLow_Sources,COLUMN(),FALSE),VLOOKUP(MO.DataSourceName,MO_SPT_StockLow_Sources,COLUMN(),FALSE))</f>
        <v/>
      </c>
      <c r="I1394" s="1714">
        <f>IF(OR(MO.RealTimeStockPriceToggle=FALSE,VLOOKUP(MO.DataSourceName,MO_SPT_StockLow_Sources,COLUMN(),FALSE)="N/A"),VLOOKUP("Real-Time Off Source",MO_SPT_StockLow_Sources,COLUMN(),FALSE),VLOOKUP(MO.DataSourceName,MO_SPT_StockLow_Sources,COLUMN(),FALSE))</f>
        <v/>
      </c>
      <c r="J1394" s="1714">
        <f>IF(OR(MO.RealTimeStockPriceToggle=FALSE,VLOOKUP(MO.DataSourceName,MO_SPT_StockLow_Sources,COLUMN(),FALSE)="N/A"),VLOOKUP("Real-Time Off Source",MO_SPT_StockLow_Sources,COLUMN(),FALSE),VLOOKUP(MO.DataSourceName,MO_SPT_StockLow_Sources,COLUMN(),FALSE))</f>
        <v/>
      </c>
      <c r="K1394" s="1714">
        <f>IF(OR(MO.RealTimeStockPriceToggle=FALSE,VLOOKUP(MO.DataSourceName,MO_SPT_StockLow_Sources,COLUMN(),FALSE)="N/A"),VLOOKUP("Real-Time Off Source",MO_SPT_StockLow_Sources,COLUMN(),FALSE),VLOOKUP(MO.DataSourceName,MO_SPT_StockLow_Sources,COLUMN(),FALSE))</f>
        <v/>
      </c>
      <c r="L1394" s="1714">
        <f>IF(OR(MO.RealTimeStockPriceToggle=FALSE,VLOOKUP(MO.DataSourceName,MO_SPT_StockLow_Sources,COLUMN(),FALSE)="N/A"),VLOOKUP("Real-Time Off Source",MO_SPT_StockLow_Sources,COLUMN(),FALSE),VLOOKUP(MO.DataSourceName,MO_SPT_StockLow_Sources,COLUMN(),FALSE))</f>
        <v/>
      </c>
      <c r="M1394" s="1714">
        <f>IF(OR(MO.RealTimeStockPriceToggle=FALSE,VLOOKUP(MO.DataSourceName,MO_SPT_StockLow_Sources,COLUMN(),FALSE)="N/A"),VLOOKUP("Real-Time Off Source",MO_SPT_StockLow_Sources,COLUMN(),FALSE),VLOOKUP(MO.DataSourceName,MO_SPT_StockLow_Sources,COLUMN(),FALSE))</f>
        <v/>
      </c>
      <c r="N1394" s="1714">
        <f>IF(OR(MO.RealTimeStockPriceToggle=FALSE,VLOOKUP(MO.DataSourceName,MO_SPT_StockLow_Sources,COLUMN(),FALSE)="N/A"),VLOOKUP("Real-Time Off Source",MO_SPT_StockLow_Sources,COLUMN(),FALSE),VLOOKUP(MO.DataSourceName,MO_SPT_StockLow_Sources,COLUMN(),FALSE))</f>
        <v/>
      </c>
      <c r="O1394" s="1714">
        <f>IF(OR(MO.RealTimeStockPriceToggle=FALSE,VLOOKUP(MO.DataSourceName,MO_SPT_StockLow_Sources,COLUMN(),FALSE)="N/A"),VLOOKUP("Real-Time Off Source",MO_SPT_StockLow_Sources,COLUMN(),FALSE),VLOOKUP(MO.DataSourceName,MO_SPT_StockLow_Sources,COLUMN(),FALSE))</f>
        <v/>
      </c>
      <c r="P1394" s="1714">
        <f>IF(OR(MO.RealTimeStockPriceToggle=FALSE,VLOOKUP(MO.DataSourceName,MO_SPT_StockLow_Sources,COLUMN(),FALSE)="N/A"),VLOOKUP("Real-Time Off Source",MO_SPT_StockLow_Sources,COLUMN(),FALSE),VLOOKUP(MO.DataSourceName,MO_SPT_StockLow_Sources,COLUMN(),FALSE))</f>
        <v/>
      </c>
      <c r="Q1394" s="1714">
        <f>IF(OR(MO.RealTimeStockPriceToggle=FALSE,VLOOKUP(MO.DataSourceName,MO_SPT_StockLow_Sources,COLUMN(),FALSE)="N/A"),VLOOKUP("Real-Time Off Source",MO_SPT_StockLow_Sources,COLUMN(),FALSE),VLOOKUP(MO.DataSourceName,MO_SPT_StockLow_Sources,COLUMN(),FALSE))</f>
        <v/>
      </c>
      <c r="R1394" s="1714">
        <f>IF(OR(MO.RealTimeStockPriceToggle=FALSE,VLOOKUP(MO.DataSourceName,MO_SPT_StockLow_Sources,COLUMN(),FALSE)="N/A"),VLOOKUP("Real-Time Off Source",MO_SPT_StockLow_Sources,COLUMN(),FALSE),VLOOKUP(MO.DataSourceName,MO_SPT_StockLow_Sources,COLUMN(),FALSE))</f>
        <v/>
      </c>
      <c r="S1394" s="1714">
        <f>IF(OR(MO.RealTimeStockPriceToggle=FALSE,VLOOKUP(MO.DataSourceName,MO_SPT_StockLow_Sources,COLUMN(),FALSE)="N/A"),VLOOKUP("Real-Time Off Source",MO_SPT_StockLow_Sources,COLUMN(),FALSE),VLOOKUP(MO.DataSourceName,MO_SPT_StockLow_Sources,COLUMN(),FALSE))</f>
        <v/>
      </c>
      <c r="T1394" s="1714">
        <f>IF(OR(MO.RealTimeStockPriceToggle=FALSE,VLOOKUP(MO.DataSourceName,MO_SPT_StockLow_Sources,COLUMN(),FALSE)="N/A"),VLOOKUP("Real-Time Off Source",MO_SPT_StockLow_Sources,COLUMN(),FALSE),VLOOKUP(MO.DataSourceName,MO_SPT_StockLow_Sources,COLUMN(),FALSE))</f>
        <v/>
      </c>
      <c r="U1394" s="1714">
        <f>IF(OR(MO.RealTimeStockPriceToggle=FALSE,VLOOKUP(MO.DataSourceName,MO_SPT_StockLow_Sources,COLUMN(),FALSE)="N/A"),VLOOKUP("Real-Time Off Source",MO_SPT_StockLow_Sources,COLUMN(),FALSE),VLOOKUP(MO.DataSourceName,MO_SPT_StockLow_Sources,COLUMN(),FALSE))</f>
        <v/>
      </c>
      <c r="V1394" s="1714">
        <f>IF(OR(MO.RealTimeStockPriceToggle=FALSE,VLOOKUP(MO.DataSourceName,MO_SPT_StockLow_Sources,COLUMN(),FALSE)="N/A"),VLOOKUP("Real-Time Off Source",MO_SPT_StockLow_Sources,COLUMN(),FALSE),VLOOKUP(MO.DataSourceName,MO_SPT_StockLow_Sources,COLUMN(),FALSE))</f>
        <v/>
      </c>
      <c r="W1394" s="1714">
        <f>IF(OR(MO.RealTimeStockPriceToggle=FALSE,VLOOKUP(MO.DataSourceName,MO_SPT_StockLow_Sources,COLUMN(),FALSE)="N/A"),VLOOKUP("Real-Time Off Source",MO_SPT_StockLow_Sources,COLUMN(),FALSE),VLOOKUP(MO.DataSourceName,MO_SPT_StockLow_Sources,COLUMN(),FALSE))</f>
        <v/>
      </c>
      <c r="X1394" s="1714">
        <f>IF(OR(MO.RealTimeStockPriceToggle=FALSE,VLOOKUP(MO.DataSourceName,MO_SPT_StockLow_Sources,COLUMN(),FALSE)="N/A"),VLOOKUP("Real-Time Off Source",MO_SPT_StockLow_Sources,COLUMN(),FALSE),VLOOKUP(MO.DataSourceName,MO_SPT_StockLow_Sources,COLUMN(),FALSE))</f>
        <v/>
      </c>
      <c r="Y1394" s="1714">
        <f>IF(OR(MO.RealTimeStockPriceToggle=FALSE,VLOOKUP(MO.DataSourceName,MO_SPT_StockLow_Sources,COLUMN(),FALSE)="N/A"),VLOOKUP("Real-Time Off Source",MO_SPT_StockLow_Sources,COLUMN(),FALSE),VLOOKUP(MO.DataSourceName,MO_SPT_StockLow_Sources,COLUMN(),FALSE))</f>
        <v/>
      </c>
      <c r="Z1394" s="1714">
        <f>IF(OR(MO.RealTimeStockPriceToggle=FALSE,VLOOKUP(MO.DataSourceName,MO_SPT_StockLow_Sources,COLUMN(),FALSE)="N/A"),VLOOKUP("Real-Time Off Source",MO_SPT_StockLow_Sources,COLUMN(),FALSE),VLOOKUP(MO.DataSourceName,MO_SPT_StockLow_Sources,COLUMN(),FALSE))</f>
        <v/>
      </c>
      <c r="AA1394" s="1714">
        <f>IF(OR(MO.RealTimeStockPriceToggle=FALSE,VLOOKUP(MO.DataSourceName,MO_SPT_StockLow_Sources,COLUMN(),FALSE)="N/A"),VLOOKUP("Real-Time Off Source",MO_SPT_StockLow_Sources,COLUMN(),FALSE),VLOOKUP(MO.DataSourceName,MO_SPT_StockLow_Sources,COLUMN(),FALSE))</f>
        <v/>
      </c>
      <c r="AB1394" s="1714">
        <f>IF(OR(MO.RealTimeStockPriceToggle=FALSE,VLOOKUP(MO.DataSourceName,MO_SPT_StockLow_Sources,COLUMN(),FALSE)="N/A"),VLOOKUP("Real-Time Off Source",MO_SPT_StockLow_Sources,COLUMN(),FALSE),VLOOKUP(MO.DataSourceName,MO_SPT_StockLow_Sources,COLUMN(),FALSE))</f>
        <v/>
      </c>
      <c r="AC1394" s="1714">
        <f>IF(OR(MO.RealTimeStockPriceToggle=FALSE,VLOOKUP(MO.DataSourceName,MO_SPT_StockLow_Sources,COLUMN(),FALSE)="N/A"),VLOOKUP("Real-Time Off Source",MO_SPT_StockLow_Sources,COLUMN(),FALSE),VLOOKUP(MO.DataSourceName,MO_SPT_StockLow_Sources,COLUMN(),FALSE))</f>
        <v/>
      </c>
      <c r="AD1394" s="1714">
        <f>IF(OR(MO.RealTimeStockPriceToggle=FALSE,VLOOKUP(MO.DataSourceName,MO_SPT_StockLow_Sources,COLUMN(),FALSE)="N/A"),VLOOKUP("Real-Time Off Source",MO_SPT_StockLow_Sources,COLUMN(),FALSE),VLOOKUP(MO.DataSourceName,MO_SPT_StockLow_Sources,COLUMN(),FALSE))</f>
        <v/>
      </c>
      <c r="AE1394" s="1714">
        <f>IF(OR(MO.RealTimeStockPriceToggle=FALSE,VLOOKUP(MO.DataSourceName,MO_SPT_StockLow_Sources,COLUMN(),FALSE)="N/A"),VLOOKUP("Real-Time Off Source",MO_SPT_StockLow_Sources,COLUMN(),FALSE),VLOOKUP(MO.DataSourceName,MO_SPT_StockLow_Sources,COLUMN(),FALSE))</f>
        <v/>
      </c>
      <c r="AF1394" s="1714">
        <f>IF(OR(MO.RealTimeStockPriceToggle=FALSE,VLOOKUP(MO.DataSourceName,MO_SPT_StockLow_Sources,COLUMN(),FALSE)="N/A"),VLOOKUP("Real-Time Off Source",MO_SPT_StockLow_Sources,COLUMN(),FALSE),VLOOKUP(MO.DataSourceName,MO_SPT_StockLow_Sources,COLUMN(),FALSE))</f>
        <v/>
      </c>
      <c r="AG1394" s="1714">
        <f>IF(OR(MO.RealTimeStockPriceToggle=FALSE,VLOOKUP(MO.DataSourceName,MO_SPT_StockLow_Sources,COLUMN(),FALSE)="N/A"),VLOOKUP("Real-Time Off Source",MO_SPT_StockLow_Sources,COLUMN(),FALSE),VLOOKUP(MO.DataSourceName,MO_SPT_StockLow_Sources,COLUMN(),FALSE))</f>
        <v/>
      </c>
      <c r="AH1394" s="1714">
        <f>IF(OR(MO.RealTimeStockPriceToggle=FALSE,VLOOKUP(MO.DataSourceName,MO_SPT_StockLow_Sources,COLUMN(),FALSE)="N/A"),VLOOKUP("Real-Time Off Source",MO_SPT_StockLow_Sources,COLUMN(),FALSE),VLOOKUP(MO.DataSourceName,MO_SPT_StockLow_Sources,COLUMN(),FALSE))</f>
        <v/>
      </c>
      <c r="AI1394" s="1714">
        <f>IF(OR(MO.RealTimeStockPriceToggle=FALSE,VLOOKUP(MO.DataSourceName,MO_SPT_StockLow_Sources,COLUMN(),FALSE)="N/A"),VLOOKUP("Real-Time Off Source",MO_SPT_StockLow_Sources,COLUMN(),FALSE),VLOOKUP(MO.DataSourceName,MO_SPT_StockLow_Sources,COLUMN(),FALSE))</f>
        <v/>
      </c>
      <c r="AJ1394" s="1714">
        <f>IF(OR(MO.RealTimeStockPriceToggle=FALSE,VLOOKUP(MO.DataSourceName,MO_SPT_StockLow_Sources,COLUMN(),FALSE)="N/A"),VLOOKUP("Real-Time Off Source",MO_SPT_StockLow_Sources,COLUMN(),FALSE),VLOOKUP(MO.DataSourceName,MO_SPT_StockLow_Sources,COLUMN(),FALSE))</f>
        <v/>
      </c>
      <c r="AK1394" s="1714">
        <f>IF(OR(MO.RealTimeStockPriceToggle=FALSE,VLOOKUP(MO.DataSourceName,MO_SPT_StockLow_Sources,COLUMN(),FALSE)="N/A"),VLOOKUP("Real-Time Off Source",MO_SPT_StockLow_Sources,COLUMN(),FALSE),VLOOKUP(MO.DataSourceName,MO_SPT_StockLow_Sources,COLUMN(),FALSE))</f>
        <v/>
      </c>
      <c r="AL1394" s="1714">
        <f>IF(OR(MO.RealTimeStockPriceToggle=FALSE,VLOOKUP(MO.DataSourceName,MO_SPT_StockLow_Sources,COLUMN(),FALSE)="N/A"),VLOOKUP("Real-Time Off Source",MO_SPT_StockLow_Sources,COLUMN(),FALSE),VLOOKUP(MO.DataSourceName,MO_SPT_StockLow_Sources,COLUMN(),FALSE))</f>
        <v/>
      </c>
      <c r="AM1394" s="1714">
        <f>IF(OR(MO.RealTimeStockPriceToggle=FALSE,VLOOKUP(MO.DataSourceName,MO_SPT_StockLow_Sources,COLUMN(),FALSE)="N/A"),VLOOKUP("Real-Time Off Source",MO_SPT_StockLow_Sources,COLUMN(),FALSE),VLOOKUP(MO.DataSourceName,MO_SPT_StockLow_Sources,COLUMN(),FALSE))</f>
        <v/>
      </c>
      <c r="AN1394" s="1714">
        <f>IF(OR(MO.RealTimeStockPriceToggle=FALSE,VLOOKUP(MO.DataSourceName,MO_SPT_StockLow_Sources,COLUMN(),FALSE)="N/A"),VLOOKUP("Real-Time Off Source",MO_SPT_StockLow_Sources,COLUMN(),FALSE),VLOOKUP(MO.DataSourceName,MO_SPT_StockLow_Sources,COLUMN(),FALSE))</f>
        <v/>
      </c>
      <c r="AO1394" s="1714">
        <f>IF(OR(MO.RealTimeStockPriceToggle=FALSE,VLOOKUP(MO.DataSourceName,MO_SPT_StockLow_Sources,COLUMN(),FALSE)="N/A"),VLOOKUP("Real-Time Off Source",MO_SPT_StockLow_Sources,COLUMN(),FALSE),VLOOKUP(MO.DataSourceName,MO_SPT_StockLow_Sources,COLUMN(),FALSE))</f>
        <v/>
      </c>
      <c r="AP1394" s="1714">
        <f>IF(OR(MO.RealTimeStockPriceToggle=FALSE,VLOOKUP(MO.DataSourceName,MO_SPT_StockLow_Sources,COLUMN(),FALSE)="N/A"),VLOOKUP("Real-Time Off Source",MO_SPT_StockLow_Sources,COLUMN(),FALSE),VLOOKUP(MO.DataSourceName,MO_SPT_StockLow_Sources,COLUMN(),FALSE))</f>
        <v/>
      </c>
      <c r="AQ1394" s="1714">
        <f>IF(OR(MO.RealTimeStockPriceToggle=FALSE,VLOOKUP(MO.DataSourceName,MO_SPT_StockLow_Sources,COLUMN(),FALSE)="N/A"),VLOOKUP("Real-Time Off Source",MO_SPT_StockLow_Sources,COLUMN(),FALSE),VLOOKUP(MO.DataSourceName,MO_SPT_StockLow_Sources,COLUMN(),FALSE))</f>
        <v/>
      </c>
      <c r="AR1394" s="1714">
        <f>IF(OR(MO.RealTimeStockPriceToggle=FALSE,VLOOKUP(MO.DataSourceName,MO_SPT_StockLow_Sources,COLUMN(),FALSE)="N/A"),VLOOKUP("Real-Time Off Source",MO_SPT_StockLow_Sources,COLUMN(),FALSE),VLOOKUP(MO.DataSourceName,MO_SPT_StockLow_Sources,COLUMN(),FALSE))</f>
        <v/>
      </c>
      <c r="AS1394" s="1714">
        <f>IF(OR(MO.RealTimeStockPriceToggle=FALSE,VLOOKUP(MO.DataSourceName,MO_SPT_StockLow_Sources,COLUMN(),FALSE)="N/A"),VLOOKUP("Real-Time Off Source",MO_SPT_StockLow_Sources,COLUMN(),FALSE),VLOOKUP(MO.DataSourceName,MO_SPT_StockLow_Sources,COLUMN(),FALSE))</f>
        <v/>
      </c>
      <c r="AT1394" s="1714">
        <f>IF(OR(MO.RealTimeStockPriceToggle=FALSE,VLOOKUP(MO.DataSourceName,MO_SPT_StockLow_Sources,COLUMN(),FALSE)="N/A"),VLOOKUP("Real-Time Off Source",MO_SPT_StockLow_Sources,COLUMN(),FALSE),VLOOKUP(MO.DataSourceName,MO_SPT_StockLow_Sources,COLUMN(),FALSE))</f>
        <v/>
      </c>
      <c r="AU1394" s="1714">
        <f>IF(OR(MO.RealTimeStockPriceToggle=FALSE,VLOOKUP(MO.DataSourceName,MO_SPT_StockLow_Sources,COLUMN(),FALSE)="N/A"),VLOOKUP("Real-Time Off Source",MO_SPT_StockLow_Sources,COLUMN(),FALSE),VLOOKUP(MO.DataSourceName,MO_SPT_StockLow_Sources,COLUMN(),FALSE))</f>
        <v/>
      </c>
      <c r="AV1394" s="1714">
        <f>IF(OR(MO.RealTimeStockPriceToggle=FALSE,VLOOKUP(MO.DataSourceName,MO_SPT_StockLow_Sources,COLUMN(),FALSE)="N/A"),VLOOKUP("Real-Time Off Source",MO_SPT_StockLow_Sources,COLUMN(),FALSE),VLOOKUP(MO.DataSourceName,MO_SPT_StockLow_Sources,COLUMN(),FALSE))</f>
        <v/>
      </c>
      <c r="AW1394" s="1714">
        <f>IF(OR(MO.RealTimeStockPriceToggle=FALSE,VLOOKUP(MO.DataSourceName,MO_SPT_StockLow_Sources,COLUMN(),FALSE)="N/A"),VLOOKUP("Real-Time Off Source",MO_SPT_StockLow_Sources,COLUMN(),FALSE),VLOOKUP(MO.DataSourceName,MO_SPT_StockLow_Sources,COLUMN(),FALSE))</f>
        <v/>
      </c>
      <c r="AX1394" s="1714">
        <f>IF(OR(MO.RealTimeStockPriceToggle=FALSE,VLOOKUP(MO.DataSourceName,MO_SPT_StockLow_Sources,COLUMN(),FALSE)="N/A"),VLOOKUP("Real-Time Off Source",MO_SPT_StockLow_Sources,COLUMN(),FALSE),VLOOKUP(MO.DataSourceName,MO_SPT_StockLow_Sources,COLUMN(),FALSE))</f>
        <v/>
      </c>
      <c r="AY1394" s="1714">
        <f>IF(OR(MO.RealTimeStockPriceToggle=FALSE,VLOOKUP(MO.DataSourceName,MO_SPT_StockLow_Sources,COLUMN(),FALSE)="N/A"),VLOOKUP("Real-Time Off Source",MO_SPT_StockLow_Sources,COLUMN(),FALSE),VLOOKUP(MO.DataSourceName,MO_SPT_StockLow_Sources,COLUMN(),FALSE))</f>
        <v/>
      </c>
      <c r="AZ1394" s="1714">
        <f>IF(OR(MO.RealTimeStockPriceToggle=FALSE,VLOOKUP(MO.DataSourceName,MO_SPT_StockLow_Sources,COLUMN(),FALSE)="N/A"),VLOOKUP("Real-Time Off Source",MO_SPT_StockLow_Sources,COLUMN(),FALSE),VLOOKUP(MO.DataSourceName,MO_SPT_StockLow_Sources,COLUMN(),FALSE))</f>
        <v/>
      </c>
      <c r="BA1394" s="1714">
        <f>IF(OR(MO.RealTimeStockPriceToggle=FALSE,VLOOKUP(MO.DataSourceName,MO_SPT_StockLow_Sources,COLUMN(),FALSE)="N/A"),VLOOKUP("Real-Time Off Source",MO_SPT_StockLow_Sources,COLUMN(),FALSE),VLOOKUP(MO.DataSourceName,MO_SPT_StockLow_Sources,COLUMN(),FALSE))</f>
        <v/>
      </c>
      <c r="BB1394" s="1714">
        <f>IF(OR(MO.RealTimeStockPriceToggle=FALSE,VLOOKUP(MO.DataSourceName,MO_SPT_StockLow_Sources,COLUMN(),FALSE)="N/A"),VLOOKUP("Real-Time Off Source",MO_SPT_StockLow_Sources,COLUMN(),FALSE),VLOOKUP(MO.DataSourceName,MO_SPT_StockLow_Sources,COLUMN(),FALSE))</f>
        <v/>
      </c>
      <c r="BC1394" s="1714">
        <f>IF(OR(MO.RealTimeStockPriceToggle=FALSE,VLOOKUP(MO.DataSourceName,MO_SPT_StockLow_Sources,COLUMN(),FALSE)="N/A"),VLOOKUP("Real-Time Off Source",MO_SPT_StockLow_Sources,COLUMN(),FALSE),VLOOKUP(MO.DataSourceName,MO_SPT_StockLow_Sources,COLUMN(),FALSE))</f>
        <v/>
      </c>
      <c r="BD1394" s="1714">
        <f>IF(OR(MO.RealTimeStockPriceToggle=FALSE,VLOOKUP(MO.DataSourceName,MO_SPT_StockLow_Sources,COLUMN(),FALSE)="N/A"),VLOOKUP("Real-Time Off Source",MO_SPT_StockLow_Sources,COLUMN(),FALSE),VLOOKUP(MO.DataSourceName,MO_SPT_StockLow_Sources,COLUMN(),FALSE))</f>
        <v/>
      </c>
      <c r="BE1394" s="1714">
        <f>IF(OR(MO.RealTimeStockPriceToggle=FALSE,VLOOKUP(MO.DataSourceName,MO_SPT_StockLow_Sources,COLUMN(),FALSE)="N/A"),VLOOKUP("Real-Time Off Source",MO_SPT_StockLow_Sources,COLUMN(),FALSE),VLOOKUP(MO.DataSourceName,MO_SPT_StockLow_Sources,COLUMN(),FALSE))</f>
        <v/>
      </c>
      <c r="BF1394" s="1714">
        <f>IF(OR(MO.RealTimeStockPriceToggle=FALSE,VLOOKUP(MO.DataSourceName,MO_SPT_StockLow_Sources,COLUMN(),FALSE)="N/A"),VLOOKUP("Real-Time Off Source",MO_SPT_StockLow_Sources,COLUMN(),FALSE),VLOOKUP(MO.DataSourceName,MO_SPT_StockLow_Sources,COLUMN(),FALSE))</f>
        <v/>
      </c>
      <c r="BG1394" s="1714">
        <f>IF(OR(MO.RealTimeStockPriceToggle=FALSE,VLOOKUP(MO.DataSourceName,MO_SPT_StockLow_Sources,COLUMN(),FALSE)="N/A"),VLOOKUP("Real-Time Off Source",MO_SPT_StockLow_Sources,COLUMN(),FALSE),VLOOKUP(MO.DataSourceName,MO_SPT_StockLow_Sources,COLUMN(),FALSE))</f>
        <v/>
      </c>
      <c r="BH1394" s="1714">
        <f>IF(OR(MO.RealTimeStockPriceToggle=FALSE,VLOOKUP(MO.DataSourceName,MO_SPT_StockLow_Sources,COLUMN(),FALSE)="N/A"),VLOOKUP("Real-Time Off Source",MO_SPT_StockLow_Sources,COLUMN(),FALSE),VLOOKUP(MO.DataSourceName,MO_SPT_StockLow_Sources,COLUMN(),FALSE))</f>
        <v/>
      </c>
      <c r="BI1394" s="1714">
        <f>IF(OR(MO.RealTimeStockPriceToggle=FALSE,VLOOKUP(MO.DataSourceName,MO_SPT_StockLow_Sources,COLUMN(),FALSE)="N/A"),VLOOKUP("Real-Time Off Source",MO_SPT_StockLow_Sources,COLUMN(),FALSE),VLOOKUP(MO.DataSourceName,MO_SPT_StockLow_Sources,COLUMN(),FALSE))</f>
        <v/>
      </c>
      <c r="BJ1394" s="1714">
        <f>IF(OR(MO.RealTimeStockPriceToggle=FALSE,VLOOKUP(MO.DataSourceName,MO_SPT_StockLow_Sources,COLUMN(),FALSE)="N/A"),VLOOKUP("Real-Time Off Source",MO_SPT_StockLow_Sources,COLUMN(),FALSE),VLOOKUP(MO.DataSourceName,MO_SPT_StockLow_Sources,COLUMN(),FALSE))</f>
        <v/>
      </c>
      <c r="BK1394" s="1714">
        <f>IF(OR(MO.RealTimeStockPriceToggle=FALSE,VLOOKUP(MO.DataSourceName,MO_SPT_StockLow_Sources,COLUMN(),FALSE)="N/A"),VLOOKUP("Real-Time Off Source",MO_SPT_StockLow_Sources,COLUMN(),FALSE),VLOOKUP(MO.DataSourceName,MO_SPT_StockLow_Sources,COLUMN(),FALSE))</f>
        <v/>
      </c>
      <c r="BL1394" s="1714">
        <f>IF(OR(MO.RealTimeStockPriceToggle=FALSE,VLOOKUP(MO.DataSourceName,MO_SPT_StockLow_Sources,COLUMN(),FALSE)="N/A"),VLOOKUP("Real-Time Off Source",MO_SPT_StockLow_Sources,COLUMN(),FALSE),VLOOKUP(MO.DataSourceName,MO_SPT_StockLow_Sources,COLUMN(),FALSE))</f>
        <v/>
      </c>
      <c r="BM1394" s="1714">
        <f>IF(OR(MO.RealTimeStockPriceToggle=FALSE,VLOOKUP(MO.DataSourceName,MO_SPT_StockLow_Sources,COLUMN(),FALSE)="N/A"),VLOOKUP("Real-Time Off Source",MO_SPT_StockLow_Sources,COLUMN(),FALSE),VLOOKUP(MO.DataSourceName,MO_SPT_StockLow_Sources,COLUMN(),FALSE))</f>
        <v/>
      </c>
      <c r="BN1394" s="1714">
        <f>IF(OR(MO.RealTimeStockPriceToggle=FALSE,VLOOKUP(MO.DataSourceName,MO_SPT_StockLow_Sources,COLUMN(),FALSE)="N/A"),VLOOKUP("Real-Time Off Source",MO_SPT_StockLow_Sources,COLUMN(),FALSE),VLOOKUP(MO.DataSourceName,MO_SPT_StockLow_Sources,COLUMN(),FALSE))</f>
        <v/>
      </c>
      <c r="BO1394" s="1714">
        <f>IF(OR(MO.RealTimeStockPriceToggle=FALSE,VLOOKUP(MO.DataSourceName,MO_SPT_StockLow_Sources,COLUMN(),FALSE)="N/A"),VLOOKUP("Real-Time Off Source",MO_SPT_StockLow_Sources,COLUMN(),FALSE),VLOOKUP(MO.DataSourceName,MO_SPT_StockLow_Sources,COLUMN(),FALSE))</f>
        <v/>
      </c>
      <c r="BP1394" s="1714">
        <f>IF(OR(MO.RealTimeStockPriceToggle=FALSE,VLOOKUP(MO.DataSourceName,MO_SPT_StockLow_Sources,COLUMN(),FALSE)="N/A"),VLOOKUP("Real-Time Off Source",MO_SPT_StockLow_Sources,COLUMN(),FALSE),VLOOKUP(MO.DataSourceName,MO_SPT_StockLow_Sources,COLUMN(),FALSE))</f>
        <v/>
      </c>
      <c r="BQ1394" s="1717">
        <f>IF(OR(MO.RealTimeStockPriceToggle=FALSE,VLOOKUP(MO.DataSourceName,MO_SPT_StockLow_Sources,COLUMN(),FALSE)="N/A"),VLOOKUP("Real-Time Off Source",MO_SPT_StockLow_Sources,COLUMN(),FALSE),VLOOKUP(MO.DataSourceName,MO_SPT_StockLow_Sources,COLUMN(),FALSE))</f>
        <v/>
      </c>
      <c r="BR1394" s="1714">
        <f>IF(OR(MO.RealTimeStockPriceToggle=FALSE,VLOOKUP(MO.DataSourceName,MO_SPT_StockLow_Sources,COLUMN(),FALSE)="N/A"),VLOOKUP("Real-Time Off Source",MO_SPT_StockLow_Sources,COLUMN(),FALSE),VLOOKUP(MO.DataSourceName,MO_SPT_StockLow_Sources,COLUMN(),FALSE))</f>
        <v/>
      </c>
      <c r="BS1394" s="1714">
        <f>IF(OR(MO.RealTimeStockPriceToggle=FALSE,VLOOKUP(MO.DataSourceName,MO_SPT_StockLow_Sources,COLUMN(),FALSE)="N/A"),VLOOKUP("Real-Time Off Source",MO_SPT_StockLow_Sources,COLUMN(),FALSE),VLOOKUP(MO.DataSourceName,MO_SPT_StockLow_Sources,COLUMN(),FALSE))</f>
        <v/>
      </c>
      <c r="BT1394" s="1714">
        <f>IF(OR(MO.RealTimeStockPriceToggle=FALSE,VLOOKUP(MO.DataSourceName,MO_SPT_StockLow_Sources,COLUMN(),FALSE)="N/A"),VLOOKUP("Real-Time Off Source",MO_SPT_StockLow_Sources,COLUMN(),FALSE),VLOOKUP(MO.DataSourceName,MO_SPT_StockLow_Sources,COLUMN(),FALSE))</f>
        <v/>
      </c>
      <c r="BU1394" s="1714">
        <f>IF(OR(MO.RealTimeStockPriceToggle=FALSE,VLOOKUP(MO.DataSourceName,MO_SPT_StockLow_Sources,COLUMN(),FALSE)="N/A"),VLOOKUP("Real-Time Off Source",MO_SPT_StockLow_Sources,COLUMN(),FALSE),VLOOKUP(MO.DataSourceName,MO_SPT_StockLow_Sources,COLUMN(),FALSE))</f>
        <v/>
      </c>
      <c r="BV1394" s="1714">
        <f>IF(OR(MO.RealTimeStockPriceToggle=FALSE,VLOOKUP(MO.DataSourceName,MO_SPT_StockLow_Sources,COLUMN(),FALSE)="N/A"),VLOOKUP("Real-Time Off Source",MO_SPT_StockLow_Sources,COLUMN(),FALSE),VLOOKUP(MO.DataSourceName,MO_SPT_StockLow_Sources,COLUMN(),FALSE))</f>
        <v/>
      </c>
      <c r="BW1394" s="1714">
        <f>IF(OR(MO.RealTimeStockPriceToggle=FALSE,VLOOKUP(MO.DataSourceName,MO_SPT_StockLow_Sources,COLUMN(),FALSE)="N/A"),VLOOKUP("Real-Time Off Source",MO_SPT_StockLow_Sources,COLUMN(),FALSE),VLOOKUP(MO.DataSourceName,MO_SPT_StockLow_Sources,COLUMN(),FALSE))</f>
        <v/>
      </c>
      <c r="BX1394" s="1714">
        <f>IF(OR(MO.RealTimeStockPriceToggle=FALSE,VLOOKUP(MO.DataSourceName,MO_SPT_StockLow_Sources,COLUMN(),FALSE)="N/A"),VLOOKUP("Real-Time Off Source",MO_SPT_StockLow_Sources,COLUMN(),FALSE),VLOOKUP(MO.DataSourceName,MO_SPT_StockLow_Sources,COLUMN(),FALSE))</f>
        <v/>
      </c>
      <c r="BY1394" s="1714">
        <f>IF(OR(MO.RealTimeStockPriceToggle=FALSE,VLOOKUP(MO.DataSourceName,MO_SPT_StockLow_Sources,COLUMN(),FALSE)="N/A"),VLOOKUP("Real-Time Off Source",MO_SPT_StockLow_Sources,COLUMN(),FALSE),VLOOKUP(MO.DataSourceName,MO_SPT_StockLow_Sources,COLUMN(),FALSE))</f>
        <v/>
      </c>
      <c r="BZ1394" s="1714">
        <f>IF(OR(MO.RealTimeStockPriceToggle=FALSE,VLOOKUP(MO.DataSourceName,MO_SPT_StockLow_Sources,COLUMN(),FALSE)="N/A"),VLOOKUP("Real-Time Off Source",MO_SPT_StockLow_Sources,COLUMN(),FALSE),VLOOKUP(MO.DataSourceName,MO_SPT_StockLow_Sources,COLUMN(),FALSE))</f>
        <v/>
      </c>
      <c r="CA1394" s="2037">
        <f>IF(OR(MO.RealTimeStockPriceToggle=FALSE,VLOOKUP(MO.DataSourceName,MO_SPT_StockLow_Sources,COLUMN(),FALSE)="N/A"),VLOOKUP("Real-Time Off Source",MO_SPT_StockLow_Sources,COLUMN(),FALSE),VLOOKUP(MO.DataSourceName,MO_SPT_StockLow_Sources,COLUMN(),FALSE))</f>
        <v/>
      </c>
      <c r="CB1394" s="2038" t="n"/>
    </row>
    <row r="1395" hidden="1" outlineLevel="1" ht="14.4" customFormat="1" customHeight="1" s="1905">
      <c r="A1395" s="2039" t="inlineStr">
        <is>
          <t>Real-Time Off Source</t>
        </is>
      </c>
      <c r="B1395" s="1714" t="n"/>
      <c r="C1395" s="2040" t="n">
        <v>3.03</v>
      </c>
      <c r="D1395" s="2040" t="n">
        <v>5.36</v>
      </c>
      <c r="E1395" s="2040" t="n">
        <v>8.09</v>
      </c>
      <c r="F1395" s="2040" t="n">
        <v>9.73</v>
      </c>
      <c r="G1395" s="2040" t="n">
        <v>12.57</v>
      </c>
      <c r="H1395" s="1754" t="n">
        <v>12.33</v>
      </c>
      <c r="I1395" s="1754" t="n">
        <v>13.13</v>
      </c>
      <c r="J1395" s="1754" t="n">
        <v>12.55</v>
      </c>
      <c r="K1395" s="1754" t="n">
        <v>12.33</v>
      </c>
      <c r="L1395" s="1754" t="n">
        <v>13.59</v>
      </c>
      <c r="M1395" s="1754" t="n">
        <v>13.63</v>
      </c>
      <c r="N1395" s="1754" t="n">
        <v>16.25</v>
      </c>
      <c r="O1395" s="1754" t="n">
        <v>15.5</v>
      </c>
      <c r="P1395" s="1754" t="n">
        <v>13.59</v>
      </c>
      <c r="Q1395" s="1754" t="n">
        <v>16.52</v>
      </c>
      <c r="R1395" s="1754" t="n">
        <v>17.77</v>
      </c>
      <c r="S1395" s="1754" t="n">
        <v>18.13</v>
      </c>
      <c r="T1395" s="1754" t="n">
        <v>19.35</v>
      </c>
      <c r="U1395" s="1754" t="n">
        <v>16.52</v>
      </c>
      <c r="V1395" s="1754" t="n">
        <v>24.15</v>
      </c>
      <c r="W1395" s="1754" t="n">
        <v>23.83</v>
      </c>
      <c r="X1395" s="1754" t="n">
        <v>22.79</v>
      </c>
      <c r="Y1395" s="1754" t="n">
        <v>18.32</v>
      </c>
      <c r="Z1395" s="1754" t="n">
        <v>18.32</v>
      </c>
      <c r="AA1395" s="1754" t="n">
        <v>25.24</v>
      </c>
      <c r="AB1395" s="1754" t="n">
        <v>30.81</v>
      </c>
      <c r="AC1395" s="1754" t="n">
        <v>32.85</v>
      </c>
      <c r="AD1395" s="1754" t="n">
        <v>39.6</v>
      </c>
      <c r="AE1395" s="1754" t="n">
        <v>25.24</v>
      </c>
      <c r="AF1395" s="1754" t="n">
        <v>36.14</v>
      </c>
      <c r="AG1395" s="1754" t="n">
        <v>35.85</v>
      </c>
      <c r="AH1395" s="1754" t="n">
        <v>43.77</v>
      </c>
      <c r="AI1395" s="1754" t="n">
        <v>39.13</v>
      </c>
      <c r="AJ1395" s="1754" t="n">
        <v>35.85</v>
      </c>
      <c r="AK1395" s="1754" t="n">
        <v>41.53</v>
      </c>
      <c r="AL1395" s="1754" t="n">
        <v>61.7</v>
      </c>
      <c r="AM1395" s="1754" t="n">
        <v>65.16</v>
      </c>
      <c r="AN1395" s="1754" t="n">
        <v>62.94</v>
      </c>
      <c r="AO1395" s="1754" t="n">
        <v>41.53</v>
      </c>
      <c r="AP1395" s="1754" t="n">
        <v>54.32</v>
      </c>
      <c r="AQ1395" s="1754" t="n">
        <v>63.93</v>
      </c>
      <c r="AR1395" s="1754" t="n">
        <v>97.06999999999999</v>
      </c>
      <c r="AS1395" s="1754" t="n">
        <v>105.32</v>
      </c>
      <c r="AT1395" s="1754" t="n">
        <v>54.32</v>
      </c>
      <c r="AU1395" s="1754" t="n">
        <v>119.68</v>
      </c>
      <c r="AV1395" s="1754" t="n">
        <v>121.14</v>
      </c>
      <c r="AW1395" s="1754" t="n">
        <v>136.93</v>
      </c>
      <c r="AX1395" s="1754" t="n">
        <v>148.05</v>
      </c>
      <c r="AY1395" s="1754" t="n">
        <v>119.68</v>
      </c>
      <c r="AZ1395" s="1754" t="n">
        <v>134.95</v>
      </c>
      <c r="BA1395" s="1754" t="n">
        <v>135.68</v>
      </c>
      <c r="BB1395" s="1754" t="n">
        <v>149.64</v>
      </c>
      <c r="BC1395" s="1754" t="n">
        <v>142.41</v>
      </c>
      <c r="BD1395" s="1754" t="n">
        <v>134.95</v>
      </c>
      <c r="BE1395" s="1754" t="n">
        <v>156.8</v>
      </c>
      <c r="BF1395" s="1754" t="n">
        <v>201.16</v>
      </c>
      <c r="BG1395" s="1754" t="n">
        <v>220.31</v>
      </c>
      <c r="BH1395" s="1754" t="n">
        <v>228.69</v>
      </c>
      <c r="BI1395" s="1754" t="n">
        <v>156.8</v>
      </c>
      <c r="BJ1395" s="1754" t="n">
        <v>252.71</v>
      </c>
      <c r="BK1395" s="1754" t="n">
        <v>274.55</v>
      </c>
      <c r="BL1395" s="1754" t="n">
        <v>246.84</v>
      </c>
      <c r="BM1395" s="1754" t="n">
        <v>249.09</v>
      </c>
      <c r="BN1395" s="1754" t="n">
        <v>246.84</v>
      </c>
      <c r="BO1395" s="1754" t="n">
        <v>233.96</v>
      </c>
      <c r="BP1395" s="1754" t="n">
        <v>231.64</v>
      </c>
      <c r="BQ1395" s="2041" t="n">
        <v>309.46</v>
      </c>
      <c r="BR1395" s="1714" t="n"/>
      <c r="BS1395" s="1714" t="n"/>
      <c r="BT1395" s="1714" t="n"/>
      <c r="BU1395" s="1714" t="n"/>
      <c r="BV1395" s="1714" t="n"/>
      <c r="BW1395" s="1714" t="n"/>
      <c r="BX1395" s="1714" t="n"/>
      <c r="BY1395" s="1714" t="n"/>
      <c r="BZ1395" s="1714" t="n"/>
      <c r="CA1395" s="2037" t="n"/>
      <c r="CB1395" s="2038" t="n"/>
    </row>
    <row r="1396" hidden="1" outlineLevel="1" ht="14.4" customFormat="1" customHeight="1" s="1905">
      <c r="A1396" s="2039" t="inlineStr">
        <is>
          <t>Bloomberg</t>
        </is>
      </c>
      <c r="B1396" s="1714" t="n"/>
      <c r="C1396" s="2036">
        <f>IFERROR(BDP(MO.Ticker.Bloomberg&amp;" Equity","INTERVAL_LOW","MARKET_DATA_OVERRIDE=PX_LAST","START_DATE_OVERRIDE",TEXT(INDEX(MO_SNA_FPStartDate,0,COLUMN()),"YYYYMMDD"),"END_DATE_OVERRIDE",TEXT(INDEX(MO_Common_QEndDate,0,COLUMN()),"YYYYMMDD")),"N/A")</f>
        <v/>
      </c>
      <c r="D1396" s="2036">
        <f>IFERROR(BDP(MO.Ticker.Bloomberg&amp;" Equity","INTERVAL_LOW","MARKET_DATA_OVERRIDE=PX_LAST","START_DATE_OVERRIDE",TEXT(INDEX(MO_SNA_FPStartDate,0,COLUMN()),"YYYYMMDD"),"END_DATE_OVERRIDE",TEXT(INDEX(MO_Common_QEndDate,0,COLUMN()),"YYYYMMDD")),"N/A")</f>
        <v/>
      </c>
      <c r="E1396" s="2036">
        <f>IFERROR(BDP(MO.Ticker.Bloomberg&amp;" Equity","INTERVAL_LOW","MARKET_DATA_OVERRIDE=PX_LAST","START_DATE_OVERRIDE",TEXT(INDEX(MO_SNA_FPStartDate,0,COLUMN()),"YYYYMMDD"),"END_DATE_OVERRIDE",TEXT(INDEX(MO_Common_QEndDate,0,COLUMN()),"YYYYMMDD")),"N/A")</f>
        <v/>
      </c>
      <c r="F1396" s="2036">
        <f>IFERROR(BDP(MO.Ticker.Bloomberg&amp;" Equity","INTERVAL_LOW","MARKET_DATA_OVERRIDE=PX_LAST","START_DATE_OVERRIDE",TEXT(INDEX(MO_SNA_FPStartDate,0,COLUMN()),"YYYYMMDD"),"END_DATE_OVERRIDE",TEXT(INDEX(MO_Common_QEndDate,0,COLUMN()),"YYYYMMDD")),"N/A")</f>
        <v/>
      </c>
      <c r="G1396" s="2036">
        <f>IFERROR(BDP(MO.Ticker.Bloomberg&amp;" Equity","INTERVAL_LOW","MARKET_DATA_OVERRIDE=PX_LAST","START_DATE_OVERRIDE",TEXT(INDEX(MO_SNA_FPStartDate,0,COLUMN()),"YYYYMMDD"),"END_DATE_OVERRIDE",TEXT(INDEX(MO_Common_QEndDate,0,COLUMN()),"YYYYMMDD")),"N/A")</f>
        <v/>
      </c>
      <c r="H1396" s="1714">
        <f>IFERROR(BDP(MO.Ticker.Bloomberg&amp;" Equity","INTERVAL_LOW","MARKET_DATA_OVERRIDE=PX_LAST","START_DATE_OVERRIDE",TEXT(INDEX(MO_SNA_FPStartDate,0,COLUMN()),"YYYYMMDD"),"END_DATE_OVERRIDE",TEXT(INDEX(MO_Common_QEndDate,0,COLUMN()),"YYYYMMDD")),"N/A")</f>
        <v/>
      </c>
      <c r="I1396" s="1714">
        <f>IFERROR(BDP(MO.Ticker.Bloomberg&amp;" Equity","INTERVAL_LOW","MARKET_DATA_OVERRIDE=PX_LAST","START_DATE_OVERRIDE",TEXT(INDEX(MO_SNA_FPStartDate,0,COLUMN()),"YYYYMMDD"),"END_DATE_OVERRIDE",TEXT(INDEX(MO_Common_QEndDate,0,COLUMN()),"YYYYMMDD")),"N/A")</f>
        <v/>
      </c>
      <c r="J1396" s="1714">
        <f>IFERROR(BDP(MO.Ticker.Bloomberg&amp;" Equity","INTERVAL_LOW","MARKET_DATA_OVERRIDE=PX_LAST","START_DATE_OVERRIDE",TEXT(INDEX(MO_SNA_FPStartDate,0,COLUMN()),"YYYYMMDD"),"END_DATE_OVERRIDE",TEXT(INDEX(MO_Common_QEndDate,0,COLUMN()),"YYYYMMDD")),"N/A")</f>
        <v/>
      </c>
      <c r="K1396" s="1714">
        <f>IFERROR(BDP(MO.Ticker.Bloomberg&amp;" Equity","INTERVAL_LOW","MARKET_DATA_OVERRIDE=PX_LAST","START_DATE_OVERRIDE",TEXT(INDEX(MO_SNA_FPStartDate,0,COLUMN()),"YYYYMMDD"),"END_DATE_OVERRIDE",TEXT(INDEX(MO_Common_QEndDate,0,COLUMN()),"YYYYMMDD")),"N/A")</f>
        <v/>
      </c>
      <c r="L1396" s="1714">
        <f>IFERROR(BDP(MO.Ticker.Bloomberg&amp;" Equity","INTERVAL_LOW","MARKET_DATA_OVERRIDE=PX_LAST","START_DATE_OVERRIDE",TEXT(INDEX(MO_SNA_FPStartDate,0,COLUMN()),"YYYYMMDD"),"END_DATE_OVERRIDE",TEXT(INDEX(MO_Common_QEndDate,0,COLUMN()),"YYYYMMDD")),"N/A")</f>
        <v/>
      </c>
      <c r="M1396" s="1714">
        <f>IFERROR(BDP(MO.Ticker.Bloomberg&amp;" Equity","INTERVAL_LOW","MARKET_DATA_OVERRIDE=PX_LAST","START_DATE_OVERRIDE",TEXT(INDEX(MO_SNA_FPStartDate,0,COLUMN()),"YYYYMMDD"),"END_DATE_OVERRIDE",TEXT(INDEX(MO_Common_QEndDate,0,COLUMN()),"YYYYMMDD")),"N/A")</f>
        <v/>
      </c>
      <c r="N1396" s="1714">
        <f>IFERROR(BDP(MO.Ticker.Bloomberg&amp;" Equity","INTERVAL_LOW","MARKET_DATA_OVERRIDE=PX_LAST","START_DATE_OVERRIDE",TEXT(INDEX(MO_SNA_FPStartDate,0,COLUMN()),"YYYYMMDD"),"END_DATE_OVERRIDE",TEXT(INDEX(MO_Common_QEndDate,0,COLUMN()),"YYYYMMDD")),"N/A")</f>
        <v/>
      </c>
      <c r="O1396" s="1714">
        <f>IFERROR(BDP(MO.Ticker.Bloomberg&amp;" Equity","INTERVAL_LOW","MARKET_DATA_OVERRIDE=PX_LAST","START_DATE_OVERRIDE",TEXT(INDEX(MO_SNA_FPStartDate,0,COLUMN()),"YYYYMMDD"),"END_DATE_OVERRIDE",TEXT(INDEX(MO_Common_QEndDate,0,COLUMN()),"YYYYMMDD")),"N/A")</f>
        <v/>
      </c>
      <c r="P1396" s="1714">
        <f>IFERROR(BDP(MO.Ticker.Bloomberg&amp;" Equity","INTERVAL_LOW","MARKET_DATA_OVERRIDE=PX_LAST","START_DATE_OVERRIDE",TEXT(INDEX(MO_SNA_FPStartDate,0,COLUMN()),"YYYYMMDD"),"END_DATE_OVERRIDE",TEXT(INDEX(MO_Common_QEndDate,0,COLUMN()),"YYYYMMDD")),"N/A")</f>
        <v/>
      </c>
      <c r="Q1396" s="1714">
        <f>IFERROR(BDP(MO.Ticker.Bloomberg&amp;" Equity","INTERVAL_LOW","MARKET_DATA_OVERRIDE=PX_LAST","START_DATE_OVERRIDE",TEXT(INDEX(MO_SNA_FPStartDate,0,COLUMN()),"YYYYMMDD"),"END_DATE_OVERRIDE",TEXT(INDEX(MO_Common_QEndDate,0,COLUMN()),"YYYYMMDD")),"N/A")</f>
        <v/>
      </c>
      <c r="R1396" s="1714">
        <f>IFERROR(BDP(MO.Ticker.Bloomberg&amp;" Equity","INTERVAL_LOW","MARKET_DATA_OVERRIDE=PX_LAST","START_DATE_OVERRIDE",TEXT(INDEX(MO_SNA_FPStartDate,0,COLUMN()),"YYYYMMDD"),"END_DATE_OVERRIDE",TEXT(INDEX(MO_Common_QEndDate,0,COLUMN()),"YYYYMMDD")),"N/A")</f>
        <v/>
      </c>
      <c r="S1396" s="1714">
        <f>IFERROR(BDP(MO.Ticker.Bloomberg&amp;" Equity","INTERVAL_LOW","MARKET_DATA_OVERRIDE=PX_LAST","START_DATE_OVERRIDE",TEXT(INDEX(MO_SNA_FPStartDate,0,COLUMN()),"YYYYMMDD"),"END_DATE_OVERRIDE",TEXT(INDEX(MO_Common_QEndDate,0,COLUMN()),"YYYYMMDD")),"N/A")</f>
        <v/>
      </c>
      <c r="T1396" s="1714">
        <f>IFERROR(BDP(MO.Ticker.Bloomberg&amp;" Equity","INTERVAL_LOW","MARKET_DATA_OVERRIDE=PX_LAST","START_DATE_OVERRIDE",TEXT(INDEX(MO_SNA_FPStartDate,0,COLUMN()),"YYYYMMDD"),"END_DATE_OVERRIDE",TEXT(INDEX(MO_Common_QEndDate,0,COLUMN()),"YYYYMMDD")),"N/A")</f>
        <v/>
      </c>
      <c r="U1396" s="1714">
        <f>IFERROR(BDP(MO.Ticker.Bloomberg&amp;" Equity","INTERVAL_LOW","MARKET_DATA_OVERRIDE=PX_LAST","START_DATE_OVERRIDE",TEXT(INDEX(MO_SNA_FPStartDate,0,COLUMN()),"YYYYMMDD"),"END_DATE_OVERRIDE",TEXT(INDEX(MO_Common_QEndDate,0,COLUMN()),"YYYYMMDD")),"N/A")</f>
        <v/>
      </c>
      <c r="V1396" s="1714">
        <f>IFERROR(BDP(MO.Ticker.Bloomberg&amp;" Equity","INTERVAL_LOW","MARKET_DATA_OVERRIDE=PX_LAST","START_DATE_OVERRIDE",TEXT(INDEX(MO_SNA_FPStartDate,0,COLUMN()),"YYYYMMDD"),"END_DATE_OVERRIDE",TEXT(INDEX(MO_Common_QEndDate,0,COLUMN()),"YYYYMMDD")),"N/A")</f>
        <v/>
      </c>
      <c r="W1396" s="1714">
        <f>IFERROR(BDP(MO.Ticker.Bloomberg&amp;" Equity","INTERVAL_LOW","MARKET_DATA_OVERRIDE=PX_LAST","START_DATE_OVERRIDE",TEXT(INDEX(MO_SNA_FPStartDate,0,COLUMN()),"YYYYMMDD"),"END_DATE_OVERRIDE",TEXT(INDEX(MO_Common_QEndDate,0,COLUMN()),"YYYYMMDD")),"N/A")</f>
        <v/>
      </c>
      <c r="X1396" s="1714">
        <f>IFERROR(BDP(MO.Ticker.Bloomberg&amp;" Equity","INTERVAL_LOW","MARKET_DATA_OVERRIDE=PX_LAST","START_DATE_OVERRIDE",TEXT(INDEX(MO_SNA_FPStartDate,0,COLUMN()),"YYYYMMDD"),"END_DATE_OVERRIDE",TEXT(INDEX(MO_Common_QEndDate,0,COLUMN()),"YYYYMMDD")),"N/A")</f>
        <v/>
      </c>
      <c r="Y1396" s="1714">
        <f>IFERROR(BDP(MO.Ticker.Bloomberg&amp;" Equity","INTERVAL_LOW","MARKET_DATA_OVERRIDE=PX_LAST","START_DATE_OVERRIDE",TEXT(INDEX(MO_SNA_FPStartDate,0,COLUMN()),"YYYYMMDD"),"END_DATE_OVERRIDE",TEXT(INDEX(MO_Common_QEndDate,0,COLUMN()),"YYYYMMDD")),"N/A")</f>
        <v/>
      </c>
      <c r="Z1396" s="1714">
        <f>IFERROR(BDP(MO.Ticker.Bloomberg&amp;" Equity","INTERVAL_LOW","MARKET_DATA_OVERRIDE=PX_LAST","START_DATE_OVERRIDE",TEXT(INDEX(MO_SNA_FPStartDate,0,COLUMN()),"YYYYMMDD"),"END_DATE_OVERRIDE",TEXT(INDEX(MO_Common_QEndDate,0,COLUMN()),"YYYYMMDD")),"N/A")</f>
        <v/>
      </c>
      <c r="AA1396" s="1714">
        <f>IFERROR(BDP(MO.Ticker.Bloomberg&amp;" Equity","INTERVAL_LOW","MARKET_DATA_OVERRIDE=PX_LAST","START_DATE_OVERRIDE",TEXT(INDEX(MO_SNA_FPStartDate,0,COLUMN()),"YYYYMMDD"),"END_DATE_OVERRIDE",TEXT(INDEX(MO_Common_QEndDate,0,COLUMN()),"YYYYMMDD")),"N/A")</f>
        <v/>
      </c>
      <c r="AB1396" s="1714">
        <f>IFERROR(BDP(MO.Ticker.Bloomberg&amp;" Equity","INTERVAL_LOW","MARKET_DATA_OVERRIDE=PX_LAST","START_DATE_OVERRIDE",TEXT(INDEX(MO_SNA_FPStartDate,0,COLUMN()),"YYYYMMDD"),"END_DATE_OVERRIDE",TEXT(INDEX(MO_Common_QEndDate,0,COLUMN()),"YYYYMMDD")),"N/A")</f>
        <v/>
      </c>
      <c r="AC1396" s="1714">
        <f>IFERROR(BDP(MO.Ticker.Bloomberg&amp;" Equity","INTERVAL_LOW","MARKET_DATA_OVERRIDE=PX_LAST","START_DATE_OVERRIDE",TEXT(INDEX(MO_SNA_FPStartDate,0,COLUMN()),"YYYYMMDD"),"END_DATE_OVERRIDE",TEXT(INDEX(MO_Common_QEndDate,0,COLUMN()),"YYYYMMDD")),"N/A")</f>
        <v/>
      </c>
      <c r="AD1396" s="1714">
        <f>IFERROR(BDP(MO.Ticker.Bloomberg&amp;" Equity","INTERVAL_LOW","MARKET_DATA_OVERRIDE=PX_LAST","START_DATE_OVERRIDE",TEXT(INDEX(MO_SNA_FPStartDate,0,COLUMN()),"YYYYMMDD"),"END_DATE_OVERRIDE",TEXT(INDEX(MO_Common_QEndDate,0,COLUMN()),"YYYYMMDD")),"N/A")</f>
        <v/>
      </c>
      <c r="AE1396" s="1714">
        <f>IFERROR(BDP(MO.Ticker.Bloomberg&amp;" Equity","INTERVAL_LOW","MARKET_DATA_OVERRIDE=PX_LAST","START_DATE_OVERRIDE",TEXT(INDEX(MO_SNA_FPStartDate,0,COLUMN()),"YYYYMMDD"),"END_DATE_OVERRIDE",TEXT(INDEX(MO_Common_QEndDate,0,COLUMN()),"YYYYMMDD")),"N/A")</f>
        <v/>
      </c>
      <c r="AF1396" s="1714">
        <f>IFERROR(BDP(MO.Ticker.Bloomberg&amp;" Equity","INTERVAL_LOW","MARKET_DATA_OVERRIDE=PX_LAST","START_DATE_OVERRIDE",TEXT(INDEX(MO_SNA_FPStartDate,0,COLUMN()),"YYYYMMDD"),"END_DATE_OVERRIDE",TEXT(INDEX(MO_Common_QEndDate,0,COLUMN()),"YYYYMMDD")),"N/A")</f>
        <v/>
      </c>
      <c r="AG1396" s="1714">
        <f>IFERROR(BDP(MO.Ticker.Bloomberg&amp;" Equity","INTERVAL_LOW","MARKET_DATA_OVERRIDE=PX_LAST","START_DATE_OVERRIDE",TEXT(INDEX(MO_SNA_FPStartDate,0,COLUMN()),"YYYYMMDD"),"END_DATE_OVERRIDE",TEXT(INDEX(MO_Common_QEndDate,0,COLUMN()),"YYYYMMDD")),"N/A")</f>
        <v/>
      </c>
      <c r="AH1396" s="1714">
        <f>IFERROR(BDP(MO.Ticker.Bloomberg&amp;" Equity","INTERVAL_LOW","MARKET_DATA_OVERRIDE=PX_LAST","START_DATE_OVERRIDE",TEXT(INDEX(MO_SNA_FPStartDate,0,COLUMN()),"YYYYMMDD"),"END_DATE_OVERRIDE",TEXT(INDEX(MO_Common_QEndDate,0,COLUMN()),"YYYYMMDD")),"N/A")</f>
        <v/>
      </c>
      <c r="AI1396" s="1714">
        <f>IFERROR(BDP(MO.Ticker.Bloomberg&amp;" Equity","INTERVAL_LOW","MARKET_DATA_OVERRIDE=PX_LAST","START_DATE_OVERRIDE",TEXT(INDEX(MO_SNA_FPStartDate,0,COLUMN()),"YYYYMMDD"),"END_DATE_OVERRIDE",TEXT(INDEX(MO_Common_QEndDate,0,COLUMN()),"YYYYMMDD")),"N/A")</f>
        <v/>
      </c>
      <c r="AJ1396" s="1714">
        <f>IFERROR(BDP(MO.Ticker.Bloomberg&amp;" Equity","INTERVAL_LOW","MARKET_DATA_OVERRIDE=PX_LAST","START_DATE_OVERRIDE",TEXT(INDEX(MO_SNA_FPStartDate,0,COLUMN()),"YYYYMMDD"),"END_DATE_OVERRIDE",TEXT(INDEX(MO_Common_QEndDate,0,COLUMN()),"YYYYMMDD")),"N/A")</f>
        <v/>
      </c>
      <c r="AK1396" s="1714">
        <f>IFERROR(BDP(MO.Ticker.Bloomberg&amp;" Equity","INTERVAL_LOW","MARKET_DATA_OVERRIDE=PX_LAST","START_DATE_OVERRIDE",TEXT(INDEX(MO_SNA_FPStartDate,0,COLUMN()),"YYYYMMDD"),"END_DATE_OVERRIDE",TEXT(INDEX(MO_Common_QEndDate,0,COLUMN()),"YYYYMMDD")),"N/A")</f>
        <v/>
      </c>
      <c r="AL1396" s="1714">
        <f>IFERROR(BDP(MO.Ticker.Bloomberg&amp;" Equity","INTERVAL_LOW","MARKET_DATA_OVERRIDE=PX_LAST","START_DATE_OVERRIDE",TEXT(INDEX(MO_SNA_FPStartDate,0,COLUMN()),"YYYYMMDD"),"END_DATE_OVERRIDE",TEXT(INDEX(MO_Common_QEndDate,0,COLUMN()),"YYYYMMDD")),"N/A")</f>
        <v/>
      </c>
      <c r="AM1396" s="1714">
        <f>IFERROR(BDP(MO.Ticker.Bloomberg&amp;" Equity","INTERVAL_LOW","MARKET_DATA_OVERRIDE=PX_LAST","START_DATE_OVERRIDE",TEXT(INDEX(MO_SNA_FPStartDate,0,COLUMN()),"YYYYMMDD"),"END_DATE_OVERRIDE",TEXT(INDEX(MO_Common_QEndDate,0,COLUMN()),"YYYYMMDD")),"N/A")</f>
        <v/>
      </c>
      <c r="AN1396" s="1714">
        <f>IFERROR(BDP(MO.Ticker.Bloomberg&amp;" Equity","INTERVAL_LOW","MARKET_DATA_OVERRIDE=PX_LAST","START_DATE_OVERRIDE",TEXT(INDEX(MO_SNA_FPStartDate,0,COLUMN()),"YYYYMMDD"),"END_DATE_OVERRIDE",TEXT(INDEX(MO_Common_QEndDate,0,COLUMN()),"YYYYMMDD")),"N/A")</f>
        <v/>
      </c>
      <c r="AO1396" s="1714">
        <f>IFERROR(BDP(MO.Ticker.Bloomberg&amp;" Equity","INTERVAL_LOW","MARKET_DATA_OVERRIDE=PX_LAST","START_DATE_OVERRIDE",TEXT(INDEX(MO_SNA_FPStartDate,0,COLUMN()),"YYYYMMDD"),"END_DATE_OVERRIDE",TEXT(INDEX(MO_Common_QEndDate,0,COLUMN()),"YYYYMMDD")),"N/A")</f>
        <v/>
      </c>
      <c r="AP1396" s="1714">
        <f>IFERROR(BDP(MO.Ticker.Bloomberg&amp;" Equity","INTERVAL_LOW","MARKET_DATA_OVERRIDE=PX_LAST","START_DATE_OVERRIDE",TEXT(INDEX(MO_SNA_FPStartDate,0,COLUMN()),"YYYYMMDD"),"END_DATE_OVERRIDE",TEXT(INDEX(MO_Common_QEndDate,0,COLUMN()),"YYYYMMDD")),"N/A")</f>
        <v/>
      </c>
      <c r="AQ1396" s="1714">
        <f>IFERROR(BDP(MO.Ticker.Bloomberg&amp;" Equity","INTERVAL_LOW","MARKET_DATA_OVERRIDE=PX_LAST","START_DATE_OVERRIDE",TEXT(INDEX(MO_SNA_FPStartDate,0,COLUMN()),"YYYYMMDD"),"END_DATE_OVERRIDE",TEXT(INDEX(MO_Common_QEndDate,0,COLUMN()),"YYYYMMDD")),"N/A")</f>
        <v/>
      </c>
      <c r="AR1396" s="1714">
        <f>IFERROR(BDP(MO.Ticker.Bloomberg&amp;" Equity","INTERVAL_LOW","MARKET_DATA_OVERRIDE=PX_LAST","START_DATE_OVERRIDE",TEXT(INDEX(MO_SNA_FPStartDate,0,COLUMN()),"YYYYMMDD"),"END_DATE_OVERRIDE",TEXT(INDEX(MO_Common_QEndDate,0,COLUMN()),"YYYYMMDD")),"N/A")</f>
        <v/>
      </c>
      <c r="AS1396" s="1714">
        <f>IFERROR(BDP(MO.Ticker.Bloomberg&amp;" Equity","INTERVAL_LOW","MARKET_DATA_OVERRIDE=PX_LAST","START_DATE_OVERRIDE",TEXT(INDEX(MO_SNA_FPStartDate,0,COLUMN()),"YYYYMMDD"),"END_DATE_OVERRIDE",TEXT(INDEX(MO_Common_QEndDate,0,COLUMN()),"YYYYMMDD")),"N/A")</f>
        <v/>
      </c>
      <c r="AT1396" s="1714">
        <f>IFERROR(BDP(MO.Ticker.Bloomberg&amp;" Equity","INTERVAL_LOW","MARKET_DATA_OVERRIDE=PX_LAST","START_DATE_OVERRIDE",TEXT(INDEX(MO_SNA_FPStartDate,0,COLUMN()),"YYYYMMDD"),"END_DATE_OVERRIDE",TEXT(INDEX(MO_Common_QEndDate,0,COLUMN()),"YYYYMMDD")),"N/A")</f>
        <v/>
      </c>
      <c r="AU1396" s="1714">
        <f>IFERROR(BDP(MO.Ticker.Bloomberg&amp;" Equity","INTERVAL_LOW","MARKET_DATA_OVERRIDE=PX_LAST","START_DATE_OVERRIDE",TEXT(INDEX(MO_SNA_FPStartDate,0,COLUMN()),"YYYYMMDD"),"END_DATE_OVERRIDE",TEXT(INDEX(MO_Common_QEndDate,0,COLUMN()),"YYYYMMDD")),"N/A")</f>
        <v/>
      </c>
      <c r="AV1396" s="1714">
        <f>IFERROR(BDP(MO.Ticker.Bloomberg&amp;" Equity","INTERVAL_LOW","MARKET_DATA_OVERRIDE=PX_LAST","START_DATE_OVERRIDE",TEXT(INDEX(MO_SNA_FPStartDate,0,COLUMN()),"YYYYMMDD"),"END_DATE_OVERRIDE",TEXT(INDEX(MO_Common_QEndDate,0,COLUMN()),"YYYYMMDD")),"N/A")</f>
        <v/>
      </c>
      <c r="AW1396" s="1714">
        <f>IFERROR(BDP(MO.Ticker.Bloomberg&amp;" Equity","INTERVAL_LOW","MARKET_DATA_OVERRIDE=PX_LAST","START_DATE_OVERRIDE",TEXT(INDEX(MO_SNA_FPStartDate,0,COLUMN()),"YYYYMMDD"),"END_DATE_OVERRIDE",TEXT(INDEX(MO_Common_QEndDate,0,COLUMN()),"YYYYMMDD")),"N/A")</f>
        <v/>
      </c>
      <c r="AX1396" s="1714">
        <f>IFERROR(BDP(MO.Ticker.Bloomberg&amp;" Equity","INTERVAL_LOW","MARKET_DATA_OVERRIDE=PX_LAST","START_DATE_OVERRIDE",TEXT(INDEX(MO_SNA_FPStartDate,0,COLUMN()),"YYYYMMDD"),"END_DATE_OVERRIDE",TEXT(INDEX(MO_Common_QEndDate,0,COLUMN()),"YYYYMMDD")),"N/A")</f>
        <v/>
      </c>
      <c r="AY1396" s="1714">
        <f>IFERROR(BDP(MO.Ticker.Bloomberg&amp;" Equity","INTERVAL_LOW","MARKET_DATA_OVERRIDE=PX_LAST","START_DATE_OVERRIDE",TEXT(INDEX(MO_SNA_FPStartDate,0,COLUMN()),"YYYYMMDD"),"END_DATE_OVERRIDE",TEXT(INDEX(MO_Common_QEndDate,0,COLUMN()),"YYYYMMDD")),"N/A")</f>
        <v/>
      </c>
      <c r="AZ1396" s="1714">
        <f>IFERROR(BDP(MO.Ticker.Bloomberg&amp;" Equity","INTERVAL_LOW","MARKET_DATA_OVERRIDE=PX_LAST","START_DATE_OVERRIDE",TEXT(INDEX(MO_SNA_FPStartDate,0,COLUMN()),"YYYYMMDD"),"END_DATE_OVERRIDE",TEXT(INDEX(MO_Common_QEndDate,0,COLUMN()),"YYYYMMDD")),"N/A")</f>
        <v/>
      </c>
      <c r="BA1396" s="1714">
        <f>IFERROR(BDP(MO.Ticker.Bloomberg&amp;" Equity","INTERVAL_LOW","MARKET_DATA_OVERRIDE=PX_LAST","START_DATE_OVERRIDE",TEXT(INDEX(MO_SNA_FPStartDate,0,COLUMN()),"YYYYMMDD"),"END_DATE_OVERRIDE",TEXT(INDEX(MO_Common_QEndDate,0,COLUMN()),"YYYYMMDD")),"N/A")</f>
        <v/>
      </c>
      <c r="BB1396" s="1714">
        <f>IFERROR(BDP(MO.Ticker.Bloomberg&amp;" Equity","INTERVAL_LOW","MARKET_DATA_OVERRIDE=PX_LAST","START_DATE_OVERRIDE",TEXT(INDEX(MO_SNA_FPStartDate,0,COLUMN()),"YYYYMMDD"),"END_DATE_OVERRIDE",TEXT(INDEX(MO_Common_QEndDate,0,COLUMN()),"YYYYMMDD")),"N/A")</f>
        <v/>
      </c>
      <c r="BC1396" s="1714">
        <f>IFERROR(BDP(MO.Ticker.Bloomberg&amp;" Equity","INTERVAL_LOW","MARKET_DATA_OVERRIDE=PX_LAST","START_DATE_OVERRIDE",TEXT(INDEX(MO_SNA_FPStartDate,0,COLUMN()),"YYYYMMDD"),"END_DATE_OVERRIDE",TEXT(INDEX(MO_Common_QEndDate,0,COLUMN()),"YYYYMMDD")),"N/A")</f>
        <v/>
      </c>
      <c r="BD1396" s="1714">
        <f>IFERROR(BDP(MO.Ticker.Bloomberg&amp;" Equity","INTERVAL_LOW","MARKET_DATA_OVERRIDE=PX_LAST","START_DATE_OVERRIDE",TEXT(INDEX(MO_SNA_FPStartDate,0,COLUMN()),"YYYYMMDD"),"END_DATE_OVERRIDE",TEXT(INDEX(MO_Common_QEndDate,0,COLUMN()),"YYYYMMDD")),"N/A")</f>
        <v/>
      </c>
      <c r="BE1396" s="1714">
        <f>IFERROR(BDP(MO.Ticker.Bloomberg&amp;" Equity","INTERVAL_LOW","MARKET_DATA_OVERRIDE=PX_LAST","START_DATE_OVERRIDE",TEXT(INDEX(MO_SNA_FPStartDate,0,COLUMN()),"YYYYMMDD"),"END_DATE_OVERRIDE",TEXT(INDEX(MO_Common_QEndDate,0,COLUMN()),"YYYYMMDD")),"N/A")</f>
        <v/>
      </c>
      <c r="BF1396" s="1714">
        <f>IFERROR(BDP(MO.Ticker.Bloomberg&amp;" Equity","INTERVAL_LOW","MARKET_DATA_OVERRIDE=PX_LAST","START_DATE_OVERRIDE",TEXT(INDEX(MO_SNA_FPStartDate,0,COLUMN()),"YYYYMMDD"),"END_DATE_OVERRIDE",TEXT(INDEX(MO_Common_QEndDate,0,COLUMN()),"YYYYMMDD")),"N/A")</f>
        <v/>
      </c>
      <c r="BG1396" s="1714">
        <f>IFERROR(BDP(MO.Ticker.Bloomberg&amp;" Equity","INTERVAL_LOW","MARKET_DATA_OVERRIDE=PX_LAST","START_DATE_OVERRIDE",TEXT(INDEX(MO_SNA_FPStartDate,0,COLUMN()),"YYYYMMDD"),"END_DATE_OVERRIDE",TEXT(INDEX(MO_Common_QEndDate,0,COLUMN()),"YYYYMMDD")),"N/A")</f>
        <v/>
      </c>
      <c r="BH1396" s="1714">
        <f>IFERROR(BDP(MO.Ticker.Bloomberg&amp;" Equity","INTERVAL_LOW","MARKET_DATA_OVERRIDE=PX_LAST","START_DATE_OVERRIDE",TEXT(INDEX(MO_SNA_FPStartDate,0,COLUMN()),"YYYYMMDD"),"END_DATE_OVERRIDE",TEXT(INDEX(MO_Common_QEndDate,0,COLUMN()),"YYYYMMDD")),"N/A")</f>
        <v/>
      </c>
      <c r="BI1396" s="1714">
        <f>IFERROR(BDP(MO.Ticker.Bloomberg&amp;" Equity","INTERVAL_LOW","MARKET_DATA_OVERRIDE=PX_LAST","START_DATE_OVERRIDE",TEXT(INDEX(MO_SNA_FPStartDate,0,COLUMN()),"YYYYMMDD"),"END_DATE_OVERRIDE",TEXT(INDEX(MO_Common_QEndDate,0,COLUMN()),"YYYYMMDD")),"N/A")</f>
        <v/>
      </c>
      <c r="BJ1396" s="1714">
        <f>IFERROR(BDP(MO.Ticker.Bloomberg&amp;" Equity","INTERVAL_LOW","MARKET_DATA_OVERRIDE=PX_LAST","START_DATE_OVERRIDE",TEXT(INDEX(MO_SNA_FPStartDate,0,COLUMN()),"YYYYMMDD"),"END_DATE_OVERRIDE",TEXT(INDEX(MO_Common_QEndDate,0,COLUMN()),"YYYYMMDD")),"N/A")</f>
        <v/>
      </c>
      <c r="BK1396" s="1714">
        <f>IFERROR(BDP(MO.Ticker.Bloomberg&amp;" Equity","INTERVAL_LOW","MARKET_DATA_OVERRIDE=PX_LAST","START_DATE_OVERRIDE",TEXT(INDEX(MO_SNA_FPStartDate,0,COLUMN()),"YYYYMMDD"),"END_DATE_OVERRIDE",TEXT(INDEX(MO_Common_QEndDate,0,COLUMN()),"YYYYMMDD")),"N/A")</f>
        <v/>
      </c>
      <c r="BL1396" s="1714">
        <f>IFERROR(BDP(MO.Ticker.Bloomberg&amp;" Equity","INTERVAL_LOW","MARKET_DATA_OVERRIDE=PX_LAST","START_DATE_OVERRIDE",TEXT(INDEX(MO_SNA_FPStartDate,0,COLUMN()),"YYYYMMDD"),"END_DATE_OVERRIDE",TEXT(INDEX(MO_Common_QEndDate,0,COLUMN()),"YYYYMMDD")),"N/A")</f>
        <v/>
      </c>
      <c r="BM1396" s="1714">
        <f>IFERROR(BDP(MO.Ticker.Bloomberg&amp;" Equity","INTERVAL_LOW","MARKET_DATA_OVERRIDE=PX_LAST","START_DATE_OVERRIDE",TEXT(INDEX(MO_SNA_FPStartDate,0,COLUMN()),"YYYYMMDD"),"END_DATE_OVERRIDE",TEXT(INDEX(MO_Common_QEndDate,0,COLUMN()),"YYYYMMDD")),"N/A")</f>
        <v/>
      </c>
      <c r="BN1396" s="1714">
        <f>IFERROR(BDP(MO.Ticker.Bloomberg&amp;" Equity","INTERVAL_LOW","MARKET_DATA_OVERRIDE=PX_LAST","START_DATE_OVERRIDE",TEXT(INDEX(MO_SNA_FPStartDate,0,COLUMN()),"YYYYMMDD"),"END_DATE_OVERRIDE",TEXT(INDEX(MO_Common_QEndDate,0,COLUMN()),"YYYYMMDD")),"N/A")</f>
        <v/>
      </c>
      <c r="BO1396" s="1714">
        <f>IFERROR(BDP(MO.Ticker.Bloomberg&amp;" Equity","INTERVAL_LOW","MARKET_DATA_OVERRIDE=PX_LAST","START_DATE_OVERRIDE",TEXT(INDEX(MO_SNA_FPStartDate,0,COLUMN()),"YYYYMMDD"),"END_DATE_OVERRIDE",TEXT(INDEX(MO_Common_QEndDate,0,COLUMN()),"YYYYMMDD")),"N/A")</f>
        <v/>
      </c>
      <c r="BP1396" s="1714">
        <f>IFERROR(BDP(MO.Ticker.Bloomberg&amp;" Equity","INTERVAL_LOW","MARKET_DATA_OVERRIDE=PX_LAST","START_DATE_OVERRIDE",TEXT(INDEX(MO_SNA_FPStartDate,0,COLUMN()),"YYYYMMDD"),"END_DATE_OVERRIDE",TEXT(INDEX(MO_Common_QEndDate,0,COLUMN()),"YYYYMMDD")),"N/A")</f>
        <v/>
      </c>
      <c r="BQ1396" s="1717">
        <f>IFERROR(BDP(MO.Ticker.Bloomberg&amp;" Equity","INTERVAL_LOW","MARKET_DATA_OVERRIDE=PX_LAST","START_DATE_OVERRIDE",TEXT(INDEX(MO_SNA_FPStartDate,0,COLUMN()),"YYYYMMDD"),"END_DATE_OVERRIDE",TEXT(INDEX(MO_Common_QEndDate,0,COLUMN()),"YYYYMMDD")),"N/A")</f>
        <v/>
      </c>
      <c r="BR1396" s="1714">
        <f>IFERROR(BDP(MO.Ticker.Bloomberg&amp;" Equity","INTERVAL_LOW","MARKET_DATA_OVERRIDE=PX_LAST","START_DATE_OVERRIDE",TEXT(INDEX(MO_SNA_FPStartDate,0,COLUMN()),"YYYYMMDD"),"END_DATE_OVERRIDE",TEXT(INDEX(MO_Common_QEndDate,0,COLUMN()),"YYYYMMDD")),"N/A")</f>
        <v/>
      </c>
      <c r="BS1396" s="1714">
        <f>IFERROR(BDP(MO.Ticker.Bloomberg&amp;" Equity","INTERVAL_LOW","MARKET_DATA_OVERRIDE=PX_LAST","START_DATE_OVERRIDE",TEXT(INDEX(MO_SNA_FPStartDate,0,COLUMN()),"YYYYMMDD"),"END_DATE_OVERRIDE",TEXT(INDEX(MO_Common_QEndDate,0,COLUMN()),"YYYYMMDD")),"N/A")</f>
        <v/>
      </c>
      <c r="BT1396" s="1714">
        <f>IFERROR(BDP(MO.Ticker.Bloomberg&amp;" Equity","INTERVAL_LOW","MARKET_DATA_OVERRIDE=PX_LAST","START_DATE_OVERRIDE",TEXT(INDEX(MO_SNA_FPStartDate,0,COLUMN()),"YYYYMMDD"),"END_DATE_OVERRIDE",TEXT(INDEX(MO_Common_QEndDate,0,COLUMN()),"YYYYMMDD")),"N/A")</f>
        <v/>
      </c>
      <c r="BU1396" s="1714">
        <f>IFERROR(BDP(MO.Ticker.Bloomberg&amp;" Equity","INTERVAL_LOW","MARKET_DATA_OVERRIDE=PX_LAST","START_DATE_OVERRIDE",TEXT(INDEX(MO_SNA_FPStartDate,0,COLUMN()),"YYYYMMDD"),"END_DATE_OVERRIDE",TEXT(INDEX(MO_Common_QEndDate,0,COLUMN()),"YYYYMMDD")),"N/A")</f>
        <v/>
      </c>
      <c r="BV1396" s="1714">
        <f>IFERROR(BDP(MO.Ticker.Bloomberg&amp;" Equity","INTERVAL_LOW","MARKET_DATA_OVERRIDE=PX_LAST","START_DATE_OVERRIDE",TEXT(INDEX(MO_SNA_FPStartDate,0,COLUMN()),"YYYYMMDD"),"END_DATE_OVERRIDE",TEXT(INDEX(MO_Common_QEndDate,0,COLUMN()),"YYYYMMDD")),"N/A")</f>
        <v/>
      </c>
      <c r="BW1396" s="1714">
        <f>IFERROR(BDP(MO.Ticker.Bloomberg&amp;" Equity","INTERVAL_LOW","MARKET_DATA_OVERRIDE=PX_LAST","START_DATE_OVERRIDE",TEXT(INDEX(MO_SNA_FPStartDate,0,COLUMN()),"YYYYMMDD"),"END_DATE_OVERRIDE",TEXT(INDEX(MO_Common_QEndDate,0,COLUMN()),"YYYYMMDD")),"N/A")</f>
        <v/>
      </c>
      <c r="BX1396" s="1714">
        <f>IFERROR(BDP(MO.Ticker.Bloomberg&amp;" Equity","INTERVAL_LOW","MARKET_DATA_OVERRIDE=PX_LAST","START_DATE_OVERRIDE",TEXT(INDEX(MO_SNA_FPStartDate,0,COLUMN()),"YYYYMMDD"),"END_DATE_OVERRIDE",TEXT(INDEX(MO_Common_QEndDate,0,COLUMN()),"YYYYMMDD")),"N/A")</f>
        <v/>
      </c>
      <c r="BY1396" s="1714">
        <f>IFERROR(BDP(MO.Ticker.Bloomberg&amp;" Equity","INTERVAL_LOW","MARKET_DATA_OVERRIDE=PX_LAST","START_DATE_OVERRIDE",TEXT(INDEX(MO_SNA_FPStartDate,0,COLUMN()),"YYYYMMDD"),"END_DATE_OVERRIDE",TEXT(INDEX(MO_Common_QEndDate,0,COLUMN()),"YYYYMMDD")),"N/A")</f>
        <v/>
      </c>
      <c r="BZ1396" s="1714">
        <f>IFERROR(BDP(MO.Ticker.Bloomberg&amp;" Equity","INTERVAL_LOW","MARKET_DATA_OVERRIDE=PX_LAST","START_DATE_OVERRIDE",TEXT(INDEX(MO_SNA_FPStartDate,0,COLUMN()),"YYYYMMDD"),"END_DATE_OVERRIDE",TEXT(INDEX(MO_Common_QEndDate,0,COLUMN()),"YYYYMMDD")),"N/A")</f>
        <v/>
      </c>
      <c r="CA1396" s="2037">
        <f>IFERROR(BDP(MO.Ticker.Bloomberg&amp;" Equity","INTERVAL_LOW","MARKET_DATA_OVERRIDE=PX_LAST","START_DATE_OVERRIDE",TEXT(INDEX(MO_SNA_FPStartDate,0,COLUMN()),"YYYYMMDD"),"END_DATE_OVERRIDE",TEXT(INDEX(MO_Common_QEndDate,0,COLUMN()),"YYYYMMDD")),"N/A")</f>
        <v/>
      </c>
      <c r="CB1396" s="2038" t="n"/>
    </row>
    <row r="1397" hidden="1" outlineLevel="1" ht="14.4" customFormat="1" customHeight="1" s="1905">
      <c r="A1397" s="2039" t="inlineStr">
        <is>
          <t>Capital IQ</t>
        </is>
      </c>
      <c r="B1397" s="1714" t="n"/>
      <c r="C1397" s="2036">
        <f>IFERROR(CIQLO(MO.Ticker.CapIQ,"IQ_LASTSALEPRICE",INDEX(MO_SNA_FPStartDate,0,COLUMN()),INDEX(MO_Common_QEndDate,0,COLUMN())),"N/A")</f>
        <v/>
      </c>
      <c r="D1397" s="2036">
        <f>IFERROR(CIQLO(MO.Ticker.CapIQ,"IQ_LASTSALEPRICE",INDEX(MO_SNA_FPStartDate,0,COLUMN()),INDEX(MO_Common_QEndDate,0,COLUMN())),"N/A")</f>
        <v/>
      </c>
      <c r="E1397" s="2036">
        <f>IFERROR(CIQLO(MO.Ticker.CapIQ,"IQ_LASTSALEPRICE",INDEX(MO_SNA_FPStartDate,0,COLUMN()),INDEX(MO_Common_QEndDate,0,COLUMN())),"N/A")</f>
        <v/>
      </c>
      <c r="F1397" s="2036">
        <f>IFERROR(CIQLO(MO.Ticker.CapIQ,"IQ_LASTSALEPRICE",INDEX(MO_SNA_FPStartDate,0,COLUMN()),INDEX(MO_Common_QEndDate,0,COLUMN())),"N/A")</f>
        <v/>
      </c>
      <c r="G1397" s="2036">
        <f>IFERROR(CIQLO(MO.Ticker.CapIQ,"IQ_LASTSALEPRICE",INDEX(MO_SNA_FPStartDate,0,COLUMN()),INDEX(MO_Common_QEndDate,0,COLUMN())),"N/A")</f>
        <v/>
      </c>
      <c r="H1397" s="1714">
        <f>IFERROR(CIQLO(MO.Ticker.CapIQ,"IQ_LASTSALEPRICE",INDEX(MO_SNA_FPStartDate,0,COLUMN()),INDEX(MO_Common_QEndDate,0,COLUMN())),"N/A")</f>
        <v/>
      </c>
      <c r="I1397" s="1714">
        <f>IFERROR(CIQLO(MO.Ticker.CapIQ,"IQ_LASTSALEPRICE",INDEX(MO_SNA_FPStartDate,0,COLUMN()),INDEX(MO_Common_QEndDate,0,COLUMN())),"N/A")</f>
        <v/>
      </c>
      <c r="J1397" s="1714">
        <f>IFERROR(CIQLO(MO.Ticker.CapIQ,"IQ_LASTSALEPRICE",INDEX(MO_SNA_FPStartDate,0,COLUMN()),INDEX(MO_Common_QEndDate,0,COLUMN())),"N/A")</f>
        <v/>
      </c>
      <c r="K1397" s="1714">
        <f>IFERROR(CIQLO(MO.Ticker.CapIQ,"IQ_LASTSALEPRICE",INDEX(MO_SNA_FPStartDate,0,COLUMN()),INDEX(MO_Common_QEndDate,0,COLUMN())),"N/A")</f>
        <v/>
      </c>
      <c r="L1397" s="1714">
        <f>IFERROR(CIQLO(MO.Ticker.CapIQ,"IQ_LASTSALEPRICE",INDEX(MO_SNA_FPStartDate,0,COLUMN()),INDEX(MO_Common_QEndDate,0,COLUMN())),"N/A")</f>
        <v/>
      </c>
      <c r="M1397" s="1714">
        <f>IFERROR(CIQLO(MO.Ticker.CapIQ,"IQ_LASTSALEPRICE",INDEX(MO_SNA_FPStartDate,0,COLUMN()),INDEX(MO_Common_QEndDate,0,COLUMN())),"N/A")</f>
        <v/>
      </c>
      <c r="N1397" s="1714">
        <f>IFERROR(CIQLO(MO.Ticker.CapIQ,"IQ_LASTSALEPRICE",INDEX(MO_SNA_FPStartDate,0,COLUMN()),INDEX(MO_Common_QEndDate,0,COLUMN())),"N/A")</f>
        <v/>
      </c>
      <c r="O1397" s="1714">
        <f>IFERROR(CIQLO(MO.Ticker.CapIQ,"IQ_LASTSALEPRICE",INDEX(MO_SNA_FPStartDate,0,COLUMN()),INDEX(MO_Common_QEndDate,0,COLUMN())),"N/A")</f>
        <v/>
      </c>
      <c r="P1397" s="1714">
        <f>IFERROR(CIQLO(MO.Ticker.CapIQ,"IQ_LASTSALEPRICE",INDEX(MO_SNA_FPStartDate,0,COLUMN()),INDEX(MO_Common_QEndDate,0,COLUMN())),"N/A")</f>
        <v/>
      </c>
      <c r="Q1397" s="1714">
        <f>IFERROR(CIQLO(MO.Ticker.CapIQ,"IQ_LASTSALEPRICE",INDEX(MO_SNA_FPStartDate,0,COLUMN()),INDEX(MO_Common_QEndDate,0,COLUMN())),"N/A")</f>
        <v/>
      </c>
      <c r="R1397" s="1714">
        <f>IFERROR(CIQLO(MO.Ticker.CapIQ,"IQ_LASTSALEPRICE",INDEX(MO_SNA_FPStartDate,0,COLUMN()),INDEX(MO_Common_QEndDate,0,COLUMN())),"N/A")</f>
        <v/>
      </c>
      <c r="S1397" s="1714">
        <f>IFERROR(CIQLO(MO.Ticker.CapIQ,"IQ_LASTSALEPRICE",INDEX(MO_SNA_FPStartDate,0,COLUMN()),INDEX(MO_Common_QEndDate,0,COLUMN())),"N/A")</f>
        <v/>
      </c>
      <c r="T1397" s="1714">
        <f>IFERROR(CIQLO(MO.Ticker.CapIQ,"IQ_LASTSALEPRICE",INDEX(MO_SNA_FPStartDate,0,COLUMN()),INDEX(MO_Common_QEndDate,0,COLUMN())),"N/A")</f>
        <v/>
      </c>
      <c r="U1397" s="1714">
        <f>IFERROR(CIQLO(MO.Ticker.CapIQ,"IQ_LASTSALEPRICE",INDEX(MO_SNA_FPStartDate,0,COLUMN()),INDEX(MO_Common_QEndDate,0,COLUMN())),"N/A")</f>
        <v/>
      </c>
      <c r="V1397" s="1714">
        <f>IFERROR(CIQLO(MO.Ticker.CapIQ,"IQ_LASTSALEPRICE",INDEX(MO_SNA_FPStartDate,0,COLUMN()),INDEX(MO_Common_QEndDate,0,COLUMN())),"N/A")</f>
        <v/>
      </c>
      <c r="W1397" s="1714">
        <f>IFERROR(CIQLO(MO.Ticker.CapIQ,"IQ_LASTSALEPRICE",INDEX(MO_SNA_FPStartDate,0,COLUMN()),INDEX(MO_Common_QEndDate,0,COLUMN())),"N/A")</f>
        <v/>
      </c>
      <c r="X1397" s="1714">
        <f>IFERROR(CIQLO(MO.Ticker.CapIQ,"IQ_LASTSALEPRICE",INDEX(MO_SNA_FPStartDate,0,COLUMN()),INDEX(MO_Common_QEndDate,0,COLUMN())),"N/A")</f>
        <v/>
      </c>
      <c r="Y1397" s="1714">
        <f>IFERROR(CIQLO(MO.Ticker.CapIQ,"IQ_LASTSALEPRICE",INDEX(MO_SNA_FPStartDate,0,COLUMN()),INDEX(MO_Common_QEndDate,0,COLUMN())),"N/A")</f>
        <v/>
      </c>
      <c r="Z1397" s="1714">
        <f>IFERROR(CIQLO(MO.Ticker.CapIQ,"IQ_LASTSALEPRICE",INDEX(MO_SNA_FPStartDate,0,COLUMN()),INDEX(MO_Common_QEndDate,0,COLUMN())),"N/A")</f>
        <v/>
      </c>
      <c r="AA1397" s="1714">
        <f>IFERROR(CIQLO(MO.Ticker.CapIQ,"IQ_LASTSALEPRICE",INDEX(MO_SNA_FPStartDate,0,COLUMN()),INDEX(MO_Common_QEndDate,0,COLUMN())),"N/A")</f>
        <v/>
      </c>
      <c r="AB1397" s="1714">
        <f>IFERROR(CIQLO(MO.Ticker.CapIQ,"IQ_LASTSALEPRICE",INDEX(MO_SNA_FPStartDate,0,COLUMN()),INDEX(MO_Common_QEndDate,0,COLUMN())),"N/A")</f>
        <v/>
      </c>
      <c r="AC1397" s="1714">
        <f>IFERROR(CIQLO(MO.Ticker.CapIQ,"IQ_LASTSALEPRICE",INDEX(MO_SNA_FPStartDate,0,COLUMN()),INDEX(MO_Common_QEndDate,0,COLUMN())),"N/A")</f>
        <v/>
      </c>
      <c r="AD1397" s="1714">
        <f>IFERROR(CIQLO(MO.Ticker.CapIQ,"IQ_LASTSALEPRICE",INDEX(MO_SNA_FPStartDate,0,COLUMN()),INDEX(MO_Common_QEndDate,0,COLUMN())),"N/A")</f>
        <v/>
      </c>
      <c r="AE1397" s="1714">
        <f>IFERROR(CIQLO(MO.Ticker.CapIQ,"IQ_LASTSALEPRICE",INDEX(MO_SNA_FPStartDate,0,COLUMN()),INDEX(MO_Common_QEndDate,0,COLUMN())),"N/A")</f>
        <v/>
      </c>
      <c r="AF1397" s="1714">
        <f>IFERROR(CIQLO(MO.Ticker.CapIQ,"IQ_LASTSALEPRICE",INDEX(MO_SNA_FPStartDate,0,COLUMN()),INDEX(MO_Common_QEndDate,0,COLUMN())),"N/A")</f>
        <v/>
      </c>
      <c r="AG1397" s="1714">
        <f>IFERROR(CIQLO(MO.Ticker.CapIQ,"IQ_LASTSALEPRICE",INDEX(MO_SNA_FPStartDate,0,COLUMN()),INDEX(MO_Common_QEndDate,0,COLUMN())),"N/A")</f>
        <v/>
      </c>
      <c r="AH1397" s="1714">
        <f>IFERROR(CIQLO(MO.Ticker.CapIQ,"IQ_LASTSALEPRICE",INDEX(MO_SNA_FPStartDate,0,COLUMN()),INDEX(MO_Common_QEndDate,0,COLUMN())),"N/A")</f>
        <v/>
      </c>
      <c r="AI1397" s="1714">
        <f>IFERROR(CIQLO(MO.Ticker.CapIQ,"IQ_LASTSALEPRICE",INDEX(MO_SNA_FPStartDate,0,COLUMN()),INDEX(MO_Common_QEndDate,0,COLUMN())),"N/A")</f>
        <v/>
      </c>
      <c r="AJ1397" s="1714">
        <f>IFERROR(CIQLO(MO.Ticker.CapIQ,"IQ_LASTSALEPRICE",INDEX(MO_SNA_FPStartDate,0,COLUMN()),INDEX(MO_Common_QEndDate,0,COLUMN())),"N/A")</f>
        <v/>
      </c>
      <c r="AK1397" s="1714">
        <f>IFERROR(CIQLO(MO.Ticker.CapIQ,"IQ_LASTSALEPRICE",INDEX(MO_SNA_FPStartDate,0,COLUMN()),INDEX(MO_Common_QEndDate,0,COLUMN())),"N/A")</f>
        <v/>
      </c>
      <c r="AL1397" s="1714">
        <f>IFERROR(CIQLO(MO.Ticker.CapIQ,"IQ_LASTSALEPRICE",INDEX(MO_SNA_FPStartDate,0,COLUMN()),INDEX(MO_Common_QEndDate,0,COLUMN())),"N/A")</f>
        <v/>
      </c>
      <c r="AM1397" s="1714">
        <f>IFERROR(CIQLO(MO.Ticker.CapIQ,"IQ_LASTSALEPRICE",INDEX(MO_SNA_FPStartDate,0,COLUMN()),INDEX(MO_Common_QEndDate,0,COLUMN())),"N/A")</f>
        <v/>
      </c>
      <c r="AN1397" s="1714">
        <f>IFERROR(CIQLO(MO.Ticker.CapIQ,"IQ_LASTSALEPRICE",INDEX(MO_SNA_FPStartDate,0,COLUMN()),INDEX(MO_Common_QEndDate,0,COLUMN())),"N/A")</f>
        <v/>
      </c>
      <c r="AO1397" s="1714">
        <f>IFERROR(CIQLO(MO.Ticker.CapIQ,"IQ_LASTSALEPRICE",INDEX(MO_SNA_FPStartDate,0,COLUMN()),INDEX(MO_Common_QEndDate,0,COLUMN())),"N/A")</f>
        <v/>
      </c>
      <c r="AP1397" s="1714">
        <f>IFERROR(CIQLO(MO.Ticker.CapIQ,"IQ_LASTSALEPRICE",INDEX(MO_SNA_FPStartDate,0,COLUMN()),INDEX(MO_Common_QEndDate,0,COLUMN())),"N/A")</f>
        <v/>
      </c>
      <c r="AQ1397" s="1714">
        <f>IFERROR(CIQLO(MO.Ticker.CapIQ,"IQ_LASTSALEPRICE",INDEX(MO_SNA_FPStartDate,0,COLUMN()),INDEX(MO_Common_QEndDate,0,COLUMN())),"N/A")</f>
        <v/>
      </c>
      <c r="AR1397" s="1714">
        <f>IFERROR(CIQLO(MO.Ticker.CapIQ,"IQ_LASTSALEPRICE",INDEX(MO_SNA_FPStartDate,0,COLUMN()),INDEX(MO_Common_QEndDate,0,COLUMN())),"N/A")</f>
        <v/>
      </c>
      <c r="AS1397" s="1714">
        <f>IFERROR(CIQLO(MO.Ticker.CapIQ,"IQ_LASTSALEPRICE",INDEX(MO_SNA_FPStartDate,0,COLUMN()),INDEX(MO_Common_QEndDate,0,COLUMN())),"N/A")</f>
        <v/>
      </c>
      <c r="AT1397" s="1714">
        <f>IFERROR(CIQLO(MO.Ticker.CapIQ,"IQ_LASTSALEPRICE",INDEX(MO_SNA_FPStartDate,0,COLUMN()),INDEX(MO_Common_QEndDate,0,COLUMN())),"N/A")</f>
        <v/>
      </c>
      <c r="AU1397" s="1714">
        <f>IFERROR(CIQLO(MO.Ticker.CapIQ,"IQ_LASTSALEPRICE",INDEX(MO_SNA_FPStartDate,0,COLUMN()),INDEX(MO_Common_QEndDate,0,COLUMN())),"N/A")</f>
        <v/>
      </c>
      <c r="AV1397" s="1714">
        <f>IFERROR(CIQLO(MO.Ticker.CapIQ,"IQ_LASTSALEPRICE",INDEX(MO_SNA_FPStartDate,0,COLUMN()),INDEX(MO_Common_QEndDate,0,COLUMN())),"N/A")</f>
        <v/>
      </c>
      <c r="AW1397" s="1714">
        <f>IFERROR(CIQLO(MO.Ticker.CapIQ,"IQ_LASTSALEPRICE",INDEX(MO_SNA_FPStartDate,0,COLUMN()),INDEX(MO_Common_QEndDate,0,COLUMN())),"N/A")</f>
        <v/>
      </c>
      <c r="AX1397" s="1714">
        <f>IFERROR(CIQLO(MO.Ticker.CapIQ,"IQ_LASTSALEPRICE",INDEX(MO_SNA_FPStartDate,0,COLUMN()),INDEX(MO_Common_QEndDate,0,COLUMN())),"N/A")</f>
        <v/>
      </c>
      <c r="AY1397" s="1714">
        <f>IFERROR(CIQLO(MO.Ticker.CapIQ,"IQ_LASTSALEPRICE",INDEX(MO_SNA_FPStartDate,0,COLUMN()),INDEX(MO_Common_QEndDate,0,COLUMN())),"N/A")</f>
        <v/>
      </c>
      <c r="AZ1397" s="1714">
        <f>IFERROR(CIQLO(MO.Ticker.CapIQ,"IQ_LASTSALEPRICE",INDEX(MO_SNA_FPStartDate,0,COLUMN()),INDEX(MO_Common_QEndDate,0,COLUMN())),"N/A")</f>
        <v/>
      </c>
      <c r="BA1397" s="1714">
        <f>IFERROR(CIQLO(MO.Ticker.CapIQ,"IQ_LASTSALEPRICE",INDEX(MO_SNA_FPStartDate,0,COLUMN()),INDEX(MO_Common_QEndDate,0,COLUMN())),"N/A")</f>
        <v/>
      </c>
      <c r="BB1397" s="1714">
        <f>IFERROR(CIQLO(MO.Ticker.CapIQ,"IQ_LASTSALEPRICE",INDEX(MO_SNA_FPStartDate,0,COLUMN()),INDEX(MO_Common_QEndDate,0,COLUMN())),"N/A")</f>
        <v/>
      </c>
      <c r="BC1397" s="1714">
        <f>IFERROR(CIQLO(MO.Ticker.CapIQ,"IQ_LASTSALEPRICE",INDEX(MO_SNA_FPStartDate,0,COLUMN()),INDEX(MO_Common_QEndDate,0,COLUMN())),"N/A")</f>
        <v/>
      </c>
      <c r="BD1397" s="1714">
        <f>IFERROR(CIQLO(MO.Ticker.CapIQ,"IQ_LASTSALEPRICE",INDEX(MO_SNA_FPStartDate,0,COLUMN()),INDEX(MO_Common_QEndDate,0,COLUMN())),"N/A")</f>
        <v/>
      </c>
      <c r="BE1397" s="1714">
        <f>IFERROR(CIQLO(MO.Ticker.CapIQ,"IQ_LASTSALEPRICE",INDEX(MO_SNA_FPStartDate,0,COLUMN()),INDEX(MO_Common_QEndDate,0,COLUMN())),"N/A")</f>
        <v/>
      </c>
      <c r="BF1397" s="1714">
        <f>IFERROR(CIQLO(MO.Ticker.CapIQ,"IQ_LASTSALEPRICE",INDEX(MO_SNA_FPStartDate,0,COLUMN()),INDEX(MO_Common_QEndDate,0,COLUMN())),"N/A")</f>
        <v/>
      </c>
      <c r="BG1397" s="1714">
        <f>IFERROR(CIQLO(MO.Ticker.CapIQ,"IQ_LASTSALEPRICE",INDEX(MO_SNA_FPStartDate,0,COLUMN()),INDEX(MO_Common_QEndDate,0,COLUMN())),"N/A")</f>
        <v/>
      </c>
      <c r="BH1397" s="1714">
        <f>IFERROR(CIQLO(MO.Ticker.CapIQ,"IQ_LASTSALEPRICE",INDEX(MO_SNA_FPStartDate,0,COLUMN()),INDEX(MO_Common_QEndDate,0,COLUMN())),"N/A")</f>
        <v/>
      </c>
      <c r="BI1397" s="1714">
        <f>IFERROR(CIQLO(MO.Ticker.CapIQ,"IQ_LASTSALEPRICE",INDEX(MO_SNA_FPStartDate,0,COLUMN()),INDEX(MO_Common_QEndDate,0,COLUMN())),"N/A")</f>
        <v/>
      </c>
      <c r="BJ1397" s="1714">
        <f>IFERROR(CIQLO(MO.Ticker.CapIQ,"IQ_LASTSALEPRICE",INDEX(MO_SNA_FPStartDate,0,COLUMN()),INDEX(MO_Common_QEndDate,0,COLUMN())),"N/A")</f>
        <v/>
      </c>
      <c r="BK1397" s="1714">
        <f>IFERROR(CIQLO(MO.Ticker.CapIQ,"IQ_LASTSALEPRICE",INDEX(MO_SNA_FPStartDate,0,COLUMN()),INDEX(MO_Common_QEndDate,0,COLUMN())),"N/A")</f>
        <v/>
      </c>
      <c r="BL1397" s="1714">
        <f>IFERROR(CIQLO(MO.Ticker.CapIQ,"IQ_LASTSALEPRICE",INDEX(MO_SNA_FPStartDate,0,COLUMN()),INDEX(MO_Common_QEndDate,0,COLUMN())),"N/A")</f>
        <v/>
      </c>
      <c r="BM1397" s="1714">
        <f>IFERROR(CIQLO(MO.Ticker.CapIQ,"IQ_LASTSALEPRICE",INDEX(MO_SNA_FPStartDate,0,COLUMN()),INDEX(MO_Common_QEndDate,0,COLUMN())),"N/A")</f>
        <v/>
      </c>
      <c r="BN1397" s="1714">
        <f>IFERROR(CIQLO(MO.Ticker.CapIQ,"IQ_LASTSALEPRICE",INDEX(MO_SNA_FPStartDate,0,COLUMN()),INDEX(MO_Common_QEndDate,0,COLUMN())),"N/A")</f>
        <v/>
      </c>
      <c r="BO1397" s="1714">
        <f>IFERROR(CIQLO(MO.Ticker.CapIQ,"IQ_LASTSALEPRICE",INDEX(MO_SNA_FPStartDate,0,COLUMN()),INDEX(MO_Common_QEndDate,0,COLUMN())),"N/A")</f>
        <v/>
      </c>
      <c r="BP1397" s="1714">
        <f>IFERROR(CIQLO(MO.Ticker.CapIQ,"IQ_LASTSALEPRICE",INDEX(MO_SNA_FPStartDate,0,COLUMN()),INDEX(MO_Common_QEndDate,0,COLUMN())),"N/A")</f>
        <v/>
      </c>
      <c r="BQ1397" s="1717">
        <f>IFERROR(CIQLO(MO.Ticker.CapIQ,"IQ_LASTSALEPRICE",INDEX(MO_SNA_FPStartDate,0,COLUMN()),INDEX(MO_Common_QEndDate,0,COLUMN())),"N/A")</f>
        <v/>
      </c>
      <c r="BR1397" s="1714">
        <f>IFERROR(CIQLO(MO.Ticker.CapIQ,"IQ_LASTSALEPRICE",INDEX(MO_SNA_FPStartDate,0,COLUMN()),INDEX(MO_Common_QEndDate,0,COLUMN())),"N/A")</f>
        <v/>
      </c>
      <c r="BS1397" s="1714">
        <f>IFERROR(CIQLO(MO.Ticker.CapIQ,"IQ_LASTSALEPRICE",INDEX(MO_SNA_FPStartDate,0,COLUMN()),INDEX(MO_Common_QEndDate,0,COLUMN())),"N/A")</f>
        <v/>
      </c>
      <c r="BT1397" s="1714">
        <f>IFERROR(CIQLO(MO.Ticker.CapIQ,"IQ_LASTSALEPRICE",INDEX(MO_SNA_FPStartDate,0,COLUMN()),INDEX(MO_Common_QEndDate,0,COLUMN())),"N/A")</f>
        <v/>
      </c>
      <c r="BU1397" s="1714">
        <f>IFERROR(CIQLO(MO.Ticker.CapIQ,"IQ_LASTSALEPRICE",INDEX(MO_SNA_FPStartDate,0,COLUMN()),INDEX(MO_Common_QEndDate,0,COLUMN())),"N/A")</f>
        <v/>
      </c>
      <c r="BV1397" s="1714">
        <f>IFERROR(CIQLO(MO.Ticker.CapIQ,"IQ_LASTSALEPRICE",INDEX(MO_SNA_FPStartDate,0,COLUMN()),INDEX(MO_Common_QEndDate,0,COLUMN())),"N/A")</f>
        <v/>
      </c>
      <c r="BW1397" s="1714">
        <f>IFERROR(CIQLO(MO.Ticker.CapIQ,"IQ_LASTSALEPRICE",INDEX(MO_SNA_FPStartDate,0,COLUMN()),INDEX(MO_Common_QEndDate,0,COLUMN())),"N/A")</f>
        <v/>
      </c>
      <c r="BX1397" s="1714">
        <f>IFERROR(CIQLO(MO.Ticker.CapIQ,"IQ_LASTSALEPRICE",INDEX(MO_SNA_FPStartDate,0,COLUMN()),INDEX(MO_Common_QEndDate,0,COLUMN())),"N/A")</f>
        <v/>
      </c>
      <c r="BY1397" s="1714">
        <f>IFERROR(CIQLO(MO.Ticker.CapIQ,"IQ_LASTSALEPRICE",INDEX(MO_SNA_FPStartDate,0,COLUMN()),INDEX(MO_Common_QEndDate,0,COLUMN())),"N/A")</f>
        <v/>
      </c>
      <c r="BZ1397" s="1714">
        <f>IFERROR(CIQLO(MO.Ticker.CapIQ,"IQ_LASTSALEPRICE",INDEX(MO_SNA_FPStartDate,0,COLUMN()),INDEX(MO_Common_QEndDate,0,COLUMN())),"N/A")</f>
        <v/>
      </c>
      <c r="CA1397" s="2037">
        <f>IFERROR(CIQLO(MO.Ticker.CapIQ,"IQ_LASTSALEPRICE",INDEX(MO_SNA_FPStartDate,0,COLUMN()),INDEX(MO_Common_QEndDate,0,COLUMN())),"N/A")</f>
        <v/>
      </c>
      <c r="CB1397" s="2038" t="n"/>
    </row>
    <row r="1398" hidden="1" outlineLevel="1" ht="14.4" customFormat="1" customHeight="1" s="1905">
      <c r="A1398" s="2039" t="inlineStr">
        <is>
          <t>FactSet</t>
        </is>
      </c>
      <c r="B1398" s="1714" t="n"/>
      <c r="C1398" s="2036">
        <f>IFERROR(FDS(MO.Ticker.FactSet,"P_PRICE_LOW"&amp;"("&amp;INDEX(MO_SNA_FPStartDate,0,COLUMN())&amp;","&amp;INDEX(MO_Common_QEndDate,0,COLUMN())&amp;",,,,""PRICE"",""CLOSE"")"),"N/A")</f>
        <v/>
      </c>
      <c r="D1398" s="2036">
        <f>IFERROR(FDS(MO.Ticker.FactSet,"P_PRICE_LOW"&amp;"("&amp;INDEX(MO_SNA_FPStartDate,0,COLUMN())&amp;","&amp;INDEX(MO_Common_QEndDate,0,COLUMN())&amp;",,,,""PRICE"",""CLOSE"")"),"N/A")</f>
        <v/>
      </c>
      <c r="E1398" s="2036">
        <f>IFERROR(FDS(MO.Ticker.FactSet,"P_PRICE_LOW"&amp;"("&amp;INDEX(MO_SNA_FPStartDate,0,COLUMN())&amp;","&amp;INDEX(MO_Common_QEndDate,0,COLUMN())&amp;",,,,""PRICE"",""CLOSE"")"),"N/A")</f>
        <v/>
      </c>
      <c r="F1398" s="2036">
        <f>IFERROR(FDS(MO.Ticker.FactSet,"P_PRICE_LOW"&amp;"("&amp;INDEX(MO_SNA_FPStartDate,0,COLUMN())&amp;","&amp;INDEX(MO_Common_QEndDate,0,COLUMN())&amp;",,,,""PRICE"",""CLOSE"")"),"N/A")</f>
        <v/>
      </c>
      <c r="G1398" s="2036">
        <f>IFERROR(FDS(MO.Ticker.FactSet,"P_PRICE_LOW"&amp;"("&amp;INDEX(MO_SNA_FPStartDate,0,COLUMN())&amp;","&amp;INDEX(MO_Common_QEndDate,0,COLUMN())&amp;",,,,""PRICE"",""CLOSE"")"),"N/A")</f>
        <v/>
      </c>
      <c r="H1398" s="1714">
        <f>IFERROR(FDS(MO.Ticker.FactSet,"P_PRICE_LOW"&amp;"("&amp;INDEX(MO_SNA_FPStartDate,0,COLUMN())&amp;","&amp;INDEX(MO_Common_QEndDate,0,COLUMN())&amp;",,,,""PRICE"",""CLOSE"")"),"N/A")</f>
        <v/>
      </c>
      <c r="I1398" s="1714">
        <f>IFERROR(FDS(MO.Ticker.FactSet,"P_PRICE_LOW"&amp;"("&amp;INDEX(MO_SNA_FPStartDate,0,COLUMN())&amp;","&amp;INDEX(MO_Common_QEndDate,0,COLUMN())&amp;",,,,""PRICE"",""CLOSE"")"),"N/A")</f>
        <v/>
      </c>
      <c r="J1398" s="1714">
        <f>IFERROR(FDS(MO.Ticker.FactSet,"P_PRICE_LOW"&amp;"("&amp;INDEX(MO_SNA_FPStartDate,0,COLUMN())&amp;","&amp;INDEX(MO_Common_QEndDate,0,COLUMN())&amp;",,,,""PRICE"",""CLOSE"")"),"N/A")</f>
        <v/>
      </c>
      <c r="K1398" s="1714">
        <f>IFERROR(FDS(MO.Ticker.FactSet,"P_PRICE_LOW"&amp;"("&amp;INDEX(MO_SNA_FPStartDate,0,COLUMN())&amp;","&amp;INDEX(MO_Common_QEndDate,0,COLUMN())&amp;",,,,""PRICE"",""CLOSE"")"),"N/A")</f>
        <v/>
      </c>
      <c r="L1398" s="1714">
        <f>IFERROR(FDS(MO.Ticker.FactSet,"P_PRICE_LOW"&amp;"("&amp;INDEX(MO_SNA_FPStartDate,0,COLUMN())&amp;","&amp;INDEX(MO_Common_QEndDate,0,COLUMN())&amp;",,,,""PRICE"",""CLOSE"")"),"N/A")</f>
        <v/>
      </c>
      <c r="M1398" s="1714">
        <f>IFERROR(FDS(MO.Ticker.FactSet,"P_PRICE_LOW"&amp;"("&amp;INDEX(MO_SNA_FPStartDate,0,COLUMN())&amp;","&amp;INDEX(MO_Common_QEndDate,0,COLUMN())&amp;",,,,""PRICE"",""CLOSE"")"),"N/A")</f>
        <v/>
      </c>
      <c r="N1398" s="1714">
        <f>IFERROR(FDS(MO.Ticker.FactSet,"P_PRICE_LOW"&amp;"("&amp;INDEX(MO_SNA_FPStartDate,0,COLUMN())&amp;","&amp;INDEX(MO_Common_QEndDate,0,COLUMN())&amp;",,,,""PRICE"",""CLOSE"")"),"N/A")</f>
        <v/>
      </c>
      <c r="O1398" s="1714">
        <f>IFERROR(FDS(MO.Ticker.FactSet,"P_PRICE_LOW"&amp;"("&amp;INDEX(MO_SNA_FPStartDate,0,COLUMN())&amp;","&amp;INDEX(MO_Common_QEndDate,0,COLUMN())&amp;",,,,""PRICE"",""CLOSE"")"),"N/A")</f>
        <v/>
      </c>
      <c r="P1398" s="1714">
        <f>IFERROR(FDS(MO.Ticker.FactSet,"P_PRICE_LOW"&amp;"("&amp;INDEX(MO_SNA_FPStartDate,0,COLUMN())&amp;","&amp;INDEX(MO_Common_QEndDate,0,COLUMN())&amp;",,,,""PRICE"",""CLOSE"")"),"N/A")</f>
        <v/>
      </c>
      <c r="Q1398" s="1714">
        <f>IFERROR(FDS(MO.Ticker.FactSet,"P_PRICE_LOW"&amp;"("&amp;INDEX(MO_SNA_FPStartDate,0,COLUMN())&amp;","&amp;INDEX(MO_Common_QEndDate,0,COLUMN())&amp;",,,,""PRICE"",""CLOSE"")"),"N/A")</f>
        <v/>
      </c>
      <c r="R1398" s="1714">
        <f>IFERROR(FDS(MO.Ticker.FactSet,"P_PRICE_LOW"&amp;"("&amp;INDEX(MO_SNA_FPStartDate,0,COLUMN())&amp;","&amp;INDEX(MO_Common_QEndDate,0,COLUMN())&amp;",,,,""PRICE"",""CLOSE"")"),"N/A")</f>
        <v/>
      </c>
      <c r="S1398" s="1714">
        <f>IFERROR(FDS(MO.Ticker.FactSet,"P_PRICE_LOW"&amp;"("&amp;INDEX(MO_SNA_FPStartDate,0,COLUMN())&amp;","&amp;INDEX(MO_Common_QEndDate,0,COLUMN())&amp;",,,,""PRICE"",""CLOSE"")"),"N/A")</f>
        <v/>
      </c>
      <c r="T1398" s="1714">
        <f>IFERROR(FDS(MO.Ticker.FactSet,"P_PRICE_LOW"&amp;"("&amp;INDEX(MO_SNA_FPStartDate,0,COLUMN())&amp;","&amp;INDEX(MO_Common_QEndDate,0,COLUMN())&amp;",,,,""PRICE"",""CLOSE"")"),"N/A")</f>
        <v/>
      </c>
      <c r="U1398" s="1714">
        <f>IFERROR(FDS(MO.Ticker.FactSet,"P_PRICE_LOW"&amp;"("&amp;INDEX(MO_SNA_FPStartDate,0,COLUMN())&amp;","&amp;INDEX(MO_Common_QEndDate,0,COLUMN())&amp;",,,,""PRICE"",""CLOSE"")"),"N/A")</f>
        <v/>
      </c>
      <c r="V1398" s="1714">
        <f>IFERROR(FDS(MO.Ticker.FactSet,"P_PRICE_LOW"&amp;"("&amp;INDEX(MO_SNA_FPStartDate,0,COLUMN())&amp;","&amp;INDEX(MO_Common_QEndDate,0,COLUMN())&amp;",,,,""PRICE"",""CLOSE"")"),"N/A")</f>
        <v/>
      </c>
      <c r="W1398" s="1714">
        <f>IFERROR(FDS(MO.Ticker.FactSet,"P_PRICE_LOW"&amp;"("&amp;INDEX(MO_SNA_FPStartDate,0,COLUMN())&amp;","&amp;INDEX(MO_Common_QEndDate,0,COLUMN())&amp;",,,,""PRICE"",""CLOSE"")"),"N/A")</f>
        <v/>
      </c>
      <c r="X1398" s="1714">
        <f>IFERROR(FDS(MO.Ticker.FactSet,"P_PRICE_LOW"&amp;"("&amp;INDEX(MO_SNA_FPStartDate,0,COLUMN())&amp;","&amp;INDEX(MO_Common_QEndDate,0,COLUMN())&amp;",,,,""PRICE"",""CLOSE"")"),"N/A")</f>
        <v/>
      </c>
      <c r="Y1398" s="1714">
        <f>IFERROR(FDS(MO.Ticker.FactSet,"P_PRICE_LOW"&amp;"("&amp;INDEX(MO_SNA_FPStartDate,0,COLUMN())&amp;","&amp;INDEX(MO_Common_QEndDate,0,COLUMN())&amp;",,,,""PRICE"",""CLOSE"")"),"N/A")</f>
        <v/>
      </c>
      <c r="Z1398" s="1714">
        <f>IFERROR(FDS(MO.Ticker.FactSet,"P_PRICE_LOW"&amp;"("&amp;INDEX(MO_SNA_FPStartDate,0,COLUMN())&amp;","&amp;INDEX(MO_Common_QEndDate,0,COLUMN())&amp;",,,,""PRICE"",""CLOSE"")"),"N/A")</f>
        <v/>
      </c>
      <c r="AA1398" s="1714">
        <f>IFERROR(FDS(MO.Ticker.FactSet,"P_PRICE_LOW"&amp;"("&amp;INDEX(MO_SNA_FPStartDate,0,COLUMN())&amp;","&amp;INDEX(MO_Common_QEndDate,0,COLUMN())&amp;",,,,""PRICE"",""CLOSE"")"),"N/A")</f>
        <v/>
      </c>
      <c r="AB1398" s="1714">
        <f>IFERROR(FDS(MO.Ticker.FactSet,"P_PRICE_LOW"&amp;"("&amp;INDEX(MO_SNA_FPStartDate,0,COLUMN())&amp;","&amp;INDEX(MO_Common_QEndDate,0,COLUMN())&amp;",,,,""PRICE"",""CLOSE"")"),"N/A")</f>
        <v/>
      </c>
      <c r="AC1398" s="1714">
        <f>IFERROR(FDS(MO.Ticker.FactSet,"P_PRICE_LOW"&amp;"("&amp;INDEX(MO_SNA_FPStartDate,0,COLUMN())&amp;","&amp;INDEX(MO_Common_QEndDate,0,COLUMN())&amp;",,,,""PRICE"",""CLOSE"")"),"N/A")</f>
        <v/>
      </c>
      <c r="AD1398" s="1714">
        <f>IFERROR(FDS(MO.Ticker.FactSet,"P_PRICE_LOW"&amp;"("&amp;INDEX(MO_SNA_FPStartDate,0,COLUMN())&amp;","&amp;INDEX(MO_Common_QEndDate,0,COLUMN())&amp;",,,,""PRICE"",""CLOSE"")"),"N/A")</f>
        <v/>
      </c>
      <c r="AE1398" s="1714">
        <f>IFERROR(FDS(MO.Ticker.FactSet,"P_PRICE_LOW"&amp;"("&amp;INDEX(MO_SNA_FPStartDate,0,COLUMN())&amp;","&amp;INDEX(MO_Common_QEndDate,0,COLUMN())&amp;",,,,""PRICE"",""CLOSE"")"),"N/A")</f>
        <v/>
      </c>
      <c r="AF1398" s="1714">
        <f>IFERROR(FDS(MO.Ticker.FactSet,"P_PRICE_LOW"&amp;"("&amp;INDEX(MO_SNA_FPStartDate,0,COLUMN())&amp;","&amp;INDEX(MO_Common_QEndDate,0,COLUMN())&amp;",,,,""PRICE"",""CLOSE"")"),"N/A")</f>
        <v/>
      </c>
      <c r="AG1398" s="1714">
        <f>IFERROR(FDS(MO.Ticker.FactSet,"P_PRICE_LOW"&amp;"("&amp;INDEX(MO_SNA_FPStartDate,0,COLUMN())&amp;","&amp;INDEX(MO_Common_QEndDate,0,COLUMN())&amp;",,,,""PRICE"",""CLOSE"")"),"N/A")</f>
        <v/>
      </c>
      <c r="AH1398" s="1714">
        <f>IFERROR(FDS(MO.Ticker.FactSet,"P_PRICE_LOW"&amp;"("&amp;INDEX(MO_SNA_FPStartDate,0,COLUMN())&amp;","&amp;INDEX(MO_Common_QEndDate,0,COLUMN())&amp;",,,,""PRICE"",""CLOSE"")"),"N/A")</f>
        <v/>
      </c>
      <c r="AI1398" s="1714">
        <f>IFERROR(FDS(MO.Ticker.FactSet,"P_PRICE_LOW"&amp;"("&amp;INDEX(MO_SNA_FPStartDate,0,COLUMN())&amp;","&amp;INDEX(MO_Common_QEndDate,0,COLUMN())&amp;",,,,""PRICE"",""CLOSE"")"),"N/A")</f>
        <v/>
      </c>
      <c r="AJ1398" s="1714">
        <f>IFERROR(FDS(MO.Ticker.FactSet,"P_PRICE_LOW"&amp;"("&amp;INDEX(MO_SNA_FPStartDate,0,COLUMN())&amp;","&amp;INDEX(MO_Common_QEndDate,0,COLUMN())&amp;",,,,""PRICE"",""CLOSE"")"),"N/A")</f>
        <v/>
      </c>
      <c r="AK1398" s="1714">
        <f>IFERROR(FDS(MO.Ticker.FactSet,"P_PRICE_LOW"&amp;"("&amp;INDEX(MO_SNA_FPStartDate,0,COLUMN())&amp;","&amp;INDEX(MO_Common_QEndDate,0,COLUMN())&amp;",,,,""PRICE"",""CLOSE"")"),"N/A")</f>
        <v/>
      </c>
      <c r="AL1398" s="1714">
        <f>IFERROR(FDS(MO.Ticker.FactSet,"P_PRICE_LOW"&amp;"("&amp;INDEX(MO_SNA_FPStartDate,0,COLUMN())&amp;","&amp;INDEX(MO_Common_QEndDate,0,COLUMN())&amp;",,,,""PRICE"",""CLOSE"")"),"N/A")</f>
        <v/>
      </c>
      <c r="AM1398" s="1714">
        <f>IFERROR(FDS(MO.Ticker.FactSet,"P_PRICE_LOW"&amp;"("&amp;INDEX(MO_SNA_FPStartDate,0,COLUMN())&amp;","&amp;INDEX(MO_Common_QEndDate,0,COLUMN())&amp;",,,,""PRICE"",""CLOSE"")"),"N/A")</f>
        <v/>
      </c>
      <c r="AN1398" s="1714">
        <f>IFERROR(FDS(MO.Ticker.FactSet,"P_PRICE_LOW"&amp;"("&amp;INDEX(MO_SNA_FPStartDate,0,COLUMN())&amp;","&amp;INDEX(MO_Common_QEndDate,0,COLUMN())&amp;",,,,""PRICE"",""CLOSE"")"),"N/A")</f>
        <v/>
      </c>
      <c r="AO1398" s="1714">
        <f>IFERROR(FDS(MO.Ticker.FactSet,"P_PRICE_LOW"&amp;"("&amp;INDEX(MO_SNA_FPStartDate,0,COLUMN())&amp;","&amp;INDEX(MO_Common_QEndDate,0,COLUMN())&amp;",,,,""PRICE"",""CLOSE"")"),"N/A")</f>
        <v/>
      </c>
      <c r="AP1398" s="1714">
        <f>IFERROR(FDS(MO.Ticker.FactSet,"P_PRICE_LOW"&amp;"("&amp;INDEX(MO_SNA_FPStartDate,0,COLUMN())&amp;","&amp;INDEX(MO_Common_QEndDate,0,COLUMN())&amp;",,,,""PRICE"",""CLOSE"")"),"N/A")</f>
        <v/>
      </c>
      <c r="AQ1398" s="1714">
        <f>IFERROR(FDS(MO.Ticker.FactSet,"P_PRICE_LOW"&amp;"("&amp;INDEX(MO_SNA_FPStartDate,0,COLUMN())&amp;","&amp;INDEX(MO_Common_QEndDate,0,COLUMN())&amp;",,,,""PRICE"",""CLOSE"")"),"N/A")</f>
        <v/>
      </c>
      <c r="AR1398" s="1714">
        <f>IFERROR(FDS(MO.Ticker.FactSet,"P_PRICE_LOW"&amp;"("&amp;INDEX(MO_SNA_FPStartDate,0,COLUMN())&amp;","&amp;INDEX(MO_Common_QEndDate,0,COLUMN())&amp;",,,,""PRICE"",""CLOSE"")"),"N/A")</f>
        <v/>
      </c>
      <c r="AS1398" s="1714">
        <f>IFERROR(FDS(MO.Ticker.FactSet,"P_PRICE_LOW"&amp;"("&amp;INDEX(MO_SNA_FPStartDate,0,COLUMN())&amp;","&amp;INDEX(MO_Common_QEndDate,0,COLUMN())&amp;",,,,""PRICE"",""CLOSE"")"),"N/A")</f>
        <v/>
      </c>
      <c r="AT1398" s="1714">
        <f>IFERROR(FDS(MO.Ticker.FactSet,"P_PRICE_LOW"&amp;"("&amp;INDEX(MO_SNA_FPStartDate,0,COLUMN())&amp;","&amp;INDEX(MO_Common_QEndDate,0,COLUMN())&amp;",,,,""PRICE"",""CLOSE"")"),"N/A")</f>
        <v/>
      </c>
      <c r="AU1398" s="1714">
        <f>IFERROR(FDS(MO.Ticker.FactSet,"P_PRICE_LOW"&amp;"("&amp;INDEX(MO_SNA_FPStartDate,0,COLUMN())&amp;","&amp;INDEX(MO_Common_QEndDate,0,COLUMN())&amp;",,,,""PRICE"",""CLOSE"")"),"N/A")</f>
        <v/>
      </c>
      <c r="AV1398" s="1714">
        <f>IFERROR(FDS(MO.Ticker.FactSet,"P_PRICE_LOW"&amp;"("&amp;INDEX(MO_SNA_FPStartDate,0,COLUMN())&amp;","&amp;INDEX(MO_Common_QEndDate,0,COLUMN())&amp;",,,,""PRICE"",""CLOSE"")"),"N/A")</f>
        <v/>
      </c>
      <c r="AW1398" s="1714">
        <f>IFERROR(FDS(MO.Ticker.FactSet,"P_PRICE_LOW"&amp;"("&amp;INDEX(MO_SNA_FPStartDate,0,COLUMN())&amp;","&amp;INDEX(MO_Common_QEndDate,0,COLUMN())&amp;",,,,""PRICE"",""CLOSE"")"),"N/A")</f>
        <v/>
      </c>
      <c r="AX1398" s="1714">
        <f>IFERROR(FDS(MO.Ticker.FactSet,"P_PRICE_LOW"&amp;"("&amp;INDEX(MO_SNA_FPStartDate,0,COLUMN())&amp;","&amp;INDEX(MO_Common_QEndDate,0,COLUMN())&amp;",,,,""PRICE"",""CLOSE"")"),"N/A")</f>
        <v/>
      </c>
      <c r="AY1398" s="1714">
        <f>IFERROR(FDS(MO.Ticker.FactSet,"P_PRICE_LOW"&amp;"("&amp;INDEX(MO_SNA_FPStartDate,0,COLUMN())&amp;","&amp;INDEX(MO_Common_QEndDate,0,COLUMN())&amp;",,,,""PRICE"",""CLOSE"")"),"N/A")</f>
        <v/>
      </c>
      <c r="AZ1398" s="1714">
        <f>IFERROR(FDS(MO.Ticker.FactSet,"P_PRICE_LOW"&amp;"("&amp;INDEX(MO_SNA_FPStartDate,0,COLUMN())&amp;","&amp;INDEX(MO_Common_QEndDate,0,COLUMN())&amp;",,,,""PRICE"",""CLOSE"")"),"N/A")</f>
        <v/>
      </c>
      <c r="BA1398" s="1714">
        <f>IFERROR(FDS(MO.Ticker.FactSet,"P_PRICE_LOW"&amp;"("&amp;INDEX(MO_SNA_FPStartDate,0,COLUMN())&amp;","&amp;INDEX(MO_Common_QEndDate,0,COLUMN())&amp;",,,,""PRICE"",""CLOSE"")"),"N/A")</f>
        <v/>
      </c>
      <c r="BB1398" s="1714">
        <f>IFERROR(FDS(MO.Ticker.FactSet,"P_PRICE_LOW"&amp;"("&amp;INDEX(MO_SNA_FPStartDate,0,COLUMN())&amp;","&amp;INDEX(MO_Common_QEndDate,0,COLUMN())&amp;",,,,""PRICE"",""CLOSE"")"),"N/A")</f>
        <v/>
      </c>
      <c r="BC1398" s="1714">
        <f>IFERROR(FDS(MO.Ticker.FactSet,"P_PRICE_LOW"&amp;"("&amp;INDEX(MO_SNA_FPStartDate,0,COLUMN())&amp;","&amp;INDEX(MO_Common_QEndDate,0,COLUMN())&amp;",,,,""PRICE"",""CLOSE"")"),"N/A")</f>
        <v/>
      </c>
      <c r="BD1398" s="1714">
        <f>IFERROR(FDS(MO.Ticker.FactSet,"P_PRICE_LOW"&amp;"("&amp;INDEX(MO_SNA_FPStartDate,0,COLUMN())&amp;","&amp;INDEX(MO_Common_QEndDate,0,COLUMN())&amp;",,,,""PRICE"",""CLOSE"")"),"N/A")</f>
        <v/>
      </c>
      <c r="BE1398" s="1714">
        <f>IFERROR(FDS(MO.Ticker.FactSet,"P_PRICE_LOW"&amp;"("&amp;INDEX(MO_SNA_FPStartDate,0,COLUMN())&amp;","&amp;INDEX(MO_Common_QEndDate,0,COLUMN())&amp;",,,,""PRICE"",""CLOSE"")"),"N/A")</f>
        <v/>
      </c>
      <c r="BF1398" s="1714">
        <f>IFERROR(FDS(MO.Ticker.FactSet,"P_PRICE_LOW"&amp;"("&amp;INDEX(MO_SNA_FPStartDate,0,COLUMN())&amp;","&amp;INDEX(MO_Common_QEndDate,0,COLUMN())&amp;",,,,""PRICE"",""CLOSE"")"),"N/A")</f>
        <v/>
      </c>
      <c r="BG1398" s="1714">
        <f>IFERROR(FDS(MO.Ticker.FactSet,"P_PRICE_LOW"&amp;"("&amp;INDEX(MO_SNA_FPStartDate,0,COLUMN())&amp;","&amp;INDEX(MO_Common_QEndDate,0,COLUMN())&amp;",,,,""PRICE"",""CLOSE"")"),"N/A")</f>
        <v/>
      </c>
      <c r="BH1398" s="1714">
        <f>IFERROR(FDS(MO.Ticker.FactSet,"P_PRICE_LOW"&amp;"("&amp;INDEX(MO_SNA_FPStartDate,0,COLUMN())&amp;","&amp;INDEX(MO_Common_QEndDate,0,COLUMN())&amp;",,,,""PRICE"",""CLOSE"")"),"N/A")</f>
        <v/>
      </c>
      <c r="BI1398" s="1714">
        <f>IFERROR(FDS(MO.Ticker.FactSet,"P_PRICE_LOW"&amp;"("&amp;INDEX(MO_SNA_FPStartDate,0,COLUMN())&amp;","&amp;INDEX(MO_Common_QEndDate,0,COLUMN())&amp;",,,,""PRICE"",""CLOSE"")"),"N/A")</f>
        <v/>
      </c>
      <c r="BJ1398" s="1714">
        <f>IFERROR(FDS(MO.Ticker.FactSet,"P_PRICE_LOW"&amp;"("&amp;INDEX(MO_SNA_FPStartDate,0,COLUMN())&amp;","&amp;INDEX(MO_Common_QEndDate,0,COLUMN())&amp;",,,,""PRICE"",""CLOSE"")"),"N/A")</f>
        <v/>
      </c>
      <c r="BK1398" s="1714">
        <f>IFERROR(FDS(MO.Ticker.FactSet,"P_PRICE_LOW"&amp;"("&amp;INDEX(MO_SNA_FPStartDate,0,COLUMN())&amp;","&amp;INDEX(MO_Common_QEndDate,0,COLUMN())&amp;",,,,""PRICE"",""CLOSE"")"),"N/A")</f>
        <v/>
      </c>
      <c r="BL1398" s="1714">
        <f>IFERROR(FDS(MO.Ticker.FactSet,"P_PRICE_LOW"&amp;"("&amp;INDEX(MO_SNA_FPStartDate,0,COLUMN())&amp;","&amp;INDEX(MO_Common_QEndDate,0,COLUMN())&amp;",,,,""PRICE"",""CLOSE"")"),"N/A")</f>
        <v/>
      </c>
      <c r="BM1398" s="1714">
        <f>IFERROR(FDS(MO.Ticker.FactSet,"P_PRICE_LOW"&amp;"("&amp;INDEX(MO_SNA_FPStartDate,0,COLUMN())&amp;","&amp;INDEX(MO_Common_QEndDate,0,COLUMN())&amp;",,,,""PRICE"",""CLOSE"")"),"N/A")</f>
        <v/>
      </c>
      <c r="BN1398" s="1714">
        <f>IFERROR(FDS(MO.Ticker.FactSet,"P_PRICE_LOW"&amp;"("&amp;INDEX(MO_SNA_FPStartDate,0,COLUMN())&amp;","&amp;INDEX(MO_Common_QEndDate,0,COLUMN())&amp;",,,,""PRICE"",""CLOSE"")"),"N/A")</f>
        <v/>
      </c>
      <c r="BO1398" s="1714">
        <f>IFERROR(FDS(MO.Ticker.FactSet,"P_PRICE_LOW"&amp;"("&amp;INDEX(MO_SNA_FPStartDate,0,COLUMN())&amp;","&amp;INDEX(MO_Common_QEndDate,0,COLUMN())&amp;",,,,""PRICE"",""CLOSE"")"),"N/A")</f>
        <v/>
      </c>
      <c r="BP1398" s="1714">
        <f>IFERROR(FDS(MO.Ticker.FactSet,"P_PRICE_LOW"&amp;"("&amp;INDEX(MO_SNA_FPStartDate,0,COLUMN())&amp;","&amp;INDEX(MO_Common_QEndDate,0,COLUMN())&amp;",,,,""PRICE"",""CLOSE"")"),"N/A")</f>
        <v/>
      </c>
      <c r="BQ1398" s="1717">
        <f>IFERROR(FDS(MO.Ticker.FactSet,"P_PRICE_LOW"&amp;"("&amp;INDEX(MO_SNA_FPStartDate,0,COLUMN())&amp;","&amp;INDEX(MO_Common_QEndDate,0,COLUMN())&amp;",,,,""PRICE"",""CLOSE"")"),"N/A")</f>
        <v/>
      </c>
      <c r="BR1398" s="1714">
        <f>IFERROR(FDS(MO.Ticker.FactSet,"P_PRICE_LOW"&amp;"("&amp;INDEX(MO_SNA_FPStartDate,0,COLUMN())&amp;","&amp;INDEX(MO_Common_QEndDate,0,COLUMN())&amp;",,,,""PRICE"",""CLOSE"")"),"N/A")</f>
        <v/>
      </c>
      <c r="BS1398" s="1714">
        <f>IFERROR(FDS(MO.Ticker.FactSet,"P_PRICE_LOW"&amp;"("&amp;INDEX(MO_SNA_FPStartDate,0,COLUMN())&amp;","&amp;INDEX(MO_Common_QEndDate,0,COLUMN())&amp;",,,,""PRICE"",""CLOSE"")"),"N/A")</f>
        <v/>
      </c>
      <c r="BT1398" s="1714">
        <f>IFERROR(FDS(MO.Ticker.FactSet,"P_PRICE_LOW"&amp;"("&amp;INDEX(MO_SNA_FPStartDate,0,COLUMN())&amp;","&amp;INDEX(MO_Common_QEndDate,0,COLUMN())&amp;",,,,""PRICE"",""CLOSE"")"),"N/A")</f>
        <v/>
      </c>
      <c r="BU1398" s="1714">
        <f>IFERROR(FDS(MO.Ticker.FactSet,"P_PRICE_LOW"&amp;"("&amp;INDEX(MO_SNA_FPStartDate,0,COLUMN())&amp;","&amp;INDEX(MO_Common_QEndDate,0,COLUMN())&amp;",,,,""PRICE"",""CLOSE"")"),"N/A")</f>
        <v/>
      </c>
      <c r="BV1398" s="1714">
        <f>IFERROR(FDS(MO.Ticker.FactSet,"P_PRICE_LOW"&amp;"("&amp;INDEX(MO_SNA_FPStartDate,0,COLUMN())&amp;","&amp;INDEX(MO_Common_QEndDate,0,COLUMN())&amp;",,,,""PRICE"",""CLOSE"")"),"N/A")</f>
        <v/>
      </c>
      <c r="BW1398" s="1714">
        <f>IFERROR(FDS(MO.Ticker.FactSet,"P_PRICE_LOW"&amp;"("&amp;INDEX(MO_SNA_FPStartDate,0,COLUMN())&amp;","&amp;INDEX(MO_Common_QEndDate,0,COLUMN())&amp;",,,,""PRICE"",""CLOSE"")"),"N/A")</f>
        <v/>
      </c>
      <c r="BX1398" s="1714">
        <f>IFERROR(FDS(MO.Ticker.FactSet,"P_PRICE_LOW"&amp;"("&amp;INDEX(MO_SNA_FPStartDate,0,COLUMN())&amp;","&amp;INDEX(MO_Common_QEndDate,0,COLUMN())&amp;",,,,""PRICE"",""CLOSE"")"),"N/A")</f>
        <v/>
      </c>
      <c r="BY1398" s="1714">
        <f>IFERROR(FDS(MO.Ticker.FactSet,"P_PRICE_LOW"&amp;"("&amp;INDEX(MO_SNA_FPStartDate,0,COLUMN())&amp;","&amp;INDEX(MO_Common_QEndDate,0,COLUMN())&amp;",,,,""PRICE"",""CLOSE"")"),"N/A")</f>
        <v/>
      </c>
      <c r="BZ1398" s="1714">
        <f>IFERROR(FDS(MO.Ticker.FactSet,"P_PRICE_LOW"&amp;"("&amp;INDEX(MO_SNA_FPStartDate,0,COLUMN())&amp;","&amp;INDEX(MO_Common_QEndDate,0,COLUMN())&amp;",,,,""PRICE"",""CLOSE"")"),"N/A")</f>
        <v/>
      </c>
      <c r="CA1398" s="2037">
        <f>IFERROR(FDS(MO.Ticker.FactSet,"P_PRICE_LOW"&amp;"("&amp;INDEX(MO_SNA_FPStartDate,0,COLUMN())&amp;","&amp;INDEX(MO_Common_QEndDate,0,COLUMN())&amp;",,,,""PRICE"",""CLOSE"")"),"N/A")</f>
        <v/>
      </c>
      <c r="CB1398" s="2038" t="n"/>
    </row>
    <row r="1399" hidden="1" outlineLevel="1" ht="14.4" customFormat="1" customHeight="1" s="1905">
      <c r="A1399" s="2039" t="inlineStr">
        <is>
          <t>Refinitiv</t>
        </is>
      </c>
      <c r="B1399" s="1714" t="n"/>
      <c r="C1399" s="2036">
        <f>IFERROR(_xll.TR(MO.Ticker.Thomson,"Min(TR.PriceLow)","sdate:#1 edate:#2",,INDEX(MO_SNA_FPStartDate,0,COLUMN()),INDEX(MO_Common_QEndDate,0,COLUMN())),"N/A")</f>
        <v/>
      </c>
      <c r="D1399" s="2036">
        <f>IFERROR(_xll.TR(MO.Ticker.Thomson,"Min(TR.PriceLow)","sdate:#1 edate:#2",,INDEX(MO_SNA_FPStartDate,0,COLUMN()),INDEX(MO_Common_QEndDate,0,COLUMN())),"N/A")</f>
        <v/>
      </c>
      <c r="E1399" s="2036">
        <f>IFERROR(_xll.TR(MO.Ticker.Thomson,"Min(TR.PriceLow)","sdate:#1 edate:#2",,INDEX(MO_SNA_FPStartDate,0,COLUMN()),INDEX(MO_Common_QEndDate,0,COLUMN())),"N/A")</f>
        <v/>
      </c>
      <c r="F1399" s="2036">
        <f>IFERROR(_xll.TR(MO.Ticker.Thomson,"Min(TR.PriceLow)","sdate:#1 edate:#2",,INDEX(MO_SNA_FPStartDate,0,COLUMN()),INDEX(MO_Common_QEndDate,0,COLUMN())),"N/A")</f>
        <v/>
      </c>
      <c r="G1399" s="2036">
        <f>IFERROR(_xll.TR(MO.Ticker.Thomson,"Min(TR.PriceLow)","sdate:#1 edate:#2",,INDEX(MO_SNA_FPStartDate,0,COLUMN()),INDEX(MO_Common_QEndDate,0,COLUMN())),"N/A")</f>
        <v/>
      </c>
      <c r="H1399" s="1714">
        <f>IFERROR(_xll.TR(MO.Ticker.Thomson,"Min(TR.PriceLow)","sdate:#1 edate:#2",,INDEX(MO_SNA_FPStartDate,0,COLUMN()),INDEX(MO_Common_QEndDate,0,COLUMN())),"N/A")</f>
        <v/>
      </c>
      <c r="I1399" s="1714">
        <f>IFERROR(_xll.TR(MO.Ticker.Thomson,"Min(TR.PriceLow)","sdate:#1 edate:#2",,INDEX(MO_SNA_FPStartDate,0,COLUMN()),INDEX(MO_Common_QEndDate,0,COLUMN())),"N/A")</f>
        <v/>
      </c>
      <c r="J1399" s="1714">
        <f>IFERROR(_xll.TR(MO.Ticker.Thomson,"Min(TR.PriceLow)","sdate:#1 edate:#2",,INDEX(MO_SNA_FPStartDate,0,COLUMN()),INDEX(MO_Common_QEndDate,0,COLUMN())),"N/A")</f>
        <v/>
      </c>
      <c r="K1399" s="1714">
        <f>IFERROR(_xll.TR(MO.Ticker.Thomson,"Min(TR.PriceLow)","sdate:#1 edate:#2",,INDEX(MO_SNA_FPStartDate,0,COLUMN()),INDEX(MO_Common_QEndDate,0,COLUMN())),"N/A")</f>
        <v/>
      </c>
      <c r="L1399" s="1714">
        <f>IFERROR(_xll.TR(MO.Ticker.Thomson,"Min(TR.PriceLow)","sdate:#1 edate:#2",,INDEX(MO_SNA_FPStartDate,0,COLUMN()),INDEX(MO_Common_QEndDate,0,COLUMN())),"N/A")</f>
        <v/>
      </c>
      <c r="M1399" s="1714">
        <f>IFERROR(_xll.TR(MO.Ticker.Thomson,"Min(TR.PriceLow)","sdate:#1 edate:#2",,INDEX(MO_SNA_FPStartDate,0,COLUMN()),INDEX(MO_Common_QEndDate,0,COLUMN())),"N/A")</f>
        <v/>
      </c>
      <c r="N1399" s="1714">
        <f>IFERROR(_xll.TR(MO.Ticker.Thomson,"Min(TR.PriceLow)","sdate:#1 edate:#2",,INDEX(MO_SNA_FPStartDate,0,COLUMN()),INDEX(MO_Common_QEndDate,0,COLUMN())),"N/A")</f>
        <v/>
      </c>
      <c r="O1399" s="1714">
        <f>IFERROR(_xll.TR(MO.Ticker.Thomson,"Min(TR.PriceLow)","sdate:#1 edate:#2",,INDEX(MO_SNA_FPStartDate,0,COLUMN()),INDEX(MO_Common_QEndDate,0,COLUMN())),"N/A")</f>
        <v/>
      </c>
      <c r="P1399" s="1714">
        <f>IFERROR(_xll.TR(MO.Ticker.Thomson,"Min(TR.PriceLow)","sdate:#1 edate:#2",,INDEX(MO_SNA_FPStartDate,0,COLUMN()),INDEX(MO_Common_QEndDate,0,COLUMN())),"N/A")</f>
        <v/>
      </c>
      <c r="Q1399" s="1714">
        <f>IFERROR(_xll.TR(MO.Ticker.Thomson,"Min(TR.PriceLow)","sdate:#1 edate:#2",,INDEX(MO_SNA_FPStartDate,0,COLUMN()),INDEX(MO_Common_QEndDate,0,COLUMN())),"N/A")</f>
        <v/>
      </c>
      <c r="R1399" s="1714">
        <f>IFERROR(_xll.TR(MO.Ticker.Thomson,"Min(TR.PriceLow)","sdate:#1 edate:#2",,INDEX(MO_SNA_FPStartDate,0,COLUMN()),INDEX(MO_Common_QEndDate,0,COLUMN())),"N/A")</f>
        <v/>
      </c>
      <c r="S1399" s="1714">
        <f>IFERROR(_xll.TR(MO.Ticker.Thomson,"Min(TR.PriceLow)","sdate:#1 edate:#2",,INDEX(MO_SNA_FPStartDate,0,COLUMN()),INDEX(MO_Common_QEndDate,0,COLUMN())),"N/A")</f>
        <v/>
      </c>
      <c r="T1399" s="1714">
        <f>IFERROR(_xll.TR(MO.Ticker.Thomson,"Min(TR.PriceLow)","sdate:#1 edate:#2",,INDEX(MO_SNA_FPStartDate,0,COLUMN()),INDEX(MO_Common_QEndDate,0,COLUMN())),"N/A")</f>
        <v/>
      </c>
      <c r="U1399" s="1714">
        <f>IFERROR(_xll.TR(MO.Ticker.Thomson,"Min(TR.PriceLow)","sdate:#1 edate:#2",,INDEX(MO_SNA_FPStartDate,0,COLUMN()),INDEX(MO_Common_QEndDate,0,COLUMN())),"N/A")</f>
        <v/>
      </c>
      <c r="V1399" s="1714">
        <f>IFERROR(_xll.TR(MO.Ticker.Thomson,"Min(TR.PriceLow)","sdate:#1 edate:#2",,INDEX(MO_SNA_FPStartDate,0,COLUMN()),INDEX(MO_Common_QEndDate,0,COLUMN())),"N/A")</f>
        <v/>
      </c>
      <c r="W1399" s="1714">
        <f>IFERROR(_xll.TR(MO.Ticker.Thomson,"Min(TR.PriceLow)","sdate:#1 edate:#2",,INDEX(MO_SNA_FPStartDate,0,COLUMN()),INDEX(MO_Common_QEndDate,0,COLUMN())),"N/A")</f>
        <v/>
      </c>
      <c r="X1399" s="1714">
        <f>IFERROR(_xll.TR(MO.Ticker.Thomson,"Min(TR.PriceLow)","sdate:#1 edate:#2",,INDEX(MO_SNA_FPStartDate,0,COLUMN()),INDEX(MO_Common_QEndDate,0,COLUMN())),"N/A")</f>
        <v/>
      </c>
      <c r="Y1399" s="1714">
        <f>IFERROR(_xll.TR(MO.Ticker.Thomson,"Min(TR.PriceLow)","sdate:#1 edate:#2",,INDEX(MO_SNA_FPStartDate,0,COLUMN()),INDEX(MO_Common_QEndDate,0,COLUMN())),"N/A")</f>
        <v/>
      </c>
      <c r="Z1399" s="1714">
        <f>IFERROR(_xll.TR(MO.Ticker.Thomson,"Min(TR.PriceLow)","sdate:#1 edate:#2",,INDEX(MO_SNA_FPStartDate,0,COLUMN()),INDEX(MO_Common_QEndDate,0,COLUMN())),"N/A")</f>
        <v/>
      </c>
      <c r="AA1399" s="1714">
        <f>IFERROR(_xll.TR(MO.Ticker.Thomson,"Min(TR.PriceLow)","sdate:#1 edate:#2",,INDEX(MO_SNA_FPStartDate,0,COLUMN()),INDEX(MO_Common_QEndDate,0,COLUMN())),"N/A")</f>
        <v/>
      </c>
      <c r="AB1399" s="1714">
        <f>IFERROR(_xll.TR(MO.Ticker.Thomson,"Min(TR.PriceLow)","sdate:#1 edate:#2",,INDEX(MO_SNA_FPStartDate,0,COLUMN()),INDEX(MO_Common_QEndDate,0,COLUMN())),"N/A")</f>
        <v/>
      </c>
      <c r="AC1399" s="1714">
        <f>IFERROR(_xll.TR(MO.Ticker.Thomson,"Min(TR.PriceLow)","sdate:#1 edate:#2",,INDEX(MO_SNA_FPStartDate,0,COLUMN()),INDEX(MO_Common_QEndDate,0,COLUMN())),"N/A")</f>
        <v/>
      </c>
      <c r="AD1399" s="1714">
        <f>IFERROR(_xll.TR(MO.Ticker.Thomson,"Min(TR.PriceLow)","sdate:#1 edate:#2",,INDEX(MO_SNA_FPStartDate,0,COLUMN()),INDEX(MO_Common_QEndDate,0,COLUMN())),"N/A")</f>
        <v/>
      </c>
      <c r="AE1399" s="1714">
        <f>IFERROR(_xll.TR(MO.Ticker.Thomson,"Min(TR.PriceLow)","sdate:#1 edate:#2",,INDEX(MO_SNA_FPStartDate,0,COLUMN()),INDEX(MO_Common_QEndDate,0,COLUMN())),"N/A")</f>
        <v/>
      </c>
      <c r="AF1399" s="1714">
        <f>IFERROR(_xll.TR(MO.Ticker.Thomson,"Min(TR.PriceLow)","sdate:#1 edate:#2",,INDEX(MO_SNA_FPStartDate,0,COLUMN()),INDEX(MO_Common_QEndDate,0,COLUMN())),"N/A")</f>
        <v/>
      </c>
      <c r="AG1399" s="1714">
        <f>IFERROR(_xll.TR(MO.Ticker.Thomson,"Min(TR.PriceLow)","sdate:#1 edate:#2",,INDEX(MO_SNA_FPStartDate,0,COLUMN()),INDEX(MO_Common_QEndDate,0,COLUMN())),"N/A")</f>
        <v/>
      </c>
      <c r="AH1399" s="1714">
        <f>IFERROR(_xll.TR(MO.Ticker.Thomson,"Min(TR.PriceLow)","sdate:#1 edate:#2",,INDEX(MO_SNA_FPStartDate,0,COLUMN()),INDEX(MO_Common_QEndDate,0,COLUMN())),"N/A")</f>
        <v/>
      </c>
      <c r="AI1399" s="1714">
        <f>IFERROR(_xll.TR(MO.Ticker.Thomson,"Min(TR.PriceLow)","sdate:#1 edate:#2",,INDEX(MO_SNA_FPStartDate,0,COLUMN()),INDEX(MO_Common_QEndDate,0,COLUMN())),"N/A")</f>
        <v/>
      </c>
      <c r="AJ1399" s="1714">
        <f>IFERROR(_xll.TR(MO.Ticker.Thomson,"Min(TR.PriceLow)","sdate:#1 edate:#2",,INDEX(MO_SNA_FPStartDate,0,COLUMN()),INDEX(MO_Common_QEndDate,0,COLUMN())),"N/A")</f>
        <v/>
      </c>
      <c r="AK1399" s="1714">
        <f>IFERROR(_xll.TR(MO.Ticker.Thomson,"Min(TR.PriceLow)","sdate:#1 edate:#2",,INDEX(MO_SNA_FPStartDate,0,COLUMN()),INDEX(MO_Common_QEndDate,0,COLUMN())),"N/A")</f>
        <v/>
      </c>
      <c r="AL1399" s="1714">
        <f>IFERROR(_xll.TR(MO.Ticker.Thomson,"Min(TR.PriceLow)","sdate:#1 edate:#2",,INDEX(MO_SNA_FPStartDate,0,COLUMN()),INDEX(MO_Common_QEndDate,0,COLUMN())),"N/A")</f>
        <v/>
      </c>
      <c r="AM1399" s="1714">
        <f>IFERROR(_xll.TR(MO.Ticker.Thomson,"Min(TR.PriceLow)","sdate:#1 edate:#2",,INDEX(MO_SNA_FPStartDate,0,COLUMN()),INDEX(MO_Common_QEndDate,0,COLUMN())),"N/A")</f>
        <v/>
      </c>
      <c r="AN1399" s="1714">
        <f>IFERROR(_xll.TR(MO.Ticker.Thomson,"Min(TR.PriceLow)","sdate:#1 edate:#2",,INDEX(MO_SNA_FPStartDate,0,COLUMN()),INDEX(MO_Common_QEndDate,0,COLUMN())),"N/A")</f>
        <v/>
      </c>
      <c r="AO1399" s="1714">
        <f>IFERROR(_xll.TR(MO.Ticker.Thomson,"Min(TR.PriceLow)","sdate:#1 edate:#2",,INDEX(MO_SNA_FPStartDate,0,COLUMN()),INDEX(MO_Common_QEndDate,0,COLUMN())),"N/A")</f>
        <v/>
      </c>
      <c r="AP1399" s="1714">
        <f>IFERROR(_xll.TR(MO.Ticker.Thomson,"Min(TR.PriceLow)","sdate:#1 edate:#2",,INDEX(MO_SNA_FPStartDate,0,COLUMN()),INDEX(MO_Common_QEndDate,0,COLUMN())),"N/A")</f>
        <v/>
      </c>
      <c r="AQ1399" s="1714">
        <f>IFERROR(_xll.TR(MO.Ticker.Thomson,"Min(TR.PriceLow)","sdate:#1 edate:#2",,INDEX(MO_SNA_FPStartDate,0,COLUMN()),INDEX(MO_Common_QEndDate,0,COLUMN())),"N/A")</f>
        <v/>
      </c>
      <c r="AR1399" s="1714">
        <f>IFERROR(_xll.TR(MO.Ticker.Thomson,"Min(TR.PriceLow)","sdate:#1 edate:#2",,INDEX(MO_SNA_FPStartDate,0,COLUMN()),INDEX(MO_Common_QEndDate,0,COLUMN())),"N/A")</f>
        <v/>
      </c>
      <c r="AS1399" s="1714">
        <f>IFERROR(_xll.TR(MO.Ticker.Thomson,"Min(TR.PriceLow)","sdate:#1 edate:#2",,INDEX(MO_SNA_FPStartDate,0,COLUMN()),INDEX(MO_Common_QEndDate,0,COLUMN())),"N/A")</f>
        <v/>
      </c>
      <c r="AT1399" s="1714">
        <f>IFERROR(_xll.TR(MO.Ticker.Thomson,"Min(TR.PriceLow)","sdate:#1 edate:#2",,INDEX(MO_SNA_FPStartDate,0,COLUMN()),INDEX(MO_Common_QEndDate,0,COLUMN())),"N/A")</f>
        <v/>
      </c>
      <c r="AU1399" s="1714">
        <f>IFERROR(_xll.TR(MO.Ticker.Thomson,"Min(TR.PriceLow)","sdate:#1 edate:#2",,INDEX(MO_SNA_FPStartDate,0,COLUMN()),INDEX(MO_Common_QEndDate,0,COLUMN())),"N/A")</f>
        <v/>
      </c>
      <c r="AV1399" s="1714">
        <f>IFERROR(_xll.TR(MO.Ticker.Thomson,"Min(TR.PriceLow)","sdate:#1 edate:#2",,INDEX(MO_SNA_FPStartDate,0,COLUMN()),INDEX(MO_Common_QEndDate,0,COLUMN())),"N/A")</f>
        <v/>
      </c>
      <c r="AW1399" s="1714">
        <f>IFERROR(_xll.TR(MO.Ticker.Thomson,"Min(TR.PriceLow)","sdate:#1 edate:#2",,INDEX(MO_SNA_FPStartDate,0,COLUMN()),INDEX(MO_Common_QEndDate,0,COLUMN())),"N/A")</f>
        <v/>
      </c>
      <c r="AX1399" s="1714">
        <f>IFERROR(_xll.TR(MO.Ticker.Thomson,"Min(TR.PriceLow)","sdate:#1 edate:#2",,INDEX(MO_SNA_FPStartDate,0,COLUMN()),INDEX(MO_Common_QEndDate,0,COLUMN())),"N/A")</f>
        <v/>
      </c>
      <c r="AY1399" s="1714">
        <f>IFERROR(_xll.TR(MO.Ticker.Thomson,"Min(TR.PriceLow)","sdate:#1 edate:#2",,INDEX(MO_SNA_FPStartDate,0,COLUMN()),INDEX(MO_Common_QEndDate,0,COLUMN())),"N/A")</f>
        <v/>
      </c>
      <c r="AZ1399" s="1714">
        <f>IFERROR(_xll.TR(MO.Ticker.Thomson,"Min(TR.PriceLow)","sdate:#1 edate:#2",,INDEX(MO_SNA_FPStartDate,0,COLUMN()),INDEX(MO_Common_QEndDate,0,COLUMN())),"N/A")</f>
        <v/>
      </c>
      <c r="BA1399" s="1714">
        <f>IFERROR(_xll.TR(MO.Ticker.Thomson,"Min(TR.PriceLow)","sdate:#1 edate:#2",,INDEX(MO_SNA_FPStartDate,0,COLUMN()),INDEX(MO_Common_QEndDate,0,COLUMN())),"N/A")</f>
        <v/>
      </c>
      <c r="BB1399" s="1714">
        <f>IFERROR(_xll.TR(MO.Ticker.Thomson,"Min(TR.PriceLow)","sdate:#1 edate:#2",,INDEX(MO_SNA_FPStartDate,0,COLUMN()),INDEX(MO_Common_QEndDate,0,COLUMN())),"N/A")</f>
        <v/>
      </c>
      <c r="BC1399" s="1714">
        <f>IFERROR(_xll.TR(MO.Ticker.Thomson,"Min(TR.PriceLow)","sdate:#1 edate:#2",,INDEX(MO_SNA_FPStartDate,0,COLUMN()),INDEX(MO_Common_QEndDate,0,COLUMN())),"N/A")</f>
        <v/>
      </c>
      <c r="BD1399" s="1714">
        <f>IFERROR(_xll.TR(MO.Ticker.Thomson,"Min(TR.PriceLow)","sdate:#1 edate:#2",,INDEX(MO_SNA_FPStartDate,0,COLUMN()),INDEX(MO_Common_QEndDate,0,COLUMN())),"N/A")</f>
        <v/>
      </c>
      <c r="BE1399" s="1714">
        <f>IFERROR(_xll.TR(MO.Ticker.Thomson,"Min(TR.PriceLow)","sdate:#1 edate:#2",,INDEX(MO_SNA_FPStartDate,0,COLUMN()),INDEX(MO_Common_QEndDate,0,COLUMN())),"N/A")</f>
        <v/>
      </c>
      <c r="BF1399" s="1714">
        <f>IFERROR(_xll.TR(MO.Ticker.Thomson,"Min(TR.PriceLow)","sdate:#1 edate:#2",,INDEX(MO_SNA_FPStartDate,0,COLUMN()),INDEX(MO_Common_QEndDate,0,COLUMN())),"N/A")</f>
        <v/>
      </c>
      <c r="BG1399" s="1714">
        <f>IFERROR(_xll.TR(MO.Ticker.Thomson,"Min(TR.PriceLow)","sdate:#1 edate:#2",,INDEX(MO_SNA_FPStartDate,0,COLUMN()),INDEX(MO_Common_QEndDate,0,COLUMN())),"N/A")</f>
        <v/>
      </c>
      <c r="BH1399" s="1714">
        <f>IFERROR(_xll.TR(MO.Ticker.Thomson,"Min(TR.PriceLow)","sdate:#1 edate:#2",,INDEX(MO_SNA_FPStartDate,0,COLUMN()),INDEX(MO_Common_QEndDate,0,COLUMN())),"N/A")</f>
        <v/>
      </c>
      <c r="BI1399" s="1714">
        <f>IFERROR(_xll.TR(MO.Ticker.Thomson,"Min(TR.PriceLow)","sdate:#1 edate:#2",,INDEX(MO_SNA_FPStartDate,0,COLUMN()),INDEX(MO_Common_QEndDate,0,COLUMN())),"N/A")</f>
        <v/>
      </c>
      <c r="BJ1399" s="1714">
        <f>IFERROR(_xll.TR(MO.Ticker.Thomson,"Min(TR.PriceLow)","sdate:#1 edate:#2",,INDEX(MO_SNA_FPStartDate,0,COLUMN()),INDEX(MO_Common_QEndDate,0,COLUMN())),"N/A")</f>
        <v/>
      </c>
      <c r="BK1399" s="1714">
        <f>IFERROR(_xll.TR(MO.Ticker.Thomson,"Min(TR.PriceLow)","sdate:#1 edate:#2",,INDEX(MO_SNA_FPStartDate,0,COLUMN()),INDEX(MO_Common_QEndDate,0,COLUMN())),"N/A")</f>
        <v/>
      </c>
      <c r="BL1399" s="1714">
        <f>IFERROR(_xll.TR(MO.Ticker.Thomson,"Min(TR.PriceLow)","sdate:#1 edate:#2",,INDEX(MO_SNA_FPStartDate,0,COLUMN()),INDEX(MO_Common_QEndDate,0,COLUMN())),"N/A")</f>
        <v/>
      </c>
      <c r="BM1399" s="1714">
        <f>IFERROR(_xll.TR(MO.Ticker.Thomson,"Min(TR.PriceLow)","sdate:#1 edate:#2",,INDEX(MO_SNA_FPStartDate,0,COLUMN()),INDEX(MO_Common_QEndDate,0,COLUMN())),"N/A")</f>
        <v/>
      </c>
      <c r="BN1399" s="1714">
        <f>IFERROR(_xll.TR(MO.Ticker.Thomson,"Min(TR.PriceLow)","sdate:#1 edate:#2",,INDEX(MO_SNA_FPStartDate,0,COLUMN()),INDEX(MO_Common_QEndDate,0,COLUMN())),"N/A")</f>
        <v/>
      </c>
      <c r="BO1399" s="1714">
        <f>IFERROR(_xll.TR(MO.Ticker.Thomson,"Min(TR.PriceLow)","sdate:#1 edate:#2",,INDEX(MO_SNA_FPStartDate,0,COLUMN()),INDEX(MO_Common_QEndDate,0,COLUMN())),"N/A")</f>
        <v/>
      </c>
      <c r="BP1399" s="1714">
        <f>IFERROR(_xll.TR(MO.Ticker.Thomson,"Min(TR.PriceLow)","sdate:#1 edate:#2",,INDEX(MO_SNA_FPStartDate,0,COLUMN()),INDEX(MO_Common_QEndDate,0,COLUMN())),"N/A")</f>
        <v/>
      </c>
      <c r="BQ1399" s="1717">
        <f>IFERROR(_xll.TR(MO.Ticker.Thomson,"Min(TR.PriceLow)","sdate:#1 edate:#2",,INDEX(MO_SNA_FPStartDate,0,COLUMN()),INDEX(MO_Common_QEndDate,0,COLUMN())),"N/A")</f>
        <v/>
      </c>
      <c r="BR1399" s="1714">
        <f>IFERROR(_xll.TR(MO.Ticker.Thomson,"Min(TR.PriceLow)","sdate:#1 edate:#2",,INDEX(MO_SNA_FPStartDate,0,COLUMN()),INDEX(MO_Common_QEndDate,0,COLUMN())),"N/A")</f>
        <v/>
      </c>
      <c r="BS1399" s="1714">
        <f>IFERROR(_xll.TR(MO.Ticker.Thomson,"Min(TR.PriceLow)","sdate:#1 edate:#2",,INDEX(MO_SNA_FPStartDate,0,COLUMN()),INDEX(MO_Common_QEndDate,0,COLUMN())),"N/A")</f>
        <v/>
      </c>
      <c r="BT1399" s="1714">
        <f>IFERROR(_xll.TR(MO.Ticker.Thomson,"Min(TR.PriceLow)","sdate:#1 edate:#2",,INDEX(MO_SNA_FPStartDate,0,COLUMN()),INDEX(MO_Common_QEndDate,0,COLUMN())),"N/A")</f>
        <v/>
      </c>
      <c r="BU1399" s="1714">
        <f>IFERROR(_xll.TR(MO.Ticker.Thomson,"Min(TR.PriceLow)","sdate:#1 edate:#2",,INDEX(MO_SNA_FPStartDate,0,COLUMN()),INDEX(MO_Common_QEndDate,0,COLUMN())),"N/A")</f>
        <v/>
      </c>
      <c r="BV1399" s="1714">
        <f>IFERROR(_xll.TR(MO.Ticker.Thomson,"Min(TR.PriceLow)","sdate:#1 edate:#2",,INDEX(MO_SNA_FPStartDate,0,COLUMN()),INDEX(MO_Common_QEndDate,0,COLUMN())),"N/A")</f>
        <v/>
      </c>
      <c r="BW1399" s="1714">
        <f>IFERROR(_xll.TR(MO.Ticker.Thomson,"Min(TR.PriceLow)","sdate:#1 edate:#2",,INDEX(MO_SNA_FPStartDate,0,COLUMN()),INDEX(MO_Common_QEndDate,0,COLUMN())),"N/A")</f>
        <v/>
      </c>
      <c r="BX1399" s="1714">
        <f>IFERROR(_xll.TR(MO.Ticker.Thomson,"Min(TR.PriceLow)","sdate:#1 edate:#2",,INDEX(MO_SNA_FPStartDate,0,COLUMN()),INDEX(MO_Common_QEndDate,0,COLUMN())),"N/A")</f>
        <v/>
      </c>
      <c r="BY1399" s="1714">
        <f>IFERROR(_xll.TR(MO.Ticker.Thomson,"Min(TR.PriceLow)","sdate:#1 edate:#2",,INDEX(MO_SNA_FPStartDate,0,COLUMN()),INDEX(MO_Common_QEndDate,0,COLUMN())),"N/A")</f>
        <v/>
      </c>
      <c r="BZ1399" s="1714">
        <f>IFERROR(_xll.TR(MO.Ticker.Thomson,"Min(TR.PriceLow)","sdate:#1 edate:#2",,INDEX(MO_SNA_FPStartDate,0,COLUMN()),INDEX(MO_Common_QEndDate,0,COLUMN())),"N/A")</f>
        <v/>
      </c>
      <c r="CA1399" s="2037">
        <f>IFERROR(_xll.TR(MO.Ticker.Thomson,"Min(TR.PriceLow)","sdate:#1 edate:#2",,INDEX(MO_SNA_FPStartDate,0,COLUMN()),INDEX(MO_Common_QEndDate,0,COLUMN())),"N/A")</f>
        <v/>
      </c>
      <c r="CB1399" s="2038" t="n"/>
    </row>
    <row r="1400" hidden="1" outlineLevel="1" ht="14.4" customFormat="1" customHeight="1" s="1359">
      <c r="A1400" s="2042" t="n"/>
      <c r="B1400" s="1361" t="n"/>
      <c r="C1400" s="1959" t="n"/>
      <c r="D1400" s="1959" t="n"/>
      <c r="E1400" s="1959" t="n"/>
      <c r="F1400" s="1959" t="n"/>
      <c r="G1400" s="1959" t="n"/>
      <c r="H1400" s="1361" t="n"/>
      <c r="I1400" s="1361" t="n"/>
      <c r="J1400" s="1361" t="n"/>
      <c r="K1400" s="1361" t="n"/>
      <c r="L1400" s="1361" t="n"/>
      <c r="M1400" s="1361" t="n"/>
      <c r="N1400" s="1361" t="n"/>
      <c r="O1400" s="1361" t="n"/>
      <c r="P1400" s="1361" t="n"/>
      <c r="Q1400" s="1361" t="n"/>
      <c r="R1400" s="1361" t="n"/>
      <c r="S1400" s="1361" t="n"/>
      <c r="T1400" s="1361" t="n"/>
      <c r="U1400" s="1361" t="n"/>
      <c r="V1400" s="1361" t="n"/>
      <c r="W1400" s="1361" t="n"/>
      <c r="X1400" s="1361" t="n"/>
      <c r="Y1400" s="1361" t="n"/>
      <c r="Z1400" s="1361" t="n"/>
      <c r="AA1400" s="1361" t="n"/>
      <c r="AB1400" s="1361" t="n"/>
      <c r="AC1400" s="1361" t="n"/>
      <c r="AD1400" s="1361" t="n"/>
      <c r="AE1400" s="1361" t="n"/>
      <c r="AF1400" s="1361" t="n"/>
      <c r="AG1400" s="1361" t="n"/>
      <c r="AH1400" s="1361" t="n"/>
      <c r="AI1400" s="1361" t="n"/>
      <c r="AJ1400" s="1361" t="n"/>
      <c r="AK1400" s="1361" t="n"/>
      <c r="AL1400" s="1361" t="n"/>
      <c r="AM1400" s="1361" t="n"/>
      <c r="AN1400" s="1361" t="n"/>
      <c r="AO1400" s="1361" t="n"/>
      <c r="AP1400" s="1361" t="n"/>
      <c r="AQ1400" s="1361" t="n"/>
      <c r="AR1400" s="1361" t="n"/>
      <c r="AS1400" s="1361" t="n"/>
      <c r="AT1400" s="1361" t="n"/>
      <c r="AU1400" s="1361" t="n"/>
      <c r="AV1400" s="1361" t="n"/>
      <c r="AW1400" s="1361" t="n"/>
      <c r="AX1400" s="1361" t="n"/>
      <c r="AY1400" s="1361" t="n"/>
      <c r="AZ1400" s="1361" t="n"/>
      <c r="BA1400" s="1361" t="n"/>
      <c r="BB1400" s="1361" t="n"/>
      <c r="BC1400" s="1361" t="n"/>
      <c r="BD1400" s="1361" t="n"/>
      <c r="BE1400" s="1361" t="n"/>
      <c r="BF1400" s="1361" t="n"/>
      <c r="BG1400" s="1361" t="n"/>
      <c r="BH1400" s="1361" t="n"/>
      <c r="BI1400" s="1361" t="n"/>
      <c r="BJ1400" s="1361" t="n"/>
      <c r="BK1400" s="1361" t="n"/>
      <c r="BL1400" s="1361" t="n"/>
      <c r="BM1400" s="1361" t="n"/>
      <c r="BN1400" s="1361" t="n"/>
      <c r="BO1400" s="1361" t="n"/>
      <c r="BP1400" s="1361" t="n"/>
      <c r="BQ1400" s="1363" t="n"/>
      <c r="BR1400" s="1361" t="n"/>
      <c r="BS1400" s="1361" t="n"/>
      <c r="BT1400" s="1361" t="n"/>
      <c r="BU1400" s="1361" t="n"/>
      <c r="BV1400" s="1361" t="n"/>
      <c r="BW1400" s="1361" t="n"/>
      <c r="BX1400" s="1361" t="n"/>
      <c r="BY1400" s="1361" t="n"/>
      <c r="BZ1400" s="1361" t="n"/>
      <c r="CA1400" s="2043" t="n"/>
      <c r="CB1400" s="2023" t="n"/>
    </row>
    <row r="1401" collapsed="1" ht="14.4" customFormat="1" customHeight="1" s="1905">
      <c r="A1401" s="2035">
        <f>"Stock Average: "&amp;IF(OR(MO.RealTimeStockPriceToggle=FALSE,VLOOKUP(MO.DataSourceName,MO_SPT_StockAverage_Sources,COLUMN()+2,FALSE)="N/A"),"Real-Time Off Source",MO.DataSourceName)</f>
        <v/>
      </c>
      <c r="B1401" s="1714" t="n"/>
      <c r="C1401" s="2036">
        <f>IF(OR(MO.RealTimeStockPriceToggle=FALSE,VLOOKUP(MO.DataSourceName,MO_SPT_StockAverage_Sources,COLUMN(),FALSE)="N/A"),VLOOKUP("Real-Time Off Source",MO_SPT_StockAverage_Sources,COLUMN(),FALSE),VLOOKUP(MO.DataSourceName,MO_SPT_StockAverage_Sources,COLUMN(),FALSE))</f>
        <v/>
      </c>
      <c r="D1401" s="2036">
        <f>IF(OR(MO.RealTimeStockPriceToggle=FALSE,VLOOKUP(MO.DataSourceName,MO_SPT_StockAverage_Sources,COLUMN(),FALSE)="N/A"),VLOOKUP("Real-Time Off Source",MO_SPT_StockAverage_Sources,COLUMN(),FALSE),VLOOKUP(MO.DataSourceName,MO_SPT_StockAverage_Sources,COLUMN(),FALSE))</f>
        <v/>
      </c>
      <c r="E1401" s="2036">
        <f>IF(OR(MO.RealTimeStockPriceToggle=FALSE,VLOOKUP(MO.DataSourceName,MO_SPT_StockAverage_Sources,COLUMN(),FALSE)="N/A"),VLOOKUP("Real-Time Off Source",MO_SPT_StockAverage_Sources,COLUMN(),FALSE),VLOOKUP(MO.DataSourceName,MO_SPT_StockAverage_Sources,COLUMN(),FALSE))</f>
        <v/>
      </c>
      <c r="F1401" s="2036">
        <f>IF(OR(MO.RealTimeStockPriceToggle=FALSE,VLOOKUP(MO.DataSourceName,MO_SPT_StockAverage_Sources,COLUMN(),FALSE)="N/A"),VLOOKUP("Real-Time Off Source",MO_SPT_StockAverage_Sources,COLUMN(),FALSE),VLOOKUP(MO.DataSourceName,MO_SPT_StockAverage_Sources,COLUMN(),FALSE))</f>
        <v/>
      </c>
      <c r="G1401" s="2036">
        <f>IF(OR(MO.RealTimeStockPriceToggle=FALSE,VLOOKUP(MO.DataSourceName,MO_SPT_StockAverage_Sources,COLUMN(),FALSE)="N/A"),VLOOKUP("Real-Time Off Source",MO_SPT_StockAverage_Sources,COLUMN(),FALSE),VLOOKUP(MO.DataSourceName,MO_SPT_StockAverage_Sources,COLUMN(),FALSE))</f>
        <v/>
      </c>
      <c r="H1401" s="1714">
        <f>IF(OR(MO.RealTimeStockPriceToggle=FALSE,VLOOKUP(MO.DataSourceName,MO_SPT_StockAverage_Sources,COLUMN(),FALSE)="N/A"),VLOOKUP("Real-Time Off Source",MO_SPT_StockAverage_Sources,COLUMN(),FALSE),VLOOKUP(MO.DataSourceName,MO_SPT_StockAverage_Sources,COLUMN(),FALSE))</f>
        <v/>
      </c>
      <c r="I1401" s="1714">
        <f>IF(OR(MO.RealTimeStockPriceToggle=FALSE,VLOOKUP(MO.DataSourceName,MO_SPT_StockAverage_Sources,COLUMN(),FALSE)="N/A"),VLOOKUP("Real-Time Off Source",MO_SPT_StockAverage_Sources,COLUMN(),FALSE),VLOOKUP(MO.DataSourceName,MO_SPT_StockAverage_Sources,COLUMN(),FALSE))</f>
        <v/>
      </c>
      <c r="J1401" s="1714">
        <f>IF(OR(MO.RealTimeStockPriceToggle=FALSE,VLOOKUP(MO.DataSourceName,MO_SPT_StockAverage_Sources,COLUMN(),FALSE)="N/A"),VLOOKUP("Real-Time Off Source",MO_SPT_StockAverage_Sources,COLUMN(),FALSE),VLOOKUP(MO.DataSourceName,MO_SPT_StockAverage_Sources,COLUMN(),FALSE))</f>
        <v/>
      </c>
      <c r="K1401" s="1714">
        <f>IF(OR(MO.RealTimeStockPriceToggle=FALSE,VLOOKUP(MO.DataSourceName,MO_SPT_StockAverage_Sources,COLUMN(),FALSE)="N/A"),VLOOKUP("Real-Time Off Source",MO_SPT_StockAverage_Sources,COLUMN(),FALSE),VLOOKUP(MO.DataSourceName,MO_SPT_StockAverage_Sources,COLUMN(),FALSE))</f>
        <v/>
      </c>
      <c r="L1401" s="1714">
        <f>IF(OR(MO.RealTimeStockPriceToggle=FALSE,VLOOKUP(MO.DataSourceName,MO_SPT_StockAverage_Sources,COLUMN(),FALSE)="N/A"),VLOOKUP("Real-Time Off Source",MO_SPT_StockAverage_Sources,COLUMN(),FALSE),VLOOKUP(MO.DataSourceName,MO_SPT_StockAverage_Sources,COLUMN(),FALSE))</f>
        <v/>
      </c>
      <c r="M1401" s="1714">
        <f>IF(OR(MO.RealTimeStockPriceToggle=FALSE,VLOOKUP(MO.DataSourceName,MO_SPT_StockAverage_Sources,COLUMN(),FALSE)="N/A"),VLOOKUP("Real-Time Off Source",MO_SPT_StockAverage_Sources,COLUMN(),FALSE),VLOOKUP(MO.DataSourceName,MO_SPT_StockAverage_Sources,COLUMN(),FALSE))</f>
        <v/>
      </c>
      <c r="N1401" s="1714">
        <f>IF(OR(MO.RealTimeStockPriceToggle=FALSE,VLOOKUP(MO.DataSourceName,MO_SPT_StockAverage_Sources,COLUMN(),FALSE)="N/A"),VLOOKUP("Real-Time Off Source",MO_SPT_StockAverage_Sources,COLUMN(),FALSE),VLOOKUP(MO.DataSourceName,MO_SPT_StockAverage_Sources,COLUMN(),FALSE))</f>
        <v/>
      </c>
      <c r="O1401" s="1714">
        <f>IF(OR(MO.RealTimeStockPriceToggle=FALSE,VLOOKUP(MO.DataSourceName,MO_SPT_StockAverage_Sources,COLUMN(),FALSE)="N/A"),VLOOKUP("Real-Time Off Source",MO_SPT_StockAverage_Sources,COLUMN(),FALSE),VLOOKUP(MO.DataSourceName,MO_SPT_StockAverage_Sources,COLUMN(),FALSE))</f>
        <v/>
      </c>
      <c r="P1401" s="1714">
        <f>IF(OR(MO.RealTimeStockPriceToggle=FALSE,VLOOKUP(MO.DataSourceName,MO_SPT_StockAverage_Sources,COLUMN(),FALSE)="N/A"),VLOOKUP("Real-Time Off Source",MO_SPT_StockAverage_Sources,COLUMN(),FALSE),VLOOKUP(MO.DataSourceName,MO_SPT_StockAverage_Sources,COLUMN(),FALSE))</f>
        <v/>
      </c>
      <c r="Q1401" s="1714">
        <f>IF(OR(MO.RealTimeStockPriceToggle=FALSE,VLOOKUP(MO.DataSourceName,MO_SPT_StockAverage_Sources,COLUMN(),FALSE)="N/A"),VLOOKUP("Real-Time Off Source",MO_SPT_StockAverage_Sources,COLUMN(),FALSE),VLOOKUP(MO.DataSourceName,MO_SPT_StockAverage_Sources,COLUMN(),FALSE))</f>
        <v/>
      </c>
      <c r="R1401" s="1714">
        <f>IF(OR(MO.RealTimeStockPriceToggle=FALSE,VLOOKUP(MO.DataSourceName,MO_SPT_StockAverage_Sources,COLUMN(),FALSE)="N/A"),VLOOKUP("Real-Time Off Source",MO_SPT_StockAverage_Sources,COLUMN(),FALSE),VLOOKUP(MO.DataSourceName,MO_SPT_StockAverage_Sources,COLUMN(),FALSE))</f>
        <v/>
      </c>
      <c r="S1401" s="1714">
        <f>IF(OR(MO.RealTimeStockPriceToggle=FALSE,VLOOKUP(MO.DataSourceName,MO_SPT_StockAverage_Sources,COLUMN(),FALSE)="N/A"),VLOOKUP("Real-Time Off Source",MO_SPT_StockAverage_Sources,COLUMN(),FALSE),VLOOKUP(MO.DataSourceName,MO_SPT_StockAverage_Sources,COLUMN(),FALSE))</f>
        <v/>
      </c>
      <c r="T1401" s="1714">
        <f>IF(OR(MO.RealTimeStockPriceToggle=FALSE,VLOOKUP(MO.DataSourceName,MO_SPT_StockAverage_Sources,COLUMN(),FALSE)="N/A"),VLOOKUP("Real-Time Off Source",MO_SPT_StockAverage_Sources,COLUMN(),FALSE),VLOOKUP(MO.DataSourceName,MO_SPT_StockAverage_Sources,COLUMN(),FALSE))</f>
        <v/>
      </c>
      <c r="U1401" s="1714">
        <f>IF(OR(MO.RealTimeStockPriceToggle=FALSE,VLOOKUP(MO.DataSourceName,MO_SPT_StockAverage_Sources,COLUMN(),FALSE)="N/A"),VLOOKUP("Real-Time Off Source",MO_SPT_StockAverage_Sources,COLUMN(),FALSE),VLOOKUP(MO.DataSourceName,MO_SPT_StockAverage_Sources,COLUMN(),FALSE))</f>
        <v/>
      </c>
      <c r="V1401" s="1714">
        <f>IF(OR(MO.RealTimeStockPriceToggle=FALSE,VLOOKUP(MO.DataSourceName,MO_SPT_StockAverage_Sources,COLUMN(),FALSE)="N/A"),VLOOKUP("Real-Time Off Source",MO_SPT_StockAverage_Sources,COLUMN(),FALSE),VLOOKUP(MO.DataSourceName,MO_SPT_StockAverage_Sources,COLUMN(),FALSE))</f>
        <v/>
      </c>
      <c r="W1401" s="1714">
        <f>IF(OR(MO.RealTimeStockPriceToggle=FALSE,VLOOKUP(MO.DataSourceName,MO_SPT_StockAverage_Sources,COLUMN(),FALSE)="N/A"),VLOOKUP("Real-Time Off Source",MO_SPT_StockAverage_Sources,COLUMN(),FALSE),VLOOKUP(MO.DataSourceName,MO_SPT_StockAverage_Sources,COLUMN(),FALSE))</f>
        <v/>
      </c>
      <c r="X1401" s="1714">
        <f>IF(OR(MO.RealTimeStockPriceToggle=FALSE,VLOOKUP(MO.DataSourceName,MO_SPT_StockAverage_Sources,COLUMN(),FALSE)="N/A"),VLOOKUP("Real-Time Off Source",MO_SPT_StockAverage_Sources,COLUMN(),FALSE),VLOOKUP(MO.DataSourceName,MO_SPT_StockAverage_Sources,COLUMN(),FALSE))</f>
        <v/>
      </c>
      <c r="Y1401" s="1714">
        <f>IF(OR(MO.RealTimeStockPriceToggle=FALSE,VLOOKUP(MO.DataSourceName,MO_SPT_StockAverage_Sources,COLUMN(),FALSE)="N/A"),VLOOKUP("Real-Time Off Source",MO_SPT_StockAverage_Sources,COLUMN(),FALSE),VLOOKUP(MO.DataSourceName,MO_SPT_StockAverage_Sources,COLUMN(),FALSE))</f>
        <v/>
      </c>
      <c r="Z1401" s="1714">
        <f>IF(OR(MO.RealTimeStockPriceToggle=FALSE,VLOOKUP(MO.DataSourceName,MO_SPT_StockAverage_Sources,COLUMN(),FALSE)="N/A"),VLOOKUP("Real-Time Off Source",MO_SPT_StockAverage_Sources,COLUMN(),FALSE),VLOOKUP(MO.DataSourceName,MO_SPT_StockAverage_Sources,COLUMN(),FALSE))</f>
        <v/>
      </c>
      <c r="AA1401" s="1714">
        <f>IF(OR(MO.RealTimeStockPriceToggle=FALSE,VLOOKUP(MO.DataSourceName,MO_SPT_StockAverage_Sources,COLUMN(),FALSE)="N/A"),VLOOKUP("Real-Time Off Source",MO_SPT_StockAverage_Sources,COLUMN(),FALSE),VLOOKUP(MO.DataSourceName,MO_SPT_StockAverage_Sources,COLUMN(),FALSE))</f>
        <v/>
      </c>
      <c r="AB1401" s="1714">
        <f>IF(OR(MO.RealTimeStockPriceToggle=FALSE,VLOOKUP(MO.DataSourceName,MO_SPT_StockAverage_Sources,COLUMN(),FALSE)="N/A"),VLOOKUP("Real-Time Off Source",MO_SPT_StockAverage_Sources,COLUMN(),FALSE),VLOOKUP(MO.DataSourceName,MO_SPT_StockAverage_Sources,COLUMN(),FALSE))</f>
        <v/>
      </c>
      <c r="AC1401" s="1714">
        <f>IF(OR(MO.RealTimeStockPriceToggle=FALSE,VLOOKUP(MO.DataSourceName,MO_SPT_StockAverage_Sources,COLUMN(),FALSE)="N/A"),VLOOKUP("Real-Time Off Source",MO_SPT_StockAverage_Sources,COLUMN(),FALSE),VLOOKUP(MO.DataSourceName,MO_SPT_StockAverage_Sources,COLUMN(),FALSE))</f>
        <v/>
      </c>
      <c r="AD1401" s="1714">
        <f>IF(OR(MO.RealTimeStockPriceToggle=FALSE,VLOOKUP(MO.DataSourceName,MO_SPT_StockAverage_Sources,COLUMN(),FALSE)="N/A"),VLOOKUP("Real-Time Off Source",MO_SPT_StockAverage_Sources,COLUMN(),FALSE),VLOOKUP(MO.DataSourceName,MO_SPT_StockAverage_Sources,COLUMN(),FALSE))</f>
        <v/>
      </c>
      <c r="AE1401" s="1714">
        <f>IF(OR(MO.RealTimeStockPriceToggle=FALSE,VLOOKUP(MO.DataSourceName,MO_SPT_StockAverage_Sources,COLUMN(),FALSE)="N/A"),VLOOKUP("Real-Time Off Source",MO_SPT_StockAverage_Sources,COLUMN(),FALSE),VLOOKUP(MO.DataSourceName,MO_SPT_StockAverage_Sources,COLUMN(),FALSE))</f>
        <v/>
      </c>
      <c r="AF1401" s="1714">
        <f>IF(OR(MO.RealTimeStockPriceToggle=FALSE,VLOOKUP(MO.DataSourceName,MO_SPT_StockAverage_Sources,COLUMN(),FALSE)="N/A"),VLOOKUP("Real-Time Off Source",MO_SPT_StockAverage_Sources,COLUMN(),FALSE),VLOOKUP(MO.DataSourceName,MO_SPT_StockAverage_Sources,COLUMN(),FALSE))</f>
        <v/>
      </c>
      <c r="AG1401" s="1714">
        <f>IF(OR(MO.RealTimeStockPriceToggle=FALSE,VLOOKUP(MO.DataSourceName,MO_SPT_StockAverage_Sources,COLUMN(),FALSE)="N/A"),VLOOKUP("Real-Time Off Source",MO_SPT_StockAverage_Sources,COLUMN(),FALSE),VLOOKUP(MO.DataSourceName,MO_SPT_StockAverage_Sources,COLUMN(),FALSE))</f>
        <v/>
      </c>
      <c r="AH1401" s="1714">
        <f>IF(OR(MO.RealTimeStockPriceToggle=FALSE,VLOOKUP(MO.DataSourceName,MO_SPT_StockAverage_Sources,COLUMN(),FALSE)="N/A"),VLOOKUP("Real-Time Off Source",MO_SPT_StockAverage_Sources,COLUMN(),FALSE),VLOOKUP(MO.DataSourceName,MO_SPT_StockAverage_Sources,COLUMN(),FALSE))</f>
        <v/>
      </c>
      <c r="AI1401" s="1714">
        <f>IF(OR(MO.RealTimeStockPriceToggle=FALSE,VLOOKUP(MO.DataSourceName,MO_SPT_StockAverage_Sources,COLUMN(),FALSE)="N/A"),VLOOKUP("Real-Time Off Source",MO_SPT_StockAverage_Sources,COLUMN(),FALSE),VLOOKUP(MO.DataSourceName,MO_SPT_StockAverage_Sources,COLUMN(),FALSE))</f>
        <v/>
      </c>
      <c r="AJ1401" s="1714">
        <f>IF(OR(MO.RealTimeStockPriceToggle=FALSE,VLOOKUP(MO.DataSourceName,MO_SPT_StockAverage_Sources,COLUMN(),FALSE)="N/A"),VLOOKUP("Real-Time Off Source",MO_SPT_StockAverage_Sources,COLUMN(),FALSE),VLOOKUP(MO.DataSourceName,MO_SPT_StockAverage_Sources,COLUMN(),FALSE))</f>
        <v/>
      </c>
      <c r="AK1401" s="1714">
        <f>IF(OR(MO.RealTimeStockPriceToggle=FALSE,VLOOKUP(MO.DataSourceName,MO_SPT_StockAverage_Sources,COLUMN(),FALSE)="N/A"),VLOOKUP("Real-Time Off Source",MO_SPT_StockAverage_Sources,COLUMN(),FALSE),VLOOKUP(MO.DataSourceName,MO_SPT_StockAverage_Sources,COLUMN(),FALSE))</f>
        <v/>
      </c>
      <c r="AL1401" s="1714">
        <f>IF(OR(MO.RealTimeStockPriceToggle=FALSE,VLOOKUP(MO.DataSourceName,MO_SPT_StockAverage_Sources,COLUMN(),FALSE)="N/A"),VLOOKUP("Real-Time Off Source",MO_SPT_StockAverage_Sources,COLUMN(),FALSE),VLOOKUP(MO.DataSourceName,MO_SPT_StockAverage_Sources,COLUMN(),FALSE))</f>
        <v/>
      </c>
      <c r="AM1401" s="1714">
        <f>IF(OR(MO.RealTimeStockPriceToggle=FALSE,VLOOKUP(MO.DataSourceName,MO_SPT_StockAverage_Sources,COLUMN(),FALSE)="N/A"),VLOOKUP("Real-Time Off Source",MO_SPT_StockAverage_Sources,COLUMN(),FALSE),VLOOKUP(MO.DataSourceName,MO_SPT_StockAverage_Sources,COLUMN(),FALSE))</f>
        <v/>
      </c>
      <c r="AN1401" s="1714">
        <f>IF(OR(MO.RealTimeStockPriceToggle=FALSE,VLOOKUP(MO.DataSourceName,MO_SPT_StockAverage_Sources,COLUMN(),FALSE)="N/A"),VLOOKUP("Real-Time Off Source",MO_SPT_StockAverage_Sources,COLUMN(),FALSE),VLOOKUP(MO.DataSourceName,MO_SPT_StockAverage_Sources,COLUMN(),FALSE))</f>
        <v/>
      </c>
      <c r="AO1401" s="1714">
        <f>IF(OR(MO.RealTimeStockPriceToggle=FALSE,VLOOKUP(MO.DataSourceName,MO_SPT_StockAverage_Sources,COLUMN(),FALSE)="N/A"),VLOOKUP("Real-Time Off Source",MO_SPT_StockAverage_Sources,COLUMN(),FALSE),VLOOKUP(MO.DataSourceName,MO_SPT_StockAverage_Sources,COLUMN(),FALSE))</f>
        <v/>
      </c>
      <c r="AP1401" s="1714">
        <f>IF(OR(MO.RealTimeStockPriceToggle=FALSE,VLOOKUP(MO.DataSourceName,MO_SPT_StockAverage_Sources,COLUMN(),FALSE)="N/A"),VLOOKUP("Real-Time Off Source",MO_SPT_StockAverage_Sources,COLUMN(),FALSE),VLOOKUP(MO.DataSourceName,MO_SPT_StockAverage_Sources,COLUMN(),FALSE))</f>
        <v/>
      </c>
      <c r="AQ1401" s="1714">
        <f>IF(OR(MO.RealTimeStockPriceToggle=FALSE,VLOOKUP(MO.DataSourceName,MO_SPT_StockAverage_Sources,COLUMN(),FALSE)="N/A"),VLOOKUP("Real-Time Off Source",MO_SPT_StockAverage_Sources,COLUMN(),FALSE),VLOOKUP(MO.DataSourceName,MO_SPT_StockAverage_Sources,COLUMN(),FALSE))</f>
        <v/>
      </c>
      <c r="AR1401" s="1714">
        <f>IF(OR(MO.RealTimeStockPriceToggle=FALSE,VLOOKUP(MO.DataSourceName,MO_SPT_StockAverage_Sources,COLUMN(),FALSE)="N/A"),VLOOKUP("Real-Time Off Source",MO_SPT_StockAverage_Sources,COLUMN(),FALSE),VLOOKUP(MO.DataSourceName,MO_SPT_StockAverage_Sources,COLUMN(),FALSE))</f>
        <v/>
      </c>
      <c r="AS1401" s="1714">
        <f>IF(OR(MO.RealTimeStockPriceToggle=FALSE,VLOOKUP(MO.DataSourceName,MO_SPT_StockAverage_Sources,COLUMN(),FALSE)="N/A"),VLOOKUP("Real-Time Off Source",MO_SPT_StockAverage_Sources,COLUMN(),FALSE),VLOOKUP(MO.DataSourceName,MO_SPT_StockAverage_Sources,COLUMN(),FALSE))</f>
        <v/>
      </c>
      <c r="AT1401" s="1714">
        <f>IF(OR(MO.RealTimeStockPriceToggle=FALSE,VLOOKUP(MO.DataSourceName,MO_SPT_StockAverage_Sources,COLUMN(),FALSE)="N/A"),VLOOKUP("Real-Time Off Source",MO_SPT_StockAverage_Sources,COLUMN(),FALSE),VLOOKUP(MO.DataSourceName,MO_SPT_StockAverage_Sources,COLUMN(),FALSE))</f>
        <v/>
      </c>
      <c r="AU1401" s="1714">
        <f>IF(OR(MO.RealTimeStockPriceToggle=FALSE,VLOOKUP(MO.DataSourceName,MO_SPT_StockAverage_Sources,COLUMN(),FALSE)="N/A"),VLOOKUP("Real-Time Off Source",MO_SPT_StockAverage_Sources,COLUMN(),FALSE),VLOOKUP(MO.DataSourceName,MO_SPT_StockAverage_Sources,COLUMN(),FALSE))</f>
        <v/>
      </c>
      <c r="AV1401" s="1714">
        <f>IF(OR(MO.RealTimeStockPriceToggle=FALSE,VLOOKUP(MO.DataSourceName,MO_SPT_StockAverage_Sources,COLUMN(),FALSE)="N/A"),VLOOKUP("Real-Time Off Source",MO_SPT_StockAverage_Sources,COLUMN(),FALSE),VLOOKUP(MO.DataSourceName,MO_SPT_StockAverage_Sources,COLUMN(),FALSE))</f>
        <v/>
      </c>
      <c r="AW1401" s="1714">
        <f>IF(OR(MO.RealTimeStockPriceToggle=FALSE,VLOOKUP(MO.DataSourceName,MO_SPT_StockAverage_Sources,COLUMN(),FALSE)="N/A"),VLOOKUP("Real-Time Off Source",MO_SPT_StockAverage_Sources,COLUMN(),FALSE),VLOOKUP(MO.DataSourceName,MO_SPT_StockAverage_Sources,COLUMN(),FALSE))</f>
        <v/>
      </c>
      <c r="AX1401" s="1714">
        <f>IF(OR(MO.RealTimeStockPriceToggle=FALSE,VLOOKUP(MO.DataSourceName,MO_SPT_StockAverage_Sources,COLUMN(),FALSE)="N/A"),VLOOKUP("Real-Time Off Source",MO_SPT_StockAverage_Sources,COLUMN(),FALSE),VLOOKUP(MO.DataSourceName,MO_SPT_StockAverage_Sources,COLUMN(),FALSE))</f>
        <v/>
      </c>
      <c r="AY1401" s="1714">
        <f>IF(OR(MO.RealTimeStockPriceToggle=FALSE,VLOOKUP(MO.DataSourceName,MO_SPT_StockAverage_Sources,COLUMN(),FALSE)="N/A"),VLOOKUP("Real-Time Off Source",MO_SPT_StockAverage_Sources,COLUMN(),FALSE),VLOOKUP(MO.DataSourceName,MO_SPT_StockAverage_Sources,COLUMN(),FALSE))</f>
        <v/>
      </c>
      <c r="AZ1401" s="1714">
        <f>IF(OR(MO.RealTimeStockPriceToggle=FALSE,VLOOKUP(MO.DataSourceName,MO_SPT_StockAverage_Sources,COLUMN(),FALSE)="N/A"),VLOOKUP("Real-Time Off Source",MO_SPT_StockAverage_Sources,COLUMN(),FALSE),VLOOKUP(MO.DataSourceName,MO_SPT_StockAverage_Sources,COLUMN(),FALSE))</f>
        <v/>
      </c>
      <c r="BA1401" s="1714">
        <f>IF(OR(MO.RealTimeStockPriceToggle=FALSE,VLOOKUP(MO.DataSourceName,MO_SPT_StockAverage_Sources,COLUMN(),FALSE)="N/A"),VLOOKUP("Real-Time Off Source",MO_SPT_StockAverage_Sources,COLUMN(),FALSE),VLOOKUP(MO.DataSourceName,MO_SPT_StockAverage_Sources,COLUMN(),FALSE))</f>
        <v/>
      </c>
      <c r="BB1401" s="1714">
        <f>IF(OR(MO.RealTimeStockPriceToggle=FALSE,VLOOKUP(MO.DataSourceName,MO_SPT_StockAverage_Sources,COLUMN(),FALSE)="N/A"),VLOOKUP("Real-Time Off Source",MO_SPT_StockAverage_Sources,COLUMN(),FALSE),VLOOKUP(MO.DataSourceName,MO_SPT_StockAverage_Sources,COLUMN(),FALSE))</f>
        <v/>
      </c>
      <c r="BC1401" s="1714">
        <f>IF(OR(MO.RealTimeStockPriceToggle=FALSE,VLOOKUP(MO.DataSourceName,MO_SPT_StockAverage_Sources,COLUMN(),FALSE)="N/A"),VLOOKUP("Real-Time Off Source",MO_SPT_StockAverage_Sources,COLUMN(),FALSE),VLOOKUP(MO.DataSourceName,MO_SPT_StockAverage_Sources,COLUMN(),FALSE))</f>
        <v/>
      </c>
      <c r="BD1401" s="1714">
        <f>IF(OR(MO.RealTimeStockPriceToggle=FALSE,VLOOKUP(MO.DataSourceName,MO_SPT_StockAverage_Sources,COLUMN(),FALSE)="N/A"),VLOOKUP("Real-Time Off Source",MO_SPT_StockAverage_Sources,COLUMN(),FALSE),VLOOKUP(MO.DataSourceName,MO_SPT_StockAverage_Sources,COLUMN(),FALSE))</f>
        <v/>
      </c>
      <c r="BE1401" s="1714">
        <f>IF(OR(MO.RealTimeStockPriceToggle=FALSE,VLOOKUP(MO.DataSourceName,MO_SPT_StockAverage_Sources,COLUMN(),FALSE)="N/A"),VLOOKUP("Real-Time Off Source",MO_SPT_StockAverage_Sources,COLUMN(),FALSE),VLOOKUP(MO.DataSourceName,MO_SPT_StockAverage_Sources,COLUMN(),FALSE))</f>
        <v/>
      </c>
      <c r="BF1401" s="1714">
        <f>IF(OR(MO.RealTimeStockPriceToggle=FALSE,VLOOKUP(MO.DataSourceName,MO_SPT_StockAverage_Sources,COLUMN(),FALSE)="N/A"),VLOOKUP("Real-Time Off Source",MO_SPT_StockAverage_Sources,COLUMN(),FALSE),VLOOKUP(MO.DataSourceName,MO_SPT_StockAverage_Sources,COLUMN(),FALSE))</f>
        <v/>
      </c>
      <c r="BG1401" s="1714">
        <f>IF(OR(MO.RealTimeStockPriceToggle=FALSE,VLOOKUP(MO.DataSourceName,MO_SPT_StockAverage_Sources,COLUMN(),FALSE)="N/A"),VLOOKUP("Real-Time Off Source",MO_SPT_StockAverage_Sources,COLUMN(),FALSE),VLOOKUP(MO.DataSourceName,MO_SPT_StockAverage_Sources,COLUMN(),FALSE))</f>
        <v/>
      </c>
      <c r="BH1401" s="1714">
        <f>IF(OR(MO.RealTimeStockPriceToggle=FALSE,VLOOKUP(MO.DataSourceName,MO_SPT_StockAverage_Sources,COLUMN(),FALSE)="N/A"),VLOOKUP("Real-Time Off Source",MO_SPT_StockAverage_Sources,COLUMN(),FALSE),VLOOKUP(MO.DataSourceName,MO_SPT_StockAverage_Sources,COLUMN(),FALSE))</f>
        <v/>
      </c>
      <c r="BI1401" s="1714">
        <f>IF(OR(MO.RealTimeStockPriceToggle=FALSE,VLOOKUP(MO.DataSourceName,MO_SPT_StockAverage_Sources,COLUMN(),FALSE)="N/A"),VLOOKUP("Real-Time Off Source",MO_SPT_StockAverage_Sources,COLUMN(),FALSE),VLOOKUP(MO.DataSourceName,MO_SPT_StockAverage_Sources,COLUMN(),FALSE))</f>
        <v/>
      </c>
      <c r="BJ1401" s="1714">
        <f>IF(OR(MO.RealTimeStockPriceToggle=FALSE,VLOOKUP(MO.DataSourceName,MO_SPT_StockAverage_Sources,COLUMN(),FALSE)="N/A"),VLOOKUP("Real-Time Off Source",MO_SPT_StockAverage_Sources,COLUMN(),FALSE),VLOOKUP(MO.DataSourceName,MO_SPT_StockAverage_Sources,COLUMN(),FALSE))</f>
        <v/>
      </c>
      <c r="BK1401" s="1714">
        <f>IF(OR(MO.RealTimeStockPriceToggle=FALSE,VLOOKUP(MO.DataSourceName,MO_SPT_StockAverage_Sources,COLUMN(),FALSE)="N/A"),VLOOKUP("Real-Time Off Source",MO_SPT_StockAverage_Sources,COLUMN(),FALSE),VLOOKUP(MO.DataSourceName,MO_SPT_StockAverage_Sources,COLUMN(),FALSE))</f>
        <v/>
      </c>
      <c r="BL1401" s="1714">
        <f>IF(OR(MO.RealTimeStockPriceToggle=FALSE,VLOOKUP(MO.DataSourceName,MO_SPT_StockAverage_Sources,COLUMN(),FALSE)="N/A"),VLOOKUP("Real-Time Off Source",MO_SPT_StockAverage_Sources,COLUMN(),FALSE),VLOOKUP(MO.DataSourceName,MO_SPT_StockAverage_Sources,COLUMN(),FALSE))</f>
        <v/>
      </c>
      <c r="BM1401" s="1714">
        <f>IF(OR(MO.RealTimeStockPriceToggle=FALSE,VLOOKUP(MO.DataSourceName,MO_SPT_StockAverage_Sources,COLUMN(),FALSE)="N/A"),VLOOKUP("Real-Time Off Source",MO_SPT_StockAverage_Sources,COLUMN(),FALSE),VLOOKUP(MO.DataSourceName,MO_SPT_StockAverage_Sources,COLUMN(),FALSE))</f>
        <v/>
      </c>
      <c r="BN1401" s="1714">
        <f>IF(OR(MO.RealTimeStockPriceToggle=FALSE,VLOOKUP(MO.DataSourceName,MO_SPT_StockAverage_Sources,COLUMN(),FALSE)="N/A"),VLOOKUP("Real-Time Off Source",MO_SPT_StockAverage_Sources,COLUMN(),FALSE),VLOOKUP(MO.DataSourceName,MO_SPT_StockAverage_Sources,COLUMN(),FALSE))</f>
        <v/>
      </c>
      <c r="BO1401" s="1714">
        <f>IF(OR(MO.RealTimeStockPriceToggle=FALSE,VLOOKUP(MO.DataSourceName,MO_SPT_StockAverage_Sources,COLUMN(),FALSE)="N/A"),VLOOKUP("Real-Time Off Source",MO_SPT_StockAverage_Sources,COLUMN(),FALSE),VLOOKUP(MO.DataSourceName,MO_SPT_StockAverage_Sources,COLUMN(),FALSE))</f>
        <v/>
      </c>
      <c r="BP1401" s="1714">
        <f>IF(OR(MO.RealTimeStockPriceToggle=FALSE,VLOOKUP(MO.DataSourceName,MO_SPT_StockAverage_Sources,COLUMN(),FALSE)="N/A"),VLOOKUP("Real-Time Off Source",MO_SPT_StockAverage_Sources,COLUMN(),FALSE),VLOOKUP(MO.DataSourceName,MO_SPT_StockAverage_Sources,COLUMN(),FALSE))</f>
        <v/>
      </c>
      <c r="BQ1401" s="1717">
        <f>IF(OR(MO.RealTimeStockPriceToggle=FALSE,VLOOKUP(MO.DataSourceName,MO_SPT_StockAverage_Sources,COLUMN(),FALSE)="N/A"),VLOOKUP("Real-Time Off Source",MO_SPT_StockAverage_Sources,COLUMN(),FALSE),VLOOKUP(MO.DataSourceName,MO_SPT_StockAverage_Sources,COLUMN(),FALSE))</f>
        <v/>
      </c>
      <c r="BR1401" s="1714">
        <f>IF(OR(MO.RealTimeStockPriceToggle=FALSE,VLOOKUP(MO.DataSourceName,MO_SPT_StockAverage_Sources,COLUMN(),FALSE)="N/A"),VLOOKUP("Real-Time Off Source",MO_SPT_StockAverage_Sources,COLUMN(),FALSE),VLOOKUP(MO.DataSourceName,MO_SPT_StockAverage_Sources,COLUMN(),FALSE))</f>
        <v/>
      </c>
      <c r="BS1401" s="1714">
        <f>IF(OR(MO.RealTimeStockPriceToggle=FALSE,VLOOKUP(MO.DataSourceName,MO_SPT_StockAverage_Sources,COLUMN(),FALSE)="N/A"),VLOOKUP("Real-Time Off Source",MO_SPT_StockAverage_Sources,COLUMN(),FALSE),VLOOKUP(MO.DataSourceName,MO_SPT_StockAverage_Sources,COLUMN(),FALSE))</f>
        <v/>
      </c>
      <c r="BT1401" s="1714">
        <f>IF(OR(MO.RealTimeStockPriceToggle=FALSE,VLOOKUP(MO.DataSourceName,MO_SPT_StockAverage_Sources,COLUMN(),FALSE)="N/A"),VLOOKUP("Real-Time Off Source",MO_SPT_StockAverage_Sources,COLUMN(),FALSE),VLOOKUP(MO.DataSourceName,MO_SPT_StockAverage_Sources,COLUMN(),FALSE))</f>
        <v/>
      </c>
      <c r="BU1401" s="1714">
        <f>IF(OR(MO.RealTimeStockPriceToggle=FALSE,VLOOKUP(MO.DataSourceName,MO_SPT_StockAverage_Sources,COLUMN(),FALSE)="N/A"),VLOOKUP("Real-Time Off Source",MO_SPT_StockAverage_Sources,COLUMN(),FALSE),VLOOKUP(MO.DataSourceName,MO_SPT_StockAverage_Sources,COLUMN(),FALSE))</f>
        <v/>
      </c>
      <c r="BV1401" s="1714">
        <f>IF(OR(MO.RealTimeStockPriceToggle=FALSE,VLOOKUP(MO.DataSourceName,MO_SPT_StockAverage_Sources,COLUMN(),FALSE)="N/A"),VLOOKUP("Real-Time Off Source",MO_SPT_StockAverage_Sources,COLUMN(),FALSE),VLOOKUP(MO.DataSourceName,MO_SPT_StockAverage_Sources,COLUMN(),FALSE))</f>
        <v/>
      </c>
      <c r="BW1401" s="1714">
        <f>IF(OR(MO.RealTimeStockPriceToggle=FALSE,VLOOKUP(MO.DataSourceName,MO_SPT_StockAverage_Sources,COLUMN(),FALSE)="N/A"),VLOOKUP("Real-Time Off Source",MO_SPT_StockAverage_Sources,COLUMN(),FALSE),VLOOKUP(MO.DataSourceName,MO_SPT_StockAverage_Sources,COLUMN(),FALSE))</f>
        <v/>
      </c>
      <c r="BX1401" s="1714">
        <f>IF(OR(MO.RealTimeStockPriceToggle=FALSE,VLOOKUP(MO.DataSourceName,MO_SPT_StockAverage_Sources,COLUMN(),FALSE)="N/A"),VLOOKUP("Real-Time Off Source",MO_SPT_StockAverage_Sources,COLUMN(),FALSE),VLOOKUP(MO.DataSourceName,MO_SPT_StockAverage_Sources,COLUMN(),FALSE))</f>
        <v/>
      </c>
      <c r="BY1401" s="1714">
        <f>IF(OR(MO.RealTimeStockPriceToggle=FALSE,VLOOKUP(MO.DataSourceName,MO_SPT_StockAverage_Sources,COLUMN(),FALSE)="N/A"),VLOOKUP("Real-Time Off Source",MO_SPT_StockAverage_Sources,COLUMN(),FALSE),VLOOKUP(MO.DataSourceName,MO_SPT_StockAverage_Sources,COLUMN(),FALSE))</f>
        <v/>
      </c>
      <c r="BZ1401" s="1714">
        <f>IF(OR(MO.RealTimeStockPriceToggle=FALSE,VLOOKUP(MO.DataSourceName,MO_SPT_StockAverage_Sources,COLUMN(),FALSE)="N/A"),VLOOKUP("Real-Time Off Source",MO_SPT_StockAverage_Sources,COLUMN(),FALSE),VLOOKUP(MO.DataSourceName,MO_SPT_StockAverage_Sources,COLUMN(),FALSE))</f>
        <v/>
      </c>
      <c r="CA1401" s="2037">
        <f>IF(OR(MO.RealTimeStockPriceToggle=FALSE,VLOOKUP(MO.DataSourceName,MO_SPT_StockAverage_Sources,COLUMN(),FALSE)="N/A"),VLOOKUP("Real-Time Off Source",MO_SPT_StockAverage_Sources,COLUMN(),FALSE),VLOOKUP(MO.DataSourceName,MO_SPT_StockAverage_Sources,COLUMN(),FALSE))</f>
        <v/>
      </c>
      <c r="CB1401" s="2038" t="n"/>
    </row>
    <row r="1402" hidden="1" outlineLevel="1" ht="14.4" customFormat="1" customHeight="1" s="1905">
      <c r="A1402" s="2039" t="inlineStr">
        <is>
          <t>Real-Time Off Source</t>
        </is>
      </c>
      <c r="B1402" s="1714" t="n"/>
      <c r="C1402" s="2040" t="n">
        <v>5.5975</v>
      </c>
      <c r="D1402" s="2040" t="n">
        <v>6.90625</v>
      </c>
      <c r="E1402" s="2040" t="n">
        <v>9.73625</v>
      </c>
      <c r="F1402" s="2040" t="n">
        <v>11.77125</v>
      </c>
      <c r="G1402" s="2040" t="n">
        <v>13.69</v>
      </c>
      <c r="H1402" s="1754" t="n">
        <v>13.825</v>
      </c>
      <c r="I1402" s="1754" t="n">
        <v>14.545</v>
      </c>
      <c r="J1402" s="1754" t="n">
        <v>13.635</v>
      </c>
      <c r="K1402" s="1754" t="n">
        <v>13.92375</v>
      </c>
      <c r="L1402" s="1754" t="n">
        <v>14.92</v>
      </c>
      <c r="M1402" s="1754" t="n">
        <v>15.59</v>
      </c>
      <c r="N1402" s="1754" t="n">
        <v>17.25</v>
      </c>
      <c r="O1402" s="1754" t="n">
        <v>17.52</v>
      </c>
      <c r="P1402" s="1754" t="n">
        <v>16.32</v>
      </c>
      <c r="Q1402" s="1754" t="n">
        <v>17.69</v>
      </c>
      <c r="R1402" s="1754" t="n">
        <v>19.14</v>
      </c>
      <c r="S1402" s="1754" t="n">
        <v>19.995</v>
      </c>
      <c r="T1402" s="1754" t="n">
        <v>21.325</v>
      </c>
      <c r="U1402" s="1754" t="n">
        <v>19.5375</v>
      </c>
      <c r="V1402" s="1754" t="n">
        <v>26.075</v>
      </c>
      <c r="W1402" s="1754" t="n">
        <v>25.035</v>
      </c>
      <c r="X1402" s="1754" t="n">
        <v>24.14</v>
      </c>
      <c r="Y1402" s="1754" t="n">
        <v>21.035</v>
      </c>
      <c r="Z1402" s="1754" t="n">
        <v>24.07125</v>
      </c>
      <c r="AA1402" s="1754" t="n">
        <v>28.715</v>
      </c>
      <c r="AB1402" s="1754" t="n">
        <v>33.25</v>
      </c>
      <c r="AC1402" s="1754" t="n">
        <v>36.17</v>
      </c>
      <c r="AD1402" s="1754" t="n">
        <v>42.62</v>
      </c>
      <c r="AE1402" s="1754" t="n">
        <v>35.18875</v>
      </c>
      <c r="AF1402" s="1754" t="n">
        <v>40.7759016393443</v>
      </c>
      <c r="AG1402" s="1754" t="n">
        <v>41.12078125</v>
      </c>
      <c r="AH1402" s="1754" t="n">
        <v>45.515873015873</v>
      </c>
      <c r="AI1402" s="1754" t="n">
        <v>43.4177777777778</v>
      </c>
      <c r="AJ1402" s="1754" t="n">
        <v>42.7166533864542</v>
      </c>
      <c r="AK1402" s="1754" t="n">
        <v>52.9760655737705</v>
      </c>
      <c r="AL1402" s="1754" t="n">
        <v>66.85301587301581</v>
      </c>
      <c r="AM1402" s="1754" t="n">
        <v>70.32734375</v>
      </c>
      <c r="AN1402" s="1754" t="n">
        <v>67.0571875</v>
      </c>
      <c r="AO1402" s="1754" t="n">
        <v>64.4281349206349</v>
      </c>
      <c r="AP1402" s="1754" t="n">
        <v>69.3712096774194</v>
      </c>
      <c r="AQ1402" s="1754" t="n">
        <v>83.7050793650794</v>
      </c>
      <c r="AR1402" s="1754" t="n">
        <v>105.3090625</v>
      </c>
      <c r="AS1402" s="1754" t="n">
        <v>117.29765625</v>
      </c>
      <c r="AT1402" s="1754" t="n">
        <v>94.1551976284585</v>
      </c>
      <c r="AU1402" s="1754" t="n">
        <v>134.174918032787</v>
      </c>
      <c r="AV1402" s="1754" t="n">
        <v>132.545793650794</v>
      </c>
      <c r="AW1402" s="1754" t="n">
        <v>152.38921875</v>
      </c>
      <c r="AX1402" s="1754" t="n">
        <v>174.31875</v>
      </c>
      <c r="AY1402" s="1754" t="n">
        <v>148.577678571429</v>
      </c>
      <c r="AZ1402" s="1754" t="n">
        <v>153.408064516129</v>
      </c>
      <c r="BA1402" s="1754" t="n">
        <v>150.987096774194</v>
      </c>
      <c r="BB1402" s="1754" t="n">
        <v>171.95921875</v>
      </c>
      <c r="BC1402" s="1754" t="n">
        <v>159.856904761905</v>
      </c>
      <c r="BD1402" s="1754" t="n">
        <v>159.158864541833</v>
      </c>
      <c r="BE1402" s="1754" t="n">
        <v>189.139516129032</v>
      </c>
      <c r="BF1402" s="1754" t="n">
        <v>217.630967741935</v>
      </c>
      <c r="BG1402" s="1754" t="n">
        <v>234.055873015873</v>
      </c>
      <c r="BH1402" s="1754" t="n">
        <v>257.66126984127</v>
      </c>
      <c r="BI1402" s="1754" t="n">
        <v>224.7918</v>
      </c>
      <c r="BJ1402" s="1754" t="n">
        <v>295.785245901639</v>
      </c>
      <c r="BK1402" s="1754" t="n">
        <v>296.078253968254</v>
      </c>
      <c r="BL1402" s="1754" t="n">
        <v>276.4615625</v>
      </c>
      <c r="BM1402" s="1754" t="n">
        <v>290.701484375</v>
      </c>
      <c r="BN1402" s="1754" t="n">
        <v>289.659781746032</v>
      </c>
      <c r="BO1402" s="1754" t="n">
        <v>278.086916666667</v>
      </c>
      <c r="BP1402" s="1754" t="n">
        <v>290.759838709677</v>
      </c>
      <c r="BQ1402" s="2041" t="n">
        <v>344.025859375</v>
      </c>
      <c r="BR1402" s="1714" t="n"/>
      <c r="BS1402" s="1714" t="n"/>
      <c r="BT1402" s="1714" t="n"/>
      <c r="BU1402" s="1714" t="n"/>
      <c r="BV1402" s="1714" t="n"/>
      <c r="BW1402" s="1714" t="n"/>
      <c r="BX1402" s="1714" t="n"/>
      <c r="BY1402" s="1714" t="n"/>
      <c r="BZ1402" s="1714" t="n"/>
      <c r="CA1402" s="2037" t="n"/>
      <c r="CB1402" s="2038" t="n"/>
    </row>
    <row r="1403" hidden="1" outlineLevel="1" ht="14.4" customFormat="1" customHeight="1" s="1905">
      <c r="A1403" s="2039" t="inlineStr">
        <is>
          <t>Bloomberg</t>
        </is>
      </c>
      <c r="B1403" s="1714" t="n"/>
      <c r="C1403" s="2036">
        <f>IFERROR(BDP(MO.Ticker.Bloomberg&amp;" Equity","INTERVAL_AVG","MARKET_DATA_OVERRIDE=PX_LAST","START_DATE_OVERRIDE",TEXT(INDEX(MO_SNA_FPStartDate,0,COLUMN()),"YYYYMMDD"),"END_DATE_OVERRIDE",TEXT(INDEX(MO_Common_QEndDate,0,COLUMN()),"YYYYMMDD")),"N/A")</f>
        <v/>
      </c>
      <c r="D1403" s="2036">
        <f>IFERROR(BDP(MO.Ticker.Bloomberg&amp;" Equity","INTERVAL_AVG","MARKET_DATA_OVERRIDE=PX_LAST","START_DATE_OVERRIDE",TEXT(INDEX(MO_SNA_FPStartDate,0,COLUMN()),"YYYYMMDD"),"END_DATE_OVERRIDE",TEXT(INDEX(MO_Common_QEndDate,0,COLUMN()),"YYYYMMDD")),"N/A")</f>
        <v/>
      </c>
      <c r="E1403" s="2036">
        <f>IFERROR(BDP(MO.Ticker.Bloomberg&amp;" Equity","INTERVAL_AVG","MARKET_DATA_OVERRIDE=PX_LAST","START_DATE_OVERRIDE",TEXT(INDEX(MO_SNA_FPStartDate,0,COLUMN()),"YYYYMMDD"),"END_DATE_OVERRIDE",TEXT(INDEX(MO_Common_QEndDate,0,COLUMN()),"YYYYMMDD")),"N/A")</f>
        <v/>
      </c>
      <c r="F1403" s="2036">
        <f>IFERROR(BDP(MO.Ticker.Bloomberg&amp;" Equity","INTERVAL_AVG","MARKET_DATA_OVERRIDE=PX_LAST","START_DATE_OVERRIDE",TEXT(INDEX(MO_SNA_FPStartDate,0,COLUMN()),"YYYYMMDD"),"END_DATE_OVERRIDE",TEXT(INDEX(MO_Common_QEndDate,0,COLUMN()),"YYYYMMDD")),"N/A")</f>
        <v/>
      </c>
      <c r="G1403" s="2036">
        <f>IFERROR(BDP(MO.Ticker.Bloomberg&amp;" Equity","INTERVAL_AVG","MARKET_DATA_OVERRIDE=PX_LAST","START_DATE_OVERRIDE",TEXT(INDEX(MO_SNA_FPStartDate,0,COLUMN()),"YYYYMMDD"),"END_DATE_OVERRIDE",TEXT(INDEX(MO_Common_QEndDate,0,COLUMN()),"YYYYMMDD")),"N/A")</f>
        <v/>
      </c>
      <c r="H1403" s="1714">
        <f>IFERROR(BDP(MO.Ticker.Bloomberg&amp;" Equity","INTERVAL_AVG","MARKET_DATA_OVERRIDE=PX_LAST","START_DATE_OVERRIDE",TEXT(INDEX(MO_SNA_FPStartDate,0,COLUMN()),"YYYYMMDD"),"END_DATE_OVERRIDE",TEXT(INDEX(MO_Common_QEndDate,0,COLUMN()),"YYYYMMDD")),"N/A")</f>
        <v/>
      </c>
      <c r="I1403" s="1714">
        <f>IFERROR(BDP(MO.Ticker.Bloomberg&amp;" Equity","INTERVAL_AVG","MARKET_DATA_OVERRIDE=PX_LAST","START_DATE_OVERRIDE",TEXT(INDEX(MO_SNA_FPStartDate,0,COLUMN()),"YYYYMMDD"),"END_DATE_OVERRIDE",TEXT(INDEX(MO_Common_QEndDate,0,COLUMN()),"YYYYMMDD")),"N/A")</f>
        <v/>
      </c>
      <c r="J1403" s="1714">
        <f>IFERROR(BDP(MO.Ticker.Bloomberg&amp;" Equity","INTERVAL_AVG","MARKET_DATA_OVERRIDE=PX_LAST","START_DATE_OVERRIDE",TEXT(INDEX(MO_SNA_FPStartDate,0,COLUMN()),"YYYYMMDD"),"END_DATE_OVERRIDE",TEXT(INDEX(MO_Common_QEndDate,0,COLUMN()),"YYYYMMDD")),"N/A")</f>
        <v/>
      </c>
      <c r="K1403" s="1714">
        <f>IFERROR(BDP(MO.Ticker.Bloomberg&amp;" Equity","INTERVAL_AVG","MARKET_DATA_OVERRIDE=PX_LAST","START_DATE_OVERRIDE",TEXT(INDEX(MO_SNA_FPStartDate,0,COLUMN()),"YYYYMMDD"),"END_DATE_OVERRIDE",TEXT(INDEX(MO_Common_QEndDate,0,COLUMN()),"YYYYMMDD")),"N/A")</f>
        <v/>
      </c>
      <c r="L1403" s="1714">
        <f>IFERROR(BDP(MO.Ticker.Bloomberg&amp;" Equity","INTERVAL_AVG","MARKET_DATA_OVERRIDE=PX_LAST","START_DATE_OVERRIDE",TEXT(INDEX(MO_SNA_FPStartDate,0,COLUMN()),"YYYYMMDD"),"END_DATE_OVERRIDE",TEXT(INDEX(MO_Common_QEndDate,0,COLUMN()),"YYYYMMDD")),"N/A")</f>
        <v/>
      </c>
      <c r="M1403" s="1714">
        <f>IFERROR(BDP(MO.Ticker.Bloomberg&amp;" Equity","INTERVAL_AVG","MARKET_DATA_OVERRIDE=PX_LAST","START_DATE_OVERRIDE",TEXT(INDEX(MO_SNA_FPStartDate,0,COLUMN()),"YYYYMMDD"),"END_DATE_OVERRIDE",TEXT(INDEX(MO_Common_QEndDate,0,COLUMN()),"YYYYMMDD")),"N/A")</f>
        <v/>
      </c>
      <c r="N1403" s="1714">
        <f>IFERROR(BDP(MO.Ticker.Bloomberg&amp;" Equity","INTERVAL_AVG","MARKET_DATA_OVERRIDE=PX_LAST","START_DATE_OVERRIDE",TEXT(INDEX(MO_SNA_FPStartDate,0,COLUMN()),"YYYYMMDD"),"END_DATE_OVERRIDE",TEXT(INDEX(MO_Common_QEndDate,0,COLUMN()),"YYYYMMDD")),"N/A")</f>
        <v/>
      </c>
      <c r="O1403" s="1714">
        <f>IFERROR(BDP(MO.Ticker.Bloomberg&amp;" Equity","INTERVAL_AVG","MARKET_DATA_OVERRIDE=PX_LAST","START_DATE_OVERRIDE",TEXT(INDEX(MO_SNA_FPStartDate,0,COLUMN()),"YYYYMMDD"),"END_DATE_OVERRIDE",TEXT(INDEX(MO_Common_QEndDate,0,COLUMN()),"YYYYMMDD")),"N/A")</f>
        <v/>
      </c>
      <c r="P1403" s="1714">
        <f>IFERROR(BDP(MO.Ticker.Bloomberg&amp;" Equity","INTERVAL_AVG","MARKET_DATA_OVERRIDE=PX_LAST","START_DATE_OVERRIDE",TEXT(INDEX(MO_SNA_FPStartDate,0,COLUMN()),"YYYYMMDD"),"END_DATE_OVERRIDE",TEXT(INDEX(MO_Common_QEndDate,0,COLUMN()),"YYYYMMDD")),"N/A")</f>
        <v/>
      </c>
      <c r="Q1403" s="1714">
        <f>IFERROR(BDP(MO.Ticker.Bloomberg&amp;" Equity","INTERVAL_AVG","MARKET_DATA_OVERRIDE=PX_LAST","START_DATE_OVERRIDE",TEXT(INDEX(MO_SNA_FPStartDate,0,COLUMN()),"YYYYMMDD"),"END_DATE_OVERRIDE",TEXT(INDEX(MO_Common_QEndDate,0,COLUMN()),"YYYYMMDD")),"N/A")</f>
        <v/>
      </c>
      <c r="R1403" s="1714">
        <f>IFERROR(BDP(MO.Ticker.Bloomberg&amp;" Equity","INTERVAL_AVG","MARKET_DATA_OVERRIDE=PX_LAST","START_DATE_OVERRIDE",TEXT(INDEX(MO_SNA_FPStartDate,0,COLUMN()),"YYYYMMDD"),"END_DATE_OVERRIDE",TEXT(INDEX(MO_Common_QEndDate,0,COLUMN()),"YYYYMMDD")),"N/A")</f>
        <v/>
      </c>
      <c r="S1403" s="1714">
        <f>IFERROR(BDP(MO.Ticker.Bloomberg&amp;" Equity","INTERVAL_AVG","MARKET_DATA_OVERRIDE=PX_LAST","START_DATE_OVERRIDE",TEXT(INDEX(MO_SNA_FPStartDate,0,COLUMN()),"YYYYMMDD"),"END_DATE_OVERRIDE",TEXT(INDEX(MO_Common_QEndDate,0,COLUMN()),"YYYYMMDD")),"N/A")</f>
        <v/>
      </c>
      <c r="T1403" s="1714">
        <f>IFERROR(BDP(MO.Ticker.Bloomberg&amp;" Equity","INTERVAL_AVG","MARKET_DATA_OVERRIDE=PX_LAST","START_DATE_OVERRIDE",TEXT(INDEX(MO_SNA_FPStartDate,0,COLUMN()),"YYYYMMDD"),"END_DATE_OVERRIDE",TEXT(INDEX(MO_Common_QEndDate,0,COLUMN()),"YYYYMMDD")),"N/A")</f>
        <v/>
      </c>
      <c r="U1403" s="1714">
        <f>IFERROR(BDP(MO.Ticker.Bloomberg&amp;" Equity","INTERVAL_AVG","MARKET_DATA_OVERRIDE=PX_LAST","START_DATE_OVERRIDE",TEXT(INDEX(MO_SNA_FPStartDate,0,COLUMN()),"YYYYMMDD"),"END_DATE_OVERRIDE",TEXT(INDEX(MO_Common_QEndDate,0,COLUMN()),"YYYYMMDD")),"N/A")</f>
        <v/>
      </c>
      <c r="V1403" s="1714">
        <f>IFERROR(BDP(MO.Ticker.Bloomberg&amp;" Equity","INTERVAL_AVG","MARKET_DATA_OVERRIDE=PX_LAST","START_DATE_OVERRIDE",TEXT(INDEX(MO_SNA_FPStartDate,0,COLUMN()),"YYYYMMDD"),"END_DATE_OVERRIDE",TEXT(INDEX(MO_Common_QEndDate,0,COLUMN()),"YYYYMMDD")),"N/A")</f>
        <v/>
      </c>
      <c r="W1403" s="1714">
        <f>IFERROR(BDP(MO.Ticker.Bloomberg&amp;" Equity","INTERVAL_AVG","MARKET_DATA_OVERRIDE=PX_LAST","START_DATE_OVERRIDE",TEXT(INDEX(MO_SNA_FPStartDate,0,COLUMN()),"YYYYMMDD"),"END_DATE_OVERRIDE",TEXT(INDEX(MO_Common_QEndDate,0,COLUMN()),"YYYYMMDD")),"N/A")</f>
        <v/>
      </c>
      <c r="X1403" s="1714">
        <f>IFERROR(BDP(MO.Ticker.Bloomberg&amp;" Equity","INTERVAL_AVG","MARKET_DATA_OVERRIDE=PX_LAST","START_DATE_OVERRIDE",TEXT(INDEX(MO_SNA_FPStartDate,0,COLUMN()),"YYYYMMDD"),"END_DATE_OVERRIDE",TEXT(INDEX(MO_Common_QEndDate,0,COLUMN()),"YYYYMMDD")),"N/A")</f>
        <v/>
      </c>
      <c r="Y1403" s="1714">
        <f>IFERROR(BDP(MO.Ticker.Bloomberg&amp;" Equity","INTERVAL_AVG","MARKET_DATA_OVERRIDE=PX_LAST","START_DATE_OVERRIDE",TEXT(INDEX(MO_SNA_FPStartDate,0,COLUMN()),"YYYYMMDD"),"END_DATE_OVERRIDE",TEXT(INDEX(MO_Common_QEndDate,0,COLUMN()),"YYYYMMDD")),"N/A")</f>
        <v/>
      </c>
      <c r="Z1403" s="1714">
        <f>IFERROR(BDP(MO.Ticker.Bloomberg&amp;" Equity","INTERVAL_AVG","MARKET_DATA_OVERRIDE=PX_LAST","START_DATE_OVERRIDE",TEXT(INDEX(MO_SNA_FPStartDate,0,COLUMN()),"YYYYMMDD"),"END_DATE_OVERRIDE",TEXT(INDEX(MO_Common_QEndDate,0,COLUMN()),"YYYYMMDD")),"N/A")</f>
        <v/>
      </c>
      <c r="AA1403" s="1714">
        <f>IFERROR(BDP(MO.Ticker.Bloomberg&amp;" Equity","INTERVAL_AVG","MARKET_DATA_OVERRIDE=PX_LAST","START_DATE_OVERRIDE",TEXT(INDEX(MO_SNA_FPStartDate,0,COLUMN()),"YYYYMMDD"),"END_DATE_OVERRIDE",TEXT(INDEX(MO_Common_QEndDate,0,COLUMN()),"YYYYMMDD")),"N/A")</f>
        <v/>
      </c>
      <c r="AB1403" s="1714">
        <f>IFERROR(BDP(MO.Ticker.Bloomberg&amp;" Equity","INTERVAL_AVG","MARKET_DATA_OVERRIDE=PX_LAST","START_DATE_OVERRIDE",TEXT(INDEX(MO_SNA_FPStartDate,0,COLUMN()),"YYYYMMDD"),"END_DATE_OVERRIDE",TEXT(INDEX(MO_Common_QEndDate,0,COLUMN()),"YYYYMMDD")),"N/A")</f>
        <v/>
      </c>
      <c r="AC1403" s="1714">
        <f>IFERROR(BDP(MO.Ticker.Bloomberg&amp;" Equity","INTERVAL_AVG","MARKET_DATA_OVERRIDE=PX_LAST","START_DATE_OVERRIDE",TEXT(INDEX(MO_SNA_FPStartDate,0,COLUMN()),"YYYYMMDD"),"END_DATE_OVERRIDE",TEXT(INDEX(MO_Common_QEndDate,0,COLUMN()),"YYYYMMDD")),"N/A")</f>
        <v/>
      </c>
      <c r="AD1403" s="1714">
        <f>IFERROR(BDP(MO.Ticker.Bloomberg&amp;" Equity","INTERVAL_AVG","MARKET_DATA_OVERRIDE=PX_LAST","START_DATE_OVERRIDE",TEXT(INDEX(MO_SNA_FPStartDate,0,COLUMN()),"YYYYMMDD"),"END_DATE_OVERRIDE",TEXT(INDEX(MO_Common_QEndDate,0,COLUMN()),"YYYYMMDD")),"N/A")</f>
        <v/>
      </c>
      <c r="AE1403" s="1714">
        <f>IFERROR(BDP(MO.Ticker.Bloomberg&amp;" Equity","INTERVAL_AVG","MARKET_DATA_OVERRIDE=PX_LAST","START_DATE_OVERRIDE",TEXT(INDEX(MO_SNA_FPStartDate,0,COLUMN()),"YYYYMMDD"),"END_DATE_OVERRIDE",TEXT(INDEX(MO_Common_QEndDate,0,COLUMN()),"YYYYMMDD")),"N/A")</f>
        <v/>
      </c>
      <c r="AF1403" s="1714">
        <f>IFERROR(BDP(MO.Ticker.Bloomberg&amp;" Equity","INTERVAL_AVG","MARKET_DATA_OVERRIDE=PX_LAST","START_DATE_OVERRIDE",TEXT(INDEX(MO_SNA_FPStartDate,0,COLUMN()),"YYYYMMDD"),"END_DATE_OVERRIDE",TEXT(INDEX(MO_Common_QEndDate,0,COLUMN()),"YYYYMMDD")),"N/A")</f>
        <v/>
      </c>
      <c r="AG1403" s="1714">
        <f>IFERROR(BDP(MO.Ticker.Bloomberg&amp;" Equity","INTERVAL_AVG","MARKET_DATA_OVERRIDE=PX_LAST","START_DATE_OVERRIDE",TEXT(INDEX(MO_SNA_FPStartDate,0,COLUMN()),"YYYYMMDD"),"END_DATE_OVERRIDE",TEXT(INDEX(MO_Common_QEndDate,0,COLUMN()),"YYYYMMDD")),"N/A")</f>
        <v/>
      </c>
      <c r="AH1403" s="1714">
        <f>IFERROR(BDP(MO.Ticker.Bloomberg&amp;" Equity","INTERVAL_AVG","MARKET_DATA_OVERRIDE=PX_LAST","START_DATE_OVERRIDE",TEXT(INDEX(MO_SNA_FPStartDate,0,COLUMN()),"YYYYMMDD"),"END_DATE_OVERRIDE",TEXT(INDEX(MO_Common_QEndDate,0,COLUMN()),"YYYYMMDD")),"N/A")</f>
        <v/>
      </c>
      <c r="AI1403" s="1714">
        <f>IFERROR(BDP(MO.Ticker.Bloomberg&amp;" Equity","INTERVAL_AVG","MARKET_DATA_OVERRIDE=PX_LAST","START_DATE_OVERRIDE",TEXT(INDEX(MO_SNA_FPStartDate,0,COLUMN()),"YYYYMMDD"),"END_DATE_OVERRIDE",TEXT(INDEX(MO_Common_QEndDate,0,COLUMN()),"YYYYMMDD")),"N/A")</f>
        <v/>
      </c>
      <c r="AJ1403" s="1714">
        <f>IFERROR(BDP(MO.Ticker.Bloomberg&amp;" Equity","INTERVAL_AVG","MARKET_DATA_OVERRIDE=PX_LAST","START_DATE_OVERRIDE",TEXT(INDEX(MO_SNA_FPStartDate,0,COLUMN()),"YYYYMMDD"),"END_DATE_OVERRIDE",TEXT(INDEX(MO_Common_QEndDate,0,COLUMN()),"YYYYMMDD")),"N/A")</f>
        <v/>
      </c>
      <c r="AK1403" s="1714">
        <f>IFERROR(BDP(MO.Ticker.Bloomberg&amp;" Equity","INTERVAL_AVG","MARKET_DATA_OVERRIDE=PX_LAST","START_DATE_OVERRIDE",TEXT(INDEX(MO_SNA_FPStartDate,0,COLUMN()),"YYYYMMDD"),"END_DATE_OVERRIDE",TEXT(INDEX(MO_Common_QEndDate,0,COLUMN()),"YYYYMMDD")),"N/A")</f>
        <v/>
      </c>
      <c r="AL1403" s="1714">
        <f>IFERROR(BDP(MO.Ticker.Bloomberg&amp;" Equity","INTERVAL_AVG","MARKET_DATA_OVERRIDE=PX_LAST","START_DATE_OVERRIDE",TEXT(INDEX(MO_SNA_FPStartDate,0,COLUMN()),"YYYYMMDD"),"END_DATE_OVERRIDE",TEXT(INDEX(MO_Common_QEndDate,0,COLUMN()),"YYYYMMDD")),"N/A")</f>
        <v/>
      </c>
      <c r="AM1403" s="1714">
        <f>IFERROR(BDP(MO.Ticker.Bloomberg&amp;" Equity","INTERVAL_AVG","MARKET_DATA_OVERRIDE=PX_LAST","START_DATE_OVERRIDE",TEXT(INDEX(MO_SNA_FPStartDate,0,COLUMN()),"YYYYMMDD"),"END_DATE_OVERRIDE",TEXT(INDEX(MO_Common_QEndDate,0,COLUMN()),"YYYYMMDD")),"N/A")</f>
        <v/>
      </c>
      <c r="AN1403" s="1714">
        <f>IFERROR(BDP(MO.Ticker.Bloomberg&amp;" Equity","INTERVAL_AVG","MARKET_DATA_OVERRIDE=PX_LAST","START_DATE_OVERRIDE",TEXT(INDEX(MO_SNA_FPStartDate,0,COLUMN()),"YYYYMMDD"),"END_DATE_OVERRIDE",TEXT(INDEX(MO_Common_QEndDate,0,COLUMN()),"YYYYMMDD")),"N/A")</f>
        <v/>
      </c>
      <c r="AO1403" s="1714">
        <f>IFERROR(BDP(MO.Ticker.Bloomberg&amp;" Equity","INTERVAL_AVG","MARKET_DATA_OVERRIDE=PX_LAST","START_DATE_OVERRIDE",TEXT(INDEX(MO_SNA_FPStartDate,0,COLUMN()),"YYYYMMDD"),"END_DATE_OVERRIDE",TEXT(INDEX(MO_Common_QEndDate,0,COLUMN()),"YYYYMMDD")),"N/A")</f>
        <v/>
      </c>
      <c r="AP1403" s="1714">
        <f>IFERROR(BDP(MO.Ticker.Bloomberg&amp;" Equity","INTERVAL_AVG","MARKET_DATA_OVERRIDE=PX_LAST","START_DATE_OVERRIDE",TEXT(INDEX(MO_SNA_FPStartDate,0,COLUMN()),"YYYYMMDD"),"END_DATE_OVERRIDE",TEXT(INDEX(MO_Common_QEndDate,0,COLUMN()),"YYYYMMDD")),"N/A")</f>
        <v/>
      </c>
      <c r="AQ1403" s="1714">
        <f>IFERROR(BDP(MO.Ticker.Bloomberg&amp;" Equity","INTERVAL_AVG","MARKET_DATA_OVERRIDE=PX_LAST","START_DATE_OVERRIDE",TEXT(INDEX(MO_SNA_FPStartDate,0,COLUMN()),"YYYYMMDD"),"END_DATE_OVERRIDE",TEXT(INDEX(MO_Common_QEndDate,0,COLUMN()),"YYYYMMDD")),"N/A")</f>
        <v/>
      </c>
      <c r="AR1403" s="1714">
        <f>IFERROR(BDP(MO.Ticker.Bloomberg&amp;" Equity","INTERVAL_AVG","MARKET_DATA_OVERRIDE=PX_LAST","START_DATE_OVERRIDE",TEXT(INDEX(MO_SNA_FPStartDate,0,COLUMN()),"YYYYMMDD"),"END_DATE_OVERRIDE",TEXT(INDEX(MO_Common_QEndDate,0,COLUMN()),"YYYYMMDD")),"N/A")</f>
        <v/>
      </c>
      <c r="AS1403" s="1714">
        <f>IFERROR(BDP(MO.Ticker.Bloomberg&amp;" Equity","INTERVAL_AVG","MARKET_DATA_OVERRIDE=PX_LAST","START_DATE_OVERRIDE",TEXT(INDEX(MO_SNA_FPStartDate,0,COLUMN()),"YYYYMMDD"),"END_DATE_OVERRIDE",TEXT(INDEX(MO_Common_QEndDate,0,COLUMN()),"YYYYMMDD")),"N/A")</f>
        <v/>
      </c>
      <c r="AT1403" s="1714">
        <f>IFERROR(BDP(MO.Ticker.Bloomberg&amp;" Equity","INTERVAL_AVG","MARKET_DATA_OVERRIDE=PX_LAST","START_DATE_OVERRIDE",TEXT(INDEX(MO_SNA_FPStartDate,0,COLUMN()),"YYYYMMDD"),"END_DATE_OVERRIDE",TEXT(INDEX(MO_Common_QEndDate,0,COLUMN()),"YYYYMMDD")),"N/A")</f>
        <v/>
      </c>
      <c r="AU1403" s="1714">
        <f>IFERROR(BDP(MO.Ticker.Bloomberg&amp;" Equity","INTERVAL_AVG","MARKET_DATA_OVERRIDE=PX_LAST","START_DATE_OVERRIDE",TEXT(INDEX(MO_SNA_FPStartDate,0,COLUMN()),"YYYYMMDD"),"END_DATE_OVERRIDE",TEXT(INDEX(MO_Common_QEndDate,0,COLUMN()),"YYYYMMDD")),"N/A")</f>
        <v/>
      </c>
      <c r="AV1403" s="1714">
        <f>IFERROR(BDP(MO.Ticker.Bloomberg&amp;" Equity","INTERVAL_AVG","MARKET_DATA_OVERRIDE=PX_LAST","START_DATE_OVERRIDE",TEXT(INDEX(MO_SNA_FPStartDate,0,COLUMN()),"YYYYMMDD"),"END_DATE_OVERRIDE",TEXT(INDEX(MO_Common_QEndDate,0,COLUMN()),"YYYYMMDD")),"N/A")</f>
        <v/>
      </c>
      <c r="AW1403" s="1714">
        <f>IFERROR(BDP(MO.Ticker.Bloomberg&amp;" Equity","INTERVAL_AVG","MARKET_DATA_OVERRIDE=PX_LAST","START_DATE_OVERRIDE",TEXT(INDEX(MO_SNA_FPStartDate,0,COLUMN()),"YYYYMMDD"),"END_DATE_OVERRIDE",TEXT(INDEX(MO_Common_QEndDate,0,COLUMN()),"YYYYMMDD")),"N/A")</f>
        <v/>
      </c>
      <c r="AX1403" s="1714">
        <f>IFERROR(BDP(MO.Ticker.Bloomberg&amp;" Equity","INTERVAL_AVG","MARKET_DATA_OVERRIDE=PX_LAST","START_DATE_OVERRIDE",TEXT(INDEX(MO_SNA_FPStartDate,0,COLUMN()),"YYYYMMDD"),"END_DATE_OVERRIDE",TEXT(INDEX(MO_Common_QEndDate,0,COLUMN()),"YYYYMMDD")),"N/A")</f>
        <v/>
      </c>
      <c r="AY1403" s="1714">
        <f>IFERROR(BDP(MO.Ticker.Bloomberg&amp;" Equity","INTERVAL_AVG","MARKET_DATA_OVERRIDE=PX_LAST","START_DATE_OVERRIDE",TEXT(INDEX(MO_SNA_FPStartDate,0,COLUMN()),"YYYYMMDD"),"END_DATE_OVERRIDE",TEXT(INDEX(MO_Common_QEndDate,0,COLUMN()),"YYYYMMDD")),"N/A")</f>
        <v/>
      </c>
      <c r="AZ1403" s="1714">
        <f>IFERROR(BDP(MO.Ticker.Bloomberg&amp;" Equity","INTERVAL_AVG","MARKET_DATA_OVERRIDE=PX_LAST","START_DATE_OVERRIDE",TEXT(INDEX(MO_SNA_FPStartDate,0,COLUMN()),"YYYYMMDD"),"END_DATE_OVERRIDE",TEXT(INDEX(MO_Common_QEndDate,0,COLUMN()),"YYYYMMDD")),"N/A")</f>
        <v/>
      </c>
      <c r="BA1403" s="1714">
        <f>IFERROR(BDP(MO.Ticker.Bloomberg&amp;" Equity","INTERVAL_AVG","MARKET_DATA_OVERRIDE=PX_LAST","START_DATE_OVERRIDE",TEXT(INDEX(MO_SNA_FPStartDate,0,COLUMN()),"YYYYMMDD"),"END_DATE_OVERRIDE",TEXT(INDEX(MO_Common_QEndDate,0,COLUMN()),"YYYYMMDD")),"N/A")</f>
        <v/>
      </c>
      <c r="BB1403" s="1714">
        <f>IFERROR(BDP(MO.Ticker.Bloomberg&amp;" Equity","INTERVAL_AVG","MARKET_DATA_OVERRIDE=PX_LAST","START_DATE_OVERRIDE",TEXT(INDEX(MO_SNA_FPStartDate,0,COLUMN()),"YYYYMMDD"),"END_DATE_OVERRIDE",TEXT(INDEX(MO_Common_QEndDate,0,COLUMN()),"YYYYMMDD")),"N/A")</f>
        <v/>
      </c>
      <c r="BC1403" s="1714">
        <f>IFERROR(BDP(MO.Ticker.Bloomberg&amp;" Equity","INTERVAL_AVG","MARKET_DATA_OVERRIDE=PX_LAST","START_DATE_OVERRIDE",TEXT(INDEX(MO_SNA_FPStartDate,0,COLUMN()),"YYYYMMDD"),"END_DATE_OVERRIDE",TEXT(INDEX(MO_Common_QEndDate,0,COLUMN()),"YYYYMMDD")),"N/A")</f>
        <v/>
      </c>
      <c r="BD1403" s="1714">
        <f>IFERROR(BDP(MO.Ticker.Bloomberg&amp;" Equity","INTERVAL_AVG","MARKET_DATA_OVERRIDE=PX_LAST","START_DATE_OVERRIDE",TEXT(INDEX(MO_SNA_FPStartDate,0,COLUMN()),"YYYYMMDD"),"END_DATE_OVERRIDE",TEXT(INDEX(MO_Common_QEndDate,0,COLUMN()),"YYYYMMDD")),"N/A")</f>
        <v/>
      </c>
      <c r="BE1403" s="1714">
        <f>IFERROR(BDP(MO.Ticker.Bloomberg&amp;" Equity","INTERVAL_AVG","MARKET_DATA_OVERRIDE=PX_LAST","START_DATE_OVERRIDE",TEXT(INDEX(MO_SNA_FPStartDate,0,COLUMN()),"YYYYMMDD"),"END_DATE_OVERRIDE",TEXT(INDEX(MO_Common_QEndDate,0,COLUMN()),"YYYYMMDD")),"N/A")</f>
        <v/>
      </c>
      <c r="BF1403" s="1714">
        <f>IFERROR(BDP(MO.Ticker.Bloomberg&amp;" Equity","INTERVAL_AVG","MARKET_DATA_OVERRIDE=PX_LAST","START_DATE_OVERRIDE",TEXT(INDEX(MO_SNA_FPStartDate,0,COLUMN()),"YYYYMMDD"),"END_DATE_OVERRIDE",TEXT(INDEX(MO_Common_QEndDate,0,COLUMN()),"YYYYMMDD")),"N/A")</f>
        <v/>
      </c>
      <c r="BG1403" s="1714">
        <f>IFERROR(BDP(MO.Ticker.Bloomberg&amp;" Equity","INTERVAL_AVG","MARKET_DATA_OVERRIDE=PX_LAST","START_DATE_OVERRIDE",TEXT(INDEX(MO_SNA_FPStartDate,0,COLUMN()),"YYYYMMDD"),"END_DATE_OVERRIDE",TEXT(INDEX(MO_Common_QEndDate,0,COLUMN()),"YYYYMMDD")),"N/A")</f>
        <v/>
      </c>
      <c r="BH1403" s="1714">
        <f>IFERROR(BDP(MO.Ticker.Bloomberg&amp;" Equity","INTERVAL_AVG","MARKET_DATA_OVERRIDE=PX_LAST","START_DATE_OVERRIDE",TEXT(INDEX(MO_SNA_FPStartDate,0,COLUMN()),"YYYYMMDD"),"END_DATE_OVERRIDE",TEXT(INDEX(MO_Common_QEndDate,0,COLUMN()),"YYYYMMDD")),"N/A")</f>
        <v/>
      </c>
      <c r="BI1403" s="1714">
        <f>IFERROR(BDP(MO.Ticker.Bloomberg&amp;" Equity","INTERVAL_AVG","MARKET_DATA_OVERRIDE=PX_LAST","START_DATE_OVERRIDE",TEXT(INDEX(MO_SNA_FPStartDate,0,COLUMN()),"YYYYMMDD"),"END_DATE_OVERRIDE",TEXT(INDEX(MO_Common_QEndDate,0,COLUMN()),"YYYYMMDD")),"N/A")</f>
        <v/>
      </c>
      <c r="BJ1403" s="1714">
        <f>IFERROR(BDP(MO.Ticker.Bloomberg&amp;" Equity","INTERVAL_AVG","MARKET_DATA_OVERRIDE=PX_LAST","START_DATE_OVERRIDE",TEXT(INDEX(MO_SNA_FPStartDate,0,COLUMN()),"YYYYMMDD"),"END_DATE_OVERRIDE",TEXT(INDEX(MO_Common_QEndDate,0,COLUMN()),"YYYYMMDD")),"N/A")</f>
        <v/>
      </c>
      <c r="BK1403" s="1714">
        <f>IFERROR(BDP(MO.Ticker.Bloomberg&amp;" Equity","INTERVAL_AVG","MARKET_DATA_OVERRIDE=PX_LAST","START_DATE_OVERRIDE",TEXT(INDEX(MO_SNA_FPStartDate,0,COLUMN()),"YYYYMMDD"),"END_DATE_OVERRIDE",TEXT(INDEX(MO_Common_QEndDate,0,COLUMN()),"YYYYMMDD")),"N/A")</f>
        <v/>
      </c>
      <c r="BL1403" s="1714">
        <f>IFERROR(BDP(MO.Ticker.Bloomberg&amp;" Equity","INTERVAL_AVG","MARKET_DATA_OVERRIDE=PX_LAST","START_DATE_OVERRIDE",TEXT(INDEX(MO_SNA_FPStartDate,0,COLUMN()),"YYYYMMDD"),"END_DATE_OVERRIDE",TEXT(INDEX(MO_Common_QEndDate,0,COLUMN()),"YYYYMMDD")),"N/A")</f>
        <v/>
      </c>
      <c r="BM1403" s="1714">
        <f>IFERROR(BDP(MO.Ticker.Bloomberg&amp;" Equity","INTERVAL_AVG","MARKET_DATA_OVERRIDE=PX_LAST","START_DATE_OVERRIDE",TEXT(INDEX(MO_SNA_FPStartDate,0,COLUMN()),"YYYYMMDD"),"END_DATE_OVERRIDE",TEXT(INDEX(MO_Common_QEndDate,0,COLUMN()),"YYYYMMDD")),"N/A")</f>
        <v/>
      </c>
      <c r="BN1403" s="1714">
        <f>IFERROR(BDP(MO.Ticker.Bloomberg&amp;" Equity","INTERVAL_AVG","MARKET_DATA_OVERRIDE=PX_LAST","START_DATE_OVERRIDE",TEXT(INDEX(MO_SNA_FPStartDate,0,COLUMN()),"YYYYMMDD"),"END_DATE_OVERRIDE",TEXT(INDEX(MO_Common_QEndDate,0,COLUMN()),"YYYYMMDD")),"N/A")</f>
        <v/>
      </c>
      <c r="BO1403" s="1714">
        <f>IFERROR(BDP(MO.Ticker.Bloomberg&amp;" Equity","INTERVAL_AVG","MARKET_DATA_OVERRIDE=PX_LAST","START_DATE_OVERRIDE",TEXT(INDEX(MO_SNA_FPStartDate,0,COLUMN()),"YYYYMMDD"),"END_DATE_OVERRIDE",TEXT(INDEX(MO_Common_QEndDate,0,COLUMN()),"YYYYMMDD")),"N/A")</f>
        <v/>
      </c>
      <c r="BP1403" s="1714">
        <f>IFERROR(BDP(MO.Ticker.Bloomberg&amp;" Equity","INTERVAL_AVG","MARKET_DATA_OVERRIDE=PX_LAST","START_DATE_OVERRIDE",TEXT(INDEX(MO_SNA_FPStartDate,0,COLUMN()),"YYYYMMDD"),"END_DATE_OVERRIDE",TEXT(INDEX(MO_Common_QEndDate,0,COLUMN()),"YYYYMMDD")),"N/A")</f>
        <v/>
      </c>
      <c r="BQ1403" s="1717">
        <f>IFERROR(BDP(MO.Ticker.Bloomberg&amp;" Equity","INTERVAL_AVG","MARKET_DATA_OVERRIDE=PX_LAST","START_DATE_OVERRIDE",TEXT(INDEX(MO_SNA_FPStartDate,0,COLUMN()),"YYYYMMDD"),"END_DATE_OVERRIDE",TEXT(INDEX(MO_Common_QEndDate,0,COLUMN()),"YYYYMMDD")),"N/A")</f>
        <v/>
      </c>
      <c r="BR1403" s="1714">
        <f>IFERROR(BDP(MO.Ticker.Bloomberg&amp;" Equity","INTERVAL_AVG","MARKET_DATA_OVERRIDE=PX_LAST","START_DATE_OVERRIDE",TEXT(INDEX(MO_SNA_FPStartDate,0,COLUMN()),"YYYYMMDD"),"END_DATE_OVERRIDE",TEXT(INDEX(MO_Common_QEndDate,0,COLUMN()),"YYYYMMDD")),"N/A")</f>
        <v/>
      </c>
      <c r="BS1403" s="1714">
        <f>IFERROR(BDP(MO.Ticker.Bloomberg&amp;" Equity","INTERVAL_AVG","MARKET_DATA_OVERRIDE=PX_LAST","START_DATE_OVERRIDE",TEXT(INDEX(MO_SNA_FPStartDate,0,COLUMN()),"YYYYMMDD"),"END_DATE_OVERRIDE",TEXT(INDEX(MO_Common_QEndDate,0,COLUMN()),"YYYYMMDD")),"N/A")</f>
        <v/>
      </c>
      <c r="BT1403" s="1714">
        <f>IFERROR(BDP(MO.Ticker.Bloomberg&amp;" Equity","INTERVAL_AVG","MARKET_DATA_OVERRIDE=PX_LAST","START_DATE_OVERRIDE",TEXT(INDEX(MO_SNA_FPStartDate,0,COLUMN()),"YYYYMMDD"),"END_DATE_OVERRIDE",TEXT(INDEX(MO_Common_QEndDate,0,COLUMN()),"YYYYMMDD")),"N/A")</f>
        <v/>
      </c>
      <c r="BU1403" s="1714">
        <f>IFERROR(BDP(MO.Ticker.Bloomberg&amp;" Equity","INTERVAL_AVG","MARKET_DATA_OVERRIDE=PX_LAST","START_DATE_OVERRIDE",TEXT(INDEX(MO_SNA_FPStartDate,0,COLUMN()),"YYYYMMDD"),"END_DATE_OVERRIDE",TEXT(INDEX(MO_Common_QEndDate,0,COLUMN()),"YYYYMMDD")),"N/A")</f>
        <v/>
      </c>
      <c r="BV1403" s="1714">
        <f>IFERROR(BDP(MO.Ticker.Bloomberg&amp;" Equity","INTERVAL_AVG","MARKET_DATA_OVERRIDE=PX_LAST","START_DATE_OVERRIDE",TEXT(INDEX(MO_SNA_FPStartDate,0,COLUMN()),"YYYYMMDD"),"END_DATE_OVERRIDE",TEXT(INDEX(MO_Common_QEndDate,0,COLUMN()),"YYYYMMDD")),"N/A")</f>
        <v/>
      </c>
      <c r="BW1403" s="1714">
        <f>IFERROR(BDP(MO.Ticker.Bloomberg&amp;" Equity","INTERVAL_AVG","MARKET_DATA_OVERRIDE=PX_LAST","START_DATE_OVERRIDE",TEXT(INDEX(MO_SNA_FPStartDate,0,COLUMN()),"YYYYMMDD"),"END_DATE_OVERRIDE",TEXT(INDEX(MO_Common_QEndDate,0,COLUMN()),"YYYYMMDD")),"N/A")</f>
        <v/>
      </c>
      <c r="BX1403" s="1714">
        <f>IFERROR(BDP(MO.Ticker.Bloomberg&amp;" Equity","INTERVAL_AVG","MARKET_DATA_OVERRIDE=PX_LAST","START_DATE_OVERRIDE",TEXT(INDEX(MO_SNA_FPStartDate,0,COLUMN()),"YYYYMMDD"),"END_DATE_OVERRIDE",TEXT(INDEX(MO_Common_QEndDate,0,COLUMN()),"YYYYMMDD")),"N/A")</f>
        <v/>
      </c>
      <c r="BY1403" s="1714">
        <f>IFERROR(BDP(MO.Ticker.Bloomberg&amp;" Equity","INTERVAL_AVG","MARKET_DATA_OVERRIDE=PX_LAST","START_DATE_OVERRIDE",TEXT(INDEX(MO_SNA_FPStartDate,0,COLUMN()),"YYYYMMDD"),"END_DATE_OVERRIDE",TEXT(INDEX(MO_Common_QEndDate,0,COLUMN()),"YYYYMMDD")),"N/A")</f>
        <v/>
      </c>
      <c r="BZ1403" s="1714">
        <f>IFERROR(BDP(MO.Ticker.Bloomberg&amp;" Equity","INTERVAL_AVG","MARKET_DATA_OVERRIDE=PX_LAST","START_DATE_OVERRIDE",TEXT(INDEX(MO_SNA_FPStartDate,0,COLUMN()),"YYYYMMDD"),"END_DATE_OVERRIDE",TEXT(INDEX(MO_Common_QEndDate,0,COLUMN()),"YYYYMMDD")),"N/A")</f>
        <v/>
      </c>
      <c r="CA1403" s="2037">
        <f>IFERROR(BDP(MO.Ticker.Bloomberg&amp;" Equity","INTERVAL_AVG","MARKET_DATA_OVERRIDE=PX_LAST","START_DATE_OVERRIDE",TEXT(INDEX(MO_SNA_FPStartDate,0,COLUMN()),"YYYYMMDD"),"END_DATE_OVERRIDE",TEXT(INDEX(MO_Common_QEndDate,0,COLUMN()),"YYYYMMDD")),"N/A")</f>
        <v/>
      </c>
      <c r="CB1403" s="2038" t="n"/>
    </row>
    <row r="1404" hidden="1" outlineLevel="1" ht="14.4" customFormat="1" customHeight="1" s="1905">
      <c r="A1404" s="2039" t="inlineStr">
        <is>
          <t>Capital IQ</t>
        </is>
      </c>
      <c r="B1404" s="1714" t="n"/>
      <c r="C1404" s="2036">
        <f>IFERROR(CIQAVG(MO.Ticker.CapIQ,"IQ_LASTSALEPRICE",INDEX(MO_SNA_FPStartDate,0,COLUMN()),INDEX(MO_Common_QEndDate,0,COLUMN())),"N/A")</f>
        <v/>
      </c>
      <c r="D1404" s="2036">
        <f>IFERROR(CIQAVG(MO.Ticker.CapIQ,"IQ_LASTSALEPRICE",INDEX(MO_SNA_FPStartDate,0,COLUMN()),INDEX(MO_Common_QEndDate,0,COLUMN())),"N/A")</f>
        <v/>
      </c>
      <c r="E1404" s="2036">
        <f>IFERROR(CIQAVG(MO.Ticker.CapIQ,"IQ_LASTSALEPRICE",INDEX(MO_SNA_FPStartDate,0,COLUMN()),INDEX(MO_Common_QEndDate,0,COLUMN())),"N/A")</f>
        <v/>
      </c>
      <c r="F1404" s="2036">
        <f>IFERROR(CIQAVG(MO.Ticker.CapIQ,"IQ_LASTSALEPRICE",INDEX(MO_SNA_FPStartDate,0,COLUMN()),INDEX(MO_Common_QEndDate,0,COLUMN())),"N/A")</f>
        <v/>
      </c>
      <c r="G1404" s="2036">
        <f>IFERROR(CIQAVG(MO.Ticker.CapIQ,"IQ_LASTSALEPRICE",INDEX(MO_SNA_FPStartDate,0,COLUMN()),INDEX(MO_Common_QEndDate,0,COLUMN())),"N/A")</f>
        <v/>
      </c>
      <c r="H1404" s="1714">
        <f>IFERROR(CIQAVG(MO.Ticker.CapIQ,"IQ_LASTSALEPRICE",INDEX(MO_SNA_FPStartDate,0,COLUMN()),INDEX(MO_Common_QEndDate,0,COLUMN())),"N/A")</f>
        <v/>
      </c>
      <c r="I1404" s="1714">
        <f>IFERROR(CIQAVG(MO.Ticker.CapIQ,"IQ_LASTSALEPRICE",INDEX(MO_SNA_FPStartDate,0,COLUMN()),INDEX(MO_Common_QEndDate,0,COLUMN())),"N/A")</f>
        <v/>
      </c>
      <c r="J1404" s="1714">
        <f>IFERROR(CIQAVG(MO.Ticker.CapIQ,"IQ_LASTSALEPRICE",INDEX(MO_SNA_FPStartDate,0,COLUMN()),INDEX(MO_Common_QEndDate,0,COLUMN())),"N/A")</f>
        <v/>
      </c>
      <c r="K1404" s="1714">
        <f>IFERROR(CIQAVG(MO.Ticker.CapIQ,"IQ_LASTSALEPRICE",INDEX(MO_SNA_FPStartDate,0,COLUMN()),INDEX(MO_Common_QEndDate,0,COLUMN())),"N/A")</f>
        <v/>
      </c>
      <c r="L1404" s="1714">
        <f>IFERROR(CIQAVG(MO.Ticker.CapIQ,"IQ_LASTSALEPRICE",INDEX(MO_SNA_FPStartDate,0,COLUMN()),INDEX(MO_Common_QEndDate,0,COLUMN())),"N/A")</f>
        <v/>
      </c>
      <c r="M1404" s="1714">
        <f>IFERROR(CIQAVG(MO.Ticker.CapIQ,"IQ_LASTSALEPRICE",INDEX(MO_SNA_FPStartDate,0,COLUMN()),INDEX(MO_Common_QEndDate,0,COLUMN())),"N/A")</f>
        <v/>
      </c>
      <c r="N1404" s="1714">
        <f>IFERROR(CIQAVG(MO.Ticker.CapIQ,"IQ_LASTSALEPRICE",INDEX(MO_SNA_FPStartDate,0,COLUMN()),INDEX(MO_Common_QEndDate,0,COLUMN())),"N/A")</f>
        <v/>
      </c>
      <c r="O1404" s="1714">
        <f>IFERROR(CIQAVG(MO.Ticker.CapIQ,"IQ_LASTSALEPRICE",INDEX(MO_SNA_FPStartDate,0,COLUMN()),INDEX(MO_Common_QEndDate,0,COLUMN())),"N/A")</f>
        <v/>
      </c>
      <c r="P1404" s="1714">
        <f>IFERROR(CIQAVG(MO.Ticker.CapIQ,"IQ_LASTSALEPRICE",INDEX(MO_SNA_FPStartDate,0,COLUMN()),INDEX(MO_Common_QEndDate,0,COLUMN())),"N/A")</f>
        <v/>
      </c>
      <c r="Q1404" s="1714">
        <f>IFERROR(CIQAVG(MO.Ticker.CapIQ,"IQ_LASTSALEPRICE",INDEX(MO_SNA_FPStartDate,0,COLUMN()),INDEX(MO_Common_QEndDate,0,COLUMN())),"N/A")</f>
        <v/>
      </c>
      <c r="R1404" s="1714">
        <f>IFERROR(CIQAVG(MO.Ticker.CapIQ,"IQ_LASTSALEPRICE",INDEX(MO_SNA_FPStartDate,0,COLUMN()),INDEX(MO_Common_QEndDate,0,COLUMN())),"N/A")</f>
        <v/>
      </c>
      <c r="S1404" s="1714">
        <f>IFERROR(CIQAVG(MO.Ticker.CapIQ,"IQ_LASTSALEPRICE",INDEX(MO_SNA_FPStartDate,0,COLUMN()),INDEX(MO_Common_QEndDate,0,COLUMN())),"N/A")</f>
        <v/>
      </c>
      <c r="T1404" s="1714">
        <f>IFERROR(CIQAVG(MO.Ticker.CapIQ,"IQ_LASTSALEPRICE",INDEX(MO_SNA_FPStartDate,0,COLUMN()),INDEX(MO_Common_QEndDate,0,COLUMN())),"N/A")</f>
        <v/>
      </c>
      <c r="U1404" s="1714">
        <f>IFERROR(CIQAVG(MO.Ticker.CapIQ,"IQ_LASTSALEPRICE",INDEX(MO_SNA_FPStartDate,0,COLUMN()),INDEX(MO_Common_QEndDate,0,COLUMN())),"N/A")</f>
        <v/>
      </c>
      <c r="V1404" s="1714">
        <f>IFERROR(CIQAVG(MO.Ticker.CapIQ,"IQ_LASTSALEPRICE",INDEX(MO_SNA_FPStartDate,0,COLUMN()),INDEX(MO_Common_QEndDate,0,COLUMN())),"N/A")</f>
        <v/>
      </c>
      <c r="W1404" s="1714">
        <f>IFERROR(CIQAVG(MO.Ticker.CapIQ,"IQ_LASTSALEPRICE",INDEX(MO_SNA_FPStartDate,0,COLUMN()),INDEX(MO_Common_QEndDate,0,COLUMN())),"N/A")</f>
        <v/>
      </c>
      <c r="X1404" s="1714">
        <f>IFERROR(CIQAVG(MO.Ticker.CapIQ,"IQ_LASTSALEPRICE",INDEX(MO_SNA_FPStartDate,0,COLUMN()),INDEX(MO_Common_QEndDate,0,COLUMN())),"N/A")</f>
        <v/>
      </c>
      <c r="Y1404" s="1714">
        <f>IFERROR(CIQAVG(MO.Ticker.CapIQ,"IQ_LASTSALEPRICE",INDEX(MO_SNA_FPStartDate,0,COLUMN()),INDEX(MO_Common_QEndDate,0,COLUMN())),"N/A")</f>
        <v/>
      </c>
      <c r="Z1404" s="1714">
        <f>IFERROR(CIQAVG(MO.Ticker.CapIQ,"IQ_LASTSALEPRICE",INDEX(MO_SNA_FPStartDate,0,COLUMN()),INDEX(MO_Common_QEndDate,0,COLUMN())),"N/A")</f>
        <v/>
      </c>
      <c r="AA1404" s="1714">
        <f>IFERROR(CIQAVG(MO.Ticker.CapIQ,"IQ_LASTSALEPRICE",INDEX(MO_SNA_FPStartDate,0,COLUMN()),INDEX(MO_Common_QEndDate,0,COLUMN())),"N/A")</f>
        <v/>
      </c>
      <c r="AB1404" s="1714">
        <f>IFERROR(CIQAVG(MO.Ticker.CapIQ,"IQ_LASTSALEPRICE",INDEX(MO_SNA_FPStartDate,0,COLUMN()),INDEX(MO_Common_QEndDate,0,COLUMN())),"N/A")</f>
        <v/>
      </c>
      <c r="AC1404" s="1714">
        <f>IFERROR(CIQAVG(MO.Ticker.CapIQ,"IQ_LASTSALEPRICE",INDEX(MO_SNA_FPStartDate,0,COLUMN()),INDEX(MO_Common_QEndDate,0,COLUMN())),"N/A")</f>
        <v/>
      </c>
      <c r="AD1404" s="1714">
        <f>IFERROR(CIQAVG(MO.Ticker.CapIQ,"IQ_LASTSALEPRICE",INDEX(MO_SNA_FPStartDate,0,COLUMN()),INDEX(MO_Common_QEndDate,0,COLUMN())),"N/A")</f>
        <v/>
      </c>
      <c r="AE1404" s="1714">
        <f>IFERROR(CIQAVG(MO.Ticker.CapIQ,"IQ_LASTSALEPRICE",INDEX(MO_SNA_FPStartDate,0,COLUMN()),INDEX(MO_Common_QEndDate,0,COLUMN())),"N/A")</f>
        <v/>
      </c>
      <c r="AF1404" s="1714">
        <f>IFERROR(CIQAVG(MO.Ticker.CapIQ,"IQ_LASTSALEPRICE",INDEX(MO_SNA_FPStartDate,0,COLUMN()),INDEX(MO_Common_QEndDate,0,COLUMN())),"N/A")</f>
        <v/>
      </c>
      <c r="AG1404" s="1714">
        <f>IFERROR(CIQAVG(MO.Ticker.CapIQ,"IQ_LASTSALEPRICE",INDEX(MO_SNA_FPStartDate,0,COLUMN()),INDEX(MO_Common_QEndDate,0,COLUMN())),"N/A")</f>
        <v/>
      </c>
      <c r="AH1404" s="1714">
        <f>IFERROR(CIQAVG(MO.Ticker.CapIQ,"IQ_LASTSALEPRICE",INDEX(MO_SNA_FPStartDate,0,COLUMN()),INDEX(MO_Common_QEndDate,0,COLUMN())),"N/A")</f>
        <v/>
      </c>
      <c r="AI1404" s="1714">
        <f>IFERROR(CIQAVG(MO.Ticker.CapIQ,"IQ_LASTSALEPRICE",INDEX(MO_SNA_FPStartDate,0,COLUMN()),INDEX(MO_Common_QEndDate,0,COLUMN())),"N/A")</f>
        <v/>
      </c>
      <c r="AJ1404" s="1714">
        <f>IFERROR(CIQAVG(MO.Ticker.CapIQ,"IQ_LASTSALEPRICE",INDEX(MO_SNA_FPStartDate,0,COLUMN()),INDEX(MO_Common_QEndDate,0,COLUMN())),"N/A")</f>
        <v/>
      </c>
      <c r="AK1404" s="1714">
        <f>IFERROR(CIQAVG(MO.Ticker.CapIQ,"IQ_LASTSALEPRICE",INDEX(MO_SNA_FPStartDate,0,COLUMN()),INDEX(MO_Common_QEndDate,0,COLUMN())),"N/A")</f>
        <v/>
      </c>
      <c r="AL1404" s="1714">
        <f>IFERROR(CIQAVG(MO.Ticker.CapIQ,"IQ_LASTSALEPRICE",INDEX(MO_SNA_FPStartDate,0,COLUMN()),INDEX(MO_Common_QEndDate,0,COLUMN())),"N/A")</f>
        <v/>
      </c>
      <c r="AM1404" s="1714">
        <f>IFERROR(CIQAVG(MO.Ticker.CapIQ,"IQ_LASTSALEPRICE",INDEX(MO_SNA_FPStartDate,0,COLUMN()),INDEX(MO_Common_QEndDate,0,COLUMN())),"N/A")</f>
        <v/>
      </c>
      <c r="AN1404" s="1714">
        <f>IFERROR(CIQAVG(MO.Ticker.CapIQ,"IQ_LASTSALEPRICE",INDEX(MO_SNA_FPStartDate,0,COLUMN()),INDEX(MO_Common_QEndDate,0,COLUMN())),"N/A")</f>
        <v/>
      </c>
      <c r="AO1404" s="1714">
        <f>IFERROR(CIQAVG(MO.Ticker.CapIQ,"IQ_LASTSALEPRICE",INDEX(MO_SNA_FPStartDate,0,COLUMN()),INDEX(MO_Common_QEndDate,0,COLUMN())),"N/A")</f>
        <v/>
      </c>
      <c r="AP1404" s="1714">
        <f>IFERROR(CIQAVG(MO.Ticker.CapIQ,"IQ_LASTSALEPRICE",INDEX(MO_SNA_FPStartDate,0,COLUMN()),INDEX(MO_Common_QEndDate,0,COLUMN())),"N/A")</f>
        <v/>
      </c>
      <c r="AQ1404" s="1714">
        <f>IFERROR(CIQAVG(MO.Ticker.CapIQ,"IQ_LASTSALEPRICE",INDEX(MO_SNA_FPStartDate,0,COLUMN()),INDEX(MO_Common_QEndDate,0,COLUMN())),"N/A")</f>
        <v/>
      </c>
      <c r="AR1404" s="1714">
        <f>IFERROR(CIQAVG(MO.Ticker.CapIQ,"IQ_LASTSALEPRICE",INDEX(MO_SNA_FPStartDate,0,COLUMN()),INDEX(MO_Common_QEndDate,0,COLUMN())),"N/A")</f>
        <v/>
      </c>
      <c r="AS1404" s="1714">
        <f>IFERROR(CIQAVG(MO.Ticker.CapIQ,"IQ_LASTSALEPRICE",INDEX(MO_SNA_FPStartDate,0,COLUMN()),INDEX(MO_Common_QEndDate,0,COLUMN())),"N/A")</f>
        <v/>
      </c>
      <c r="AT1404" s="1714">
        <f>IFERROR(CIQAVG(MO.Ticker.CapIQ,"IQ_LASTSALEPRICE",INDEX(MO_SNA_FPStartDate,0,COLUMN()),INDEX(MO_Common_QEndDate,0,COLUMN())),"N/A")</f>
        <v/>
      </c>
      <c r="AU1404" s="1714">
        <f>IFERROR(CIQAVG(MO.Ticker.CapIQ,"IQ_LASTSALEPRICE",INDEX(MO_SNA_FPStartDate,0,COLUMN()),INDEX(MO_Common_QEndDate,0,COLUMN())),"N/A")</f>
        <v/>
      </c>
      <c r="AV1404" s="1714">
        <f>IFERROR(CIQAVG(MO.Ticker.CapIQ,"IQ_LASTSALEPRICE",INDEX(MO_SNA_FPStartDate,0,COLUMN()),INDEX(MO_Common_QEndDate,0,COLUMN())),"N/A")</f>
        <v/>
      </c>
      <c r="AW1404" s="1714">
        <f>IFERROR(CIQAVG(MO.Ticker.CapIQ,"IQ_LASTSALEPRICE",INDEX(MO_SNA_FPStartDate,0,COLUMN()),INDEX(MO_Common_QEndDate,0,COLUMN())),"N/A")</f>
        <v/>
      </c>
      <c r="AX1404" s="1714">
        <f>IFERROR(CIQAVG(MO.Ticker.CapIQ,"IQ_LASTSALEPRICE",INDEX(MO_SNA_FPStartDate,0,COLUMN()),INDEX(MO_Common_QEndDate,0,COLUMN())),"N/A")</f>
        <v/>
      </c>
      <c r="AY1404" s="1714">
        <f>IFERROR(CIQAVG(MO.Ticker.CapIQ,"IQ_LASTSALEPRICE",INDEX(MO_SNA_FPStartDate,0,COLUMN()),INDEX(MO_Common_QEndDate,0,COLUMN())),"N/A")</f>
        <v/>
      </c>
      <c r="AZ1404" s="1714">
        <f>IFERROR(CIQAVG(MO.Ticker.CapIQ,"IQ_LASTSALEPRICE",INDEX(MO_SNA_FPStartDate,0,COLUMN()),INDEX(MO_Common_QEndDate,0,COLUMN())),"N/A")</f>
        <v/>
      </c>
      <c r="BA1404" s="1714">
        <f>IFERROR(CIQAVG(MO.Ticker.CapIQ,"IQ_LASTSALEPRICE",INDEX(MO_SNA_FPStartDate,0,COLUMN()),INDEX(MO_Common_QEndDate,0,COLUMN())),"N/A")</f>
        <v/>
      </c>
      <c r="BB1404" s="1714">
        <f>IFERROR(CIQAVG(MO.Ticker.CapIQ,"IQ_LASTSALEPRICE",INDEX(MO_SNA_FPStartDate,0,COLUMN()),INDEX(MO_Common_QEndDate,0,COLUMN())),"N/A")</f>
        <v/>
      </c>
      <c r="BC1404" s="1714">
        <f>IFERROR(CIQAVG(MO.Ticker.CapIQ,"IQ_LASTSALEPRICE",INDEX(MO_SNA_FPStartDate,0,COLUMN()),INDEX(MO_Common_QEndDate,0,COLUMN())),"N/A")</f>
        <v/>
      </c>
      <c r="BD1404" s="1714">
        <f>IFERROR(CIQAVG(MO.Ticker.CapIQ,"IQ_LASTSALEPRICE",INDEX(MO_SNA_FPStartDate,0,COLUMN()),INDEX(MO_Common_QEndDate,0,COLUMN())),"N/A")</f>
        <v/>
      </c>
      <c r="BE1404" s="1714">
        <f>IFERROR(CIQAVG(MO.Ticker.CapIQ,"IQ_LASTSALEPRICE",INDEX(MO_SNA_FPStartDate,0,COLUMN()),INDEX(MO_Common_QEndDate,0,COLUMN())),"N/A")</f>
        <v/>
      </c>
      <c r="BF1404" s="1714">
        <f>IFERROR(CIQAVG(MO.Ticker.CapIQ,"IQ_LASTSALEPRICE",INDEX(MO_SNA_FPStartDate,0,COLUMN()),INDEX(MO_Common_QEndDate,0,COLUMN())),"N/A")</f>
        <v/>
      </c>
      <c r="BG1404" s="1714">
        <f>IFERROR(CIQAVG(MO.Ticker.CapIQ,"IQ_LASTSALEPRICE",INDEX(MO_SNA_FPStartDate,0,COLUMN()),INDEX(MO_Common_QEndDate,0,COLUMN())),"N/A")</f>
        <v/>
      </c>
      <c r="BH1404" s="1714">
        <f>IFERROR(CIQAVG(MO.Ticker.CapIQ,"IQ_LASTSALEPRICE",INDEX(MO_SNA_FPStartDate,0,COLUMN()),INDEX(MO_Common_QEndDate,0,COLUMN())),"N/A")</f>
        <v/>
      </c>
      <c r="BI1404" s="1714">
        <f>IFERROR(CIQAVG(MO.Ticker.CapIQ,"IQ_LASTSALEPRICE",INDEX(MO_SNA_FPStartDate,0,COLUMN()),INDEX(MO_Common_QEndDate,0,COLUMN())),"N/A")</f>
        <v/>
      </c>
      <c r="BJ1404" s="1714">
        <f>IFERROR(CIQAVG(MO.Ticker.CapIQ,"IQ_LASTSALEPRICE",INDEX(MO_SNA_FPStartDate,0,COLUMN()),INDEX(MO_Common_QEndDate,0,COLUMN())),"N/A")</f>
        <v/>
      </c>
      <c r="BK1404" s="1714">
        <f>IFERROR(CIQAVG(MO.Ticker.CapIQ,"IQ_LASTSALEPRICE",INDEX(MO_SNA_FPStartDate,0,COLUMN()),INDEX(MO_Common_QEndDate,0,COLUMN())),"N/A")</f>
        <v/>
      </c>
      <c r="BL1404" s="1714">
        <f>IFERROR(CIQAVG(MO.Ticker.CapIQ,"IQ_LASTSALEPRICE",INDEX(MO_SNA_FPStartDate,0,COLUMN()),INDEX(MO_Common_QEndDate,0,COLUMN())),"N/A")</f>
        <v/>
      </c>
      <c r="BM1404" s="1714">
        <f>IFERROR(CIQAVG(MO.Ticker.CapIQ,"IQ_LASTSALEPRICE",INDEX(MO_SNA_FPStartDate,0,COLUMN()),INDEX(MO_Common_QEndDate,0,COLUMN())),"N/A")</f>
        <v/>
      </c>
      <c r="BN1404" s="1714">
        <f>IFERROR(CIQAVG(MO.Ticker.CapIQ,"IQ_LASTSALEPRICE",INDEX(MO_SNA_FPStartDate,0,COLUMN()),INDEX(MO_Common_QEndDate,0,COLUMN())),"N/A")</f>
        <v/>
      </c>
      <c r="BO1404" s="1714">
        <f>IFERROR(CIQAVG(MO.Ticker.CapIQ,"IQ_LASTSALEPRICE",INDEX(MO_SNA_FPStartDate,0,COLUMN()),INDEX(MO_Common_QEndDate,0,COLUMN())),"N/A")</f>
        <v/>
      </c>
      <c r="BP1404" s="1714">
        <f>IFERROR(CIQAVG(MO.Ticker.CapIQ,"IQ_LASTSALEPRICE",INDEX(MO_SNA_FPStartDate,0,COLUMN()),INDEX(MO_Common_QEndDate,0,COLUMN())),"N/A")</f>
        <v/>
      </c>
      <c r="BQ1404" s="1717">
        <f>IFERROR(CIQAVG(MO.Ticker.CapIQ,"IQ_LASTSALEPRICE",INDEX(MO_SNA_FPStartDate,0,COLUMN()),INDEX(MO_Common_QEndDate,0,COLUMN())),"N/A")</f>
        <v/>
      </c>
      <c r="BR1404" s="1714">
        <f>IFERROR(CIQAVG(MO.Ticker.CapIQ,"IQ_LASTSALEPRICE",INDEX(MO_SNA_FPStartDate,0,COLUMN()),INDEX(MO_Common_QEndDate,0,COLUMN())),"N/A")</f>
        <v/>
      </c>
      <c r="BS1404" s="1714">
        <f>IFERROR(CIQAVG(MO.Ticker.CapIQ,"IQ_LASTSALEPRICE",INDEX(MO_SNA_FPStartDate,0,COLUMN()),INDEX(MO_Common_QEndDate,0,COLUMN())),"N/A")</f>
        <v/>
      </c>
      <c r="BT1404" s="1714">
        <f>IFERROR(CIQAVG(MO.Ticker.CapIQ,"IQ_LASTSALEPRICE",INDEX(MO_SNA_FPStartDate,0,COLUMN()),INDEX(MO_Common_QEndDate,0,COLUMN())),"N/A")</f>
        <v/>
      </c>
      <c r="BU1404" s="1714">
        <f>IFERROR(CIQAVG(MO.Ticker.CapIQ,"IQ_LASTSALEPRICE",INDEX(MO_SNA_FPStartDate,0,COLUMN()),INDEX(MO_Common_QEndDate,0,COLUMN())),"N/A")</f>
        <v/>
      </c>
      <c r="BV1404" s="1714">
        <f>IFERROR(CIQAVG(MO.Ticker.CapIQ,"IQ_LASTSALEPRICE",INDEX(MO_SNA_FPStartDate,0,COLUMN()),INDEX(MO_Common_QEndDate,0,COLUMN())),"N/A")</f>
        <v/>
      </c>
      <c r="BW1404" s="1714">
        <f>IFERROR(CIQAVG(MO.Ticker.CapIQ,"IQ_LASTSALEPRICE",INDEX(MO_SNA_FPStartDate,0,COLUMN()),INDEX(MO_Common_QEndDate,0,COLUMN())),"N/A")</f>
        <v/>
      </c>
      <c r="BX1404" s="1714">
        <f>IFERROR(CIQAVG(MO.Ticker.CapIQ,"IQ_LASTSALEPRICE",INDEX(MO_SNA_FPStartDate,0,COLUMN()),INDEX(MO_Common_QEndDate,0,COLUMN())),"N/A")</f>
        <v/>
      </c>
      <c r="BY1404" s="1714">
        <f>IFERROR(CIQAVG(MO.Ticker.CapIQ,"IQ_LASTSALEPRICE",INDEX(MO_SNA_FPStartDate,0,COLUMN()),INDEX(MO_Common_QEndDate,0,COLUMN())),"N/A")</f>
        <v/>
      </c>
      <c r="BZ1404" s="1714">
        <f>IFERROR(CIQAVG(MO.Ticker.CapIQ,"IQ_LASTSALEPRICE",INDEX(MO_SNA_FPStartDate,0,COLUMN()),INDEX(MO_Common_QEndDate,0,COLUMN())),"N/A")</f>
        <v/>
      </c>
      <c r="CA1404" s="2037">
        <f>IFERROR(CIQAVG(MO.Ticker.CapIQ,"IQ_LASTSALEPRICE",INDEX(MO_SNA_FPStartDate,0,COLUMN()),INDEX(MO_Common_QEndDate,0,COLUMN())),"N/A")</f>
        <v/>
      </c>
      <c r="CB1404" s="2038" t="n"/>
    </row>
    <row r="1405" hidden="1" outlineLevel="1" ht="14.4" customFormat="1" customHeight="1" s="1905">
      <c r="A1405" s="2039" t="inlineStr">
        <is>
          <t>FactSet</t>
        </is>
      </c>
      <c r="B1405" s="1714" t="n"/>
      <c r="C1405" s="2036">
        <f>IFERROR(FDS(MO.Ticker.FactSet,"P_PRICE_AVG"&amp;"("&amp;INDEX(MO_SNA_FPStartDate,0,COLUMN())&amp;","&amp;INDEX(MO_Common_QEndDate,0,COLUMN())&amp;",,,,""PRICE"",""CLOSE"")"),"N/A")</f>
        <v/>
      </c>
      <c r="D1405" s="2036">
        <f>IFERROR(FDS(MO.Ticker.FactSet,"P_PRICE_AVG"&amp;"("&amp;INDEX(MO_SNA_FPStartDate,0,COLUMN())&amp;","&amp;INDEX(MO_Common_QEndDate,0,COLUMN())&amp;",,,,""PRICE"",""CLOSE"")"),"N/A")</f>
        <v/>
      </c>
      <c r="E1405" s="2036">
        <f>IFERROR(FDS(MO.Ticker.FactSet,"P_PRICE_AVG"&amp;"("&amp;INDEX(MO_SNA_FPStartDate,0,COLUMN())&amp;","&amp;INDEX(MO_Common_QEndDate,0,COLUMN())&amp;",,,,""PRICE"",""CLOSE"")"),"N/A")</f>
        <v/>
      </c>
      <c r="F1405" s="2036">
        <f>IFERROR(FDS(MO.Ticker.FactSet,"P_PRICE_AVG"&amp;"("&amp;INDEX(MO_SNA_FPStartDate,0,COLUMN())&amp;","&amp;INDEX(MO_Common_QEndDate,0,COLUMN())&amp;",,,,""PRICE"",""CLOSE"")"),"N/A")</f>
        <v/>
      </c>
      <c r="G1405" s="2036">
        <f>IFERROR(FDS(MO.Ticker.FactSet,"P_PRICE_AVG"&amp;"("&amp;INDEX(MO_SNA_FPStartDate,0,COLUMN())&amp;","&amp;INDEX(MO_Common_QEndDate,0,COLUMN())&amp;",,,,""PRICE"",""CLOSE"")"),"N/A")</f>
        <v/>
      </c>
      <c r="H1405" s="1714">
        <f>IFERROR(FDS(MO.Ticker.FactSet,"P_PRICE_AVG"&amp;"("&amp;INDEX(MO_SNA_FPStartDate,0,COLUMN())&amp;","&amp;INDEX(MO_Common_QEndDate,0,COLUMN())&amp;",,,,""PRICE"",""CLOSE"")"),"N/A")</f>
        <v/>
      </c>
      <c r="I1405" s="1714">
        <f>IFERROR(FDS(MO.Ticker.FactSet,"P_PRICE_AVG"&amp;"("&amp;INDEX(MO_SNA_FPStartDate,0,COLUMN())&amp;","&amp;INDEX(MO_Common_QEndDate,0,COLUMN())&amp;",,,,""PRICE"",""CLOSE"")"),"N/A")</f>
        <v/>
      </c>
      <c r="J1405" s="1714">
        <f>IFERROR(FDS(MO.Ticker.FactSet,"P_PRICE_AVG"&amp;"("&amp;INDEX(MO_SNA_FPStartDate,0,COLUMN())&amp;","&amp;INDEX(MO_Common_QEndDate,0,COLUMN())&amp;",,,,""PRICE"",""CLOSE"")"),"N/A")</f>
        <v/>
      </c>
      <c r="K1405" s="1714">
        <f>IFERROR(FDS(MO.Ticker.FactSet,"P_PRICE_AVG"&amp;"("&amp;INDEX(MO_SNA_FPStartDate,0,COLUMN())&amp;","&amp;INDEX(MO_Common_QEndDate,0,COLUMN())&amp;",,,,""PRICE"",""CLOSE"")"),"N/A")</f>
        <v/>
      </c>
      <c r="L1405" s="1714">
        <f>IFERROR(FDS(MO.Ticker.FactSet,"P_PRICE_AVG"&amp;"("&amp;INDEX(MO_SNA_FPStartDate,0,COLUMN())&amp;","&amp;INDEX(MO_Common_QEndDate,0,COLUMN())&amp;",,,,""PRICE"",""CLOSE"")"),"N/A")</f>
        <v/>
      </c>
      <c r="M1405" s="1714">
        <f>IFERROR(FDS(MO.Ticker.FactSet,"P_PRICE_AVG"&amp;"("&amp;INDEX(MO_SNA_FPStartDate,0,COLUMN())&amp;","&amp;INDEX(MO_Common_QEndDate,0,COLUMN())&amp;",,,,""PRICE"",""CLOSE"")"),"N/A")</f>
        <v/>
      </c>
      <c r="N1405" s="1714">
        <f>IFERROR(FDS(MO.Ticker.FactSet,"P_PRICE_AVG"&amp;"("&amp;INDEX(MO_SNA_FPStartDate,0,COLUMN())&amp;","&amp;INDEX(MO_Common_QEndDate,0,COLUMN())&amp;",,,,""PRICE"",""CLOSE"")"),"N/A")</f>
        <v/>
      </c>
      <c r="O1405" s="1714">
        <f>IFERROR(FDS(MO.Ticker.FactSet,"P_PRICE_AVG"&amp;"("&amp;INDEX(MO_SNA_FPStartDate,0,COLUMN())&amp;","&amp;INDEX(MO_Common_QEndDate,0,COLUMN())&amp;",,,,""PRICE"",""CLOSE"")"),"N/A")</f>
        <v/>
      </c>
      <c r="P1405" s="1714">
        <f>IFERROR(FDS(MO.Ticker.FactSet,"P_PRICE_AVG"&amp;"("&amp;INDEX(MO_SNA_FPStartDate,0,COLUMN())&amp;","&amp;INDEX(MO_Common_QEndDate,0,COLUMN())&amp;",,,,""PRICE"",""CLOSE"")"),"N/A")</f>
        <v/>
      </c>
      <c r="Q1405" s="1714">
        <f>IFERROR(FDS(MO.Ticker.FactSet,"P_PRICE_AVG"&amp;"("&amp;INDEX(MO_SNA_FPStartDate,0,COLUMN())&amp;","&amp;INDEX(MO_Common_QEndDate,0,COLUMN())&amp;",,,,""PRICE"",""CLOSE"")"),"N/A")</f>
        <v/>
      </c>
      <c r="R1405" s="1714">
        <f>IFERROR(FDS(MO.Ticker.FactSet,"P_PRICE_AVG"&amp;"("&amp;INDEX(MO_SNA_FPStartDate,0,COLUMN())&amp;","&amp;INDEX(MO_Common_QEndDate,0,COLUMN())&amp;",,,,""PRICE"",""CLOSE"")"),"N/A")</f>
        <v/>
      </c>
      <c r="S1405" s="1714">
        <f>IFERROR(FDS(MO.Ticker.FactSet,"P_PRICE_AVG"&amp;"("&amp;INDEX(MO_SNA_FPStartDate,0,COLUMN())&amp;","&amp;INDEX(MO_Common_QEndDate,0,COLUMN())&amp;",,,,""PRICE"",""CLOSE"")"),"N/A")</f>
        <v/>
      </c>
      <c r="T1405" s="1714">
        <f>IFERROR(FDS(MO.Ticker.FactSet,"P_PRICE_AVG"&amp;"("&amp;INDEX(MO_SNA_FPStartDate,0,COLUMN())&amp;","&amp;INDEX(MO_Common_QEndDate,0,COLUMN())&amp;",,,,""PRICE"",""CLOSE"")"),"N/A")</f>
        <v/>
      </c>
      <c r="U1405" s="1714">
        <f>IFERROR(FDS(MO.Ticker.FactSet,"P_PRICE_AVG"&amp;"("&amp;INDEX(MO_SNA_FPStartDate,0,COLUMN())&amp;","&amp;INDEX(MO_Common_QEndDate,0,COLUMN())&amp;",,,,""PRICE"",""CLOSE"")"),"N/A")</f>
        <v/>
      </c>
      <c r="V1405" s="1714">
        <f>IFERROR(FDS(MO.Ticker.FactSet,"P_PRICE_AVG"&amp;"("&amp;INDEX(MO_SNA_FPStartDate,0,COLUMN())&amp;","&amp;INDEX(MO_Common_QEndDate,0,COLUMN())&amp;",,,,""PRICE"",""CLOSE"")"),"N/A")</f>
        <v/>
      </c>
      <c r="W1405" s="1714">
        <f>IFERROR(FDS(MO.Ticker.FactSet,"P_PRICE_AVG"&amp;"("&amp;INDEX(MO_SNA_FPStartDate,0,COLUMN())&amp;","&amp;INDEX(MO_Common_QEndDate,0,COLUMN())&amp;",,,,""PRICE"",""CLOSE"")"),"N/A")</f>
        <v/>
      </c>
      <c r="X1405" s="1714">
        <f>IFERROR(FDS(MO.Ticker.FactSet,"P_PRICE_AVG"&amp;"("&amp;INDEX(MO_SNA_FPStartDate,0,COLUMN())&amp;","&amp;INDEX(MO_Common_QEndDate,0,COLUMN())&amp;",,,,""PRICE"",""CLOSE"")"),"N/A")</f>
        <v/>
      </c>
      <c r="Y1405" s="1714">
        <f>IFERROR(FDS(MO.Ticker.FactSet,"P_PRICE_AVG"&amp;"("&amp;INDEX(MO_SNA_FPStartDate,0,COLUMN())&amp;","&amp;INDEX(MO_Common_QEndDate,0,COLUMN())&amp;",,,,""PRICE"",""CLOSE"")"),"N/A")</f>
        <v/>
      </c>
      <c r="Z1405" s="1714">
        <f>IFERROR(FDS(MO.Ticker.FactSet,"P_PRICE_AVG"&amp;"("&amp;INDEX(MO_SNA_FPStartDate,0,COLUMN())&amp;","&amp;INDEX(MO_Common_QEndDate,0,COLUMN())&amp;",,,,""PRICE"",""CLOSE"")"),"N/A")</f>
        <v/>
      </c>
      <c r="AA1405" s="1714">
        <f>IFERROR(FDS(MO.Ticker.FactSet,"P_PRICE_AVG"&amp;"("&amp;INDEX(MO_SNA_FPStartDate,0,COLUMN())&amp;","&amp;INDEX(MO_Common_QEndDate,0,COLUMN())&amp;",,,,""PRICE"",""CLOSE"")"),"N/A")</f>
        <v/>
      </c>
      <c r="AB1405" s="1714">
        <f>IFERROR(FDS(MO.Ticker.FactSet,"P_PRICE_AVG"&amp;"("&amp;INDEX(MO_SNA_FPStartDate,0,COLUMN())&amp;","&amp;INDEX(MO_Common_QEndDate,0,COLUMN())&amp;",,,,""PRICE"",""CLOSE"")"),"N/A")</f>
        <v/>
      </c>
      <c r="AC1405" s="1714">
        <f>IFERROR(FDS(MO.Ticker.FactSet,"P_PRICE_AVG"&amp;"("&amp;INDEX(MO_SNA_FPStartDate,0,COLUMN())&amp;","&amp;INDEX(MO_Common_QEndDate,0,COLUMN())&amp;",,,,""PRICE"",""CLOSE"")"),"N/A")</f>
        <v/>
      </c>
      <c r="AD1405" s="1714">
        <f>IFERROR(FDS(MO.Ticker.FactSet,"P_PRICE_AVG"&amp;"("&amp;INDEX(MO_SNA_FPStartDate,0,COLUMN())&amp;","&amp;INDEX(MO_Common_QEndDate,0,COLUMN())&amp;",,,,""PRICE"",""CLOSE"")"),"N/A")</f>
        <v/>
      </c>
      <c r="AE1405" s="1714">
        <f>IFERROR(FDS(MO.Ticker.FactSet,"P_PRICE_AVG"&amp;"("&amp;INDEX(MO_SNA_FPStartDate,0,COLUMN())&amp;","&amp;INDEX(MO_Common_QEndDate,0,COLUMN())&amp;",,,,""PRICE"",""CLOSE"")"),"N/A")</f>
        <v/>
      </c>
      <c r="AF1405" s="1714">
        <f>IFERROR(FDS(MO.Ticker.FactSet,"P_PRICE_AVG"&amp;"("&amp;INDEX(MO_SNA_FPStartDate,0,COLUMN())&amp;","&amp;INDEX(MO_Common_QEndDate,0,COLUMN())&amp;",,,,""PRICE"",""CLOSE"")"),"N/A")</f>
        <v/>
      </c>
      <c r="AG1405" s="1714">
        <f>IFERROR(FDS(MO.Ticker.FactSet,"P_PRICE_AVG"&amp;"("&amp;INDEX(MO_SNA_FPStartDate,0,COLUMN())&amp;","&amp;INDEX(MO_Common_QEndDate,0,COLUMN())&amp;",,,,""PRICE"",""CLOSE"")"),"N/A")</f>
        <v/>
      </c>
      <c r="AH1405" s="1714">
        <f>IFERROR(FDS(MO.Ticker.FactSet,"P_PRICE_AVG"&amp;"("&amp;INDEX(MO_SNA_FPStartDate,0,COLUMN())&amp;","&amp;INDEX(MO_Common_QEndDate,0,COLUMN())&amp;",,,,""PRICE"",""CLOSE"")"),"N/A")</f>
        <v/>
      </c>
      <c r="AI1405" s="1714">
        <f>IFERROR(FDS(MO.Ticker.FactSet,"P_PRICE_AVG"&amp;"("&amp;INDEX(MO_SNA_FPStartDate,0,COLUMN())&amp;","&amp;INDEX(MO_Common_QEndDate,0,COLUMN())&amp;",,,,""PRICE"",""CLOSE"")"),"N/A")</f>
        <v/>
      </c>
      <c r="AJ1405" s="1714">
        <f>IFERROR(FDS(MO.Ticker.FactSet,"P_PRICE_AVG"&amp;"("&amp;INDEX(MO_SNA_FPStartDate,0,COLUMN())&amp;","&amp;INDEX(MO_Common_QEndDate,0,COLUMN())&amp;",,,,""PRICE"",""CLOSE"")"),"N/A")</f>
        <v/>
      </c>
      <c r="AK1405" s="1714">
        <f>IFERROR(FDS(MO.Ticker.FactSet,"P_PRICE_AVG"&amp;"("&amp;INDEX(MO_SNA_FPStartDate,0,COLUMN())&amp;","&amp;INDEX(MO_Common_QEndDate,0,COLUMN())&amp;",,,,""PRICE"",""CLOSE"")"),"N/A")</f>
        <v/>
      </c>
      <c r="AL1405" s="1714">
        <f>IFERROR(FDS(MO.Ticker.FactSet,"P_PRICE_AVG"&amp;"("&amp;INDEX(MO_SNA_FPStartDate,0,COLUMN())&amp;","&amp;INDEX(MO_Common_QEndDate,0,COLUMN())&amp;",,,,""PRICE"",""CLOSE"")"),"N/A")</f>
        <v/>
      </c>
      <c r="AM1405" s="1714">
        <f>IFERROR(FDS(MO.Ticker.FactSet,"P_PRICE_AVG"&amp;"("&amp;INDEX(MO_SNA_FPStartDate,0,COLUMN())&amp;","&amp;INDEX(MO_Common_QEndDate,0,COLUMN())&amp;",,,,""PRICE"",""CLOSE"")"),"N/A")</f>
        <v/>
      </c>
      <c r="AN1405" s="1714">
        <f>IFERROR(FDS(MO.Ticker.FactSet,"P_PRICE_AVG"&amp;"("&amp;INDEX(MO_SNA_FPStartDate,0,COLUMN())&amp;","&amp;INDEX(MO_Common_QEndDate,0,COLUMN())&amp;",,,,""PRICE"",""CLOSE"")"),"N/A")</f>
        <v/>
      </c>
      <c r="AO1405" s="1714">
        <f>IFERROR(FDS(MO.Ticker.FactSet,"P_PRICE_AVG"&amp;"("&amp;INDEX(MO_SNA_FPStartDate,0,COLUMN())&amp;","&amp;INDEX(MO_Common_QEndDate,0,COLUMN())&amp;",,,,""PRICE"",""CLOSE"")"),"N/A")</f>
        <v/>
      </c>
      <c r="AP1405" s="1714">
        <f>IFERROR(FDS(MO.Ticker.FactSet,"P_PRICE_AVG"&amp;"("&amp;INDEX(MO_SNA_FPStartDate,0,COLUMN())&amp;","&amp;INDEX(MO_Common_QEndDate,0,COLUMN())&amp;",,,,""PRICE"",""CLOSE"")"),"N/A")</f>
        <v/>
      </c>
      <c r="AQ1405" s="1714">
        <f>IFERROR(FDS(MO.Ticker.FactSet,"P_PRICE_AVG"&amp;"("&amp;INDEX(MO_SNA_FPStartDate,0,COLUMN())&amp;","&amp;INDEX(MO_Common_QEndDate,0,COLUMN())&amp;",,,,""PRICE"",""CLOSE"")"),"N/A")</f>
        <v/>
      </c>
      <c r="AR1405" s="1714">
        <f>IFERROR(FDS(MO.Ticker.FactSet,"P_PRICE_AVG"&amp;"("&amp;INDEX(MO_SNA_FPStartDate,0,COLUMN())&amp;","&amp;INDEX(MO_Common_QEndDate,0,COLUMN())&amp;",,,,""PRICE"",""CLOSE"")"),"N/A")</f>
        <v/>
      </c>
      <c r="AS1405" s="1714">
        <f>IFERROR(FDS(MO.Ticker.FactSet,"P_PRICE_AVG"&amp;"("&amp;INDEX(MO_SNA_FPStartDate,0,COLUMN())&amp;","&amp;INDEX(MO_Common_QEndDate,0,COLUMN())&amp;",,,,""PRICE"",""CLOSE"")"),"N/A")</f>
        <v/>
      </c>
      <c r="AT1405" s="1714">
        <f>IFERROR(FDS(MO.Ticker.FactSet,"P_PRICE_AVG"&amp;"("&amp;INDEX(MO_SNA_FPStartDate,0,COLUMN())&amp;","&amp;INDEX(MO_Common_QEndDate,0,COLUMN())&amp;",,,,""PRICE"",""CLOSE"")"),"N/A")</f>
        <v/>
      </c>
      <c r="AU1405" s="1714">
        <f>IFERROR(FDS(MO.Ticker.FactSet,"P_PRICE_AVG"&amp;"("&amp;INDEX(MO_SNA_FPStartDate,0,COLUMN())&amp;","&amp;INDEX(MO_Common_QEndDate,0,COLUMN())&amp;",,,,""PRICE"",""CLOSE"")"),"N/A")</f>
        <v/>
      </c>
      <c r="AV1405" s="1714">
        <f>IFERROR(FDS(MO.Ticker.FactSet,"P_PRICE_AVG"&amp;"("&amp;INDEX(MO_SNA_FPStartDate,0,COLUMN())&amp;","&amp;INDEX(MO_Common_QEndDate,0,COLUMN())&amp;",,,,""PRICE"",""CLOSE"")"),"N/A")</f>
        <v/>
      </c>
      <c r="AW1405" s="1714">
        <f>IFERROR(FDS(MO.Ticker.FactSet,"P_PRICE_AVG"&amp;"("&amp;INDEX(MO_SNA_FPStartDate,0,COLUMN())&amp;","&amp;INDEX(MO_Common_QEndDate,0,COLUMN())&amp;",,,,""PRICE"",""CLOSE"")"),"N/A")</f>
        <v/>
      </c>
      <c r="AX1405" s="1714">
        <f>IFERROR(FDS(MO.Ticker.FactSet,"P_PRICE_AVG"&amp;"("&amp;INDEX(MO_SNA_FPStartDate,0,COLUMN())&amp;","&amp;INDEX(MO_Common_QEndDate,0,COLUMN())&amp;",,,,""PRICE"",""CLOSE"")"),"N/A")</f>
        <v/>
      </c>
      <c r="AY1405" s="1714">
        <f>IFERROR(FDS(MO.Ticker.FactSet,"P_PRICE_AVG"&amp;"("&amp;INDEX(MO_SNA_FPStartDate,0,COLUMN())&amp;","&amp;INDEX(MO_Common_QEndDate,0,COLUMN())&amp;",,,,""PRICE"",""CLOSE"")"),"N/A")</f>
        <v/>
      </c>
      <c r="AZ1405" s="1714">
        <f>IFERROR(FDS(MO.Ticker.FactSet,"P_PRICE_AVG"&amp;"("&amp;INDEX(MO_SNA_FPStartDate,0,COLUMN())&amp;","&amp;INDEX(MO_Common_QEndDate,0,COLUMN())&amp;",,,,""PRICE"",""CLOSE"")"),"N/A")</f>
        <v/>
      </c>
      <c r="BA1405" s="1714">
        <f>IFERROR(FDS(MO.Ticker.FactSet,"P_PRICE_AVG"&amp;"("&amp;INDEX(MO_SNA_FPStartDate,0,COLUMN())&amp;","&amp;INDEX(MO_Common_QEndDate,0,COLUMN())&amp;",,,,""PRICE"",""CLOSE"")"),"N/A")</f>
        <v/>
      </c>
      <c r="BB1405" s="1714">
        <f>IFERROR(FDS(MO.Ticker.FactSet,"P_PRICE_AVG"&amp;"("&amp;INDEX(MO_SNA_FPStartDate,0,COLUMN())&amp;","&amp;INDEX(MO_Common_QEndDate,0,COLUMN())&amp;",,,,""PRICE"",""CLOSE"")"),"N/A")</f>
        <v/>
      </c>
      <c r="BC1405" s="1714">
        <f>IFERROR(FDS(MO.Ticker.FactSet,"P_PRICE_AVG"&amp;"("&amp;INDEX(MO_SNA_FPStartDate,0,COLUMN())&amp;","&amp;INDEX(MO_Common_QEndDate,0,COLUMN())&amp;",,,,""PRICE"",""CLOSE"")"),"N/A")</f>
        <v/>
      </c>
      <c r="BD1405" s="1714">
        <f>IFERROR(FDS(MO.Ticker.FactSet,"P_PRICE_AVG"&amp;"("&amp;INDEX(MO_SNA_FPStartDate,0,COLUMN())&amp;","&amp;INDEX(MO_Common_QEndDate,0,COLUMN())&amp;",,,,""PRICE"",""CLOSE"")"),"N/A")</f>
        <v/>
      </c>
      <c r="BE1405" s="1714">
        <f>IFERROR(FDS(MO.Ticker.FactSet,"P_PRICE_AVG"&amp;"("&amp;INDEX(MO_SNA_FPStartDate,0,COLUMN())&amp;","&amp;INDEX(MO_Common_QEndDate,0,COLUMN())&amp;",,,,""PRICE"",""CLOSE"")"),"N/A")</f>
        <v/>
      </c>
      <c r="BF1405" s="1714">
        <f>IFERROR(FDS(MO.Ticker.FactSet,"P_PRICE_AVG"&amp;"("&amp;INDEX(MO_SNA_FPStartDate,0,COLUMN())&amp;","&amp;INDEX(MO_Common_QEndDate,0,COLUMN())&amp;",,,,""PRICE"",""CLOSE"")"),"N/A")</f>
        <v/>
      </c>
      <c r="BG1405" s="1714">
        <f>IFERROR(FDS(MO.Ticker.FactSet,"P_PRICE_AVG"&amp;"("&amp;INDEX(MO_SNA_FPStartDate,0,COLUMN())&amp;","&amp;INDEX(MO_Common_QEndDate,0,COLUMN())&amp;",,,,""PRICE"",""CLOSE"")"),"N/A")</f>
        <v/>
      </c>
      <c r="BH1405" s="1714">
        <f>IFERROR(FDS(MO.Ticker.FactSet,"P_PRICE_AVG"&amp;"("&amp;INDEX(MO_SNA_FPStartDate,0,COLUMN())&amp;","&amp;INDEX(MO_Common_QEndDate,0,COLUMN())&amp;",,,,""PRICE"",""CLOSE"")"),"N/A")</f>
        <v/>
      </c>
      <c r="BI1405" s="1714">
        <f>IFERROR(FDS(MO.Ticker.FactSet,"P_PRICE_AVG"&amp;"("&amp;INDEX(MO_SNA_FPStartDate,0,COLUMN())&amp;","&amp;INDEX(MO_Common_QEndDate,0,COLUMN())&amp;",,,,""PRICE"",""CLOSE"")"),"N/A")</f>
        <v/>
      </c>
      <c r="BJ1405" s="1714">
        <f>IFERROR(FDS(MO.Ticker.FactSet,"P_PRICE_AVG"&amp;"("&amp;INDEX(MO_SNA_FPStartDate,0,COLUMN())&amp;","&amp;INDEX(MO_Common_QEndDate,0,COLUMN())&amp;",,,,""PRICE"",""CLOSE"")"),"N/A")</f>
        <v/>
      </c>
      <c r="BK1405" s="1714">
        <f>IFERROR(FDS(MO.Ticker.FactSet,"P_PRICE_AVG"&amp;"("&amp;INDEX(MO_SNA_FPStartDate,0,COLUMN())&amp;","&amp;INDEX(MO_Common_QEndDate,0,COLUMN())&amp;",,,,""PRICE"",""CLOSE"")"),"N/A")</f>
        <v/>
      </c>
      <c r="BL1405" s="1714">
        <f>IFERROR(FDS(MO.Ticker.FactSet,"P_PRICE_AVG"&amp;"("&amp;INDEX(MO_SNA_FPStartDate,0,COLUMN())&amp;","&amp;INDEX(MO_Common_QEndDate,0,COLUMN())&amp;",,,,""PRICE"",""CLOSE"")"),"N/A")</f>
        <v/>
      </c>
      <c r="BM1405" s="1714">
        <f>IFERROR(FDS(MO.Ticker.FactSet,"P_PRICE_AVG"&amp;"("&amp;INDEX(MO_SNA_FPStartDate,0,COLUMN())&amp;","&amp;INDEX(MO_Common_QEndDate,0,COLUMN())&amp;",,,,""PRICE"",""CLOSE"")"),"N/A")</f>
        <v/>
      </c>
      <c r="BN1405" s="1714">
        <f>IFERROR(FDS(MO.Ticker.FactSet,"P_PRICE_AVG"&amp;"("&amp;INDEX(MO_SNA_FPStartDate,0,COLUMN())&amp;","&amp;INDEX(MO_Common_QEndDate,0,COLUMN())&amp;",,,,""PRICE"",""CLOSE"")"),"N/A")</f>
        <v/>
      </c>
      <c r="BO1405" s="1714">
        <f>IFERROR(FDS(MO.Ticker.FactSet,"P_PRICE_AVG"&amp;"("&amp;INDEX(MO_SNA_FPStartDate,0,COLUMN())&amp;","&amp;INDEX(MO_Common_QEndDate,0,COLUMN())&amp;",,,,""PRICE"",""CLOSE"")"),"N/A")</f>
        <v/>
      </c>
      <c r="BP1405" s="1714">
        <f>IFERROR(FDS(MO.Ticker.FactSet,"P_PRICE_AVG"&amp;"("&amp;INDEX(MO_SNA_FPStartDate,0,COLUMN())&amp;","&amp;INDEX(MO_Common_QEndDate,0,COLUMN())&amp;",,,,""PRICE"",""CLOSE"")"),"N/A")</f>
        <v/>
      </c>
      <c r="BQ1405" s="1717">
        <f>IFERROR(FDS(MO.Ticker.FactSet,"P_PRICE_AVG"&amp;"("&amp;INDEX(MO_SNA_FPStartDate,0,COLUMN())&amp;","&amp;INDEX(MO_Common_QEndDate,0,COLUMN())&amp;",,,,""PRICE"",""CLOSE"")"),"N/A")</f>
        <v/>
      </c>
      <c r="BR1405" s="1714">
        <f>IFERROR(FDS(MO.Ticker.FactSet,"P_PRICE_AVG"&amp;"("&amp;INDEX(MO_SNA_FPStartDate,0,COLUMN())&amp;","&amp;INDEX(MO_Common_QEndDate,0,COLUMN())&amp;",,,,""PRICE"",""CLOSE"")"),"N/A")</f>
        <v/>
      </c>
      <c r="BS1405" s="1714">
        <f>IFERROR(FDS(MO.Ticker.FactSet,"P_PRICE_AVG"&amp;"("&amp;INDEX(MO_SNA_FPStartDate,0,COLUMN())&amp;","&amp;INDEX(MO_Common_QEndDate,0,COLUMN())&amp;",,,,""PRICE"",""CLOSE"")"),"N/A")</f>
        <v/>
      </c>
      <c r="BT1405" s="1714">
        <f>IFERROR(FDS(MO.Ticker.FactSet,"P_PRICE_AVG"&amp;"("&amp;INDEX(MO_SNA_FPStartDate,0,COLUMN())&amp;","&amp;INDEX(MO_Common_QEndDate,0,COLUMN())&amp;",,,,""PRICE"",""CLOSE"")"),"N/A")</f>
        <v/>
      </c>
      <c r="BU1405" s="1714">
        <f>IFERROR(FDS(MO.Ticker.FactSet,"P_PRICE_AVG"&amp;"("&amp;INDEX(MO_SNA_FPStartDate,0,COLUMN())&amp;","&amp;INDEX(MO_Common_QEndDate,0,COLUMN())&amp;",,,,""PRICE"",""CLOSE"")"),"N/A")</f>
        <v/>
      </c>
      <c r="BV1405" s="1714">
        <f>IFERROR(FDS(MO.Ticker.FactSet,"P_PRICE_AVG"&amp;"("&amp;INDEX(MO_SNA_FPStartDate,0,COLUMN())&amp;","&amp;INDEX(MO_Common_QEndDate,0,COLUMN())&amp;",,,,""PRICE"",""CLOSE"")"),"N/A")</f>
        <v/>
      </c>
      <c r="BW1405" s="1714">
        <f>IFERROR(FDS(MO.Ticker.FactSet,"P_PRICE_AVG"&amp;"("&amp;INDEX(MO_SNA_FPStartDate,0,COLUMN())&amp;","&amp;INDEX(MO_Common_QEndDate,0,COLUMN())&amp;",,,,""PRICE"",""CLOSE"")"),"N/A")</f>
        <v/>
      </c>
      <c r="BX1405" s="1714">
        <f>IFERROR(FDS(MO.Ticker.FactSet,"P_PRICE_AVG"&amp;"("&amp;INDEX(MO_SNA_FPStartDate,0,COLUMN())&amp;","&amp;INDEX(MO_Common_QEndDate,0,COLUMN())&amp;",,,,""PRICE"",""CLOSE"")"),"N/A")</f>
        <v/>
      </c>
      <c r="BY1405" s="1714">
        <f>IFERROR(FDS(MO.Ticker.FactSet,"P_PRICE_AVG"&amp;"("&amp;INDEX(MO_SNA_FPStartDate,0,COLUMN())&amp;","&amp;INDEX(MO_Common_QEndDate,0,COLUMN())&amp;",,,,""PRICE"",""CLOSE"")"),"N/A")</f>
        <v/>
      </c>
      <c r="BZ1405" s="1714">
        <f>IFERROR(FDS(MO.Ticker.FactSet,"P_PRICE_AVG"&amp;"("&amp;INDEX(MO_SNA_FPStartDate,0,COLUMN())&amp;","&amp;INDEX(MO_Common_QEndDate,0,COLUMN())&amp;",,,,""PRICE"",""CLOSE"")"),"N/A")</f>
        <v/>
      </c>
      <c r="CA1405" s="2037">
        <f>IFERROR(FDS(MO.Ticker.FactSet,"P_PRICE_AVG"&amp;"("&amp;INDEX(MO_SNA_FPStartDate,0,COLUMN())&amp;","&amp;INDEX(MO_Common_QEndDate,0,COLUMN())&amp;",,,,""PRICE"",""CLOSE"")"),"N/A")</f>
        <v/>
      </c>
      <c r="CB1405" s="2038" t="n"/>
    </row>
    <row r="1406" hidden="1" outlineLevel="1" ht="14.4" customFormat="1" customHeight="1" s="1905">
      <c r="A1406" s="2039" t="inlineStr">
        <is>
          <t>Refinitiv</t>
        </is>
      </c>
      <c r="B1406" s="1714" t="n"/>
      <c r="C1406" s="2036">
        <f>IFERROR(_xll.TR(MO.Ticker.Thomson,"AVG(TR.Priceclose)","sdate:#1 edate:#2",,INDEX(MO_SNA_FPStartDate,0,COLUMN()),INDEX(MO_Common_QEndDate,0,COLUMN())),"N/A")</f>
        <v/>
      </c>
      <c r="D1406" s="2036">
        <f>IFERROR(_xll.TR(MO.Ticker.Thomson,"AVG(TR.Priceclose)","sdate:#1 edate:#2",,INDEX(MO_SNA_FPStartDate,0,COLUMN()),INDEX(MO_Common_QEndDate,0,COLUMN())),"N/A")</f>
        <v/>
      </c>
      <c r="E1406" s="2036">
        <f>IFERROR(_xll.TR(MO.Ticker.Thomson,"AVG(TR.Priceclose)","sdate:#1 edate:#2",,INDEX(MO_SNA_FPStartDate,0,COLUMN()),INDEX(MO_Common_QEndDate,0,COLUMN())),"N/A")</f>
        <v/>
      </c>
      <c r="F1406" s="2036">
        <f>IFERROR(_xll.TR(MO.Ticker.Thomson,"AVG(TR.Priceclose)","sdate:#1 edate:#2",,INDEX(MO_SNA_FPStartDate,0,COLUMN()),INDEX(MO_Common_QEndDate,0,COLUMN())),"N/A")</f>
        <v/>
      </c>
      <c r="G1406" s="2036">
        <f>IFERROR(_xll.TR(MO.Ticker.Thomson,"AVG(TR.Priceclose)","sdate:#1 edate:#2",,INDEX(MO_SNA_FPStartDate,0,COLUMN()),INDEX(MO_Common_QEndDate,0,COLUMN())),"N/A")</f>
        <v/>
      </c>
      <c r="H1406" s="1714">
        <f>IFERROR(_xll.TR(MO.Ticker.Thomson,"AVG(TR.Priceclose)","sdate:#1 edate:#2",,INDEX(MO_SNA_FPStartDate,0,COLUMN()),INDEX(MO_Common_QEndDate,0,COLUMN())),"N/A")</f>
        <v/>
      </c>
      <c r="I1406" s="1714">
        <f>IFERROR(_xll.TR(MO.Ticker.Thomson,"AVG(TR.Priceclose)","sdate:#1 edate:#2",,INDEX(MO_SNA_FPStartDate,0,COLUMN()),INDEX(MO_Common_QEndDate,0,COLUMN())),"N/A")</f>
        <v/>
      </c>
      <c r="J1406" s="1714">
        <f>IFERROR(_xll.TR(MO.Ticker.Thomson,"AVG(TR.Priceclose)","sdate:#1 edate:#2",,INDEX(MO_SNA_FPStartDate,0,COLUMN()),INDEX(MO_Common_QEndDate,0,COLUMN())),"N/A")</f>
        <v/>
      </c>
      <c r="K1406" s="1714">
        <f>IFERROR(_xll.TR(MO.Ticker.Thomson,"AVG(TR.Priceclose)","sdate:#1 edate:#2",,INDEX(MO_SNA_FPStartDate,0,COLUMN()),INDEX(MO_Common_QEndDate,0,COLUMN())),"N/A")</f>
        <v/>
      </c>
      <c r="L1406" s="1714">
        <f>IFERROR(_xll.TR(MO.Ticker.Thomson,"AVG(TR.Priceclose)","sdate:#1 edate:#2",,INDEX(MO_SNA_FPStartDate,0,COLUMN()),INDEX(MO_Common_QEndDate,0,COLUMN())),"N/A")</f>
        <v/>
      </c>
      <c r="M1406" s="1714">
        <f>IFERROR(_xll.TR(MO.Ticker.Thomson,"AVG(TR.Priceclose)","sdate:#1 edate:#2",,INDEX(MO_SNA_FPStartDate,0,COLUMN()),INDEX(MO_Common_QEndDate,0,COLUMN())),"N/A")</f>
        <v/>
      </c>
      <c r="N1406" s="1714">
        <f>IFERROR(_xll.TR(MO.Ticker.Thomson,"AVG(TR.Priceclose)","sdate:#1 edate:#2",,INDEX(MO_SNA_FPStartDate,0,COLUMN()),INDEX(MO_Common_QEndDate,0,COLUMN())),"N/A")</f>
        <v/>
      </c>
      <c r="O1406" s="1714">
        <f>IFERROR(_xll.TR(MO.Ticker.Thomson,"AVG(TR.Priceclose)","sdate:#1 edate:#2",,INDEX(MO_SNA_FPStartDate,0,COLUMN()),INDEX(MO_Common_QEndDate,0,COLUMN())),"N/A")</f>
        <v/>
      </c>
      <c r="P1406" s="1714">
        <f>IFERROR(_xll.TR(MO.Ticker.Thomson,"AVG(TR.Priceclose)","sdate:#1 edate:#2",,INDEX(MO_SNA_FPStartDate,0,COLUMN()),INDEX(MO_Common_QEndDate,0,COLUMN())),"N/A")</f>
        <v/>
      </c>
      <c r="Q1406" s="1714">
        <f>IFERROR(_xll.TR(MO.Ticker.Thomson,"AVG(TR.Priceclose)","sdate:#1 edate:#2",,INDEX(MO_SNA_FPStartDate,0,COLUMN()),INDEX(MO_Common_QEndDate,0,COLUMN())),"N/A")</f>
        <v/>
      </c>
      <c r="R1406" s="1714">
        <f>IFERROR(_xll.TR(MO.Ticker.Thomson,"AVG(TR.Priceclose)","sdate:#1 edate:#2",,INDEX(MO_SNA_FPStartDate,0,COLUMN()),INDEX(MO_Common_QEndDate,0,COLUMN())),"N/A")</f>
        <v/>
      </c>
      <c r="S1406" s="1714">
        <f>IFERROR(_xll.TR(MO.Ticker.Thomson,"AVG(TR.Priceclose)","sdate:#1 edate:#2",,INDEX(MO_SNA_FPStartDate,0,COLUMN()),INDEX(MO_Common_QEndDate,0,COLUMN())),"N/A")</f>
        <v/>
      </c>
      <c r="T1406" s="1714">
        <f>IFERROR(_xll.TR(MO.Ticker.Thomson,"AVG(TR.Priceclose)","sdate:#1 edate:#2",,INDEX(MO_SNA_FPStartDate,0,COLUMN()),INDEX(MO_Common_QEndDate,0,COLUMN())),"N/A")</f>
        <v/>
      </c>
      <c r="U1406" s="1714">
        <f>IFERROR(_xll.TR(MO.Ticker.Thomson,"AVG(TR.Priceclose)","sdate:#1 edate:#2",,INDEX(MO_SNA_FPStartDate,0,COLUMN()),INDEX(MO_Common_QEndDate,0,COLUMN())),"N/A")</f>
        <v/>
      </c>
      <c r="V1406" s="1714">
        <f>IFERROR(_xll.TR(MO.Ticker.Thomson,"AVG(TR.Priceclose)","sdate:#1 edate:#2",,INDEX(MO_SNA_FPStartDate,0,COLUMN()),INDEX(MO_Common_QEndDate,0,COLUMN())),"N/A")</f>
        <v/>
      </c>
      <c r="W1406" s="1714">
        <f>IFERROR(_xll.TR(MO.Ticker.Thomson,"AVG(TR.Priceclose)","sdate:#1 edate:#2",,INDEX(MO_SNA_FPStartDate,0,COLUMN()),INDEX(MO_Common_QEndDate,0,COLUMN())),"N/A")</f>
        <v/>
      </c>
      <c r="X1406" s="1714">
        <f>IFERROR(_xll.TR(MO.Ticker.Thomson,"AVG(TR.Priceclose)","sdate:#1 edate:#2",,INDEX(MO_SNA_FPStartDate,0,COLUMN()),INDEX(MO_Common_QEndDate,0,COLUMN())),"N/A")</f>
        <v/>
      </c>
      <c r="Y1406" s="1714">
        <f>IFERROR(_xll.TR(MO.Ticker.Thomson,"AVG(TR.Priceclose)","sdate:#1 edate:#2",,INDEX(MO_SNA_FPStartDate,0,COLUMN()),INDEX(MO_Common_QEndDate,0,COLUMN())),"N/A")</f>
        <v/>
      </c>
      <c r="Z1406" s="1714">
        <f>IFERROR(_xll.TR(MO.Ticker.Thomson,"AVG(TR.Priceclose)","sdate:#1 edate:#2",,INDEX(MO_SNA_FPStartDate,0,COLUMN()),INDEX(MO_Common_QEndDate,0,COLUMN())),"N/A")</f>
        <v/>
      </c>
      <c r="AA1406" s="1714">
        <f>IFERROR(_xll.TR(MO.Ticker.Thomson,"AVG(TR.Priceclose)","sdate:#1 edate:#2",,INDEX(MO_SNA_FPStartDate,0,COLUMN()),INDEX(MO_Common_QEndDate,0,COLUMN())),"N/A")</f>
        <v/>
      </c>
      <c r="AB1406" s="1714">
        <f>IFERROR(_xll.TR(MO.Ticker.Thomson,"AVG(TR.Priceclose)","sdate:#1 edate:#2",,INDEX(MO_SNA_FPStartDate,0,COLUMN()),INDEX(MO_Common_QEndDate,0,COLUMN())),"N/A")</f>
        <v/>
      </c>
      <c r="AC1406" s="1714">
        <f>IFERROR(_xll.TR(MO.Ticker.Thomson,"AVG(TR.Priceclose)","sdate:#1 edate:#2",,INDEX(MO_SNA_FPStartDate,0,COLUMN()),INDEX(MO_Common_QEndDate,0,COLUMN())),"N/A")</f>
        <v/>
      </c>
      <c r="AD1406" s="1714">
        <f>IFERROR(_xll.TR(MO.Ticker.Thomson,"AVG(TR.Priceclose)","sdate:#1 edate:#2",,INDEX(MO_SNA_FPStartDate,0,COLUMN()),INDEX(MO_Common_QEndDate,0,COLUMN())),"N/A")</f>
        <v/>
      </c>
      <c r="AE1406" s="1714">
        <f>IFERROR(_xll.TR(MO.Ticker.Thomson,"AVG(TR.Priceclose)","sdate:#1 edate:#2",,INDEX(MO_SNA_FPStartDate,0,COLUMN()),INDEX(MO_Common_QEndDate,0,COLUMN())),"N/A")</f>
        <v/>
      </c>
      <c r="AF1406" s="1714">
        <f>IFERROR(_xll.TR(MO.Ticker.Thomson,"AVG(TR.Priceclose)","sdate:#1 edate:#2",,INDEX(MO_SNA_FPStartDate,0,COLUMN()),INDEX(MO_Common_QEndDate,0,COLUMN())),"N/A")</f>
        <v/>
      </c>
      <c r="AG1406" s="1714">
        <f>IFERROR(_xll.TR(MO.Ticker.Thomson,"AVG(TR.Priceclose)","sdate:#1 edate:#2",,INDEX(MO_SNA_FPStartDate,0,COLUMN()),INDEX(MO_Common_QEndDate,0,COLUMN())),"N/A")</f>
        <v/>
      </c>
      <c r="AH1406" s="1714">
        <f>IFERROR(_xll.TR(MO.Ticker.Thomson,"AVG(TR.Priceclose)","sdate:#1 edate:#2",,INDEX(MO_SNA_FPStartDate,0,COLUMN()),INDEX(MO_Common_QEndDate,0,COLUMN())),"N/A")</f>
        <v/>
      </c>
      <c r="AI1406" s="1714">
        <f>IFERROR(_xll.TR(MO.Ticker.Thomson,"AVG(TR.Priceclose)","sdate:#1 edate:#2",,INDEX(MO_SNA_FPStartDate,0,COLUMN()),INDEX(MO_Common_QEndDate,0,COLUMN())),"N/A")</f>
        <v/>
      </c>
      <c r="AJ1406" s="1714">
        <f>IFERROR(_xll.TR(MO.Ticker.Thomson,"AVG(TR.Priceclose)","sdate:#1 edate:#2",,INDEX(MO_SNA_FPStartDate,0,COLUMN()),INDEX(MO_Common_QEndDate,0,COLUMN())),"N/A")</f>
        <v/>
      </c>
      <c r="AK1406" s="1714">
        <f>IFERROR(_xll.TR(MO.Ticker.Thomson,"AVG(TR.Priceclose)","sdate:#1 edate:#2",,INDEX(MO_SNA_FPStartDate,0,COLUMN()),INDEX(MO_Common_QEndDate,0,COLUMN())),"N/A")</f>
        <v/>
      </c>
      <c r="AL1406" s="1714">
        <f>IFERROR(_xll.TR(MO.Ticker.Thomson,"AVG(TR.Priceclose)","sdate:#1 edate:#2",,INDEX(MO_SNA_FPStartDate,0,COLUMN()),INDEX(MO_Common_QEndDate,0,COLUMN())),"N/A")</f>
        <v/>
      </c>
      <c r="AM1406" s="1714">
        <f>IFERROR(_xll.TR(MO.Ticker.Thomson,"AVG(TR.Priceclose)","sdate:#1 edate:#2",,INDEX(MO_SNA_FPStartDate,0,COLUMN()),INDEX(MO_Common_QEndDate,0,COLUMN())),"N/A")</f>
        <v/>
      </c>
      <c r="AN1406" s="1714">
        <f>IFERROR(_xll.TR(MO.Ticker.Thomson,"AVG(TR.Priceclose)","sdate:#1 edate:#2",,INDEX(MO_SNA_FPStartDate,0,COLUMN()),INDEX(MO_Common_QEndDate,0,COLUMN())),"N/A")</f>
        <v/>
      </c>
      <c r="AO1406" s="1714">
        <f>IFERROR(_xll.TR(MO.Ticker.Thomson,"AVG(TR.Priceclose)","sdate:#1 edate:#2",,INDEX(MO_SNA_FPStartDate,0,COLUMN()),INDEX(MO_Common_QEndDate,0,COLUMN())),"N/A")</f>
        <v/>
      </c>
      <c r="AP1406" s="1714">
        <f>IFERROR(_xll.TR(MO.Ticker.Thomson,"AVG(TR.Priceclose)","sdate:#1 edate:#2",,INDEX(MO_SNA_FPStartDate,0,COLUMN()),INDEX(MO_Common_QEndDate,0,COLUMN())),"N/A")</f>
        <v/>
      </c>
      <c r="AQ1406" s="1714">
        <f>IFERROR(_xll.TR(MO.Ticker.Thomson,"AVG(TR.Priceclose)","sdate:#1 edate:#2",,INDEX(MO_SNA_FPStartDate,0,COLUMN()),INDEX(MO_Common_QEndDate,0,COLUMN())),"N/A")</f>
        <v/>
      </c>
      <c r="AR1406" s="1714">
        <f>IFERROR(_xll.TR(MO.Ticker.Thomson,"AVG(TR.Priceclose)","sdate:#1 edate:#2",,INDEX(MO_SNA_FPStartDate,0,COLUMN()),INDEX(MO_Common_QEndDate,0,COLUMN())),"N/A")</f>
        <v/>
      </c>
      <c r="AS1406" s="1714">
        <f>IFERROR(_xll.TR(MO.Ticker.Thomson,"AVG(TR.Priceclose)","sdate:#1 edate:#2",,INDEX(MO_SNA_FPStartDate,0,COLUMN()),INDEX(MO_Common_QEndDate,0,COLUMN())),"N/A")</f>
        <v/>
      </c>
      <c r="AT1406" s="1714">
        <f>IFERROR(_xll.TR(MO.Ticker.Thomson,"AVG(TR.Priceclose)","sdate:#1 edate:#2",,INDEX(MO_SNA_FPStartDate,0,COLUMN()),INDEX(MO_Common_QEndDate,0,COLUMN())),"N/A")</f>
        <v/>
      </c>
      <c r="AU1406" s="1714">
        <f>IFERROR(_xll.TR(MO.Ticker.Thomson,"AVG(TR.Priceclose)","sdate:#1 edate:#2",,INDEX(MO_SNA_FPStartDate,0,COLUMN()),INDEX(MO_Common_QEndDate,0,COLUMN())),"N/A")</f>
        <v/>
      </c>
      <c r="AV1406" s="1714">
        <f>IFERROR(_xll.TR(MO.Ticker.Thomson,"AVG(TR.Priceclose)","sdate:#1 edate:#2",,INDEX(MO_SNA_FPStartDate,0,COLUMN()),INDEX(MO_Common_QEndDate,0,COLUMN())),"N/A")</f>
        <v/>
      </c>
      <c r="AW1406" s="1714">
        <f>IFERROR(_xll.TR(MO.Ticker.Thomson,"AVG(TR.Priceclose)","sdate:#1 edate:#2",,INDEX(MO_SNA_FPStartDate,0,COLUMN()),INDEX(MO_Common_QEndDate,0,COLUMN())),"N/A")</f>
        <v/>
      </c>
      <c r="AX1406" s="1714">
        <f>IFERROR(_xll.TR(MO.Ticker.Thomson,"AVG(TR.Priceclose)","sdate:#1 edate:#2",,INDEX(MO_SNA_FPStartDate,0,COLUMN()),INDEX(MO_Common_QEndDate,0,COLUMN())),"N/A")</f>
        <v/>
      </c>
      <c r="AY1406" s="1714">
        <f>IFERROR(_xll.TR(MO.Ticker.Thomson,"AVG(TR.Priceclose)","sdate:#1 edate:#2",,INDEX(MO_SNA_FPStartDate,0,COLUMN()),INDEX(MO_Common_QEndDate,0,COLUMN())),"N/A")</f>
        <v/>
      </c>
      <c r="AZ1406" s="1714">
        <f>IFERROR(_xll.TR(MO.Ticker.Thomson,"AVG(TR.Priceclose)","sdate:#1 edate:#2",,INDEX(MO_SNA_FPStartDate,0,COLUMN()),INDEX(MO_Common_QEndDate,0,COLUMN())),"N/A")</f>
        <v/>
      </c>
      <c r="BA1406" s="1714">
        <f>IFERROR(_xll.TR(MO.Ticker.Thomson,"AVG(TR.Priceclose)","sdate:#1 edate:#2",,INDEX(MO_SNA_FPStartDate,0,COLUMN()),INDEX(MO_Common_QEndDate,0,COLUMN())),"N/A")</f>
        <v/>
      </c>
      <c r="BB1406" s="1714">
        <f>IFERROR(_xll.TR(MO.Ticker.Thomson,"AVG(TR.Priceclose)","sdate:#1 edate:#2",,INDEX(MO_SNA_FPStartDate,0,COLUMN()),INDEX(MO_Common_QEndDate,0,COLUMN())),"N/A")</f>
        <v/>
      </c>
      <c r="BC1406" s="1714">
        <f>IFERROR(_xll.TR(MO.Ticker.Thomson,"AVG(TR.Priceclose)","sdate:#1 edate:#2",,INDEX(MO_SNA_FPStartDate,0,COLUMN()),INDEX(MO_Common_QEndDate,0,COLUMN())),"N/A")</f>
        <v/>
      </c>
      <c r="BD1406" s="1714">
        <f>IFERROR(_xll.TR(MO.Ticker.Thomson,"AVG(TR.Priceclose)","sdate:#1 edate:#2",,INDEX(MO_SNA_FPStartDate,0,COLUMN()),INDEX(MO_Common_QEndDate,0,COLUMN())),"N/A")</f>
        <v/>
      </c>
      <c r="BE1406" s="1714">
        <f>IFERROR(_xll.TR(MO.Ticker.Thomson,"AVG(TR.Priceclose)","sdate:#1 edate:#2",,INDEX(MO_SNA_FPStartDate,0,COLUMN()),INDEX(MO_Common_QEndDate,0,COLUMN())),"N/A")</f>
        <v/>
      </c>
      <c r="BF1406" s="1714">
        <f>IFERROR(_xll.TR(MO.Ticker.Thomson,"AVG(TR.Priceclose)","sdate:#1 edate:#2",,INDEX(MO_SNA_FPStartDate,0,COLUMN()),INDEX(MO_Common_QEndDate,0,COLUMN())),"N/A")</f>
        <v/>
      </c>
      <c r="BG1406" s="1714">
        <f>IFERROR(_xll.TR(MO.Ticker.Thomson,"AVG(TR.Priceclose)","sdate:#1 edate:#2",,INDEX(MO_SNA_FPStartDate,0,COLUMN()),INDEX(MO_Common_QEndDate,0,COLUMN())),"N/A")</f>
        <v/>
      </c>
      <c r="BH1406" s="1714">
        <f>IFERROR(_xll.TR(MO.Ticker.Thomson,"AVG(TR.Priceclose)","sdate:#1 edate:#2",,INDEX(MO_SNA_FPStartDate,0,COLUMN()),INDEX(MO_Common_QEndDate,0,COLUMN())),"N/A")</f>
        <v/>
      </c>
      <c r="BI1406" s="1714">
        <f>IFERROR(_xll.TR(MO.Ticker.Thomson,"AVG(TR.Priceclose)","sdate:#1 edate:#2",,INDEX(MO_SNA_FPStartDate,0,COLUMN()),INDEX(MO_Common_QEndDate,0,COLUMN())),"N/A")</f>
        <v/>
      </c>
      <c r="BJ1406" s="1714">
        <f>IFERROR(_xll.TR(MO.Ticker.Thomson,"AVG(TR.Priceclose)","sdate:#1 edate:#2",,INDEX(MO_SNA_FPStartDate,0,COLUMN()),INDEX(MO_Common_QEndDate,0,COLUMN())),"N/A")</f>
        <v/>
      </c>
      <c r="BK1406" s="1714">
        <f>IFERROR(_xll.TR(MO.Ticker.Thomson,"AVG(TR.Priceclose)","sdate:#1 edate:#2",,INDEX(MO_SNA_FPStartDate,0,COLUMN()),INDEX(MO_Common_QEndDate,0,COLUMN())),"N/A")</f>
        <v/>
      </c>
      <c r="BL1406" s="1714">
        <f>IFERROR(_xll.TR(MO.Ticker.Thomson,"AVG(TR.Priceclose)","sdate:#1 edate:#2",,INDEX(MO_SNA_FPStartDate,0,COLUMN()),INDEX(MO_Common_QEndDate,0,COLUMN())),"N/A")</f>
        <v/>
      </c>
      <c r="BM1406" s="1714">
        <f>IFERROR(_xll.TR(MO.Ticker.Thomson,"AVG(TR.Priceclose)","sdate:#1 edate:#2",,INDEX(MO_SNA_FPStartDate,0,COLUMN()),INDEX(MO_Common_QEndDate,0,COLUMN())),"N/A")</f>
        <v/>
      </c>
      <c r="BN1406" s="1714">
        <f>IFERROR(_xll.TR(MO.Ticker.Thomson,"AVG(TR.Priceclose)","sdate:#1 edate:#2",,INDEX(MO_SNA_FPStartDate,0,COLUMN()),INDEX(MO_Common_QEndDate,0,COLUMN())),"N/A")</f>
        <v/>
      </c>
      <c r="BO1406" s="1714">
        <f>IFERROR(_xll.TR(MO.Ticker.Thomson,"AVG(TR.Priceclose)","sdate:#1 edate:#2",,INDEX(MO_SNA_FPStartDate,0,COLUMN()),INDEX(MO_Common_QEndDate,0,COLUMN())),"N/A")</f>
        <v/>
      </c>
      <c r="BP1406" s="1714">
        <f>IFERROR(_xll.TR(MO.Ticker.Thomson,"AVG(TR.Priceclose)","sdate:#1 edate:#2",,INDEX(MO_SNA_FPStartDate,0,COLUMN()),INDEX(MO_Common_QEndDate,0,COLUMN())),"N/A")</f>
        <v/>
      </c>
      <c r="BQ1406" s="1717">
        <f>IFERROR(_xll.TR(MO.Ticker.Thomson,"AVG(TR.Priceclose)","sdate:#1 edate:#2",,INDEX(MO_SNA_FPStartDate,0,COLUMN()),INDEX(MO_Common_QEndDate,0,COLUMN())),"N/A")</f>
        <v/>
      </c>
      <c r="BR1406" s="1714">
        <f>IFERROR(_xll.TR(MO.Ticker.Thomson,"AVG(TR.Priceclose)","sdate:#1 edate:#2",,INDEX(MO_SNA_FPStartDate,0,COLUMN()),INDEX(MO_Common_QEndDate,0,COLUMN())),"N/A")</f>
        <v/>
      </c>
      <c r="BS1406" s="1714">
        <f>IFERROR(_xll.TR(MO.Ticker.Thomson,"AVG(TR.Priceclose)","sdate:#1 edate:#2",,INDEX(MO_SNA_FPStartDate,0,COLUMN()),INDEX(MO_Common_QEndDate,0,COLUMN())),"N/A")</f>
        <v/>
      </c>
      <c r="BT1406" s="1714">
        <f>IFERROR(_xll.TR(MO.Ticker.Thomson,"AVG(TR.Priceclose)","sdate:#1 edate:#2",,INDEX(MO_SNA_FPStartDate,0,COLUMN()),INDEX(MO_Common_QEndDate,0,COLUMN())),"N/A")</f>
        <v/>
      </c>
      <c r="BU1406" s="1714">
        <f>IFERROR(_xll.TR(MO.Ticker.Thomson,"AVG(TR.Priceclose)","sdate:#1 edate:#2",,INDEX(MO_SNA_FPStartDate,0,COLUMN()),INDEX(MO_Common_QEndDate,0,COLUMN())),"N/A")</f>
        <v/>
      </c>
      <c r="BV1406" s="1714">
        <f>IFERROR(_xll.TR(MO.Ticker.Thomson,"AVG(TR.Priceclose)","sdate:#1 edate:#2",,INDEX(MO_SNA_FPStartDate,0,COLUMN()),INDEX(MO_Common_QEndDate,0,COLUMN())),"N/A")</f>
        <v/>
      </c>
      <c r="BW1406" s="1714">
        <f>IFERROR(_xll.TR(MO.Ticker.Thomson,"AVG(TR.Priceclose)","sdate:#1 edate:#2",,INDEX(MO_SNA_FPStartDate,0,COLUMN()),INDEX(MO_Common_QEndDate,0,COLUMN())),"N/A")</f>
        <v/>
      </c>
      <c r="BX1406" s="1714">
        <f>IFERROR(_xll.TR(MO.Ticker.Thomson,"AVG(TR.Priceclose)","sdate:#1 edate:#2",,INDEX(MO_SNA_FPStartDate,0,COLUMN()),INDEX(MO_Common_QEndDate,0,COLUMN())),"N/A")</f>
        <v/>
      </c>
      <c r="BY1406" s="1714">
        <f>IFERROR(_xll.TR(MO.Ticker.Thomson,"AVG(TR.Priceclose)","sdate:#1 edate:#2",,INDEX(MO_SNA_FPStartDate,0,COLUMN()),INDEX(MO_Common_QEndDate,0,COLUMN())),"N/A")</f>
        <v/>
      </c>
      <c r="BZ1406" s="1714">
        <f>IFERROR(_xll.TR(MO.Ticker.Thomson,"AVG(TR.Priceclose)","sdate:#1 edate:#2",,INDEX(MO_SNA_FPStartDate,0,COLUMN()),INDEX(MO_Common_QEndDate,0,COLUMN())),"N/A")</f>
        <v/>
      </c>
      <c r="CA1406" s="2037">
        <f>IFERROR(_xll.TR(MO.Ticker.Thomson,"AVG(TR.Priceclose)","sdate:#1 edate:#2",,INDEX(MO_SNA_FPStartDate,0,COLUMN()),INDEX(MO_Common_QEndDate,0,COLUMN())),"N/A")</f>
        <v/>
      </c>
      <c r="CB1406" s="2038" t="n"/>
    </row>
    <row r="1407" hidden="1" outlineLevel="1" ht="14.4" customFormat="1" customHeight="1" s="1359">
      <c r="A1407" s="2042" t="n"/>
      <c r="B1407" s="1361" t="n"/>
      <c r="C1407" s="1959" t="n"/>
      <c r="D1407" s="1959" t="n"/>
      <c r="E1407" s="1959" t="n"/>
      <c r="F1407" s="1959" t="n"/>
      <c r="G1407" s="1959" t="n"/>
      <c r="H1407" s="1361" t="n"/>
      <c r="I1407" s="1361" t="n"/>
      <c r="J1407" s="1361" t="n"/>
      <c r="K1407" s="1361" t="n"/>
      <c r="L1407" s="1361" t="n"/>
      <c r="M1407" s="1361" t="n"/>
      <c r="N1407" s="1361" t="n"/>
      <c r="O1407" s="1361" t="n"/>
      <c r="P1407" s="1361" t="n"/>
      <c r="Q1407" s="1361" t="n"/>
      <c r="R1407" s="1361" t="n"/>
      <c r="S1407" s="1361" t="n"/>
      <c r="T1407" s="1361" t="n"/>
      <c r="U1407" s="1361" t="n"/>
      <c r="V1407" s="1361" t="n"/>
      <c r="W1407" s="1361" t="n"/>
      <c r="X1407" s="1361" t="n"/>
      <c r="Y1407" s="1361" t="n"/>
      <c r="Z1407" s="1361" t="n"/>
      <c r="AA1407" s="1361" t="n"/>
      <c r="AB1407" s="1361" t="n"/>
      <c r="AC1407" s="1361" t="n"/>
      <c r="AD1407" s="1361" t="n"/>
      <c r="AE1407" s="1361" t="n"/>
      <c r="AF1407" s="1361" t="n"/>
      <c r="AG1407" s="1361" t="n"/>
      <c r="AH1407" s="1361" t="n"/>
      <c r="AI1407" s="1361" t="n"/>
      <c r="AJ1407" s="1361" t="n"/>
      <c r="AK1407" s="1361" t="n"/>
      <c r="AL1407" s="1361" t="n"/>
      <c r="AM1407" s="1361" t="n"/>
      <c r="AN1407" s="1361" t="n"/>
      <c r="AO1407" s="1361" t="n"/>
      <c r="AP1407" s="1361" t="n"/>
      <c r="AQ1407" s="1361" t="n"/>
      <c r="AR1407" s="1361" t="n"/>
      <c r="AS1407" s="1361" t="n"/>
      <c r="AT1407" s="1361" t="n"/>
      <c r="AU1407" s="1361" t="n"/>
      <c r="AV1407" s="1361" t="n"/>
      <c r="AW1407" s="1361" t="n"/>
      <c r="AX1407" s="1361" t="n"/>
      <c r="AY1407" s="1361" t="n"/>
      <c r="AZ1407" s="1361" t="n"/>
      <c r="BA1407" s="1361" t="n"/>
      <c r="BB1407" s="1361" t="n"/>
      <c r="BC1407" s="1361" t="n"/>
      <c r="BD1407" s="1361" t="n"/>
      <c r="BE1407" s="1361" t="n"/>
      <c r="BF1407" s="1361" t="n"/>
      <c r="BG1407" s="1361" t="n"/>
      <c r="BH1407" s="1361" t="n"/>
      <c r="BI1407" s="1361" t="n"/>
      <c r="BJ1407" s="1361" t="n"/>
      <c r="BK1407" s="1361" t="n"/>
      <c r="BL1407" s="1361" t="n"/>
      <c r="BM1407" s="1361" t="n"/>
      <c r="BN1407" s="1361" t="n"/>
      <c r="BO1407" s="1361" t="n"/>
      <c r="BP1407" s="1361" t="n"/>
      <c r="BQ1407" s="1363" t="n"/>
      <c r="BR1407" s="1361" t="n"/>
      <c r="BS1407" s="1361" t="n"/>
      <c r="BT1407" s="1361" t="n"/>
      <c r="BU1407" s="1361" t="n"/>
      <c r="BV1407" s="1361" t="n"/>
      <c r="BW1407" s="1361" t="n"/>
      <c r="BX1407" s="1361" t="n"/>
      <c r="BY1407" s="1361" t="n"/>
      <c r="BZ1407" s="1361" t="n"/>
      <c r="CA1407" s="2043" t="n"/>
      <c r="CB1407" s="2023" t="n"/>
    </row>
    <row r="1408" collapsed="1" ht="14.4" customFormat="1" customHeight="1" s="1917">
      <c r="A1408" s="2044">
        <f>"FX Average: "&amp;IF(OR(MO.RealTimeStockPriceToggle=FALSE,VLOOKUP(MO.DataSourceName,MO_SPT_FXAverage_Sources,COLUMN()+2,FALSE)="N/A"),"Real-Time Off Source",MO.DataSourceName)</f>
        <v/>
      </c>
      <c r="B1408" s="2045" t="n"/>
      <c r="C1408" s="204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D1408" s="204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E1408" s="204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F1408" s="204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G1408" s="204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H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I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J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K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L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M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N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O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P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Q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R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S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T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U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V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W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X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Y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Z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A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B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C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D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E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F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G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H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I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J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K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L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M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N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O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P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Q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R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S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T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U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V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W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X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Y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Z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A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B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C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D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E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F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G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H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I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J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K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L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M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N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O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P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Q1408" s="2047">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R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S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T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U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V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W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X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Y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BZ1408" s="204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CA1408" s="2048">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CB1408" s="2049" t="n"/>
    </row>
    <row r="1409" hidden="1" outlineLevel="1" ht="14.4" customFormat="1" customHeight="1" s="1917">
      <c r="A1409" s="2050" t="inlineStr">
        <is>
          <t>Real-Time Off Source</t>
        </is>
      </c>
      <c r="B1409" s="2045" t="n"/>
      <c r="C1409" s="2051" t="n">
        <v>1</v>
      </c>
      <c r="D1409" s="2051" t="n">
        <v>1</v>
      </c>
      <c r="E1409" s="2051" t="n">
        <v>1</v>
      </c>
      <c r="F1409" s="2051" t="n">
        <v>1</v>
      </c>
      <c r="G1409" s="2051" t="n">
        <v>1</v>
      </c>
      <c r="H1409" s="2052" t="n">
        <v>1</v>
      </c>
      <c r="I1409" s="2052" t="n">
        <v>1</v>
      </c>
      <c r="J1409" s="2052" t="n">
        <v>1</v>
      </c>
      <c r="K1409" s="2052" t="n">
        <v>1</v>
      </c>
      <c r="L1409" s="2052" t="n">
        <v>1</v>
      </c>
      <c r="M1409" s="2052" t="n">
        <v>1</v>
      </c>
      <c r="N1409" s="2052" t="n">
        <v>1</v>
      </c>
      <c r="O1409" s="2052" t="n">
        <v>1</v>
      </c>
      <c r="P1409" s="2052" t="n">
        <v>1</v>
      </c>
      <c r="Q1409" s="2052" t="n">
        <v>1</v>
      </c>
      <c r="R1409" s="2052" t="n">
        <v>1</v>
      </c>
      <c r="S1409" s="2052" t="n">
        <v>1</v>
      </c>
      <c r="T1409" s="2052" t="n">
        <v>1</v>
      </c>
      <c r="U1409" s="2052" t="n">
        <v>1</v>
      </c>
      <c r="V1409" s="2052" t="n">
        <v>1</v>
      </c>
      <c r="W1409" s="2052" t="n">
        <v>1</v>
      </c>
      <c r="X1409" s="2052" t="n">
        <v>1</v>
      </c>
      <c r="Y1409" s="2052" t="n">
        <v>1</v>
      </c>
      <c r="Z1409" s="2052" t="n">
        <v>1</v>
      </c>
      <c r="AA1409" s="2052" t="n">
        <v>1</v>
      </c>
      <c r="AB1409" s="2052" t="n">
        <v>1</v>
      </c>
      <c r="AC1409" s="2052" t="n">
        <v>1</v>
      </c>
      <c r="AD1409" s="2052" t="n">
        <v>1</v>
      </c>
      <c r="AE1409" s="2052" t="n">
        <v>1</v>
      </c>
      <c r="AF1409" s="2052" t="n">
        <v>1</v>
      </c>
      <c r="AG1409" s="2052" t="n">
        <v>1</v>
      </c>
      <c r="AH1409" s="2052" t="n">
        <v>1</v>
      </c>
      <c r="AI1409" s="2052" t="n">
        <v>1</v>
      </c>
      <c r="AJ1409" s="2052" t="n">
        <v>1</v>
      </c>
      <c r="AK1409" s="2052" t="n">
        <v>1</v>
      </c>
      <c r="AL1409" s="2052" t="n">
        <v>1</v>
      </c>
      <c r="AM1409" s="2052" t="n">
        <v>1</v>
      </c>
      <c r="AN1409" s="2052" t="n">
        <v>1</v>
      </c>
      <c r="AO1409" s="2052" t="n">
        <v>1</v>
      </c>
      <c r="AP1409" s="2052" t="n">
        <v>1</v>
      </c>
      <c r="AQ1409" s="2052" t="n">
        <v>1</v>
      </c>
      <c r="AR1409" s="2052" t="n">
        <v>1</v>
      </c>
      <c r="AS1409" s="2052" t="n">
        <v>1</v>
      </c>
      <c r="AT1409" s="2052" t="n">
        <v>1</v>
      </c>
      <c r="AU1409" s="2052" t="n">
        <v>1</v>
      </c>
      <c r="AV1409" s="2052" t="n">
        <v>1</v>
      </c>
      <c r="AW1409" s="2052" t="n">
        <v>1</v>
      </c>
      <c r="AX1409" s="2052" t="n">
        <v>1</v>
      </c>
      <c r="AY1409" s="2052" t="n">
        <v>1</v>
      </c>
      <c r="AZ1409" s="2052" t="n">
        <v>1</v>
      </c>
      <c r="BA1409" s="2052" t="n">
        <v>1</v>
      </c>
      <c r="BB1409" s="2052" t="n">
        <v>1</v>
      </c>
      <c r="BC1409" s="2052" t="n">
        <v>1</v>
      </c>
      <c r="BD1409" s="2052" t="n">
        <v>1</v>
      </c>
      <c r="BE1409" s="2052" t="n">
        <v>1</v>
      </c>
      <c r="BF1409" s="2052" t="n">
        <v>1</v>
      </c>
      <c r="BG1409" s="2052" t="n">
        <v>1</v>
      </c>
      <c r="BH1409" s="2052" t="n">
        <v>1</v>
      </c>
      <c r="BI1409" s="2052" t="n">
        <v>1</v>
      </c>
      <c r="BJ1409" s="2052" t="n">
        <v>1</v>
      </c>
      <c r="BK1409" s="2052" t="n">
        <v>1</v>
      </c>
      <c r="BL1409" s="2052" t="n">
        <v>1</v>
      </c>
      <c r="BM1409" s="2052" t="n">
        <v>1</v>
      </c>
      <c r="BN1409" s="2052" t="n">
        <v>1</v>
      </c>
      <c r="BO1409" s="2052" t="n">
        <v>1</v>
      </c>
      <c r="BP1409" s="2052" t="n">
        <v>1</v>
      </c>
      <c r="BQ1409" s="2053" t="n">
        <v>1</v>
      </c>
      <c r="BR1409" s="2045">
        <f>MO.MRFX.Hardcoded</f>
        <v/>
      </c>
      <c r="BS1409" s="2045">
        <f>MO.MRFX.Hardcoded</f>
        <v/>
      </c>
      <c r="BT1409" s="2045">
        <f>MO.MRFX.Hardcoded</f>
        <v/>
      </c>
      <c r="BU1409" s="2045">
        <f>MO.MRFX.Hardcoded</f>
        <v/>
      </c>
      <c r="BV1409" s="2045">
        <f>MO.MRFX.Hardcoded</f>
        <v/>
      </c>
      <c r="BW1409" s="2045">
        <f>MO.MRFX.Hardcoded</f>
        <v/>
      </c>
      <c r="BX1409" s="2045">
        <f>MO.MRFX.Hardcoded</f>
        <v/>
      </c>
      <c r="BY1409" s="2045">
        <f>MO.MRFX.Hardcoded</f>
        <v/>
      </c>
      <c r="BZ1409" s="2045">
        <f>MO.MRFX.Hardcoded</f>
        <v/>
      </c>
      <c r="CA1409" s="2048">
        <f>MO.MRFX.Hardcoded</f>
        <v/>
      </c>
      <c r="CB1409" s="2049" t="n"/>
    </row>
    <row r="1410" hidden="1" outlineLevel="1" ht="14.4" customFormat="1" customHeight="1" s="1917">
      <c r="A1410" s="2050" t="inlineStr">
        <is>
          <t>Bloomberg</t>
        </is>
      </c>
      <c r="B1410" s="2045" t="n"/>
      <c r="C1410" s="2046">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D1410" s="2046">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E1410" s="2046">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F1410" s="2046">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G1410" s="2046">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H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I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J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K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L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M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N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O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P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Q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R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S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T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U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V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W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X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Y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Z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A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B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C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D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E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F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G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H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I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J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K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L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M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N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O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P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Q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R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S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T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U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V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W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X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Y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Z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A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B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C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D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E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F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G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H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I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J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K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L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M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N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O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P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Q1410" s="2047">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R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S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T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U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V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W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X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Y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BZ1410" s="2045">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CA1410" s="2048">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CB1410" s="2049" t="n"/>
    </row>
    <row r="1411" hidden="1" outlineLevel="1" ht="14.4" customFormat="1" customHeight="1" s="1917">
      <c r="A1411" s="2050" t="inlineStr">
        <is>
          <t>Capital IQ</t>
        </is>
      </c>
      <c r="B1411" s="2045" t="n"/>
      <c r="C1411" s="2046">
        <f>IFERROR(IF(INDEX(MO_Common_QEndDate,0,COLUMN())&gt;TODAY(),CIQ("$"&amp;HP.TradeCurrency&amp;MO.ReportCurrency,"IQ_LASTSALEPRICE"),CIQAVG("$"&amp;HP.TradeCurrency&amp;MO.ReportCurrency,"IQ_LASTSALEPRICE",INDEX(MO_SNA_FPStartDate,0,COLUMN()),INDEX(MO_Common_QEndDate,0,COLUMN()))),"N/A")</f>
        <v/>
      </c>
      <c r="D1411" s="2046">
        <f>IFERROR(IF(INDEX(MO_Common_QEndDate,0,COLUMN())&gt;TODAY(),CIQ("$"&amp;HP.TradeCurrency&amp;MO.ReportCurrency,"IQ_LASTSALEPRICE"),CIQAVG("$"&amp;HP.TradeCurrency&amp;MO.ReportCurrency,"IQ_LASTSALEPRICE",INDEX(MO_SNA_FPStartDate,0,COLUMN()),INDEX(MO_Common_QEndDate,0,COLUMN()))),"N/A")</f>
        <v/>
      </c>
      <c r="E1411" s="2046">
        <f>IFERROR(IF(INDEX(MO_Common_QEndDate,0,COLUMN())&gt;TODAY(),CIQ("$"&amp;HP.TradeCurrency&amp;MO.ReportCurrency,"IQ_LASTSALEPRICE"),CIQAVG("$"&amp;HP.TradeCurrency&amp;MO.ReportCurrency,"IQ_LASTSALEPRICE",INDEX(MO_SNA_FPStartDate,0,COLUMN()),INDEX(MO_Common_QEndDate,0,COLUMN()))),"N/A")</f>
        <v/>
      </c>
      <c r="F1411" s="2046">
        <f>IFERROR(IF(INDEX(MO_Common_QEndDate,0,COLUMN())&gt;TODAY(),CIQ("$"&amp;HP.TradeCurrency&amp;MO.ReportCurrency,"IQ_LASTSALEPRICE"),CIQAVG("$"&amp;HP.TradeCurrency&amp;MO.ReportCurrency,"IQ_LASTSALEPRICE",INDEX(MO_SNA_FPStartDate,0,COLUMN()),INDEX(MO_Common_QEndDate,0,COLUMN()))),"N/A")</f>
        <v/>
      </c>
      <c r="G1411" s="2046">
        <f>IFERROR(IF(INDEX(MO_Common_QEndDate,0,COLUMN())&gt;TODAY(),CIQ("$"&amp;HP.TradeCurrency&amp;MO.ReportCurrency,"IQ_LASTSALEPRICE"),CIQAVG("$"&amp;HP.TradeCurrency&amp;MO.ReportCurrency,"IQ_LASTSALEPRICE",INDEX(MO_SNA_FPStartDate,0,COLUMN()),INDEX(MO_Common_QEndDate,0,COLUMN()))),"N/A")</f>
        <v/>
      </c>
      <c r="H1411" s="2045">
        <f>IFERROR(IF(INDEX(MO_Common_QEndDate,0,COLUMN())&gt;TODAY(),CIQ("$"&amp;HP.TradeCurrency&amp;MO.ReportCurrency,"IQ_LASTSALEPRICE"),CIQAVG("$"&amp;HP.TradeCurrency&amp;MO.ReportCurrency,"IQ_LASTSALEPRICE",INDEX(MO_SNA_FPStartDate,0,COLUMN()),INDEX(MO_Common_QEndDate,0,COLUMN()))),"N/A")</f>
        <v/>
      </c>
      <c r="I1411" s="2045">
        <f>IFERROR(IF(INDEX(MO_Common_QEndDate,0,COLUMN())&gt;TODAY(),CIQ("$"&amp;HP.TradeCurrency&amp;MO.ReportCurrency,"IQ_LASTSALEPRICE"),CIQAVG("$"&amp;HP.TradeCurrency&amp;MO.ReportCurrency,"IQ_LASTSALEPRICE",INDEX(MO_SNA_FPStartDate,0,COLUMN()),INDEX(MO_Common_QEndDate,0,COLUMN()))),"N/A")</f>
        <v/>
      </c>
      <c r="J1411" s="2045">
        <f>IFERROR(IF(INDEX(MO_Common_QEndDate,0,COLUMN())&gt;TODAY(),CIQ("$"&amp;HP.TradeCurrency&amp;MO.ReportCurrency,"IQ_LASTSALEPRICE"),CIQAVG("$"&amp;HP.TradeCurrency&amp;MO.ReportCurrency,"IQ_LASTSALEPRICE",INDEX(MO_SNA_FPStartDate,0,COLUMN()),INDEX(MO_Common_QEndDate,0,COLUMN()))),"N/A")</f>
        <v/>
      </c>
      <c r="K1411" s="2045">
        <f>IFERROR(IF(INDEX(MO_Common_QEndDate,0,COLUMN())&gt;TODAY(),CIQ("$"&amp;HP.TradeCurrency&amp;MO.ReportCurrency,"IQ_LASTSALEPRICE"),CIQAVG("$"&amp;HP.TradeCurrency&amp;MO.ReportCurrency,"IQ_LASTSALEPRICE",INDEX(MO_SNA_FPStartDate,0,COLUMN()),INDEX(MO_Common_QEndDate,0,COLUMN()))),"N/A")</f>
        <v/>
      </c>
      <c r="L1411" s="2045">
        <f>IFERROR(IF(INDEX(MO_Common_QEndDate,0,COLUMN())&gt;TODAY(),CIQ("$"&amp;HP.TradeCurrency&amp;MO.ReportCurrency,"IQ_LASTSALEPRICE"),CIQAVG("$"&amp;HP.TradeCurrency&amp;MO.ReportCurrency,"IQ_LASTSALEPRICE",INDEX(MO_SNA_FPStartDate,0,COLUMN()),INDEX(MO_Common_QEndDate,0,COLUMN()))),"N/A")</f>
        <v/>
      </c>
      <c r="M1411" s="2045">
        <f>IFERROR(IF(INDEX(MO_Common_QEndDate,0,COLUMN())&gt;TODAY(),CIQ("$"&amp;HP.TradeCurrency&amp;MO.ReportCurrency,"IQ_LASTSALEPRICE"),CIQAVG("$"&amp;HP.TradeCurrency&amp;MO.ReportCurrency,"IQ_LASTSALEPRICE",INDEX(MO_SNA_FPStartDate,0,COLUMN()),INDEX(MO_Common_QEndDate,0,COLUMN()))),"N/A")</f>
        <v/>
      </c>
      <c r="N1411" s="2045">
        <f>IFERROR(IF(INDEX(MO_Common_QEndDate,0,COLUMN())&gt;TODAY(),CIQ("$"&amp;HP.TradeCurrency&amp;MO.ReportCurrency,"IQ_LASTSALEPRICE"),CIQAVG("$"&amp;HP.TradeCurrency&amp;MO.ReportCurrency,"IQ_LASTSALEPRICE",INDEX(MO_SNA_FPStartDate,0,COLUMN()),INDEX(MO_Common_QEndDate,0,COLUMN()))),"N/A")</f>
        <v/>
      </c>
      <c r="O1411" s="2045">
        <f>IFERROR(IF(INDEX(MO_Common_QEndDate,0,COLUMN())&gt;TODAY(),CIQ("$"&amp;HP.TradeCurrency&amp;MO.ReportCurrency,"IQ_LASTSALEPRICE"),CIQAVG("$"&amp;HP.TradeCurrency&amp;MO.ReportCurrency,"IQ_LASTSALEPRICE",INDEX(MO_SNA_FPStartDate,0,COLUMN()),INDEX(MO_Common_QEndDate,0,COLUMN()))),"N/A")</f>
        <v/>
      </c>
      <c r="P1411" s="2045">
        <f>IFERROR(IF(INDEX(MO_Common_QEndDate,0,COLUMN())&gt;TODAY(),CIQ("$"&amp;HP.TradeCurrency&amp;MO.ReportCurrency,"IQ_LASTSALEPRICE"),CIQAVG("$"&amp;HP.TradeCurrency&amp;MO.ReportCurrency,"IQ_LASTSALEPRICE",INDEX(MO_SNA_FPStartDate,0,COLUMN()),INDEX(MO_Common_QEndDate,0,COLUMN()))),"N/A")</f>
        <v/>
      </c>
      <c r="Q1411" s="2045">
        <f>IFERROR(IF(INDEX(MO_Common_QEndDate,0,COLUMN())&gt;TODAY(),CIQ("$"&amp;HP.TradeCurrency&amp;MO.ReportCurrency,"IQ_LASTSALEPRICE"),CIQAVG("$"&amp;HP.TradeCurrency&amp;MO.ReportCurrency,"IQ_LASTSALEPRICE",INDEX(MO_SNA_FPStartDate,0,COLUMN()),INDEX(MO_Common_QEndDate,0,COLUMN()))),"N/A")</f>
        <v/>
      </c>
      <c r="R1411" s="2045">
        <f>IFERROR(IF(INDEX(MO_Common_QEndDate,0,COLUMN())&gt;TODAY(),CIQ("$"&amp;HP.TradeCurrency&amp;MO.ReportCurrency,"IQ_LASTSALEPRICE"),CIQAVG("$"&amp;HP.TradeCurrency&amp;MO.ReportCurrency,"IQ_LASTSALEPRICE",INDEX(MO_SNA_FPStartDate,0,COLUMN()),INDEX(MO_Common_QEndDate,0,COLUMN()))),"N/A")</f>
        <v/>
      </c>
      <c r="S1411" s="2045">
        <f>IFERROR(IF(INDEX(MO_Common_QEndDate,0,COLUMN())&gt;TODAY(),CIQ("$"&amp;HP.TradeCurrency&amp;MO.ReportCurrency,"IQ_LASTSALEPRICE"),CIQAVG("$"&amp;HP.TradeCurrency&amp;MO.ReportCurrency,"IQ_LASTSALEPRICE",INDEX(MO_SNA_FPStartDate,0,COLUMN()),INDEX(MO_Common_QEndDate,0,COLUMN()))),"N/A")</f>
        <v/>
      </c>
      <c r="T1411" s="2045">
        <f>IFERROR(IF(INDEX(MO_Common_QEndDate,0,COLUMN())&gt;TODAY(),CIQ("$"&amp;HP.TradeCurrency&amp;MO.ReportCurrency,"IQ_LASTSALEPRICE"),CIQAVG("$"&amp;HP.TradeCurrency&amp;MO.ReportCurrency,"IQ_LASTSALEPRICE",INDEX(MO_SNA_FPStartDate,0,COLUMN()),INDEX(MO_Common_QEndDate,0,COLUMN()))),"N/A")</f>
        <v/>
      </c>
      <c r="U1411" s="2045">
        <f>IFERROR(IF(INDEX(MO_Common_QEndDate,0,COLUMN())&gt;TODAY(),CIQ("$"&amp;HP.TradeCurrency&amp;MO.ReportCurrency,"IQ_LASTSALEPRICE"),CIQAVG("$"&amp;HP.TradeCurrency&amp;MO.ReportCurrency,"IQ_LASTSALEPRICE",INDEX(MO_SNA_FPStartDate,0,COLUMN()),INDEX(MO_Common_QEndDate,0,COLUMN()))),"N/A")</f>
        <v/>
      </c>
      <c r="V1411" s="2045">
        <f>IFERROR(IF(INDEX(MO_Common_QEndDate,0,COLUMN())&gt;TODAY(),CIQ("$"&amp;HP.TradeCurrency&amp;MO.ReportCurrency,"IQ_LASTSALEPRICE"),CIQAVG("$"&amp;HP.TradeCurrency&amp;MO.ReportCurrency,"IQ_LASTSALEPRICE",INDEX(MO_SNA_FPStartDate,0,COLUMN()),INDEX(MO_Common_QEndDate,0,COLUMN()))),"N/A")</f>
        <v/>
      </c>
      <c r="W1411" s="2045">
        <f>IFERROR(IF(INDEX(MO_Common_QEndDate,0,COLUMN())&gt;TODAY(),CIQ("$"&amp;HP.TradeCurrency&amp;MO.ReportCurrency,"IQ_LASTSALEPRICE"),CIQAVG("$"&amp;HP.TradeCurrency&amp;MO.ReportCurrency,"IQ_LASTSALEPRICE",INDEX(MO_SNA_FPStartDate,0,COLUMN()),INDEX(MO_Common_QEndDate,0,COLUMN()))),"N/A")</f>
        <v/>
      </c>
      <c r="X1411" s="2045">
        <f>IFERROR(IF(INDEX(MO_Common_QEndDate,0,COLUMN())&gt;TODAY(),CIQ("$"&amp;HP.TradeCurrency&amp;MO.ReportCurrency,"IQ_LASTSALEPRICE"),CIQAVG("$"&amp;HP.TradeCurrency&amp;MO.ReportCurrency,"IQ_LASTSALEPRICE",INDEX(MO_SNA_FPStartDate,0,COLUMN()),INDEX(MO_Common_QEndDate,0,COLUMN()))),"N/A")</f>
        <v/>
      </c>
      <c r="Y1411" s="2045">
        <f>IFERROR(IF(INDEX(MO_Common_QEndDate,0,COLUMN())&gt;TODAY(),CIQ("$"&amp;HP.TradeCurrency&amp;MO.ReportCurrency,"IQ_LASTSALEPRICE"),CIQAVG("$"&amp;HP.TradeCurrency&amp;MO.ReportCurrency,"IQ_LASTSALEPRICE",INDEX(MO_SNA_FPStartDate,0,COLUMN()),INDEX(MO_Common_QEndDate,0,COLUMN()))),"N/A")</f>
        <v/>
      </c>
      <c r="Z1411" s="2045">
        <f>IFERROR(IF(INDEX(MO_Common_QEndDate,0,COLUMN())&gt;TODAY(),CIQ("$"&amp;HP.TradeCurrency&amp;MO.ReportCurrency,"IQ_LASTSALEPRICE"),CIQAVG("$"&amp;HP.TradeCurrency&amp;MO.ReportCurrency,"IQ_LASTSALEPRICE",INDEX(MO_SNA_FPStartDate,0,COLUMN()),INDEX(MO_Common_QEndDate,0,COLUMN()))),"N/A")</f>
        <v/>
      </c>
      <c r="AA1411" s="2045">
        <f>IFERROR(IF(INDEX(MO_Common_QEndDate,0,COLUMN())&gt;TODAY(),CIQ("$"&amp;HP.TradeCurrency&amp;MO.ReportCurrency,"IQ_LASTSALEPRICE"),CIQAVG("$"&amp;HP.TradeCurrency&amp;MO.ReportCurrency,"IQ_LASTSALEPRICE",INDEX(MO_SNA_FPStartDate,0,COLUMN()),INDEX(MO_Common_QEndDate,0,COLUMN()))),"N/A")</f>
        <v/>
      </c>
      <c r="AB1411" s="2045">
        <f>IFERROR(IF(INDEX(MO_Common_QEndDate,0,COLUMN())&gt;TODAY(),CIQ("$"&amp;HP.TradeCurrency&amp;MO.ReportCurrency,"IQ_LASTSALEPRICE"),CIQAVG("$"&amp;HP.TradeCurrency&amp;MO.ReportCurrency,"IQ_LASTSALEPRICE",INDEX(MO_SNA_FPStartDate,0,COLUMN()),INDEX(MO_Common_QEndDate,0,COLUMN()))),"N/A")</f>
        <v/>
      </c>
      <c r="AC1411" s="2045">
        <f>IFERROR(IF(INDEX(MO_Common_QEndDate,0,COLUMN())&gt;TODAY(),CIQ("$"&amp;HP.TradeCurrency&amp;MO.ReportCurrency,"IQ_LASTSALEPRICE"),CIQAVG("$"&amp;HP.TradeCurrency&amp;MO.ReportCurrency,"IQ_LASTSALEPRICE",INDEX(MO_SNA_FPStartDate,0,COLUMN()),INDEX(MO_Common_QEndDate,0,COLUMN()))),"N/A")</f>
        <v/>
      </c>
      <c r="AD1411" s="2045">
        <f>IFERROR(IF(INDEX(MO_Common_QEndDate,0,COLUMN())&gt;TODAY(),CIQ("$"&amp;HP.TradeCurrency&amp;MO.ReportCurrency,"IQ_LASTSALEPRICE"),CIQAVG("$"&amp;HP.TradeCurrency&amp;MO.ReportCurrency,"IQ_LASTSALEPRICE",INDEX(MO_SNA_FPStartDate,0,COLUMN()),INDEX(MO_Common_QEndDate,0,COLUMN()))),"N/A")</f>
        <v/>
      </c>
      <c r="AE1411" s="2045">
        <f>IFERROR(IF(INDEX(MO_Common_QEndDate,0,COLUMN())&gt;TODAY(),CIQ("$"&amp;HP.TradeCurrency&amp;MO.ReportCurrency,"IQ_LASTSALEPRICE"),CIQAVG("$"&amp;HP.TradeCurrency&amp;MO.ReportCurrency,"IQ_LASTSALEPRICE",INDEX(MO_SNA_FPStartDate,0,COLUMN()),INDEX(MO_Common_QEndDate,0,COLUMN()))),"N/A")</f>
        <v/>
      </c>
      <c r="AF1411" s="2045">
        <f>IFERROR(IF(INDEX(MO_Common_QEndDate,0,COLUMN())&gt;TODAY(),CIQ("$"&amp;HP.TradeCurrency&amp;MO.ReportCurrency,"IQ_LASTSALEPRICE"),CIQAVG("$"&amp;HP.TradeCurrency&amp;MO.ReportCurrency,"IQ_LASTSALEPRICE",INDEX(MO_SNA_FPStartDate,0,COLUMN()),INDEX(MO_Common_QEndDate,0,COLUMN()))),"N/A")</f>
        <v/>
      </c>
      <c r="AG1411" s="2045">
        <f>IFERROR(IF(INDEX(MO_Common_QEndDate,0,COLUMN())&gt;TODAY(),CIQ("$"&amp;HP.TradeCurrency&amp;MO.ReportCurrency,"IQ_LASTSALEPRICE"),CIQAVG("$"&amp;HP.TradeCurrency&amp;MO.ReportCurrency,"IQ_LASTSALEPRICE",INDEX(MO_SNA_FPStartDate,0,COLUMN()),INDEX(MO_Common_QEndDate,0,COLUMN()))),"N/A")</f>
        <v/>
      </c>
      <c r="AH1411" s="2045">
        <f>IFERROR(IF(INDEX(MO_Common_QEndDate,0,COLUMN())&gt;TODAY(),CIQ("$"&amp;HP.TradeCurrency&amp;MO.ReportCurrency,"IQ_LASTSALEPRICE"),CIQAVG("$"&amp;HP.TradeCurrency&amp;MO.ReportCurrency,"IQ_LASTSALEPRICE",INDEX(MO_SNA_FPStartDate,0,COLUMN()),INDEX(MO_Common_QEndDate,0,COLUMN()))),"N/A")</f>
        <v/>
      </c>
      <c r="AI1411" s="2045">
        <f>IFERROR(IF(INDEX(MO_Common_QEndDate,0,COLUMN())&gt;TODAY(),CIQ("$"&amp;HP.TradeCurrency&amp;MO.ReportCurrency,"IQ_LASTSALEPRICE"),CIQAVG("$"&amp;HP.TradeCurrency&amp;MO.ReportCurrency,"IQ_LASTSALEPRICE",INDEX(MO_SNA_FPStartDate,0,COLUMN()),INDEX(MO_Common_QEndDate,0,COLUMN()))),"N/A")</f>
        <v/>
      </c>
      <c r="AJ1411" s="2045">
        <f>IFERROR(IF(INDEX(MO_Common_QEndDate,0,COLUMN())&gt;TODAY(),CIQ("$"&amp;HP.TradeCurrency&amp;MO.ReportCurrency,"IQ_LASTSALEPRICE"),CIQAVG("$"&amp;HP.TradeCurrency&amp;MO.ReportCurrency,"IQ_LASTSALEPRICE",INDEX(MO_SNA_FPStartDate,0,COLUMN()),INDEX(MO_Common_QEndDate,0,COLUMN()))),"N/A")</f>
        <v/>
      </c>
      <c r="AK1411" s="2045">
        <f>IFERROR(IF(INDEX(MO_Common_QEndDate,0,COLUMN())&gt;TODAY(),CIQ("$"&amp;HP.TradeCurrency&amp;MO.ReportCurrency,"IQ_LASTSALEPRICE"),CIQAVG("$"&amp;HP.TradeCurrency&amp;MO.ReportCurrency,"IQ_LASTSALEPRICE",INDEX(MO_SNA_FPStartDate,0,COLUMN()),INDEX(MO_Common_QEndDate,0,COLUMN()))),"N/A")</f>
        <v/>
      </c>
      <c r="AL1411" s="2045">
        <f>IFERROR(IF(INDEX(MO_Common_QEndDate,0,COLUMN())&gt;TODAY(),CIQ("$"&amp;HP.TradeCurrency&amp;MO.ReportCurrency,"IQ_LASTSALEPRICE"),CIQAVG("$"&amp;HP.TradeCurrency&amp;MO.ReportCurrency,"IQ_LASTSALEPRICE",INDEX(MO_SNA_FPStartDate,0,COLUMN()),INDEX(MO_Common_QEndDate,0,COLUMN()))),"N/A")</f>
        <v/>
      </c>
      <c r="AM1411" s="2045">
        <f>IFERROR(IF(INDEX(MO_Common_QEndDate,0,COLUMN())&gt;TODAY(),CIQ("$"&amp;HP.TradeCurrency&amp;MO.ReportCurrency,"IQ_LASTSALEPRICE"),CIQAVG("$"&amp;HP.TradeCurrency&amp;MO.ReportCurrency,"IQ_LASTSALEPRICE",INDEX(MO_SNA_FPStartDate,0,COLUMN()),INDEX(MO_Common_QEndDate,0,COLUMN()))),"N/A")</f>
        <v/>
      </c>
      <c r="AN1411" s="2045">
        <f>IFERROR(IF(INDEX(MO_Common_QEndDate,0,COLUMN())&gt;TODAY(),CIQ("$"&amp;HP.TradeCurrency&amp;MO.ReportCurrency,"IQ_LASTSALEPRICE"),CIQAVG("$"&amp;HP.TradeCurrency&amp;MO.ReportCurrency,"IQ_LASTSALEPRICE",INDEX(MO_SNA_FPStartDate,0,COLUMN()),INDEX(MO_Common_QEndDate,0,COLUMN()))),"N/A")</f>
        <v/>
      </c>
      <c r="AO1411" s="2045">
        <f>IFERROR(IF(INDEX(MO_Common_QEndDate,0,COLUMN())&gt;TODAY(),CIQ("$"&amp;HP.TradeCurrency&amp;MO.ReportCurrency,"IQ_LASTSALEPRICE"),CIQAVG("$"&amp;HP.TradeCurrency&amp;MO.ReportCurrency,"IQ_LASTSALEPRICE",INDEX(MO_SNA_FPStartDate,0,COLUMN()),INDEX(MO_Common_QEndDate,0,COLUMN()))),"N/A")</f>
        <v/>
      </c>
      <c r="AP1411" s="2045">
        <f>IFERROR(IF(INDEX(MO_Common_QEndDate,0,COLUMN())&gt;TODAY(),CIQ("$"&amp;HP.TradeCurrency&amp;MO.ReportCurrency,"IQ_LASTSALEPRICE"),CIQAVG("$"&amp;HP.TradeCurrency&amp;MO.ReportCurrency,"IQ_LASTSALEPRICE",INDEX(MO_SNA_FPStartDate,0,COLUMN()),INDEX(MO_Common_QEndDate,0,COLUMN()))),"N/A")</f>
        <v/>
      </c>
      <c r="AQ1411" s="2045">
        <f>IFERROR(IF(INDEX(MO_Common_QEndDate,0,COLUMN())&gt;TODAY(),CIQ("$"&amp;HP.TradeCurrency&amp;MO.ReportCurrency,"IQ_LASTSALEPRICE"),CIQAVG("$"&amp;HP.TradeCurrency&amp;MO.ReportCurrency,"IQ_LASTSALEPRICE",INDEX(MO_SNA_FPStartDate,0,COLUMN()),INDEX(MO_Common_QEndDate,0,COLUMN()))),"N/A")</f>
        <v/>
      </c>
      <c r="AR1411" s="2045">
        <f>IFERROR(IF(INDEX(MO_Common_QEndDate,0,COLUMN())&gt;TODAY(),CIQ("$"&amp;HP.TradeCurrency&amp;MO.ReportCurrency,"IQ_LASTSALEPRICE"),CIQAVG("$"&amp;HP.TradeCurrency&amp;MO.ReportCurrency,"IQ_LASTSALEPRICE",INDEX(MO_SNA_FPStartDate,0,COLUMN()),INDEX(MO_Common_QEndDate,0,COLUMN()))),"N/A")</f>
        <v/>
      </c>
      <c r="AS1411" s="2045">
        <f>IFERROR(IF(INDEX(MO_Common_QEndDate,0,COLUMN())&gt;TODAY(),CIQ("$"&amp;HP.TradeCurrency&amp;MO.ReportCurrency,"IQ_LASTSALEPRICE"),CIQAVG("$"&amp;HP.TradeCurrency&amp;MO.ReportCurrency,"IQ_LASTSALEPRICE",INDEX(MO_SNA_FPStartDate,0,COLUMN()),INDEX(MO_Common_QEndDate,0,COLUMN()))),"N/A")</f>
        <v/>
      </c>
      <c r="AT1411" s="2045">
        <f>IFERROR(IF(INDEX(MO_Common_QEndDate,0,COLUMN())&gt;TODAY(),CIQ("$"&amp;HP.TradeCurrency&amp;MO.ReportCurrency,"IQ_LASTSALEPRICE"),CIQAVG("$"&amp;HP.TradeCurrency&amp;MO.ReportCurrency,"IQ_LASTSALEPRICE",INDEX(MO_SNA_FPStartDate,0,COLUMN()),INDEX(MO_Common_QEndDate,0,COLUMN()))),"N/A")</f>
        <v/>
      </c>
      <c r="AU1411" s="2045">
        <f>IFERROR(IF(INDEX(MO_Common_QEndDate,0,COLUMN())&gt;TODAY(),CIQ("$"&amp;HP.TradeCurrency&amp;MO.ReportCurrency,"IQ_LASTSALEPRICE"),CIQAVG("$"&amp;HP.TradeCurrency&amp;MO.ReportCurrency,"IQ_LASTSALEPRICE",INDEX(MO_SNA_FPStartDate,0,COLUMN()),INDEX(MO_Common_QEndDate,0,COLUMN()))),"N/A")</f>
        <v/>
      </c>
      <c r="AV1411" s="2045">
        <f>IFERROR(IF(INDEX(MO_Common_QEndDate,0,COLUMN())&gt;TODAY(),CIQ("$"&amp;HP.TradeCurrency&amp;MO.ReportCurrency,"IQ_LASTSALEPRICE"),CIQAVG("$"&amp;HP.TradeCurrency&amp;MO.ReportCurrency,"IQ_LASTSALEPRICE",INDEX(MO_SNA_FPStartDate,0,COLUMN()),INDEX(MO_Common_QEndDate,0,COLUMN()))),"N/A")</f>
        <v/>
      </c>
      <c r="AW1411" s="2045">
        <f>IFERROR(IF(INDEX(MO_Common_QEndDate,0,COLUMN())&gt;TODAY(),CIQ("$"&amp;HP.TradeCurrency&amp;MO.ReportCurrency,"IQ_LASTSALEPRICE"),CIQAVG("$"&amp;HP.TradeCurrency&amp;MO.ReportCurrency,"IQ_LASTSALEPRICE",INDEX(MO_SNA_FPStartDate,0,COLUMN()),INDEX(MO_Common_QEndDate,0,COLUMN()))),"N/A")</f>
        <v/>
      </c>
      <c r="AX1411" s="2045">
        <f>IFERROR(IF(INDEX(MO_Common_QEndDate,0,COLUMN())&gt;TODAY(),CIQ("$"&amp;HP.TradeCurrency&amp;MO.ReportCurrency,"IQ_LASTSALEPRICE"),CIQAVG("$"&amp;HP.TradeCurrency&amp;MO.ReportCurrency,"IQ_LASTSALEPRICE",INDEX(MO_SNA_FPStartDate,0,COLUMN()),INDEX(MO_Common_QEndDate,0,COLUMN()))),"N/A")</f>
        <v/>
      </c>
      <c r="AY1411" s="2045">
        <f>IFERROR(IF(INDEX(MO_Common_QEndDate,0,COLUMN())&gt;TODAY(),CIQ("$"&amp;HP.TradeCurrency&amp;MO.ReportCurrency,"IQ_LASTSALEPRICE"),CIQAVG("$"&amp;HP.TradeCurrency&amp;MO.ReportCurrency,"IQ_LASTSALEPRICE",INDEX(MO_SNA_FPStartDate,0,COLUMN()),INDEX(MO_Common_QEndDate,0,COLUMN()))),"N/A")</f>
        <v/>
      </c>
      <c r="AZ1411" s="2045">
        <f>IFERROR(IF(INDEX(MO_Common_QEndDate,0,COLUMN())&gt;TODAY(),CIQ("$"&amp;HP.TradeCurrency&amp;MO.ReportCurrency,"IQ_LASTSALEPRICE"),CIQAVG("$"&amp;HP.TradeCurrency&amp;MO.ReportCurrency,"IQ_LASTSALEPRICE",INDEX(MO_SNA_FPStartDate,0,COLUMN()),INDEX(MO_Common_QEndDate,0,COLUMN()))),"N/A")</f>
        <v/>
      </c>
      <c r="BA1411" s="2045">
        <f>IFERROR(IF(INDEX(MO_Common_QEndDate,0,COLUMN())&gt;TODAY(),CIQ("$"&amp;HP.TradeCurrency&amp;MO.ReportCurrency,"IQ_LASTSALEPRICE"),CIQAVG("$"&amp;HP.TradeCurrency&amp;MO.ReportCurrency,"IQ_LASTSALEPRICE",INDEX(MO_SNA_FPStartDate,0,COLUMN()),INDEX(MO_Common_QEndDate,0,COLUMN()))),"N/A")</f>
        <v/>
      </c>
      <c r="BB1411" s="2045">
        <f>IFERROR(IF(INDEX(MO_Common_QEndDate,0,COLUMN())&gt;TODAY(),CIQ("$"&amp;HP.TradeCurrency&amp;MO.ReportCurrency,"IQ_LASTSALEPRICE"),CIQAVG("$"&amp;HP.TradeCurrency&amp;MO.ReportCurrency,"IQ_LASTSALEPRICE",INDEX(MO_SNA_FPStartDate,0,COLUMN()),INDEX(MO_Common_QEndDate,0,COLUMN()))),"N/A")</f>
        <v/>
      </c>
      <c r="BC1411" s="2045">
        <f>IFERROR(IF(INDEX(MO_Common_QEndDate,0,COLUMN())&gt;TODAY(),CIQ("$"&amp;HP.TradeCurrency&amp;MO.ReportCurrency,"IQ_LASTSALEPRICE"),CIQAVG("$"&amp;HP.TradeCurrency&amp;MO.ReportCurrency,"IQ_LASTSALEPRICE",INDEX(MO_SNA_FPStartDate,0,COLUMN()),INDEX(MO_Common_QEndDate,0,COLUMN()))),"N/A")</f>
        <v/>
      </c>
      <c r="BD1411" s="2045">
        <f>IFERROR(IF(INDEX(MO_Common_QEndDate,0,COLUMN())&gt;TODAY(),CIQ("$"&amp;HP.TradeCurrency&amp;MO.ReportCurrency,"IQ_LASTSALEPRICE"),CIQAVG("$"&amp;HP.TradeCurrency&amp;MO.ReportCurrency,"IQ_LASTSALEPRICE",INDEX(MO_SNA_FPStartDate,0,COLUMN()),INDEX(MO_Common_QEndDate,0,COLUMN()))),"N/A")</f>
        <v/>
      </c>
      <c r="BE1411" s="2045">
        <f>IFERROR(IF(INDEX(MO_Common_QEndDate,0,COLUMN())&gt;TODAY(),CIQ("$"&amp;HP.TradeCurrency&amp;MO.ReportCurrency,"IQ_LASTSALEPRICE"),CIQAVG("$"&amp;HP.TradeCurrency&amp;MO.ReportCurrency,"IQ_LASTSALEPRICE",INDEX(MO_SNA_FPStartDate,0,COLUMN()),INDEX(MO_Common_QEndDate,0,COLUMN()))),"N/A")</f>
        <v/>
      </c>
      <c r="BF1411" s="2045">
        <f>IFERROR(IF(INDEX(MO_Common_QEndDate,0,COLUMN())&gt;TODAY(),CIQ("$"&amp;HP.TradeCurrency&amp;MO.ReportCurrency,"IQ_LASTSALEPRICE"),CIQAVG("$"&amp;HP.TradeCurrency&amp;MO.ReportCurrency,"IQ_LASTSALEPRICE",INDEX(MO_SNA_FPStartDate,0,COLUMN()),INDEX(MO_Common_QEndDate,0,COLUMN()))),"N/A")</f>
        <v/>
      </c>
      <c r="BG1411" s="2045">
        <f>IFERROR(IF(INDEX(MO_Common_QEndDate,0,COLUMN())&gt;TODAY(),CIQ("$"&amp;HP.TradeCurrency&amp;MO.ReportCurrency,"IQ_LASTSALEPRICE"),CIQAVG("$"&amp;HP.TradeCurrency&amp;MO.ReportCurrency,"IQ_LASTSALEPRICE",INDEX(MO_SNA_FPStartDate,0,COLUMN()),INDEX(MO_Common_QEndDate,0,COLUMN()))),"N/A")</f>
        <v/>
      </c>
      <c r="BH1411" s="2045">
        <f>IFERROR(IF(INDEX(MO_Common_QEndDate,0,COLUMN())&gt;TODAY(),CIQ("$"&amp;HP.TradeCurrency&amp;MO.ReportCurrency,"IQ_LASTSALEPRICE"),CIQAVG("$"&amp;HP.TradeCurrency&amp;MO.ReportCurrency,"IQ_LASTSALEPRICE",INDEX(MO_SNA_FPStartDate,0,COLUMN()),INDEX(MO_Common_QEndDate,0,COLUMN()))),"N/A")</f>
        <v/>
      </c>
      <c r="BI1411" s="2045">
        <f>IFERROR(IF(INDEX(MO_Common_QEndDate,0,COLUMN())&gt;TODAY(),CIQ("$"&amp;HP.TradeCurrency&amp;MO.ReportCurrency,"IQ_LASTSALEPRICE"),CIQAVG("$"&amp;HP.TradeCurrency&amp;MO.ReportCurrency,"IQ_LASTSALEPRICE",INDEX(MO_SNA_FPStartDate,0,COLUMN()),INDEX(MO_Common_QEndDate,0,COLUMN()))),"N/A")</f>
        <v/>
      </c>
      <c r="BJ1411" s="2045">
        <f>IFERROR(IF(INDEX(MO_Common_QEndDate,0,COLUMN())&gt;TODAY(),CIQ("$"&amp;HP.TradeCurrency&amp;MO.ReportCurrency,"IQ_LASTSALEPRICE"),CIQAVG("$"&amp;HP.TradeCurrency&amp;MO.ReportCurrency,"IQ_LASTSALEPRICE",INDEX(MO_SNA_FPStartDate,0,COLUMN()),INDEX(MO_Common_QEndDate,0,COLUMN()))),"N/A")</f>
        <v/>
      </c>
      <c r="BK1411" s="2045">
        <f>IFERROR(IF(INDEX(MO_Common_QEndDate,0,COLUMN())&gt;TODAY(),CIQ("$"&amp;HP.TradeCurrency&amp;MO.ReportCurrency,"IQ_LASTSALEPRICE"),CIQAVG("$"&amp;HP.TradeCurrency&amp;MO.ReportCurrency,"IQ_LASTSALEPRICE",INDEX(MO_SNA_FPStartDate,0,COLUMN()),INDEX(MO_Common_QEndDate,0,COLUMN()))),"N/A")</f>
        <v/>
      </c>
      <c r="BL1411" s="2045">
        <f>IFERROR(IF(INDEX(MO_Common_QEndDate,0,COLUMN())&gt;TODAY(),CIQ("$"&amp;HP.TradeCurrency&amp;MO.ReportCurrency,"IQ_LASTSALEPRICE"),CIQAVG("$"&amp;HP.TradeCurrency&amp;MO.ReportCurrency,"IQ_LASTSALEPRICE",INDEX(MO_SNA_FPStartDate,0,COLUMN()),INDEX(MO_Common_QEndDate,0,COLUMN()))),"N/A")</f>
        <v/>
      </c>
      <c r="BM1411" s="2045">
        <f>IFERROR(IF(INDEX(MO_Common_QEndDate,0,COLUMN())&gt;TODAY(),CIQ("$"&amp;HP.TradeCurrency&amp;MO.ReportCurrency,"IQ_LASTSALEPRICE"),CIQAVG("$"&amp;HP.TradeCurrency&amp;MO.ReportCurrency,"IQ_LASTSALEPRICE",INDEX(MO_SNA_FPStartDate,0,COLUMN()),INDEX(MO_Common_QEndDate,0,COLUMN()))),"N/A")</f>
        <v/>
      </c>
      <c r="BN1411" s="2045">
        <f>IFERROR(IF(INDEX(MO_Common_QEndDate,0,COLUMN())&gt;TODAY(),CIQ("$"&amp;HP.TradeCurrency&amp;MO.ReportCurrency,"IQ_LASTSALEPRICE"),CIQAVG("$"&amp;HP.TradeCurrency&amp;MO.ReportCurrency,"IQ_LASTSALEPRICE",INDEX(MO_SNA_FPStartDate,0,COLUMN()),INDEX(MO_Common_QEndDate,0,COLUMN()))),"N/A")</f>
        <v/>
      </c>
      <c r="BO1411" s="2045">
        <f>IFERROR(IF(INDEX(MO_Common_QEndDate,0,COLUMN())&gt;TODAY(),CIQ("$"&amp;HP.TradeCurrency&amp;MO.ReportCurrency,"IQ_LASTSALEPRICE"),CIQAVG("$"&amp;HP.TradeCurrency&amp;MO.ReportCurrency,"IQ_LASTSALEPRICE",INDEX(MO_SNA_FPStartDate,0,COLUMN()),INDEX(MO_Common_QEndDate,0,COLUMN()))),"N/A")</f>
        <v/>
      </c>
      <c r="BP1411" s="2045">
        <f>IFERROR(IF(INDEX(MO_Common_QEndDate,0,COLUMN())&gt;TODAY(),CIQ("$"&amp;HP.TradeCurrency&amp;MO.ReportCurrency,"IQ_LASTSALEPRICE"),CIQAVG("$"&amp;HP.TradeCurrency&amp;MO.ReportCurrency,"IQ_LASTSALEPRICE",INDEX(MO_SNA_FPStartDate,0,COLUMN()),INDEX(MO_Common_QEndDate,0,COLUMN()))),"N/A")</f>
        <v/>
      </c>
      <c r="BQ1411" s="2047">
        <f>IFERROR(IF(INDEX(MO_Common_QEndDate,0,COLUMN())&gt;TODAY(),CIQ("$"&amp;HP.TradeCurrency&amp;MO.ReportCurrency,"IQ_LASTSALEPRICE"),CIQAVG("$"&amp;HP.TradeCurrency&amp;MO.ReportCurrency,"IQ_LASTSALEPRICE",INDEX(MO_SNA_FPStartDate,0,COLUMN()),INDEX(MO_Common_QEndDate,0,COLUMN()))),"N/A")</f>
        <v/>
      </c>
      <c r="BR1411" s="2045">
        <f>IFERROR(IF(INDEX(MO_Common_QEndDate,0,COLUMN())&gt;TODAY(),CIQ("$"&amp;HP.TradeCurrency&amp;MO.ReportCurrency,"IQ_LASTSALEPRICE"),CIQAVG("$"&amp;HP.TradeCurrency&amp;MO.ReportCurrency,"IQ_LASTSALEPRICE",INDEX(MO_SNA_FPStartDate,0,COLUMN()),INDEX(MO_Common_QEndDate,0,COLUMN()))),"N/A")</f>
        <v/>
      </c>
      <c r="BS1411" s="2045">
        <f>IFERROR(IF(INDEX(MO_Common_QEndDate,0,COLUMN())&gt;TODAY(),CIQ("$"&amp;HP.TradeCurrency&amp;MO.ReportCurrency,"IQ_LASTSALEPRICE"),CIQAVG("$"&amp;HP.TradeCurrency&amp;MO.ReportCurrency,"IQ_LASTSALEPRICE",INDEX(MO_SNA_FPStartDate,0,COLUMN()),INDEX(MO_Common_QEndDate,0,COLUMN()))),"N/A")</f>
        <v/>
      </c>
      <c r="BT1411" s="2045">
        <f>IFERROR(IF(INDEX(MO_Common_QEndDate,0,COLUMN())&gt;TODAY(),CIQ("$"&amp;HP.TradeCurrency&amp;MO.ReportCurrency,"IQ_LASTSALEPRICE"),CIQAVG("$"&amp;HP.TradeCurrency&amp;MO.ReportCurrency,"IQ_LASTSALEPRICE",INDEX(MO_SNA_FPStartDate,0,COLUMN()),INDEX(MO_Common_QEndDate,0,COLUMN()))),"N/A")</f>
        <v/>
      </c>
      <c r="BU1411" s="2045">
        <f>IFERROR(IF(INDEX(MO_Common_QEndDate,0,COLUMN())&gt;TODAY(),CIQ("$"&amp;HP.TradeCurrency&amp;MO.ReportCurrency,"IQ_LASTSALEPRICE"),CIQAVG("$"&amp;HP.TradeCurrency&amp;MO.ReportCurrency,"IQ_LASTSALEPRICE",INDEX(MO_SNA_FPStartDate,0,COLUMN()),INDEX(MO_Common_QEndDate,0,COLUMN()))),"N/A")</f>
        <v/>
      </c>
      <c r="BV1411" s="2045">
        <f>IFERROR(IF(INDEX(MO_Common_QEndDate,0,COLUMN())&gt;TODAY(),CIQ("$"&amp;HP.TradeCurrency&amp;MO.ReportCurrency,"IQ_LASTSALEPRICE"),CIQAVG("$"&amp;HP.TradeCurrency&amp;MO.ReportCurrency,"IQ_LASTSALEPRICE",INDEX(MO_SNA_FPStartDate,0,COLUMN()),INDEX(MO_Common_QEndDate,0,COLUMN()))),"N/A")</f>
        <v/>
      </c>
      <c r="BW1411" s="2045">
        <f>IFERROR(IF(INDEX(MO_Common_QEndDate,0,COLUMN())&gt;TODAY(),CIQ("$"&amp;HP.TradeCurrency&amp;MO.ReportCurrency,"IQ_LASTSALEPRICE"),CIQAVG("$"&amp;HP.TradeCurrency&amp;MO.ReportCurrency,"IQ_LASTSALEPRICE",INDEX(MO_SNA_FPStartDate,0,COLUMN()),INDEX(MO_Common_QEndDate,0,COLUMN()))),"N/A")</f>
        <v/>
      </c>
      <c r="BX1411" s="2045">
        <f>IFERROR(IF(INDEX(MO_Common_QEndDate,0,COLUMN())&gt;TODAY(),CIQ("$"&amp;HP.TradeCurrency&amp;MO.ReportCurrency,"IQ_LASTSALEPRICE"),CIQAVG("$"&amp;HP.TradeCurrency&amp;MO.ReportCurrency,"IQ_LASTSALEPRICE",INDEX(MO_SNA_FPStartDate,0,COLUMN()),INDEX(MO_Common_QEndDate,0,COLUMN()))),"N/A")</f>
        <v/>
      </c>
      <c r="BY1411" s="2045">
        <f>IFERROR(IF(INDEX(MO_Common_QEndDate,0,COLUMN())&gt;TODAY(),CIQ("$"&amp;HP.TradeCurrency&amp;MO.ReportCurrency,"IQ_LASTSALEPRICE"),CIQAVG("$"&amp;HP.TradeCurrency&amp;MO.ReportCurrency,"IQ_LASTSALEPRICE",INDEX(MO_SNA_FPStartDate,0,COLUMN()),INDEX(MO_Common_QEndDate,0,COLUMN()))),"N/A")</f>
        <v/>
      </c>
      <c r="BZ1411" s="2045">
        <f>IFERROR(IF(INDEX(MO_Common_QEndDate,0,COLUMN())&gt;TODAY(),CIQ("$"&amp;HP.TradeCurrency&amp;MO.ReportCurrency,"IQ_LASTSALEPRICE"),CIQAVG("$"&amp;HP.TradeCurrency&amp;MO.ReportCurrency,"IQ_LASTSALEPRICE",INDEX(MO_SNA_FPStartDate,0,COLUMN()),INDEX(MO_Common_QEndDate,0,COLUMN()))),"N/A")</f>
        <v/>
      </c>
      <c r="CA1411" s="2048">
        <f>IFERROR(IF(INDEX(MO_Common_QEndDate,0,COLUMN())&gt;TODAY(),CIQ("$"&amp;HP.TradeCurrency&amp;MO.ReportCurrency,"IQ_LASTSALEPRICE"),CIQAVG("$"&amp;HP.TradeCurrency&amp;MO.ReportCurrency,"IQ_LASTSALEPRICE",INDEX(MO_SNA_FPStartDate,0,COLUMN()),INDEX(MO_Common_QEndDate,0,COLUMN()))),"N/A")</f>
        <v/>
      </c>
      <c r="CB1411" s="2049" t="n"/>
    </row>
    <row r="1412" hidden="1" outlineLevel="1" ht="14.4" customFormat="1" customHeight="1" s="1917">
      <c r="A1412" s="2050" t="inlineStr">
        <is>
          <t>FactSet</t>
        </is>
      </c>
      <c r="B1412" s="2045" t="n"/>
      <c r="C1412" s="2046">
        <f>IFERROR(IF(INDEX(MO_Common_QEndDate,0,COLUMN())&gt;TODAY(),FDS(MO.ReportCurrency&amp;HP.TradeCurrency,"FG_PRICE(NOW)"),FDS(MO.ReportCurrency&amp;HP.TradeCurrency,"P_PRICE_AVG("&amp;INDEX(MO_SNA_FPStartDate,0,COLUMN())&amp;","&amp;INDEX(MO_Common_QEndDate,0,COLUMN())&amp;",,,,0)")),"N/A")</f>
        <v/>
      </c>
      <c r="D1412" s="2046">
        <f>IFERROR(IF(INDEX(MO_Common_QEndDate,0,COLUMN())&gt;TODAY(),FDS(MO.ReportCurrency&amp;HP.TradeCurrency,"FG_PRICE(NOW)"),FDS(MO.ReportCurrency&amp;HP.TradeCurrency,"P_PRICE_AVG("&amp;INDEX(MO_SNA_FPStartDate,0,COLUMN())&amp;","&amp;INDEX(MO_Common_QEndDate,0,COLUMN())&amp;",,,,0)")),"N/A")</f>
        <v/>
      </c>
      <c r="E1412" s="2046">
        <f>IFERROR(IF(INDEX(MO_Common_QEndDate,0,COLUMN())&gt;TODAY(),FDS(MO.ReportCurrency&amp;HP.TradeCurrency,"FG_PRICE(NOW)"),FDS(MO.ReportCurrency&amp;HP.TradeCurrency,"P_PRICE_AVG("&amp;INDEX(MO_SNA_FPStartDate,0,COLUMN())&amp;","&amp;INDEX(MO_Common_QEndDate,0,COLUMN())&amp;",,,,0)")),"N/A")</f>
        <v/>
      </c>
      <c r="F1412" s="2046">
        <f>IFERROR(IF(INDEX(MO_Common_QEndDate,0,COLUMN())&gt;TODAY(),FDS(MO.ReportCurrency&amp;HP.TradeCurrency,"FG_PRICE(NOW)"),FDS(MO.ReportCurrency&amp;HP.TradeCurrency,"P_PRICE_AVG("&amp;INDEX(MO_SNA_FPStartDate,0,COLUMN())&amp;","&amp;INDEX(MO_Common_QEndDate,0,COLUMN())&amp;",,,,0)")),"N/A")</f>
        <v/>
      </c>
      <c r="G1412" s="2046">
        <f>IFERROR(IF(INDEX(MO_Common_QEndDate,0,COLUMN())&gt;TODAY(),FDS(MO.ReportCurrency&amp;HP.TradeCurrency,"FG_PRICE(NOW)"),FDS(MO.ReportCurrency&amp;HP.TradeCurrency,"P_PRICE_AVG("&amp;INDEX(MO_SNA_FPStartDate,0,COLUMN())&amp;","&amp;INDEX(MO_Common_QEndDate,0,COLUMN())&amp;",,,,0)")),"N/A")</f>
        <v/>
      </c>
      <c r="H1412" s="2045">
        <f>IFERROR(IF(INDEX(MO_Common_QEndDate,0,COLUMN())&gt;TODAY(),FDS(MO.ReportCurrency&amp;HP.TradeCurrency,"FG_PRICE(NOW)"),FDS(MO.ReportCurrency&amp;HP.TradeCurrency,"P_PRICE_AVG("&amp;INDEX(MO_SNA_FPStartDate,0,COLUMN())&amp;","&amp;INDEX(MO_Common_QEndDate,0,COLUMN())&amp;",,,,0)")),"N/A")</f>
        <v/>
      </c>
      <c r="I1412" s="2045">
        <f>IFERROR(IF(INDEX(MO_Common_QEndDate,0,COLUMN())&gt;TODAY(),FDS(MO.ReportCurrency&amp;HP.TradeCurrency,"FG_PRICE(NOW)"),FDS(MO.ReportCurrency&amp;HP.TradeCurrency,"P_PRICE_AVG("&amp;INDEX(MO_SNA_FPStartDate,0,COLUMN())&amp;","&amp;INDEX(MO_Common_QEndDate,0,COLUMN())&amp;",,,,0)")),"N/A")</f>
        <v/>
      </c>
      <c r="J1412" s="2045">
        <f>IFERROR(IF(INDEX(MO_Common_QEndDate,0,COLUMN())&gt;TODAY(),FDS(MO.ReportCurrency&amp;HP.TradeCurrency,"FG_PRICE(NOW)"),FDS(MO.ReportCurrency&amp;HP.TradeCurrency,"P_PRICE_AVG("&amp;INDEX(MO_SNA_FPStartDate,0,COLUMN())&amp;","&amp;INDEX(MO_Common_QEndDate,0,COLUMN())&amp;",,,,0)")),"N/A")</f>
        <v/>
      </c>
      <c r="K1412" s="2045">
        <f>IFERROR(IF(INDEX(MO_Common_QEndDate,0,COLUMN())&gt;TODAY(),FDS(MO.ReportCurrency&amp;HP.TradeCurrency,"FG_PRICE(NOW)"),FDS(MO.ReportCurrency&amp;HP.TradeCurrency,"P_PRICE_AVG("&amp;INDEX(MO_SNA_FPStartDate,0,COLUMN())&amp;","&amp;INDEX(MO_Common_QEndDate,0,COLUMN())&amp;",,,,0)")),"N/A")</f>
        <v/>
      </c>
      <c r="L1412" s="2045">
        <f>IFERROR(IF(INDEX(MO_Common_QEndDate,0,COLUMN())&gt;TODAY(),FDS(MO.ReportCurrency&amp;HP.TradeCurrency,"FG_PRICE(NOW)"),FDS(MO.ReportCurrency&amp;HP.TradeCurrency,"P_PRICE_AVG("&amp;INDEX(MO_SNA_FPStartDate,0,COLUMN())&amp;","&amp;INDEX(MO_Common_QEndDate,0,COLUMN())&amp;",,,,0)")),"N/A")</f>
        <v/>
      </c>
      <c r="M1412" s="2045">
        <f>IFERROR(IF(INDEX(MO_Common_QEndDate,0,COLUMN())&gt;TODAY(),FDS(MO.ReportCurrency&amp;HP.TradeCurrency,"FG_PRICE(NOW)"),FDS(MO.ReportCurrency&amp;HP.TradeCurrency,"P_PRICE_AVG("&amp;INDEX(MO_SNA_FPStartDate,0,COLUMN())&amp;","&amp;INDEX(MO_Common_QEndDate,0,COLUMN())&amp;",,,,0)")),"N/A")</f>
        <v/>
      </c>
      <c r="N1412" s="2045">
        <f>IFERROR(IF(INDEX(MO_Common_QEndDate,0,COLUMN())&gt;TODAY(),FDS(MO.ReportCurrency&amp;HP.TradeCurrency,"FG_PRICE(NOW)"),FDS(MO.ReportCurrency&amp;HP.TradeCurrency,"P_PRICE_AVG("&amp;INDEX(MO_SNA_FPStartDate,0,COLUMN())&amp;","&amp;INDEX(MO_Common_QEndDate,0,COLUMN())&amp;",,,,0)")),"N/A")</f>
        <v/>
      </c>
      <c r="O1412" s="2045">
        <f>IFERROR(IF(INDEX(MO_Common_QEndDate,0,COLUMN())&gt;TODAY(),FDS(MO.ReportCurrency&amp;HP.TradeCurrency,"FG_PRICE(NOW)"),FDS(MO.ReportCurrency&amp;HP.TradeCurrency,"P_PRICE_AVG("&amp;INDEX(MO_SNA_FPStartDate,0,COLUMN())&amp;","&amp;INDEX(MO_Common_QEndDate,0,COLUMN())&amp;",,,,0)")),"N/A")</f>
        <v/>
      </c>
      <c r="P1412" s="2045">
        <f>IFERROR(IF(INDEX(MO_Common_QEndDate,0,COLUMN())&gt;TODAY(),FDS(MO.ReportCurrency&amp;HP.TradeCurrency,"FG_PRICE(NOW)"),FDS(MO.ReportCurrency&amp;HP.TradeCurrency,"P_PRICE_AVG("&amp;INDEX(MO_SNA_FPStartDate,0,COLUMN())&amp;","&amp;INDEX(MO_Common_QEndDate,0,COLUMN())&amp;",,,,0)")),"N/A")</f>
        <v/>
      </c>
      <c r="Q1412" s="2045">
        <f>IFERROR(IF(INDEX(MO_Common_QEndDate,0,COLUMN())&gt;TODAY(),FDS(MO.ReportCurrency&amp;HP.TradeCurrency,"FG_PRICE(NOW)"),FDS(MO.ReportCurrency&amp;HP.TradeCurrency,"P_PRICE_AVG("&amp;INDEX(MO_SNA_FPStartDate,0,COLUMN())&amp;","&amp;INDEX(MO_Common_QEndDate,0,COLUMN())&amp;",,,,0)")),"N/A")</f>
        <v/>
      </c>
      <c r="R1412" s="2045">
        <f>IFERROR(IF(INDEX(MO_Common_QEndDate,0,COLUMN())&gt;TODAY(),FDS(MO.ReportCurrency&amp;HP.TradeCurrency,"FG_PRICE(NOW)"),FDS(MO.ReportCurrency&amp;HP.TradeCurrency,"P_PRICE_AVG("&amp;INDEX(MO_SNA_FPStartDate,0,COLUMN())&amp;","&amp;INDEX(MO_Common_QEndDate,0,COLUMN())&amp;",,,,0)")),"N/A")</f>
        <v/>
      </c>
      <c r="S1412" s="2045">
        <f>IFERROR(IF(INDEX(MO_Common_QEndDate,0,COLUMN())&gt;TODAY(),FDS(MO.ReportCurrency&amp;HP.TradeCurrency,"FG_PRICE(NOW)"),FDS(MO.ReportCurrency&amp;HP.TradeCurrency,"P_PRICE_AVG("&amp;INDEX(MO_SNA_FPStartDate,0,COLUMN())&amp;","&amp;INDEX(MO_Common_QEndDate,0,COLUMN())&amp;",,,,0)")),"N/A")</f>
        <v/>
      </c>
      <c r="T1412" s="2045">
        <f>IFERROR(IF(INDEX(MO_Common_QEndDate,0,COLUMN())&gt;TODAY(),FDS(MO.ReportCurrency&amp;HP.TradeCurrency,"FG_PRICE(NOW)"),FDS(MO.ReportCurrency&amp;HP.TradeCurrency,"P_PRICE_AVG("&amp;INDEX(MO_SNA_FPStartDate,0,COLUMN())&amp;","&amp;INDEX(MO_Common_QEndDate,0,COLUMN())&amp;",,,,0)")),"N/A")</f>
        <v/>
      </c>
      <c r="U1412" s="2045">
        <f>IFERROR(IF(INDEX(MO_Common_QEndDate,0,COLUMN())&gt;TODAY(),FDS(MO.ReportCurrency&amp;HP.TradeCurrency,"FG_PRICE(NOW)"),FDS(MO.ReportCurrency&amp;HP.TradeCurrency,"P_PRICE_AVG("&amp;INDEX(MO_SNA_FPStartDate,0,COLUMN())&amp;","&amp;INDEX(MO_Common_QEndDate,0,COLUMN())&amp;",,,,0)")),"N/A")</f>
        <v/>
      </c>
      <c r="V1412" s="2045">
        <f>IFERROR(IF(INDEX(MO_Common_QEndDate,0,COLUMN())&gt;TODAY(),FDS(MO.ReportCurrency&amp;HP.TradeCurrency,"FG_PRICE(NOW)"),FDS(MO.ReportCurrency&amp;HP.TradeCurrency,"P_PRICE_AVG("&amp;INDEX(MO_SNA_FPStartDate,0,COLUMN())&amp;","&amp;INDEX(MO_Common_QEndDate,0,COLUMN())&amp;",,,,0)")),"N/A")</f>
        <v/>
      </c>
      <c r="W1412" s="2045">
        <f>IFERROR(IF(INDEX(MO_Common_QEndDate,0,COLUMN())&gt;TODAY(),FDS(MO.ReportCurrency&amp;HP.TradeCurrency,"FG_PRICE(NOW)"),FDS(MO.ReportCurrency&amp;HP.TradeCurrency,"P_PRICE_AVG("&amp;INDEX(MO_SNA_FPStartDate,0,COLUMN())&amp;","&amp;INDEX(MO_Common_QEndDate,0,COLUMN())&amp;",,,,0)")),"N/A")</f>
        <v/>
      </c>
      <c r="X1412" s="2045">
        <f>IFERROR(IF(INDEX(MO_Common_QEndDate,0,COLUMN())&gt;TODAY(),FDS(MO.ReportCurrency&amp;HP.TradeCurrency,"FG_PRICE(NOW)"),FDS(MO.ReportCurrency&amp;HP.TradeCurrency,"P_PRICE_AVG("&amp;INDEX(MO_SNA_FPStartDate,0,COLUMN())&amp;","&amp;INDEX(MO_Common_QEndDate,0,COLUMN())&amp;",,,,0)")),"N/A")</f>
        <v/>
      </c>
      <c r="Y1412" s="2045">
        <f>IFERROR(IF(INDEX(MO_Common_QEndDate,0,COLUMN())&gt;TODAY(),FDS(MO.ReportCurrency&amp;HP.TradeCurrency,"FG_PRICE(NOW)"),FDS(MO.ReportCurrency&amp;HP.TradeCurrency,"P_PRICE_AVG("&amp;INDEX(MO_SNA_FPStartDate,0,COLUMN())&amp;","&amp;INDEX(MO_Common_QEndDate,0,COLUMN())&amp;",,,,0)")),"N/A")</f>
        <v/>
      </c>
      <c r="Z1412" s="2045">
        <f>IFERROR(IF(INDEX(MO_Common_QEndDate,0,COLUMN())&gt;TODAY(),FDS(MO.ReportCurrency&amp;HP.TradeCurrency,"FG_PRICE(NOW)"),FDS(MO.ReportCurrency&amp;HP.TradeCurrency,"P_PRICE_AVG("&amp;INDEX(MO_SNA_FPStartDate,0,COLUMN())&amp;","&amp;INDEX(MO_Common_QEndDate,0,COLUMN())&amp;",,,,0)")),"N/A")</f>
        <v/>
      </c>
      <c r="AA1412" s="2045">
        <f>IFERROR(IF(INDEX(MO_Common_QEndDate,0,COLUMN())&gt;TODAY(),FDS(MO.ReportCurrency&amp;HP.TradeCurrency,"FG_PRICE(NOW)"),FDS(MO.ReportCurrency&amp;HP.TradeCurrency,"P_PRICE_AVG("&amp;INDEX(MO_SNA_FPStartDate,0,COLUMN())&amp;","&amp;INDEX(MO_Common_QEndDate,0,COLUMN())&amp;",,,,0)")),"N/A")</f>
        <v/>
      </c>
      <c r="AB1412" s="2045">
        <f>IFERROR(IF(INDEX(MO_Common_QEndDate,0,COLUMN())&gt;TODAY(),FDS(MO.ReportCurrency&amp;HP.TradeCurrency,"FG_PRICE(NOW)"),FDS(MO.ReportCurrency&amp;HP.TradeCurrency,"P_PRICE_AVG("&amp;INDEX(MO_SNA_FPStartDate,0,COLUMN())&amp;","&amp;INDEX(MO_Common_QEndDate,0,COLUMN())&amp;",,,,0)")),"N/A")</f>
        <v/>
      </c>
      <c r="AC1412" s="2045">
        <f>IFERROR(IF(INDEX(MO_Common_QEndDate,0,COLUMN())&gt;TODAY(),FDS(MO.ReportCurrency&amp;HP.TradeCurrency,"FG_PRICE(NOW)"),FDS(MO.ReportCurrency&amp;HP.TradeCurrency,"P_PRICE_AVG("&amp;INDEX(MO_SNA_FPStartDate,0,COLUMN())&amp;","&amp;INDEX(MO_Common_QEndDate,0,COLUMN())&amp;",,,,0)")),"N/A")</f>
        <v/>
      </c>
      <c r="AD1412" s="2045">
        <f>IFERROR(IF(INDEX(MO_Common_QEndDate,0,COLUMN())&gt;TODAY(),FDS(MO.ReportCurrency&amp;HP.TradeCurrency,"FG_PRICE(NOW)"),FDS(MO.ReportCurrency&amp;HP.TradeCurrency,"P_PRICE_AVG("&amp;INDEX(MO_SNA_FPStartDate,0,COLUMN())&amp;","&amp;INDEX(MO_Common_QEndDate,0,COLUMN())&amp;",,,,0)")),"N/A")</f>
        <v/>
      </c>
      <c r="AE1412" s="2045">
        <f>IFERROR(IF(INDEX(MO_Common_QEndDate,0,COLUMN())&gt;TODAY(),FDS(MO.ReportCurrency&amp;HP.TradeCurrency,"FG_PRICE(NOW)"),FDS(MO.ReportCurrency&amp;HP.TradeCurrency,"P_PRICE_AVG("&amp;INDEX(MO_SNA_FPStartDate,0,COLUMN())&amp;","&amp;INDEX(MO_Common_QEndDate,0,COLUMN())&amp;",,,,0)")),"N/A")</f>
        <v/>
      </c>
      <c r="AF1412" s="2045">
        <f>IFERROR(IF(INDEX(MO_Common_QEndDate,0,COLUMN())&gt;TODAY(),FDS(MO.ReportCurrency&amp;HP.TradeCurrency,"FG_PRICE(NOW)"),FDS(MO.ReportCurrency&amp;HP.TradeCurrency,"P_PRICE_AVG("&amp;INDEX(MO_SNA_FPStartDate,0,COLUMN())&amp;","&amp;INDEX(MO_Common_QEndDate,0,COLUMN())&amp;",,,,0)")),"N/A")</f>
        <v/>
      </c>
      <c r="AG1412" s="2045">
        <f>IFERROR(IF(INDEX(MO_Common_QEndDate,0,COLUMN())&gt;TODAY(),FDS(MO.ReportCurrency&amp;HP.TradeCurrency,"FG_PRICE(NOW)"),FDS(MO.ReportCurrency&amp;HP.TradeCurrency,"P_PRICE_AVG("&amp;INDEX(MO_SNA_FPStartDate,0,COLUMN())&amp;","&amp;INDEX(MO_Common_QEndDate,0,COLUMN())&amp;",,,,0)")),"N/A")</f>
        <v/>
      </c>
      <c r="AH1412" s="2045">
        <f>IFERROR(IF(INDEX(MO_Common_QEndDate,0,COLUMN())&gt;TODAY(),FDS(MO.ReportCurrency&amp;HP.TradeCurrency,"FG_PRICE(NOW)"),FDS(MO.ReportCurrency&amp;HP.TradeCurrency,"P_PRICE_AVG("&amp;INDEX(MO_SNA_FPStartDate,0,COLUMN())&amp;","&amp;INDEX(MO_Common_QEndDate,0,COLUMN())&amp;",,,,0)")),"N/A")</f>
        <v/>
      </c>
      <c r="AI1412" s="2045">
        <f>IFERROR(IF(INDEX(MO_Common_QEndDate,0,COLUMN())&gt;TODAY(),FDS(MO.ReportCurrency&amp;HP.TradeCurrency,"FG_PRICE(NOW)"),FDS(MO.ReportCurrency&amp;HP.TradeCurrency,"P_PRICE_AVG("&amp;INDEX(MO_SNA_FPStartDate,0,COLUMN())&amp;","&amp;INDEX(MO_Common_QEndDate,0,COLUMN())&amp;",,,,0)")),"N/A")</f>
        <v/>
      </c>
      <c r="AJ1412" s="2045">
        <f>IFERROR(IF(INDEX(MO_Common_QEndDate,0,COLUMN())&gt;TODAY(),FDS(MO.ReportCurrency&amp;HP.TradeCurrency,"FG_PRICE(NOW)"),FDS(MO.ReportCurrency&amp;HP.TradeCurrency,"P_PRICE_AVG("&amp;INDEX(MO_SNA_FPStartDate,0,COLUMN())&amp;","&amp;INDEX(MO_Common_QEndDate,0,COLUMN())&amp;",,,,0)")),"N/A")</f>
        <v/>
      </c>
      <c r="AK1412" s="2045">
        <f>IFERROR(IF(INDEX(MO_Common_QEndDate,0,COLUMN())&gt;TODAY(),FDS(MO.ReportCurrency&amp;HP.TradeCurrency,"FG_PRICE(NOW)"),FDS(MO.ReportCurrency&amp;HP.TradeCurrency,"P_PRICE_AVG("&amp;INDEX(MO_SNA_FPStartDate,0,COLUMN())&amp;","&amp;INDEX(MO_Common_QEndDate,0,COLUMN())&amp;",,,,0)")),"N/A")</f>
        <v/>
      </c>
      <c r="AL1412" s="2045">
        <f>IFERROR(IF(INDEX(MO_Common_QEndDate,0,COLUMN())&gt;TODAY(),FDS(MO.ReportCurrency&amp;HP.TradeCurrency,"FG_PRICE(NOW)"),FDS(MO.ReportCurrency&amp;HP.TradeCurrency,"P_PRICE_AVG("&amp;INDEX(MO_SNA_FPStartDate,0,COLUMN())&amp;","&amp;INDEX(MO_Common_QEndDate,0,COLUMN())&amp;",,,,0)")),"N/A")</f>
        <v/>
      </c>
      <c r="AM1412" s="2045">
        <f>IFERROR(IF(INDEX(MO_Common_QEndDate,0,COLUMN())&gt;TODAY(),FDS(MO.ReportCurrency&amp;HP.TradeCurrency,"FG_PRICE(NOW)"),FDS(MO.ReportCurrency&amp;HP.TradeCurrency,"P_PRICE_AVG("&amp;INDEX(MO_SNA_FPStartDate,0,COLUMN())&amp;","&amp;INDEX(MO_Common_QEndDate,0,COLUMN())&amp;",,,,0)")),"N/A")</f>
        <v/>
      </c>
      <c r="AN1412" s="2045">
        <f>IFERROR(IF(INDEX(MO_Common_QEndDate,0,COLUMN())&gt;TODAY(),FDS(MO.ReportCurrency&amp;HP.TradeCurrency,"FG_PRICE(NOW)"),FDS(MO.ReportCurrency&amp;HP.TradeCurrency,"P_PRICE_AVG("&amp;INDEX(MO_SNA_FPStartDate,0,COLUMN())&amp;","&amp;INDEX(MO_Common_QEndDate,0,COLUMN())&amp;",,,,0)")),"N/A")</f>
        <v/>
      </c>
      <c r="AO1412" s="2045">
        <f>IFERROR(IF(INDEX(MO_Common_QEndDate,0,COLUMN())&gt;TODAY(),FDS(MO.ReportCurrency&amp;HP.TradeCurrency,"FG_PRICE(NOW)"),FDS(MO.ReportCurrency&amp;HP.TradeCurrency,"P_PRICE_AVG("&amp;INDEX(MO_SNA_FPStartDate,0,COLUMN())&amp;","&amp;INDEX(MO_Common_QEndDate,0,COLUMN())&amp;",,,,0)")),"N/A")</f>
        <v/>
      </c>
      <c r="AP1412" s="2045">
        <f>IFERROR(IF(INDEX(MO_Common_QEndDate,0,COLUMN())&gt;TODAY(),FDS(MO.ReportCurrency&amp;HP.TradeCurrency,"FG_PRICE(NOW)"),FDS(MO.ReportCurrency&amp;HP.TradeCurrency,"P_PRICE_AVG("&amp;INDEX(MO_SNA_FPStartDate,0,COLUMN())&amp;","&amp;INDEX(MO_Common_QEndDate,0,COLUMN())&amp;",,,,0)")),"N/A")</f>
        <v/>
      </c>
      <c r="AQ1412" s="2045">
        <f>IFERROR(IF(INDEX(MO_Common_QEndDate,0,COLUMN())&gt;TODAY(),FDS(MO.ReportCurrency&amp;HP.TradeCurrency,"FG_PRICE(NOW)"),FDS(MO.ReportCurrency&amp;HP.TradeCurrency,"P_PRICE_AVG("&amp;INDEX(MO_SNA_FPStartDate,0,COLUMN())&amp;","&amp;INDEX(MO_Common_QEndDate,0,COLUMN())&amp;",,,,0)")),"N/A")</f>
        <v/>
      </c>
      <c r="AR1412" s="2045">
        <f>IFERROR(IF(INDEX(MO_Common_QEndDate,0,COLUMN())&gt;TODAY(),FDS(MO.ReportCurrency&amp;HP.TradeCurrency,"FG_PRICE(NOW)"),FDS(MO.ReportCurrency&amp;HP.TradeCurrency,"P_PRICE_AVG("&amp;INDEX(MO_SNA_FPStartDate,0,COLUMN())&amp;","&amp;INDEX(MO_Common_QEndDate,0,COLUMN())&amp;",,,,0)")),"N/A")</f>
        <v/>
      </c>
      <c r="AS1412" s="2045">
        <f>IFERROR(IF(INDEX(MO_Common_QEndDate,0,COLUMN())&gt;TODAY(),FDS(MO.ReportCurrency&amp;HP.TradeCurrency,"FG_PRICE(NOW)"),FDS(MO.ReportCurrency&amp;HP.TradeCurrency,"P_PRICE_AVG("&amp;INDEX(MO_SNA_FPStartDate,0,COLUMN())&amp;","&amp;INDEX(MO_Common_QEndDate,0,COLUMN())&amp;",,,,0)")),"N/A")</f>
        <v/>
      </c>
      <c r="AT1412" s="2045">
        <f>IFERROR(IF(INDEX(MO_Common_QEndDate,0,COLUMN())&gt;TODAY(),FDS(MO.ReportCurrency&amp;HP.TradeCurrency,"FG_PRICE(NOW)"),FDS(MO.ReportCurrency&amp;HP.TradeCurrency,"P_PRICE_AVG("&amp;INDEX(MO_SNA_FPStartDate,0,COLUMN())&amp;","&amp;INDEX(MO_Common_QEndDate,0,COLUMN())&amp;",,,,0)")),"N/A")</f>
        <v/>
      </c>
      <c r="AU1412" s="2045">
        <f>IFERROR(IF(INDEX(MO_Common_QEndDate,0,COLUMN())&gt;TODAY(),FDS(MO.ReportCurrency&amp;HP.TradeCurrency,"FG_PRICE(NOW)"),FDS(MO.ReportCurrency&amp;HP.TradeCurrency,"P_PRICE_AVG("&amp;INDEX(MO_SNA_FPStartDate,0,COLUMN())&amp;","&amp;INDEX(MO_Common_QEndDate,0,COLUMN())&amp;",,,,0)")),"N/A")</f>
        <v/>
      </c>
      <c r="AV1412" s="2045">
        <f>IFERROR(IF(INDEX(MO_Common_QEndDate,0,COLUMN())&gt;TODAY(),FDS(MO.ReportCurrency&amp;HP.TradeCurrency,"FG_PRICE(NOW)"),FDS(MO.ReportCurrency&amp;HP.TradeCurrency,"P_PRICE_AVG("&amp;INDEX(MO_SNA_FPStartDate,0,COLUMN())&amp;","&amp;INDEX(MO_Common_QEndDate,0,COLUMN())&amp;",,,,0)")),"N/A")</f>
        <v/>
      </c>
      <c r="AW1412" s="2045">
        <f>IFERROR(IF(INDEX(MO_Common_QEndDate,0,COLUMN())&gt;TODAY(),FDS(MO.ReportCurrency&amp;HP.TradeCurrency,"FG_PRICE(NOW)"),FDS(MO.ReportCurrency&amp;HP.TradeCurrency,"P_PRICE_AVG("&amp;INDEX(MO_SNA_FPStartDate,0,COLUMN())&amp;","&amp;INDEX(MO_Common_QEndDate,0,COLUMN())&amp;",,,,0)")),"N/A")</f>
        <v/>
      </c>
      <c r="AX1412" s="2045">
        <f>IFERROR(IF(INDEX(MO_Common_QEndDate,0,COLUMN())&gt;TODAY(),FDS(MO.ReportCurrency&amp;HP.TradeCurrency,"FG_PRICE(NOW)"),FDS(MO.ReportCurrency&amp;HP.TradeCurrency,"P_PRICE_AVG("&amp;INDEX(MO_SNA_FPStartDate,0,COLUMN())&amp;","&amp;INDEX(MO_Common_QEndDate,0,COLUMN())&amp;",,,,0)")),"N/A")</f>
        <v/>
      </c>
      <c r="AY1412" s="2045">
        <f>IFERROR(IF(INDEX(MO_Common_QEndDate,0,COLUMN())&gt;TODAY(),FDS(MO.ReportCurrency&amp;HP.TradeCurrency,"FG_PRICE(NOW)"),FDS(MO.ReportCurrency&amp;HP.TradeCurrency,"P_PRICE_AVG("&amp;INDEX(MO_SNA_FPStartDate,0,COLUMN())&amp;","&amp;INDEX(MO_Common_QEndDate,0,COLUMN())&amp;",,,,0)")),"N/A")</f>
        <v/>
      </c>
      <c r="AZ1412" s="2045">
        <f>IFERROR(IF(INDEX(MO_Common_QEndDate,0,COLUMN())&gt;TODAY(),FDS(MO.ReportCurrency&amp;HP.TradeCurrency,"FG_PRICE(NOW)"),FDS(MO.ReportCurrency&amp;HP.TradeCurrency,"P_PRICE_AVG("&amp;INDEX(MO_SNA_FPStartDate,0,COLUMN())&amp;","&amp;INDEX(MO_Common_QEndDate,0,COLUMN())&amp;",,,,0)")),"N/A")</f>
        <v/>
      </c>
      <c r="BA1412" s="2045">
        <f>IFERROR(IF(INDEX(MO_Common_QEndDate,0,COLUMN())&gt;TODAY(),FDS(MO.ReportCurrency&amp;HP.TradeCurrency,"FG_PRICE(NOW)"),FDS(MO.ReportCurrency&amp;HP.TradeCurrency,"P_PRICE_AVG("&amp;INDEX(MO_SNA_FPStartDate,0,COLUMN())&amp;","&amp;INDEX(MO_Common_QEndDate,0,COLUMN())&amp;",,,,0)")),"N/A")</f>
        <v/>
      </c>
      <c r="BB1412" s="2045">
        <f>IFERROR(IF(INDEX(MO_Common_QEndDate,0,COLUMN())&gt;TODAY(),FDS(MO.ReportCurrency&amp;HP.TradeCurrency,"FG_PRICE(NOW)"),FDS(MO.ReportCurrency&amp;HP.TradeCurrency,"P_PRICE_AVG("&amp;INDEX(MO_SNA_FPStartDate,0,COLUMN())&amp;","&amp;INDEX(MO_Common_QEndDate,0,COLUMN())&amp;",,,,0)")),"N/A")</f>
        <v/>
      </c>
      <c r="BC1412" s="2045">
        <f>IFERROR(IF(INDEX(MO_Common_QEndDate,0,COLUMN())&gt;TODAY(),FDS(MO.ReportCurrency&amp;HP.TradeCurrency,"FG_PRICE(NOW)"),FDS(MO.ReportCurrency&amp;HP.TradeCurrency,"P_PRICE_AVG("&amp;INDEX(MO_SNA_FPStartDate,0,COLUMN())&amp;","&amp;INDEX(MO_Common_QEndDate,0,COLUMN())&amp;",,,,0)")),"N/A")</f>
        <v/>
      </c>
      <c r="BD1412" s="2045">
        <f>IFERROR(IF(INDEX(MO_Common_QEndDate,0,COLUMN())&gt;TODAY(),FDS(MO.ReportCurrency&amp;HP.TradeCurrency,"FG_PRICE(NOW)"),FDS(MO.ReportCurrency&amp;HP.TradeCurrency,"P_PRICE_AVG("&amp;INDEX(MO_SNA_FPStartDate,0,COLUMN())&amp;","&amp;INDEX(MO_Common_QEndDate,0,COLUMN())&amp;",,,,0)")),"N/A")</f>
        <v/>
      </c>
      <c r="BE1412" s="2045">
        <f>IFERROR(IF(INDEX(MO_Common_QEndDate,0,COLUMN())&gt;TODAY(),FDS(MO.ReportCurrency&amp;HP.TradeCurrency,"FG_PRICE(NOW)"),FDS(MO.ReportCurrency&amp;HP.TradeCurrency,"P_PRICE_AVG("&amp;INDEX(MO_SNA_FPStartDate,0,COLUMN())&amp;","&amp;INDEX(MO_Common_QEndDate,0,COLUMN())&amp;",,,,0)")),"N/A")</f>
        <v/>
      </c>
      <c r="BF1412" s="2045">
        <f>IFERROR(IF(INDEX(MO_Common_QEndDate,0,COLUMN())&gt;TODAY(),FDS(MO.ReportCurrency&amp;HP.TradeCurrency,"FG_PRICE(NOW)"),FDS(MO.ReportCurrency&amp;HP.TradeCurrency,"P_PRICE_AVG("&amp;INDEX(MO_SNA_FPStartDate,0,COLUMN())&amp;","&amp;INDEX(MO_Common_QEndDate,0,COLUMN())&amp;",,,,0)")),"N/A")</f>
        <v/>
      </c>
      <c r="BG1412" s="2045">
        <f>IFERROR(IF(INDEX(MO_Common_QEndDate,0,COLUMN())&gt;TODAY(),FDS(MO.ReportCurrency&amp;HP.TradeCurrency,"FG_PRICE(NOW)"),FDS(MO.ReportCurrency&amp;HP.TradeCurrency,"P_PRICE_AVG("&amp;INDEX(MO_SNA_FPStartDate,0,COLUMN())&amp;","&amp;INDEX(MO_Common_QEndDate,0,COLUMN())&amp;",,,,0)")),"N/A")</f>
        <v/>
      </c>
      <c r="BH1412" s="2045">
        <f>IFERROR(IF(INDEX(MO_Common_QEndDate,0,COLUMN())&gt;TODAY(),FDS(MO.ReportCurrency&amp;HP.TradeCurrency,"FG_PRICE(NOW)"),FDS(MO.ReportCurrency&amp;HP.TradeCurrency,"P_PRICE_AVG("&amp;INDEX(MO_SNA_FPStartDate,0,COLUMN())&amp;","&amp;INDEX(MO_Common_QEndDate,0,COLUMN())&amp;",,,,0)")),"N/A")</f>
        <v/>
      </c>
      <c r="BI1412" s="2045">
        <f>IFERROR(IF(INDEX(MO_Common_QEndDate,0,COLUMN())&gt;TODAY(),FDS(MO.ReportCurrency&amp;HP.TradeCurrency,"FG_PRICE(NOW)"),FDS(MO.ReportCurrency&amp;HP.TradeCurrency,"P_PRICE_AVG("&amp;INDEX(MO_SNA_FPStartDate,0,COLUMN())&amp;","&amp;INDEX(MO_Common_QEndDate,0,COLUMN())&amp;",,,,0)")),"N/A")</f>
        <v/>
      </c>
      <c r="BJ1412" s="2045">
        <f>IFERROR(IF(INDEX(MO_Common_QEndDate,0,COLUMN())&gt;TODAY(),FDS(MO.ReportCurrency&amp;HP.TradeCurrency,"FG_PRICE(NOW)"),FDS(MO.ReportCurrency&amp;HP.TradeCurrency,"P_PRICE_AVG("&amp;INDEX(MO_SNA_FPStartDate,0,COLUMN())&amp;","&amp;INDEX(MO_Common_QEndDate,0,COLUMN())&amp;",,,,0)")),"N/A")</f>
        <v/>
      </c>
      <c r="BK1412" s="2045">
        <f>IFERROR(IF(INDEX(MO_Common_QEndDate,0,COLUMN())&gt;TODAY(),FDS(MO.ReportCurrency&amp;HP.TradeCurrency,"FG_PRICE(NOW)"),FDS(MO.ReportCurrency&amp;HP.TradeCurrency,"P_PRICE_AVG("&amp;INDEX(MO_SNA_FPStartDate,0,COLUMN())&amp;","&amp;INDEX(MO_Common_QEndDate,0,COLUMN())&amp;",,,,0)")),"N/A")</f>
        <v/>
      </c>
      <c r="BL1412" s="2045">
        <f>IFERROR(IF(INDEX(MO_Common_QEndDate,0,COLUMN())&gt;TODAY(),FDS(MO.ReportCurrency&amp;HP.TradeCurrency,"FG_PRICE(NOW)"),FDS(MO.ReportCurrency&amp;HP.TradeCurrency,"P_PRICE_AVG("&amp;INDEX(MO_SNA_FPStartDate,0,COLUMN())&amp;","&amp;INDEX(MO_Common_QEndDate,0,COLUMN())&amp;",,,,0)")),"N/A")</f>
        <v/>
      </c>
      <c r="BM1412" s="2045">
        <f>IFERROR(IF(INDEX(MO_Common_QEndDate,0,COLUMN())&gt;TODAY(),FDS(MO.ReportCurrency&amp;HP.TradeCurrency,"FG_PRICE(NOW)"),FDS(MO.ReportCurrency&amp;HP.TradeCurrency,"P_PRICE_AVG("&amp;INDEX(MO_SNA_FPStartDate,0,COLUMN())&amp;","&amp;INDEX(MO_Common_QEndDate,0,COLUMN())&amp;",,,,0)")),"N/A")</f>
        <v/>
      </c>
      <c r="BN1412" s="2045">
        <f>IFERROR(IF(INDEX(MO_Common_QEndDate,0,COLUMN())&gt;TODAY(),FDS(MO.ReportCurrency&amp;HP.TradeCurrency,"FG_PRICE(NOW)"),FDS(MO.ReportCurrency&amp;HP.TradeCurrency,"P_PRICE_AVG("&amp;INDEX(MO_SNA_FPStartDate,0,COLUMN())&amp;","&amp;INDEX(MO_Common_QEndDate,0,COLUMN())&amp;",,,,0)")),"N/A")</f>
        <v/>
      </c>
      <c r="BO1412" s="2045">
        <f>IFERROR(IF(INDEX(MO_Common_QEndDate,0,COLUMN())&gt;TODAY(),FDS(MO.ReportCurrency&amp;HP.TradeCurrency,"FG_PRICE(NOW)"),FDS(MO.ReportCurrency&amp;HP.TradeCurrency,"P_PRICE_AVG("&amp;INDEX(MO_SNA_FPStartDate,0,COLUMN())&amp;","&amp;INDEX(MO_Common_QEndDate,0,COLUMN())&amp;",,,,0)")),"N/A")</f>
        <v/>
      </c>
      <c r="BP1412" s="2045">
        <f>IFERROR(IF(INDEX(MO_Common_QEndDate,0,COLUMN())&gt;TODAY(),FDS(MO.ReportCurrency&amp;HP.TradeCurrency,"FG_PRICE(NOW)"),FDS(MO.ReportCurrency&amp;HP.TradeCurrency,"P_PRICE_AVG("&amp;INDEX(MO_SNA_FPStartDate,0,COLUMN())&amp;","&amp;INDEX(MO_Common_QEndDate,0,COLUMN())&amp;",,,,0)")),"N/A")</f>
        <v/>
      </c>
      <c r="BQ1412" s="2047">
        <f>IFERROR(IF(INDEX(MO_Common_QEndDate,0,COLUMN())&gt;TODAY(),FDS(MO.ReportCurrency&amp;HP.TradeCurrency,"FG_PRICE(NOW)"),FDS(MO.ReportCurrency&amp;HP.TradeCurrency,"P_PRICE_AVG("&amp;INDEX(MO_SNA_FPStartDate,0,COLUMN())&amp;","&amp;INDEX(MO_Common_QEndDate,0,COLUMN())&amp;",,,,0)")),"N/A")</f>
        <v/>
      </c>
      <c r="BR1412" s="2045">
        <f>IFERROR(IF(INDEX(MO_Common_QEndDate,0,COLUMN())&gt;TODAY(),FDS(MO.ReportCurrency&amp;HP.TradeCurrency,"FG_PRICE(NOW)"),FDS(MO.ReportCurrency&amp;HP.TradeCurrency,"P_PRICE_AVG("&amp;INDEX(MO_SNA_FPStartDate,0,COLUMN())&amp;","&amp;INDEX(MO_Common_QEndDate,0,COLUMN())&amp;",,,,0)")),"N/A")</f>
        <v/>
      </c>
      <c r="BS1412" s="2045">
        <f>IFERROR(IF(INDEX(MO_Common_QEndDate,0,COLUMN())&gt;TODAY(),FDS(MO.ReportCurrency&amp;HP.TradeCurrency,"FG_PRICE(NOW)"),FDS(MO.ReportCurrency&amp;HP.TradeCurrency,"P_PRICE_AVG("&amp;INDEX(MO_SNA_FPStartDate,0,COLUMN())&amp;","&amp;INDEX(MO_Common_QEndDate,0,COLUMN())&amp;",,,,0)")),"N/A")</f>
        <v/>
      </c>
      <c r="BT1412" s="2045">
        <f>IFERROR(IF(INDEX(MO_Common_QEndDate,0,COLUMN())&gt;TODAY(),FDS(MO.ReportCurrency&amp;HP.TradeCurrency,"FG_PRICE(NOW)"),FDS(MO.ReportCurrency&amp;HP.TradeCurrency,"P_PRICE_AVG("&amp;INDEX(MO_SNA_FPStartDate,0,COLUMN())&amp;","&amp;INDEX(MO_Common_QEndDate,0,COLUMN())&amp;",,,,0)")),"N/A")</f>
        <v/>
      </c>
      <c r="BU1412" s="2045">
        <f>IFERROR(IF(INDEX(MO_Common_QEndDate,0,COLUMN())&gt;TODAY(),FDS(MO.ReportCurrency&amp;HP.TradeCurrency,"FG_PRICE(NOW)"),FDS(MO.ReportCurrency&amp;HP.TradeCurrency,"P_PRICE_AVG("&amp;INDEX(MO_SNA_FPStartDate,0,COLUMN())&amp;","&amp;INDEX(MO_Common_QEndDate,0,COLUMN())&amp;",,,,0)")),"N/A")</f>
        <v/>
      </c>
      <c r="BV1412" s="2045">
        <f>IFERROR(IF(INDEX(MO_Common_QEndDate,0,COLUMN())&gt;TODAY(),FDS(MO.ReportCurrency&amp;HP.TradeCurrency,"FG_PRICE(NOW)"),FDS(MO.ReportCurrency&amp;HP.TradeCurrency,"P_PRICE_AVG("&amp;INDEX(MO_SNA_FPStartDate,0,COLUMN())&amp;","&amp;INDEX(MO_Common_QEndDate,0,COLUMN())&amp;",,,,0)")),"N/A")</f>
        <v/>
      </c>
      <c r="BW1412" s="2045">
        <f>IFERROR(IF(INDEX(MO_Common_QEndDate,0,COLUMN())&gt;TODAY(),FDS(MO.ReportCurrency&amp;HP.TradeCurrency,"FG_PRICE(NOW)"),FDS(MO.ReportCurrency&amp;HP.TradeCurrency,"P_PRICE_AVG("&amp;INDEX(MO_SNA_FPStartDate,0,COLUMN())&amp;","&amp;INDEX(MO_Common_QEndDate,0,COLUMN())&amp;",,,,0)")),"N/A")</f>
        <v/>
      </c>
      <c r="BX1412" s="2045">
        <f>IFERROR(IF(INDEX(MO_Common_QEndDate,0,COLUMN())&gt;TODAY(),FDS(MO.ReportCurrency&amp;HP.TradeCurrency,"FG_PRICE(NOW)"),FDS(MO.ReportCurrency&amp;HP.TradeCurrency,"P_PRICE_AVG("&amp;INDEX(MO_SNA_FPStartDate,0,COLUMN())&amp;","&amp;INDEX(MO_Common_QEndDate,0,COLUMN())&amp;",,,,0)")),"N/A")</f>
        <v/>
      </c>
      <c r="BY1412" s="2045">
        <f>IFERROR(IF(INDEX(MO_Common_QEndDate,0,COLUMN())&gt;TODAY(),FDS(MO.ReportCurrency&amp;HP.TradeCurrency,"FG_PRICE(NOW)"),FDS(MO.ReportCurrency&amp;HP.TradeCurrency,"P_PRICE_AVG("&amp;INDEX(MO_SNA_FPStartDate,0,COLUMN())&amp;","&amp;INDEX(MO_Common_QEndDate,0,COLUMN())&amp;",,,,0)")),"N/A")</f>
        <v/>
      </c>
      <c r="BZ1412" s="2045">
        <f>IFERROR(IF(INDEX(MO_Common_QEndDate,0,COLUMN())&gt;TODAY(),FDS(MO.ReportCurrency&amp;HP.TradeCurrency,"FG_PRICE(NOW)"),FDS(MO.ReportCurrency&amp;HP.TradeCurrency,"P_PRICE_AVG("&amp;INDEX(MO_SNA_FPStartDate,0,COLUMN())&amp;","&amp;INDEX(MO_Common_QEndDate,0,COLUMN())&amp;",,,,0)")),"N/A")</f>
        <v/>
      </c>
      <c r="CA1412" s="2048">
        <f>IFERROR(IF(INDEX(MO_Common_QEndDate,0,COLUMN())&gt;TODAY(),FDS(MO.ReportCurrency&amp;HP.TradeCurrency,"FG_PRICE(NOW)"),FDS(MO.ReportCurrency&amp;HP.TradeCurrency,"P_PRICE_AVG("&amp;INDEX(MO_SNA_FPStartDate,0,COLUMN())&amp;","&amp;INDEX(MO_Common_QEndDate,0,COLUMN())&amp;",,,,0)")),"N/A")</f>
        <v/>
      </c>
      <c r="CB1412" s="2049" t="n"/>
    </row>
    <row r="1413" hidden="1" outlineLevel="1" ht="14.4" customFormat="1" customHeight="1" s="1917">
      <c r="A1413" s="2050" t="inlineStr">
        <is>
          <t>Refinitiv</t>
        </is>
      </c>
      <c r="B1413" s="2045" t="n"/>
      <c r="C1413" s="2046">
        <f>"N/A"</f>
        <v/>
      </c>
      <c r="D1413" s="2046">
        <f>"N/A"</f>
        <v/>
      </c>
      <c r="E1413" s="2046">
        <f>"N/A"</f>
        <v/>
      </c>
      <c r="F1413" s="2046">
        <f>"N/A"</f>
        <v/>
      </c>
      <c r="G1413" s="2046">
        <f>"N/A"</f>
        <v/>
      </c>
      <c r="H1413" s="2045">
        <f>"N/A"</f>
        <v/>
      </c>
      <c r="I1413" s="2045">
        <f>"N/A"</f>
        <v/>
      </c>
      <c r="J1413" s="2045">
        <f>"N/A"</f>
        <v/>
      </c>
      <c r="K1413" s="2045">
        <f>"N/A"</f>
        <v/>
      </c>
      <c r="L1413" s="2045">
        <f>"N/A"</f>
        <v/>
      </c>
      <c r="M1413" s="2045">
        <f>"N/A"</f>
        <v/>
      </c>
      <c r="N1413" s="2045">
        <f>"N/A"</f>
        <v/>
      </c>
      <c r="O1413" s="2045">
        <f>"N/A"</f>
        <v/>
      </c>
      <c r="P1413" s="2045">
        <f>"N/A"</f>
        <v/>
      </c>
      <c r="Q1413" s="2045">
        <f>"N/A"</f>
        <v/>
      </c>
      <c r="R1413" s="2045">
        <f>"N/A"</f>
        <v/>
      </c>
      <c r="S1413" s="2045">
        <f>"N/A"</f>
        <v/>
      </c>
      <c r="T1413" s="2045">
        <f>"N/A"</f>
        <v/>
      </c>
      <c r="U1413" s="2045">
        <f>"N/A"</f>
        <v/>
      </c>
      <c r="V1413" s="2045">
        <f>"N/A"</f>
        <v/>
      </c>
      <c r="W1413" s="2045">
        <f>"N/A"</f>
        <v/>
      </c>
      <c r="X1413" s="2045">
        <f>"N/A"</f>
        <v/>
      </c>
      <c r="Y1413" s="2045">
        <f>"N/A"</f>
        <v/>
      </c>
      <c r="Z1413" s="2045">
        <f>"N/A"</f>
        <v/>
      </c>
      <c r="AA1413" s="2045">
        <f>"N/A"</f>
        <v/>
      </c>
      <c r="AB1413" s="2045">
        <f>"N/A"</f>
        <v/>
      </c>
      <c r="AC1413" s="2045">
        <f>"N/A"</f>
        <v/>
      </c>
      <c r="AD1413" s="2045">
        <f>"N/A"</f>
        <v/>
      </c>
      <c r="AE1413" s="2045">
        <f>"N/A"</f>
        <v/>
      </c>
      <c r="AF1413" s="2045">
        <f>"N/A"</f>
        <v/>
      </c>
      <c r="AG1413" s="2045">
        <f>"N/A"</f>
        <v/>
      </c>
      <c r="AH1413" s="2045">
        <f>"N/A"</f>
        <v/>
      </c>
      <c r="AI1413" s="2045">
        <f>"N/A"</f>
        <v/>
      </c>
      <c r="AJ1413" s="2045">
        <f>"N/A"</f>
        <v/>
      </c>
      <c r="AK1413" s="2045">
        <f>"N/A"</f>
        <v/>
      </c>
      <c r="AL1413" s="2045">
        <f>"N/A"</f>
        <v/>
      </c>
      <c r="AM1413" s="2045">
        <f>"N/A"</f>
        <v/>
      </c>
      <c r="AN1413" s="2045">
        <f>"N/A"</f>
        <v/>
      </c>
      <c r="AO1413" s="2045">
        <f>"N/A"</f>
        <v/>
      </c>
      <c r="AP1413" s="2045">
        <f>"N/A"</f>
        <v/>
      </c>
      <c r="AQ1413" s="2045">
        <f>"N/A"</f>
        <v/>
      </c>
      <c r="AR1413" s="2045">
        <f>"N/A"</f>
        <v/>
      </c>
      <c r="AS1413" s="2045">
        <f>"N/A"</f>
        <v/>
      </c>
      <c r="AT1413" s="2045">
        <f>"N/A"</f>
        <v/>
      </c>
      <c r="AU1413" s="2045">
        <f>"N/A"</f>
        <v/>
      </c>
      <c r="AV1413" s="2045">
        <f>"N/A"</f>
        <v/>
      </c>
      <c r="AW1413" s="2045">
        <f>"N/A"</f>
        <v/>
      </c>
      <c r="AX1413" s="2045">
        <f>"N/A"</f>
        <v/>
      </c>
      <c r="AY1413" s="2045">
        <f>"N/A"</f>
        <v/>
      </c>
      <c r="AZ1413" s="2045">
        <f>"N/A"</f>
        <v/>
      </c>
      <c r="BA1413" s="2045">
        <f>"N/A"</f>
        <v/>
      </c>
      <c r="BB1413" s="2045">
        <f>"N/A"</f>
        <v/>
      </c>
      <c r="BC1413" s="2045">
        <f>"N/A"</f>
        <v/>
      </c>
      <c r="BD1413" s="2045">
        <f>"N/A"</f>
        <v/>
      </c>
      <c r="BE1413" s="2045">
        <f>"N/A"</f>
        <v/>
      </c>
      <c r="BF1413" s="2045">
        <f>"N/A"</f>
        <v/>
      </c>
      <c r="BG1413" s="2045">
        <f>"N/A"</f>
        <v/>
      </c>
      <c r="BH1413" s="2045">
        <f>"N/A"</f>
        <v/>
      </c>
      <c r="BI1413" s="2045">
        <f>"N/A"</f>
        <v/>
      </c>
      <c r="BJ1413" s="2045">
        <f>"N/A"</f>
        <v/>
      </c>
      <c r="BK1413" s="2045">
        <f>"N/A"</f>
        <v/>
      </c>
      <c r="BL1413" s="2045">
        <f>"N/A"</f>
        <v/>
      </c>
      <c r="BM1413" s="2045">
        <f>"N/A"</f>
        <v/>
      </c>
      <c r="BN1413" s="2045">
        <f>"N/A"</f>
        <v/>
      </c>
      <c r="BO1413" s="2045">
        <f>"N/A"</f>
        <v/>
      </c>
      <c r="BP1413" s="2045">
        <f>"N/A"</f>
        <v/>
      </c>
      <c r="BQ1413" s="2047">
        <f>"N/A"</f>
        <v/>
      </c>
      <c r="BR1413" s="2045">
        <f>"N/A"</f>
        <v/>
      </c>
      <c r="BS1413" s="2045">
        <f>"N/A"</f>
        <v/>
      </c>
      <c r="BT1413" s="2045">
        <f>"N/A"</f>
        <v/>
      </c>
      <c r="BU1413" s="2045">
        <f>"N/A"</f>
        <v/>
      </c>
      <c r="BV1413" s="2045">
        <f>"N/A"</f>
        <v/>
      </c>
      <c r="BW1413" s="2045">
        <f>"N/A"</f>
        <v/>
      </c>
      <c r="BX1413" s="2045">
        <f>"N/A"</f>
        <v/>
      </c>
      <c r="BY1413" s="2045">
        <f>"N/A"</f>
        <v/>
      </c>
      <c r="BZ1413" s="2045">
        <f>"N/A"</f>
        <v/>
      </c>
      <c r="CA1413" s="2048">
        <f>"N/A"</f>
        <v/>
      </c>
      <c r="CB1413" s="2049" t="n"/>
    </row>
    <row r="1414" hidden="1" outlineLevel="1" collapsed="1" ht="14.4" customFormat="1" customHeight="1" s="1359">
      <c r="A1414" s="2042" t="n"/>
      <c r="B1414" s="1361" t="n"/>
      <c r="C1414" s="1959" t="n"/>
      <c r="D1414" s="1959" t="n"/>
      <c r="E1414" s="1959" t="n"/>
      <c r="F1414" s="1959" t="n"/>
      <c r="G1414" s="1959" t="n"/>
      <c r="H1414" s="1361" t="n"/>
      <c r="I1414" s="1361" t="n"/>
      <c r="J1414" s="1361" t="n"/>
      <c r="K1414" s="1361" t="n"/>
      <c r="L1414" s="1361" t="n"/>
      <c r="M1414" s="1361" t="n"/>
      <c r="N1414" s="1361" t="n"/>
      <c r="O1414" s="1361" t="n"/>
      <c r="P1414" s="1361" t="n"/>
      <c r="Q1414" s="1361" t="n"/>
      <c r="R1414" s="1361" t="n"/>
      <c r="S1414" s="1361" t="n"/>
      <c r="T1414" s="1361" t="n"/>
      <c r="U1414" s="1361" t="n"/>
      <c r="V1414" s="1361" t="n"/>
      <c r="W1414" s="1361" t="n"/>
      <c r="X1414" s="1361" t="n"/>
      <c r="Y1414" s="1361" t="n"/>
      <c r="Z1414" s="1361" t="n"/>
      <c r="AA1414" s="1361" t="n"/>
      <c r="AB1414" s="1361" t="n"/>
      <c r="AC1414" s="1361" t="n"/>
      <c r="AD1414" s="1361" t="n"/>
      <c r="AE1414" s="1361" t="n"/>
      <c r="AF1414" s="1361" t="n"/>
      <c r="AG1414" s="1361" t="n"/>
      <c r="AH1414" s="1361" t="n"/>
      <c r="AI1414" s="1361" t="n"/>
      <c r="AJ1414" s="1361" t="n"/>
      <c r="AK1414" s="1361" t="n"/>
      <c r="AL1414" s="1361" t="n"/>
      <c r="AM1414" s="1361" t="n"/>
      <c r="AN1414" s="1361" t="n"/>
      <c r="AO1414" s="1361" t="n"/>
      <c r="AP1414" s="1361" t="n"/>
      <c r="AQ1414" s="1361" t="n"/>
      <c r="AR1414" s="1361" t="n"/>
      <c r="AS1414" s="1361" t="n"/>
      <c r="AT1414" s="1361" t="n"/>
      <c r="AU1414" s="1361" t="n"/>
      <c r="AV1414" s="1361" t="n"/>
      <c r="AW1414" s="1361" t="n"/>
      <c r="AX1414" s="1361" t="n"/>
      <c r="AY1414" s="1361" t="n"/>
      <c r="AZ1414" s="1361" t="n"/>
      <c r="BA1414" s="1361" t="n"/>
      <c r="BB1414" s="1361" t="n"/>
      <c r="BC1414" s="1361" t="n"/>
      <c r="BD1414" s="1361" t="n"/>
      <c r="BE1414" s="1361" t="n"/>
      <c r="BF1414" s="1361" t="n"/>
      <c r="BG1414" s="1361" t="n"/>
      <c r="BH1414" s="1361" t="n"/>
      <c r="BI1414" s="1361" t="n"/>
      <c r="BJ1414" s="1361" t="n"/>
      <c r="BK1414" s="1361" t="n"/>
      <c r="BL1414" s="1361" t="n"/>
      <c r="BM1414" s="1361" t="n"/>
      <c r="BN1414" s="1361" t="n"/>
      <c r="BO1414" s="1361" t="n"/>
      <c r="BP1414" s="1361" t="n"/>
      <c r="BQ1414" s="1363" t="n"/>
      <c r="BR1414" s="1361" t="n"/>
      <c r="BS1414" s="1361" t="n"/>
      <c r="BT1414" s="1361" t="n"/>
      <c r="BU1414" s="1361" t="n"/>
      <c r="BV1414" s="1361" t="n"/>
      <c r="BW1414" s="1361" t="n"/>
      <c r="BX1414" s="1361" t="n"/>
      <c r="BY1414" s="1361" t="n"/>
      <c r="BZ1414" s="1361" t="n"/>
      <c r="CA1414" s="2043" t="n"/>
      <c r="CB1414" s="2023" t="n"/>
    </row>
    <row r="1415" collapsed="1" ht="14.4" customFormat="1" customHeight="1" s="1359">
      <c r="A1415" s="2042" t="inlineStr">
        <is>
          <t>Last Working Day In Period</t>
        </is>
      </c>
      <c r="B1415" s="1361" t="n"/>
      <c r="C1415" s="933">
        <f>WORKDAY(INDEX(MO_Common_QEndDate,0,COLUMN()),-1)</f>
        <v/>
      </c>
      <c r="D1415" s="933">
        <f>WORKDAY(INDEX(MO_Common_QEndDate,0,COLUMN()),-1)</f>
        <v/>
      </c>
      <c r="E1415" s="933">
        <f>WORKDAY(INDEX(MO_Common_QEndDate,0,COLUMN()),-1)</f>
        <v/>
      </c>
      <c r="F1415" s="933">
        <f>WORKDAY(INDEX(MO_Common_QEndDate,0,COLUMN()),-1)</f>
        <v/>
      </c>
      <c r="G1415" s="933">
        <f>WORKDAY(INDEX(MO_Common_QEndDate,0,COLUMN()),-1)</f>
        <v/>
      </c>
      <c r="H1415" s="358">
        <f>WORKDAY(INDEX(MO_Common_QEndDate,0,COLUMN()),-1)</f>
        <v/>
      </c>
      <c r="I1415" s="358">
        <f>WORKDAY(INDEX(MO_Common_QEndDate,0,COLUMN()),-1)</f>
        <v/>
      </c>
      <c r="J1415" s="358">
        <f>WORKDAY(INDEX(MO_Common_QEndDate,0,COLUMN()),-1)</f>
        <v/>
      </c>
      <c r="K1415" s="358">
        <f>WORKDAY(INDEX(MO_Common_QEndDate,0,COLUMN()),-1)</f>
        <v/>
      </c>
      <c r="L1415" s="358">
        <f>WORKDAY(INDEX(MO_Common_QEndDate,0,COLUMN()),-1)</f>
        <v/>
      </c>
      <c r="M1415" s="358">
        <f>WORKDAY(INDEX(MO_Common_QEndDate,0,COLUMN()),-1)</f>
        <v/>
      </c>
      <c r="N1415" s="358">
        <f>WORKDAY(INDEX(MO_Common_QEndDate,0,COLUMN()),-1)</f>
        <v/>
      </c>
      <c r="O1415" s="358">
        <f>WORKDAY(INDEX(MO_Common_QEndDate,0,COLUMN()),-1)</f>
        <v/>
      </c>
      <c r="P1415" s="358">
        <f>WORKDAY(INDEX(MO_Common_QEndDate,0,COLUMN()),-1)</f>
        <v/>
      </c>
      <c r="Q1415" s="358">
        <f>WORKDAY(INDEX(MO_Common_QEndDate,0,COLUMN()),-1)</f>
        <v/>
      </c>
      <c r="R1415" s="358">
        <f>WORKDAY(INDEX(MO_Common_QEndDate,0,COLUMN()),-1)</f>
        <v/>
      </c>
      <c r="S1415" s="358">
        <f>WORKDAY(INDEX(MO_Common_QEndDate,0,COLUMN()),-1)</f>
        <v/>
      </c>
      <c r="T1415" s="358">
        <f>WORKDAY(INDEX(MO_Common_QEndDate,0,COLUMN()),-1)</f>
        <v/>
      </c>
      <c r="U1415" s="358">
        <f>WORKDAY(INDEX(MO_Common_QEndDate,0,COLUMN()),-1)</f>
        <v/>
      </c>
      <c r="V1415" s="358">
        <f>WORKDAY(INDEX(MO_Common_QEndDate,0,COLUMN()),-1)</f>
        <v/>
      </c>
      <c r="W1415" s="358">
        <f>WORKDAY(INDEX(MO_Common_QEndDate,0,COLUMN()),-1)</f>
        <v/>
      </c>
      <c r="X1415" s="358">
        <f>WORKDAY(INDEX(MO_Common_QEndDate,0,COLUMN()),-1)</f>
        <v/>
      </c>
      <c r="Y1415" s="358">
        <f>WORKDAY(INDEX(MO_Common_QEndDate,0,COLUMN()),-1)</f>
        <v/>
      </c>
      <c r="Z1415" s="358">
        <f>WORKDAY(INDEX(MO_Common_QEndDate,0,COLUMN()),-1)</f>
        <v/>
      </c>
      <c r="AA1415" s="358">
        <f>WORKDAY(INDEX(MO_Common_QEndDate,0,COLUMN()),-1)</f>
        <v/>
      </c>
      <c r="AB1415" s="358">
        <f>WORKDAY(INDEX(MO_Common_QEndDate,0,COLUMN()),-1)</f>
        <v/>
      </c>
      <c r="AC1415" s="358">
        <f>WORKDAY(INDEX(MO_Common_QEndDate,0,COLUMN()),-1)</f>
        <v/>
      </c>
      <c r="AD1415" s="358">
        <f>WORKDAY(INDEX(MO_Common_QEndDate,0,COLUMN()),-1)</f>
        <v/>
      </c>
      <c r="AE1415" s="358">
        <f>WORKDAY(INDEX(MO_Common_QEndDate,0,COLUMN()),-1)</f>
        <v/>
      </c>
      <c r="AF1415" s="358">
        <f>WORKDAY(INDEX(MO_Common_QEndDate,0,COLUMN()),-1)</f>
        <v/>
      </c>
      <c r="AG1415" s="358">
        <f>WORKDAY(INDEX(MO_Common_QEndDate,0,COLUMN()),-1)</f>
        <v/>
      </c>
      <c r="AH1415" s="358">
        <f>WORKDAY(INDEX(MO_Common_QEndDate,0,COLUMN()),-1)</f>
        <v/>
      </c>
      <c r="AI1415" s="358">
        <f>WORKDAY(INDEX(MO_Common_QEndDate,0,COLUMN()),-1)</f>
        <v/>
      </c>
      <c r="AJ1415" s="358">
        <f>WORKDAY(INDEX(MO_Common_QEndDate,0,COLUMN()),-1)</f>
        <v/>
      </c>
      <c r="AK1415" s="358">
        <f>WORKDAY(INDEX(MO_Common_QEndDate,0,COLUMN()),-1)</f>
        <v/>
      </c>
      <c r="AL1415" s="358">
        <f>WORKDAY(INDEX(MO_Common_QEndDate,0,COLUMN()),-1)</f>
        <v/>
      </c>
      <c r="AM1415" s="358">
        <f>WORKDAY(INDEX(MO_Common_QEndDate,0,COLUMN()),-1)</f>
        <v/>
      </c>
      <c r="AN1415" s="358">
        <f>WORKDAY(INDEX(MO_Common_QEndDate,0,COLUMN()),-1)</f>
        <v/>
      </c>
      <c r="AO1415" s="358">
        <f>WORKDAY(INDEX(MO_Common_QEndDate,0,COLUMN()),-1)</f>
        <v/>
      </c>
      <c r="AP1415" s="358">
        <f>WORKDAY(INDEX(MO_Common_QEndDate,0,COLUMN()),-1)</f>
        <v/>
      </c>
      <c r="AQ1415" s="358">
        <f>WORKDAY(INDEX(MO_Common_QEndDate,0,COLUMN()),-1)</f>
        <v/>
      </c>
      <c r="AR1415" s="358">
        <f>WORKDAY(INDEX(MO_Common_QEndDate,0,COLUMN()),-1)</f>
        <v/>
      </c>
      <c r="AS1415" s="358">
        <f>WORKDAY(INDEX(MO_Common_QEndDate,0,COLUMN()),-1)</f>
        <v/>
      </c>
      <c r="AT1415" s="358">
        <f>WORKDAY(INDEX(MO_Common_QEndDate,0,COLUMN()),-1)</f>
        <v/>
      </c>
      <c r="AU1415" s="358">
        <f>WORKDAY(INDEX(MO_Common_QEndDate,0,COLUMN()),-1)</f>
        <v/>
      </c>
      <c r="AV1415" s="358">
        <f>WORKDAY(INDEX(MO_Common_QEndDate,0,COLUMN()),-1)</f>
        <v/>
      </c>
      <c r="AW1415" s="358">
        <f>WORKDAY(INDEX(MO_Common_QEndDate,0,COLUMN()),-1)</f>
        <v/>
      </c>
      <c r="AX1415" s="358">
        <f>WORKDAY(INDEX(MO_Common_QEndDate,0,COLUMN()),-1)</f>
        <v/>
      </c>
      <c r="AY1415" s="358">
        <f>WORKDAY(INDEX(MO_Common_QEndDate,0,COLUMN()),-1)</f>
        <v/>
      </c>
      <c r="AZ1415" s="358">
        <f>WORKDAY(INDEX(MO_Common_QEndDate,0,COLUMN()),-1)</f>
        <v/>
      </c>
      <c r="BA1415" s="358">
        <f>WORKDAY(INDEX(MO_Common_QEndDate,0,COLUMN()),-1)</f>
        <v/>
      </c>
      <c r="BB1415" s="358">
        <f>WORKDAY(INDEX(MO_Common_QEndDate,0,COLUMN()),-1)</f>
        <v/>
      </c>
      <c r="BC1415" s="358">
        <f>WORKDAY(INDEX(MO_Common_QEndDate,0,COLUMN()),-1)</f>
        <v/>
      </c>
      <c r="BD1415" s="358">
        <f>WORKDAY(INDEX(MO_Common_QEndDate,0,COLUMN()),-1)</f>
        <v/>
      </c>
      <c r="BE1415" s="358">
        <f>WORKDAY(INDEX(MO_Common_QEndDate,0,COLUMN()),-1)</f>
        <v/>
      </c>
      <c r="BF1415" s="358">
        <f>WORKDAY(INDEX(MO_Common_QEndDate,0,COLUMN()),-1)</f>
        <v/>
      </c>
      <c r="BG1415" s="358">
        <f>WORKDAY(INDEX(MO_Common_QEndDate,0,COLUMN()),-1)</f>
        <v/>
      </c>
      <c r="BH1415" s="358">
        <f>WORKDAY(INDEX(MO_Common_QEndDate,0,COLUMN()),-1)</f>
        <v/>
      </c>
      <c r="BI1415" s="358">
        <f>WORKDAY(INDEX(MO_Common_QEndDate,0,COLUMN()),-1)</f>
        <v/>
      </c>
      <c r="BJ1415" s="358">
        <f>WORKDAY(INDEX(MO_Common_QEndDate,0,COLUMN()),-1)</f>
        <v/>
      </c>
      <c r="BK1415" s="358">
        <f>WORKDAY(INDEX(MO_Common_QEndDate,0,COLUMN()),-1)</f>
        <v/>
      </c>
      <c r="BL1415" s="358">
        <f>WORKDAY(INDEX(MO_Common_QEndDate,0,COLUMN()),-1)</f>
        <v/>
      </c>
      <c r="BM1415" s="358">
        <f>WORKDAY(INDEX(MO_Common_QEndDate,0,COLUMN()),-1)</f>
        <v/>
      </c>
      <c r="BN1415" s="358">
        <f>WORKDAY(INDEX(MO_Common_QEndDate,0,COLUMN()),-1)</f>
        <v/>
      </c>
      <c r="BO1415" s="358">
        <f>WORKDAY(INDEX(MO_Common_QEndDate,0,COLUMN()),-1)</f>
        <v/>
      </c>
      <c r="BP1415" s="358">
        <f>WORKDAY(INDEX(MO_Common_QEndDate,0,COLUMN()),-1)</f>
        <v/>
      </c>
      <c r="BQ1415" s="650">
        <f>WORKDAY(INDEX(MO_Common_QEndDate,0,COLUMN()),-1)</f>
        <v/>
      </c>
      <c r="BR1415" s="358">
        <f>WORKDAY(INDEX(MO_Common_QEndDate,0,COLUMN()),-1)</f>
        <v/>
      </c>
      <c r="BS1415" s="358">
        <f>WORKDAY(INDEX(MO_Common_QEndDate,0,COLUMN()),-1)</f>
        <v/>
      </c>
      <c r="BT1415" s="358">
        <f>WORKDAY(INDEX(MO_Common_QEndDate,0,COLUMN()),-1)</f>
        <v/>
      </c>
      <c r="BU1415" s="358">
        <f>WORKDAY(INDEX(MO_Common_QEndDate,0,COLUMN()),-1)</f>
        <v/>
      </c>
      <c r="BV1415" s="358">
        <f>WORKDAY(INDEX(MO_Common_QEndDate,0,COLUMN()),-1)</f>
        <v/>
      </c>
      <c r="BW1415" s="358">
        <f>WORKDAY(INDEX(MO_Common_QEndDate,0,COLUMN()),-1)</f>
        <v/>
      </c>
      <c r="BX1415" s="358">
        <f>WORKDAY(INDEX(MO_Common_QEndDate,0,COLUMN()),-1)</f>
        <v/>
      </c>
      <c r="BY1415" s="358">
        <f>WORKDAY(INDEX(MO_Common_QEndDate,0,COLUMN()),-1)</f>
        <v/>
      </c>
      <c r="BZ1415" s="358">
        <f>WORKDAY(INDEX(MO_Common_QEndDate,0,COLUMN()),-1)</f>
        <v/>
      </c>
      <c r="CA1415" s="359">
        <f>WORKDAY(INDEX(MO_Common_QEndDate,0,COLUMN()),-1)</f>
        <v/>
      </c>
      <c r="CB1415" s="2023" t="n"/>
    </row>
    <row r="1416" collapsed="1" ht="14.4" customFormat="1" customHeight="1" s="1359">
      <c r="A1416" s="2042" t="inlineStr">
        <is>
          <t>Stock Price EoP</t>
        </is>
      </c>
      <c r="B1416" s="1361" t="n"/>
      <c r="C1416" s="2054" t="n">
        <v>6.04</v>
      </c>
      <c r="D1416" s="2054" t="n">
        <v>8.289999999999999</v>
      </c>
      <c r="E1416" s="2054" t="n">
        <v>10.4</v>
      </c>
      <c r="F1416" s="2054" t="n">
        <v>13.44</v>
      </c>
      <c r="G1416" s="2054" t="n">
        <v>13.93</v>
      </c>
      <c r="H1416" s="2055" t="n">
        <v>14.48</v>
      </c>
      <c r="I1416" s="2055" t="n">
        <v>13.55</v>
      </c>
      <c r="J1416" s="2055" t="n">
        <v>13.99</v>
      </c>
      <c r="K1416" s="2055" t="n">
        <v>13.99</v>
      </c>
      <c r="L1416" s="2055" t="n">
        <v>15.4</v>
      </c>
      <c r="M1416" s="2055" t="n">
        <v>17.34</v>
      </c>
      <c r="N1416" s="2055" t="n">
        <v>17.335</v>
      </c>
      <c r="O1416" s="2055" t="n">
        <v>19.17</v>
      </c>
      <c r="P1416" s="2055" t="n">
        <v>19.17</v>
      </c>
      <c r="Q1416" s="2055" t="n">
        <v>18.44</v>
      </c>
      <c r="R1416" s="2055" t="n">
        <v>19.49</v>
      </c>
      <c r="S1416" s="2055" t="n">
        <v>20.44</v>
      </c>
      <c r="T1416" s="2055" t="n">
        <v>21.22</v>
      </c>
      <c r="U1416" s="2055" t="n">
        <v>21.22</v>
      </c>
      <c r="V1416" s="2055" t="n">
        <v>23.37</v>
      </c>
      <c r="W1416" s="2055" t="n">
        <v>23.95</v>
      </c>
      <c r="X1416" s="2055" t="n">
        <v>25.22</v>
      </c>
      <c r="Y1416" s="2055" t="n">
        <v>25.22</v>
      </c>
      <c r="Z1416" s="2055" t="n">
        <v>25.22</v>
      </c>
      <c r="AA1416" s="2055" t="n">
        <v>31.35</v>
      </c>
      <c r="AB1416" s="2055" t="n">
        <v>33.44</v>
      </c>
      <c r="AC1416" s="2055" t="n">
        <v>39.47</v>
      </c>
      <c r="AD1416" s="2055" t="n">
        <v>41.82</v>
      </c>
      <c r="AE1416" s="2055" t="n">
        <v>41.82</v>
      </c>
      <c r="AF1416" s="2055" t="n">
        <v>36.77</v>
      </c>
      <c r="AG1416" s="2055" t="n">
        <v>43.31</v>
      </c>
      <c r="AH1416" s="2055" t="n">
        <v>45.32</v>
      </c>
      <c r="AI1416" s="2055" t="n">
        <v>43.34</v>
      </c>
      <c r="AJ1416" s="2055" t="n">
        <v>43.34</v>
      </c>
      <c r="AK1416" s="2055" t="n">
        <v>63.51</v>
      </c>
      <c r="AL1416" s="2055" t="n">
        <v>70.81</v>
      </c>
      <c r="AM1416" s="2055" t="n">
        <v>65.2</v>
      </c>
      <c r="AN1416" s="2055" t="n">
        <v>69.98999999999999</v>
      </c>
      <c r="AO1416" s="2055" t="n">
        <v>69.98999999999999</v>
      </c>
      <c r="AP1416" s="2055" t="n">
        <v>66.91</v>
      </c>
      <c r="AQ1416" s="2055" t="n">
        <v>94.03</v>
      </c>
      <c r="AR1416" s="2055" t="n">
        <v>105.78</v>
      </c>
      <c r="AS1416" s="2055" t="n">
        <v>135.25</v>
      </c>
      <c r="AT1416" s="2055" t="n">
        <v>135.25</v>
      </c>
      <c r="AU1416" s="2055" t="n">
        <v>130.87</v>
      </c>
      <c r="AV1416" s="2055" t="n">
        <v>138.35</v>
      </c>
      <c r="AW1416" s="2055" t="n">
        <v>152.25</v>
      </c>
      <c r="AX1416" s="2055" t="n">
        <v>188.25</v>
      </c>
      <c r="AY1416" s="2055" t="n">
        <v>188.25</v>
      </c>
      <c r="AZ1416" s="2055" t="n">
        <v>163.31</v>
      </c>
      <c r="BA1416" s="2055" t="n">
        <v>150.92</v>
      </c>
      <c r="BB1416" s="2055" t="n">
        <v>164.69</v>
      </c>
      <c r="BC1416" s="2055" t="n">
        <v>160.64</v>
      </c>
      <c r="BD1416" s="2055" t="n">
        <v>160.64</v>
      </c>
      <c r="BE1416" s="2055" t="n">
        <v>207.01</v>
      </c>
      <c r="BF1416" s="2055" t="n">
        <v>228.54</v>
      </c>
      <c r="BG1416" s="2055" t="n">
        <v>234.3</v>
      </c>
      <c r="BH1416" s="2055" t="n">
        <v>272.37</v>
      </c>
      <c r="BI1416" s="2055" t="n">
        <v>272.37</v>
      </c>
      <c r="BJ1416" s="2055" t="n">
        <v>311.28</v>
      </c>
      <c r="BK1416" s="2055" t="n">
        <v>307.75</v>
      </c>
      <c r="BL1416" s="2055" t="n">
        <v>274.13</v>
      </c>
      <c r="BM1416" s="2055" t="n">
        <v>301.86</v>
      </c>
      <c r="BN1416" s="2055" t="n">
        <v>301.86</v>
      </c>
      <c r="BO1416" s="2055" t="n">
        <v>256.69</v>
      </c>
      <c r="BP1416" s="2055" t="n">
        <v>305.2</v>
      </c>
      <c r="BQ1416" s="2056" t="n">
        <v>348.52</v>
      </c>
      <c r="BR1416" s="2057" t="n"/>
      <c r="BS1416" s="2057" t="n"/>
      <c r="BT1416" s="2057" t="n"/>
      <c r="BU1416" s="2057" t="n"/>
      <c r="BV1416" s="2057" t="n"/>
      <c r="BW1416" s="2057" t="n"/>
      <c r="BX1416" s="2057" t="n"/>
      <c r="BY1416" s="2057" t="n"/>
      <c r="BZ1416" s="2057" t="n"/>
      <c r="CA1416" s="2058" t="n"/>
      <c r="CB1416" s="2023" t="n"/>
    </row>
    <row r="1417" collapsed="1" ht="14.4" customFormat="1" customHeight="1" s="1359">
      <c r="A1417" s="2042" t="inlineStr">
        <is>
          <t>FX EoP</t>
        </is>
      </c>
      <c r="B1417" s="1361" t="n"/>
      <c r="C1417" s="2051" t="n">
        <v>1</v>
      </c>
      <c r="D1417" s="2051" t="n">
        <v>1</v>
      </c>
      <c r="E1417" s="2051" t="n">
        <v>1</v>
      </c>
      <c r="F1417" s="2051" t="n">
        <v>1</v>
      </c>
      <c r="G1417" s="2051" t="n">
        <v>1</v>
      </c>
      <c r="H1417" s="2052" t="n">
        <v>1</v>
      </c>
      <c r="I1417" s="2052" t="n">
        <v>1</v>
      </c>
      <c r="J1417" s="2052" t="n">
        <v>1</v>
      </c>
      <c r="K1417" s="2052" t="n">
        <v>1</v>
      </c>
      <c r="L1417" s="2052" t="n">
        <v>1</v>
      </c>
      <c r="M1417" s="2052" t="n">
        <v>1</v>
      </c>
      <c r="N1417" s="2052" t="n">
        <v>1</v>
      </c>
      <c r="O1417" s="2052" t="n">
        <v>1</v>
      </c>
      <c r="P1417" s="2052" t="n">
        <v>1</v>
      </c>
      <c r="Q1417" s="2052" t="n">
        <v>1</v>
      </c>
      <c r="R1417" s="2052" t="n">
        <v>1</v>
      </c>
      <c r="S1417" s="2052" t="n">
        <v>1</v>
      </c>
      <c r="T1417" s="2052" t="n">
        <v>1</v>
      </c>
      <c r="U1417" s="2052" t="n">
        <v>1</v>
      </c>
      <c r="V1417" s="2052" t="n">
        <v>1</v>
      </c>
      <c r="W1417" s="2052" t="n">
        <v>1</v>
      </c>
      <c r="X1417" s="2052" t="n">
        <v>1</v>
      </c>
      <c r="Y1417" s="2052" t="n">
        <v>1</v>
      </c>
      <c r="Z1417" s="2052" t="n">
        <v>1</v>
      </c>
      <c r="AA1417" s="2052" t="n">
        <v>1</v>
      </c>
      <c r="AB1417" s="2052" t="n">
        <v>1</v>
      </c>
      <c r="AC1417" s="2052" t="n">
        <v>1</v>
      </c>
      <c r="AD1417" s="2052" t="n">
        <v>1</v>
      </c>
      <c r="AE1417" s="2052" t="n">
        <v>1</v>
      </c>
      <c r="AF1417" s="2052" t="n">
        <v>1</v>
      </c>
      <c r="AG1417" s="2052" t="n">
        <v>1</v>
      </c>
      <c r="AH1417" s="2052" t="n">
        <v>1</v>
      </c>
      <c r="AI1417" s="2052" t="n">
        <v>1</v>
      </c>
      <c r="AJ1417" s="2052" t="n">
        <v>1</v>
      </c>
      <c r="AK1417" s="2052" t="n">
        <v>1</v>
      </c>
      <c r="AL1417" s="2052" t="n">
        <v>1</v>
      </c>
      <c r="AM1417" s="2052" t="n">
        <v>1</v>
      </c>
      <c r="AN1417" s="2052" t="n">
        <v>1</v>
      </c>
      <c r="AO1417" s="2052" t="n">
        <v>1</v>
      </c>
      <c r="AP1417" s="2052" t="n">
        <v>1</v>
      </c>
      <c r="AQ1417" s="2052" t="n">
        <v>1</v>
      </c>
      <c r="AR1417" s="2052" t="n">
        <v>1</v>
      </c>
      <c r="AS1417" s="2052" t="n">
        <v>1</v>
      </c>
      <c r="AT1417" s="2052" t="n">
        <v>1</v>
      </c>
      <c r="AU1417" s="2052" t="n">
        <v>1</v>
      </c>
      <c r="AV1417" s="2052" t="n">
        <v>1</v>
      </c>
      <c r="AW1417" s="2052" t="n">
        <v>1</v>
      </c>
      <c r="AX1417" s="2052" t="n">
        <v>1</v>
      </c>
      <c r="AY1417" s="2052" t="n">
        <v>1</v>
      </c>
      <c r="AZ1417" s="2052" t="n">
        <v>1</v>
      </c>
      <c r="BA1417" s="2052" t="n">
        <v>1</v>
      </c>
      <c r="BB1417" s="2052" t="n">
        <v>1</v>
      </c>
      <c r="BC1417" s="2052" t="n">
        <v>1</v>
      </c>
      <c r="BD1417" s="2052" t="n">
        <v>1</v>
      </c>
      <c r="BE1417" s="2052" t="n">
        <v>1</v>
      </c>
      <c r="BF1417" s="2052" t="n">
        <v>1</v>
      </c>
      <c r="BG1417" s="2052" t="n">
        <v>1</v>
      </c>
      <c r="BH1417" s="2052" t="n">
        <v>1</v>
      </c>
      <c r="BI1417" s="2052" t="n">
        <v>1</v>
      </c>
      <c r="BJ1417" s="2052" t="n">
        <v>1</v>
      </c>
      <c r="BK1417" s="2052" t="n">
        <v>1</v>
      </c>
      <c r="BL1417" s="2052" t="n">
        <v>1</v>
      </c>
      <c r="BM1417" s="2052" t="n">
        <v>1</v>
      </c>
      <c r="BN1417" s="2052" t="n">
        <v>1</v>
      </c>
      <c r="BO1417" s="2052" t="n">
        <v>1</v>
      </c>
      <c r="BP1417" s="2052" t="n">
        <v>1</v>
      </c>
      <c r="BQ1417" s="2053" t="n">
        <v>1</v>
      </c>
      <c r="BR1417" s="2045" t="n"/>
      <c r="BS1417" s="2045" t="n"/>
      <c r="BT1417" s="2045" t="n"/>
      <c r="BU1417" s="2045" t="n"/>
      <c r="BV1417" s="2045" t="n"/>
      <c r="BW1417" s="2045" t="n"/>
      <c r="BX1417" s="2045" t="n"/>
      <c r="BY1417" s="2045" t="n"/>
      <c r="BZ1417" s="2045" t="n"/>
      <c r="CA1417" s="2048" t="n"/>
      <c r="CB1417" s="2023" t="n"/>
    </row>
    <row r="1418" collapsed="1" ht="14.4" customFormat="1" customHeight="1" s="1359">
      <c r="A1418" s="2059" t="n"/>
      <c r="B1418" s="1456" t="n"/>
      <c r="C1418" s="2060" t="n"/>
      <c r="D1418" s="2060" t="n"/>
      <c r="E1418" s="2060" t="n"/>
      <c r="F1418" s="2060" t="n"/>
      <c r="G1418" s="2060" t="n"/>
      <c r="H1418" s="2061" t="n"/>
      <c r="I1418" s="2061" t="n"/>
      <c r="J1418" s="2061" t="n"/>
      <c r="K1418" s="2061" t="n"/>
      <c r="L1418" s="2061" t="n"/>
      <c r="M1418" s="2061" t="n"/>
      <c r="N1418" s="2061" t="n"/>
      <c r="O1418" s="2061" t="n"/>
      <c r="P1418" s="2061" t="n"/>
      <c r="Q1418" s="2061" t="n"/>
      <c r="R1418" s="2061" t="n"/>
      <c r="S1418" s="2061" t="n"/>
      <c r="T1418" s="2061" t="n"/>
      <c r="U1418" s="2061" t="n"/>
      <c r="V1418" s="2061" t="n"/>
      <c r="W1418" s="2061" t="n"/>
      <c r="X1418" s="2061" t="n"/>
      <c r="Y1418" s="2061" t="n"/>
      <c r="Z1418" s="2061" t="n"/>
      <c r="AA1418" s="2061" t="n"/>
      <c r="AB1418" s="2061" t="n"/>
      <c r="AC1418" s="2061" t="n"/>
      <c r="AD1418" s="2061" t="n"/>
      <c r="AE1418" s="2061" t="n"/>
      <c r="AF1418" s="2061" t="n"/>
      <c r="AG1418" s="2061" t="n"/>
      <c r="AH1418" s="2061" t="n"/>
      <c r="AI1418" s="2061" t="n"/>
      <c r="AJ1418" s="2061" t="n"/>
      <c r="AK1418" s="2061" t="n"/>
      <c r="AL1418" s="2061" t="n"/>
      <c r="AM1418" s="2061" t="n"/>
      <c r="AN1418" s="2061" t="n"/>
      <c r="AO1418" s="2061" t="n"/>
      <c r="AP1418" s="2061" t="n"/>
      <c r="AQ1418" s="2061" t="n"/>
      <c r="AR1418" s="2061" t="n"/>
      <c r="AS1418" s="2061" t="n"/>
      <c r="AT1418" s="2061" t="n"/>
      <c r="AU1418" s="2061" t="n"/>
      <c r="AV1418" s="2061" t="n"/>
      <c r="AW1418" s="2061" t="n"/>
      <c r="AX1418" s="2061" t="n"/>
      <c r="AY1418" s="2061" t="n"/>
      <c r="AZ1418" s="2061" t="n"/>
      <c r="BA1418" s="2061" t="n"/>
      <c r="BB1418" s="2061" t="n"/>
      <c r="BC1418" s="2061" t="n"/>
      <c r="BD1418" s="2061" t="n"/>
      <c r="BE1418" s="2061" t="n"/>
      <c r="BF1418" s="2061" t="n"/>
      <c r="BG1418" s="2061" t="n"/>
      <c r="BH1418" s="2061" t="n"/>
      <c r="BI1418" s="2061" t="n"/>
      <c r="BJ1418" s="2061" t="n"/>
      <c r="BK1418" s="2061" t="n"/>
      <c r="BL1418" s="2061" t="n"/>
      <c r="BM1418" s="2061" t="n"/>
      <c r="BN1418" s="2061" t="n"/>
      <c r="BO1418" s="2061" t="n"/>
      <c r="BP1418" s="2061" t="n"/>
      <c r="BQ1418" s="2062" t="n"/>
      <c r="BR1418" s="2061" t="n"/>
      <c r="BS1418" s="2061" t="n"/>
      <c r="BT1418" s="2061" t="n"/>
      <c r="BU1418" s="2061" t="n"/>
      <c r="BV1418" s="2061" t="n"/>
      <c r="BW1418" s="2061" t="n"/>
      <c r="BX1418" s="2061" t="n"/>
      <c r="BY1418" s="2061" t="n"/>
      <c r="BZ1418" s="2061" t="n"/>
      <c r="CA1418" s="2063" t="n"/>
      <c r="CB1418" s="2023" t="n"/>
    </row>
    <row r="1419" ht="14.4" customFormat="1" customHeight="1" s="1359">
      <c r="A1419" s="1973" t="n"/>
      <c r="B1419" s="2028" t="n"/>
      <c r="C1419" s="2032" t="n"/>
      <c r="D1419" s="2032" t="n"/>
      <c r="E1419" s="1693" t="n"/>
      <c r="F1419" s="1693" t="n"/>
      <c r="G1419" s="1693" t="n"/>
      <c r="H1419" s="1693" t="n"/>
      <c r="I1419" s="1693" t="n"/>
      <c r="J1419" s="1693" t="n"/>
      <c r="K1419" s="1693" t="n"/>
      <c r="L1419" s="1693" t="n"/>
      <c r="M1419" s="1693" t="n"/>
      <c r="N1419" s="1693" t="n"/>
      <c r="O1419" s="1693" t="n"/>
      <c r="P1419" s="1693" t="n"/>
      <c r="Q1419" s="1693" t="n"/>
      <c r="R1419" s="1693" t="n"/>
      <c r="S1419" s="1693" t="n"/>
      <c r="T1419" s="1693" t="n"/>
      <c r="U1419" s="1693" t="n"/>
      <c r="V1419" s="1693" t="n"/>
      <c r="W1419" s="1693" t="n"/>
      <c r="X1419" s="1693" t="n"/>
      <c r="Y1419" s="1693" t="n"/>
      <c r="Z1419" s="1693" t="n"/>
      <c r="AA1419" s="1693" t="n"/>
      <c r="AB1419" s="1693" t="n"/>
      <c r="AC1419" s="1693" t="n"/>
      <c r="AD1419" s="1693" t="n"/>
      <c r="AE1419" s="1693" t="n"/>
      <c r="AF1419" s="1693" t="n"/>
      <c r="AG1419" s="1693" t="n"/>
      <c r="AH1419" s="1693" t="n"/>
      <c r="AI1419" s="1693" t="n"/>
      <c r="AJ1419" s="1693" t="n"/>
      <c r="AK1419" s="1693" t="n"/>
      <c r="AL1419" s="1693" t="n"/>
      <c r="AM1419" s="1693" t="n"/>
      <c r="AN1419" s="1693" t="n"/>
      <c r="AO1419" s="1693" t="n"/>
      <c r="AP1419" s="1693" t="n"/>
      <c r="AQ1419" s="1693" t="n"/>
      <c r="AR1419" s="1693" t="n"/>
      <c r="AS1419" s="1693" t="n"/>
      <c r="AT1419" s="1693" t="n"/>
      <c r="AU1419" s="1693" t="n"/>
      <c r="AV1419" s="1693" t="n"/>
      <c r="AW1419" s="1693" t="n"/>
      <c r="AX1419" s="1693" t="n"/>
      <c r="AY1419" s="1693" t="n"/>
      <c r="AZ1419" s="1693" t="n"/>
      <c r="BA1419" s="1693" t="n"/>
      <c r="BB1419" s="1693" t="n"/>
      <c r="BC1419" s="1693" t="n"/>
      <c r="BD1419" s="1693" t="n"/>
      <c r="BE1419" s="1693" t="n"/>
      <c r="BF1419" s="1693" t="n"/>
      <c r="BG1419" s="1693" t="n"/>
      <c r="BH1419" s="1693" t="n"/>
      <c r="BI1419" s="1693" t="n"/>
      <c r="BJ1419" s="1693" t="n"/>
      <c r="BK1419" s="1693" t="n"/>
      <c r="BL1419" s="1693" t="n"/>
      <c r="BM1419" s="1693" t="n"/>
      <c r="BN1419" s="1693" t="n"/>
      <c r="BO1419" s="1693" t="n"/>
      <c r="BP1419" s="1693" t="n"/>
      <c r="BQ1419" s="1733" t="n"/>
      <c r="BR1419" s="1693" t="n"/>
      <c r="BS1419" s="1693" t="n"/>
      <c r="BT1419" s="1693" t="n"/>
      <c r="BU1419" s="1693" t="n"/>
      <c r="BV1419" s="1693" t="n"/>
      <c r="BW1419" s="1693" t="n"/>
      <c r="BX1419" s="1693" t="n"/>
      <c r="BY1419" s="1693" t="n"/>
      <c r="BZ1419" s="1693" t="n"/>
      <c r="CA1419" s="1693" t="n"/>
      <c r="CB1419" s="1364" t="n"/>
    </row>
    <row r="1420" ht="14.4" customFormat="1" customHeight="1" s="1359">
      <c r="A1420" s="2064" t="inlineStr">
        <is>
          <t>General Table</t>
        </is>
      </c>
      <c r="B1420" s="1693" t="n"/>
      <c r="C1420" s="1361" t="n"/>
      <c r="D1420" s="1361" t="n"/>
      <c r="E1420" s="1361" t="n"/>
      <c r="F1420" s="1361" t="n"/>
      <c r="G1420" s="1361" t="n"/>
      <c r="H1420" s="1361" t="n"/>
      <c r="I1420" s="1361" t="n"/>
      <c r="J1420" s="1361" t="n"/>
      <c r="K1420" s="1361" t="n"/>
      <c r="L1420" s="1361" t="n"/>
      <c r="M1420" s="1361" t="n"/>
      <c r="N1420" s="1361" t="n"/>
      <c r="O1420" s="1361" t="n"/>
      <c r="P1420" s="1361" t="n"/>
      <c r="Q1420" s="1361" t="n"/>
      <c r="R1420" s="1361" t="n"/>
      <c r="S1420" s="1361" t="n"/>
      <c r="T1420" s="1361" t="n"/>
      <c r="U1420" s="1361" t="n"/>
      <c r="V1420" s="1361" t="n"/>
      <c r="W1420" s="1361" t="n"/>
      <c r="X1420" s="1361" t="n"/>
      <c r="Y1420" s="1361" t="n"/>
      <c r="Z1420" s="1361" t="n"/>
      <c r="AA1420" s="1361" t="n"/>
      <c r="AB1420" s="1361" t="n"/>
      <c r="AC1420" s="1361" t="n"/>
      <c r="AD1420" s="1361" t="n"/>
      <c r="AE1420" s="1361" t="n"/>
      <c r="AF1420" s="1361" t="n"/>
      <c r="AG1420" s="1361" t="n"/>
      <c r="AH1420" s="1361" t="n"/>
      <c r="AI1420" s="1361" t="n"/>
      <c r="AJ1420" s="1361" t="n"/>
      <c r="AK1420" s="1361" t="n"/>
      <c r="AL1420" s="1361" t="n"/>
      <c r="AM1420" s="1361" t="n"/>
      <c r="AN1420" s="1361" t="n"/>
      <c r="AO1420" s="1361" t="n"/>
      <c r="AP1420" s="1361" t="n"/>
      <c r="AQ1420" s="1361" t="n"/>
      <c r="AR1420" s="1361" t="n"/>
      <c r="AS1420" s="1361" t="n"/>
      <c r="AT1420" s="1361" t="n"/>
      <c r="AU1420" s="1361" t="n"/>
      <c r="AV1420" s="1361" t="n"/>
      <c r="AW1420" s="1361" t="n"/>
      <c r="AX1420" s="1361" t="n"/>
      <c r="AY1420" s="1361" t="n"/>
      <c r="AZ1420" s="1361" t="n"/>
      <c r="BA1420" s="1361" t="n"/>
      <c r="BB1420" s="1361" t="n"/>
      <c r="BC1420" s="1361" t="n"/>
      <c r="BD1420" s="1361" t="n"/>
      <c r="BE1420" s="1361" t="n"/>
      <c r="BF1420" s="1361" t="n"/>
      <c r="BG1420" s="1361" t="n"/>
      <c r="BH1420" s="1361" t="n"/>
      <c r="BI1420" s="1361" t="n"/>
      <c r="BJ1420" s="1361" t="n"/>
      <c r="BK1420" s="1361" t="n"/>
      <c r="BL1420" s="1361" t="n"/>
      <c r="BM1420" s="1361" t="n"/>
      <c r="BN1420" s="1361" t="n"/>
      <c r="BO1420" s="1361" t="n"/>
      <c r="BP1420" s="1361" t="n"/>
      <c r="BQ1420" s="1363" t="n"/>
      <c r="BR1420" s="1361" t="n"/>
      <c r="BS1420" s="1361" t="n"/>
      <c r="BT1420" s="1361" t="n"/>
      <c r="BU1420" s="1361" t="n"/>
      <c r="BV1420" s="1361" t="n"/>
      <c r="BW1420" s="1361" t="n"/>
      <c r="BX1420" s="1361" t="n"/>
      <c r="BY1420" s="1361" t="n"/>
      <c r="BZ1420" s="1361" t="n"/>
      <c r="CA1420" s="1361" t="n"/>
      <c r="CB1420" s="1364" t="n"/>
    </row>
    <row r="1421" ht="14.4" customFormat="1" customHeight="1" s="1905">
      <c r="A1421" s="1906" t="inlineStr">
        <is>
          <t>Last Price</t>
        </is>
      </c>
      <c r="B1421" s="1714">
        <f>FP.LastPrice</f>
        <v/>
      </c>
      <c r="C1421" s="1714" t="n"/>
      <c r="D1421" s="1714" t="n"/>
      <c r="E1421" s="1714" t="n"/>
      <c r="F1421" s="1714" t="n"/>
      <c r="G1421" s="1714" t="n"/>
      <c r="H1421" s="1714" t="n"/>
      <c r="I1421" s="1714" t="n"/>
      <c r="J1421" s="1714" t="n"/>
      <c r="K1421" s="1714" t="n"/>
      <c r="L1421" s="1714" t="n"/>
      <c r="M1421" s="1714" t="n"/>
      <c r="N1421" s="1714" t="n"/>
      <c r="O1421" s="1714" t="n"/>
      <c r="P1421" s="1714" t="n"/>
      <c r="Q1421" s="1714" t="n"/>
      <c r="R1421" s="1714" t="n"/>
      <c r="S1421" s="1714" t="n"/>
      <c r="T1421" s="1714" t="n"/>
      <c r="U1421" s="1714" t="n"/>
      <c r="V1421" s="1714" t="n"/>
      <c r="W1421" s="1714" t="n"/>
      <c r="X1421" s="1714" t="n"/>
      <c r="Y1421" s="1714" t="n"/>
      <c r="Z1421" s="1714" t="n"/>
      <c r="AA1421" s="1714" t="n"/>
      <c r="AB1421" s="1714" t="n"/>
      <c r="AC1421" s="1714" t="n"/>
      <c r="AD1421" s="1714" t="n"/>
      <c r="AE1421" s="1714" t="n"/>
      <c r="AF1421" s="1714" t="n"/>
      <c r="AG1421" s="1714" t="n"/>
      <c r="AH1421" s="1714" t="n"/>
      <c r="AI1421" s="1714" t="n"/>
      <c r="AJ1421" s="1714" t="n"/>
      <c r="AK1421" s="1714" t="n"/>
      <c r="AL1421" s="1714" t="n"/>
      <c r="AM1421" s="1714" t="n"/>
      <c r="AN1421" s="1714" t="n"/>
      <c r="AO1421" s="1714" t="n"/>
      <c r="AP1421" s="1714" t="n"/>
      <c r="AQ1421" s="1714" t="n"/>
      <c r="AR1421" s="1714" t="n"/>
      <c r="AS1421" s="1714" t="n"/>
      <c r="AT1421" s="1714" t="n"/>
      <c r="AU1421" s="1714" t="n"/>
      <c r="AV1421" s="1714" t="n"/>
      <c r="AW1421" s="1714" t="n"/>
      <c r="AX1421" s="1714" t="n"/>
      <c r="AY1421" s="1714" t="n"/>
      <c r="AZ1421" s="1714" t="n"/>
      <c r="BA1421" s="1714" t="n"/>
      <c r="BB1421" s="1714" t="n"/>
      <c r="BC1421" s="1714" t="n"/>
      <c r="BD1421" s="1714" t="n"/>
      <c r="BE1421" s="1714" t="n"/>
      <c r="BF1421" s="1714" t="n"/>
      <c r="BG1421" s="1714" t="n"/>
      <c r="BH1421" s="1714" t="n"/>
      <c r="BI1421" s="1714" t="n"/>
      <c r="BJ1421" s="1714" t="n"/>
      <c r="BK1421" s="1714" t="n"/>
      <c r="BL1421" s="1714" t="n"/>
      <c r="BM1421" s="1714" t="n"/>
      <c r="BN1421" s="1714" t="n"/>
      <c r="BO1421" s="1714" t="n"/>
      <c r="BP1421" s="1714" t="n"/>
      <c r="BQ1421" s="1717" t="n"/>
      <c r="BR1421" s="1714" t="n"/>
      <c r="BS1421" s="1714" t="n"/>
      <c r="BT1421" s="1714" t="n"/>
      <c r="BU1421" s="1714" t="n"/>
      <c r="BV1421" s="1714" t="n"/>
      <c r="BW1421" s="1714" t="n"/>
      <c r="BX1421" s="1714" t="n"/>
      <c r="BY1421" s="1714" t="n"/>
      <c r="BZ1421" s="1714" t="n"/>
      <c r="CA1421" s="1714" t="n"/>
      <c r="CB1421" s="1718" t="n"/>
    </row>
    <row r="1422" ht="14.4" customHeight="1" s="972">
      <c r="A1422" s="1394" t="inlineStr">
        <is>
          <t>Last Price Date</t>
        </is>
      </c>
      <c r="B1422" s="2065">
        <f>FP.LastPriceDate</f>
        <v/>
      </c>
      <c r="C1422" s="275" t="n"/>
      <c r="D1422" s="275" t="n"/>
      <c r="E1422" s="275" t="n"/>
      <c r="F1422" s="275" t="n"/>
      <c r="G1422" s="275" t="n"/>
      <c r="H1422" s="275" t="n"/>
      <c r="I1422" s="275" t="n"/>
      <c r="J1422" s="275" t="n"/>
      <c r="K1422" s="275" t="n"/>
      <c r="L1422" s="275" t="n"/>
      <c r="M1422" s="275" t="n"/>
      <c r="N1422" s="275" t="n"/>
      <c r="O1422" s="275" t="n"/>
      <c r="P1422" s="275" t="n"/>
      <c r="Q1422" s="275" t="n"/>
      <c r="R1422" s="275" t="n"/>
      <c r="S1422" s="275" t="n"/>
      <c r="T1422" s="275" t="n"/>
      <c r="U1422" s="275" t="n"/>
      <c r="V1422" s="275" t="n"/>
      <c r="W1422" s="275" t="n"/>
      <c r="X1422" s="275" t="n"/>
      <c r="Y1422" s="275" t="n"/>
      <c r="Z1422" s="275" t="n"/>
      <c r="AA1422" s="275" t="n"/>
      <c r="AB1422" s="275" t="n"/>
      <c r="AC1422" s="275" t="n"/>
      <c r="AD1422" s="275" t="n"/>
      <c r="AE1422" s="275" t="n"/>
      <c r="AF1422" s="275" t="n"/>
      <c r="AG1422" s="275" t="n"/>
      <c r="AH1422" s="275" t="n"/>
      <c r="AI1422" s="275" t="n"/>
      <c r="AJ1422" s="275" t="n"/>
      <c r="AK1422" s="275" t="n"/>
      <c r="AL1422" s="275" t="n"/>
      <c r="AM1422" s="275" t="n"/>
      <c r="AN1422" s="275" t="n"/>
      <c r="AO1422" s="275" t="n"/>
      <c r="AP1422" s="275" t="n"/>
      <c r="AQ1422" s="275" t="n"/>
      <c r="AR1422" s="275" t="n"/>
      <c r="AS1422" s="275" t="n"/>
      <c r="AT1422" s="275" t="n"/>
      <c r="AU1422" s="275" t="n"/>
      <c r="AV1422" s="275" t="n"/>
      <c r="AW1422" s="275" t="n"/>
      <c r="AX1422" s="275" t="n"/>
      <c r="AY1422" s="275" t="n"/>
      <c r="AZ1422" s="275" t="n"/>
      <c r="BA1422" s="275" t="n"/>
      <c r="BB1422" s="275" t="n"/>
      <c r="BC1422" s="275" t="n"/>
      <c r="BD1422" s="275" t="n"/>
      <c r="BE1422" s="275" t="n"/>
      <c r="BF1422" s="275" t="n"/>
      <c r="BG1422" s="275" t="n"/>
      <c r="BH1422" s="275" t="n"/>
      <c r="BI1422" s="275" t="n"/>
      <c r="BJ1422" s="275" t="n"/>
      <c r="BK1422" s="275" t="n"/>
      <c r="BL1422" s="275" t="n"/>
      <c r="BM1422" s="275" t="n"/>
      <c r="BN1422" s="275" t="n"/>
      <c r="BO1422" s="275" t="n"/>
      <c r="BP1422" s="275" t="n"/>
      <c r="BQ1422" s="328" t="n"/>
      <c r="BR1422" s="275" t="n"/>
      <c r="BS1422" s="275" t="n"/>
      <c r="BT1422" s="275" t="n"/>
      <c r="BU1422" s="275" t="n"/>
      <c r="BV1422" s="275" t="n"/>
      <c r="BW1422" s="275" t="n"/>
      <c r="BX1422" s="275" t="n"/>
      <c r="BY1422" s="275" t="n"/>
      <c r="BZ1422" s="275" t="n"/>
      <c r="CA1422" s="275" t="n"/>
      <c r="CB1422" s="177" t="n"/>
    </row>
    <row r="1423" ht="14.4" customHeight="1" s="972">
      <c r="A1423" s="1394" t="inlineStr">
        <is>
          <t>Real-Time Stock Price</t>
        </is>
      </c>
      <c r="B1423" s="177">
        <f>IF(FP.RealTimeToggle="ON",TRUE,FALSE)</f>
        <v/>
      </c>
      <c r="C1423" s="275" t="n"/>
      <c r="D1423" s="275" t="n"/>
      <c r="E1423" s="275" t="n"/>
      <c r="F1423" s="275" t="n"/>
      <c r="G1423" s="275" t="n"/>
      <c r="H1423" s="275" t="n"/>
      <c r="I1423" s="275" t="n"/>
      <c r="J1423" s="275" t="n"/>
      <c r="K1423" s="275" t="n"/>
      <c r="L1423" s="275" t="n"/>
      <c r="M1423" s="275" t="n"/>
      <c r="N1423" s="275" t="n"/>
      <c r="O1423" s="275" t="n"/>
      <c r="P1423" s="275" t="n"/>
      <c r="Q1423" s="275" t="n"/>
      <c r="R1423" s="275" t="n"/>
      <c r="S1423" s="275" t="n"/>
      <c r="T1423" s="275" t="n"/>
      <c r="U1423" s="275" t="n"/>
      <c r="V1423" s="275" t="n"/>
      <c r="W1423" s="275" t="n"/>
      <c r="X1423" s="275" t="n"/>
      <c r="Y1423" s="275" t="n"/>
      <c r="Z1423" s="275" t="n"/>
      <c r="AA1423" s="275" t="n"/>
      <c r="AB1423" s="275" t="n"/>
      <c r="AC1423" s="275" t="n"/>
      <c r="AD1423" s="275" t="n"/>
      <c r="AE1423" s="275" t="n"/>
      <c r="AF1423" s="275" t="n"/>
      <c r="AG1423" s="275" t="n"/>
      <c r="AH1423" s="275" t="n"/>
      <c r="AI1423" s="275" t="n"/>
      <c r="AJ1423" s="275" t="n"/>
      <c r="AK1423" s="275" t="n"/>
      <c r="AL1423" s="275" t="n"/>
      <c r="AM1423" s="275" t="n"/>
      <c r="AN1423" s="275" t="n"/>
      <c r="AO1423" s="275" t="n"/>
      <c r="AP1423" s="275" t="n"/>
      <c r="AQ1423" s="275" t="n"/>
      <c r="AR1423" s="275" t="n"/>
      <c r="AS1423" s="275" t="n"/>
      <c r="AT1423" s="275" t="n"/>
      <c r="AU1423" s="275" t="n"/>
      <c r="AV1423" s="275" t="n"/>
      <c r="AW1423" s="275" t="n"/>
      <c r="AX1423" s="275" t="n"/>
      <c r="AY1423" s="275" t="n"/>
      <c r="AZ1423" s="275" t="n"/>
      <c r="BA1423" s="275" t="n"/>
      <c r="BB1423" s="275" t="n"/>
      <c r="BC1423" s="275" t="n"/>
      <c r="BD1423" s="275" t="n"/>
      <c r="BE1423" s="275" t="n"/>
      <c r="BF1423" s="275" t="n"/>
      <c r="BG1423" s="275" t="n"/>
      <c r="BH1423" s="275" t="n"/>
      <c r="BI1423" s="275" t="n"/>
      <c r="BJ1423" s="275" t="n"/>
      <c r="BK1423" s="275" t="n"/>
      <c r="BL1423" s="275" t="n"/>
      <c r="BM1423" s="275" t="n"/>
      <c r="BN1423" s="275" t="n"/>
      <c r="BO1423" s="275" t="n"/>
      <c r="BP1423" s="275" t="n"/>
      <c r="BQ1423" s="328" t="n"/>
      <c r="BR1423" s="275" t="n"/>
      <c r="BS1423" s="275" t="n"/>
      <c r="BT1423" s="275" t="n"/>
      <c r="BU1423" s="275" t="n"/>
      <c r="BV1423" s="275" t="n"/>
      <c r="BW1423" s="275" t="n"/>
      <c r="BX1423" s="275" t="n"/>
      <c r="BY1423" s="275" t="n"/>
      <c r="BZ1423" s="275" t="n"/>
      <c r="CA1423" s="275" t="n"/>
      <c r="CB1423" s="177" t="n"/>
    </row>
    <row r="1424" ht="14.4" customFormat="1" customHeight="1" s="1905">
      <c r="A1424" s="1906" t="inlineStr">
        <is>
          <t>Last Price Formula</t>
        </is>
      </c>
      <c r="B1424" s="1718">
        <f>IFERROR(CHOOSE(MO.DataSourceIndex,BDP(MO.Ticker.Bloomberg&amp;" EQUITY","PX_LAST"),CIQ(MO.Ticker.CapIQ,"IQ_LASTSALEPRICE"),FDS(MO.Ticker.FactSet,"FG_PRICE(NOW)"),_xll.TR(MO.Ticker.Thomson,"TRDPRC_1")),"N/A")</f>
        <v/>
      </c>
      <c r="C1424" s="1714" t="n"/>
      <c r="D1424" s="1714" t="n"/>
      <c r="E1424" s="1714" t="n"/>
      <c r="F1424" s="1714" t="n"/>
      <c r="G1424" s="1714" t="n"/>
      <c r="H1424" s="1714" t="n"/>
      <c r="I1424" s="1714" t="n"/>
      <c r="J1424" s="1714" t="n"/>
      <c r="K1424" s="1714" t="n"/>
      <c r="L1424" s="1714" t="n"/>
      <c r="M1424" s="1714" t="n"/>
      <c r="N1424" s="1714" t="n"/>
      <c r="O1424" s="1714" t="n"/>
      <c r="P1424" s="1714" t="n"/>
      <c r="Q1424" s="1714" t="n"/>
      <c r="R1424" s="1714" t="n"/>
      <c r="S1424" s="1714" t="n"/>
      <c r="T1424" s="1714" t="n"/>
      <c r="U1424" s="1714" t="n"/>
      <c r="V1424" s="1714" t="n"/>
      <c r="W1424" s="1714" t="n"/>
      <c r="X1424" s="1714" t="n"/>
      <c r="Y1424" s="1714" t="n"/>
      <c r="Z1424" s="1714" t="n"/>
      <c r="AA1424" s="1714" t="n"/>
      <c r="AB1424" s="1714" t="n"/>
      <c r="AC1424" s="1714" t="n"/>
      <c r="AD1424" s="1714" t="n"/>
      <c r="AE1424" s="1714" t="n"/>
      <c r="AF1424" s="1714" t="n"/>
      <c r="AG1424" s="1714" t="n"/>
      <c r="AH1424" s="1714" t="n"/>
      <c r="AI1424" s="1714" t="n"/>
      <c r="AJ1424" s="1714" t="n"/>
      <c r="AK1424" s="1714" t="n"/>
      <c r="AL1424" s="1714" t="n"/>
      <c r="AM1424" s="1714" t="n"/>
      <c r="AN1424" s="1714" t="n"/>
      <c r="AO1424" s="1714" t="n"/>
      <c r="AP1424" s="1714" t="n"/>
      <c r="AQ1424" s="1714" t="n"/>
      <c r="AR1424" s="1714" t="n"/>
      <c r="AS1424" s="1714" t="n"/>
      <c r="AT1424" s="1714" t="n"/>
      <c r="AU1424" s="1714" t="n"/>
      <c r="AV1424" s="1714" t="n"/>
      <c r="AW1424" s="1714" t="n"/>
      <c r="AX1424" s="1714" t="n"/>
      <c r="AY1424" s="1714" t="n"/>
      <c r="AZ1424" s="1714" t="n"/>
      <c r="BA1424" s="1714" t="n"/>
      <c r="BB1424" s="1714" t="n"/>
      <c r="BC1424" s="1714" t="n"/>
      <c r="BD1424" s="1714" t="n"/>
      <c r="BE1424" s="1714" t="n"/>
      <c r="BF1424" s="1714" t="n"/>
      <c r="BG1424" s="1714" t="n"/>
      <c r="BH1424" s="1714" t="n"/>
      <c r="BI1424" s="1714" t="n"/>
      <c r="BJ1424" s="1714" t="n"/>
      <c r="BK1424" s="1714" t="n"/>
      <c r="BL1424" s="1714" t="n"/>
      <c r="BM1424" s="1714" t="n"/>
      <c r="BN1424" s="1714" t="n"/>
      <c r="BO1424" s="1714" t="n"/>
      <c r="BP1424" s="1714" t="n"/>
      <c r="BQ1424" s="1717" t="n"/>
      <c r="BR1424" s="1714" t="n"/>
      <c r="BS1424" s="1714" t="n"/>
      <c r="BT1424" s="1714" t="n"/>
      <c r="BU1424" s="1714" t="n"/>
      <c r="BV1424" s="1714" t="n"/>
      <c r="BW1424" s="1714" t="n"/>
      <c r="BX1424" s="1714" t="n"/>
      <c r="BY1424" s="1714" t="n"/>
      <c r="BZ1424" s="1714" t="n"/>
      <c r="CA1424" s="1714" t="n"/>
      <c r="CB1424" s="1718" t="n"/>
    </row>
    <row r="1425" ht="14.4" customFormat="1" customHeight="1" s="1905">
      <c r="A1425" s="1906" t="inlineStr">
        <is>
          <t>Apply Trade Currency Scaling</t>
        </is>
      </c>
      <c r="B1425" s="1718">
        <f>OR(AND(OR(EXACT(HP.TradeCurrency.HardCoded,"GBp"),EXACT(HP.TradeCurrency.HardCoded,"GBX")),EXACT(HP.ReportCurrency,"GBP")),AND(OR(EXACT(HP.TradeCurrency.HardCoded,"ZAc"),EXACT(HP.TradeCurrency.HardCoded,"ZAC")),EXACT(HP.ReportCurrency,"ZAR")))</f>
        <v/>
      </c>
      <c r="C1425" s="1714" t="n"/>
      <c r="D1425" s="1714" t="n"/>
      <c r="E1425" s="1714" t="n"/>
      <c r="F1425" s="1714" t="n"/>
      <c r="G1425" s="1714" t="n"/>
      <c r="H1425" s="1714" t="n"/>
      <c r="I1425" s="1714" t="n"/>
      <c r="J1425" s="1714" t="n"/>
      <c r="K1425" s="1714" t="n"/>
      <c r="L1425" s="1714" t="n"/>
      <c r="M1425" s="1714" t="n"/>
      <c r="N1425" s="1714" t="n"/>
      <c r="O1425" s="1714" t="n"/>
      <c r="P1425" s="1714" t="n"/>
      <c r="Q1425" s="1714" t="n"/>
      <c r="R1425" s="1714" t="n"/>
      <c r="S1425" s="1714" t="n"/>
      <c r="T1425" s="1714" t="n"/>
      <c r="U1425" s="1714" t="n"/>
      <c r="V1425" s="1714" t="n"/>
      <c r="W1425" s="1714" t="n"/>
      <c r="X1425" s="1714" t="n"/>
      <c r="Y1425" s="1714" t="n"/>
      <c r="Z1425" s="1714" t="n"/>
      <c r="AA1425" s="1714" t="n"/>
      <c r="AB1425" s="1714" t="n"/>
      <c r="AC1425" s="1714" t="n"/>
      <c r="AD1425" s="1714" t="n"/>
      <c r="AE1425" s="1714" t="n"/>
      <c r="AF1425" s="1714" t="n"/>
      <c r="AG1425" s="1714" t="n"/>
      <c r="AH1425" s="1714" t="n"/>
      <c r="AI1425" s="1714" t="n"/>
      <c r="AJ1425" s="1714" t="n"/>
      <c r="AK1425" s="1714" t="n"/>
      <c r="AL1425" s="1714" t="n"/>
      <c r="AM1425" s="1714" t="n"/>
      <c r="AN1425" s="1714" t="n"/>
      <c r="AO1425" s="1714" t="n"/>
      <c r="AP1425" s="1714" t="n"/>
      <c r="AQ1425" s="1714" t="n"/>
      <c r="AR1425" s="1714" t="n"/>
      <c r="AS1425" s="1714" t="n"/>
      <c r="AT1425" s="1714" t="n"/>
      <c r="AU1425" s="1714" t="n"/>
      <c r="AV1425" s="1714" t="n"/>
      <c r="AW1425" s="1714" t="n"/>
      <c r="AX1425" s="1714" t="n"/>
      <c r="AY1425" s="1714" t="n"/>
      <c r="AZ1425" s="1714" t="n"/>
      <c r="BA1425" s="1714" t="n"/>
      <c r="BB1425" s="1714" t="n"/>
      <c r="BC1425" s="1714" t="n"/>
      <c r="BD1425" s="1714" t="n"/>
      <c r="BE1425" s="1714" t="n"/>
      <c r="BF1425" s="1714" t="n"/>
      <c r="BG1425" s="1714" t="n"/>
      <c r="BH1425" s="1714" t="n"/>
      <c r="BI1425" s="1714" t="n"/>
      <c r="BJ1425" s="1714" t="n"/>
      <c r="BK1425" s="1714" t="n"/>
      <c r="BL1425" s="1714" t="n"/>
      <c r="BM1425" s="1714" t="n"/>
      <c r="BN1425" s="1714" t="n"/>
      <c r="BO1425" s="1714" t="n"/>
      <c r="BP1425" s="1714" t="n"/>
      <c r="BQ1425" s="1717" t="n"/>
      <c r="BR1425" s="1714" t="n"/>
      <c r="BS1425" s="1714" t="n"/>
      <c r="BT1425" s="1714" t="n"/>
      <c r="BU1425" s="1714" t="n"/>
      <c r="BV1425" s="1714" t="n"/>
      <c r="BW1425" s="1714" t="n"/>
      <c r="BX1425" s="1714" t="n"/>
      <c r="BY1425" s="1714" t="n"/>
      <c r="BZ1425" s="1714" t="n"/>
      <c r="CA1425" s="1714" t="n"/>
      <c r="CB1425" s="1718" t="n"/>
    </row>
    <row r="1426" ht="14.4" customFormat="1" customHeight="1" s="1905">
      <c r="A1426" s="1906" t="inlineStr">
        <is>
          <t>Trade Currency</t>
        </is>
      </c>
      <c r="B1426" s="1718">
        <f>IFERROR(CHOOSE(MO.DataSourceIndex,BDP(HP.Ticker&amp;" Equity","CRNCY"),CIQ(HP.Ticker,"IQ_TRADING_CURRENCY"),FDS(HP.Ticker,"P_CURRENCY(""ISO"")"),_xll.TR(HP.Ticker,"Currency")),HP.TradeCurrency.HardCoded)</f>
        <v/>
      </c>
      <c r="C1426" s="1714" t="n"/>
      <c r="D1426" s="1714" t="n"/>
      <c r="E1426" s="1714" t="n"/>
      <c r="F1426" s="1714" t="n"/>
      <c r="G1426" s="1714" t="n"/>
      <c r="H1426" s="1714" t="n"/>
      <c r="I1426" s="1714" t="n"/>
      <c r="J1426" s="1714" t="n"/>
      <c r="K1426" s="1714" t="n"/>
      <c r="L1426" s="1714" t="n"/>
      <c r="M1426" s="1714" t="n"/>
      <c r="N1426" s="1714" t="n"/>
      <c r="O1426" s="1714" t="n"/>
      <c r="P1426" s="1714" t="n"/>
      <c r="Q1426" s="1714" t="n"/>
      <c r="R1426" s="1714" t="n"/>
      <c r="S1426" s="1714" t="n"/>
      <c r="T1426" s="1714" t="n"/>
      <c r="U1426" s="1714" t="n"/>
      <c r="V1426" s="1714" t="n"/>
      <c r="W1426" s="1714" t="n"/>
      <c r="X1426" s="1714" t="n"/>
      <c r="Y1426" s="1714" t="n"/>
      <c r="Z1426" s="1714" t="n"/>
      <c r="AA1426" s="1714" t="n"/>
      <c r="AB1426" s="1714" t="n"/>
      <c r="AC1426" s="1714" t="n"/>
      <c r="AD1426" s="1714" t="n"/>
      <c r="AE1426" s="1714" t="n"/>
      <c r="AF1426" s="1714" t="n"/>
      <c r="AG1426" s="1714" t="n"/>
      <c r="AH1426" s="1714" t="n"/>
      <c r="AI1426" s="1714" t="n"/>
      <c r="AJ1426" s="1714" t="n"/>
      <c r="AK1426" s="1714" t="n"/>
      <c r="AL1426" s="1714" t="n"/>
      <c r="AM1426" s="1714" t="n"/>
      <c r="AN1426" s="1714" t="n"/>
      <c r="AO1426" s="1714" t="n"/>
      <c r="AP1426" s="1714" t="n"/>
      <c r="AQ1426" s="1714" t="n"/>
      <c r="AR1426" s="1714" t="n"/>
      <c r="AS1426" s="1714" t="n"/>
      <c r="AT1426" s="1714" t="n"/>
      <c r="AU1426" s="1714" t="n"/>
      <c r="AV1426" s="1714" t="n"/>
      <c r="AW1426" s="1714" t="n"/>
      <c r="AX1426" s="1714" t="n"/>
      <c r="AY1426" s="1714" t="n"/>
      <c r="AZ1426" s="1714" t="n"/>
      <c r="BA1426" s="1714" t="n"/>
      <c r="BB1426" s="1714" t="n"/>
      <c r="BC1426" s="1714" t="n"/>
      <c r="BD1426" s="1714" t="n"/>
      <c r="BE1426" s="1714" t="n"/>
      <c r="BF1426" s="1714" t="n"/>
      <c r="BG1426" s="1714" t="n"/>
      <c r="BH1426" s="1714" t="n"/>
      <c r="BI1426" s="1714" t="n"/>
      <c r="BJ1426" s="1714" t="n"/>
      <c r="BK1426" s="1714" t="n"/>
      <c r="BL1426" s="1714" t="n"/>
      <c r="BM1426" s="1714" t="n"/>
      <c r="BN1426" s="1714" t="n"/>
      <c r="BO1426" s="1714" t="n"/>
      <c r="BP1426" s="1714" t="n"/>
      <c r="BQ1426" s="1717" t="n"/>
      <c r="BR1426" s="1714" t="n"/>
      <c r="BS1426" s="1714" t="n"/>
      <c r="BT1426" s="1714" t="n"/>
      <c r="BU1426" s="1714" t="n"/>
      <c r="BV1426" s="1714" t="n"/>
      <c r="BW1426" s="1714" t="n"/>
      <c r="BX1426" s="1714" t="n"/>
      <c r="BY1426" s="1714" t="n"/>
      <c r="BZ1426" s="1714" t="n"/>
      <c r="CA1426" s="1714" t="n"/>
      <c r="CB1426" s="1718" t="n"/>
    </row>
    <row r="1427" ht="14.4" customFormat="1" customHeight="1" s="1905">
      <c r="A1427" s="1906" t="inlineStr">
        <is>
          <t>Trade Currency Hardcoded</t>
        </is>
      </c>
      <c r="B1427" s="1754" t="inlineStr">
        <is>
          <t>USD</t>
        </is>
      </c>
      <c r="C1427" s="1714" t="n"/>
      <c r="D1427" s="1714" t="n"/>
      <c r="E1427" s="1714" t="n"/>
      <c r="F1427" s="1714" t="n"/>
      <c r="G1427" s="1714" t="n"/>
      <c r="H1427" s="1714" t="n"/>
      <c r="I1427" s="1714" t="n"/>
      <c r="J1427" s="1714" t="n"/>
      <c r="K1427" s="1714" t="n"/>
      <c r="L1427" s="1714" t="n"/>
      <c r="M1427" s="1714" t="n"/>
      <c r="N1427" s="1714" t="n"/>
      <c r="O1427" s="1714" t="n"/>
      <c r="P1427" s="1714" t="n"/>
      <c r="Q1427" s="1714" t="n"/>
      <c r="R1427" s="1714" t="n"/>
      <c r="S1427" s="1714" t="n"/>
      <c r="T1427" s="1714" t="n"/>
      <c r="U1427" s="1714" t="n"/>
      <c r="V1427" s="1714" t="n"/>
      <c r="W1427" s="1714" t="n"/>
      <c r="X1427" s="1714" t="n"/>
      <c r="Y1427" s="1714" t="n"/>
      <c r="Z1427" s="1714" t="n"/>
      <c r="AA1427" s="1714" t="n"/>
      <c r="AB1427" s="1714" t="n"/>
      <c r="AC1427" s="1714" t="n"/>
      <c r="AD1427" s="1714" t="n"/>
      <c r="AE1427" s="1714" t="n"/>
      <c r="AF1427" s="1714" t="n"/>
      <c r="AG1427" s="1714" t="n"/>
      <c r="AH1427" s="1714" t="n"/>
      <c r="AI1427" s="1714" t="n"/>
      <c r="AJ1427" s="1714" t="n"/>
      <c r="AK1427" s="1714" t="n"/>
      <c r="AL1427" s="1714" t="n"/>
      <c r="AM1427" s="1714" t="n"/>
      <c r="AN1427" s="1714" t="n"/>
      <c r="AO1427" s="1714" t="n"/>
      <c r="AP1427" s="1714" t="n"/>
      <c r="AQ1427" s="1714" t="n"/>
      <c r="AR1427" s="1714" t="n"/>
      <c r="AS1427" s="1714" t="n"/>
      <c r="AT1427" s="1714" t="n"/>
      <c r="AU1427" s="1714" t="n"/>
      <c r="AV1427" s="1714" t="n"/>
      <c r="AW1427" s="1714" t="n"/>
      <c r="AX1427" s="1714" t="n"/>
      <c r="AY1427" s="1714" t="n"/>
      <c r="AZ1427" s="1714" t="n"/>
      <c r="BA1427" s="1714" t="n"/>
      <c r="BB1427" s="1714" t="n"/>
      <c r="BC1427" s="1714" t="n"/>
      <c r="BD1427" s="1714" t="n"/>
      <c r="BE1427" s="1714" t="n"/>
      <c r="BF1427" s="1714" t="n"/>
      <c r="BG1427" s="1714" t="n"/>
      <c r="BH1427" s="1714" t="n"/>
      <c r="BI1427" s="1714" t="n"/>
      <c r="BJ1427" s="1714" t="n"/>
      <c r="BK1427" s="1714" t="n"/>
      <c r="BL1427" s="1714" t="n"/>
      <c r="BM1427" s="1714" t="n"/>
      <c r="BN1427" s="1714" t="n"/>
      <c r="BO1427" s="1714" t="n"/>
      <c r="BP1427" s="1714" t="n"/>
      <c r="BQ1427" s="1717" t="n"/>
      <c r="BR1427" s="1714" t="n"/>
      <c r="BS1427" s="1714" t="n"/>
      <c r="BT1427" s="1714" t="n"/>
      <c r="BU1427" s="1714" t="n"/>
      <c r="BV1427" s="1714" t="n"/>
      <c r="BW1427" s="1714" t="n"/>
      <c r="BX1427" s="1714" t="n"/>
      <c r="BY1427" s="1714" t="n"/>
      <c r="BZ1427" s="1714" t="n"/>
      <c r="CA1427" s="1714" t="n"/>
      <c r="CB1427" s="1718" t="n"/>
    </row>
    <row r="1428" ht="14.4" customFormat="1" customHeight="1" s="1905">
      <c r="A1428" s="1906" t="inlineStr">
        <is>
          <t>Model Sheet Currency Hardcoded</t>
        </is>
      </c>
      <c r="B1428" s="1754" t="inlineStr">
        <is>
          <t>USD</t>
        </is>
      </c>
      <c r="C1428" s="1714" t="n"/>
      <c r="D1428" s="1714" t="n"/>
      <c r="E1428" s="1714" t="n"/>
      <c r="F1428" s="1714" t="n"/>
      <c r="G1428" s="1714" t="n"/>
      <c r="H1428" s="1714" t="n"/>
      <c r="I1428" s="1714" t="n"/>
      <c r="J1428" s="1714" t="n"/>
      <c r="K1428" s="1714" t="n"/>
      <c r="L1428" s="1714" t="n"/>
      <c r="M1428" s="1714" t="n"/>
      <c r="N1428" s="1714" t="n"/>
      <c r="O1428" s="1714" t="n"/>
      <c r="P1428" s="1714" t="n"/>
      <c r="Q1428" s="1714" t="n"/>
      <c r="R1428" s="1714" t="n"/>
      <c r="S1428" s="1714" t="n"/>
      <c r="T1428" s="1714" t="n"/>
      <c r="U1428" s="1714" t="n"/>
      <c r="V1428" s="1714" t="n"/>
      <c r="W1428" s="1714" t="n"/>
      <c r="X1428" s="1714" t="n"/>
      <c r="Y1428" s="1714" t="n"/>
      <c r="Z1428" s="1714" t="n"/>
      <c r="AA1428" s="1714" t="n"/>
      <c r="AB1428" s="1714" t="n"/>
      <c r="AC1428" s="1714" t="n"/>
      <c r="AD1428" s="1714" t="n"/>
      <c r="AE1428" s="1714" t="n"/>
      <c r="AF1428" s="1714" t="n"/>
      <c r="AG1428" s="1714" t="n"/>
      <c r="AH1428" s="1714" t="n"/>
      <c r="AI1428" s="1714" t="n"/>
      <c r="AJ1428" s="1714" t="n"/>
      <c r="AK1428" s="1714" t="n"/>
      <c r="AL1428" s="1714" t="n"/>
      <c r="AM1428" s="1714" t="n"/>
      <c r="AN1428" s="1714" t="n"/>
      <c r="AO1428" s="1714" t="n"/>
      <c r="AP1428" s="1714" t="n"/>
      <c r="AQ1428" s="1714" t="n"/>
      <c r="AR1428" s="1714" t="n"/>
      <c r="AS1428" s="1714" t="n"/>
      <c r="AT1428" s="1714" t="n"/>
      <c r="AU1428" s="1714" t="n"/>
      <c r="AV1428" s="1714" t="n"/>
      <c r="AW1428" s="1714" t="n"/>
      <c r="AX1428" s="1714" t="n"/>
      <c r="AY1428" s="1714" t="n"/>
      <c r="AZ1428" s="1714" t="n"/>
      <c r="BA1428" s="1714" t="n"/>
      <c r="BB1428" s="1714" t="n"/>
      <c r="BC1428" s="1714" t="n"/>
      <c r="BD1428" s="1714" t="n"/>
      <c r="BE1428" s="1714" t="n"/>
      <c r="BF1428" s="1714" t="n"/>
      <c r="BG1428" s="1714" t="n"/>
      <c r="BH1428" s="1714" t="n"/>
      <c r="BI1428" s="1714" t="n"/>
      <c r="BJ1428" s="1714" t="n"/>
      <c r="BK1428" s="1714" t="n"/>
      <c r="BL1428" s="1714" t="n"/>
      <c r="BM1428" s="1714" t="n"/>
      <c r="BN1428" s="1714" t="n"/>
      <c r="BO1428" s="1714" t="n"/>
      <c r="BP1428" s="1714" t="n"/>
      <c r="BQ1428" s="1717" t="n"/>
      <c r="BR1428" s="1714" t="n"/>
      <c r="BS1428" s="1714" t="n"/>
      <c r="BT1428" s="1714" t="n"/>
      <c r="BU1428" s="1714" t="n"/>
      <c r="BV1428" s="1714" t="n"/>
      <c r="BW1428" s="1714" t="n"/>
      <c r="BX1428" s="1714" t="n"/>
      <c r="BY1428" s="1714" t="n"/>
      <c r="BZ1428" s="1714" t="n"/>
      <c r="CA1428" s="1714" t="n"/>
      <c r="CB1428" s="1718" t="n"/>
    </row>
    <row r="1429" ht="14.4" customFormat="1" customHeight="1" s="1905">
      <c r="A1429" s="1906" t="inlineStr">
        <is>
          <t>Most Recent FX</t>
        </is>
      </c>
      <c r="B1429" s="1925">
        <f>IF(EXACT(MO.ReportFX,HP.TradeCurrency),1,IF(OR(INDEX(MO_SPT_FXAverage,1,MO.MRFPColumnNumber+1)="N/A",ISERROR(INDEX(MO_SPT_FXAverage,1,MO.MRFPColumnNumber+1))),MO.MRFX.Hardcoded,INDEX(MO_SPT_FXAverage,1,MO.MRFPColumnNumber+1)))</f>
        <v/>
      </c>
      <c r="C1429" s="1714" t="n"/>
      <c r="D1429" s="1714" t="n"/>
      <c r="E1429" s="1714" t="n"/>
      <c r="F1429" s="1714" t="n"/>
      <c r="G1429" s="1714" t="n"/>
      <c r="H1429" s="1714" t="n"/>
      <c r="I1429" s="1714" t="n"/>
      <c r="J1429" s="1714" t="n"/>
      <c r="K1429" s="1714" t="n"/>
      <c r="L1429" s="1714" t="n"/>
      <c r="M1429" s="1714" t="n"/>
      <c r="N1429" s="1714" t="n"/>
      <c r="O1429" s="1714" t="n"/>
      <c r="P1429" s="1714" t="n"/>
      <c r="Q1429" s="1714" t="n"/>
      <c r="R1429" s="1714" t="n"/>
      <c r="S1429" s="1714" t="n"/>
      <c r="T1429" s="1714" t="n"/>
      <c r="U1429" s="1714" t="n"/>
      <c r="V1429" s="1714" t="n"/>
      <c r="W1429" s="1714" t="n"/>
      <c r="X1429" s="1714" t="n"/>
      <c r="Y1429" s="1714" t="n"/>
      <c r="Z1429" s="1714" t="n"/>
      <c r="AA1429" s="1714" t="n"/>
      <c r="AB1429" s="1714" t="n"/>
      <c r="AC1429" s="1714" t="n"/>
      <c r="AD1429" s="1714" t="n"/>
      <c r="AE1429" s="1714" t="n"/>
      <c r="AF1429" s="1714" t="n"/>
      <c r="AG1429" s="1714" t="n"/>
      <c r="AH1429" s="1714" t="n"/>
      <c r="AI1429" s="1714" t="n"/>
      <c r="AJ1429" s="1714" t="n"/>
      <c r="AK1429" s="1714" t="n"/>
      <c r="AL1429" s="1714" t="n"/>
      <c r="AM1429" s="1714" t="n"/>
      <c r="AN1429" s="1714" t="n"/>
      <c r="AO1429" s="1714" t="n"/>
      <c r="AP1429" s="1714" t="n"/>
      <c r="AQ1429" s="1714" t="n"/>
      <c r="AR1429" s="1714" t="n"/>
      <c r="AS1429" s="1714" t="n"/>
      <c r="AT1429" s="1714" t="n"/>
      <c r="AU1429" s="1714" t="n"/>
      <c r="AV1429" s="1714" t="n"/>
      <c r="AW1429" s="1714" t="n"/>
      <c r="AX1429" s="1714" t="n"/>
      <c r="AY1429" s="1714" t="n"/>
      <c r="AZ1429" s="1714" t="n"/>
      <c r="BA1429" s="1714" t="n"/>
      <c r="BB1429" s="1714" t="n"/>
      <c r="BC1429" s="1714" t="n"/>
      <c r="BD1429" s="1714" t="n"/>
      <c r="BE1429" s="1714" t="n"/>
      <c r="BF1429" s="1714" t="n"/>
      <c r="BG1429" s="1714" t="n"/>
      <c r="BH1429" s="1714" t="n"/>
      <c r="BI1429" s="1714" t="n"/>
      <c r="BJ1429" s="1714" t="n"/>
      <c r="BK1429" s="1714" t="n"/>
      <c r="BL1429" s="1714" t="n"/>
      <c r="BM1429" s="1714" t="n"/>
      <c r="BN1429" s="1714" t="n"/>
      <c r="BO1429" s="1714" t="n"/>
      <c r="BP1429" s="1714" t="n"/>
      <c r="BQ1429" s="1717" t="n"/>
      <c r="BR1429" s="1714" t="n"/>
      <c r="BS1429" s="1714" t="n"/>
      <c r="BT1429" s="1714" t="n"/>
      <c r="BU1429" s="1714" t="n"/>
      <c r="BV1429" s="1714" t="n"/>
      <c r="BW1429" s="1714" t="n"/>
      <c r="BX1429" s="1714" t="n"/>
      <c r="BY1429" s="1714" t="n"/>
      <c r="BZ1429" s="1714" t="n"/>
      <c r="CA1429" s="1714" t="n"/>
      <c r="CB1429" s="1718" t="n"/>
    </row>
    <row r="1430" ht="14.4" customFormat="1" customHeight="1" s="1905">
      <c r="A1430" s="1906" t="inlineStr">
        <is>
          <t>Most Recent FX Hardcoded</t>
        </is>
      </c>
      <c r="B1430" s="2052" t="n">
        <v>1</v>
      </c>
      <c r="C1430" s="1714" t="n"/>
      <c r="D1430" s="1714" t="n"/>
      <c r="E1430" s="1714" t="n"/>
      <c r="F1430" s="1714" t="n"/>
      <c r="G1430" s="1714" t="n"/>
      <c r="H1430" s="1714" t="n"/>
      <c r="I1430" s="1714" t="n"/>
      <c r="J1430" s="1714" t="n"/>
      <c r="K1430" s="1714" t="n"/>
      <c r="L1430" s="1714" t="n"/>
      <c r="M1430" s="1714" t="n"/>
      <c r="N1430" s="1714" t="n"/>
      <c r="O1430" s="1714" t="n"/>
      <c r="P1430" s="1714" t="n"/>
      <c r="Q1430" s="1714" t="n"/>
      <c r="R1430" s="1714" t="n"/>
      <c r="S1430" s="1714" t="n"/>
      <c r="T1430" s="1714" t="n"/>
      <c r="U1430" s="1714" t="n"/>
      <c r="V1430" s="1714" t="n"/>
      <c r="W1430" s="1714" t="n"/>
      <c r="X1430" s="1714" t="n"/>
      <c r="Y1430" s="1714" t="n"/>
      <c r="Z1430" s="1714" t="n"/>
      <c r="AA1430" s="1714" t="n"/>
      <c r="AB1430" s="1714" t="n"/>
      <c r="AC1430" s="1714" t="n"/>
      <c r="AD1430" s="1714" t="n"/>
      <c r="AE1430" s="1714" t="n"/>
      <c r="AF1430" s="1714" t="n"/>
      <c r="AG1430" s="1714" t="n"/>
      <c r="AH1430" s="1714" t="n"/>
      <c r="AI1430" s="1714" t="n"/>
      <c r="AJ1430" s="1714" t="n"/>
      <c r="AK1430" s="1714" t="n"/>
      <c r="AL1430" s="1714" t="n"/>
      <c r="AM1430" s="1714" t="n"/>
      <c r="AN1430" s="1714" t="n"/>
      <c r="AO1430" s="1714" t="n"/>
      <c r="AP1430" s="1714" t="n"/>
      <c r="AQ1430" s="1714" t="n"/>
      <c r="AR1430" s="1714" t="n"/>
      <c r="AS1430" s="1714" t="n"/>
      <c r="AT1430" s="1714" t="n"/>
      <c r="AU1430" s="1714" t="n"/>
      <c r="AV1430" s="1714" t="n"/>
      <c r="AW1430" s="1714" t="n"/>
      <c r="AX1430" s="1714" t="n"/>
      <c r="AY1430" s="1714" t="n"/>
      <c r="AZ1430" s="1714" t="n"/>
      <c r="BA1430" s="1714" t="n"/>
      <c r="BB1430" s="1714" t="n"/>
      <c r="BC1430" s="1714" t="n"/>
      <c r="BD1430" s="1714" t="n"/>
      <c r="BE1430" s="1714" t="n"/>
      <c r="BF1430" s="1714" t="n"/>
      <c r="BG1430" s="1714" t="n"/>
      <c r="BH1430" s="1714" t="n"/>
      <c r="BI1430" s="1714" t="n"/>
      <c r="BJ1430" s="1714" t="n"/>
      <c r="BK1430" s="1714" t="n"/>
      <c r="BL1430" s="1714" t="n"/>
      <c r="BM1430" s="1714" t="n"/>
      <c r="BN1430" s="1714" t="n"/>
      <c r="BO1430" s="1714" t="n"/>
      <c r="BP1430" s="1714" t="n"/>
      <c r="BQ1430" s="1717" t="n"/>
      <c r="BR1430" s="1714" t="n"/>
      <c r="BS1430" s="1714" t="n"/>
      <c r="BT1430" s="1714" t="n"/>
      <c r="BU1430" s="1714" t="n"/>
      <c r="BV1430" s="1714" t="n"/>
      <c r="BW1430" s="1714" t="n"/>
      <c r="BX1430" s="1714" t="n"/>
      <c r="BY1430" s="1714" t="n"/>
      <c r="BZ1430" s="1714" t="n"/>
      <c r="CA1430" s="1714" t="n"/>
      <c r="CB1430" s="1718" t="n"/>
    </row>
    <row r="1431" ht="14.4" customFormat="1" customHeight="1" s="1549">
      <c r="A1431" s="2066" t="inlineStr">
        <is>
          <t>MRFP Column Number</t>
        </is>
      </c>
      <c r="B1431" s="1472">
        <f>MATCH(MO.MRFP,MO_Common_ColumnHeader,0)</f>
        <v/>
      </c>
      <c r="C1431" s="1471" t="n"/>
      <c r="D1431" s="1471" t="n"/>
      <c r="E1431" s="1471" t="n"/>
      <c r="F1431" s="1471" t="n"/>
      <c r="G1431" s="1471" t="n"/>
      <c r="H1431" s="1471" t="n"/>
      <c r="I1431" s="1471" t="n"/>
      <c r="J1431" s="1471" t="n"/>
      <c r="K1431" s="1471" t="n"/>
      <c r="L1431" s="1471" t="n"/>
      <c r="M1431" s="1471" t="n"/>
      <c r="N1431" s="1471" t="n"/>
      <c r="O1431" s="1471" t="n"/>
      <c r="P1431" s="1471" t="n"/>
      <c r="Q1431" s="1471" t="n"/>
      <c r="R1431" s="1471" t="n"/>
      <c r="S1431" s="1471" t="n"/>
      <c r="T1431" s="1471" t="n"/>
      <c r="U1431" s="1471" t="n"/>
      <c r="V1431" s="1471" t="n"/>
      <c r="W1431" s="1471" t="n"/>
      <c r="X1431" s="1471" t="n"/>
      <c r="Y1431" s="1471" t="n"/>
      <c r="Z1431" s="1471" t="n"/>
      <c r="AA1431" s="1471" t="n"/>
      <c r="AB1431" s="1471" t="n"/>
      <c r="AC1431" s="1471" t="n"/>
      <c r="AD1431" s="1471" t="n"/>
      <c r="AE1431" s="1471" t="n"/>
      <c r="AF1431" s="1471" t="n"/>
      <c r="AG1431" s="1471" t="n"/>
      <c r="AH1431" s="1471" t="n"/>
      <c r="AI1431" s="1471" t="n"/>
      <c r="AJ1431" s="1471" t="n"/>
      <c r="AK1431" s="1471" t="n"/>
      <c r="AL1431" s="1471" t="n"/>
      <c r="AM1431" s="1471" t="n"/>
      <c r="AN1431" s="1471" t="n"/>
      <c r="AO1431" s="1471" t="n"/>
      <c r="AP1431" s="1471" t="n"/>
      <c r="AQ1431" s="1471" t="n"/>
      <c r="AR1431" s="1471" t="n"/>
      <c r="AS1431" s="1471" t="n"/>
      <c r="AT1431" s="1471" t="n"/>
      <c r="AU1431" s="1471" t="n"/>
      <c r="AV1431" s="1471" t="n"/>
      <c r="AW1431" s="1471" t="n"/>
      <c r="AX1431" s="1471" t="n"/>
      <c r="AY1431" s="1471" t="n"/>
      <c r="AZ1431" s="1471" t="n"/>
      <c r="BA1431" s="1471" t="n"/>
      <c r="BB1431" s="1471" t="n"/>
      <c r="BC1431" s="1471" t="n"/>
      <c r="BD1431" s="1471" t="n"/>
      <c r="BE1431" s="1471" t="n"/>
      <c r="BF1431" s="1471" t="n"/>
      <c r="BG1431" s="1471" t="n"/>
      <c r="BH1431" s="1471" t="n"/>
      <c r="BI1431" s="1471" t="n"/>
      <c r="BJ1431" s="1471" t="n"/>
      <c r="BK1431" s="1471" t="n"/>
      <c r="BL1431" s="1471" t="n"/>
      <c r="BM1431" s="1471" t="n"/>
      <c r="BN1431" s="1471" t="n"/>
      <c r="BO1431" s="1471" t="n"/>
      <c r="BP1431" s="1471" t="n"/>
      <c r="BQ1431" s="1487" t="n"/>
      <c r="BR1431" s="1471" t="n"/>
      <c r="BS1431" s="1471" t="n"/>
      <c r="BT1431" s="1471" t="n"/>
      <c r="BU1431" s="1471" t="n"/>
      <c r="BV1431" s="1471" t="n"/>
      <c r="BW1431" s="1471" t="n"/>
      <c r="BX1431" s="1471" t="n"/>
      <c r="BY1431" s="1471" t="n"/>
      <c r="BZ1431" s="1471" t="n"/>
      <c r="CA1431" s="1471" t="n"/>
      <c r="CB1431" s="1472" t="n"/>
    </row>
    <row r="1432" ht="14.4" customFormat="1" customHeight="1" s="1549">
      <c r="A1432" s="2066" t="inlineStr">
        <is>
          <t>Most Recent Fiscal Period (MRFP)</t>
        </is>
      </c>
      <c r="B1432" s="1488" t="inlineStr">
        <is>
          <t>Q3-2025</t>
        </is>
      </c>
      <c r="C1432" s="1471" t="n"/>
      <c r="D1432" s="1471" t="n"/>
      <c r="E1432" s="1471" t="n"/>
      <c r="F1432" s="1471" t="n"/>
      <c r="G1432" s="1471" t="n"/>
      <c r="H1432" s="1471" t="n"/>
      <c r="I1432" s="1471" t="n"/>
      <c r="J1432" s="1471" t="n"/>
      <c r="K1432" s="1471" t="n"/>
      <c r="L1432" s="1471" t="n"/>
      <c r="M1432" s="1471" t="n"/>
      <c r="N1432" s="1471" t="n"/>
      <c r="O1432" s="1471" t="n"/>
      <c r="P1432" s="1471" t="n"/>
      <c r="Q1432" s="1471" t="n"/>
      <c r="R1432" s="1471" t="n"/>
      <c r="S1432" s="1471" t="n"/>
      <c r="T1432" s="1471" t="n"/>
      <c r="U1432" s="1471" t="n"/>
      <c r="V1432" s="1471" t="n"/>
      <c r="W1432" s="1471" t="n"/>
      <c r="X1432" s="1471" t="n"/>
      <c r="Y1432" s="1471" t="n"/>
      <c r="Z1432" s="1471" t="n"/>
      <c r="AA1432" s="1471" t="n"/>
      <c r="AB1432" s="1471" t="n"/>
      <c r="AC1432" s="1471" t="n"/>
      <c r="AD1432" s="1471" t="n"/>
      <c r="AE1432" s="1471" t="n"/>
      <c r="AF1432" s="1471" t="n"/>
      <c r="AG1432" s="1471" t="n"/>
      <c r="AH1432" s="1471" t="n"/>
      <c r="AI1432" s="1471" t="n"/>
      <c r="AJ1432" s="1471" t="n"/>
      <c r="AK1432" s="1471" t="n"/>
      <c r="AL1432" s="1471" t="n"/>
      <c r="AM1432" s="1471" t="n"/>
      <c r="AN1432" s="1471" t="n"/>
      <c r="AO1432" s="1471" t="n"/>
      <c r="AP1432" s="1471" t="n"/>
      <c r="AQ1432" s="1471" t="n"/>
      <c r="AR1432" s="1471" t="n"/>
      <c r="AS1432" s="1471" t="n"/>
      <c r="AT1432" s="1471" t="n"/>
      <c r="AU1432" s="1471" t="n"/>
      <c r="AV1432" s="1471" t="n"/>
      <c r="AW1432" s="1471" t="n"/>
      <c r="AX1432" s="1471" t="n"/>
      <c r="AY1432" s="1471" t="n"/>
      <c r="AZ1432" s="1471" t="n"/>
      <c r="BA1432" s="1471" t="n"/>
      <c r="BB1432" s="1471" t="n"/>
      <c r="BC1432" s="1471" t="n"/>
      <c r="BD1432" s="1471" t="n"/>
      <c r="BE1432" s="1471" t="n"/>
      <c r="BF1432" s="1471" t="n"/>
      <c r="BG1432" s="1471" t="n"/>
      <c r="BH1432" s="1471" t="n"/>
      <c r="BI1432" s="1471" t="n"/>
      <c r="BJ1432" s="1471" t="n"/>
      <c r="BK1432" s="1471" t="n"/>
      <c r="BL1432" s="1471" t="n"/>
      <c r="BM1432" s="1471" t="n"/>
      <c r="BN1432" s="1471" t="n"/>
      <c r="BO1432" s="1471" t="n"/>
      <c r="BP1432" s="1471" t="n"/>
      <c r="BQ1432" s="1487" t="n"/>
      <c r="BR1432" s="1471" t="n"/>
      <c r="BS1432" s="1471" t="n"/>
      <c r="BT1432" s="1471" t="n"/>
      <c r="BU1432" s="1471" t="n"/>
      <c r="BV1432" s="1471" t="n"/>
      <c r="BW1432" s="1471" t="n"/>
      <c r="BX1432" s="1471" t="n"/>
      <c r="BY1432" s="1471" t="n"/>
      <c r="BZ1432" s="1471" t="n"/>
      <c r="CA1432" s="1471" t="n"/>
      <c r="CB1432" s="1472" t="n"/>
    </row>
    <row r="1433" ht="14.4" customFormat="1" customHeight="1" s="1549">
      <c r="A1433" s="2066" t="inlineStr">
        <is>
          <t>Current Fiscal Year</t>
        </is>
      </c>
      <c r="B1433" s="1472">
        <f>"FY"&amp;RIGHT(MO.MRFP,4)</f>
        <v/>
      </c>
      <c r="C1433" s="1471" t="n"/>
      <c r="D1433" s="1471" t="n"/>
      <c r="E1433" s="1471" t="n"/>
      <c r="F1433" s="1471" t="n"/>
      <c r="G1433" s="1471" t="n"/>
      <c r="H1433" s="1471" t="n"/>
      <c r="I1433" s="1471" t="n"/>
      <c r="J1433" s="1471" t="n"/>
      <c r="K1433" s="1471" t="n"/>
      <c r="L1433" s="1471" t="n"/>
      <c r="M1433" s="1471" t="n"/>
      <c r="N1433" s="1471" t="n"/>
      <c r="O1433" s="1471" t="n"/>
      <c r="P1433" s="1471" t="n"/>
      <c r="Q1433" s="1471" t="n"/>
      <c r="R1433" s="1471" t="n"/>
      <c r="S1433" s="1471" t="n"/>
      <c r="T1433" s="1471" t="n"/>
      <c r="U1433" s="1471" t="n"/>
      <c r="V1433" s="1471" t="n"/>
      <c r="W1433" s="1471" t="n"/>
      <c r="X1433" s="1471" t="n"/>
      <c r="Y1433" s="1471" t="n"/>
      <c r="Z1433" s="1471" t="n"/>
      <c r="AA1433" s="1471" t="n"/>
      <c r="AB1433" s="1471" t="n"/>
      <c r="AC1433" s="1471" t="n"/>
      <c r="AD1433" s="1471" t="n"/>
      <c r="AE1433" s="1471" t="n"/>
      <c r="AF1433" s="1471" t="n"/>
      <c r="AG1433" s="1471" t="n"/>
      <c r="AH1433" s="1471" t="n"/>
      <c r="AI1433" s="1471" t="n"/>
      <c r="AJ1433" s="1471" t="n"/>
      <c r="AK1433" s="1471" t="n"/>
      <c r="AL1433" s="1471" t="n"/>
      <c r="AM1433" s="1471" t="n"/>
      <c r="AN1433" s="1471" t="n"/>
      <c r="AO1433" s="1471" t="n"/>
      <c r="AP1433" s="1471" t="n"/>
      <c r="AQ1433" s="1471" t="n"/>
      <c r="AR1433" s="1471" t="n"/>
      <c r="AS1433" s="1471" t="n"/>
      <c r="AT1433" s="1471" t="n"/>
      <c r="AU1433" s="1471" t="n"/>
      <c r="AV1433" s="1471" t="n"/>
      <c r="AW1433" s="1471" t="n"/>
      <c r="AX1433" s="1471" t="n"/>
      <c r="AY1433" s="1471" t="n"/>
      <c r="AZ1433" s="1471" t="n"/>
      <c r="BA1433" s="1471" t="n"/>
      <c r="BB1433" s="1471" t="n"/>
      <c r="BC1433" s="1471" t="n"/>
      <c r="BD1433" s="1471" t="n"/>
      <c r="BE1433" s="1471" t="n"/>
      <c r="BF1433" s="1471" t="n"/>
      <c r="BG1433" s="1471" t="n"/>
      <c r="BH1433" s="1471" t="n"/>
      <c r="BI1433" s="1471" t="n"/>
      <c r="BJ1433" s="1471" t="n"/>
      <c r="BK1433" s="1471" t="n"/>
      <c r="BL1433" s="1471" t="n"/>
      <c r="BM1433" s="1471" t="n"/>
      <c r="BN1433" s="1471" t="n"/>
      <c r="BO1433" s="1471" t="n"/>
      <c r="BP1433" s="1471" t="n"/>
      <c r="BQ1433" s="1487" t="n"/>
      <c r="BR1433" s="1471" t="n"/>
      <c r="BS1433" s="1471" t="n"/>
      <c r="BT1433" s="1471" t="n"/>
      <c r="BU1433" s="1471" t="n"/>
      <c r="BV1433" s="1471" t="n"/>
      <c r="BW1433" s="1471" t="n"/>
      <c r="BX1433" s="1471" t="n"/>
      <c r="BY1433" s="1471" t="n"/>
      <c r="BZ1433" s="1471" t="n"/>
      <c r="CA1433" s="1471" t="n"/>
      <c r="CB1433" s="1472" t="n"/>
    </row>
    <row r="1434" ht="14.4" customFormat="1" customHeight="1" s="1549">
      <c r="A1434" s="2066" t="inlineStr">
        <is>
          <t>First Forecast Fiscal Year</t>
        </is>
      </c>
      <c r="B1434" s="1472">
        <f>"FY"&amp;RIGHT(MO.MRFP,4)+IF(LEFT(MO.MRFP,2)="FY",1,0)</f>
        <v/>
      </c>
      <c r="C1434" s="1471" t="n"/>
      <c r="D1434" s="1471" t="n"/>
      <c r="E1434" s="1471" t="n"/>
      <c r="F1434" s="1471" t="n"/>
      <c r="G1434" s="1471" t="n"/>
      <c r="H1434" s="1471" t="n"/>
      <c r="I1434" s="1471" t="n"/>
      <c r="J1434" s="1471" t="n"/>
      <c r="K1434" s="1471" t="n"/>
      <c r="L1434" s="1471" t="n"/>
      <c r="M1434" s="1471" t="n"/>
      <c r="N1434" s="1471" t="n"/>
      <c r="O1434" s="1471" t="n"/>
      <c r="P1434" s="1471" t="n"/>
      <c r="Q1434" s="1471" t="n"/>
      <c r="R1434" s="1471" t="n"/>
      <c r="S1434" s="1471" t="n"/>
      <c r="T1434" s="1471" t="n"/>
      <c r="U1434" s="1471" t="n"/>
      <c r="V1434" s="1471" t="n"/>
      <c r="W1434" s="1471" t="n"/>
      <c r="X1434" s="1471" t="n"/>
      <c r="Y1434" s="1471" t="n"/>
      <c r="Z1434" s="1471" t="n"/>
      <c r="AA1434" s="1471" t="n"/>
      <c r="AB1434" s="1471" t="n"/>
      <c r="AC1434" s="1471" t="n"/>
      <c r="AD1434" s="1471" t="n"/>
      <c r="AE1434" s="1471" t="n"/>
      <c r="AF1434" s="1471" t="n"/>
      <c r="AG1434" s="1471" t="n"/>
      <c r="AH1434" s="1471" t="n"/>
      <c r="AI1434" s="1471" t="n"/>
      <c r="AJ1434" s="1471" t="n"/>
      <c r="AK1434" s="1471" t="n"/>
      <c r="AL1434" s="1471" t="n"/>
      <c r="AM1434" s="1471" t="n"/>
      <c r="AN1434" s="1471" t="n"/>
      <c r="AO1434" s="1471" t="n"/>
      <c r="AP1434" s="1471" t="n"/>
      <c r="AQ1434" s="1471" t="n"/>
      <c r="AR1434" s="1471" t="n"/>
      <c r="AS1434" s="1471" t="n"/>
      <c r="AT1434" s="1471" t="n"/>
      <c r="AU1434" s="1471" t="n"/>
      <c r="AV1434" s="1471" t="n"/>
      <c r="AW1434" s="1471" t="n"/>
      <c r="AX1434" s="1471" t="n"/>
      <c r="AY1434" s="1471" t="n"/>
      <c r="AZ1434" s="1471" t="n"/>
      <c r="BA1434" s="1471" t="n"/>
      <c r="BB1434" s="1471" t="n"/>
      <c r="BC1434" s="1471" t="n"/>
      <c r="BD1434" s="1471" t="n"/>
      <c r="BE1434" s="1471" t="n"/>
      <c r="BF1434" s="1471" t="n"/>
      <c r="BG1434" s="1471" t="n"/>
      <c r="BH1434" s="1471" t="n"/>
      <c r="BI1434" s="1471" t="n"/>
      <c r="BJ1434" s="1471" t="n"/>
      <c r="BK1434" s="1471" t="n"/>
      <c r="BL1434" s="1471" t="n"/>
      <c r="BM1434" s="1471" t="n"/>
      <c r="BN1434" s="1471" t="n"/>
      <c r="BO1434" s="1471" t="n"/>
      <c r="BP1434" s="1471" t="n"/>
      <c r="BQ1434" s="1487" t="n"/>
      <c r="BR1434" s="1471" t="n"/>
      <c r="BS1434" s="1471" t="n"/>
      <c r="BT1434" s="1471" t="n"/>
      <c r="BU1434" s="1471" t="n"/>
      <c r="BV1434" s="1471" t="n"/>
      <c r="BW1434" s="1471" t="n"/>
      <c r="BX1434" s="1471" t="n"/>
      <c r="BY1434" s="1471" t="n"/>
      <c r="BZ1434" s="1471" t="n"/>
      <c r="CA1434" s="1471" t="n"/>
      <c r="CB1434" s="1472" t="n"/>
    </row>
    <row r="1435" ht="14.4" customFormat="1" customHeight="1" s="1549">
      <c r="A1435" s="2066" t="inlineStr">
        <is>
          <t>KPI Count</t>
        </is>
      </c>
      <c r="B1435" s="1472">
        <f>COUNTA(tb_KPIs)-1</f>
        <v/>
      </c>
      <c r="C1435" s="1471" t="n"/>
      <c r="D1435" s="1471" t="n"/>
      <c r="E1435" s="1471" t="n"/>
      <c r="F1435" s="1471" t="n"/>
      <c r="G1435" s="1471" t="n"/>
      <c r="H1435" s="1471" t="n"/>
      <c r="I1435" s="1471" t="n"/>
      <c r="J1435" s="1471" t="n"/>
      <c r="K1435" s="1471" t="n"/>
      <c r="L1435" s="1471" t="n"/>
      <c r="M1435" s="1471" t="n"/>
      <c r="N1435" s="1471" t="n"/>
      <c r="O1435" s="1471" t="n"/>
      <c r="P1435" s="1471" t="n"/>
      <c r="Q1435" s="1471" t="n"/>
      <c r="R1435" s="1471" t="n"/>
      <c r="S1435" s="1471" t="n"/>
      <c r="T1435" s="1471" t="n"/>
      <c r="U1435" s="1471" t="n"/>
      <c r="V1435" s="1471" t="n"/>
      <c r="W1435" s="1471" t="n"/>
      <c r="X1435" s="1471" t="n"/>
      <c r="Y1435" s="1471" t="n"/>
      <c r="Z1435" s="1471" t="n"/>
      <c r="AA1435" s="1471" t="n"/>
      <c r="AB1435" s="1471" t="n"/>
      <c r="AC1435" s="1471" t="n"/>
      <c r="AD1435" s="1471" t="n"/>
      <c r="AE1435" s="1471" t="n"/>
      <c r="AF1435" s="1471" t="n"/>
      <c r="AG1435" s="1471" t="n"/>
      <c r="AH1435" s="1471" t="n"/>
      <c r="AI1435" s="1471" t="n"/>
      <c r="AJ1435" s="1471" t="n"/>
      <c r="AK1435" s="1471" t="n"/>
      <c r="AL1435" s="1471" t="n"/>
      <c r="AM1435" s="1471" t="n"/>
      <c r="AN1435" s="1471" t="n"/>
      <c r="AO1435" s="1471" t="n"/>
      <c r="AP1435" s="1471" t="n"/>
      <c r="AQ1435" s="1471" t="n"/>
      <c r="AR1435" s="1471" t="n"/>
      <c r="AS1435" s="1471" t="n"/>
      <c r="AT1435" s="1471" t="n"/>
      <c r="AU1435" s="1471" t="n"/>
      <c r="AV1435" s="1471" t="n"/>
      <c r="AW1435" s="1471" t="n"/>
      <c r="AX1435" s="1471" t="n"/>
      <c r="AY1435" s="1471" t="n"/>
      <c r="AZ1435" s="1471" t="n"/>
      <c r="BA1435" s="1471" t="n"/>
      <c r="BB1435" s="1471" t="n"/>
      <c r="BC1435" s="1471" t="n"/>
      <c r="BD1435" s="1471" t="n"/>
      <c r="BE1435" s="1471" t="n"/>
      <c r="BF1435" s="1471" t="n"/>
      <c r="BG1435" s="1471" t="n"/>
      <c r="BH1435" s="1471" t="n"/>
      <c r="BI1435" s="1471" t="n"/>
      <c r="BJ1435" s="1471" t="n"/>
      <c r="BK1435" s="1471" t="n"/>
      <c r="BL1435" s="1471" t="n"/>
      <c r="BM1435" s="1471" t="n"/>
      <c r="BN1435" s="1471" t="n"/>
      <c r="BO1435" s="1471" t="n"/>
      <c r="BP1435" s="1471" t="n"/>
      <c r="BQ1435" s="1487" t="n"/>
      <c r="BR1435" s="1471" t="n"/>
      <c r="BS1435" s="1471" t="n"/>
      <c r="BT1435" s="1471" t="n"/>
      <c r="BU1435" s="1471" t="n"/>
      <c r="BV1435" s="1471" t="n"/>
      <c r="BW1435" s="1471" t="n"/>
      <c r="BX1435" s="1471" t="n"/>
      <c r="BY1435" s="1471" t="n"/>
      <c r="BZ1435" s="1471" t="n"/>
      <c r="CA1435" s="1471" t="n"/>
      <c r="CB1435" s="1472" t="n"/>
    </row>
    <row r="1436" ht="14.4" customFormat="1" customHeight="1" s="1549">
      <c r="A1436" s="2067" t="inlineStr">
        <is>
          <t>Data Source Index</t>
        </is>
      </c>
      <c r="B1436" s="2068">
        <f>IF(MO.DataSourceName="Bloomberg",1,IF(MO.DataSourceName="Capital IQ",2,IF(MO.DataSourceName="FactSet",3,IF(MO.DataSourceName="Refinitiv",4,1))))</f>
        <v/>
      </c>
      <c r="C1436" s="1471" t="n"/>
      <c r="D1436" s="1471" t="n"/>
      <c r="E1436" s="1471" t="n"/>
      <c r="F1436" s="1471" t="n"/>
      <c r="G1436" s="1471" t="n"/>
      <c r="H1436" s="1471" t="n"/>
      <c r="I1436" s="1471" t="n"/>
      <c r="J1436" s="1471" t="n"/>
      <c r="K1436" s="1471" t="n"/>
      <c r="L1436" s="1471" t="n"/>
      <c r="M1436" s="1471" t="n"/>
      <c r="N1436" s="1471" t="n"/>
      <c r="O1436" s="1471" t="n"/>
      <c r="P1436" s="1471" t="n"/>
      <c r="Q1436" s="1471" t="n"/>
      <c r="R1436" s="1471" t="n"/>
      <c r="S1436" s="1471" t="n"/>
      <c r="T1436" s="1471" t="n"/>
      <c r="U1436" s="1471" t="n"/>
      <c r="V1436" s="1471" t="n"/>
      <c r="W1436" s="1471" t="n"/>
      <c r="X1436" s="1471" t="n"/>
      <c r="Y1436" s="1471" t="n"/>
      <c r="Z1436" s="1471" t="n"/>
      <c r="AA1436" s="1471" t="n"/>
      <c r="AB1436" s="1471" t="n"/>
      <c r="AC1436" s="1471" t="n"/>
      <c r="AD1436" s="1471" t="n"/>
      <c r="AE1436" s="1471" t="n"/>
      <c r="AF1436" s="1471" t="n"/>
      <c r="AG1436" s="1471" t="n"/>
      <c r="AH1436" s="1471" t="n"/>
      <c r="AI1436" s="1471" t="n"/>
      <c r="AJ1436" s="1471" t="n"/>
      <c r="AK1436" s="1471" t="n"/>
      <c r="AL1436" s="1471" t="n"/>
      <c r="AM1436" s="1471" t="n"/>
      <c r="AN1436" s="1471" t="n"/>
      <c r="AO1436" s="1471" t="n"/>
      <c r="AP1436" s="1471" t="n"/>
      <c r="AQ1436" s="1471" t="n"/>
      <c r="AR1436" s="1471" t="n"/>
      <c r="AS1436" s="1471" t="n"/>
      <c r="AT1436" s="1471" t="n"/>
      <c r="AU1436" s="1471" t="n"/>
      <c r="AV1436" s="1471" t="n"/>
      <c r="AW1436" s="1471" t="n"/>
      <c r="AX1436" s="1471" t="n"/>
      <c r="AY1436" s="1471" t="n"/>
      <c r="AZ1436" s="1471" t="n"/>
      <c r="BA1436" s="1471" t="n"/>
      <c r="BB1436" s="1471" t="n"/>
      <c r="BC1436" s="1471" t="n"/>
      <c r="BD1436" s="1471" t="n"/>
      <c r="BE1436" s="1471" t="n"/>
      <c r="BF1436" s="1471" t="n"/>
      <c r="BG1436" s="1471" t="n"/>
      <c r="BH1436" s="1471" t="n"/>
      <c r="BI1436" s="1471" t="n"/>
      <c r="BJ1436" s="1471" t="n"/>
      <c r="BK1436" s="1471" t="n"/>
      <c r="BL1436" s="1471" t="n"/>
      <c r="BM1436" s="1471" t="n"/>
      <c r="BN1436" s="1471" t="n"/>
      <c r="BO1436" s="1471" t="n"/>
      <c r="BP1436" s="1471" t="n"/>
      <c r="BQ1436" s="1487" t="n"/>
      <c r="BR1436" s="1471" t="n"/>
      <c r="BS1436" s="1471" t="n"/>
      <c r="BT1436" s="1471" t="n"/>
      <c r="BU1436" s="1471" t="n"/>
      <c r="BV1436" s="1471" t="n"/>
      <c r="BW1436" s="1471" t="n"/>
      <c r="BX1436" s="1471" t="n"/>
      <c r="BY1436" s="1471" t="n"/>
      <c r="BZ1436" s="1471" t="n"/>
      <c r="CA1436" s="1471" t="n"/>
      <c r="CB1436" s="1472" t="n"/>
    </row>
    <row r="1437" ht="14.4" customHeight="1" s="972">
      <c r="A1437" s="317" t="n"/>
      <c r="B1437" s="317" t="n"/>
      <c r="C1437" s="275" t="n"/>
      <c r="D1437" s="275" t="n"/>
      <c r="E1437" s="275" t="n"/>
      <c r="F1437" s="275" t="n"/>
      <c r="G1437" s="275" t="n"/>
      <c r="H1437" s="275" t="n"/>
      <c r="I1437" s="275" t="n"/>
      <c r="J1437" s="275" t="n"/>
      <c r="K1437" s="275" t="n"/>
      <c r="L1437" s="275" t="n"/>
      <c r="M1437" s="275" t="n"/>
      <c r="N1437" s="275" t="n"/>
      <c r="O1437" s="275" t="n"/>
      <c r="P1437" s="275" t="n"/>
      <c r="Q1437" s="275" t="n"/>
      <c r="R1437" s="275" t="n"/>
      <c r="S1437" s="275" t="n"/>
      <c r="T1437" s="275" t="n"/>
      <c r="U1437" s="275" t="n"/>
      <c r="V1437" s="275" t="n"/>
      <c r="W1437" s="275" t="n"/>
      <c r="X1437" s="275" t="n"/>
      <c r="Y1437" s="275" t="n"/>
      <c r="Z1437" s="275" t="n"/>
      <c r="AA1437" s="275" t="n"/>
      <c r="AB1437" s="275" t="n"/>
      <c r="AC1437" s="275" t="n"/>
      <c r="AD1437" s="275" t="n"/>
      <c r="AE1437" s="275" t="n"/>
      <c r="AF1437" s="275" t="n"/>
      <c r="AG1437" s="275" t="n"/>
      <c r="AH1437" s="275" t="n"/>
      <c r="AI1437" s="275" t="n"/>
      <c r="AJ1437" s="275" t="n"/>
      <c r="AK1437" s="275" t="n"/>
      <c r="AL1437" s="275" t="n"/>
      <c r="AM1437" s="275" t="n"/>
      <c r="AN1437" s="275" t="n"/>
      <c r="AO1437" s="275" t="n"/>
      <c r="AP1437" s="275" t="n"/>
      <c r="AQ1437" s="275" t="n"/>
      <c r="AR1437" s="275" t="n"/>
      <c r="AS1437" s="275" t="n"/>
      <c r="AT1437" s="275" t="n"/>
      <c r="AU1437" s="275" t="n"/>
      <c r="AV1437" s="275" t="n"/>
      <c r="AW1437" s="275" t="n"/>
      <c r="AX1437" s="275" t="n"/>
      <c r="AY1437" s="275" t="n"/>
      <c r="AZ1437" s="275" t="n"/>
      <c r="BA1437" s="275" t="n"/>
      <c r="BB1437" s="275" t="n"/>
      <c r="BC1437" s="275" t="n"/>
      <c r="BD1437" s="275" t="n"/>
      <c r="BE1437" s="275" t="n"/>
      <c r="BF1437" s="275" t="n"/>
      <c r="BG1437" s="275" t="n"/>
      <c r="BH1437" s="275" t="n"/>
      <c r="BI1437" s="275" t="n"/>
      <c r="BJ1437" s="275" t="n"/>
      <c r="BK1437" s="275" t="n"/>
      <c r="BL1437" s="275" t="n"/>
      <c r="BM1437" s="275" t="n"/>
      <c r="BN1437" s="275" t="n"/>
      <c r="BO1437" s="275" t="n"/>
      <c r="BP1437" s="275" t="n"/>
      <c r="BQ1437" s="328" t="n"/>
      <c r="BR1437" s="275" t="n"/>
      <c r="BS1437" s="275" t="n"/>
      <c r="BT1437" s="275" t="n"/>
      <c r="BU1437" s="275" t="n"/>
      <c r="BV1437" s="275" t="n"/>
      <c r="BW1437" s="275" t="n"/>
      <c r="BX1437" s="275" t="n"/>
      <c r="BY1437" s="275" t="n"/>
      <c r="BZ1437" s="275" t="n"/>
      <c r="CA1437" s="275" t="n"/>
      <c r="CB1437" s="177" t="n"/>
    </row>
    <row r="1438" ht="14.4" customHeight="1" s="972">
      <c r="A1438" s="2069" t="inlineStr">
        <is>
          <t>Tegus</t>
        </is>
      </c>
      <c r="B1438" s="179" t="n"/>
      <c r="C1438" s="179" t="n"/>
      <c r="D1438" s="179" t="n"/>
      <c r="E1438" s="179" t="n"/>
      <c r="F1438" s="179" t="n"/>
      <c r="G1438" s="179" t="n"/>
      <c r="H1438" s="179" t="n"/>
      <c r="I1438" s="179" t="n"/>
      <c r="J1438" s="179" t="n"/>
      <c r="K1438" s="179" t="n"/>
      <c r="L1438" s="179" t="n"/>
      <c r="M1438" s="179" t="n"/>
      <c r="N1438" s="179" t="n"/>
      <c r="O1438" s="179" t="n"/>
      <c r="P1438" s="179" t="n"/>
      <c r="Q1438" s="179" t="n"/>
      <c r="R1438" s="179" t="n"/>
      <c r="S1438" s="179" t="n"/>
      <c r="T1438" s="179" t="n"/>
      <c r="U1438" s="179" t="n"/>
      <c r="V1438" s="179" t="n"/>
      <c r="W1438" s="179" t="n"/>
      <c r="X1438" s="179" t="n"/>
      <c r="Y1438" s="179" t="n"/>
      <c r="Z1438" s="179" t="n"/>
      <c r="AA1438" s="179" t="n"/>
      <c r="AB1438" s="179" t="n"/>
      <c r="AC1438" s="179" t="n"/>
      <c r="AD1438" s="179" t="n"/>
      <c r="AE1438" s="179" t="n"/>
      <c r="AF1438" s="179" t="n"/>
      <c r="AG1438" s="179" t="n"/>
      <c r="AH1438" s="179" t="n"/>
      <c r="AI1438" s="179" t="n"/>
      <c r="AJ1438" s="179" t="n"/>
      <c r="AK1438" s="179" t="n"/>
      <c r="AL1438" s="179" t="n"/>
      <c r="AM1438" s="179" t="n"/>
      <c r="AN1438" s="179" t="n"/>
      <c r="AO1438" s="179" t="n"/>
      <c r="AP1438" s="179" t="n"/>
      <c r="AQ1438" s="179" t="n"/>
      <c r="AR1438" s="179" t="n"/>
      <c r="AS1438" s="179" t="n"/>
      <c r="AT1438" s="179" t="n"/>
      <c r="AU1438" s="179" t="n"/>
      <c r="AV1438" s="179" t="n"/>
      <c r="AW1438" s="179" t="n"/>
      <c r="AX1438" s="179" t="n"/>
      <c r="AY1438" s="179" t="n"/>
      <c r="AZ1438" s="179" t="n"/>
      <c r="BA1438" s="179" t="n"/>
      <c r="BB1438" s="179" t="n"/>
      <c r="BC1438" s="179" t="n"/>
      <c r="BD1438" s="179" t="n"/>
      <c r="BE1438" s="179" t="n"/>
      <c r="BF1438" s="179" t="n"/>
      <c r="BG1438" s="179" t="n"/>
      <c r="BH1438" s="179" t="n"/>
      <c r="BI1438" s="179" t="n"/>
      <c r="BJ1438" s="179" t="n"/>
      <c r="BK1438" s="179" t="n"/>
      <c r="BL1438" s="179" t="n"/>
      <c r="BM1438" s="179" t="n"/>
      <c r="BN1438" s="179" t="n"/>
      <c r="BO1438" s="179" t="n"/>
      <c r="BP1438" s="179" t="n"/>
      <c r="BQ1438" s="179" t="n"/>
      <c r="BR1438" s="179" t="n"/>
      <c r="BS1438" s="179" t="n"/>
      <c r="BT1438" s="179" t="n"/>
      <c r="BU1438" s="179" t="n"/>
      <c r="BV1438" s="179" t="n"/>
      <c r="BW1438" s="179" t="n"/>
      <c r="BX1438" s="179" t="n"/>
      <c r="BY1438" s="179" t="n"/>
      <c r="BZ1438" s="179" t="n"/>
      <c r="CA1438" s="179" t="n"/>
      <c r="CB1438" s="177" t="n"/>
    </row>
    <row r="1439" ht="14.4" customHeight="1" s="972">
      <c r="A1439" s="177" t="n"/>
      <c r="B1439" s="177" t="n"/>
      <c r="C1439" s="177" t="n"/>
      <c r="D1439" s="177" t="n"/>
      <c r="E1439" s="177" t="n"/>
      <c r="F1439" s="177" t="n"/>
      <c r="G1439" s="177" t="n"/>
      <c r="H1439" s="177" t="n"/>
      <c r="I1439" s="177" t="n"/>
      <c r="J1439" s="177" t="n"/>
      <c r="K1439" s="177" t="n"/>
      <c r="L1439" s="177" t="n"/>
      <c r="M1439" s="177" t="n"/>
      <c r="N1439" s="177" t="n"/>
      <c r="O1439" s="177" t="n"/>
      <c r="P1439" s="177" t="n"/>
      <c r="Q1439" s="177" t="n"/>
      <c r="R1439" s="177" t="n"/>
      <c r="S1439" s="177" t="n"/>
      <c r="T1439" s="177" t="n"/>
      <c r="U1439" s="177" t="n"/>
      <c r="V1439" s="177" t="n"/>
      <c r="W1439" s="177" t="n"/>
      <c r="X1439" s="177" t="n"/>
      <c r="Y1439" s="177" t="n"/>
      <c r="Z1439" s="177" t="n"/>
      <c r="AA1439" s="177" t="n"/>
      <c r="AB1439" s="177" t="n"/>
      <c r="AC1439" s="177" t="n"/>
      <c r="AD1439" s="177" t="n"/>
      <c r="AE1439" s="177" t="n"/>
      <c r="AF1439" s="177" t="n"/>
      <c r="AG1439" s="177" t="n"/>
      <c r="AH1439" s="177" t="n"/>
      <c r="AI1439" s="177" t="n"/>
      <c r="AJ1439" s="177" t="n"/>
      <c r="AK1439" s="177" t="n"/>
      <c r="AL1439" s="177" t="n"/>
      <c r="AM1439" s="177" t="n"/>
      <c r="AN1439" s="177" t="n"/>
      <c r="AO1439" s="177" t="n"/>
      <c r="AP1439" s="177" t="n"/>
      <c r="AQ1439" s="177" t="n"/>
      <c r="AR1439" s="177" t="n"/>
      <c r="AS1439" s="177" t="n"/>
      <c r="AT1439" s="177" t="n"/>
      <c r="AU1439" s="177" t="n"/>
      <c r="AV1439" s="177" t="n"/>
      <c r="AW1439" s="177" t="n"/>
      <c r="AX1439" s="177" t="n"/>
      <c r="AY1439" s="177" t="n"/>
      <c r="AZ1439" s="177" t="n"/>
      <c r="BA1439" s="177" t="n"/>
      <c r="BB1439" s="177" t="n"/>
      <c r="BC1439" s="177" t="n"/>
      <c r="BD1439" s="177" t="n"/>
      <c r="BE1439" s="177" t="n"/>
      <c r="BF1439" s="177" t="n"/>
      <c r="BG1439" s="177" t="n"/>
      <c r="BH1439" s="177" t="n"/>
      <c r="BI1439" s="177" t="n"/>
      <c r="BJ1439" s="177" t="n"/>
      <c r="BK1439" s="177" t="n"/>
      <c r="BL1439" s="177" t="n"/>
      <c r="BM1439" s="177" t="n"/>
      <c r="BN1439" s="177" t="n"/>
      <c r="BO1439" s="177" t="n"/>
      <c r="BP1439" s="177" t="n"/>
      <c r="BQ1439" s="177" t="n"/>
      <c r="BR1439" s="177" t="n"/>
      <c r="BS1439" s="177" t="n"/>
      <c r="BT1439" s="177" t="n"/>
      <c r="BU1439" s="177" t="n"/>
      <c r="BV1439" s="177" t="n"/>
      <c r="BW1439" s="177" t="n"/>
      <c r="BX1439" s="177" t="n"/>
      <c r="BY1439" s="177" t="n"/>
      <c r="BZ1439" s="177" t="n"/>
      <c r="CA1439" s="177" t="n"/>
      <c r="CB1439" s="177" t="n"/>
    </row>
  </sheetData>
  <conditionalFormatting sqref="C362:CA362">
    <cfRule type="cellIs" priority="1229" operator="notEqual" dxfId="1">
      <formula>0</formula>
    </cfRule>
    <cfRule type="cellIs" priority="1230" operator="equal" dxfId="0">
      <formula>0</formula>
    </cfRule>
  </conditionalFormatting>
  <conditionalFormatting sqref="C1160:CA1160">
    <cfRule type="cellIs" priority="1227" operator="notEqual" dxfId="1">
      <formula>0</formula>
    </cfRule>
    <cfRule type="cellIs" priority="1228" operator="equal" dxfId="0">
      <formula>0</formula>
    </cfRule>
  </conditionalFormatting>
  <conditionalFormatting sqref="C1254:CA1254">
    <cfRule type="cellIs" priority="1225" operator="notEqual" dxfId="1">
      <formula>0</formula>
    </cfRule>
    <cfRule type="cellIs" priority="1226" operator="equal" dxfId="0">
      <formula>0</formula>
    </cfRule>
  </conditionalFormatting>
  <conditionalFormatting sqref="C1257:CA1261 C1262:H1262 C1263:CA1271 C1272:N1272 C1273:CA1281 J1262:CA1262 P1272:AV1272 AX1272:CA1272">
    <cfRule type="cellIs" priority="1223" operator="notEqual" dxfId="1">
      <formula>0</formula>
    </cfRule>
    <cfRule type="cellIs" priority="1224" operator="equal" dxfId="0">
      <formula>0</formula>
    </cfRule>
  </conditionalFormatting>
  <dataValidations count="2">
    <dataValidation sqref="B981" showDropDown="0" showInputMessage="1" showErrorMessage="1" allowBlank="1" type="list">
      <formula1>OFFSET(tb_ValuationToggle,1,0,4,1)</formula1>
    </dataValidation>
    <dataValidation sqref="A48 A61:A62 A74:A75 A87:A92" showDropDown="0" showInputMessage="1" showErrorMessage="1" allowBlank="0"/>
  </dataValidations>
  <hyperlinks>
    <hyperlink xmlns:r="http://schemas.openxmlformats.org/officeDocument/2006/relationships" ref="A1" display="Cadence Design Systems, Inc." r:id="rId1"/>
  </hyperlinks>
  <pageMargins left="0" right="0" top="0.393700787401575" bottom="0" header="0.196850393700787" footer="0"/>
  <pageSetup orientation="landscape" paperSize="1" fitToHeight="0"/>
  <headerFooter>
    <oddHeader>&amp;CCadence Design Systems, Inc.&amp;RPage &amp;P</oddHeader>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B223"/>
  <sheetViews>
    <sheetView topLeftCell="A1" zoomScale="85" zoomScaleNormal="85" workbookViewId="0">
      <pane xSplit="2" ySplit="5" topLeftCell="C6" activePane="bottomRight" state="frozen"/>
      <selection pane="topLeft" activeCell="A1" sqref="A1"/>
      <selection pane="bottomLeft" activeCell="A6" sqref="A6"/>
      <selection pane="topRight" activeCell="C1" sqref="C1"/>
      <selection pane="bottomRight" activeCell="A1" sqref="A1"/>
    </sheetView>
  </sheetViews>
  <sheetFormatPr baseColWidth="8" defaultColWidth="8.664285714285709" defaultRowHeight="14.7" customHeight="1" outlineLevelRow="1"/>
  <cols>
    <col width="46.7142857142857" customWidth="1" style="1006" min="1" max="1"/>
    <col width="9.71428571428571" customWidth="1" style="1006" min="2" max="2"/>
    <col hidden="1" outlineLevel="1" width="9.71428571428571" customWidth="1" style="1006" min="3" max="6"/>
    <col hidden="1" outlineLevel="1" width="9.71428571428571" customWidth="1" style="972" min="7" max="10"/>
    <col hidden="1" outlineLevel="1" collapsed="1" width="9.71428571428571" customWidth="1" style="1006" min="11" max="11"/>
    <col hidden="1" outlineLevel="1" width="9.71428571428571" customWidth="1" style="972" min="12" max="15"/>
    <col hidden="1" outlineLevel="1" collapsed="1" width="9.71428571428571" customWidth="1" style="1006" min="16" max="16"/>
    <col hidden="1" outlineLevel="1" width="9.71428571428571" customWidth="1" style="972" min="17" max="20"/>
    <col hidden="1" outlineLevel="1" collapsed="1" width="9.71428571428571" customWidth="1" style="1006" min="21" max="21"/>
    <col hidden="1" outlineLevel="1" width="9.71428571428571" customWidth="1" style="972" min="22" max="25"/>
    <col hidden="1" outlineLevel="1" collapsed="1" width="9.71428571428571" customWidth="1" style="1006" min="26" max="26"/>
    <col hidden="1" outlineLevel="1" width="9.71428571428571" customWidth="1" style="972" min="27" max="30"/>
    <col hidden="1" outlineLevel="1" collapsed="1" width="9.71428571428571" customWidth="1" style="1006" min="31" max="31"/>
    <col hidden="1" outlineLevel="1" width="9.71428571428571" customWidth="1" style="972" min="32" max="35"/>
    <col hidden="1" outlineLevel="1" collapsed="1" width="9.71428571428571" customWidth="1" style="1006" min="36" max="36"/>
    <col hidden="1" outlineLevel="1" width="9.71428571428571" customWidth="1" style="972" min="37" max="40"/>
    <col hidden="1" outlineLevel="1" collapsed="1" width="9.71428571428571" customWidth="1" style="1006" min="41" max="41"/>
    <col hidden="1" outlineLevel="1" width="9.71428571428571" customWidth="1" style="972" min="42" max="45"/>
    <col collapsed="1" width="9.71428571428571" customWidth="1" style="1006" min="46" max="46"/>
    <col hidden="1" outlineLevel="1" width="9.71428571428571" customWidth="1" style="972" min="47" max="50"/>
    <col collapsed="1" width="9.71428571428571" customWidth="1" style="1006" min="51" max="51"/>
    <col hidden="1" outlineLevel="1" width="9.71428571428571" customWidth="1" style="972" min="52" max="55"/>
    <col collapsed="1" width="9.71428571428571" customWidth="1" style="1006" min="56" max="56"/>
    <col hidden="1" outlineLevel="1" width="9.71428571428571" customWidth="1" style="972" min="57" max="60"/>
    <col collapsed="1" width="9.71428571428571" customWidth="1" style="1006" min="61" max="61"/>
    <col outlineLevel="1" width="9.71428571428571" customWidth="1" style="972" min="62" max="65"/>
    <col width="9.71428571428571" customWidth="1" style="1006" min="66" max="66"/>
    <col outlineLevel="1" width="9.71428571428571" customWidth="1" style="972" min="67" max="70"/>
    <col width="9.71428571428571" customWidth="1" style="1006" min="71" max="71"/>
    <col outlineLevel="1" width="9.71428571428571" customWidth="1" style="1006" min="72" max="75"/>
    <col width="9.71428571428571" customWidth="1" style="1006" min="76" max="80"/>
    <col width="8.71428571428571" customWidth="1" style="1006" min="81" max="16384"/>
  </cols>
  <sheetData>
    <row r="1" ht="28.5" customFormat="1" customHeight="1" s="2070">
      <c r="A1" s="596">
        <f>MO.CompanyName</f>
        <v/>
      </c>
      <c r="B1" s="2071" t="n"/>
      <c r="C1" s="2072" t="n"/>
      <c r="D1" s="2072" t="n"/>
      <c r="E1" s="2072" t="n"/>
      <c r="F1" s="2072" t="n"/>
      <c r="G1" s="2072" t="n"/>
      <c r="H1" s="2072" t="n"/>
      <c r="I1" s="2072" t="n"/>
      <c r="J1" s="2072" t="n"/>
      <c r="K1" s="2072" t="n"/>
      <c r="L1" s="2072" t="n"/>
      <c r="M1" s="2072" t="n"/>
      <c r="N1" s="2072" t="n"/>
      <c r="O1" s="2072" t="n"/>
      <c r="P1" s="2072" t="n"/>
      <c r="Q1" s="2072" t="n"/>
      <c r="R1" s="2072" t="n"/>
      <c r="S1" s="2072" t="n"/>
      <c r="T1" s="2072" t="n"/>
      <c r="U1" s="2072" t="n"/>
      <c r="V1" s="2072" t="n"/>
      <c r="W1" s="2072" t="n"/>
      <c r="X1" s="2072" t="n"/>
      <c r="Y1" s="2072" t="n"/>
      <c r="Z1" s="2072" t="n"/>
      <c r="AA1" s="2072" t="n"/>
      <c r="AB1" s="2072" t="n"/>
      <c r="AC1" s="2072" t="n"/>
      <c r="AD1" s="2072" t="n"/>
      <c r="AE1" s="2072" t="n"/>
      <c r="AF1" s="2072" t="n"/>
      <c r="AG1" s="2072" t="n"/>
      <c r="AH1" s="2072" t="n"/>
      <c r="AI1" s="2072" t="n"/>
      <c r="AJ1" s="2072" t="n"/>
      <c r="AK1" s="2072" t="n"/>
      <c r="AL1" s="2072" t="n"/>
      <c r="AM1" s="2072" t="n"/>
      <c r="AN1" s="2072" t="n"/>
      <c r="AO1" s="2072" t="n"/>
      <c r="AP1" s="2072" t="n"/>
      <c r="AQ1" s="2072" t="n"/>
      <c r="AR1" s="2072" t="n"/>
      <c r="AS1" s="2072" t="n"/>
      <c r="AT1" s="2072" t="n"/>
      <c r="AU1" s="2072" t="n"/>
      <c r="AV1" s="2072" t="n"/>
      <c r="AW1" s="2072" t="n"/>
      <c r="AX1" s="2072" t="n"/>
      <c r="AY1" s="2072" t="n"/>
      <c r="AZ1" s="2072" t="n"/>
      <c r="BA1" s="2072" t="n"/>
      <c r="BB1" s="2072" t="n"/>
      <c r="BC1" s="2072" t="n"/>
      <c r="BD1" s="2072" t="n"/>
      <c r="BE1" s="2072" t="n"/>
      <c r="BF1" s="2072" t="n"/>
      <c r="BG1" s="2072" t="n"/>
      <c r="BH1" s="2072" t="n"/>
      <c r="BI1" s="2072" t="n"/>
      <c r="BJ1" s="2072" t="n"/>
      <c r="BK1" s="2072" t="n"/>
      <c r="BL1" s="2072" t="n"/>
      <c r="BM1" s="2072" t="n"/>
      <c r="BN1" s="2072" t="n"/>
      <c r="BO1" s="2072" t="n"/>
      <c r="BP1" s="2072" t="n"/>
      <c r="BQ1" s="2073" t="n"/>
      <c r="BR1" s="2072" t="n"/>
      <c r="BS1" s="2072" t="n"/>
      <c r="BT1" s="2072" t="n"/>
      <c r="BU1" s="2072" t="n"/>
      <c r="BV1" s="2072" t="n"/>
      <c r="BW1" s="2072" t="n"/>
      <c r="BX1" s="2072" t="n"/>
      <c r="BY1" s="2072" t="n"/>
      <c r="BZ1" s="2072" t="n"/>
      <c r="CA1" s="2072" t="n"/>
      <c r="CB1" s="2074" t="n"/>
    </row>
    <row r="2" ht="15" customFormat="1" customHeight="1" s="2070">
      <c r="A2" s="2075">
        <f>MO.Ticker</f>
        <v/>
      </c>
      <c r="B2" s="2076" t="n"/>
      <c r="C2" s="2077">
        <f>Model!C2</f>
        <v/>
      </c>
      <c r="D2" s="2077">
        <f>Model!D2</f>
        <v/>
      </c>
      <c r="E2" s="2077">
        <f>Model!E2</f>
        <v/>
      </c>
      <c r="F2" s="2077">
        <f>Model!F2</f>
        <v/>
      </c>
      <c r="G2" s="2077">
        <f>Model!G2</f>
        <v/>
      </c>
      <c r="H2" s="2077">
        <f>Model!H2</f>
        <v/>
      </c>
      <c r="I2" s="2077">
        <f>Model!I2</f>
        <v/>
      </c>
      <c r="J2" s="2077">
        <f>Model!J2</f>
        <v/>
      </c>
      <c r="K2" s="2077">
        <f>Model!K2</f>
        <v/>
      </c>
      <c r="L2" s="2077">
        <f>Model!L2</f>
        <v/>
      </c>
      <c r="M2" s="2077">
        <f>Model!M2</f>
        <v/>
      </c>
      <c r="N2" s="2077">
        <f>Model!N2</f>
        <v/>
      </c>
      <c r="O2" s="2077">
        <f>Model!O2</f>
        <v/>
      </c>
      <c r="P2" s="2077">
        <f>Model!P2</f>
        <v/>
      </c>
      <c r="Q2" s="2077">
        <f>Model!Q2</f>
        <v/>
      </c>
      <c r="R2" s="2077">
        <f>Model!R2</f>
        <v/>
      </c>
      <c r="S2" s="2077">
        <f>Model!S2</f>
        <v/>
      </c>
      <c r="T2" s="2077">
        <f>Model!T2</f>
        <v/>
      </c>
      <c r="U2" s="2077">
        <f>Model!U2</f>
        <v/>
      </c>
      <c r="V2" s="2077">
        <f>Model!V2</f>
        <v/>
      </c>
      <c r="W2" s="2077">
        <f>Model!W2</f>
        <v/>
      </c>
      <c r="X2" s="2077">
        <f>Model!X2</f>
        <v/>
      </c>
      <c r="Y2" s="2077">
        <f>Model!Y2</f>
        <v/>
      </c>
      <c r="Z2" s="2077">
        <f>Model!Z2</f>
        <v/>
      </c>
      <c r="AA2" s="2077">
        <f>Model!AA2</f>
        <v/>
      </c>
      <c r="AB2" s="2077">
        <f>Model!AB2</f>
        <v/>
      </c>
      <c r="AC2" s="2077">
        <f>Model!AC2</f>
        <v/>
      </c>
      <c r="AD2" s="2077">
        <f>Model!AD2</f>
        <v/>
      </c>
      <c r="AE2" s="2077">
        <f>Model!AE2</f>
        <v/>
      </c>
      <c r="AF2" s="2077">
        <f>Model!AF2</f>
        <v/>
      </c>
      <c r="AG2" s="2077">
        <f>Model!AG2</f>
        <v/>
      </c>
      <c r="AH2" s="2077">
        <f>Model!AH2</f>
        <v/>
      </c>
      <c r="AI2" s="2077">
        <f>Model!AI2</f>
        <v/>
      </c>
      <c r="AJ2" s="2077">
        <f>Model!AJ2</f>
        <v/>
      </c>
      <c r="AK2" s="2077">
        <f>Model!AK2</f>
        <v/>
      </c>
      <c r="AL2" s="2077">
        <f>Model!AL2</f>
        <v/>
      </c>
      <c r="AM2" s="2077">
        <f>Model!AM2</f>
        <v/>
      </c>
      <c r="AN2" s="2077">
        <f>Model!AN2</f>
        <v/>
      </c>
      <c r="AO2" s="2077">
        <f>Model!AO2</f>
        <v/>
      </c>
      <c r="AP2" s="2077">
        <f>Model!AP2</f>
        <v/>
      </c>
      <c r="AQ2" s="2077">
        <f>Model!AQ2</f>
        <v/>
      </c>
      <c r="AR2" s="2077">
        <f>Model!AR2</f>
        <v/>
      </c>
      <c r="AS2" s="2077">
        <f>Model!AS2</f>
        <v/>
      </c>
      <c r="AT2" s="2077">
        <f>Model!AT2</f>
        <v/>
      </c>
      <c r="AU2" s="2077">
        <f>Model!AU2</f>
        <v/>
      </c>
      <c r="AV2" s="2077">
        <f>Model!AV2</f>
        <v/>
      </c>
      <c r="AW2" s="2077">
        <f>Model!AW2</f>
        <v/>
      </c>
      <c r="AX2" s="2077">
        <f>Model!AX2</f>
        <v/>
      </c>
      <c r="AY2" s="2077">
        <f>Model!AY2</f>
        <v/>
      </c>
      <c r="AZ2" s="2077">
        <f>Model!AZ2</f>
        <v/>
      </c>
      <c r="BA2" s="2077">
        <f>Model!BA2</f>
        <v/>
      </c>
      <c r="BB2" s="2077">
        <f>Model!BB2</f>
        <v/>
      </c>
      <c r="BC2" s="2077">
        <f>Model!BC2</f>
        <v/>
      </c>
      <c r="BD2" s="2077">
        <f>Model!BD2</f>
        <v/>
      </c>
      <c r="BE2" s="2077">
        <f>Model!BE2</f>
        <v/>
      </c>
      <c r="BF2" s="2077">
        <f>Model!BF2</f>
        <v/>
      </c>
      <c r="BG2" s="2077">
        <f>Model!BG2</f>
        <v/>
      </c>
      <c r="BH2" s="2077">
        <f>Model!BH2</f>
        <v/>
      </c>
      <c r="BI2" s="2077">
        <f>Model!BI2</f>
        <v/>
      </c>
      <c r="BJ2" s="2077">
        <f>Model!BJ2</f>
        <v/>
      </c>
      <c r="BK2" s="2077">
        <f>Model!BK2</f>
        <v/>
      </c>
      <c r="BL2" s="2077">
        <f>Model!BL2</f>
        <v/>
      </c>
      <c r="BM2" s="2077">
        <f>Model!BM2</f>
        <v/>
      </c>
      <c r="BN2" s="2077">
        <f>Model!BN2</f>
        <v/>
      </c>
      <c r="BO2" s="2077">
        <f>Model!BO2</f>
        <v/>
      </c>
      <c r="BP2" s="2077">
        <f>Model!BP2</f>
        <v/>
      </c>
      <c r="BQ2" s="2078">
        <f>Model!BQ2</f>
        <v/>
      </c>
      <c r="BR2" s="2079">
        <f>Model!BR2</f>
        <v/>
      </c>
      <c r="BS2" s="2077">
        <f>Model!BS2</f>
        <v/>
      </c>
      <c r="BT2" s="2079">
        <f>Model!BT2</f>
        <v/>
      </c>
      <c r="BU2" s="2079">
        <f>Model!BU2</f>
        <v/>
      </c>
      <c r="BV2" s="2079">
        <f>Model!BV2</f>
        <v/>
      </c>
      <c r="BW2" s="2079">
        <f>Model!BW2</f>
        <v/>
      </c>
      <c r="BX2" s="2079">
        <f>Model!BX2</f>
        <v/>
      </c>
      <c r="BY2" s="2079">
        <f>Model!BY2</f>
        <v/>
      </c>
      <c r="BZ2" s="2079">
        <f>Model!BZ2</f>
        <v/>
      </c>
      <c r="CA2" s="2079">
        <f>Model!CA2</f>
        <v/>
      </c>
      <c r="CB2" s="2074" t="n"/>
    </row>
    <row r="3" ht="15" customFormat="1" customHeight="1" s="2070">
      <c r="A3" s="601">
        <f>MO.TradingCurrency</f>
        <v/>
      </c>
      <c r="B3" s="2080">
        <f>MO.LastPrice</f>
        <v/>
      </c>
      <c r="C3" s="1281">
        <f>INDEX(MO_Common_FPDays,0,MATCH(C$5,MO_Common_ColumnHeader,0))</f>
        <v/>
      </c>
      <c r="D3" s="1281">
        <f>INDEX(MO_Common_FPDays,0,MATCH(D$5,MO_Common_ColumnHeader,0))</f>
        <v/>
      </c>
      <c r="E3" s="1281">
        <f>INDEX(MO_Common_FPDays,0,MATCH(E$5,MO_Common_ColumnHeader,0))</f>
        <v/>
      </c>
      <c r="F3" s="1281">
        <f>INDEX(MO_Common_FPDays,0,MATCH(F$5,MO_Common_ColumnHeader,0))</f>
        <v/>
      </c>
      <c r="G3" s="605">
        <f>INDEX(MO_Common_FPDays,0,MATCH(G$5,MO_Common_ColumnHeader,0))</f>
        <v/>
      </c>
      <c r="H3" s="605">
        <f>INDEX(MO_Common_FPDays,0,MATCH(H$5,MO_Common_ColumnHeader,0))</f>
        <v/>
      </c>
      <c r="I3" s="605">
        <f>INDEX(MO_Common_FPDays,0,MATCH(I$5,MO_Common_ColumnHeader,0))</f>
        <v/>
      </c>
      <c r="J3" s="605">
        <f>INDEX(MO_Common_FPDays,0,MATCH(J$5,MO_Common_ColumnHeader,0))</f>
        <v/>
      </c>
      <c r="K3" s="1281">
        <f>INDEX(MO_Common_FPDays,0,MATCH(K$5,MO_Common_ColumnHeader,0))</f>
        <v/>
      </c>
      <c r="L3" s="605">
        <f>INDEX(MO_Common_FPDays,0,MATCH(L$5,MO_Common_ColumnHeader,0))</f>
        <v/>
      </c>
      <c r="M3" s="605">
        <f>INDEX(MO_Common_FPDays,0,MATCH(M$5,MO_Common_ColumnHeader,0))</f>
        <v/>
      </c>
      <c r="N3" s="605">
        <f>INDEX(MO_Common_FPDays,0,MATCH(N$5,MO_Common_ColumnHeader,0))</f>
        <v/>
      </c>
      <c r="O3" s="605">
        <f>INDEX(MO_Common_FPDays,0,MATCH(O$5,MO_Common_ColumnHeader,0))</f>
        <v/>
      </c>
      <c r="P3" s="1281">
        <f>INDEX(MO_Common_FPDays,0,MATCH(P$5,MO_Common_ColumnHeader,0))</f>
        <v/>
      </c>
      <c r="Q3" s="605">
        <f>INDEX(MO_Common_FPDays,0,MATCH(Q$5,MO_Common_ColumnHeader,0))</f>
        <v/>
      </c>
      <c r="R3" s="605">
        <f>INDEX(MO_Common_FPDays,0,MATCH(R$5,MO_Common_ColumnHeader,0))</f>
        <v/>
      </c>
      <c r="S3" s="605">
        <f>INDEX(MO_Common_FPDays,0,MATCH(S$5,MO_Common_ColumnHeader,0))</f>
        <v/>
      </c>
      <c r="T3" s="605">
        <f>INDEX(MO_Common_FPDays,0,MATCH(T$5,MO_Common_ColumnHeader,0))</f>
        <v/>
      </c>
      <c r="U3" s="1281">
        <f>INDEX(MO_Common_FPDays,0,MATCH(U$5,MO_Common_ColumnHeader,0))</f>
        <v/>
      </c>
      <c r="V3" s="605">
        <f>INDEX(MO_Common_FPDays,0,MATCH(V$5,MO_Common_ColumnHeader,0))</f>
        <v/>
      </c>
      <c r="W3" s="605">
        <f>INDEX(MO_Common_FPDays,0,MATCH(W$5,MO_Common_ColumnHeader,0))</f>
        <v/>
      </c>
      <c r="X3" s="605">
        <f>INDEX(MO_Common_FPDays,0,MATCH(X$5,MO_Common_ColumnHeader,0))</f>
        <v/>
      </c>
      <c r="Y3" s="605">
        <f>INDEX(MO_Common_FPDays,0,MATCH(Y$5,MO_Common_ColumnHeader,0))</f>
        <v/>
      </c>
      <c r="Z3" s="1281">
        <f>INDEX(MO_Common_FPDays,0,MATCH(Z$5,MO_Common_ColumnHeader,0))</f>
        <v/>
      </c>
      <c r="AA3" s="605">
        <f>INDEX(MO_Common_FPDays,0,MATCH(AA$5,MO_Common_ColumnHeader,0))</f>
        <v/>
      </c>
      <c r="AB3" s="605">
        <f>INDEX(MO_Common_FPDays,0,MATCH(AB$5,MO_Common_ColumnHeader,0))</f>
        <v/>
      </c>
      <c r="AC3" s="605">
        <f>INDEX(MO_Common_FPDays,0,MATCH(AC$5,MO_Common_ColumnHeader,0))</f>
        <v/>
      </c>
      <c r="AD3" s="605">
        <f>INDEX(MO_Common_FPDays,0,MATCH(AD$5,MO_Common_ColumnHeader,0))</f>
        <v/>
      </c>
      <c r="AE3" s="1281">
        <f>INDEX(MO_Common_FPDays,0,MATCH(AE$5,MO_Common_ColumnHeader,0))</f>
        <v/>
      </c>
      <c r="AF3" s="605">
        <f>INDEX(MO_Common_FPDays,0,MATCH(AF$5,MO_Common_ColumnHeader,0))</f>
        <v/>
      </c>
      <c r="AG3" s="605">
        <f>INDEX(MO_Common_FPDays,0,MATCH(AG$5,MO_Common_ColumnHeader,0))</f>
        <v/>
      </c>
      <c r="AH3" s="605">
        <f>INDEX(MO_Common_FPDays,0,MATCH(AH$5,MO_Common_ColumnHeader,0))</f>
        <v/>
      </c>
      <c r="AI3" s="605">
        <f>INDEX(MO_Common_FPDays,0,MATCH(AI$5,MO_Common_ColumnHeader,0))</f>
        <v/>
      </c>
      <c r="AJ3" s="1281">
        <f>INDEX(MO_Common_FPDays,0,MATCH(AJ$5,MO_Common_ColumnHeader,0))</f>
        <v/>
      </c>
      <c r="AK3" s="605">
        <f>INDEX(MO_Common_FPDays,0,MATCH(AK$5,MO_Common_ColumnHeader,0))</f>
        <v/>
      </c>
      <c r="AL3" s="605">
        <f>INDEX(MO_Common_FPDays,0,MATCH(AL$5,MO_Common_ColumnHeader,0))</f>
        <v/>
      </c>
      <c r="AM3" s="605">
        <f>INDEX(MO_Common_FPDays,0,MATCH(AM$5,MO_Common_ColumnHeader,0))</f>
        <v/>
      </c>
      <c r="AN3" s="605">
        <f>INDEX(MO_Common_FPDays,0,MATCH(AN$5,MO_Common_ColumnHeader,0))</f>
        <v/>
      </c>
      <c r="AO3" s="1281">
        <f>INDEX(MO_Common_FPDays,0,MATCH(AO$5,MO_Common_ColumnHeader,0))</f>
        <v/>
      </c>
      <c r="AP3" s="605">
        <f>INDEX(MO_Common_FPDays,0,MATCH(AP$5,MO_Common_ColumnHeader,0))</f>
        <v/>
      </c>
      <c r="AQ3" s="605">
        <f>INDEX(MO_Common_FPDays,0,MATCH(AQ$5,MO_Common_ColumnHeader,0))</f>
        <v/>
      </c>
      <c r="AR3" s="605">
        <f>INDEX(MO_Common_FPDays,0,MATCH(AR$5,MO_Common_ColumnHeader,0))</f>
        <v/>
      </c>
      <c r="AS3" s="605">
        <f>INDEX(MO_Common_FPDays,0,MATCH(AS$5,MO_Common_ColumnHeader,0))</f>
        <v/>
      </c>
      <c r="AT3" s="1281">
        <f>INDEX(MO_Common_FPDays,0,MATCH(AT$5,MO_Common_ColumnHeader,0))</f>
        <v/>
      </c>
      <c r="AU3" s="605">
        <f>INDEX(MO_Common_FPDays,0,MATCH(AU$5,MO_Common_ColumnHeader,0))</f>
        <v/>
      </c>
      <c r="AV3" s="605">
        <f>INDEX(MO_Common_FPDays,0,MATCH(AV$5,MO_Common_ColumnHeader,0))</f>
        <v/>
      </c>
      <c r="AW3" s="605">
        <f>INDEX(MO_Common_FPDays,0,MATCH(AW$5,MO_Common_ColumnHeader,0))</f>
        <v/>
      </c>
      <c r="AX3" s="605">
        <f>INDEX(MO_Common_FPDays,0,MATCH(AX$5,MO_Common_ColumnHeader,0))</f>
        <v/>
      </c>
      <c r="AY3" s="1281">
        <f>INDEX(MO_Common_FPDays,0,MATCH(AY$5,MO_Common_ColumnHeader,0))</f>
        <v/>
      </c>
      <c r="AZ3" s="605">
        <f>INDEX(MO_Common_FPDays,0,MATCH(AZ$5,MO_Common_ColumnHeader,0))</f>
        <v/>
      </c>
      <c r="BA3" s="605">
        <f>INDEX(MO_Common_FPDays,0,MATCH(BA$5,MO_Common_ColumnHeader,0))</f>
        <v/>
      </c>
      <c r="BB3" s="605">
        <f>INDEX(MO_Common_FPDays,0,MATCH(BB$5,MO_Common_ColumnHeader,0))</f>
        <v/>
      </c>
      <c r="BC3" s="605">
        <f>INDEX(MO_Common_FPDays,0,MATCH(BC$5,MO_Common_ColumnHeader,0))</f>
        <v/>
      </c>
      <c r="BD3" s="1281">
        <f>INDEX(MO_Common_FPDays,0,MATCH(BD$5,MO_Common_ColumnHeader,0))</f>
        <v/>
      </c>
      <c r="BE3" s="605">
        <f>INDEX(MO_Common_FPDays,0,MATCH(BE$5,MO_Common_ColumnHeader,0))</f>
        <v/>
      </c>
      <c r="BF3" s="605">
        <f>INDEX(MO_Common_FPDays,0,MATCH(BF$5,MO_Common_ColumnHeader,0))</f>
        <v/>
      </c>
      <c r="BG3" s="605">
        <f>INDEX(MO_Common_FPDays,0,MATCH(BG$5,MO_Common_ColumnHeader,0))</f>
        <v/>
      </c>
      <c r="BH3" s="605">
        <f>INDEX(MO_Common_FPDays,0,MATCH(BH$5,MO_Common_ColumnHeader,0))</f>
        <v/>
      </c>
      <c r="BI3" s="1281">
        <f>INDEX(MO_Common_FPDays,0,MATCH(BI$5,MO_Common_ColumnHeader,0))</f>
        <v/>
      </c>
      <c r="BJ3" s="605">
        <f>INDEX(MO_Common_FPDays,0,MATCH(BJ$5,MO_Common_ColumnHeader,0))</f>
        <v/>
      </c>
      <c r="BK3" s="605">
        <f>INDEX(MO_Common_FPDays,0,MATCH(BK$5,MO_Common_ColumnHeader,0))</f>
        <v/>
      </c>
      <c r="BL3" s="605">
        <f>INDEX(MO_Common_FPDays,0,MATCH(BL$5,MO_Common_ColumnHeader,0))</f>
        <v/>
      </c>
      <c r="BM3" s="605">
        <f>INDEX(MO_Common_FPDays,0,MATCH(BM$5,MO_Common_ColumnHeader,0))</f>
        <v/>
      </c>
      <c r="BN3" s="1281">
        <f>INDEX(MO_Common_FPDays,0,MATCH(BN$5,MO_Common_ColumnHeader,0))</f>
        <v/>
      </c>
      <c r="BO3" s="605">
        <f>INDEX(MO_Common_FPDays,0,MATCH(BO$5,MO_Common_ColumnHeader,0))</f>
        <v/>
      </c>
      <c r="BP3" s="605">
        <f>INDEX(MO_Common_FPDays,0,MATCH(BP$5,MO_Common_ColumnHeader,0))</f>
        <v/>
      </c>
      <c r="BQ3" s="717">
        <f>INDEX(MO_Common_FPDays,0,MATCH(BQ$5,MO_Common_ColumnHeader,0))</f>
        <v/>
      </c>
      <c r="BR3" s="655">
        <f>INDEX(MO_Common_FPDays,0,MATCH(BR$5,MO_Common_ColumnHeader,0))</f>
        <v/>
      </c>
      <c r="BS3" s="1281">
        <f>INDEX(MO_Common_FPDays,0,MATCH(BS$5,MO_Common_ColumnHeader,0))</f>
        <v/>
      </c>
      <c r="BT3" s="655">
        <f>INDEX(MO_Common_FPDays,0,MATCH(BT$5,MO_Common_ColumnHeader,0))</f>
        <v/>
      </c>
      <c r="BU3" s="655">
        <f>INDEX(MO_Common_FPDays,0,MATCH(BU$5,MO_Common_ColumnHeader,0))</f>
        <v/>
      </c>
      <c r="BV3" s="655">
        <f>INDEX(MO_Common_FPDays,0,MATCH(BV$5,MO_Common_ColumnHeader,0))</f>
        <v/>
      </c>
      <c r="BW3" s="655">
        <f>INDEX(MO_Common_FPDays,0,MATCH(BW$5,MO_Common_ColumnHeader,0))</f>
        <v/>
      </c>
      <c r="BX3" s="1282">
        <f>INDEX(MO_Common_FPDays,0,MATCH(BX$5,MO_Common_ColumnHeader,0))</f>
        <v/>
      </c>
      <c r="BY3" s="1282">
        <f>INDEX(MO_Common_FPDays,0,MATCH(BY$5,MO_Common_ColumnHeader,0))</f>
        <v/>
      </c>
      <c r="BZ3" s="1282">
        <f>INDEX(MO_Common_FPDays,0,MATCH(BZ$5,MO_Common_ColumnHeader,0))</f>
        <v/>
      </c>
      <c r="CA3" s="1282">
        <f>INDEX(MO_Common_FPDays,0,MATCH(CA$5,MO_Common_ColumnHeader,0))</f>
        <v/>
      </c>
      <c r="CB3" s="2074" t="n"/>
    </row>
    <row r="4" ht="15" customFormat="1" customHeight="1" s="2070">
      <c r="A4" s="604">
        <f>MO.DataSourceName</f>
        <v/>
      </c>
      <c r="B4" s="605">
        <f>MO.RealTime</f>
        <v/>
      </c>
      <c r="C4" s="1283">
        <f>INDEX(MO_Common_QEndDate,0,MATCH(C$5,MO_Common_ColumnHeader,0))</f>
        <v/>
      </c>
      <c r="D4" s="1283">
        <f>INDEX(MO_Common_QEndDate,0,MATCH(D$5,MO_Common_ColumnHeader,0))</f>
        <v/>
      </c>
      <c r="E4" s="1283">
        <f>INDEX(MO_Common_QEndDate,0,MATCH(E$5,MO_Common_ColumnHeader,0))</f>
        <v/>
      </c>
      <c r="F4" s="1283">
        <f>INDEX(MO_Common_QEndDate,0,MATCH(F$5,MO_Common_ColumnHeader,0))</f>
        <v/>
      </c>
      <c r="G4" s="960">
        <f>INDEX(MO_Common_QEndDate,0,MATCH(G$5,MO_Common_ColumnHeader,0))</f>
        <v/>
      </c>
      <c r="H4" s="960">
        <f>INDEX(MO_Common_QEndDate,0,MATCH(H$5,MO_Common_ColumnHeader,0))</f>
        <v/>
      </c>
      <c r="I4" s="960">
        <f>INDEX(MO_Common_QEndDate,0,MATCH(I$5,MO_Common_ColumnHeader,0))</f>
        <v/>
      </c>
      <c r="J4" s="960">
        <f>INDEX(MO_Common_QEndDate,0,MATCH(J$5,MO_Common_ColumnHeader,0))</f>
        <v/>
      </c>
      <c r="K4" s="1283">
        <f>INDEX(MO_Common_QEndDate,0,MATCH(K$5,MO_Common_ColumnHeader,0))</f>
        <v/>
      </c>
      <c r="L4" s="960">
        <f>INDEX(MO_Common_QEndDate,0,MATCH(L$5,MO_Common_ColumnHeader,0))</f>
        <v/>
      </c>
      <c r="M4" s="960">
        <f>INDEX(MO_Common_QEndDate,0,MATCH(M$5,MO_Common_ColumnHeader,0))</f>
        <v/>
      </c>
      <c r="N4" s="960">
        <f>INDEX(MO_Common_QEndDate,0,MATCH(N$5,MO_Common_ColumnHeader,0))</f>
        <v/>
      </c>
      <c r="O4" s="960">
        <f>INDEX(MO_Common_QEndDate,0,MATCH(O$5,MO_Common_ColumnHeader,0))</f>
        <v/>
      </c>
      <c r="P4" s="1283">
        <f>INDEX(MO_Common_QEndDate,0,MATCH(P$5,MO_Common_ColumnHeader,0))</f>
        <v/>
      </c>
      <c r="Q4" s="960">
        <f>INDEX(MO_Common_QEndDate,0,MATCH(Q$5,MO_Common_ColumnHeader,0))</f>
        <v/>
      </c>
      <c r="R4" s="960">
        <f>INDEX(MO_Common_QEndDate,0,MATCH(R$5,MO_Common_ColumnHeader,0))</f>
        <v/>
      </c>
      <c r="S4" s="960">
        <f>INDEX(MO_Common_QEndDate,0,MATCH(S$5,MO_Common_ColumnHeader,0))</f>
        <v/>
      </c>
      <c r="T4" s="960">
        <f>INDEX(MO_Common_QEndDate,0,MATCH(T$5,MO_Common_ColumnHeader,0))</f>
        <v/>
      </c>
      <c r="U4" s="1283">
        <f>INDEX(MO_Common_QEndDate,0,MATCH(U$5,MO_Common_ColumnHeader,0))</f>
        <v/>
      </c>
      <c r="V4" s="960">
        <f>INDEX(MO_Common_QEndDate,0,MATCH(V$5,MO_Common_ColumnHeader,0))</f>
        <v/>
      </c>
      <c r="W4" s="960">
        <f>INDEX(MO_Common_QEndDate,0,MATCH(W$5,MO_Common_ColumnHeader,0))</f>
        <v/>
      </c>
      <c r="X4" s="960">
        <f>INDEX(MO_Common_QEndDate,0,MATCH(X$5,MO_Common_ColumnHeader,0))</f>
        <v/>
      </c>
      <c r="Y4" s="960">
        <f>INDEX(MO_Common_QEndDate,0,MATCH(Y$5,MO_Common_ColumnHeader,0))</f>
        <v/>
      </c>
      <c r="Z4" s="1283">
        <f>INDEX(MO_Common_QEndDate,0,MATCH(Z$5,MO_Common_ColumnHeader,0))</f>
        <v/>
      </c>
      <c r="AA4" s="960">
        <f>INDEX(MO_Common_QEndDate,0,MATCH(AA$5,MO_Common_ColumnHeader,0))</f>
        <v/>
      </c>
      <c r="AB4" s="960">
        <f>INDEX(MO_Common_QEndDate,0,MATCH(AB$5,MO_Common_ColumnHeader,0))</f>
        <v/>
      </c>
      <c r="AC4" s="960">
        <f>INDEX(MO_Common_QEndDate,0,MATCH(AC$5,MO_Common_ColumnHeader,0))</f>
        <v/>
      </c>
      <c r="AD4" s="960">
        <f>INDEX(MO_Common_QEndDate,0,MATCH(AD$5,MO_Common_ColumnHeader,0))</f>
        <v/>
      </c>
      <c r="AE4" s="1283">
        <f>INDEX(MO_Common_QEndDate,0,MATCH(AE$5,MO_Common_ColumnHeader,0))</f>
        <v/>
      </c>
      <c r="AF4" s="960">
        <f>INDEX(MO_Common_QEndDate,0,MATCH(AF$5,MO_Common_ColumnHeader,0))</f>
        <v/>
      </c>
      <c r="AG4" s="960">
        <f>INDEX(MO_Common_QEndDate,0,MATCH(AG$5,MO_Common_ColumnHeader,0))</f>
        <v/>
      </c>
      <c r="AH4" s="960">
        <f>INDEX(MO_Common_QEndDate,0,MATCH(AH$5,MO_Common_ColumnHeader,0))</f>
        <v/>
      </c>
      <c r="AI4" s="960">
        <f>INDEX(MO_Common_QEndDate,0,MATCH(AI$5,MO_Common_ColumnHeader,0))</f>
        <v/>
      </c>
      <c r="AJ4" s="1283">
        <f>INDEX(MO_Common_QEndDate,0,MATCH(AJ$5,MO_Common_ColumnHeader,0))</f>
        <v/>
      </c>
      <c r="AK4" s="960">
        <f>INDEX(MO_Common_QEndDate,0,MATCH(AK$5,MO_Common_ColumnHeader,0))</f>
        <v/>
      </c>
      <c r="AL4" s="960">
        <f>INDEX(MO_Common_QEndDate,0,MATCH(AL$5,MO_Common_ColumnHeader,0))</f>
        <v/>
      </c>
      <c r="AM4" s="960">
        <f>INDEX(MO_Common_QEndDate,0,MATCH(AM$5,MO_Common_ColumnHeader,0))</f>
        <v/>
      </c>
      <c r="AN4" s="960">
        <f>INDEX(MO_Common_QEndDate,0,MATCH(AN$5,MO_Common_ColumnHeader,0))</f>
        <v/>
      </c>
      <c r="AO4" s="1283">
        <f>INDEX(MO_Common_QEndDate,0,MATCH(AO$5,MO_Common_ColumnHeader,0))</f>
        <v/>
      </c>
      <c r="AP4" s="960">
        <f>INDEX(MO_Common_QEndDate,0,MATCH(AP$5,MO_Common_ColumnHeader,0))</f>
        <v/>
      </c>
      <c r="AQ4" s="960">
        <f>INDEX(MO_Common_QEndDate,0,MATCH(AQ$5,MO_Common_ColumnHeader,0))</f>
        <v/>
      </c>
      <c r="AR4" s="960">
        <f>INDEX(MO_Common_QEndDate,0,MATCH(AR$5,MO_Common_ColumnHeader,0))</f>
        <v/>
      </c>
      <c r="AS4" s="960">
        <f>INDEX(MO_Common_QEndDate,0,MATCH(AS$5,MO_Common_ColumnHeader,0))</f>
        <v/>
      </c>
      <c r="AT4" s="1283">
        <f>INDEX(MO_Common_QEndDate,0,MATCH(AT$5,MO_Common_ColumnHeader,0))</f>
        <v/>
      </c>
      <c r="AU4" s="960">
        <f>INDEX(MO_Common_QEndDate,0,MATCH(AU$5,MO_Common_ColumnHeader,0))</f>
        <v/>
      </c>
      <c r="AV4" s="960">
        <f>INDEX(MO_Common_QEndDate,0,MATCH(AV$5,MO_Common_ColumnHeader,0))</f>
        <v/>
      </c>
      <c r="AW4" s="960">
        <f>INDEX(MO_Common_QEndDate,0,MATCH(AW$5,MO_Common_ColumnHeader,0))</f>
        <v/>
      </c>
      <c r="AX4" s="960">
        <f>INDEX(MO_Common_QEndDate,0,MATCH(AX$5,MO_Common_ColumnHeader,0))</f>
        <v/>
      </c>
      <c r="AY4" s="1283">
        <f>INDEX(MO_Common_QEndDate,0,MATCH(AY$5,MO_Common_ColumnHeader,0))</f>
        <v/>
      </c>
      <c r="AZ4" s="960">
        <f>INDEX(MO_Common_QEndDate,0,MATCH(AZ$5,MO_Common_ColumnHeader,0))</f>
        <v/>
      </c>
      <c r="BA4" s="960">
        <f>INDEX(MO_Common_QEndDate,0,MATCH(BA$5,MO_Common_ColumnHeader,0))</f>
        <v/>
      </c>
      <c r="BB4" s="960">
        <f>INDEX(MO_Common_QEndDate,0,MATCH(BB$5,MO_Common_ColumnHeader,0))</f>
        <v/>
      </c>
      <c r="BC4" s="960">
        <f>INDEX(MO_Common_QEndDate,0,MATCH(BC$5,MO_Common_ColumnHeader,0))</f>
        <v/>
      </c>
      <c r="BD4" s="1283">
        <f>INDEX(MO_Common_QEndDate,0,MATCH(BD$5,MO_Common_ColumnHeader,0))</f>
        <v/>
      </c>
      <c r="BE4" s="960">
        <f>INDEX(MO_Common_QEndDate,0,MATCH(BE$5,MO_Common_ColumnHeader,0))</f>
        <v/>
      </c>
      <c r="BF4" s="960">
        <f>INDEX(MO_Common_QEndDate,0,MATCH(BF$5,MO_Common_ColumnHeader,0))</f>
        <v/>
      </c>
      <c r="BG4" s="960">
        <f>INDEX(MO_Common_QEndDate,0,MATCH(BG$5,MO_Common_ColumnHeader,0))</f>
        <v/>
      </c>
      <c r="BH4" s="960">
        <f>INDEX(MO_Common_QEndDate,0,MATCH(BH$5,MO_Common_ColumnHeader,0))</f>
        <v/>
      </c>
      <c r="BI4" s="1283">
        <f>INDEX(MO_Common_QEndDate,0,MATCH(BI$5,MO_Common_ColumnHeader,0))</f>
        <v/>
      </c>
      <c r="BJ4" s="960">
        <f>INDEX(MO_Common_QEndDate,0,MATCH(BJ$5,MO_Common_ColumnHeader,0))</f>
        <v/>
      </c>
      <c r="BK4" s="960">
        <f>INDEX(MO_Common_QEndDate,0,MATCH(BK$5,MO_Common_ColumnHeader,0))</f>
        <v/>
      </c>
      <c r="BL4" s="960">
        <f>INDEX(MO_Common_QEndDate,0,MATCH(BL$5,MO_Common_ColumnHeader,0))</f>
        <v/>
      </c>
      <c r="BM4" s="960">
        <f>INDEX(MO_Common_QEndDate,0,MATCH(BM$5,MO_Common_ColumnHeader,0))</f>
        <v/>
      </c>
      <c r="BN4" s="1283">
        <f>INDEX(MO_Common_QEndDate,0,MATCH(BN$5,MO_Common_ColumnHeader,0))</f>
        <v/>
      </c>
      <c r="BO4" s="960">
        <f>INDEX(MO_Common_QEndDate,0,MATCH(BO$5,MO_Common_ColumnHeader,0))</f>
        <v/>
      </c>
      <c r="BP4" s="960">
        <f>INDEX(MO_Common_QEndDate,0,MATCH(BP$5,MO_Common_ColumnHeader,0))</f>
        <v/>
      </c>
      <c r="BQ4" s="718">
        <f>INDEX(MO_Common_QEndDate,0,MATCH(BQ$5,MO_Common_ColumnHeader,0))</f>
        <v/>
      </c>
      <c r="BR4" s="656">
        <f>INDEX(MO_Common_QEndDate,0,MATCH(BR$5,MO_Common_ColumnHeader,0))</f>
        <v/>
      </c>
      <c r="BS4" s="1283">
        <f>INDEX(MO_Common_QEndDate,0,MATCH(BS$5,MO_Common_ColumnHeader,0))</f>
        <v/>
      </c>
      <c r="BT4" s="656">
        <f>INDEX(MO_Common_QEndDate,0,MATCH(BT$5,MO_Common_ColumnHeader,0))</f>
        <v/>
      </c>
      <c r="BU4" s="656">
        <f>INDEX(MO_Common_QEndDate,0,MATCH(BU$5,MO_Common_ColumnHeader,0))</f>
        <v/>
      </c>
      <c r="BV4" s="656">
        <f>INDEX(MO_Common_QEndDate,0,MATCH(BV$5,MO_Common_ColumnHeader,0))</f>
        <v/>
      </c>
      <c r="BW4" s="656">
        <f>INDEX(MO_Common_QEndDate,0,MATCH(BW$5,MO_Common_ColumnHeader,0))</f>
        <v/>
      </c>
      <c r="BX4" s="1284">
        <f>INDEX(MO_Common_QEndDate,0,MATCH(BX$5,MO_Common_ColumnHeader,0))</f>
        <v/>
      </c>
      <c r="BY4" s="1284">
        <f>INDEX(MO_Common_QEndDate,0,MATCH(BY$5,MO_Common_ColumnHeader,0))</f>
        <v/>
      </c>
      <c r="BZ4" s="1284">
        <f>INDEX(MO_Common_QEndDate,0,MATCH(BZ$5,MO_Common_ColumnHeader,0))</f>
        <v/>
      </c>
      <c r="CA4" s="1284">
        <f>INDEX(MO_Common_QEndDate,0,MATCH(CA$5,MO_Common_ColumnHeader,0))</f>
        <v/>
      </c>
      <c r="CB4" s="2074" t="n"/>
    </row>
    <row r="5" ht="15" customFormat="1" customHeight="1" s="2070">
      <c r="A5" s="2081">
        <f>MO.ReportFX</f>
        <v/>
      </c>
      <c r="B5" s="608" t="n"/>
      <c r="C5" s="1285">
        <f>Model!C5</f>
        <v/>
      </c>
      <c r="D5" s="1285">
        <f>Model!D5</f>
        <v/>
      </c>
      <c r="E5" s="1285">
        <f>Model!E5</f>
        <v/>
      </c>
      <c r="F5" s="1285">
        <f>Model!F5</f>
        <v/>
      </c>
      <c r="G5" s="1263">
        <f>Model!G5</f>
        <v/>
      </c>
      <c r="H5" s="1263">
        <f>Model!H5</f>
        <v/>
      </c>
      <c r="I5" s="1263">
        <f>Model!I5</f>
        <v/>
      </c>
      <c r="J5" s="1263">
        <f>Model!J5</f>
        <v/>
      </c>
      <c r="K5" s="1285">
        <f>Model!K5</f>
        <v/>
      </c>
      <c r="L5" s="1263">
        <f>Model!L5</f>
        <v/>
      </c>
      <c r="M5" s="1263">
        <f>Model!M5</f>
        <v/>
      </c>
      <c r="N5" s="1263">
        <f>Model!N5</f>
        <v/>
      </c>
      <c r="O5" s="1263">
        <f>Model!O5</f>
        <v/>
      </c>
      <c r="P5" s="1285">
        <f>Model!P5</f>
        <v/>
      </c>
      <c r="Q5" s="1263">
        <f>Model!Q5</f>
        <v/>
      </c>
      <c r="R5" s="1263">
        <f>Model!R5</f>
        <v/>
      </c>
      <c r="S5" s="1263">
        <f>Model!S5</f>
        <v/>
      </c>
      <c r="T5" s="1263">
        <f>Model!T5</f>
        <v/>
      </c>
      <c r="U5" s="1285">
        <f>Model!U5</f>
        <v/>
      </c>
      <c r="V5" s="1263">
        <f>Model!V5</f>
        <v/>
      </c>
      <c r="W5" s="1263">
        <f>Model!W5</f>
        <v/>
      </c>
      <c r="X5" s="1263">
        <f>Model!X5</f>
        <v/>
      </c>
      <c r="Y5" s="1263">
        <f>Model!Y5</f>
        <v/>
      </c>
      <c r="Z5" s="1285">
        <f>Model!Z5</f>
        <v/>
      </c>
      <c r="AA5" s="1263">
        <f>Model!AA5</f>
        <v/>
      </c>
      <c r="AB5" s="1263">
        <f>Model!AB5</f>
        <v/>
      </c>
      <c r="AC5" s="1263">
        <f>Model!AC5</f>
        <v/>
      </c>
      <c r="AD5" s="1263">
        <f>Model!AD5</f>
        <v/>
      </c>
      <c r="AE5" s="1285">
        <f>Model!AE5</f>
        <v/>
      </c>
      <c r="AF5" s="1263">
        <f>Model!AF5</f>
        <v/>
      </c>
      <c r="AG5" s="1263">
        <f>Model!AG5</f>
        <v/>
      </c>
      <c r="AH5" s="1263">
        <f>Model!AH5</f>
        <v/>
      </c>
      <c r="AI5" s="1263">
        <f>Model!AI5</f>
        <v/>
      </c>
      <c r="AJ5" s="1285">
        <f>Model!AJ5</f>
        <v/>
      </c>
      <c r="AK5" s="1263">
        <f>Model!AK5</f>
        <v/>
      </c>
      <c r="AL5" s="1263">
        <f>Model!AL5</f>
        <v/>
      </c>
      <c r="AM5" s="1263">
        <f>Model!AM5</f>
        <v/>
      </c>
      <c r="AN5" s="1263">
        <f>Model!AN5</f>
        <v/>
      </c>
      <c r="AO5" s="1285">
        <f>Model!AO5</f>
        <v/>
      </c>
      <c r="AP5" s="1263">
        <f>Model!AP5</f>
        <v/>
      </c>
      <c r="AQ5" s="1263">
        <f>Model!AQ5</f>
        <v/>
      </c>
      <c r="AR5" s="1263">
        <f>Model!AR5</f>
        <v/>
      </c>
      <c r="AS5" s="1263">
        <f>Model!AS5</f>
        <v/>
      </c>
      <c r="AT5" s="1285">
        <f>Model!AT5</f>
        <v/>
      </c>
      <c r="AU5" s="1263">
        <f>Model!AU5</f>
        <v/>
      </c>
      <c r="AV5" s="1263">
        <f>Model!AV5</f>
        <v/>
      </c>
      <c r="AW5" s="1263">
        <f>Model!AW5</f>
        <v/>
      </c>
      <c r="AX5" s="1263">
        <f>Model!AX5</f>
        <v/>
      </c>
      <c r="AY5" s="1285">
        <f>Model!AY5</f>
        <v/>
      </c>
      <c r="AZ5" s="1263">
        <f>Model!AZ5</f>
        <v/>
      </c>
      <c r="BA5" s="1263">
        <f>Model!BA5</f>
        <v/>
      </c>
      <c r="BB5" s="1263">
        <f>Model!BB5</f>
        <v/>
      </c>
      <c r="BC5" s="1263">
        <f>Model!BC5</f>
        <v/>
      </c>
      <c r="BD5" s="1285">
        <f>Model!BD5</f>
        <v/>
      </c>
      <c r="BE5" s="1263">
        <f>Model!BE5</f>
        <v/>
      </c>
      <c r="BF5" s="1263">
        <f>Model!BF5</f>
        <v/>
      </c>
      <c r="BG5" s="1263">
        <f>Model!BG5</f>
        <v/>
      </c>
      <c r="BH5" s="1263">
        <f>Model!BH5</f>
        <v/>
      </c>
      <c r="BI5" s="1285">
        <f>Model!BI5</f>
        <v/>
      </c>
      <c r="BJ5" s="1263">
        <f>Model!BJ5</f>
        <v/>
      </c>
      <c r="BK5" s="1263">
        <f>Model!BK5</f>
        <v/>
      </c>
      <c r="BL5" s="1263">
        <f>Model!BL5</f>
        <v/>
      </c>
      <c r="BM5" s="1263">
        <f>Model!BM5</f>
        <v/>
      </c>
      <c r="BN5" s="1285">
        <f>Model!BN5</f>
        <v/>
      </c>
      <c r="BO5" s="1263">
        <f>Model!BO5</f>
        <v/>
      </c>
      <c r="BP5" s="1263">
        <f>Model!BP5</f>
        <v/>
      </c>
      <c r="BQ5" s="1264">
        <f>Model!BQ5</f>
        <v/>
      </c>
      <c r="BR5" s="1263">
        <f>Model!BR5</f>
        <v/>
      </c>
      <c r="BS5" s="1285">
        <f>Model!BS5</f>
        <v/>
      </c>
      <c r="BT5" s="1263">
        <f>Model!BT5</f>
        <v/>
      </c>
      <c r="BU5" s="1263">
        <f>Model!BU5</f>
        <v/>
      </c>
      <c r="BV5" s="1263">
        <f>Model!BV5</f>
        <v/>
      </c>
      <c r="BW5" s="1263">
        <f>Model!BW5</f>
        <v/>
      </c>
      <c r="BX5" s="1285">
        <f>Model!BX5</f>
        <v/>
      </c>
      <c r="BY5" s="1285">
        <f>Model!BY5</f>
        <v/>
      </c>
      <c r="BZ5" s="1285">
        <f>Model!BZ5</f>
        <v/>
      </c>
      <c r="CA5" s="1285">
        <f>Model!CA5</f>
        <v/>
      </c>
      <c r="CB5" s="2074" t="n"/>
    </row>
    <row r="6" ht="14.4" customFormat="1" customHeight="1" s="2082">
      <c r="A6" s="2083" t="inlineStr">
        <is>
          <t xml:space="preserve">Executive compensation </t>
        </is>
      </c>
      <c r="B6" s="2083" t="n"/>
      <c r="C6" s="2083" t="n"/>
      <c r="D6" s="2083" t="n"/>
      <c r="E6" s="2083" t="n"/>
      <c r="F6" s="2083" t="n"/>
      <c r="G6" s="2083" t="n"/>
      <c r="H6" s="2083" t="n"/>
      <c r="I6" s="2083" t="n"/>
      <c r="J6" s="2083" t="n"/>
      <c r="K6" s="2083" t="n"/>
      <c r="L6" s="2083" t="n"/>
      <c r="M6" s="2083" t="n"/>
      <c r="N6" s="2083" t="n"/>
      <c r="O6" s="2083" t="n"/>
      <c r="P6" s="2083" t="n"/>
      <c r="Q6" s="2083" t="n"/>
      <c r="R6" s="2083" t="n"/>
      <c r="S6" s="2083" t="n"/>
      <c r="T6" s="2083" t="n"/>
      <c r="U6" s="2083" t="n"/>
      <c r="V6" s="2083" t="n"/>
      <c r="W6" s="2083" t="n"/>
      <c r="X6" s="2083" t="n"/>
      <c r="Y6" s="2083" t="n"/>
      <c r="Z6" s="2083" t="n"/>
      <c r="AA6" s="2083" t="n"/>
      <c r="AB6" s="2083" t="n"/>
      <c r="AC6" s="2083" t="n"/>
      <c r="AD6" s="2083" t="n"/>
      <c r="AE6" s="2083" t="n"/>
      <c r="AF6" s="2083" t="n"/>
      <c r="AG6" s="2083" t="n"/>
      <c r="AH6" s="2083" t="n"/>
      <c r="AI6" s="2083" t="n"/>
      <c r="AJ6" s="2083" t="n"/>
      <c r="AK6" s="2083" t="n"/>
      <c r="AL6" s="2083" t="n"/>
      <c r="AM6" s="2083" t="n"/>
      <c r="AN6" s="2083" t="n"/>
      <c r="AO6" s="2083" t="n"/>
      <c r="AP6" s="2083" t="n"/>
      <c r="AQ6" s="2083" t="n"/>
      <c r="AR6" s="2083" t="n"/>
      <c r="AS6" s="2083" t="n"/>
      <c r="AT6" s="2083" t="n"/>
      <c r="AU6" s="2083" t="n"/>
      <c r="AV6" s="2083" t="n"/>
      <c r="AW6" s="2083" t="n"/>
      <c r="AX6" s="2083" t="n"/>
      <c r="AY6" s="2083" t="n"/>
      <c r="AZ6" s="2083" t="n"/>
      <c r="BA6" s="2083" t="n"/>
      <c r="BB6" s="2083" t="n"/>
      <c r="BC6" s="2083" t="n"/>
      <c r="BD6" s="2083" t="n"/>
      <c r="BE6" s="2083" t="n"/>
      <c r="BF6" s="2083" t="n"/>
      <c r="BG6" s="2083" t="n"/>
      <c r="BH6" s="2083" t="n"/>
      <c r="BI6" s="2083" t="n"/>
      <c r="BJ6" s="2083" t="n"/>
      <c r="BK6" s="2083" t="n"/>
      <c r="BL6" s="2083" t="n"/>
      <c r="BM6" s="2083" t="n"/>
      <c r="BN6" s="2083" t="n"/>
      <c r="BO6" s="2083" t="n"/>
      <c r="BP6" s="2083" t="n"/>
      <c r="BQ6" s="2084" t="n"/>
      <c r="BR6" s="2083" t="n"/>
      <c r="BS6" s="2083" t="n"/>
      <c r="BT6" s="2083" t="n"/>
      <c r="BU6" s="2083" t="n"/>
      <c r="BV6" s="2083" t="n"/>
      <c r="BW6" s="2083" t="n"/>
      <c r="BX6" s="2083" t="n"/>
      <c r="BY6" s="2083" t="n"/>
      <c r="BZ6" s="2083" t="n"/>
      <c r="CA6" s="2083" t="n"/>
      <c r="CB6" s="2085" t="n"/>
    </row>
    <row r="7" hidden="1" outlineLevel="1" ht="14.4" customFormat="1" customHeight="1" s="2082">
      <c r="A7" s="1593" t="inlineStr">
        <is>
          <t>Outgoing CEO - Base Pay, 000s</t>
        </is>
      </c>
      <c r="B7" s="2086" t="n"/>
      <c r="C7" s="2087" t="n"/>
      <c r="D7" s="2087" t="n"/>
      <c r="E7" s="2087" t="n"/>
      <c r="F7" s="2087" t="n"/>
      <c r="G7" s="2072" t="n"/>
      <c r="H7" s="2072" t="n"/>
      <c r="I7" s="2072" t="n"/>
      <c r="J7" s="2072" t="n"/>
      <c r="K7" s="2087" t="n"/>
      <c r="L7" s="2072" t="n"/>
      <c r="M7" s="2072" t="n"/>
      <c r="N7" s="2072" t="n"/>
      <c r="O7" s="2072" t="n"/>
      <c r="P7" s="2087" t="n"/>
      <c r="Q7" s="2072" t="n"/>
      <c r="R7" s="2072" t="n"/>
      <c r="S7" s="2072" t="n"/>
      <c r="T7" s="2072" t="n"/>
      <c r="U7" s="2087" t="n"/>
      <c r="V7" s="2072" t="n"/>
      <c r="W7" s="2072" t="n"/>
      <c r="X7" s="2072" t="n"/>
      <c r="Y7" s="2072" t="n"/>
      <c r="Z7" s="2087" t="n"/>
      <c r="AA7" s="2072" t="n"/>
      <c r="AB7" s="2072" t="n"/>
      <c r="AC7" s="2072" t="n"/>
      <c r="AD7" s="2072" t="n"/>
      <c r="AE7" s="2087" t="n"/>
      <c r="AF7" s="2072" t="n"/>
      <c r="AG7" s="2072" t="n"/>
      <c r="AH7" s="2072" t="n"/>
      <c r="AI7" s="2072" t="n"/>
      <c r="AJ7" s="2087" t="n"/>
      <c r="AK7" s="2072" t="n"/>
      <c r="AL7" s="2072" t="n"/>
      <c r="AM7" s="2072" t="n"/>
      <c r="AN7" s="2072" t="n"/>
      <c r="AO7" s="2087" t="n"/>
      <c r="AP7" s="2072" t="n"/>
      <c r="AQ7" s="2072" t="n"/>
      <c r="AR7" s="2072" t="n"/>
      <c r="AS7" s="2072" t="n"/>
      <c r="AT7" s="2087" t="n"/>
      <c r="AU7" s="2072" t="n"/>
      <c r="AV7" s="2072" t="n"/>
      <c r="AW7" s="2072" t="n"/>
      <c r="AX7" s="2072" t="n"/>
      <c r="AY7" s="2088" t="n">
        <v>720.192</v>
      </c>
      <c r="AZ7" s="2072" t="n"/>
      <c r="BA7" s="2072" t="n"/>
      <c r="BB7" s="2072" t="n"/>
      <c r="BC7" s="2072" t="n"/>
      <c r="BD7" s="2087" t="n"/>
      <c r="BE7" s="2072" t="n"/>
      <c r="BF7" s="2072" t="n"/>
      <c r="BG7" s="2072" t="n"/>
      <c r="BH7" s="2072" t="n"/>
      <c r="BI7" s="2087" t="n"/>
      <c r="BJ7" s="2072" t="n"/>
      <c r="BK7" s="2072" t="n"/>
      <c r="BL7" s="2072" t="n"/>
      <c r="BM7" s="2072" t="n"/>
      <c r="BN7" s="2087" t="n"/>
      <c r="BO7" s="2072" t="n"/>
      <c r="BP7" s="2072" t="n"/>
      <c r="BQ7" s="2073" t="n"/>
      <c r="BR7" s="2089" t="n"/>
      <c r="BS7" s="2090" t="n"/>
      <c r="BT7" s="2089" t="n"/>
      <c r="BU7" s="2089" t="n"/>
      <c r="BV7" s="2089" t="n"/>
      <c r="BW7" s="2089" t="n"/>
      <c r="BX7" s="2090" t="n"/>
      <c r="BY7" s="2090" t="n"/>
      <c r="BZ7" s="2090" t="n"/>
      <c r="CA7" s="2090" t="n"/>
      <c r="CB7" s="2085" t="n"/>
    </row>
    <row r="8" hidden="1" outlineLevel="1" ht="14.4" customFormat="1" customHeight="1" s="2082">
      <c r="A8" s="1593" t="inlineStr">
        <is>
          <t>Outgoing CEO - Stock Awards, 000s</t>
        </is>
      </c>
      <c r="B8" s="2086" t="n"/>
      <c r="C8" s="2087" t="n"/>
      <c r="D8" s="2087" t="n"/>
      <c r="E8" s="2087" t="n"/>
      <c r="F8" s="2087" t="n"/>
      <c r="G8" s="2072" t="n"/>
      <c r="H8" s="2072" t="n"/>
      <c r="I8" s="2072" t="n"/>
      <c r="J8" s="2072" t="n"/>
      <c r="K8" s="2087" t="n"/>
      <c r="L8" s="2072" t="n"/>
      <c r="M8" s="2072" t="n"/>
      <c r="N8" s="2072" t="n"/>
      <c r="O8" s="2072" t="n"/>
      <c r="P8" s="2087" t="n"/>
      <c r="Q8" s="2072" t="n"/>
      <c r="R8" s="2072" t="n"/>
      <c r="S8" s="2072" t="n"/>
      <c r="T8" s="2072" t="n"/>
      <c r="U8" s="2087" t="n"/>
      <c r="V8" s="2072" t="n"/>
      <c r="W8" s="2072" t="n"/>
      <c r="X8" s="2072" t="n"/>
      <c r="Y8" s="2072" t="n"/>
      <c r="Z8" s="2087" t="n"/>
      <c r="AA8" s="2072" t="n"/>
      <c r="AB8" s="2072" t="n"/>
      <c r="AC8" s="2072" t="n"/>
      <c r="AD8" s="2072" t="n"/>
      <c r="AE8" s="2087" t="n"/>
      <c r="AF8" s="2072" t="n"/>
      <c r="AG8" s="2072" t="n"/>
      <c r="AH8" s="2072" t="n"/>
      <c r="AI8" s="2072" t="n"/>
      <c r="AJ8" s="2087" t="n"/>
      <c r="AK8" s="2072" t="n"/>
      <c r="AL8" s="2072" t="n"/>
      <c r="AM8" s="2072" t="n"/>
      <c r="AN8" s="2072" t="n"/>
      <c r="AO8" s="2087" t="n"/>
      <c r="AP8" s="2072" t="n"/>
      <c r="AQ8" s="2072" t="n"/>
      <c r="AR8" s="2072" t="n"/>
      <c r="AS8" s="2072" t="n"/>
      <c r="AT8" s="2087" t="n"/>
      <c r="AU8" s="2072" t="n"/>
      <c r="AV8" s="2072" t="n"/>
      <c r="AW8" s="2072" t="n"/>
      <c r="AX8" s="2072" t="n"/>
      <c r="AY8" s="2088" t="n">
        <v>4500.004</v>
      </c>
      <c r="AZ8" s="2072" t="n"/>
      <c r="BA8" s="2072" t="n"/>
      <c r="BB8" s="2072" t="n"/>
      <c r="BC8" s="2072" t="n"/>
      <c r="BD8" s="2087" t="n"/>
      <c r="BE8" s="2072" t="n"/>
      <c r="BF8" s="2072" t="n"/>
      <c r="BG8" s="2072" t="n"/>
      <c r="BH8" s="2072" t="n"/>
      <c r="BI8" s="2087" t="n"/>
      <c r="BJ8" s="2072" t="n"/>
      <c r="BK8" s="2072" t="n"/>
      <c r="BL8" s="2072" t="n"/>
      <c r="BM8" s="2072" t="n"/>
      <c r="BN8" s="2087" t="n"/>
      <c r="BO8" s="2072" t="n"/>
      <c r="BP8" s="2072" t="n"/>
      <c r="BQ8" s="2073" t="n"/>
      <c r="BR8" s="2089" t="n"/>
      <c r="BS8" s="2090" t="n"/>
      <c r="BT8" s="2089" t="n"/>
      <c r="BU8" s="2089" t="n"/>
      <c r="BV8" s="2089" t="n"/>
      <c r="BW8" s="2089" t="n"/>
      <c r="BX8" s="2090" t="n"/>
      <c r="BY8" s="2090" t="n"/>
      <c r="BZ8" s="2090" t="n"/>
      <c r="CA8" s="2090" t="n"/>
      <c r="CB8" s="2085" t="n"/>
    </row>
    <row r="9" hidden="1" outlineLevel="1" ht="14.4" customFormat="1" customHeight="1" s="2082">
      <c r="A9" s="1593" t="inlineStr">
        <is>
          <t>Outgoing CEO - Option Awards, 000s</t>
        </is>
      </c>
      <c r="B9" s="2086" t="n"/>
      <c r="C9" s="2087" t="n"/>
      <c r="D9" s="2087" t="n"/>
      <c r="E9" s="2087" t="n"/>
      <c r="F9" s="2087" t="n"/>
      <c r="G9" s="2072" t="n"/>
      <c r="H9" s="2072" t="n"/>
      <c r="I9" s="2072" t="n"/>
      <c r="J9" s="2072" t="n"/>
      <c r="K9" s="2087" t="n"/>
      <c r="L9" s="2072" t="n"/>
      <c r="M9" s="2072" t="n"/>
      <c r="N9" s="2072" t="n"/>
      <c r="O9" s="2072" t="n"/>
      <c r="P9" s="2087" t="n"/>
      <c r="Q9" s="2072" t="n"/>
      <c r="R9" s="2072" t="n"/>
      <c r="S9" s="2072" t="n"/>
      <c r="T9" s="2072" t="n"/>
      <c r="U9" s="2087" t="n"/>
      <c r="V9" s="2072" t="n"/>
      <c r="W9" s="2072" t="n"/>
      <c r="X9" s="2072" t="n"/>
      <c r="Y9" s="2072" t="n"/>
      <c r="Z9" s="2087" t="n"/>
      <c r="AA9" s="2072" t="n"/>
      <c r="AB9" s="2072" t="n"/>
      <c r="AC9" s="2072" t="n"/>
      <c r="AD9" s="2072" t="n"/>
      <c r="AE9" s="2087" t="n"/>
      <c r="AF9" s="2072" t="n"/>
      <c r="AG9" s="2072" t="n"/>
      <c r="AH9" s="2072" t="n"/>
      <c r="AI9" s="2072" t="n"/>
      <c r="AJ9" s="2087" t="n"/>
      <c r="AK9" s="2072" t="n"/>
      <c r="AL9" s="2072" t="n"/>
      <c r="AM9" s="2072" t="n"/>
      <c r="AN9" s="2072" t="n"/>
      <c r="AO9" s="2087" t="n"/>
      <c r="AP9" s="2072" t="n"/>
      <c r="AQ9" s="2072" t="n"/>
      <c r="AR9" s="2072" t="n"/>
      <c r="AS9" s="2072" t="n"/>
      <c r="AT9" s="2087" t="n"/>
      <c r="AU9" s="2072" t="n"/>
      <c r="AV9" s="2072" t="n"/>
      <c r="AW9" s="2072" t="n"/>
      <c r="AX9" s="2072" t="n"/>
      <c r="AY9" s="2088" t="n">
        <v>4499.646</v>
      </c>
      <c r="AZ9" s="2072" t="n"/>
      <c r="BA9" s="2072" t="n"/>
      <c r="BB9" s="2072" t="n"/>
      <c r="BC9" s="2072" t="n"/>
      <c r="BD9" s="2087" t="n"/>
      <c r="BE9" s="2072" t="n"/>
      <c r="BF9" s="2072" t="n"/>
      <c r="BG9" s="2072" t="n"/>
      <c r="BH9" s="2072" t="n"/>
      <c r="BI9" s="2087" t="n"/>
      <c r="BJ9" s="2072" t="n"/>
      <c r="BK9" s="2072" t="n"/>
      <c r="BL9" s="2072" t="n"/>
      <c r="BM9" s="2072" t="n"/>
      <c r="BN9" s="2087" t="n"/>
      <c r="BO9" s="2072" t="n"/>
      <c r="BP9" s="2072" t="n"/>
      <c r="BQ9" s="2073" t="n"/>
      <c r="BR9" s="2089" t="n"/>
      <c r="BS9" s="2090" t="n"/>
      <c r="BT9" s="2089" t="n"/>
      <c r="BU9" s="2089" t="n"/>
      <c r="BV9" s="2089" t="n"/>
      <c r="BW9" s="2089" t="n"/>
      <c r="BX9" s="2090" t="n"/>
      <c r="BY9" s="2090" t="n"/>
      <c r="BZ9" s="2090" t="n"/>
      <c r="CA9" s="2090" t="n"/>
      <c r="CB9" s="2085" t="n"/>
    </row>
    <row r="10" hidden="1" outlineLevel="1" ht="14.4" customFormat="1" customHeight="1" s="2082">
      <c r="A10" s="1593" t="inlineStr">
        <is>
          <t>Outgoing CEO - Non-equity incentive plans, 000s</t>
        </is>
      </c>
      <c r="B10" s="2086" t="n"/>
      <c r="C10" s="2087" t="n"/>
      <c r="D10" s="2087" t="n"/>
      <c r="E10" s="2087" t="n"/>
      <c r="F10" s="2087" t="n"/>
      <c r="G10" s="2072" t="n"/>
      <c r="H10" s="2072" t="n"/>
      <c r="I10" s="2072" t="n"/>
      <c r="J10" s="2072" t="n"/>
      <c r="K10" s="2087" t="n"/>
      <c r="L10" s="2072" t="n"/>
      <c r="M10" s="2072" t="n"/>
      <c r="N10" s="2072" t="n"/>
      <c r="O10" s="2072" t="n"/>
      <c r="P10" s="2087" t="n"/>
      <c r="Q10" s="2072" t="n"/>
      <c r="R10" s="2072" t="n"/>
      <c r="S10" s="2072" t="n"/>
      <c r="T10" s="2072" t="n"/>
      <c r="U10" s="2087" t="n"/>
      <c r="V10" s="2072" t="n"/>
      <c r="W10" s="2072" t="n"/>
      <c r="X10" s="2072" t="n"/>
      <c r="Y10" s="2072" t="n"/>
      <c r="Z10" s="2087" t="n"/>
      <c r="AA10" s="2072" t="n"/>
      <c r="AB10" s="2072" t="n"/>
      <c r="AC10" s="2072" t="n"/>
      <c r="AD10" s="2072" t="n"/>
      <c r="AE10" s="2087" t="n"/>
      <c r="AF10" s="2072" t="n"/>
      <c r="AG10" s="2072" t="n"/>
      <c r="AH10" s="2072" t="n"/>
      <c r="AI10" s="2072" t="n"/>
      <c r="AJ10" s="2087" t="n"/>
      <c r="AK10" s="2072" t="n"/>
      <c r="AL10" s="2072" t="n"/>
      <c r="AM10" s="2072" t="n"/>
      <c r="AN10" s="2072" t="n"/>
      <c r="AO10" s="2087" t="n"/>
      <c r="AP10" s="2072" t="n"/>
      <c r="AQ10" s="2072" t="n"/>
      <c r="AR10" s="2072" t="n"/>
      <c r="AS10" s="2072" t="n"/>
      <c r="AT10" s="2087" t="n"/>
      <c r="AU10" s="2072" t="n"/>
      <c r="AV10" s="2072" t="n"/>
      <c r="AW10" s="2072" t="n"/>
      <c r="AX10" s="2072" t="n"/>
      <c r="AY10" s="2088" t="n">
        <v>1372.29</v>
      </c>
      <c r="AZ10" s="2072" t="n"/>
      <c r="BA10" s="2072" t="n"/>
      <c r="BB10" s="2072" t="n"/>
      <c r="BC10" s="2072" t="n"/>
      <c r="BD10" s="2087" t="n"/>
      <c r="BE10" s="2072" t="n"/>
      <c r="BF10" s="2072" t="n"/>
      <c r="BG10" s="2072" t="n"/>
      <c r="BH10" s="2072" t="n"/>
      <c r="BI10" s="2087" t="n"/>
      <c r="BJ10" s="2072" t="n"/>
      <c r="BK10" s="2072" t="n"/>
      <c r="BL10" s="2072" t="n"/>
      <c r="BM10" s="2072" t="n"/>
      <c r="BN10" s="2087" t="n"/>
      <c r="BO10" s="2072" t="n"/>
      <c r="BP10" s="2072" t="n"/>
      <c r="BQ10" s="2073" t="n"/>
      <c r="BR10" s="2089" t="n"/>
      <c r="BS10" s="2090" t="n"/>
      <c r="BT10" s="2089" t="n"/>
      <c r="BU10" s="2089" t="n"/>
      <c r="BV10" s="2089" t="n"/>
      <c r="BW10" s="2089" t="n"/>
      <c r="BX10" s="2090" t="n"/>
      <c r="BY10" s="2090" t="n"/>
      <c r="BZ10" s="2090" t="n"/>
      <c r="CA10" s="2090" t="n"/>
      <c r="CB10" s="2085" t="n"/>
    </row>
    <row r="11" hidden="1" outlineLevel="1" ht="14.4" customFormat="1" customHeight="1" s="2082">
      <c r="A11" s="1607" t="inlineStr">
        <is>
          <t>Outgoing CEO - All other compensation, 000s</t>
        </is>
      </c>
      <c r="B11" s="2091" t="n"/>
      <c r="C11" s="2092" t="n"/>
      <c r="D11" s="2092" t="n"/>
      <c r="E11" s="2092" t="n"/>
      <c r="F11" s="2092" t="n"/>
      <c r="G11" s="2093" t="n"/>
      <c r="H11" s="2093" t="n"/>
      <c r="I11" s="2093" t="n"/>
      <c r="J11" s="2093" t="n"/>
      <c r="K11" s="2092" t="n"/>
      <c r="L11" s="2093" t="n"/>
      <c r="M11" s="2093" t="n"/>
      <c r="N11" s="2093" t="n"/>
      <c r="O11" s="2093" t="n"/>
      <c r="P11" s="2092" t="n"/>
      <c r="Q11" s="2093" t="n"/>
      <c r="R11" s="2093" t="n"/>
      <c r="S11" s="2093" t="n"/>
      <c r="T11" s="2093" t="n"/>
      <c r="U11" s="2092" t="n"/>
      <c r="V11" s="2093" t="n"/>
      <c r="W11" s="2093" t="n"/>
      <c r="X11" s="2093" t="n"/>
      <c r="Y11" s="2093" t="n"/>
      <c r="Z11" s="2092" t="n"/>
      <c r="AA11" s="2093" t="n"/>
      <c r="AB11" s="2093" t="n"/>
      <c r="AC11" s="2093" t="n"/>
      <c r="AD11" s="2093" t="n"/>
      <c r="AE11" s="2092" t="n"/>
      <c r="AF11" s="2093" t="n"/>
      <c r="AG11" s="2093" t="n"/>
      <c r="AH11" s="2093" t="n"/>
      <c r="AI11" s="2093" t="n"/>
      <c r="AJ11" s="2092" t="n"/>
      <c r="AK11" s="2093" t="n"/>
      <c r="AL11" s="2093" t="n"/>
      <c r="AM11" s="2093" t="n"/>
      <c r="AN11" s="2093" t="n"/>
      <c r="AO11" s="2092" t="n"/>
      <c r="AP11" s="2093" t="n"/>
      <c r="AQ11" s="2093" t="n"/>
      <c r="AR11" s="2093" t="n"/>
      <c r="AS11" s="2093" t="n"/>
      <c r="AT11" s="2092" t="n"/>
      <c r="AU11" s="2093" t="n"/>
      <c r="AV11" s="2093" t="n"/>
      <c r="AW11" s="2093" t="n"/>
      <c r="AX11" s="2093" t="n"/>
      <c r="AY11" s="2094" t="n">
        <v>73.884</v>
      </c>
      <c r="AZ11" s="2093" t="n"/>
      <c r="BA11" s="2093" t="n"/>
      <c r="BB11" s="2093" t="n"/>
      <c r="BC11" s="2093" t="n"/>
      <c r="BD11" s="2092" t="n"/>
      <c r="BE11" s="2093" t="n"/>
      <c r="BF11" s="2093" t="n"/>
      <c r="BG11" s="2093" t="n"/>
      <c r="BH11" s="2093" t="n"/>
      <c r="BI11" s="2092" t="n"/>
      <c r="BJ11" s="2093" t="n"/>
      <c r="BK11" s="2093" t="n"/>
      <c r="BL11" s="2093" t="n"/>
      <c r="BM11" s="2093" t="n"/>
      <c r="BN11" s="2092" t="n"/>
      <c r="BO11" s="2093" t="n"/>
      <c r="BP11" s="2093" t="n"/>
      <c r="BQ11" s="2095" t="n"/>
      <c r="BR11" s="2096" t="n"/>
      <c r="BS11" s="2097" t="n"/>
      <c r="BT11" s="2096" t="n"/>
      <c r="BU11" s="2096" t="n"/>
      <c r="BV11" s="2096" t="n"/>
      <c r="BW11" s="2096" t="n"/>
      <c r="BX11" s="2097" t="n"/>
      <c r="BY11" s="2097" t="n"/>
      <c r="BZ11" s="2097" t="n"/>
      <c r="CA11" s="2097" t="n"/>
      <c r="CB11" s="2085" t="n"/>
    </row>
    <row r="12" hidden="1" outlineLevel="1" ht="14.4" customFormat="1" customHeight="1" s="2082">
      <c r="A12" s="1596" t="inlineStr">
        <is>
          <t>Outgoing CEO - Total Comp, 000s</t>
        </is>
      </c>
      <c r="B12" s="2098" t="n"/>
      <c r="C12" s="2090" t="n"/>
      <c r="D12" s="2090" t="n"/>
      <c r="E12" s="2090" t="n"/>
      <c r="F12" s="2090" t="n"/>
      <c r="G12" s="2089" t="n"/>
      <c r="H12" s="2089" t="n"/>
      <c r="I12" s="2089" t="n"/>
      <c r="J12" s="2089" t="n"/>
      <c r="K12" s="2090" t="n"/>
      <c r="L12" s="2089" t="n"/>
      <c r="M12" s="2089" t="n"/>
      <c r="N12" s="2089" t="n"/>
      <c r="O12" s="2089" t="n"/>
      <c r="P12" s="2090" t="n"/>
      <c r="Q12" s="2089" t="n"/>
      <c r="R12" s="2089" t="n"/>
      <c r="S12" s="2089" t="n"/>
      <c r="T12" s="2089" t="n"/>
      <c r="U12" s="2090" t="n"/>
      <c r="V12" s="2089" t="n"/>
      <c r="W12" s="2089" t="n"/>
      <c r="X12" s="2089" t="n"/>
      <c r="Y12" s="2089" t="n"/>
      <c r="Z12" s="2090" t="n"/>
      <c r="AA12" s="2089" t="n"/>
      <c r="AB12" s="2089" t="n"/>
      <c r="AC12" s="2089" t="n"/>
      <c r="AD12" s="2089" t="n"/>
      <c r="AE12" s="2090" t="n"/>
      <c r="AF12" s="2089" t="n"/>
      <c r="AG12" s="2089" t="n"/>
      <c r="AH12" s="2089" t="n"/>
      <c r="AI12" s="2089" t="n"/>
      <c r="AJ12" s="2090" t="n"/>
      <c r="AK12" s="2089" t="n"/>
      <c r="AL12" s="2089" t="n"/>
      <c r="AM12" s="2089" t="n"/>
      <c r="AN12" s="2089" t="n"/>
      <c r="AO12" s="2090" t="n"/>
      <c r="AP12" s="2089" t="n"/>
      <c r="AQ12" s="2089" t="n"/>
      <c r="AR12" s="2089" t="n"/>
      <c r="AS12" s="2089" t="n"/>
      <c r="AT12" s="2090" t="n"/>
      <c r="AU12" s="2089" t="n"/>
      <c r="AV12" s="2089" t="n"/>
      <c r="AW12" s="2089" t="n"/>
      <c r="AX12" s="2089" t="n"/>
      <c r="AY12" s="2099">
        <f>SUM(AY7:AY11)</f>
        <v/>
      </c>
      <c r="AZ12" s="2089" t="n"/>
      <c r="BA12" s="2089" t="n"/>
      <c r="BB12" s="2089" t="n"/>
      <c r="BC12" s="2089" t="n"/>
      <c r="BD12" s="2090" t="n"/>
      <c r="BE12" s="2089" t="n"/>
      <c r="BF12" s="2089" t="n"/>
      <c r="BG12" s="2089" t="n"/>
      <c r="BH12" s="2089" t="n"/>
      <c r="BI12" s="2090" t="n"/>
      <c r="BJ12" s="2089" t="n"/>
      <c r="BK12" s="2089" t="n"/>
      <c r="BL12" s="2089" t="n"/>
      <c r="BM12" s="2089" t="n"/>
      <c r="BN12" s="2090" t="n"/>
      <c r="BO12" s="2089" t="n"/>
      <c r="BP12" s="2089" t="n"/>
      <c r="BQ12" s="2100" t="n"/>
      <c r="BR12" s="2089" t="n"/>
      <c r="BS12" s="2090" t="n"/>
      <c r="BT12" s="2089" t="n"/>
      <c r="BU12" s="2089" t="n"/>
      <c r="BV12" s="2089" t="n"/>
      <c r="BW12" s="2089" t="n"/>
      <c r="BX12" s="2090" t="n"/>
      <c r="BY12" s="2090" t="n"/>
      <c r="BZ12" s="2090" t="n"/>
      <c r="CA12" s="2090" t="n"/>
      <c r="CB12" s="2085" t="n"/>
    </row>
    <row r="13" hidden="1" outlineLevel="1" ht="14.4" customFormat="1" customHeight="1" s="2082">
      <c r="A13" s="1593" t="inlineStr">
        <is>
          <t>Incoming CEO - Base Pay, 000s</t>
        </is>
      </c>
      <c r="B13" s="2086" t="n"/>
      <c r="C13" s="2087" t="n"/>
      <c r="D13" s="2087" t="n"/>
      <c r="E13" s="2087" t="n"/>
      <c r="F13" s="2087" t="n"/>
      <c r="G13" s="2072" t="n"/>
      <c r="H13" s="2072" t="n"/>
      <c r="I13" s="2072" t="n"/>
      <c r="J13" s="2072" t="n"/>
      <c r="K13" s="2087" t="n"/>
      <c r="L13" s="2072" t="n"/>
      <c r="M13" s="2072" t="n"/>
      <c r="N13" s="2072" t="n"/>
      <c r="O13" s="2072" t="n"/>
      <c r="P13" s="2087" t="n"/>
      <c r="Q13" s="2072" t="n"/>
      <c r="R13" s="2072" t="n"/>
      <c r="S13" s="2072" t="n"/>
      <c r="T13" s="2072" t="n"/>
      <c r="U13" s="2087" t="n"/>
      <c r="V13" s="2072" t="n"/>
      <c r="W13" s="2072" t="n"/>
      <c r="X13" s="2072" t="n"/>
      <c r="Y13" s="2072" t="n"/>
      <c r="Z13" s="2087" t="n"/>
      <c r="AA13" s="2072" t="n"/>
      <c r="AB13" s="2072" t="n"/>
      <c r="AC13" s="2072" t="n"/>
      <c r="AD13" s="2072" t="n"/>
      <c r="AE13" s="2087" t="n"/>
      <c r="AF13" s="2072" t="n"/>
      <c r="AG13" s="2072" t="n"/>
      <c r="AH13" s="2072" t="n"/>
      <c r="AI13" s="2072" t="n"/>
      <c r="AJ13" s="2087" t="n"/>
      <c r="AK13" s="2072" t="n"/>
      <c r="AL13" s="2072" t="n"/>
      <c r="AM13" s="2072" t="n"/>
      <c r="AN13" s="2072" t="n"/>
      <c r="AO13" s="2087" t="n"/>
      <c r="AP13" s="2072" t="n"/>
      <c r="AQ13" s="2072" t="n"/>
      <c r="AR13" s="2072" t="n"/>
      <c r="AS13" s="2072" t="n"/>
      <c r="AT13" s="2087" t="n"/>
      <c r="AU13" s="2072" t="n"/>
      <c r="AV13" s="2072" t="n"/>
      <c r="AW13" s="2072" t="n"/>
      <c r="AX13" s="2072" t="n"/>
      <c r="AY13" s="2088" t="n">
        <v>604.808</v>
      </c>
      <c r="AZ13" s="2072" t="n"/>
      <c r="BA13" s="2072" t="n"/>
      <c r="BB13" s="2072" t="n"/>
      <c r="BC13" s="2072" t="n"/>
      <c r="BD13" s="2087" t="n"/>
      <c r="BE13" s="2072" t="n"/>
      <c r="BF13" s="2072" t="n"/>
      <c r="BG13" s="2072" t="n"/>
      <c r="BH13" s="2072" t="n"/>
      <c r="BI13" s="2087" t="n"/>
      <c r="BJ13" s="2072" t="n"/>
      <c r="BK13" s="2072" t="n"/>
      <c r="BL13" s="2072" t="n"/>
      <c r="BM13" s="2072" t="n"/>
      <c r="BN13" s="2087" t="n"/>
      <c r="BO13" s="2072" t="n"/>
      <c r="BP13" s="2072" t="n"/>
      <c r="BQ13" s="2073" t="n"/>
      <c r="BR13" s="2089" t="n"/>
      <c r="BS13" s="2090" t="n"/>
      <c r="BT13" s="2089" t="n"/>
      <c r="BU13" s="2089" t="n"/>
      <c r="BV13" s="2089" t="n"/>
      <c r="BW13" s="2089" t="n"/>
      <c r="BX13" s="2090" t="n"/>
      <c r="BY13" s="2090" t="n"/>
      <c r="BZ13" s="2090" t="n"/>
      <c r="CA13" s="2090" t="n"/>
      <c r="CB13" s="2085" t="n"/>
    </row>
    <row r="14" hidden="1" outlineLevel="1" ht="14.4" customFormat="1" customHeight="1" s="2082">
      <c r="A14" s="1593" t="inlineStr">
        <is>
          <t>Incoming CEO - Stock Awards, 000s</t>
        </is>
      </c>
      <c r="B14" s="2086" t="n"/>
      <c r="C14" s="2087" t="n"/>
      <c r="D14" s="2087" t="n"/>
      <c r="E14" s="2087" t="n"/>
      <c r="F14" s="2087" t="n"/>
      <c r="G14" s="2072" t="n"/>
      <c r="H14" s="2072" t="n"/>
      <c r="I14" s="2072" t="n"/>
      <c r="J14" s="2072" t="n"/>
      <c r="K14" s="2087" t="n"/>
      <c r="L14" s="2072" t="n"/>
      <c r="M14" s="2072" t="n"/>
      <c r="N14" s="2072" t="n"/>
      <c r="O14" s="2072" t="n"/>
      <c r="P14" s="2087" t="n"/>
      <c r="Q14" s="2072" t="n"/>
      <c r="R14" s="2072" t="n"/>
      <c r="S14" s="2072" t="n"/>
      <c r="T14" s="2072" t="n"/>
      <c r="U14" s="2087" t="n"/>
      <c r="V14" s="2072" t="n"/>
      <c r="W14" s="2072" t="n"/>
      <c r="X14" s="2072" t="n"/>
      <c r="Y14" s="2072" t="n"/>
      <c r="Z14" s="2087" t="n"/>
      <c r="AA14" s="2072" t="n"/>
      <c r="AB14" s="2072" t="n"/>
      <c r="AC14" s="2072" t="n"/>
      <c r="AD14" s="2072" t="n"/>
      <c r="AE14" s="2087" t="n"/>
      <c r="AF14" s="2072" t="n"/>
      <c r="AG14" s="2072" t="n"/>
      <c r="AH14" s="2072" t="n"/>
      <c r="AI14" s="2072" t="n"/>
      <c r="AJ14" s="2087" t="n"/>
      <c r="AK14" s="2072" t="n"/>
      <c r="AL14" s="2072" t="n"/>
      <c r="AM14" s="2072" t="n"/>
      <c r="AN14" s="2072" t="n"/>
      <c r="AO14" s="2087" t="n"/>
      <c r="AP14" s="2072" t="n"/>
      <c r="AQ14" s="2072" t="n"/>
      <c r="AR14" s="2072" t="n"/>
      <c r="AS14" s="2072" t="n"/>
      <c r="AT14" s="2087" t="n"/>
      <c r="AU14" s="2072" t="n"/>
      <c r="AV14" s="2072" t="n"/>
      <c r="AW14" s="2072" t="n"/>
      <c r="AX14" s="2072" t="n"/>
      <c r="AY14" s="2088" t="n">
        <v>2499.956</v>
      </c>
      <c r="AZ14" s="2072" t="n"/>
      <c r="BA14" s="2072" t="n"/>
      <c r="BB14" s="2072" t="n"/>
      <c r="BC14" s="2072" t="n"/>
      <c r="BD14" s="2087" t="n"/>
      <c r="BE14" s="2072" t="n"/>
      <c r="BF14" s="2072" t="n"/>
      <c r="BG14" s="2072" t="n"/>
      <c r="BH14" s="2072" t="n"/>
      <c r="BI14" s="2087" t="n"/>
      <c r="BJ14" s="2072" t="n"/>
      <c r="BK14" s="2072" t="n"/>
      <c r="BL14" s="2072" t="n"/>
      <c r="BM14" s="2072" t="n"/>
      <c r="BN14" s="2087" t="n"/>
      <c r="BO14" s="2072" t="n"/>
      <c r="BP14" s="2072" t="n"/>
      <c r="BQ14" s="2073" t="n"/>
      <c r="BR14" s="2089" t="n"/>
      <c r="BS14" s="2090" t="n"/>
      <c r="BT14" s="2089" t="n"/>
      <c r="BU14" s="2089" t="n"/>
      <c r="BV14" s="2089" t="n"/>
      <c r="BW14" s="2089" t="n"/>
      <c r="BX14" s="2090" t="n"/>
      <c r="BY14" s="2090" t="n"/>
      <c r="BZ14" s="2090" t="n"/>
      <c r="CA14" s="2090" t="n"/>
      <c r="CB14" s="2085" t="n"/>
    </row>
    <row r="15" hidden="1" outlineLevel="1" ht="14.4" customFormat="1" customHeight="1" s="2082">
      <c r="A15" s="1593" t="inlineStr">
        <is>
          <t>Incoming CEO - Option Awards, 000s</t>
        </is>
      </c>
      <c r="B15" s="2086" t="n"/>
      <c r="C15" s="2087" t="n"/>
      <c r="D15" s="2087" t="n"/>
      <c r="E15" s="2087" t="n"/>
      <c r="F15" s="2087" t="n"/>
      <c r="G15" s="2072" t="n"/>
      <c r="H15" s="2072" t="n"/>
      <c r="I15" s="2072" t="n"/>
      <c r="J15" s="2072" t="n"/>
      <c r="K15" s="2087" t="n"/>
      <c r="L15" s="2072" t="n"/>
      <c r="M15" s="2072" t="n"/>
      <c r="N15" s="2072" t="n"/>
      <c r="O15" s="2072" t="n"/>
      <c r="P15" s="2087" t="n"/>
      <c r="Q15" s="2072" t="n"/>
      <c r="R15" s="2072" t="n"/>
      <c r="S15" s="2072" t="n"/>
      <c r="T15" s="2072" t="n"/>
      <c r="U15" s="2087" t="n"/>
      <c r="V15" s="2072" t="n"/>
      <c r="W15" s="2072" t="n"/>
      <c r="X15" s="2072" t="n"/>
      <c r="Y15" s="2072" t="n"/>
      <c r="Z15" s="2087" t="n"/>
      <c r="AA15" s="2072" t="n"/>
      <c r="AB15" s="2072" t="n"/>
      <c r="AC15" s="2072" t="n"/>
      <c r="AD15" s="2072" t="n"/>
      <c r="AE15" s="2087" t="n"/>
      <c r="AF15" s="2072" t="n"/>
      <c r="AG15" s="2072" t="n"/>
      <c r="AH15" s="2072" t="n"/>
      <c r="AI15" s="2072" t="n"/>
      <c r="AJ15" s="2087" t="n"/>
      <c r="AK15" s="2072" t="n"/>
      <c r="AL15" s="2072" t="n"/>
      <c r="AM15" s="2072" t="n"/>
      <c r="AN15" s="2072" t="n"/>
      <c r="AO15" s="2087" t="n"/>
      <c r="AP15" s="2072" t="n"/>
      <c r="AQ15" s="2072" t="n"/>
      <c r="AR15" s="2072" t="n"/>
      <c r="AS15" s="2072" t="n"/>
      <c r="AT15" s="2087" t="n"/>
      <c r="AU15" s="2072" t="n"/>
      <c r="AV15" s="2072" t="n"/>
      <c r="AW15" s="2072" t="n"/>
      <c r="AX15" s="2072" t="n"/>
      <c r="AY15" s="2088" t="n">
        <v>17496.404</v>
      </c>
      <c r="AZ15" s="2072" t="n"/>
      <c r="BA15" s="2072" t="n"/>
      <c r="BB15" s="2072" t="n"/>
      <c r="BC15" s="2072" t="n"/>
      <c r="BD15" s="2087" t="n"/>
      <c r="BE15" s="2072" t="n"/>
      <c r="BF15" s="2072" t="n"/>
      <c r="BG15" s="2072" t="n"/>
      <c r="BH15" s="2072" t="n"/>
      <c r="BI15" s="2087" t="n"/>
      <c r="BJ15" s="2072" t="n"/>
      <c r="BK15" s="2072" t="n"/>
      <c r="BL15" s="2072" t="n"/>
      <c r="BM15" s="2072" t="n"/>
      <c r="BN15" s="2087" t="n"/>
      <c r="BO15" s="2072" t="n"/>
      <c r="BP15" s="2072" t="n"/>
      <c r="BQ15" s="2073" t="n"/>
      <c r="BR15" s="2089" t="n"/>
      <c r="BS15" s="2090" t="n"/>
      <c r="BT15" s="2089" t="n"/>
      <c r="BU15" s="2089" t="n"/>
      <c r="BV15" s="2089" t="n"/>
      <c r="BW15" s="2089" t="n"/>
      <c r="BX15" s="2090" t="n"/>
      <c r="BY15" s="2090" t="n"/>
      <c r="BZ15" s="2090" t="n"/>
      <c r="CA15" s="2090" t="n"/>
      <c r="CB15" s="2085" t="n"/>
    </row>
    <row r="16" hidden="1" outlineLevel="1" ht="14.4" customFormat="1" customHeight="1" s="2082">
      <c r="A16" s="1593" t="inlineStr">
        <is>
          <t>Incoming CEO - Non-equity incentive plans, 000s</t>
        </is>
      </c>
      <c r="B16" s="2086" t="n"/>
      <c r="C16" s="2087" t="n"/>
      <c r="D16" s="2087" t="n"/>
      <c r="E16" s="2087" t="n"/>
      <c r="F16" s="2087" t="n"/>
      <c r="G16" s="2072" t="n"/>
      <c r="H16" s="2072" t="n"/>
      <c r="I16" s="2072" t="n"/>
      <c r="J16" s="2072" t="n"/>
      <c r="K16" s="2087" t="n"/>
      <c r="L16" s="2072" t="n"/>
      <c r="M16" s="2072" t="n"/>
      <c r="N16" s="2072" t="n"/>
      <c r="O16" s="2072" t="n"/>
      <c r="P16" s="2087" t="n"/>
      <c r="Q16" s="2072" t="n"/>
      <c r="R16" s="2072" t="n"/>
      <c r="S16" s="2072" t="n"/>
      <c r="T16" s="2072" t="n"/>
      <c r="U16" s="2087" t="n"/>
      <c r="V16" s="2072" t="n"/>
      <c r="W16" s="2072" t="n"/>
      <c r="X16" s="2072" t="n"/>
      <c r="Y16" s="2072" t="n"/>
      <c r="Z16" s="2087" t="n"/>
      <c r="AA16" s="2072" t="n"/>
      <c r="AB16" s="2072" t="n"/>
      <c r="AC16" s="2072" t="n"/>
      <c r="AD16" s="2072" t="n"/>
      <c r="AE16" s="2087" t="n"/>
      <c r="AF16" s="2072" t="n"/>
      <c r="AG16" s="2072" t="n"/>
      <c r="AH16" s="2072" t="n"/>
      <c r="AI16" s="2072" t="n"/>
      <c r="AJ16" s="2087" t="n"/>
      <c r="AK16" s="2072" t="n"/>
      <c r="AL16" s="2072" t="n"/>
      <c r="AM16" s="2072" t="n"/>
      <c r="AN16" s="2072" t="n"/>
      <c r="AO16" s="2087" t="n"/>
      <c r="AP16" s="2072" t="n"/>
      <c r="AQ16" s="2072" t="n"/>
      <c r="AR16" s="2072" t="n"/>
      <c r="AS16" s="2072" t="n"/>
      <c r="AT16" s="2087" t="n"/>
      <c r="AU16" s="2072" t="n"/>
      <c r="AV16" s="2072" t="n"/>
      <c r="AW16" s="2072" t="n"/>
      <c r="AX16" s="2072" t="n"/>
      <c r="AY16" s="2088" t="n">
        <v>1109.054</v>
      </c>
      <c r="AZ16" s="2072" t="n"/>
      <c r="BA16" s="2072" t="n"/>
      <c r="BB16" s="2072" t="n"/>
      <c r="BC16" s="2072" t="n"/>
      <c r="BD16" s="2087" t="n"/>
      <c r="BE16" s="2072" t="n"/>
      <c r="BF16" s="2072" t="n"/>
      <c r="BG16" s="2072" t="n"/>
      <c r="BH16" s="2072" t="n"/>
      <c r="BI16" s="2087" t="n"/>
      <c r="BJ16" s="2072" t="n"/>
      <c r="BK16" s="2072" t="n"/>
      <c r="BL16" s="2072" t="n"/>
      <c r="BM16" s="2072" t="n"/>
      <c r="BN16" s="2087" t="n"/>
      <c r="BO16" s="2072" t="n"/>
      <c r="BP16" s="2072" t="n"/>
      <c r="BQ16" s="2073" t="n"/>
      <c r="BR16" s="2089" t="n"/>
      <c r="BS16" s="2090" t="n"/>
      <c r="BT16" s="2089" t="n"/>
      <c r="BU16" s="2089" t="n"/>
      <c r="BV16" s="2089" t="n"/>
      <c r="BW16" s="2089" t="n"/>
      <c r="BX16" s="2090" t="n"/>
      <c r="BY16" s="2090" t="n"/>
      <c r="BZ16" s="2090" t="n"/>
      <c r="CA16" s="2090" t="n"/>
      <c r="CB16" s="2085" t="n"/>
    </row>
    <row r="17" hidden="1" outlineLevel="1" ht="14.4" customFormat="1" customHeight="1" s="2082">
      <c r="A17" s="1607" t="inlineStr">
        <is>
          <t>Incoming CEO - All other compensation, 000s</t>
        </is>
      </c>
      <c r="B17" s="2091" t="n"/>
      <c r="C17" s="2092" t="n"/>
      <c r="D17" s="2092" t="n"/>
      <c r="E17" s="2092" t="n"/>
      <c r="F17" s="2092" t="n"/>
      <c r="G17" s="2093" t="n"/>
      <c r="H17" s="2093" t="n"/>
      <c r="I17" s="2093" t="n"/>
      <c r="J17" s="2093" t="n"/>
      <c r="K17" s="2092" t="n"/>
      <c r="L17" s="2093" t="n"/>
      <c r="M17" s="2093" t="n"/>
      <c r="N17" s="2093" t="n"/>
      <c r="O17" s="2093" t="n"/>
      <c r="P17" s="2092" t="n"/>
      <c r="Q17" s="2093" t="n"/>
      <c r="R17" s="2093" t="n"/>
      <c r="S17" s="2093" t="n"/>
      <c r="T17" s="2093" t="n"/>
      <c r="U17" s="2092" t="n"/>
      <c r="V17" s="2093" t="n"/>
      <c r="W17" s="2093" t="n"/>
      <c r="X17" s="2093" t="n"/>
      <c r="Y17" s="2093" t="n"/>
      <c r="Z17" s="2092" t="n"/>
      <c r="AA17" s="2093" t="n"/>
      <c r="AB17" s="2093" t="n"/>
      <c r="AC17" s="2093" t="n"/>
      <c r="AD17" s="2093" t="n"/>
      <c r="AE17" s="2092" t="n"/>
      <c r="AF17" s="2093" t="n"/>
      <c r="AG17" s="2093" t="n"/>
      <c r="AH17" s="2093" t="n"/>
      <c r="AI17" s="2093" t="n"/>
      <c r="AJ17" s="2092" t="n"/>
      <c r="AK17" s="2093" t="n"/>
      <c r="AL17" s="2093" t="n"/>
      <c r="AM17" s="2093" t="n"/>
      <c r="AN17" s="2093" t="n"/>
      <c r="AO17" s="2092" t="n"/>
      <c r="AP17" s="2093" t="n"/>
      <c r="AQ17" s="2093" t="n"/>
      <c r="AR17" s="2093" t="n"/>
      <c r="AS17" s="2093" t="n"/>
      <c r="AT17" s="2092" t="n"/>
      <c r="AU17" s="2093" t="n"/>
      <c r="AV17" s="2093" t="n"/>
      <c r="AW17" s="2093" t="n"/>
      <c r="AX17" s="2093" t="n"/>
      <c r="AY17" s="2094" t="n">
        <v>25.572</v>
      </c>
      <c r="AZ17" s="2093" t="n"/>
      <c r="BA17" s="2093" t="n"/>
      <c r="BB17" s="2093" t="n"/>
      <c r="BC17" s="2093" t="n"/>
      <c r="BD17" s="2092" t="n"/>
      <c r="BE17" s="2093" t="n"/>
      <c r="BF17" s="2093" t="n"/>
      <c r="BG17" s="2093" t="n"/>
      <c r="BH17" s="2093" t="n"/>
      <c r="BI17" s="2092" t="n"/>
      <c r="BJ17" s="2093" t="n"/>
      <c r="BK17" s="2093" t="n"/>
      <c r="BL17" s="2093" t="n"/>
      <c r="BM17" s="2093" t="n"/>
      <c r="BN17" s="2092" t="n"/>
      <c r="BO17" s="2093" t="n"/>
      <c r="BP17" s="2093" t="n"/>
      <c r="BQ17" s="2095" t="n"/>
      <c r="BR17" s="2096" t="n"/>
      <c r="BS17" s="2097" t="n"/>
      <c r="BT17" s="2096" t="n"/>
      <c r="BU17" s="2096" t="n"/>
      <c r="BV17" s="2096" t="n"/>
      <c r="BW17" s="2096" t="n"/>
      <c r="BX17" s="2097" t="n"/>
      <c r="BY17" s="2097" t="n"/>
      <c r="BZ17" s="2097" t="n"/>
      <c r="CA17" s="2097" t="n"/>
      <c r="CB17" s="2085" t="n"/>
    </row>
    <row r="18" hidden="1" outlineLevel="1" ht="14.4" customFormat="1" customHeight="1" s="2082">
      <c r="A18" s="1596" t="inlineStr">
        <is>
          <t>Incoming CEO - Total Comp, 000s</t>
        </is>
      </c>
      <c r="B18" s="2098" t="n"/>
      <c r="C18" s="2090" t="n"/>
      <c r="D18" s="2090" t="n"/>
      <c r="E18" s="2090" t="n"/>
      <c r="F18" s="2090" t="n"/>
      <c r="G18" s="2089" t="n"/>
      <c r="H18" s="2089" t="n"/>
      <c r="I18" s="2089" t="n"/>
      <c r="J18" s="2089" t="n"/>
      <c r="K18" s="2090" t="n"/>
      <c r="L18" s="2089" t="n"/>
      <c r="M18" s="2089" t="n"/>
      <c r="N18" s="2089" t="n"/>
      <c r="O18" s="2089" t="n"/>
      <c r="P18" s="2090" t="n"/>
      <c r="Q18" s="2089" t="n"/>
      <c r="R18" s="2089" t="n"/>
      <c r="S18" s="2089" t="n"/>
      <c r="T18" s="2089" t="n"/>
      <c r="U18" s="2090" t="n"/>
      <c r="V18" s="2089" t="n"/>
      <c r="W18" s="2089" t="n"/>
      <c r="X18" s="2089" t="n"/>
      <c r="Y18" s="2089" t="n"/>
      <c r="Z18" s="2090" t="n"/>
      <c r="AA18" s="2089" t="n"/>
      <c r="AB18" s="2089" t="n"/>
      <c r="AC18" s="2089" t="n"/>
      <c r="AD18" s="2089" t="n"/>
      <c r="AE18" s="2090" t="n"/>
      <c r="AF18" s="2089" t="n"/>
      <c r="AG18" s="2089" t="n"/>
      <c r="AH18" s="2089" t="n"/>
      <c r="AI18" s="2089" t="n"/>
      <c r="AJ18" s="2090" t="n"/>
      <c r="AK18" s="2089" t="n"/>
      <c r="AL18" s="2089" t="n"/>
      <c r="AM18" s="2089" t="n"/>
      <c r="AN18" s="2089" t="n"/>
      <c r="AO18" s="2090" t="n"/>
      <c r="AP18" s="2089" t="n"/>
      <c r="AQ18" s="2089" t="n"/>
      <c r="AR18" s="2089" t="n"/>
      <c r="AS18" s="2089" t="n"/>
      <c r="AT18" s="2090" t="n"/>
      <c r="AU18" s="2089" t="n"/>
      <c r="AV18" s="2089" t="n"/>
      <c r="AW18" s="2089" t="n"/>
      <c r="AX18" s="2089" t="n"/>
      <c r="AY18" s="2090">
        <f>SUM(AY13:AY17)</f>
        <v/>
      </c>
      <c r="AZ18" s="2089" t="n"/>
      <c r="BA18" s="2089" t="n"/>
      <c r="BB18" s="2089" t="n"/>
      <c r="BC18" s="2089" t="n"/>
      <c r="BD18" s="2090" t="n"/>
      <c r="BE18" s="2089" t="n"/>
      <c r="BF18" s="2089" t="n"/>
      <c r="BG18" s="2089" t="n"/>
      <c r="BH18" s="2089" t="n"/>
      <c r="BI18" s="2090" t="n"/>
      <c r="BJ18" s="2089" t="n"/>
      <c r="BK18" s="2089" t="n"/>
      <c r="BL18" s="2089" t="n"/>
      <c r="BM18" s="2089" t="n"/>
      <c r="BN18" s="2090" t="n"/>
      <c r="BO18" s="2089" t="n"/>
      <c r="BP18" s="2089" t="n"/>
      <c r="BQ18" s="2100" t="n"/>
      <c r="BR18" s="2089" t="n"/>
      <c r="BS18" s="2090" t="n"/>
      <c r="BT18" s="2089" t="n"/>
      <c r="BU18" s="2089" t="n"/>
      <c r="BV18" s="2089" t="n"/>
      <c r="BW18" s="2089" t="n"/>
      <c r="BX18" s="2090" t="n"/>
      <c r="BY18" s="2090" t="n"/>
      <c r="BZ18" s="2090" t="n"/>
      <c r="CA18" s="2090" t="n"/>
      <c r="CB18" s="2085" t="n"/>
    </row>
    <row r="19" hidden="1" outlineLevel="1" ht="14.4" customFormat="1" customHeight="1" s="2082">
      <c r="A19" s="1596" t="n"/>
      <c r="B19" s="2098" t="n"/>
      <c r="C19" s="2090" t="n"/>
      <c r="D19" s="2090" t="n"/>
      <c r="E19" s="2090" t="n"/>
      <c r="F19" s="2090" t="n"/>
      <c r="G19" s="2089" t="n"/>
      <c r="H19" s="2089" t="n"/>
      <c r="I19" s="2089" t="n"/>
      <c r="J19" s="2089" t="n"/>
      <c r="K19" s="2090" t="n"/>
      <c r="L19" s="2089" t="n"/>
      <c r="M19" s="2089" t="n"/>
      <c r="N19" s="2089" t="n"/>
      <c r="O19" s="2089" t="n"/>
      <c r="P19" s="2090" t="n"/>
      <c r="Q19" s="2089" t="n"/>
      <c r="R19" s="2089" t="n"/>
      <c r="S19" s="2089" t="n"/>
      <c r="T19" s="2089" t="n"/>
      <c r="U19" s="2090" t="n"/>
      <c r="V19" s="2089" t="n"/>
      <c r="W19" s="2089" t="n"/>
      <c r="X19" s="2089" t="n"/>
      <c r="Y19" s="2089" t="n"/>
      <c r="Z19" s="2090" t="n"/>
      <c r="AA19" s="2089" t="n"/>
      <c r="AB19" s="2089" t="n"/>
      <c r="AC19" s="2089" t="n"/>
      <c r="AD19" s="2089" t="n"/>
      <c r="AE19" s="2090" t="n"/>
      <c r="AF19" s="2089" t="n"/>
      <c r="AG19" s="2089" t="n"/>
      <c r="AH19" s="2089" t="n"/>
      <c r="AI19" s="2089" t="n"/>
      <c r="AJ19" s="2090" t="n"/>
      <c r="AK19" s="2089" t="n"/>
      <c r="AL19" s="2089" t="n"/>
      <c r="AM19" s="2089" t="n"/>
      <c r="AN19" s="2089" t="n"/>
      <c r="AO19" s="2090" t="n"/>
      <c r="AP19" s="2089" t="n"/>
      <c r="AQ19" s="2089" t="n"/>
      <c r="AR19" s="2089" t="n"/>
      <c r="AS19" s="2089" t="n"/>
      <c r="AT19" s="2090" t="n"/>
      <c r="AU19" s="2089" t="n"/>
      <c r="AV19" s="2089" t="n"/>
      <c r="AW19" s="2089" t="n"/>
      <c r="AX19" s="2089" t="n"/>
      <c r="AY19" s="2090" t="n"/>
      <c r="AZ19" s="2089" t="n"/>
      <c r="BA19" s="2089" t="n"/>
      <c r="BB19" s="2089" t="n"/>
      <c r="BC19" s="2089" t="n"/>
      <c r="BD19" s="2090" t="n"/>
      <c r="BE19" s="2089" t="n"/>
      <c r="BF19" s="2089" t="n"/>
      <c r="BG19" s="2089" t="n"/>
      <c r="BH19" s="2089" t="n"/>
      <c r="BI19" s="2090" t="n"/>
      <c r="BJ19" s="2089" t="n"/>
      <c r="BK19" s="2089" t="n"/>
      <c r="BL19" s="2089" t="n"/>
      <c r="BM19" s="2089" t="n"/>
      <c r="BN19" s="2090" t="n"/>
      <c r="BO19" s="2089" t="n"/>
      <c r="BP19" s="2089" t="n"/>
      <c r="BQ19" s="2100" t="n"/>
      <c r="BR19" s="2089" t="n"/>
      <c r="BS19" s="2090" t="n"/>
      <c r="BT19" s="2089" t="n"/>
      <c r="BU19" s="2089" t="n"/>
      <c r="BV19" s="2089" t="n"/>
      <c r="BW19" s="2089" t="n"/>
      <c r="BX19" s="2090" t="n"/>
      <c r="BY19" s="2090" t="n"/>
      <c r="BZ19" s="2090" t="n"/>
      <c r="CA19" s="2090" t="n"/>
      <c r="CB19" s="2085" t="n"/>
    </row>
    <row r="20" collapsed="1" ht="14.4" customFormat="1" customHeight="1" s="2101">
      <c r="A20" s="1593" t="inlineStr">
        <is>
          <t>CEO - Base Pay, 000s</t>
        </is>
      </c>
      <c r="B20" s="2086" t="n"/>
      <c r="C20" s="2087" t="n"/>
      <c r="D20" s="2087" t="n"/>
      <c r="E20" s="2087" t="n"/>
      <c r="F20" s="2087" t="n"/>
      <c r="G20" s="2072" t="n"/>
      <c r="H20" s="2072" t="n"/>
      <c r="I20" s="2072" t="n"/>
      <c r="J20" s="2072" t="n"/>
      <c r="K20" s="2087" t="n"/>
      <c r="L20" s="2072" t="n"/>
      <c r="M20" s="2072" t="n"/>
      <c r="N20" s="2072" t="n"/>
      <c r="O20" s="2072" t="n"/>
      <c r="P20" s="2087" t="n"/>
      <c r="Q20" s="2072" t="n"/>
      <c r="R20" s="2072" t="n"/>
      <c r="S20" s="2072" t="n"/>
      <c r="T20" s="2072" t="n"/>
      <c r="U20" s="2087" t="n"/>
      <c r="V20" s="2072" t="n"/>
      <c r="W20" s="2072" t="n"/>
      <c r="X20" s="2072" t="n"/>
      <c r="Y20" s="2072" t="n"/>
      <c r="Z20" s="2087" t="n"/>
      <c r="AA20" s="2072" t="n"/>
      <c r="AB20" s="2072" t="n"/>
      <c r="AC20" s="2072" t="n"/>
      <c r="AD20" s="2072" t="n"/>
      <c r="AE20" s="2087" t="n"/>
      <c r="AF20" s="2072" t="n"/>
      <c r="AG20" s="2072" t="n"/>
      <c r="AH20" s="2072" t="n"/>
      <c r="AI20" s="2072" t="n"/>
      <c r="AJ20" s="2087" t="n"/>
      <c r="AK20" s="2072" t="n"/>
      <c r="AL20" s="2072" t="n"/>
      <c r="AM20" s="2072" t="n"/>
      <c r="AN20" s="2072" t="n"/>
      <c r="AO20" s="2087" t="n"/>
      <c r="AP20" s="2072" t="n"/>
      <c r="AQ20" s="2072" t="n"/>
      <c r="AR20" s="2072" t="n"/>
      <c r="AS20" s="2072" t="n"/>
      <c r="AT20" s="2088" t="n">
        <v>738.942</v>
      </c>
      <c r="AU20" s="2072" t="n"/>
      <c r="AV20" s="2072" t="n"/>
      <c r="AW20" s="2072" t="n"/>
      <c r="AX20" s="2072" t="n"/>
      <c r="AY20" s="2102">
        <f>SUM(AY7,AY13)</f>
        <v/>
      </c>
      <c r="AZ20" s="2072" t="n"/>
      <c r="BA20" s="2072" t="n"/>
      <c r="BB20" s="2072" t="n"/>
      <c r="BC20" s="2072" t="n"/>
      <c r="BD20" s="2088" t="n">
        <v>725</v>
      </c>
      <c r="BE20" s="2072" t="n"/>
      <c r="BF20" s="2072" t="n"/>
      <c r="BG20" s="2072" t="n"/>
      <c r="BH20" s="2072" t="n"/>
      <c r="BI20" s="2088" t="n">
        <v>750</v>
      </c>
      <c r="BJ20" s="2072" t="n"/>
      <c r="BK20" s="2072" t="n"/>
      <c r="BL20" s="2072" t="n"/>
      <c r="BM20" s="2072" t="n"/>
      <c r="BN20" s="2102" t="n"/>
      <c r="BO20" s="2072" t="n"/>
      <c r="BP20" s="2072" t="n"/>
      <c r="BQ20" s="2073" t="n"/>
      <c r="BR20" s="2072" t="n"/>
      <c r="BS20" s="2087" t="n"/>
      <c r="BT20" s="2072" t="n"/>
      <c r="BU20" s="2072" t="n"/>
      <c r="BV20" s="2072" t="n"/>
      <c r="BW20" s="2072" t="n"/>
      <c r="BX20" s="2087" t="n"/>
      <c r="BY20" s="2087" t="n"/>
      <c r="BZ20" s="2087" t="n"/>
      <c r="CA20" s="2087" t="n"/>
      <c r="CB20" s="2103" t="n"/>
    </row>
    <row r="21" ht="14.4" customFormat="1" customHeight="1" s="2101">
      <c r="A21" s="1593" t="inlineStr">
        <is>
          <t>CEO - Stock Awards, 000s</t>
        </is>
      </c>
      <c r="B21" s="2086" t="n"/>
      <c r="C21" s="2087" t="n"/>
      <c r="D21" s="2087" t="n"/>
      <c r="E21" s="2087" t="n"/>
      <c r="F21" s="2087" t="n"/>
      <c r="G21" s="2072" t="n"/>
      <c r="H21" s="2072" t="n"/>
      <c r="I21" s="2072" t="n"/>
      <c r="J21" s="2072" t="n"/>
      <c r="K21" s="2087" t="n"/>
      <c r="L21" s="2072" t="n"/>
      <c r="M21" s="2072" t="n"/>
      <c r="N21" s="2072" t="n"/>
      <c r="O21" s="2072" t="n"/>
      <c r="P21" s="2087" t="n"/>
      <c r="Q21" s="2072" t="n"/>
      <c r="R21" s="2072" t="n"/>
      <c r="S21" s="2072" t="n"/>
      <c r="T21" s="2072" t="n"/>
      <c r="U21" s="2087" t="n"/>
      <c r="V21" s="2072" t="n"/>
      <c r="W21" s="2072" t="n"/>
      <c r="X21" s="2072" t="n"/>
      <c r="Y21" s="2072" t="n"/>
      <c r="Z21" s="2087" t="n"/>
      <c r="AA21" s="2072" t="n"/>
      <c r="AB21" s="2072" t="n"/>
      <c r="AC21" s="2072" t="n"/>
      <c r="AD21" s="2072" t="n"/>
      <c r="AE21" s="2087" t="n"/>
      <c r="AF21" s="2072" t="n"/>
      <c r="AG21" s="2072" t="n"/>
      <c r="AH21" s="2072" t="n"/>
      <c r="AI21" s="2072" t="n"/>
      <c r="AJ21" s="2087" t="n"/>
      <c r="AK21" s="2072" t="n"/>
      <c r="AL21" s="2072" t="n"/>
      <c r="AM21" s="2072" t="n"/>
      <c r="AN21" s="2072" t="n"/>
      <c r="AO21" s="2087" t="n"/>
      <c r="AP21" s="2072" t="n"/>
      <c r="AQ21" s="2072" t="n"/>
      <c r="AR21" s="2072" t="n"/>
      <c r="AS21" s="2072" t="n"/>
      <c r="AT21" s="2088" t="n">
        <v>3750</v>
      </c>
      <c r="AU21" s="2072" t="n"/>
      <c r="AV21" s="2072" t="n"/>
      <c r="AW21" s="2072" t="n"/>
      <c r="AX21" s="2072" t="n"/>
      <c r="AY21" s="2102">
        <f>SUM(AY8,AY14)</f>
        <v/>
      </c>
      <c r="AZ21" s="2072" t="n"/>
      <c r="BA21" s="2072" t="n"/>
      <c r="BB21" s="2072" t="n"/>
      <c r="BC21" s="2072" t="n"/>
      <c r="BD21" s="2088" t="n">
        <v>25318.495</v>
      </c>
      <c r="BE21" s="2072" t="n"/>
      <c r="BF21" s="2072" t="n"/>
      <c r="BG21" s="2072" t="n"/>
      <c r="BH21" s="2072" t="n"/>
      <c r="BI21" s="2088" t="n">
        <v>7702.791</v>
      </c>
      <c r="BJ21" s="2072" t="n"/>
      <c r="BK21" s="2072" t="n"/>
      <c r="BL21" s="2072" t="n"/>
      <c r="BM21" s="2072" t="n"/>
      <c r="BN21" s="2102" t="n"/>
      <c r="BO21" s="2072" t="n"/>
      <c r="BP21" s="2072" t="n"/>
      <c r="BQ21" s="2073" t="n"/>
      <c r="BR21" s="2072" t="n"/>
      <c r="BS21" s="2087" t="n"/>
      <c r="BT21" s="2072" t="n"/>
      <c r="BU21" s="2072" t="n"/>
      <c r="BV21" s="2072" t="n"/>
      <c r="BW21" s="2072" t="n"/>
      <c r="BX21" s="2087" t="n"/>
      <c r="BY21" s="2087" t="n"/>
      <c r="BZ21" s="2087" t="n"/>
      <c r="CA21" s="2087" t="n"/>
      <c r="CB21" s="2103" t="n"/>
    </row>
    <row r="22" ht="14.4" customFormat="1" customHeight="1" s="2101">
      <c r="A22" s="1593" t="inlineStr">
        <is>
          <t>CEO - Option Awards, 000s</t>
        </is>
      </c>
      <c r="B22" s="2086" t="n"/>
      <c r="C22" s="2087" t="n"/>
      <c r="D22" s="2087" t="n"/>
      <c r="E22" s="2087" t="n"/>
      <c r="F22" s="2087" t="n"/>
      <c r="G22" s="2072" t="n"/>
      <c r="H22" s="2072" t="n"/>
      <c r="I22" s="2072" t="n"/>
      <c r="J22" s="2072" t="n"/>
      <c r="K22" s="2087" t="n"/>
      <c r="L22" s="2072" t="n"/>
      <c r="M22" s="2072" t="n"/>
      <c r="N22" s="2072" t="n"/>
      <c r="O22" s="2072" t="n"/>
      <c r="P22" s="2087" t="n"/>
      <c r="Q22" s="2072" t="n"/>
      <c r="R22" s="2072" t="n"/>
      <c r="S22" s="2072" t="n"/>
      <c r="T22" s="2072" t="n"/>
      <c r="U22" s="2087" t="n"/>
      <c r="V22" s="2072" t="n"/>
      <c r="W22" s="2072" t="n"/>
      <c r="X22" s="2072" t="n"/>
      <c r="Y22" s="2072" t="n"/>
      <c r="Z22" s="2087" t="n"/>
      <c r="AA22" s="2072" t="n"/>
      <c r="AB22" s="2072" t="n"/>
      <c r="AC22" s="2072" t="n"/>
      <c r="AD22" s="2072" t="n"/>
      <c r="AE22" s="2087" t="n"/>
      <c r="AF22" s="2072" t="n"/>
      <c r="AG22" s="2072" t="n"/>
      <c r="AH22" s="2072" t="n"/>
      <c r="AI22" s="2072" t="n"/>
      <c r="AJ22" s="2087" t="n"/>
      <c r="AK22" s="2072" t="n"/>
      <c r="AL22" s="2072" t="n"/>
      <c r="AM22" s="2072" t="n"/>
      <c r="AN22" s="2072" t="n"/>
      <c r="AO22" s="2087" t="n"/>
      <c r="AP22" s="2072" t="n"/>
      <c r="AQ22" s="2072" t="n"/>
      <c r="AR22" s="2072" t="n"/>
      <c r="AS22" s="2072" t="n"/>
      <c r="AT22" s="2088" t="n">
        <v>3748.545</v>
      </c>
      <c r="AU22" s="2072" t="n"/>
      <c r="AV22" s="2072" t="n"/>
      <c r="AW22" s="2072" t="n"/>
      <c r="AX22" s="2072" t="n"/>
      <c r="AY22" s="2102">
        <f>SUM(AY9,AY15)</f>
        <v/>
      </c>
      <c r="AZ22" s="2072" t="n"/>
      <c r="BA22" s="2072" t="n"/>
      <c r="BB22" s="2072" t="n"/>
      <c r="BC22" s="2072" t="n"/>
      <c r="BD22" s="2088" t="n">
        <v>4779.658</v>
      </c>
      <c r="BE22" s="2072" t="n"/>
      <c r="BF22" s="2072" t="n"/>
      <c r="BG22" s="2072" t="n"/>
      <c r="BH22" s="2072" t="n"/>
      <c r="BI22" s="2088" t="n">
        <v>7689.913</v>
      </c>
      <c r="BJ22" s="2072" t="n"/>
      <c r="BK22" s="2072" t="n"/>
      <c r="BL22" s="2072" t="n"/>
      <c r="BM22" s="2072" t="n"/>
      <c r="BN22" s="2102" t="n"/>
      <c r="BO22" s="2072" t="n"/>
      <c r="BP22" s="2072" t="n"/>
      <c r="BQ22" s="2073" t="n"/>
      <c r="BR22" s="2072" t="n"/>
      <c r="BS22" s="2087" t="n"/>
      <c r="BT22" s="2072" t="n"/>
      <c r="BU22" s="2072" t="n"/>
      <c r="BV22" s="2072" t="n"/>
      <c r="BW22" s="2072" t="n"/>
      <c r="BX22" s="2087" t="n"/>
      <c r="BY22" s="2087" t="n"/>
      <c r="BZ22" s="2087" t="n"/>
      <c r="CA22" s="2087" t="n"/>
      <c r="CB22" s="2103" t="n"/>
    </row>
    <row r="23" ht="14.4" customFormat="1" customHeight="1" s="2101">
      <c r="A23" s="1593" t="inlineStr">
        <is>
          <t>CEO - Non-equity incentive plans, 000s</t>
        </is>
      </c>
      <c r="B23" s="2086" t="n"/>
      <c r="C23" s="2087" t="n"/>
      <c r="D23" s="2087" t="n"/>
      <c r="E23" s="2087" t="n"/>
      <c r="F23" s="2087" t="n"/>
      <c r="G23" s="2072" t="n"/>
      <c r="H23" s="2072" t="n"/>
      <c r="I23" s="2072" t="n"/>
      <c r="J23" s="2072" t="n"/>
      <c r="K23" s="2087" t="n"/>
      <c r="L23" s="2072" t="n"/>
      <c r="M23" s="2072" t="n"/>
      <c r="N23" s="2072" t="n"/>
      <c r="O23" s="2072" t="n"/>
      <c r="P23" s="2087" t="n"/>
      <c r="Q23" s="2072" t="n"/>
      <c r="R23" s="2072" t="n"/>
      <c r="S23" s="2072" t="n"/>
      <c r="T23" s="2072" t="n"/>
      <c r="U23" s="2087" t="n"/>
      <c r="V23" s="2072" t="n"/>
      <c r="W23" s="2072" t="n"/>
      <c r="X23" s="2072" t="n"/>
      <c r="Y23" s="2072" t="n"/>
      <c r="Z23" s="2087" t="n"/>
      <c r="AA23" s="2072" t="n"/>
      <c r="AB23" s="2072" t="n"/>
      <c r="AC23" s="2072" t="n"/>
      <c r="AD23" s="2072" t="n"/>
      <c r="AE23" s="2087" t="n"/>
      <c r="AF23" s="2072" t="n"/>
      <c r="AG23" s="2072" t="n"/>
      <c r="AH23" s="2072" t="n"/>
      <c r="AI23" s="2072" t="n"/>
      <c r="AJ23" s="2087" t="n"/>
      <c r="AK23" s="2072" t="n"/>
      <c r="AL23" s="2072" t="n"/>
      <c r="AM23" s="2072" t="n"/>
      <c r="AN23" s="2072" t="n"/>
      <c r="AO23" s="2087" t="n"/>
      <c r="AP23" s="2072" t="n"/>
      <c r="AQ23" s="2072" t="n"/>
      <c r="AR23" s="2072" t="n"/>
      <c r="AS23" s="2072" t="n"/>
      <c r="AT23" s="2088" t="n">
        <v>1353.419</v>
      </c>
      <c r="AU23" s="2072" t="n"/>
      <c r="AV23" s="2072" t="n"/>
      <c r="AW23" s="2072" t="n"/>
      <c r="AX23" s="2072" t="n"/>
      <c r="AY23" s="2102">
        <f>SUM(AY10,AY16)</f>
        <v/>
      </c>
      <c r="AZ23" s="2072" t="n"/>
      <c r="BA23" s="2072" t="n"/>
      <c r="BB23" s="2072" t="n"/>
      <c r="BC23" s="2072" t="n"/>
      <c r="BD23" s="2088" t="n">
        <v>1381.859</v>
      </c>
      <c r="BE23" s="2072" t="n"/>
      <c r="BF23" s="2072" t="n"/>
      <c r="BG23" s="2072" t="n"/>
      <c r="BH23" s="2072" t="n"/>
      <c r="BI23" s="2088" t="n">
        <v>1187.386</v>
      </c>
      <c r="BJ23" s="2072" t="n"/>
      <c r="BK23" s="2072" t="n"/>
      <c r="BL23" s="2072" t="n"/>
      <c r="BM23" s="2072" t="n"/>
      <c r="BN23" s="2102" t="n"/>
      <c r="BO23" s="2072" t="n"/>
      <c r="BP23" s="2072" t="n"/>
      <c r="BQ23" s="2073" t="n"/>
      <c r="BR23" s="2072" t="n"/>
      <c r="BS23" s="2087" t="n"/>
      <c r="BT23" s="2072" t="n"/>
      <c r="BU23" s="2072" t="n"/>
      <c r="BV23" s="2072" t="n"/>
      <c r="BW23" s="2072" t="n"/>
      <c r="BX23" s="2087" t="n"/>
      <c r="BY23" s="2087" t="n"/>
      <c r="BZ23" s="2087" t="n"/>
      <c r="CA23" s="2087" t="n"/>
      <c r="CB23" s="2103" t="n"/>
    </row>
    <row r="24" ht="14.4" customFormat="1" customHeight="1" s="2101">
      <c r="A24" s="1607" t="inlineStr">
        <is>
          <t>CEO - All other compensation, 000s</t>
        </is>
      </c>
      <c r="B24" s="2091" t="n"/>
      <c r="C24" s="2092" t="n"/>
      <c r="D24" s="2092" t="n"/>
      <c r="E24" s="2092" t="n"/>
      <c r="F24" s="2092" t="n"/>
      <c r="G24" s="2093" t="n"/>
      <c r="H24" s="2093" t="n"/>
      <c r="I24" s="2093" t="n"/>
      <c r="J24" s="2093" t="n"/>
      <c r="K24" s="2092" t="n"/>
      <c r="L24" s="2093" t="n"/>
      <c r="M24" s="2093" t="n"/>
      <c r="N24" s="2093" t="n"/>
      <c r="O24" s="2093" t="n"/>
      <c r="P24" s="2092" t="n"/>
      <c r="Q24" s="2093" t="n"/>
      <c r="R24" s="2093" t="n"/>
      <c r="S24" s="2093" t="n"/>
      <c r="T24" s="2093" t="n"/>
      <c r="U24" s="2092" t="n"/>
      <c r="V24" s="2093" t="n"/>
      <c r="W24" s="2093" t="n"/>
      <c r="X24" s="2093" t="n"/>
      <c r="Y24" s="2093" t="n"/>
      <c r="Z24" s="2092" t="n"/>
      <c r="AA24" s="2093" t="n"/>
      <c r="AB24" s="2093" t="n"/>
      <c r="AC24" s="2093" t="n"/>
      <c r="AD24" s="2093" t="n"/>
      <c r="AE24" s="2092" t="n"/>
      <c r="AF24" s="2093" t="n"/>
      <c r="AG24" s="2093" t="n"/>
      <c r="AH24" s="2093" t="n"/>
      <c r="AI24" s="2093" t="n"/>
      <c r="AJ24" s="2092" t="n"/>
      <c r="AK24" s="2093" t="n"/>
      <c r="AL24" s="2093" t="n"/>
      <c r="AM24" s="2093" t="n"/>
      <c r="AN24" s="2093" t="n"/>
      <c r="AO24" s="2092" t="n"/>
      <c r="AP24" s="2093" t="n"/>
      <c r="AQ24" s="2093" t="n"/>
      <c r="AR24" s="2093" t="n"/>
      <c r="AS24" s="2093" t="n"/>
      <c r="AT24" s="2094" t="n">
        <v>13.734</v>
      </c>
      <c r="AU24" s="2093" t="n"/>
      <c r="AV24" s="2093" t="n"/>
      <c r="AW24" s="2093" t="n"/>
      <c r="AX24" s="2093" t="n"/>
      <c r="AY24" s="2104">
        <f>SUM(AY11,AY17)</f>
        <v/>
      </c>
      <c r="AZ24" s="2093" t="n"/>
      <c r="BA24" s="2093" t="n"/>
      <c r="BB24" s="2093" t="n"/>
      <c r="BC24" s="2093" t="n"/>
      <c r="BD24" s="2094" t="n">
        <v>11.022</v>
      </c>
      <c r="BE24" s="2093" t="n"/>
      <c r="BF24" s="2093" t="n"/>
      <c r="BG24" s="2093" t="n"/>
      <c r="BH24" s="2093" t="n"/>
      <c r="BI24" s="2094" t="n">
        <v>11.772</v>
      </c>
      <c r="BJ24" s="2093" t="n"/>
      <c r="BK24" s="2093" t="n"/>
      <c r="BL24" s="2093" t="n"/>
      <c r="BM24" s="2093" t="n"/>
      <c r="BN24" s="2104" t="n"/>
      <c r="BO24" s="2093" t="n"/>
      <c r="BP24" s="2093" t="n"/>
      <c r="BQ24" s="2095" t="n"/>
      <c r="BR24" s="2093" t="n"/>
      <c r="BS24" s="2092" t="n"/>
      <c r="BT24" s="2093" t="n"/>
      <c r="BU24" s="2093" t="n"/>
      <c r="BV24" s="2093" t="n"/>
      <c r="BW24" s="2093" t="n"/>
      <c r="BX24" s="2092" t="n"/>
      <c r="BY24" s="2092" t="n"/>
      <c r="BZ24" s="2092" t="n"/>
      <c r="CA24" s="2092" t="n"/>
      <c r="CB24" s="2103" t="n"/>
    </row>
    <row r="25" ht="14.4" customFormat="1" customHeight="1" s="2082">
      <c r="A25" s="1596" t="inlineStr">
        <is>
          <t>CEO - Total Comp, 000s</t>
        </is>
      </c>
      <c r="B25" s="2098" t="n"/>
      <c r="C25" s="2090" t="n"/>
      <c r="D25" s="2090" t="n"/>
      <c r="E25" s="2090" t="n"/>
      <c r="F25" s="2090" t="n"/>
      <c r="G25" s="2089" t="n"/>
      <c r="H25" s="2089" t="n"/>
      <c r="I25" s="2089" t="n"/>
      <c r="J25" s="2089" t="n"/>
      <c r="K25" s="2090" t="n"/>
      <c r="L25" s="2089" t="n"/>
      <c r="M25" s="2089" t="n"/>
      <c r="N25" s="2089" t="n"/>
      <c r="O25" s="2089" t="n"/>
      <c r="P25" s="2090" t="n"/>
      <c r="Q25" s="2089" t="n"/>
      <c r="R25" s="2089" t="n"/>
      <c r="S25" s="2089" t="n"/>
      <c r="T25" s="2089" t="n"/>
      <c r="U25" s="2090" t="n"/>
      <c r="V25" s="2089" t="n"/>
      <c r="W25" s="2089" t="n"/>
      <c r="X25" s="2089" t="n"/>
      <c r="Y25" s="2089" t="n"/>
      <c r="Z25" s="2090" t="n"/>
      <c r="AA25" s="2089" t="n"/>
      <c r="AB25" s="2089" t="n"/>
      <c r="AC25" s="2089" t="n"/>
      <c r="AD25" s="2089" t="n"/>
      <c r="AE25" s="2090" t="n"/>
      <c r="AF25" s="2089" t="n"/>
      <c r="AG25" s="2089" t="n"/>
      <c r="AH25" s="2089" t="n"/>
      <c r="AI25" s="2089" t="n"/>
      <c r="AJ25" s="2090" t="n"/>
      <c r="AK25" s="2089" t="n"/>
      <c r="AL25" s="2089" t="n"/>
      <c r="AM25" s="2089" t="n"/>
      <c r="AN25" s="2089" t="n"/>
      <c r="AO25" s="2090" t="n"/>
      <c r="AP25" s="2089" t="n"/>
      <c r="AQ25" s="2089" t="n"/>
      <c r="AR25" s="2089" t="n"/>
      <c r="AS25" s="2089" t="n"/>
      <c r="AT25" s="2099">
        <f>SUM(AT20:AT24)</f>
        <v/>
      </c>
      <c r="AU25" s="2089" t="n"/>
      <c r="AV25" s="2089" t="n"/>
      <c r="AW25" s="2089" t="n"/>
      <c r="AX25" s="2089" t="n"/>
      <c r="AY25" s="2099">
        <f>SUM(AY20:AY24)</f>
        <v/>
      </c>
      <c r="AZ25" s="2089" t="n"/>
      <c r="BA25" s="2089" t="n"/>
      <c r="BB25" s="2089" t="n"/>
      <c r="BC25" s="2089" t="n"/>
      <c r="BD25" s="2099">
        <f>SUM(BD20:BD24)</f>
        <v/>
      </c>
      <c r="BE25" s="2089" t="n"/>
      <c r="BF25" s="2089" t="n"/>
      <c r="BG25" s="2089" t="n"/>
      <c r="BH25" s="2089" t="n"/>
      <c r="BI25" s="2099">
        <f>SUM(BI20:BI24)</f>
        <v/>
      </c>
      <c r="BJ25" s="2089" t="n"/>
      <c r="BK25" s="2089" t="n"/>
      <c r="BL25" s="2089" t="n"/>
      <c r="BM25" s="2089" t="n"/>
      <c r="BN25" s="2099" t="n"/>
      <c r="BO25" s="2089" t="n"/>
      <c r="BP25" s="2089" t="n"/>
      <c r="BQ25" s="2100" t="n"/>
      <c r="BR25" s="2089" t="n"/>
      <c r="BS25" s="2090" t="n"/>
      <c r="BT25" s="2089" t="n"/>
      <c r="BU25" s="2089" t="n"/>
      <c r="BV25" s="2089" t="n"/>
      <c r="BW25" s="2089" t="n"/>
      <c r="BX25" s="2090" t="n"/>
      <c r="BY25" s="2090" t="n"/>
      <c r="BZ25" s="2090" t="n"/>
      <c r="CA25" s="2090" t="n"/>
      <c r="CB25" s="2085" t="n"/>
    </row>
    <row r="26" ht="14.4" customFormat="1" customHeight="1" s="2105">
      <c r="A26" s="2106" t="inlineStr">
        <is>
          <t>CEO - comp tied to equity, %</t>
        </is>
      </c>
      <c r="B26" s="2107" t="n"/>
      <c r="C26" s="2108" t="n"/>
      <c r="D26" s="2108" t="n"/>
      <c r="E26" s="2108" t="n"/>
      <c r="F26" s="2108" t="n"/>
      <c r="G26" s="2109" t="n"/>
      <c r="H26" s="2109" t="n"/>
      <c r="I26" s="2109" t="n"/>
      <c r="J26" s="2109" t="n"/>
      <c r="K26" s="2108" t="n"/>
      <c r="L26" s="2109" t="n"/>
      <c r="M26" s="2109" t="n"/>
      <c r="N26" s="2109" t="n"/>
      <c r="O26" s="2109" t="n"/>
      <c r="P26" s="2108" t="n"/>
      <c r="Q26" s="2109" t="n"/>
      <c r="R26" s="2109" t="n"/>
      <c r="S26" s="2109" t="n"/>
      <c r="T26" s="2109" t="n"/>
      <c r="U26" s="2108" t="n"/>
      <c r="V26" s="2109" t="n"/>
      <c r="W26" s="2109" t="n"/>
      <c r="X26" s="2109" t="n"/>
      <c r="Y26" s="2109" t="n"/>
      <c r="Z26" s="2108" t="n"/>
      <c r="AA26" s="2109" t="n"/>
      <c r="AB26" s="2109" t="n"/>
      <c r="AC26" s="2109" t="n"/>
      <c r="AD26" s="2109" t="n"/>
      <c r="AE26" s="2108" t="n"/>
      <c r="AF26" s="2109" t="n"/>
      <c r="AG26" s="2109" t="n"/>
      <c r="AH26" s="2109" t="n"/>
      <c r="AI26" s="2109" t="n"/>
      <c r="AJ26" s="2108" t="n"/>
      <c r="AK26" s="2109" t="n"/>
      <c r="AL26" s="2109" t="n"/>
      <c r="AM26" s="2109" t="n"/>
      <c r="AN26" s="2109" t="n"/>
      <c r="AO26" s="2108" t="n"/>
      <c r="AP26" s="2109" t="n"/>
      <c r="AQ26" s="2109" t="n"/>
      <c r="AR26" s="2109" t="n"/>
      <c r="AS26" s="2109" t="n"/>
      <c r="AT26" s="2108">
        <f>SUM(AT21,AT22)/AT25</f>
        <v/>
      </c>
      <c r="AU26" s="2109" t="n"/>
      <c r="AV26" s="2109" t="n"/>
      <c r="AW26" s="2109" t="n"/>
      <c r="AX26" s="2109" t="n"/>
      <c r="AY26" s="2108">
        <f>SUM(AY21,AY22)/AY25</f>
        <v/>
      </c>
      <c r="AZ26" s="2109" t="n"/>
      <c r="BA26" s="2109" t="n"/>
      <c r="BB26" s="2109" t="n"/>
      <c r="BC26" s="2109" t="n"/>
      <c r="BD26" s="2108">
        <f>SUM(BD21,BD22)/BD25</f>
        <v/>
      </c>
      <c r="BE26" s="2109" t="n"/>
      <c r="BF26" s="2109" t="n"/>
      <c r="BG26" s="2109" t="n"/>
      <c r="BH26" s="2109" t="n"/>
      <c r="BI26" s="2108">
        <f>SUM(BI21,BI22)/BI25</f>
        <v/>
      </c>
      <c r="BJ26" s="2109" t="n"/>
      <c r="BK26" s="2109" t="n"/>
      <c r="BL26" s="2109" t="n"/>
      <c r="BM26" s="2109" t="n"/>
      <c r="BN26" s="2108" t="n"/>
      <c r="BO26" s="2109" t="n"/>
      <c r="BP26" s="2109" t="n"/>
      <c r="BQ26" s="2110" t="n"/>
      <c r="BR26" s="2111" t="n"/>
      <c r="BS26" s="2112" t="n"/>
      <c r="BT26" s="2111" t="n"/>
      <c r="BU26" s="2111" t="n"/>
      <c r="BV26" s="2111" t="n"/>
      <c r="BW26" s="2111" t="n"/>
      <c r="BX26" s="2112" t="n"/>
      <c r="BY26" s="2112" t="n"/>
      <c r="BZ26" s="2112" t="n"/>
      <c r="CA26" s="2112" t="n"/>
      <c r="CB26" s="2113" t="n"/>
    </row>
    <row r="27" ht="14.4" customFormat="1" customHeight="1" s="2101">
      <c r="A27" s="1593" t="inlineStr">
        <is>
          <t>Market Cap - EoP, mm</t>
        </is>
      </c>
      <c r="B27" s="2086" t="n"/>
      <c r="C27" s="2087" t="n"/>
      <c r="D27" s="2087" t="n"/>
      <c r="E27" s="2087" t="n"/>
      <c r="F27" s="2087" t="n"/>
      <c r="G27" s="2072" t="n"/>
      <c r="H27" s="2072" t="n"/>
      <c r="I27" s="2072" t="n"/>
      <c r="J27" s="2072" t="n"/>
      <c r="K27" s="2087" t="n"/>
      <c r="L27" s="2072" t="n"/>
      <c r="M27" s="2072" t="n"/>
      <c r="N27" s="2072" t="n"/>
      <c r="O27" s="2072" t="n"/>
      <c r="P27" s="2087" t="n"/>
      <c r="Q27" s="2072" t="n"/>
      <c r="R27" s="2072" t="n"/>
      <c r="S27" s="2072" t="n"/>
      <c r="T27" s="2072" t="n"/>
      <c r="U27" s="2087" t="n"/>
      <c r="V27" s="2072" t="n"/>
      <c r="W27" s="2072" t="n"/>
      <c r="X27" s="2072" t="n"/>
      <c r="Y27" s="2072" t="n"/>
      <c r="Z27" s="2087" t="n"/>
      <c r="AA27" s="2072" t="n"/>
      <c r="AB27" s="2072" t="n"/>
      <c r="AC27" s="2072" t="n"/>
      <c r="AD27" s="2072" t="n"/>
      <c r="AE27" s="2087" t="n"/>
      <c r="AF27" s="2072" t="n"/>
      <c r="AG27" s="2072" t="n"/>
      <c r="AH27" s="2072" t="n"/>
      <c r="AI27" s="2072" t="n"/>
      <c r="AJ27" s="2087" t="n"/>
      <c r="AK27" s="2072" t="n"/>
      <c r="AL27" s="2072" t="n"/>
      <c r="AM27" s="2072" t="n"/>
      <c r="AN27" s="2072" t="n"/>
      <c r="AO27" s="2087" t="n"/>
      <c r="AP27" s="2072" t="n"/>
      <c r="AQ27" s="2072" t="n"/>
      <c r="AR27" s="2072" t="n"/>
      <c r="AS27" s="2072" t="n"/>
      <c r="AT27" s="2114">
        <f>Model!AT982</f>
        <v/>
      </c>
      <c r="AU27" s="2115">
        <f>Model!AU982</f>
        <v/>
      </c>
      <c r="AV27" s="2115">
        <f>Model!AV982</f>
        <v/>
      </c>
      <c r="AW27" s="2115">
        <f>Model!AW982</f>
        <v/>
      </c>
      <c r="AX27" s="2115">
        <f>Model!AX982</f>
        <v/>
      </c>
      <c r="AY27" s="2114">
        <f>Model!AY982</f>
        <v/>
      </c>
      <c r="AZ27" s="2115">
        <f>Model!AZ982</f>
        <v/>
      </c>
      <c r="BA27" s="2115">
        <f>Model!BA982</f>
        <v/>
      </c>
      <c r="BB27" s="2115">
        <f>Model!BB982</f>
        <v/>
      </c>
      <c r="BC27" s="2115">
        <f>Model!BC982</f>
        <v/>
      </c>
      <c r="BD27" s="2114">
        <f>Model!BD982</f>
        <v/>
      </c>
      <c r="BE27" s="2115">
        <f>Model!BE982</f>
        <v/>
      </c>
      <c r="BF27" s="2115">
        <f>Model!BF982</f>
        <v/>
      </c>
      <c r="BG27" s="2115">
        <f>Model!BG982</f>
        <v/>
      </c>
      <c r="BH27" s="2115">
        <f>Model!BH982</f>
        <v/>
      </c>
      <c r="BI27" s="2114">
        <f>Model!BI982</f>
        <v/>
      </c>
      <c r="BJ27" s="2115">
        <f>Model!BJ982</f>
        <v/>
      </c>
      <c r="BK27" s="2115">
        <f>Model!BK982</f>
        <v/>
      </c>
      <c r="BL27" s="2115">
        <f>Model!BL982</f>
        <v/>
      </c>
      <c r="BM27" s="2115">
        <f>Model!BM982</f>
        <v/>
      </c>
      <c r="BN27" s="2114">
        <f>Model!BN982</f>
        <v/>
      </c>
      <c r="BO27" s="2115">
        <f>Model!BO982</f>
        <v/>
      </c>
      <c r="BP27" s="2115">
        <f>Model!BP982</f>
        <v/>
      </c>
      <c r="BQ27" s="2116">
        <f>Model!BQ982</f>
        <v/>
      </c>
      <c r="BR27" s="2072" t="n"/>
      <c r="BS27" s="2087" t="n"/>
      <c r="BT27" s="2072" t="n"/>
      <c r="BU27" s="2072" t="n"/>
      <c r="BV27" s="2072" t="n"/>
      <c r="BW27" s="2072" t="n"/>
      <c r="BX27" s="2087" t="n"/>
      <c r="BY27" s="2087" t="n"/>
      <c r="BZ27" s="2087" t="n"/>
      <c r="CA27" s="2087" t="n"/>
      <c r="CB27" s="2103" t="n"/>
    </row>
    <row r="28" ht="14.4" customFormat="1" customHeight="1" s="2082">
      <c r="A28" s="1611" t="n"/>
      <c r="B28" s="2086" t="n"/>
      <c r="C28" s="2087" t="n"/>
      <c r="D28" s="2087" t="n"/>
      <c r="E28" s="2087" t="n"/>
      <c r="F28" s="2087" t="n"/>
      <c r="G28" s="2072" t="n"/>
      <c r="H28" s="2072" t="n"/>
      <c r="I28" s="2072" t="n"/>
      <c r="J28" s="2072" t="n"/>
      <c r="K28" s="2087" t="n"/>
      <c r="L28" s="2072" t="n"/>
      <c r="M28" s="2072" t="n"/>
      <c r="N28" s="2072" t="n"/>
      <c r="O28" s="2072" t="n"/>
      <c r="P28" s="2087" t="n"/>
      <c r="Q28" s="2072" t="n"/>
      <c r="R28" s="2072" t="n"/>
      <c r="S28" s="2072" t="n"/>
      <c r="T28" s="2072" t="n"/>
      <c r="U28" s="2087" t="n"/>
      <c r="V28" s="2072" t="n"/>
      <c r="W28" s="2072" t="n"/>
      <c r="X28" s="2072" t="n"/>
      <c r="Y28" s="2072" t="n"/>
      <c r="Z28" s="2087" t="n"/>
      <c r="AA28" s="2072" t="n"/>
      <c r="AB28" s="2072" t="n"/>
      <c r="AC28" s="2072" t="n"/>
      <c r="AD28" s="2072" t="n"/>
      <c r="AE28" s="2087" t="n"/>
      <c r="AF28" s="2072" t="n"/>
      <c r="AG28" s="2072" t="n"/>
      <c r="AH28" s="2072" t="n"/>
      <c r="AI28" s="2072" t="n"/>
      <c r="AJ28" s="2087" t="n"/>
      <c r="AK28" s="2072" t="n"/>
      <c r="AL28" s="2072" t="n"/>
      <c r="AM28" s="2072" t="n"/>
      <c r="AN28" s="2072" t="n"/>
      <c r="AO28" s="2087" t="n"/>
      <c r="AP28" s="2072" t="n"/>
      <c r="AQ28" s="2072" t="n"/>
      <c r="AR28" s="2072" t="n"/>
      <c r="AS28" s="2072" t="n"/>
      <c r="AT28" s="2087" t="n"/>
      <c r="AU28" s="2072" t="n"/>
      <c r="AV28" s="2072" t="n"/>
      <c r="AW28" s="2072" t="n"/>
      <c r="AX28" s="2072" t="n"/>
      <c r="AY28" s="2087" t="n"/>
      <c r="AZ28" s="2072" t="n"/>
      <c r="BA28" s="2072" t="n"/>
      <c r="BB28" s="2072" t="n"/>
      <c r="BC28" s="2072" t="n"/>
      <c r="BD28" s="2087" t="n"/>
      <c r="BE28" s="2072" t="n"/>
      <c r="BF28" s="2072" t="n"/>
      <c r="BG28" s="2072" t="n"/>
      <c r="BH28" s="2072" t="n"/>
      <c r="BI28" s="2087" t="n"/>
      <c r="BJ28" s="2072" t="n"/>
      <c r="BK28" s="2072" t="n"/>
      <c r="BL28" s="2072" t="n"/>
      <c r="BM28" s="2072" t="n"/>
      <c r="BN28" s="2087" t="n"/>
      <c r="BO28" s="2072" t="n"/>
      <c r="BP28" s="2072" t="n"/>
      <c r="BQ28" s="2073" t="n"/>
      <c r="BR28" s="2089" t="n"/>
      <c r="BS28" s="2090" t="n"/>
      <c r="BT28" s="2089" t="n"/>
      <c r="BU28" s="2089" t="n"/>
      <c r="BV28" s="2089" t="n"/>
      <c r="BW28" s="2089" t="n"/>
      <c r="BX28" s="2090" t="n"/>
      <c r="BY28" s="2090" t="n"/>
      <c r="BZ28" s="2090" t="n"/>
      <c r="CA28" s="2090" t="n"/>
      <c r="CB28" s="2085" t="n"/>
    </row>
    <row r="29" ht="14.4" customFormat="1" customHeight="1" s="2082">
      <c r="A29" s="1611" t="inlineStr">
        <is>
          <t>CEO - Options 02/09/22 # of unexercised exercisable options, 000s</t>
        </is>
      </c>
      <c r="B29" s="2086" t="n"/>
      <c r="C29" s="2087" t="n"/>
      <c r="D29" s="2087" t="n"/>
      <c r="E29" s="2087" t="n"/>
      <c r="F29" s="2087" t="n"/>
      <c r="G29" s="2072" t="n"/>
      <c r="H29" s="2072" t="n"/>
      <c r="I29" s="2072" t="n"/>
      <c r="J29" s="2072" t="n"/>
      <c r="K29" s="2087" t="n"/>
      <c r="L29" s="2072" t="n"/>
      <c r="M29" s="2072" t="n"/>
      <c r="N29" s="2072" t="n"/>
      <c r="O29" s="2072" t="n"/>
      <c r="P29" s="2087" t="n"/>
      <c r="Q29" s="2072" t="n"/>
      <c r="R29" s="2072" t="n"/>
      <c r="S29" s="2072" t="n"/>
      <c r="T29" s="2072" t="n"/>
      <c r="U29" s="2087" t="n"/>
      <c r="V29" s="2072" t="n"/>
      <c r="W29" s="2072" t="n"/>
      <c r="X29" s="2072" t="n"/>
      <c r="Y29" s="2072" t="n"/>
      <c r="Z29" s="2087" t="n"/>
      <c r="AA29" s="2072" t="n"/>
      <c r="AB29" s="2072" t="n"/>
      <c r="AC29" s="2072" t="n"/>
      <c r="AD29" s="2072" t="n"/>
      <c r="AE29" s="2087" t="n"/>
      <c r="AF29" s="2072" t="n"/>
      <c r="AG29" s="2072" t="n"/>
      <c r="AH29" s="2072" t="n"/>
      <c r="AI29" s="2072" t="n"/>
      <c r="AJ29" s="2087" t="n"/>
      <c r="AK29" s="2072" t="n"/>
      <c r="AL29" s="2072" t="n"/>
      <c r="AM29" s="2072" t="n"/>
      <c r="AN29" s="2072" t="n"/>
      <c r="AO29" s="2087" t="n"/>
      <c r="AP29" s="2072" t="n"/>
      <c r="AQ29" s="2072" t="n"/>
      <c r="AR29" s="2072" t="n"/>
      <c r="AS29" s="2072" t="n"/>
      <c r="AT29" s="2117" t="n">
        <v>500</v>
      </c>
      <c r="AU29" s="2072" t="n"/>
      <c r="AV29" s="2072" t="n"/>
      <c r="AW29" s="2072" t="n"/>
      <c r="AX29" s="2072" t="n"/>
      <c r="AY29" s="2087" t="n"/>
      <c r="AZ29" s="2072" t="n"/>
      <c r="BA29" s="2072" t="n"/>
      <c r="BB29" s="2072" t="n"/>
      <c r="BC29" s="2072" t="n"/>
      <c r="BD29" s="2087" t="n"/>
      <c r="BE29" s="2072" t="n"/>
      <c r="BF29" s="2072" t="n"/>
      <c r="BG29" s="2072" t="n"/>
      <c r="BH29" s="2072" t="n"/>
      <c r="BI29" s="2087" t="n"/>
      <c r="BJ29" s="2072" t="n"/>
      <c r="BK29" s="2072" t="n"/>
      <c r="BL29" s="2072" t="n"/>
      <c r="BM29" s="2072" t="n"/>
      <c r="BN29" s="2087" t="n"/>
      <c r="BO29" s="2072" t="n"/>
      <c r="BP29" s="2072" t="n"/>
      <c r="BQ29" s="2073" t="n"/>
      <c r="BR29" s="2089" t="n"/>
      <c r="BS29" s="2090" t="n"/>
      <c r="BT29" s="2089" t="n"/>
      <c r="BU29" s="2089" t="n"/>
      <c r="BV29" s="2089" t="n"/>
      <c r="BW29" s="2089" t="n"/>
      <c r="BX29" s="2090" t="n"/>
      <c r="BY29" s="2090" t="n"/>
      <c r="BZ29" s="2090" t="n"/>
      <c r="CA29" s="2090" t="n"/>
      <c r="CB29" s="2085" t="n"/>
    </row>
    <row r="30" ht="14.4" customFormat="1" customHeight="1" s="2118">
      <c r="A30" s="2119" t="inlineStr">
        <is>
          <t>CEO - Options 02/09/22 exercise price, $</t>
        </is>
      </c>
      <c r="B30" s="2120" t="n"/>
      <c r="C30" s="2121" t="n"/>
      <c r="D30" s="2121" t="n"/>
      <c r="E30" s="2121" t="n"/>
      <c r="F30" s="2121" t="n"/>
      <c r="G30" s="2122" t="n"/>
      <c r="H30" s="2122" t="n"/>
      <c r="I30" s="2122" t="n"/>
      <c r="J30" s="2122" t="n"/>
      <c r="K30" s="2121" t="n"/>
      <c r="L30" s="2122" t="n"/>
      <c r="M30" s="2122" t="n"/>
      <c r="N30" s="2122" t="n"/>
      <c r="O30" s="2122" t="n"/>
      <c r="P30" s="2121" t="n"/>
      <c r="Q30" s="2122" t="n"/>
      <c r="R30" s="2122" t="n"/>
      <c r="S30" s="2122" t="n"/>
      <c r="T30" s="2122" t="n"/>
      <c r="U30" s="2121" t="n"/>
      <c r="V30" s="2122" t="n"/>
      <c r="W30" s="2122" t="n"/>
      <c r="X30" s="2122" t="n"/>
      <c r="Y30" s="2122" t="n"/>
      <c r="Z30" s="2121" t="n"/>
      <c r="AA30" s="2122" t="n"/>
      <c r="AB30" s="2122" t="n"/>
      <c r="AC30" s="2122" t="n"/>
      <c r="AD30" s="2122" t="n"/>
      <c r="AE30" s="2121" t="n"/>
      <c r="AF30" s="2122" t="n"/>
      <c r="AG30" s="2122" t="n"/>
      <c r="AH30" s="2122" t="n"/>
      <c r="AI30" s="2122" t="n"/>
      <c r="AJ30" s="2121" t="n"/>
      <c r="AK30" s="2122" t="n"/>
      <c r="AL30" s="2122" t="n"/>
      <c r="AM30" s="2122" t="n"/>
      <c r="AN30" s="2122" t="n"/>
      <c r="AO30" s="2121" t="n"/>
      <c r="AP30" s="2122" t="n"/>
      <c r="AQ30" s="2122" t="n"/>
      <c r="AR30" s="2122" t="n"/>
      <c r="AS30" s="2122" t="n"/>
      <c r="AT30" s="2123" t="n">
        <v>17.16</v>
      </c>
      <c r="AU30" s="2122" t="n"/>
      <c r="AV30" s="2122" t="n"/>
      <c r="AW30" s="2122" t="n"/>
      <c r="AX30" s="2122" t="n"/>
      <c r="AY30" s="2121" t="n"/>
      <c r="AZ30" s="2122" t="n"/>
      <c r="BA30" s="2122" t="n"/>
      <c r="BB30" s="2122" t="n"/>
      <c r="BC30" s="2122" t="n"/>
      <c r="BD30" s="2121" t="n"/>
      <c r="BE30" s="2122" t="n"/>
      <c r="BF30" s="2122" t="n"/>
      <c r="BG30" s="2122" t="n"/>
      <c r="BH30" s="2122" t="n"/>
      <c r="BI30" s="2121" t="n"/>
      <c r="BJ30" s="2122" t="n"/>
      <c r="BK30" s="2122" t="n"/>
      <c r="BL30" s="2122" t="n"/>
      <c r="BM30" s="2122" t="n"/>
      <c r="BN30" s="2121" t="n"/>
      <c r="BO30" s="2122" t="n"/>
      <c r="BP30" s="2122" t="n"/>
      <c r="BQ30" s="2124" t="n"/>
      <c r="BR30" s="2125" t="n"/>
      <c r="BS30" s="2126" t="n"/>
      <c r="BT30" s="2125" t="n"/>
      <c r="BU30" s="2125" t="n"/>
      <c r="BV30" s="2125" t="n"/>
      <c r="BW30" s="2125" t="n"/>
      <c r="BX30" s="2126" t="n"/>
      <c r="BY30" s="2126" t="n"/>
      <c r="BZ30" s="2126" t="n"/>
      <c r="CA30" s="2126" t="n"/>
      <c r="CB30" s="2127" t="n"/>
    </row>
    <row r="31" ht="14.4" customFormat="1" customHeight="1" s="2082">
      <c r="A31" s="1611" t="n"/>
      <c r="B31" s="2086" t="n"/>
      <c r="C31" s="2087" t="n"/>
      <c r="D31" s="2087" t="n"/>
      <c r="E31" s="2087" t="n"/>
      <c r="F31" s="2087" t="n"/>
      <c r="G31" s="2072" t="n"/>
      <c r="H31" s="2072" t="n"/>
      <c r="I31" s="2072" t="n"/>
      <c r="J31" s="2072" t="n"/>
      <c r="K31" s="2087" t="n"/>
      <c r="L31" s="2072" t="n"/>
      <c r="M31" s="2072" t="n"/>
      <c r="N31" s="2072" t="n"/>
      <c r="O31" s="2072" t="n"/>
      <c r="P31" s="2087" t="n"/>
      <c r="Q31" s="2072" t="n"/>
      <c r="R31" s="2072" t="n"/>
      <c r="S31" s="2072" t="n"/>
      <c r="T31" s="2072" t="n"/>
      <c r="U31" s="2087" t="n"/>
      <c r="V31" s="2072" t="n"/>
      <c r="W31" s="2072" t="n"/>
      <c r="X31" s="2072" t="n"/>
      <c r="Y31" s="2072" t="n"/>
      <c r="Z31" s="2087" t="n"/>
      <c r="AA31" s="2072" t="n"/>
      <c r="AB31" s="2072" t="n"/>
      <c r="AC31" s="2072" t="n"/>
      <c r="AD31" s="2072" t="n"/>
      <c r="AE31" s="2087" t="n"/>
      <c r="AF31" s="2072" t="n"/>
      <c r="AG31" s="2072" t="n"/>
      <c r="AH31" s="2072" t="n"/>
      <c r="AI31" s="2072" t="n"/>
      <c r="AJ31" s="2087" t="n"/>
      <c r="AK31" s="2072" t="n"/>
      <c r="AL31" s="2072" t="n"/>
      <c r="AM31" s="2072" t="n"/>
      <c r="AN31" s="2072" t="n"/>
      <c r="AO31" s="2087" t="n"/>
      <c r="AP31" s="2072" t="n"/>
      <c r="AQ31" s="2072" t="n"/>
      <c r="AR31" s="2072" t="n"/>
      <c r="AS31" s="2072" t="n"/>
      <c r="AT31" s="2087" t="n"/>
      <c r="AU31" s="2072" t="n"/>
      <c r="AV31" s="2072" t="n"/>
      <c r="AW31" s="2072" t="n"/>
      <c r="AX31" s="2072" t="n"/>
      <c r="AY31" s="2087" t="n"/>
      <c r="AZ31" s="2072" t="n"/>
      <c r="BA31" s="2072" t="n"/>
      <c r="BB31" s="2072" t="n"/>
      <c r="BC31" s="2072" t="n"/>
      <c r="BD31" s="2087" t="n"/>
      <c r="BE31" s="2072" t="n"/>
      <c r="BF31" s="2072" t="n"/>
      <c r="BG31" s="2072" t="n"/>
      <c r="BH31" s="2072" t="n"/>
      <c r="BI31" s="2087" t="n"/>
      <c r="BJ31" s="2072" t="n"/>
      <c r="BK31" s="2072" t="n"/>
      <c r="BL31" s="2072" t="n"/>
      <c r="BM31" s="2072" t="n"/>
      <c r="BN31" s="2087" t="n"/>
      <c r="BO31" s="2072" t="n"/>
      <c r="BP31" s="2072" t="n"/>
      <c r="BQ31" s="2073" t="n"/>
      <c r="BR31" s="2089" t="n"/>
      <c r="BS31" s="2090" t="n"/>
      <c r="BT31" s="2089" t="n"/>
      <c r="BU31" s="2089" t="n"/>
      <c r="BV31" s="2089" t="n"/>
      <c r="BW31" s="2089" t="n"/>
      <c r="BX31" s="2090" t="n"/>
      <c r="BY31" s="2090" t="n"/>
      <c r="BZ31" s="2090" t="n"/>
      <c r="CA31" s="2090" t="n"/>
      <c r="CB31" s="2085" t="n"/>
    </row>
    <row r="32" ht="14.4" customFormat="1" customHeight="1" s="2082">
      <c r="A32" s="1611" t="inlineStr">
        <is>
          <t>CEO - Options 02/08/23 # of unexercised exercisable options, 000s</t>
        </is>
      </c>
      <c r="B32" s="2086" t="n"/>
      <c r="C32" s="2087" t="n"/>
      <c r="D32" s="2087" t="n"/>
      <c r="E32" s="2087" t="n"/>
      <c r="F32" s="2087" t="n"/>
      <c r="G32" s="2072" t="n"/>
      <c r="H32" s="2072" t="n"/>
      <c r="I32" s="2072" t="n"/>
      <c r="J32" s="2072" t="n"/>
      <c r="K32" s="2087" t="n"/>
      <c r="L32" s="2072" t="n"/>
      <c r="M32" s="2072" t="n"/>
      <c r="N32" s="2072" t="n"/>
      <c r="O32" s="2072" t="n"/>
      <c r="P32" s="2087" t="n"/>
      <c r="Q32" s="2072" t="n"/>
      <c r="R32" s="2072" t="n"/>
      <c r="S32" s="2072" t="n"/>
      <c r="T32" s="2072" t="n"/>
      <c r="U32" s="2087" t="n"/>
      <c r="V32" s="2072" t="n"/>
      <c r="W32" s="2072" t="n"/>
      <c r="X32" s="2072" t="n"/>
      <c r="Y32" s="2072" t="n"/>
      <c r="Z32" s="2087" t="n"/>
      <c r="AA32" s="2072" t="n"/>
      <c r="AB32" s="2072" t="n"/>
      <c r="AC32" s="2072" t="n"/>
      <c r="AD32" s="2072" t="n"/>
      <c r="AE32" s="2087" t="n"/>
      <c r="AF32" s="2072" t="n"/>
      <c r="AG32" s="2072" t="n"/>
      <c r="AH32" s="2072" t="n"/>
      <c r="AI32" s="2072" t="n"/>
      <c r="AJ32" s="2087" t="n"/>
      <c r="AK32" s="2072" t="n"/>
      <c r="AL32" s="2072" t="n"/>
      <c r="AM32" s="2072" t="n"/>
      <c r="AN32" s="2072" t="n"/>
      <c r="AO32" s="2087" t="n"/>
      <c r="AP32" s="2072" t="n"/>
      <c r="AQ32" s="2072" t="n"/>
      <c r="AR32" s="2072" t="n"/>
      <c r="AS32" s="2072" t="n"/>
      <c r="AT32" s="2117" t="n">
        <v>500</v>
      </c>
      <c r="AU32" s="2072" t="n"/>
      <c r="AV32" s="2072" t="n"/>
      <c r="AW32" s="2072" t="n"/>
      <c r="AX32" s="2072" t="n"/>
      <c r="AY32" s="2087" t="n"/>
      <c r="AZ32" s="2072" t="n"/>
      <c r="BA32" s="2072" t="n"/>
      <c r="BB32" s="2072" t="n"/>
      <c r="BC32" s="2072" t="n"/>
      <c r="BD32" s="2087" t="n"/>
      <c r="BE32" s="2072" t="n"/>
      <c r="BF32" s="2072" t="n"/>
      <c r="BG32" s="2072" t="n"/>
      <c r="BH32" s="2072" t="n"/>
      <c r="BI32" s="2087" t="n"/>
      <c r="BJ32" s="2072" t="n"/>
      <c r="BK32" s="2072" t="n"/>
      <c r="BL32" s="2072" t="n"/>
      <c r="BM32" s="2072" t="n"/>
      <c r="BN32" s="2087" t="n"/>
      <c r="BO32" s="2072" t="n"/>
      <c r="BP32" s="2072" t="n"/>
      <c r="BQ32" s="2073" t="n"/>
      <c r="BR32" s="2089" t="n"/>
      <c r="BS32" s="2090" t="n"/>
      <c r="BT32" s="2089" t="n"/>
      <c r="BU32" s="2089" t="n"/>
      <c r="BV32" s="2089" t="n"/>
      <c r="BW32" s="2089" t="n"/>
      <c r="BX32" s="2090" t="n"/>
      <c r="BY32" s="2090" t="n"/>
      <c r="BZ32" s="2090" t="n"/>
      <c r="CA32" s="2090" t="n"/>
      <c r="CB32" s="2085" t="n"/>
    </row>
    <row r="33" ht="14.4" customFormat="1" customHeight="1" s="2118">
      <c r="A33" s="2119" t="inlineStr">
        <is>
          <t>CEO - Options 02/08/23 exercise price, $</t>
        </is>
      </c>
      <c r="B33" s="2120" t="n"/>
      <c r="C33" s="2121" t="n"/>
      <c r="D33" s="2121" t="n"/>
      <c r="E33" s="2121" t="n"/>
      <c r="F33" s="2121" t="n"/>
      <c r="G33" s="2122" t="n"/>
      <c r="H33" s="2122" t="n"/>
      <c r="I33" s="2122" t="n"/>
      <c r="J33" s="2122" t="n"/>
      <c r="K33" s="2121" t="n"/>
      <c r="L33" s="2122" t="n"/>
      <c r="M33" s="2122" t="n"/>
      <c r="N33" s="2122" t="n"/>
      <c r="O33" s="2122" t="n"/>
      <c r="P33" s="2121" t="n"/>
      <c r="Q33" s="2122" t="n"/>
      <c r="R33" s="2122" t="n"/>
      <c r="S33" s="2122" t="n"/>
      <c r="T33" s="2122" t="n"/>
      <c r="U33" s="2121" t="n"/>
      <c r="V33" s="2122" t="n"/>
      <c r="W33" s="2122" t="n"/>
      <c r="X33" s="2122" t="n"/>
      <c r="Y33" s="2122" t="n"/>
      <c r="Z33" s="2121" t="n"/>
      <c r="AA33" s="2122" t="n"/>
      <c r="AB33" s="2122" t="n"/>
      <c r="AC33" s="2122" t="n"/>
      <c r="AD33" s="2122" t="n"/>
      <c r="AE33" s="2121" t="n"/>
      <c r="AF33" s="2122" t="n"/>
      <c r="AG33" s="2122" t="n"/>
      <c r="AH33" s="2122" t="n"/>
      <c r="AI33" s="2122" t="n"/>
      <c r="AJ33" s="2121" t="n"/>
      <c r="AK33" s="2122" t="n"/>
      <c r="AL33" s="2122" t="n"/>
      <c r="AM33" s="2122" t="n"/>
      <c r="AN33" s="2122" t="n"/>
      <c r="AO33" s="2121" t="n"/>
      <c r="AP33" s="2122" t="n"/>
      <c r="AQ33" s="2122" t="n"/>
      <c r="AR33" s="2122" t="n"/>
      <c r="AS33" s="2122" t="n"/>
      <c r="AT33" s="2123" t="n">
        <v>19.6</v>
      </c>
      <c r="AU33" s="2122" t="n"/>
      <c r="AV33" s="2122" t="n"/>
      <c r="AW33" s="2122" t="n"/>
      <c r="AX33" s="2122" t="n"/>
      <c r="AY33" s="2121" t="n"/>
      <c r="AZ33" s="2122" t="n"/>
      <c r="BA33" s="2122" t="n"/>
      <c r="BB33" s="2122" t="n"/>
      <c r="BC33" s="2122" t="n"/>
      <c r="BD33" s="2121" t="n"/>
      <c r="BE33" s="2122" t="n"/>
      <c r="BF33" s="2122" t="n"/>
      <c r="BG33" s="2122" t="n"/>
      <c r="BH33" s="2122" t="n"/>
      <c r="BI33" s="2121" t="n"/>
      <c r="BJ33" s="2122" t="n"/>
      <c r="BK33" s="2122" t="n"/>
      <c r="BL33" s="2122" t="n"/>
      <c r="BM33" s="2122" t="n"/>
      <c r="BN33" s="2121" t="n"/>
      <c r="BO33" s="2122" t="n"/>
      <c r="BP33" s="2122" t="n"/>
      <c r="BQ33" s="2124" t="n"/>
      <c r="BR33" s="2125" t="n"/>
      <c r="BS33" s="2126" t="n"/>
      <c r="BT33" s="2125" t="n"/>
      <c r="BU33" s="2125" t="n"/>
      <c r="BV33" s="2125" t="n"/>
      <c r="BW33" s="2125" t="n"/>
      <c r="BX33" s="2126" t="n"/>
      <c r="BY33" s="2126" t="n"/>
      <c r="BZ33" s="2126" t="n"/>
      <c r="CA33" s="2126" t="n"/>
      <c r="CB33" s="2127" t="n"/>
    </row>
    <row r="34" ht="14.4" customFormat="1" customHeight="1" s="2082">
      <c r="A34" s="1611" t="n"/>
      <c r="B34" s="2086" t="n"/>
      <c r="C34" s="2087" t="n"/>
      <c r="D34" s="2087" t="n"/>
      <c r="E34" s="2087" t="n"/>
      <c r="F34" s="2087" t="n"/>
      <c r="G34" s="2072" t="n"/>
      <c r="H34" s="2072" t="n"/>
      <c r="I34" s="2072" t="n"/>
      <c r="J34" s="2072" t="n"/>
      <c r="K34" s="2087" t="n"/>
      <c r="L34" s="2072" t="n"/>
      <c r="M34" s="2072" t="n"/>
      <c r="N34" s="2072" t="n"/>
      <c r="O34" s="2072" t="n"/>
      <c r="P34" s="2087" t="n"/>
      <c r="Q34" s="2072" t="n"/>
      <c r="R34" s="2072" t="n"/>
      <c r="S34" s="2072" t="n"/>
      <c r="T34" s="2072" t="n"/>
      <c r="U34" s="2087" t="n"/>
      <c r="V34" s="2072" t="n"/>
      <c r="W34" s="2072" t="n"/>
      <c r="X34" s="2072" t="n"/>
      <c r="Y34" s="2072" t="n"/>
      <c r="Z34" s="2087" t="n"/>
      <c r="AA34" s="2072" t="n"/>
      <c r="AB34" s="2072" t="n"/>
      <c r="AC34" s="2072" t="n"/>
      <c r="AD34" s="2072" t="n"/>
      <c r="AE34" s="2087" t="n"/>
      <c r="AF34" s="2072" t="n"/>
      <c r="AG34" s="2072" t="n"/>
      <c r="AH34" s="2072" t="n"/>
      <c r="AI34" s="2072" t="n"/>
      <c r="AJ34" s="2087" t="n"/>
      <c r="AK34" s="2072" t="n"/>
      <c r="AL34" s="2072" t="n"/>
      <c r="AM34" s="2072" t="n"/>
      <c r="AN34" s="2072" t="n"/>
      <c r="AO34" s="2087" t="n"/>
      <c r="AP34" s="2072" t="n"/>
      <c r="AQ34" s="2072" t="n"/>
      <c r="AR34" s="2072" t="n"/>
      <c r="AS34" s="2072" t="n"/>
      <c r="AT34" s="2087" t="n"/>
      <c r="AU34" s="2072" t="n"/>
      <c r="AV34" s="2072" t="n"/>
      <c r="AW34" s="2072" t="n"/>
      <c r="AX34" s="2072" t="n"/>
      <c r="AY34" s="2087" t="n"/>
      <c r="AZ34" s="2072" t="n"/>
      <c r="BA34" s="2072" t="n"/>
      <c r="BB34" s="2072" t="n"/>
      <c r="BC34" s="2072" t="n"/>
      <c r="BD34" s="2087" t="n"/>
      <c r="BE34" s="2072" t="n"/>
      <c r="BF34" s="2072" t="n"/>
      <c r="BG34" s="2072" t="n"/>
      <c r="BH34" s="2072" t="n"/>
      <c r="BI34" s="2087" t="n"/>
      <c r="BJ34" s="2072" t="n"/>
      <c r="BK34" s="2072" t="n"/>
      <c r="BL34" s="2072" t="n"/>
      <c r="BM34" s="2072" t="n"/>
      <c r="BN34" s="2087" t="n"/>
      <c r="BO34" s="2072" t="n"/>
      <c r="BP34" s="2072" t="n"/>
      <c r="BQ34" s="2073" t="n"/>
      <c r="BR34" s="2089" t="n"/>
      <c r="BS34" s="2090" t="n"/>
      <c r="BT34" s="2089" t="n"/>
      <c r="BU34" s="2089" t="n"/>
      <c r="BV34" s="2089" t="n"/>
      <c r="BW34" s="2089" t="n"/>
      <c r="BX34" s="2090" t="n"/>
      <c r="BY34" s="2090" t="n"/>
      <c r="BZ34" s="2090" t="n"/>
      <c r="CA34" s="2090" t="n"/>
      <c r="CB34" s="2085" t="n"/>
    </row>
    <row r="35" ht="14.4" customFormat="1" customHeight="1" s="2082">
      <c r="A35" s="1611" t="inlineStr">
        <is>
          <t>CEO - Options 02/21/24 # of unexercised exercisable options, 000s</t>
        </is>
      </c>
      <c r="B35" s="2086" t="n"/>
      <c r="C35" s="2087" t="n"/>
      <c r="D35" s="2087" t="n"/>
      <c r="E35" s="2087" t="n"/>
      <c r="F35" s="2087" t="n"/>
      <c r="G35" s="2072" t="n"/>
      <c r="H35" s="2072" t="n"/>
      <c r="I35" s="2072" t="n"/>
      <c r="J35" s="2072" t="n"/>
      <c r="K35" s="2087" t="n"/>
      <c r="L35" s="2072" t="n"/>
      <c r="M35" s="2072" t="n"/>
      <c r="N35" s="2072" t="n"/>
      <c r="O35" s="2072" t="n"/>
      <c r="P35" s="2087" t="n"/>
      <c r="Q35" s="2072" t="n"/>
      <c r="R35" s="2072" t="n"/>
      <c r="S35" s="2072" t="n"/>
      <c r="T35" s="2072" t="n"/>
      <c r="U35" s="2087" t="n"/>
      <c r="V35" s="2072" t="n"/>
      <c r="W35" s="2072" t="n"/>
      <c r="X35" s="2072" t="n"/>
      <c r="Y35" s="2072" t="n"/>
      <c r="Z35" s="2087" t="n"/>
      <c r="AA35" s="2072" t="n"/>
      <c r="AB35" s="2072" t="n"/>
      <c r="AC35" s="2072" t="n"/>
      <c r="AD35" s="2072" t="n"/>
      <c r="AE35" s="2087" t="n"/>
      <c r="AF35" s="2072" t="n"/>
      <c r="AG35" s="2072" t="n"/>
      <c r="AH35" s="2072" t="n"/>
      <c r="AI35" s="2072" t="n"/>
      <c r="AJ35" s="2087" t="n"/>
      <c r="AK35" s="2072" t="n"/>
      <c r="AL35" s="2072" t="n"/>
      <c r="AM35" s="2072" t="n"/>
      <c r="AN35" s="2072" t="n"/>
      <c r="AO35" s="2087" t="n"/>
      <c r="AP35" s="2072" t="n"/>
      <c r="AQ35" s="2072" t="n"/>
      <c r="AR35" s="2072" t="n"/>
      <c r="AS35" s="2072" t="n"/>
      <c r="AT35" s="2088" t="n">
        <v>407.291</v>
      </c>
      <c r="AU35" s="2072" t="n"/>
      <c r="AV35" s="2072" t="n"/>
      <c r="AW35" s="2072" t="n"/>
      <c r="AX35" s="2072" t="n"/>
      <c r="AY35" s="2087" t="n"/>
      <c r="AZ35" s="2072" t="n"/>
      <c r="BA35" s="2072" t="n"/>
      <c r="BB35" s="2072" t="n"/>
      <c r="BC35" s="2072" t="n"/>
      <c r="BD35" s="2087" t="n"/>
      <c r="BE35" s="2072" t="n"/>
      <c r="BF35" s="2072" t="n"/>
      <c r="BG35" s="2072" t="n"/>
      <c r="BH35" s="2072" t="n"/>
      <c r="BI35" s="2087" t="n"/>
      <c r="BJ35" s="2072" t="n"/>
      <c r="BK35" s="2072" t="n"/>
      <c r="BL35" s="2072" t="n"/>
      <c r="BM35" s="2072" t="n"/>
      <c r="BN35" s="2087" t="n"/>
      <c r="BO35" s="2072" t="n"/>
      <c r="BP35" s="2072" t="n"/>
      <c r="BQ35" s="2073" t="n"/>
      <c r="BR35" s="2089" t="n"/>
      <c r="BS35" s="2090" t="n"/>
      <c r="BT35" s="2089" t="n"/>
      <c r="BU35" s="2089" t="n"/>
      <c r="BV35" s="2089" t="n"/>
      <c r="BW35" s="2089" t="n"/>
      <c r="BX35" s="2090" t="n"/>
      <c r="BY35" s="2090" t="n"/>
      <c r="BZ35" s="2090" t="n"/>
      <c r="CA35" s="2090" t="n"/>
      <c r="CB35" s="2085" t="n"/>
    </row>
    <row r="36" ht="14.4" customFormat="1" customHeight="1" s="2082">
      <c r="A36" s="1611" t="inlineStr">
        <is>
          <t>CEO - Options 02/21/24 # of unexercised unexercisable options, 000s</t>
        </is>
      </c>
      <c r="B36" s="2086" t="n"/>
      <c r="C36" s="2087" t="n"/>
      <c r="D36" s="2087" t="n"/>
      <c r="E36" s="2087" t="n"/>
      <c r="F36" s="2087" t="n"/>
      <c r="G36" s="2072" t="n"/>
      <c r="H36" s="2072" t="n"/>
      <c r="I36" s="2072" t="n"/>
      <c r="J36" s="2072" t="n"/>
      <c r="K36" s="2087" t="n"/>
      <c r="L36" s="2072" t="n"/>
      <c r="M36" s="2072" t="n"/>
      <c r="N36" s="2072" t="n"/>
      <c r="O36" s="2072" t="n"/>
      <c r="P36" s="2087" t="n"/>
      <c r="Q36" s="2072" t="n"/>
      <c r="R36" s="2072" t="n"/>
      <c r="S36" s="2072" t="n"/>
      <c r="T36" s="2072" t="n"/>
      <c r="U36" s="2087" t="n"/>
      <c r="V36" s="2072" t="n"/>
      <c r="W36" s="2072" t="n"/>
      <c r="X36" s="2072" t="n"/>
      <c r="Y36" s="2072" t="n"/>
      <c r="Z36" s="2087" t="n"/>
      <c r="AA36" s="2072" t="n"/>
      <c r="AB36" s="2072" t="n"/>
      <c r="AC36" s="2072" t="n"/>
      <c r="AD36" s="2072" t="n"/>
      <c r="AE36" s="2087" t="n"/>
      <c r="AF36" s="2072" t="n"/>
      <c r="AG36" s="2072" t="n"/>
      <c r="AH36" s="2072" t="n"/>
      <c r="AI36" s="2072" t="n"/>
      <c r="AJ36" s="2087" t="n"/>
      <c r="AK36" s="2072" t="n"/>
      <c r="AL36" s="2072" t="n"/>
      <c r="AM36" s="2072" t="n"/>
      <c r="AN36" s="2072" t="n"/>
      <c r="AO36" s="2087" t="n"/>
      <c r="AP36" s="2072" t="n"/>
      <c r="AQ36" s="2072" t="n"/>
      <c r="AR36" s="2072" t="n"/>
      <c r="AS36" s="2072" t="n"/>
      <c r="AT36" s="2088" t="n">
        <v>17.709</v>
      </c>
      <c r="AU36" s="2072" t="n"/>
      <c r="AV36" s="2072" t="n"/>
      <c r="AW36" s="2072" t="n"/>
      <c r="AX36" s="2072" t="n"/>
      <c r="AY36" s="2087" t="n"/>
      <c r="AZ36" s="2072" t="n"/>
      <c r="BA36" s="2072" t="n"/>
      <c r="BB36" s="2072" t="n"/>
      <c r="BC36" s="2072" t="n"/>
      <c r="BD36" s="2087" t="n"/>
      <c r="BE36" s="2072" t="n"/>
      <c r="BF36" s="2072" t="n"/>
      <c r="BG36" s="2072" t="n"/>
      <c r="BH36" s="2072" t="n"/>
      <c r="BI36" s="2087" t="n"/>
      <c r="BJ36" s="2072" t="n"/>
      <c r="BK36" s="2072" t="n"/>
      <c r="BL36" s="2072" t="n"/>
      <c r="BM36" s="2072" t="n"/>
      <c r="BN36" s="2087" t="n"/>
      <c r="BO36" s="2072" t="n"/>
      <c r="BP36" s="2072" t="n"/>
      <c r="BQ36" s="2073" t="n"/>
      <c r="BR36" s="2089" t="n"/>
      <c r="BS36" s="2090" t="n"/>
      <c r="BT36" s="2089" t="n"/>
      <c r="BU36" s="2089" t="n"/>
      <c r="BV36" s="2089" t="n"/>
      <c r="BW36" s="2089" t="n"/>
      <c r="BX36" s="2090" t="n"/>
      <c r="BY36" s="2090" t="n"/>
      <c r="BZ36" s="2090" t="n"/>
      <c r="CA36" s="2090" t="n"/>
      <c r="CB36" s="2085" t="n"/>
    </row>
    <row r="37" ht="14.4" customFormat="1" customHeight="1" s="2118">
      <c r="A37" s="2119" t="inlineStr">
        <is>
          <t>CEO - Options 02/21/24 exercise price, $</t>
        </is>
      </c>
      <c r="B37" s="2120" t="n"/>
      <c r="C37" s="2121" t="n"/>
      <c r="D37" s="2121" t="n"/>
      <c r="E37" s="2121" t="n"/>
      <c r="F37" s="2121" t="n"/>
      <c r="G37" s="2122" t="n"/>
      <c r="H37" s="2122" t="n"/>
      <c r="I37" s="2122" t="n"/>
      <c r="J37" s="2122" t="n"/>
      <c r="K37" s="2121" t="n"/>
      <c r="L37" s="2122" t="n"/>
      <c r="M37" s="2122" t="n"/>
      <c r="N37" s="2122" t="n"/>
      <c r="O37" s="2122" t="n"/>
      <c r="P37" s="2121" t="n"/>
      <c r="Q37" s="2122" t="n"/>
      <c r="R37" s="2122" t="n"/>
      <c r="S37" s="2122" t="n"/>
      <c r="T37" s="2122" t="n"/>
      <c r="U37" s="2121" t="n"/>
      <c r="V37" s="2122" t="n"/>
      <c r="W37" s="2122" t="n"/>
      <c r="X37" s="2122" t="n"/>
      <c r="Y37" s="2122" t="n"/>
      <c r="Z37" s="2121" t="n"/>
      <c r="AA37" s="2122" t="n"/>
      <c r="AB37" s="2122" t="n"/>
      <c r="AC37" s="2122" t="n"/>
      <c r="AD37" s="2122" t="n"/>
      <c r="AE37" s="2121" t="n"/>
      <c r="AF37" s="2122" t="n"/>
      <c r="AG37" s="2122" t="n"/>
      <c r="AH37" s="2122" t="n"/>
      <c r="AI37" s="2122" t="n"/>
      <c r="AJ37" s="2121" t="n"/>
      <c r="AK37" s="2122" t="n"/>
      <c r="AL37" s="2122" t="n"/>
      <c r="AM37" s="2122" t="n"/>
      <c r="AN37" s="2122" t="n"/>
      <c r="AO37" s="2121" t="n"/>
      <c r="AP37" s="2122" t="n"/>
      <c r="AQ37" s="2122" t="n"/>
      <c r="AR37" s="2122" t="n"/>
      <c r="AS37" s="2122" t="n"/>
      <c r="AT37" s="2128" t="n">
        <v>30.79</v>
      </c>
      <c r="AU37" s="2122" t="n"/>
      <c r="AV37" s="2122" t="n"/>
      <c r="AW37" s="2122" t="n"/>
      <c r="AX37" s="2122" t="n"/>
      <c r="AY37" s="2121" t="n"/>
      <c r="AZ37" s="2122" t="n"/>
      <c r="BA37" s="2122" t="n"/>
      <c r="BB37" s="2122" t="n"/>
      <c r="BC37" s="2122" t="n"/>
      <c r="BD37" s="2121" t="n"/>
      <c r="BE37" s="2122" t="n"/>
      <c r="BF37" s="2122" t="n"/>
      <c r="BG37" s="2122" t="n"/>
      <c r="BH37" s="2122" t="n"/>
      <c r="BI37" s="2121" t="n"/>
      <c r="BJ37" s="2122" t="n"/>
      <c r="BK37" s="2122" t="n"/>
      <c r="BL37" s="2122" t="n"/>
      <c r="BM37" s="2122" t="n"/>
      <c r="BN37" s="2121" t="n"/>
      <c r="BO37" s="2122" t="n"/>
      <c r="BP37" s="2122" t="n"/>
      <c r="BQ37" s="2124" t="n"/>
      <c r="BR37" s="2125" t="n"/>
      <c r="BS37" s="2126" t="n"/>
      <c r="BT37" s="2125" t="n"/>
      <c r="BU37" s="2125" t="n"/>
      <c r="BV37" s="2125" t="n"/>
      <c r="BW37" s="2125" t="n"/>
      <c r="BX37" s="2126" t="n"/>
      <c r="BY37" s="2126" t="n"/>
      <c r="BZ37" s="2126" t="n"/>
      <c r="CA37" s="2126" t="n"/>
      <c r="CB37" s="2127" t="n"/>
    </row>
    <row r="38" ht="14.4" customFormat="1" customHeight="1" s="2082">
      <c r="A38" s="1611" t="n"/>
      <c r="B38" s="2086" t="n"/>
      <c r="C38" s="2087" t="n"/>
      <c r="D38" s="2087" t="n"/>
      <c r="E38" s="2087" t="n"/>
      <c r="F38" s="2087" t="n"/>
      <c r="G38" s="2072" t="n"/>
      <c r="H38" s="2072" t="n"/>
      <c r="I38" s="2072" t="n"/>
      <c r="J38" s="2072" t="n"/>
      <c r="K38" s="2087" t="n"/>
      <c r="L38" s="2072" t="n"/>
      <c r="M38" s="2072" t="n"/>
      <c r="N38" s="2072" t="n"/>
      <c r="O38" s="2072" t="n"/>
      <c r="P38" s="2087" t="n"/>
      <c r="Q38" s="2072" t="n"/>
      <c r="R38" s="2072" t="n"/>
      <c r="S38" s="2072" t="n"/>
      <c r="T38" s="2072" t="n"/>
      <c r="U38" s="2087" t="n"/>
      <c r="V38" s="2072" t="n"/>
      <c r="W38" s="2072" t="n"/>
      <c r="X38" s="2072" t="n"/>
      <c r="Y38" s="2072" t="n"/>
      <c r="Z38" s="2087" t="n"/>
      <c r="AA38" s="2072" t="n"/>
      <c r="AB38" s="2072" t="n"/>
      <c r="AC38" s="2072" t="n"/>
      <c r="AD38" s="2072" t="n"/>
      <c r="AE38" s="2087" t="n"/>
      <c r="AF38" s="2072" t="n"/>
      <c r="AG38" s="2072" t="n"/>
      <c r="AH38" s="2072" t="n"/>
      <c r="AI38" s="2072" t="n"/>
      <c r="AJ38" s="2087" t="n"/>
      <c r="AK38" s="2072" t="n"/>
      <c r="AL38" s="2072" t="n"/>
      <c r="AM38" s="2072" t="n"/>
      <c r="AN38" s="2072" t="n"/>
      <c r="AO38" s="2087" t="n"/>
      <c r="AP38" s="2072" t="n"/>
      <c r="AQ38" s="2072" t="n"/>
      <c r="AR38" s="2072" t="n"/>
      <c r="AS38" s="2072" t="n"/>
      <c r="AT38" s="2087" t="n"/>
      <c r="AU38" s="2072" t="n"/>
      <c r="AV38" s="2072" t="n"/>
      <c r="AW38" s="2072" t="n"/>
      <c r="AX38" s="2072" t="n"/>
      <c r="AY38" s="2087" t="n"/>
      <c r="AZ38" s="2072" t="n"/>
      <c r="BA38" s="2072" t="n"/>
      <c r="BB38" s="2072" t="n"/>
      <c r="BC38" s="2072" t="n"/>
      <c r="BD38" s="2087" t="n"/>
      <c r="BE38" s="2072" t="n"/>
      <c r="BF38" s="2072" t="n"/>
      <c r="BG38" s="2072" t="n"/>
      <c r="BH38" s="2072" t="n"/>
      <c r="BI38" s="2087" t="n"/>
      <c r="BJ38" s="2072" t="n"/>
      <c r="BK38" s="2072" t="n"/>
      <c r="BL38" s="2072" t="n"/>
      <c r="BM38" s="2072" t="n"/>
      <c r="BN38" s="2087" t="n"/>
      <c r="BO38" s="2072" t="n"/>
      <c r="BP38" s="2072" t="n"/>
      <c r="BQ38" s="2073" t="n"/>
      <c r="BR38" s="2089" t="n"/>
      <c r="BS38" s="2090" t="n"/>
      <c r="BT38" s="2089" t="n"/>
      <c r="BU38" s="2089" t="n"/>
      <c r="BV38" s="2089" t="n"/>
      <c r="BW38" s="2089" t="n"/>
      <c r="BX38" s="2090" t="n"/>
      <c r="BY38" s="2090" t="n"/>
      <c r="BZ38" s="2090" t="n"/>
      <c r="CA38" s="2090" t="n"/>
      <c r="CB38" s="2085" t="n"/>
    </row>
    <row r="39" ht="14.4" customFormat="1" customHeight="1" s="2082">
      <c r="A39" s="1611" t="inlineStr">
        <is>
          <t>CEO - Options 02/06/25 # of unexercised exercisable options, 000s</t>
        </is>
      </c>
      <c r="B39" s="2086" t="n"/>
      <c r="C39" s="2087" t="n"/>
      <c r="D39" s="2087" t="n"/>
      <c r="E39" s="2087" t="n"/>
      <c r="F39" s="2087" t="n"/>
      <c r="G39" s="2072" t="n"/>
      <c r="H39" s="2072" t="n"/>
      <c r="I39" s="2072" t="n"/>
      <c r="J39" s="2072" t="n"/>
      <c r="K39" s="2087" t="n"/>
      <c r="L39" s="2072" t="n"/>
      <c r="M39" s="2072" t="n"/>
      <c r="N39" s="2072" t="n"/>
      <c r="O39" s="2072" t="n"/>
      <c r="P39" s="2087" t="n"/>
      <c r="Q39" s="2072" t="n"/>
      <c r="R39" s="2072" t="n"/>
      <c r="S39" s="2072" t="n"/>
      <c r="T39" s="2072" t="n"/>
      <c r="U39" s="2087" t="n"/>
      <c r="V39" s="2072" t="n"/>
      <c r="W39" s="2072" t="n"/>
      <c r="X39" s="2072" t="n"/>
      <c r="Y39" s="2072" t="n"/>
      <c r="Z39" s="2087" t="n"/>
      <c r="AA39" s="2072" t="n"/>
      <c r="AB39" s="2072" t="n"/>
      <c r="AC39" s="2072" t="n"/>
      <c r="AD39" s="2072" t="n"/>
      <c r="AE39" s="2087" t="n"/>
      <c r="AF39" s="2072" t="n"/>
      <c r="AG39" s="2072" t="n"/>
      <c r="AH39" s="2072" t="n"/>
      <c r="AI39" s="2072" t="n"/>
      <c r="AJ39" s="2087" t="n"/>
      <c r="AK39" s="2072" t="n"/>
      <c r="AL39" s="2072" t="n"/>
      <c r="AM39" s="2072" t="n"/>
      <c r="AN39" s="2072" t="n"/>
      <c r="AO39" s="2087" t="n"/>
      <c r="AP39" s="2072" t="n"/>
      <c r="AQ39" s="2072" t="n"/>
      <c r="AR39" s="2072" t="n"/>
      <c r="AS39" s="2072" t="n"/>
      <c r="AT39" s="2117" t="n">
        <v>190.754</v>
      </c>
      <c r="AU39" s="2072" t="n"/>
      <c r="AV39" s="2072" t="n"/>
      <c r="AW39" s="2072" t="n"/>
      <c r="AX39" s="2072" t="n"/>
      <c r="AY39" s="2117" t="n">
        <v>95.724</v>
      </c>
      <c r="AZ39" s="2072" t="n"/>
      <c r="BA39" s="2072" t="n"/>
      <c r="BB39" s="2072" t="n"/>
      <c r="BC39" s="2072" t="n"/>
      <c r="BD39" s="2088" t="n">
        <v>99.886</v>
      </c>
      <c r="BE39" s="2072" t="n"/>
      <c r="BF39" s="2072" t="n"/>
      <c r="BG39" s="2072" t="n"/>
      <c r="BH39" s="2072" t="n"/>
      <c r="BI39" s="2117" t="n">
        <v>99.886</v>
      </c>
      <c r="BJ39" s="2072" t="n"/>
      <c r="BK39" s="2072" t="n"/>
      <c r="BL39" s="2072" t="n"/>
      <c r="BM39" s="2072" t="n"/>
      <c r="BN39" s="2087" t="n"/>
      <c r="BO39" s="2072" t="n"/>
      <c r="BP39" s="2072" t="n"/>
      <c r="BQ39" s="2073" t="n"/>
      <c r="BR39" s="2089" t="n"/>
      <c r="BS39" s="2090" t="n"/>
      <c r="BT39" s="2089" t="n"/>
      <c r="BU39" s="2089" t="n"/>
      <c r="BV39" s="2089" t="n"/>
      <c r="BW39" s="2089" t="n"/>
      <c r="BX39" s="2090" t="n"/>
      <c r="BY39" s="2090" t="n"/>
      <c r="BZ39" s="2090" t="n"/>
      <c r="CA39" s="2090" t="n"/>
      <c r="CB39" s="2085" t="n"/>
    </row>
    <row r="40" ht="14.4" customFormat="1" customHeight="1" s="2082">
      <c r="A40" s="1611" t="inlineStr">
        <is>
          <t>CEO - Options 02/06/25 # of unexercised unexercisable options, 000s</t>
        </is>
      </c>
      <c r="B40" s="2086" t="n"/>
      <c r="C40" s="2087" t="n"/>
      <c r="D40" s="2087" t="n"/>
      <c r="E40" s="2087" t="n"/>
      <c r="F40" s="2087" t="n"/>
      <c r="G40" s="2072" t="n"/>
      <c r="H40" s="2072" t="n"/>
      <c r="I40" s="2072" t="n"/>
      <c r="J40" s="2072" t="n"/>
      <c r="K40" s="2087" t="n"/>
      <c r="L40" s="2072" t="n"/>
      <c r="M40" s="2072" t="n"/>
      <c r="N40" s="2072" t="n"/>
      <c r="O40" s="2072" t="n"/>
      <c r="P40" s="2087" t="n"/>
      <c r="Q40" s="2072" t="n"/>
      <c r="R40" s="2072" t="n"/>
      <c r="S40" s="2072" t="n"/>
      <c r="T40" s="2072" t="n"/>
      <c r="U40" s="2087" t="n"/>
      <c r="V40" s="2072" t="n"/>
      <c r="W40" s="2072" t="n"/>
      <c r="X40" s="2072" t="n"/>
      <c r="Y40" s="2072" t="n"/>
      <c r="Z40" s="2087" t="n"/>
      <c r="AA40" s="2072" t="n"/>
      <c r="AB40" s="2072" t="n"/>
      <c r="AC40" s="2072" t="n"/>
      <c r="AD40" s="2072" t="n"/>
      <c r="AE40" s="2087" t="n"/>
      <c r="AF40" s="2072" t="n"/>
      <c r="AG40" s="2072" t="n"/>
      <c r="AH40" s="2072" t="n"/>
      <c r="AI40" s="2072" t="n"/>
      <c r="AJ40" s="2087" t="n"/>
      <c r="AK40" s="2072" t="n"/>
      <c r="AL40" s="2072" t="n"/>
      <c r="AM40" s="2072" t="n"/>
      <c r="AN40" s="2072" t="n"/>
      <c r="AO40" s="2087" t="n"/>
      <c r="AP40" s="2072" t="n"/>
      <c r="AQ40" s="2072" t="n"/>
      <c r="AR40" s="2072" t="n"/>
      <c r="AS40" s="2072" t="n"/>
      <c r="AT40" s="2117" t="n">
        <v>78.547</v>
      </c>
      <c r="AU40" s="2072" t="n"/>
      <c r="AV40" s="2072" t="n"/>
      <c r="AW40" s="2072" t="n"/>
      <c r="AX40" s="2072" t="n"/>
      <c r="AY40" s="2117" t="n">
        <v>4.162</v>
      </c>
      <c r="AZ40" s="2072" t="n"/>
      <c r="BA40" s="2072" t="n"/>
      <c r="BB40" s="2072" t="n"/>
      <c r="BC40" s="2072" t="n"/>
      <c r="BD40" s="2088" t="n">
        <v>0</v>
      </c>
      <c r="BE40" s="2072" t="n"/>
      <c r="BF40" s="2072" t="n"/>
      <c r="BG40" s="2072" t="n"/>
      <c r="BH40" s="2072" t="n"/>
      <c r="BI40" s="2117" t="n">
        <v>0</v>
      </c>
      <c r="BJ40" s="2072" t="n"/>
      <c r="BK40" s="2072" t="n"/>
      <c r="BL40" s="2072" t="n"/>
      <c r="BM40" s="2072" t="n"/>
      <c r="BN40" s="2087" t="n"/>
      <c r="BO40" s="2072" t="n"/>
      <c r="BP40" s="2072" t="n"/>
      <c r="BQ40" s="2073" t="n"/>
      <c r="BR40" s="2089" t="n"/>
      <c r="BS40" s="2090" t="n"/>
      <c r="BT40" s="2089" t="n"/>
      <c r="BU40" s="2089" t="n"/>
      <c r="BV40" s="2089" t="n"/>
      <c r="BW40" s="2089" t="n"/>
      <c r="BX40" s="2090" t="n"/>
      <c r="BY40" s="2090" t="n"/>
      <c r="BZ40" s="2090" t="n"/>
      <c r="CA40" s="2090" t="n"/>
      <c r="CB40" s="2085" t="n"/>
    </row>
    <row r="41" ht="14.4" customFormat="1" customHeight="1" s="2118">
      <c r="A41" s="2119" t="inlineStr">
        <is>
          <t>CEO - Options 02/06/25 exercise price, $</t>
        </is>
      </c>
      <c r="B41" s="2120" t="n"/>
      <c r="C41" s="2121" t="n"/>
      <c r="D41" s="2121" t="n"/>
      <c r="E41" s="2121" t="n"/>
      <c r="F41" s="2121" t="n"/>
      <c r="G41" s="2122" t="n"/>
      <c r="H41" s="2122" t="n"/>
      <c r="I41" s="2122" t="n"/>
      <c r="J41" s="2122" t="n"/>
      <c r="K41" s="2121" t="n"/>
      <c r="L41" s="2122" t="n"/>
      <c r="M41" s="2122" t="n"/>
      <c r="N41" s="2122" t="n"/>
      <c r="O41" s="2122" t="n"/>
      <c r="P41" s="2121" t="n"/>
      <c r="Q41" s="2122" t="n"/>
      <c r="R41" s="2122" t="n"/>
      <c r="S41" s="2122" t="n"/>
      <c r="T41" s="2122" t="n"/>
      <c r="U41" s="2121" t="n"/>
      <c r="V41" s="2122" t="n"/>
      <c r="W41" s="2122" t="n"/>
      <c r="X41" s="2122" t="n"/>
      <c r="Y41" s="2122" t="n"/>
      <c r="Z41" s="2121" t="n"/>
      <c r="AA41" s="2122" t="n"/>
      <c r="AB41" s="2122" t="n"/>
      <c r="AC41" s="2122" t="n"/>
      <c r="AD41" s="2122" t="n"/>
      <c r="AE41" s="2121" t="n"/>
      <c r="AF41" s="2122" t="n"/>
      <c r="AG41" s="2122" t="n"/>
      <c r="AH41" s="2122" t="n"/>
      <c r="AI41" s="2122" t="n"/>
      <c r="AJ41" s="2121" t="n"/>
      <c r="AK41" s="2122" t="n"/>
      <c r="AL41" s="2122" t="n"/>
      <c r="AM41" s="2122" t="n"/>
      <c r="AN41" s="2122" t="n"/>
      <c r="AO41" s="2121" t="n"/>
      <c r="AP41" s="2122" t="n"/>
      <c r="AQ41" s="2122" t="n"/>
      <c r="AR41" s="2122" t="n"/>
      <c r="AS41" s="2122" t="n"/>
      <c r="AT41" s="2123" t="n">
        <v>39.58</v>
      </c>
      <c r="AU41" s="2122" t="n"/>
      <c r="AV41" s="2122" t="n"/>
      <c r="AW41" s="2122" t="n"/>
      <c r="AX41" s="2122" t="n"/>
      <c r="AY41" s="2123" t="n">
        <v>39.58</v>
      </c>
      <c r="AZ41" s="2122" t="n"/>
      <c r="BA41" s="2122" t="n"/>
      <c r="BB41" s="2122" t="n"/>
      <c r="BC41" s="2122" t="n"/>
      <c r="BD41" s="2128" t="n">
        <v>39.58</v>
      </c>
      <c r="BE41" s="2122" t="n"/>
      <c r="BF41" s="2122" t="n"/>
      <c r="BG41" s="2122" t="n"/>
      <c r="BH41" s="2122" t="n"/>
      <c r="BI41" s="2123" t="n">
        <v>39.58</v>
      </c>
      <c r="BJ41" s="2122" t="n"/>
      <c r="BK41" s="2122" t="n"/>
      <c r="BL41" s="2122" t="n"/>
      <c r="BM41" s="2122" t="n"/>
      <c r="BN41" s="2121" t="n"/>
      <c r="BO41" s="2122" t="n"/>
      <c r="BP41" s="2122" t="n"/>
      <c r="BQ41" s="2124" t="n"/>
      <c r="BR41" s="2125" t="n"/>
      <c r="BS41" s="2126" t="n"/>
      <c r="BT41" s="2125" t="n"/>
      <c r="BU41" s="2125" t="n"/>
      <c r="BV41" s="2125" t="n"/>
      <c r="BW41" s="2125" t="n"/>
      <c r="BX41" s="2126" t="n"/>
      <c r="BY41" s="2126" t="n"/>
      <c r="BZ41" s="2126" t="n"/>
      <c r="CA41" s="2126" t="n"/>
      <c r="CB41" s="2127" t="n"/>
    </row>
    <row r="42" ht="14.4" customFormat="1" customHeight="1" s="2082">
      <c r="A42" s="1611" t="n"/>
      <c r="B42" s="2086" t="n"/>
      <c r="C42" s="2087" t="n"/>
      <c r="D42" s="2087" t="n"/>
      <c r="E42" s="2087" t="n"/>
      <c r="F42" s="2087" t="n"/>
      <c r="G42" s="2072" t="n"/>
      <c r="H42" s="2072" t="n"/>
      <c r="I42" s="2072" t="n"/>
      <c r="J42" s="2072" t="n"/>
      <c r="K42" s="2087" t="n"/>
      <c r="L42" s="2072" t="n"/>
      <c r="M42" s="2072" t="n"/>
      <c r="N42" s="2072" t="n"/>
      <c r="O42" s="2072" t="n"/>
      <c r="P42" s="2087" t="n"/>
      <c r="Q42" s="2072" t="n"/>
      <c r="R42" s="2072" t="n"/>
      <c r="S42" s="2072" t="n"/>
      <c r="T42" s="2072" t="n"/>
      <c r="U42" s="2087" t="n"/>
      <c r="V42" s="2072" t="n"/>
      <c r="W42" s="2072" t="n"/>
      <c r="X42" s="2072" t="n"/>
      <c r="Y42" s="2072" t="n"/>
      <c r="Z42" s="2087" t="n"/>
      <c r="AA42" s="2072" t="n"/>
      <c r="AB42" s="2072" t="n"/>
      <c r="AC42" s="2072" t="n"/>
      <c r="AD42" s="2072" t="n"/>
      <c r="AE42" s="2087" t="n"/>
      <c r="AF42" s="2072" t="n"/>
      <c r="AG42" s="2072" t="n"/>
      <c r="AH42" s="2072" t="n"/>
      <c r="AI42" s="2072" t="n"/>
      <c r="AJ42" s="2087" t="n"/>
      <c r="AK42" s="2072" t="n"/>
      <c r="AL42" s="2072" t="n"/>
      <c r="AM42" s="2072" t="n"/>
      <c r="AN42" s="2072" t="n"/>
      <c r="AO42" s="2087" t="n"/>
      <c r="AP42" s="2072" t="n"/>
      <c r="AQ42" s="2072" t="n"/>
      <c r="AR42" s="2072" t="n"/>
      <c r="AS42" s="2072" t="n"/>
      <c r="AT42" s="2087" t="n"/>
      <c r="AU42" s="2072" t="n"/>
      <c r="AV42" s="2072" t="n"/>
      <c r="AW42" s="2072" t="n"/>
      <c r="AX42" s="2072" t="n"/>
      <c r="AY42" s="2087" t="n"/>
      <c r="AZ42" s="2072" t="n"/>
      <c r="BA42" s="2072" t="n"/>
      <c r="BB42" s="2072" t="n"/>
      <c r="BC42" s="2072" t="n"/>
      <c r="BD42" s="2102" t="n"/>
      <c r="BE42" s="2072" t="n"/>
      <c r="BF42" s="2072" t="n"/>
      <c r="BG42" s="2072" t="n"/>
      <c r="BH42" s="2072" t="n"/>
      <c r="BI42" s="2087" t="n"/>
      <c r="BJ42" s="2072" t="n"/>
      <c r="BK42" s="2072" t="n"/>
      <c r="BL42" s="2072" t="n"/>
      <c r="BM42" s="2072" t="n"/>
      <c r="BN42" s="2087" t="n"/>
      <c r="BO42" s="2072" t="n"/>
      <c r="BP42" s="2072" t="n"/>
      <c r="BQ42" s="2073" t="n"/>
      <c r="BR42" s="2089" t="n"/>
      <c r="BS42" s="2090" t="n"/>
      <c r="BT42" s="2089" t="n"/>
      <c r="BU42" s="2089" t="n"/>
      <c r="BV42" s="2089" t="n"/>
      <c r="BW42" s="2089" t="n"/>
      <c r="BX42" s="2090" t="n"/>
      <c r="BY42" s="2090" t="n"/>
      <c r="BZ42" s="2090" t="n"/>
      <c r="CA42" s="2090" t="n"/>
      <c r="CB42" s="2085" t="n"/>
    </row>
    <row r="43" ht="14.4" customFormat="1" customHeight="1" s="2082">
      <c r="A43" s="1611" t="inlineStr">
        <is>
          <t>CEO - Options 02/22/26 # of unexercised exercisable options, 000s</t>
        </is>
      </c>
      <c r="B43" s="2086" t="n"/>
      <c r="C43" s="2087" t="n"/>
      <c r="D43" s="2087" t="n"/>
      <c r="E43" s="2087" t="n"/>
      <c r="F43" s="2087" t="n"/>
      <c r="G43" s="2072" t="n"/>
      <c r="H43" s="2072" t="n"/>
      <c r="I43" s="2072" t="n"/>
      <c r="J43" s="2072" t="n"/>
      <c r="K43" s="2087" t="n"/>
      <c r="L43" s="2072" t="n"/>
      <c r="M43" s="2072" t="n"/>
      <c r="N43" s="2072" t="n"/>
      <c r="O43" s="2072" t="n"/>
      <c r="P43" s="2087" t="n"/>
      <c r="Q43" s="2072" t="n"/>
      <c r="R43" s="2072" t="n"/>
      <c r="S43" s="2072" t="n"/>
      <c r="T43" s="2072" t="n"/>
      <c r="U43" s="2087" t="n"/>
      <c r="V43" s="2072" t="n"/>
      <c r="W43" s="2072" t="n"/>
      <c r="X43" s="2072" t="n"/>
      <c r="Y43" s="2072" t="n"/>
      <c r="Z43" s="2087" t="n"/>
      <c r="AA43" s="2072" t="n"/>
      <c r="AB43" s="2072" t="n"/>
      <c r="AC43" s="2072" t="n"/>
      <c r="AD43" s="2072" t="n"/>
      <c r="AE43" s="2087" t="n"/>
      <c r="AF43" s="2072" t="n"/>
      <c r="AG43" s="2072" t="n"/>
      <c r="AH43" s="2072" t="n"/>
      <c r="AI43" s="2072" t="n"/>
      <c r="AJ43" s="2087" t="n"/>
      <c r="AK43" s="2072" t="n"/>
      <c r="AL43" s="2072" t="n"/>
      <c r="AM43" s="2072" t="n"/>
      <c r="AN43" s="2072" t="n"/>
      <c r="AO43" s="2087" t="n"/>
      <c r="AP43" s="2072" t="n"/>
      <c r="AQ43" s="2072" t="n"/>
      <c r="AR43" s="2072" t="n"/>
      <c r="AS43" s="2072" t="n"/>
      <c r="AT43" s="2117" t="n">
        <v>94.17700000000001</v>
      </c>
      <c r="AU43" s="2072" t="n"/>
      <c r="AV43" s="2072" t="n"/>
      <c r="AW43" s="2072" t="n"/>
      <c r="AX43" s="2072" t="n"/>
      <c r="AY43" s="2117" t="n">
        <v>65.98099999999999</v>
      </c>
      <c r="AZ43" s="2072" t="n"/>
      <c r="BA43" s="2072" t="n"/>
      <c r="BB43" s="2072" t="n"/>
      <c r="BC43" s="2072" t="n"/>
      <c r="BD43" s="2088" t="n">
        <v>89.26900000000001</v>
      </c>
      <c r="BE43" s="2072" t="n"/>
      <c r="BF43" s="2072" t="n"/>
      <c r="BG43" s="2072" t="n"/>
      <c r="BH43" s="2072" t="n"/>
      <c r="BI43" s="2117" t="n">
        <v>93.151</v>
      </c>
      <c r="BJ43" s="2072" t="n"/>
      <c r="BK43" s="2072" t="n"/>
      <c r="BL43" s="2072" t="n"/>
      <c r="BM43" s="2072" t="n"/>
      <c r="BN43" s="2087" t="n"/>
      <c r="BO43" s="2072" t="n"/>
      <c r="BP43" s="2072" t="n"/>
      <c r="BQ43" s="2073" t="n"/>
      <c r="BR43" s="2089" t="n"/>
      <c r="BS43" s="2090" t="n"/>
      <c r="BT43" s="2089" t="n"/>
      <c r="BU43" s="2089" t="n"/>
      <c r="BV43" s="2089" t="n"/>
      <c r="BW43" s="2089" t="n"/>
      <c r="BX43" s="2090" t="n"/>
      <c r="BY43" s="2090" t="n"/>
      <c r="BZ43" s="2090" t="n"/>
      <c r="CA43" s="2090" t="n"/>
      <c r="CB43" s="2085" t="n"/>
    </row>
    <row r="44" ht="14.4" customFormat="1" customHeight="1" s="2082">
      <c r="A44" s="1611" t="inlineStr">
        <is>
          <t>CEO - Options 02/22/26 # of unexercised unexercisable options, 000s</t>
        </is>
      </c>
      <c r="B44" s="2086" t="n"/>
      <c r="C44" s="2087" t="n"/>
      <c r="D44" s="2087" t="n"/>
      <c r="E44" s="2087" t="n"/>
      <c r="F44" s="2087" t="n"/>
      <c r="G44" s="2072" t="n"/>
      <c r="H44" s="2072" t="n"/>
      <c r="I44" s="2072" t="n"/>
      <c r="J44" s="2072" t="n"/>
      <c r="K44" s="2087" t="n"/>
      <c r="L44" s="2072" t="n"/>
      <c r="M44" s="2072" t="n"/>
      <c r="N44" s="2072" t="n"/>
      <c r="O44" s="2072" t="n"/>
      <c r="P44" s="2087" t="n"/>
      <c r="Q44" s="2072" t="n"/>
      <c r="R44" s="2072" t="n"/>
      <c r="S44" s="2072" t="n"/>
      <c r="T44" s="2072" t="n"/>
      <c r="U44" s="2087" t="n"/>
      <c r="V44" s="2072" t="n"/>
      <c r="W44" s="2072" t="n"/>
      <c r="X44" s="2072" t="n"/>
      <c r="Y44" s="2072" t="n"/>
      <c r="Z44" s="2087" t="n"/>
      <c r="AA44" s="2072" t="n"/>
      <c r="AB44" s="2072" t="n"/>
      <c r="AC44" s="2072" t="n"/>
      <c r="AD44" s="2072" t="n"/>
      <c r="AE44" s="2087" t="n"/>
      <c r="AF44" s="2072" t="n"/>
      <c r="AG44" s="2072" t="n"/>
      <c r="AH44" s="2072" t="n"/>
      <c r="AI44" s="2072" t="n"/>
      <c r="AJ44" s="2087" t="n"/>
      <c r="AK44" s="2072" t="n"/>
      <c r="AL44" s="2072" t="n"/>
      <c r="AM44" s="2072" t="n"/>
      <c r="AN44" s="2072" t="n"/>
      <c r="AO44" s="2087" t="n"/>
      <c r="AP44" s="2072" t="n"/>
      <c r="AQ44" s="2072" t="n"/>
      <c r="AR44" s="2072" t="n"/>
      <c r="AS44" s="2072" t="n"/>
      <c r="AT44" s="2117" t="n">
        <v>111.302</v>
      </c>
      <c r="AU44" s="2072" t="n"/>
      <c r="AV44" s="2072" t="n"/>
      <c r="AW44" s="2072" t="n"/>
      <c r="AX44" s="2072" t="n"/>
      <c r="AY44" s="2117" t="n">
        <v>27.17</v>
      </c>
      <c r="AZ44" s="2072" t="n"/>
      <c r="BA44" s="2072" t="n"/>
      <c r="BB44" s="2072" t="n"/>
      <c r="BC44" s="2072" t="n"/>
      <c r="BD44" s="2088" t="n">
        <v>3.882</v>
      </c>
      <c r="BE44" s="2072" t="n"/>
      <c r="BF44" s="2072" t="n"/>
      <c r="BG44" s="2072" t="n"/>
      <c r="BH44" s="2072" t="n"/>
      <c r="BI44" s="2117" t="n">
        <v>0</v>
      </c>
      <c r="BJ44" s="2072" t="n"/>
      <c r="BK44" s="2072" t="n"/>
      <c r="BL44" s="2072" t="n"/>
      <c r="BM44" s="2072" t="n"/>
      <c r="BN44" s="2087" t="n"/>
      <c r="BO44" s="2072" t="n"/>
      <c r="BP44" s="2072" t="n"/>
      <c r="BQ44" s="2073" t="n"/>
      <c r="BR44" s="2089" t="n"/>
      <c r="BS44" s="2090" t="n"/>
      <c r="BT44" s="2089" t="n"/>
      <c r="BU44" s="2089" t="n"/>
      <c r="BV44" s="2089" t="n"/>
      <c r="BW44" s="2089" t="n"/>
      <c r="BX44" s="2090" t="n"/>
      <c r="BY44" s="2090" t="n"/>
      <c r="BZ44" s="2090" t="n"/>
      <c r="CA44" s="2090" t="n"/>
      <c r="CB44" s="2085" t="n"/>
    </row>
    <row r="45" ht="14.4" customFormat="1" customHeight="1" s="2118">
      <c r="A45" s="2119" t="inlineStr">
        <is>
          <t>CEO - Options 02/22/26 exercise price, $</t>
        </is>
      </c>
      <c r="B45" s="2120" t="n"/>
      <c r="C45" s="2121" t="n"/>
      <c r="D45" s="2121" t="n"/>
      <c r="E45" s="2121" t="n"/>
      <c r="F45" s="2121" t="n"/>
      <c r="G45" s="2122" t="n"/>
      <c r="H45" s="2122" t="n"/>
      <c r="I45" s="2122" t="n"/>
      <c r="J45" s="2122" t="n"/>
      <c r="K45" s="2121" t="n"/>
      <c r="L45" s="2122" t="n"/>
      <c r="M45" s="2122" t="n"/>
      <c r="N45" s="2122" t="n"/>
      <c r="O45" s="2122" t="n"/>
      <c r="P45" s="2121" t="n"/>
      <c r="Q45" s="2122" t="n"/>
      <c r="R45" s="2122" t="n"/>
      <c r="S45" s="2122" t="n"/>
      <c r="T45" s="2122" t="n"/>
      <c r="U45" s="2121" t="n"/>
      <c r="V45" s="2122" t="n"/>
      <c r="W45" s="2122" t="n"/>
      <c r="X45" s="2122" t="n"/>
      <c r="Y45" s="2122" t="n"/>
      <c r="Z45" s="2121" t="n"/>
      <c r="AA45" s="2122" t="n"/>
      <c r="AB45" s="2122" t="n"/>
      <c r="AC45" s="2122" t="n"/>
      <c r="AD45" s="2122" t="n"/>
      <c r="AE45" s="2121" t="n"/>
      <c r="AF45" s="2122" t="n"/>
      <c r="AG45" s="2122" t="n"/>
      <c r="AH45" s="2122" t="n"/>
      <c r="AI45" s="2122" t="n"/>
      <c r="AJ45" s="2121" t="n"/>
      <c r="AK45" s="2122" t="n"/>
      <c r="AL45" s="2122" t="n"/>
      <c r="AM45" s="2122" t="n"/>
      <c r="AN45" s="2122" t="n"/>
      <c r="AO45" s="2121" t="n"/>
      <c r="AP45" s="2122" t="n"/>
      <c r="AQ45" s="2122" t="n"/>
      <c r="AR45" s="2122" t="n"/>
      <c r="AS45" s="2122" t="n"/>
      <c r="AT45" s="2123" t="n">
        <v>56.57</v>
      </c>
      <c r="AU45" s="2122" t="n"/>
      <c r="AV45" s="2122" t="n"/>
      <c r="AW45" s="2122" t="n"/>
      <c r="AX45" s="2122" t="n"/>
      <c r="AY45" s="2123" t="n">
        <v>56.57</v>
      </c>
      <c r="AZ45" s="2122" t="n"/>
      <c r="BA45" s="2122" t="n"/>
      <c r="BB45" s="2122" t="n"/>
      <c r="BC45" s="2122" t="n"/>
      <c r="BD45" s="2128" t="n">
        <v>56.57</v>
      </c>
      <c r="BE45" s="2122" t="n"/>
      <c r="BF45" s="2122" t="n"/>
      <c r="BG45" s="2122" t="n"/>
      <c r="BH45" s="2122" t="n"/>
      <c r="BI45" s="2123" t="n">
        <v>56.57</v>
      </c>
      <c r="BJ45" s="2122" t="n"/>
      <c r="BK45" s="2122" t="n"/>
      <c r="BL45" s="2122" t="n"/>
      <c r="BM45" s="2122" t="n"/>
      <c r="BN45" s="2121" t="n"/>
      <c r="BO45" s="2122" t="n"/>
      <c r="BP45" s="2122" t="n"/>
      <c r="BQ45" s="2124" t="n"/>
      <c r="BR45" s="2125" t="n"/>
      <c r="BS45" s="2126" t="n"/>
      <c r="BT45" s="2125" t="n"/>
      <c r="BU45" s="2125" t="n"/>
      <c r="BV45" s="2125" t="n"/>
      <c r="BW45" s="2125" t="n"/>
      <c r="BX45" s="2126" t="n"/>
      <c r="BY45" s="2126" t="n"/>
      <c r="BZ45" s="2126" t="n"/>
      <c r="CA45" s="2126" t="n"/>
      <c r="CB45" s="2127" t="n"/>
    </row>
    <row r="46" ht="14.4" customFormat="1" customHeight="1" s="2082">
      <c r="A46" s="1611" t="n"/>
      <c r="B46" s="2086" t="n"/>
      <c r="C46" s="2087" t="n"/>
      <c r="D46" s="2087" t="n"/>
      <c r="E46" s="2087" t="n"/>
      <c r="F46" s="2087" t="n"/>
      <c r="G46" s="2072" t="n"/>
      <c r="H46" s="2072" t="n"/>
      <c r="I46" s="2072" t="n"/>
      <c r="J46" s="2072" t="n"/>
      <c r="K46" s="2087" t="n"/>
      <c r="L46" s="2072" t="n"/>
      <c r="M46" s="2072" t="n"/>
      <c r="N46" s="2072" t="n"/>
      <c r="O46" s="2072" t="n"/>
      <c r="P46" s="2087" t="n"/>
      <c r="Q46" s="2072" t="n"/>
      <c r="R46" s="2072" t="n"/>
      <c r="S46" s="2072" t="n"/>
      <c r="T46" s="2072" t="n"/>
      <c r="U46" s="2087" t="n"/>
      <c r="V46" s="2072" t="n"/>
      <c r="W46" s="2072" t="n"/>
      <c r="X46" s="2072" t="n"/>
      <c r="Y46" s="2072" t="n"/>
      <c r="Z46" s="2087" t="n"/>
      <c r="AA46" s="2072" t="n"/>
      <c r="AB46" s="2072" t="n"/>
      <c r="AC46" s="2072" t="n"/>
      <c r="AD46" s="2072" t="n"/>
      <c r="AE46" s="2087" t="n"/>
      <c r="AF46" s="2072" t="n"/>
      <c r="AG46" s="2072" t="n"/>
      <c r="AH46" s="2072" t="n"/>
      <c r="AI46" s="2072" t="n"/>
      <c r="AJ46" s="2087" t="n"/>
      <c r="AK46" s="2072" t="n"/>
      <c r="AL46" s="2072" t="n"/>
      <c r="AM46" s="2072" t="n"/>
      <c r="AN46" s="2072" t="n"/>
      <c r="AO46" s="2087" t="n"/>
      <c r="AP46" s="2072" t="n"/>
      <c r="AQ46" s="2072" t="n"/>
      <c r="AR46" s="2072" t="n"/>
      <c r="AS46" s="2072" t="n"/>
      <c r="AT46" s="2087" t="n"/>
      <c r="AU46" s="2072" t="n"/>
      <c r="AV46" s="2072" t="n"/>
      <c r="AW46" s="2072" t="n"/>
      <c r="AX46" s="2072" t="n"/>
      <c r="AY46" s="2087" t="n"/>
      <c r="AZ46" s="2072" t="n"/>
      <c r="BA46" s="2072" t="n"/>
      <c r="BB46" s="2072" t="n"/>
      <c r="BC46" s="2072" t="n"/>
      <c r="BD46" s="2102" t="n"/>
      <c r="BE46" s="2072" t="n"/>
      <c r="BF46" s="2072" t="n"/>
      <c r="BG46" s="2072" t="n"/>
      <c r="BH46" s="2072" t="n"/>
      <c r="BI46" s="2087" t="n"/>
      <c r="BJ46" s="2072" t="n"/>
      <c r="BK46" s="2072" t="n"/>
      <c r="BL46" s="2072" t="n"/>
      <c r="BM46" s="2072" t="n"/>
      <c r="BN46" s="2087" t="n"/>
      <c r="BO46" s="2072" t="n"/>
      <c r="BP46" s="2072" t="n"/>
      <c r="BQ46" s="2073" t="n"/>
      <c r="BR46" s="2089" t="n"/>
      <c r="BS46" s="2090" t="n"/>
      <c r="BT46" s="2089" t="n"/>
      <c r="BU46" s="2089" t="n"/>
      <c r="BV46" s="2089" t="n"/>
      <c r="BW46" s="2089" t="n"/>
      <c r="BX46" s="2090" t="n"/>
      <c r="BY46" s="2090" t="n"/>
      <c r="BZ46" s="2090" t="n"/>
      <c r="CA46" s="2090" t="n"/>
      <c r="CB46" s="2085" t="n"/>
    </row>
    <row r="47" ht="14.4" customFormat="1" customHeight="1" s="2082">
      <c r="A47" s="1611" t="inlineStr">
        <is>
          <t>CEO - Options 02/14/27 # of unexercised exercisable options, 000s</t>
        </is>
      </c>
      <c r="B47" s="2086" t="n"/>
      <c r="C47" s="2087" t="n"/>
      <c r="D47" s="2087" t="n"/>
      <c r="E47" s="2087" t="n"/>
      <c r="F47" s="2087" t="n"/>
      <c r="G47" s="2072" t="n"/>
      <c r="H47" s="2072" t="n"/>
      <c r="I47" s="2072" t="n"/>
      <c r="J47" s="2072" t="n"/>
      <c r="K47" s="2087" t="n"/>
      <c r="L47" s="2072" t="n"/>
      <c r="M47" s="2072" t="n"/>
      <c r="N47" s="2072" t="n"/>
      <c r="O47" s="2072" t="n"/>
      <c r="P47" s="2087" t="n"/>
      <c r="Q47" s="2072" t="n"/>
      <c r="R47" s="2072" t="n"/>
      <c r="S47" s="2072" t="n"/>
      <c r="T47" s="2072" t="n"/>
      <c r="U47" s="2087" t="n"/>
      <c r="V47" s="2072" t="n"/>
      <c r="W47" s="2072" t="n"/>
      <c r="X47" s="2072" t="n"/>
      <c r="Y47" s="2072" t="n"/>
      <c r="Z47" s="2087" t="n"/>
      <c r="AA47" s="2072" t="n"/>
      <c r="AB47" s="2072" t="n"/>
      <c r="AC47" s="2072" t="n"/>
      <c r="AD47" s="2072" t="n"/>
      <c r="AE47" s="2087" t="n"/>
      <c r="AF47" s="2072" t="n"/>
      <c r="AG47" s="2072" t="n"/>
      <c r="AH47" s="2072" t="n"/>
      <c r="AI47" s="2072" t="n"/>
      <c r="AJ47" s="2087" t="n"/>
      <c r="AK47" s="2072" t="n"/>
      <c r="AL47" s="2072" t="n"/>
      <c r="AM47" s="2072" t="n"/>
      <c r="AN47" s="2072" t="n"/>
      <c r="AO47" s="2087" t="n"/>
      <c r="AP47" s="2072" t="n"/>
      <c r="AQ47" s="2072" t="n"/>
      <c r="AR47" s="2072" t="n"/>
      <c r="AS47" s="2072" t="n"/>
      <c r="AT47" s="2117" t="n">
        <v>41.257</v>
      </c>
      <c r="AU47" s="2072" t="n"/>
      <c r="AV47" s="2072" t="n"/>
      <c r="AW47" s="2072" t="n"/>
      <c r="AX47" s="2072" t="n"/>
      <c r="AY47" s="2117" t="n">
        <v>32.917</v>
      </c>
      <c r="AZ47" s="2072" t="n"/>
      <c r="BA47" s="2072" t="n"/>
      <c r="BB47" s="2072" t="n"/>
      <c r="BC47" s="2072" t="n"/>
      <c r="BD47" s="2088" t="n">
        <v>50.873</v>
      </c>
      <c r="BE47" s="2072" t="n"/>
      <c r="BF47" s="2072" t="n"/>
      <c r="BG47" s="2072" t="n"/>
      <c r="BH47" s="2072" t="n"/>
      <c r="BI47" s="2117" t="n">
        <v>68.828</v>
      </c>
      <c r="BJ47" s="2072" t="n"/>
      <c r="BK47" s="2072" t="n"/>
      <c r="BL47" s="2072" t="n"/>
      <c r="BM47" s="2072" t="n"/>
      <c r="BN47" s="2087" t="n"/>
      <c r="BO47" s="2072" t="n"/>
      <c r="BP47" s="2072" t="n"/>
      <c r="BQ47" s="2073" t="n"/>
      <c r="BR47" s="2089" t="n"/>
      <c r="BS47" s="2090" t="n"/>
      <c r="BT47" s="2089" t="n"/>
      <c r="BU47" s="2089" t="n"/>
      <c r="BV47" s="2089" t="n"/>
      <c r="BW47" s="2089" t="n"/>
      <c r="BX47" s="2090" t="n"/>
      <c r="BY47" s="2090" t="n"/>
      <c r="BZ47" s="2090" t="n"/>
      <c r="CA47" s="2090" t="n"/>
      <c r="CB47" s="2085" t="n"/>
    </row>
    <row r="48" ht="14.4" customFormat="1" customHeight="1" s="2082">
      <c r="A48" s="1611" t="inlineStr">
        <is>
          <t>CEO - Options 02/14/27 # of unexercised unexercisable options, 000s</t>
        </is>
      </c>
      <c r="B48" s="2086" t="n"/>
      <c r="C48" s="2087" t="n"/>
      <c r="D48" s="2087" t="n"/>
      <c r="E48" s="2087" t="n"/>
      <c r="F48" s="2087" t="n"/>
      <c r="G48" s="2072" t="n"/>
      <c r="H48" s="2072" t="n"/>
      <c r="I48" s="2072" t="n"/>
      <c r="J48" s="2072" t="n"/>
      <c r="K48" s="2087" t="n"/>
      <c r="L48" s="2072" t="n"/>
      <c r="M48" s="2072" t="n"/>
      <c r="N48" s="2072" t="n"/>
      <c r="O48" s="2072" t="n"/>
      <c r="P48" s="2087" t="n"/>
      <c r="Q48" s="2072" t="n"/>
      <c r="R48" s="2072" t="n"/>
      <c r="S48" s="2072" t="n"/>
      <c r="T48" s="2072" t="n"/>
      <c r="U48" s="2087" t="n"/>
      <c r="V48" s="2072" t="n"/>
      <c r="W48" s="2072" t="n"/>
      <c r="X48" s="2072" t="n"/>
      <c r="Y48" s="2072" t="n"/>
      <c r="Z48" s="2087" t="n"/>
      <c r="AA48" s="2072" t="n"/>
      <c r="AB48" s="2072" t="n"/>
      <c r="AC48" s="2072" t="n"/>
      <c r="AD48" s="2072" t="n"/>
      <c r="AE48" s="2087" t="n"/>
      <c r="AF48" s="2072" t="n"/>
      <c r="AG48" s="2072" t="n"/>
      <c r="AH48" s="2072" t="n"/>
      <c r="AI48" s="2072" t="n"/>
      <c r="AJ48" s="2087" t="n"/>
      <c r="AK48" s="2072" t="n"/>
      <c r="AL48" s="2072" t="n"/>
      <c r="AM48" s="2072" t="n"/>
      <c r="AN48" s="2072" t="n"/>
      <c r="AO48" s="2087" t="n"/>
      <c r="AP48" s="2072" t="n"/>
      <c r="AQ48" s="2072" t="n"/>
      <c r="AR48" s="2072" t="n"/>
      <c r="AS48" s="2072" t="n"/>
      <c r="AT48" s="2117" t="n">
        <v>156.778</v>
      </c>
      <c r="AU48" s="2072" t="n"/>
      <c r="AV48" s="2072" t="n"/>
      <c r="AW48" s="2072" t="n"/>
      <c r="AX48" s="2072" t="n"/>
      <c r="AY48" s="2117" t="n">
        <v>38.904</v>
      </c>
      <c r="AZ48" s="2072" t="n"/>
      <c r="BA48" s="2072" t="n"/>
      <c r="BB48" s="2072" t="n"/>
      <c r="BC48" s="2072" t="n"/>
      <c r="BD48" s="2088" t="n">
        <v>20.948</v>
      </c>
      <c r="BE48" s="2072" t="n"/>
      <c r="BF48" s="2072" t="n"/>
      <c r="BG48" s="2072" t="n"/>
      <c r="BH48" s="2072" t="n"/>
      <c r="BI48" s="2117" t="n">
        <v>2.993</v>
      </c>
      <c r="BJ48" s="2072" t="n"/>
      <c r="BK48" s="2072" t="n"/>
      <c r="BL48" s="2072" t="n"/>
      <c r="BM48" s="2072" t="n"/>
      <c r="BN48" s="2087" t="n"/>
      <c r="BO48" s="2072" t="n"/>
      <c r="BP48" s="2072" t="n"/>
      <c r="BQ48" s="2073" t="n"/>
      <c r="BR48" s="2089" t="n"/>
      <c r="BS48" s="2090" t="n"/>
      <c r="BT48" s="2089" t="n"/>
      <c r="BU48" s="2089" t="n"/>
      <c r="BV48" s="2089" t="n"/>
      <c r="BW48" s="2089" t="n"/>
      <c r="BX48" s="2090" t="n"/>
      <c r="BY48" s="2090" t="n"/>
      <c r="BZ48" s="2090" t="n"/>
      <c r="CA48" s="2090" t="n"/>
      <c r="CB48" s="2085" t="n"/>
    </row>
    <row r="49" ht="14.4" customFormat="1" customHeight="1" s="2118">
      <c r="A49" s="2119" t="inlineStr">
        <is>
          <t>CEO - Options 02/14/27 exercise price, $</t>
        </is>
      </c>
      <c r="B49" s="2120" t="n"/>
      <c r="C49" s="2121" t="n"/>
      <c r="D49" s="2121" t="n"/>
      <c r="E49" s="2121" t="n"/>
      <c r="F49" s="2121" t="n"/>
      <c r="G49" s="2122" t="n"/>
      <c r="H49" s="2122" t="n"/>
      <c r="I49" s="2122" t="n"/>
      <c r="J49" s="2122" t="n"/>
      <c r="K49" s="2121" t="n"/>
      <c r="L49" s="2122" t="n"/>
      <c r="M49" s="2122" t="n"/>
      <c r="N49" s="2122" t="n"/>
      <c r="O49" s="2122" t="n"/>
      <c r="P49" s="2121" t="n"/>
      <c r="Q49" s="2122" t="n"/>
      <c r="R49" s="2122" t="n"/>
      <c r="S49" s="2122" t="n"/>
      <c r="T49" s="2122" t="n"/>
      <c r="U49" s="2121" t="n"/>
      <c r="V49" s="2122" t="n"/>
      <c r="W49" s="2122" t="n"/>
      <c r="X49" s="2122" t="n"/>
      <c r="Y49" s="2122" t="n"/>
      <c r="Z49" s="2121" t="n"/>
      <c r="AA49" s="2122" t="n"/>
      <c r="AB49" s="2122" t="n"/>
      <c r="AC49" s="2122" t="n"/>
      <c r="AD49" s="2122" t="n"/>
      <c r="AE49" s="2121" t="n"/>
      <c r="AF49" s="2122" t="n"/>
      <c r="AG49" s="2122" t="n"/>
      <c r="AH49" s="2122" t="n"/>
      <c r="AI49" s="2122" t="n"/>
      <c r="AJ49" s="2121" t="n"/>
      <c r="AK49" s="2122" t="n"/>
      <c r="AL49" s="2122" t="n"/>
      <c r="AM49" s="2122" t="n"/>
      <c r="AN49" s="2122" t="n"/>
      <c r="AO49" s="2121" t="n"/>
      <c r="AP49" s="2122" t="n"/>
      <c r="AQ49" s="2122" t="n"/>
      <c r="AR49" s="2122" t="n"/>
      <c r="AS49" s="2122" t="n"/>
      <c r="AT49" s="2123" t="n">
        <v>78.76000000000001</v>
      </c>
      <c r="AU49" s="2122" t="n"/>
      <c r="AV49" s="2122" t="n"/>
      <c r="AW49" s="2122" t="n"/>
      <c r="AX49" s="2122" t="n"/>
      <c r="AY49" s="2123" t="n">
        <v>78.76000000000001</v>
      </c>
      <c r="AZ49" s="2122" t="n"/>
      <c r="BA49" s="2122" t="n"/>
      <c r="BB49" s="2122" t="n"/>
      <c r="BC49" s="2122" t="n"/>
      <c r="BD49" s="2128" t="n">
        <v>78.76000000000001</v>
      </c>
      <c r="BE49" s="2122" t="n"/>
      <c r="BF49" s="2122" t="n"/>
      <c r="BG49" s="2122" t="n"/>
      <c r="BH49" s="2122" t="n"/>
      <c r="BI49" s="2123" t="n">
        <v>78.76000000000001</v>
      </c>
      <c r="BJ49" s="2122" t="n"/>
      <c r="BK49" s="2122" t="n"/>
      <c r="BL49" s="2122" t="n"/>
      <c r="BM49" s="2122" t="n"/>
      <c r="BN49" s="2121" t="n"/>
      <c r="BO49" s="2122" t="n"/>
      <c r="BP49" s="2122" t="n"/>
      <c r="BQ49" s="2124" t="n"/>
      <c r="BR49" s="2125" t="n"/>
      <c r="BS49" s="2126" t="n"/>
      <c r="BT49" s="2125" t="n"/>
      <c r="BU49" s="2125" t="n"/>
      <c r="BV49" s="2125" t="n"/>
      <c r="BW49" s="2125" t="n"/>
      <c r="BX49" s="2126" t="n"/>
      <c r="BY49" s="2126" t="n"/>
      <c r="BZ49" s="2126" t="n"/>
      <c r="CA49" s="2126" t="n"/>
      <c r="CB49" s="2127" t="n"/>
    </row>
    <row r="50" ht="14.4" customFormat="1" customHeight="1" s="2082">
      <c r="A50" s="1596" t="n"/>
      <c r="B50" s="2098" t="n"/>
      <c r="C50" s="2090" t="n"/>
      <c r="D50" s="2090" t="n"/>
      <c r="E50" s="2090" t="n"/>
      <c r="F50" s="2090" t="n"/>
      <c r="G50" s="2089" t="n"/>
      <c r="H50" s="2089" t="n"/>
      <c r="I50" s="2089" t="n"/>
      <c r="J50" s="2089" t="n"/>
      <c r="K50" s="2090" t="n"/>
      <c r="L50" s="2089" t="n"/>
      <c r="M50" s="2089" t="n"/>
      <c r="N50" s="2089" t="n"/>
      <c r="O50" s="2089" t="n"/>
      <c r="P50" s="2090" t="n"/>
      <c r="Q50" s="2089" t="n"/>
      <c r="R50" s="2089" t="n"/>
      <c r="S50" s="2089" t="n"/>
      <c r="T50" s="2089" t="n"/>
      <c r="U50" s="2090" t="n"/>
      <c r="V50" s="2089" t="n"/>
      <c r="W50" s="2089" t="n"/>
      <c r="X50" s="2089" t="n"/>
      <c r="Y50" s="2089" t="n"/>
      <c r="Z50" s="2090" t="n"/>
      <c r="AA50" s="2089" t="n"/>
      <c r="AB50" s="2089" t="n"/>
      <c r="AC50" s="2089" t="n"/>
      <c r="AD50" s="2089" t="n"/>
      <c r="AE50" s="2090" t="n"/>
      <c r="AF50" s="2089" t="n"/>
      <c r="AG50" s="2089" t="n"/>
      <c r="AH50" s="2089" t="n"/>
      <c r="AI50" s="2089" t="n"/>
      <c r="AJ50" s="2090" t="n"/>
      <c r="AK50" s="2089" t="n"/>
      <c r="AL50" s="2089" t="n"/>
      <c r="AM50" s="2089" t="n"/>
      <c r="AN50" s="2089" t="n"/>
      <c r="AO50" s="2090" t="n"/>
      <c r="AP50" s="2089" t="n"/>
      <c r="AQ50" s="2089" t="n"/>
      <c r="AR50" s="2089" t="n"/>
      <c r="AS50" s="2089" t="n"/>
      <c r="AT50" s="2090" t="n"/>
      <c r="AU50" s="2089" t="n"/>
      <c r="AV50" s="2089" t="n"/>
      <c r="AW50" s="2089" t="n"/>
      <c r="AX50" s="2089" t="n"/>
      <c r="AY50" s="2090" t="n"/>
      <c r="AZ50" s="2089" t="n"/>
      <c r="BA50" s="2089" t="n"/>
      <c r="BB50" s="2089" t="n"/>
      <c r="BC50" s="2089" t="n"/>
      <c r="BD50" s="2099" t="n"/>
      <c r="BE50" s="2089" t="n"/>
      <c r="BF50" s="2089" t="n"/>
      <c r="BG50" s="2089" t="n"/>
      <c r="BH50" s="2089" t="n"/>
      <c r="BI50" s="2087" t="n"/>
      <c r="BJ50" s="2089" t="n"/>
      <c r="BK50" s="2089" t="n"/>
      <c r="BL50" s="2089" t="n"/>
      <c r="BM50" s="2089" t="n"/>
      <c r="BN50" s="2087" t="n"/>
      <c r="BO50" s="2089" t="n"/>
      <c r="BP50" s="2089" t="n"/>
      <c r="BQ50" s="2100" t="n"/>
      <c r="BR50" s="2089" t="n"/>
      <c r="BS50" s="2090" t="n"/>
      <c r="BT50" s="2089" t="n"/>
      <c r="BU50" s="2089" t="n"/>
      <c r="BV50" s="2089" t="n"/>
      <c r="BW50" s="2089" t="n"/>
      <c r="BX50" s="2090" t="n"/>
      <c r="BY50" s="2090" t="n"/>
      <c r="BZ50" s="2090" t="n"/>
      <c r="CA50" s="2090" t="n"/>
      <c r="CB50" s="2085" t="n"/>
    </row>
    <row r="51" ht="14.4" customFormat="1" customHeight="1" s="2082">
      <c r="A51" s="1611" t="inlineStr">
        <is>
          <t>CEO - Options 02/25/28 # of unexercised exercisable options, 000s</t>
        </is>
      </c>
      <c r="B51" s="2098" t="n"/>
      <c r="C51" s="2090" t="n"/>
      <c r="D51" s="2090" t="n"/>
      <c r="E51" s="2090" t="n"/>
      <c r="F51" s="2090" t="n"/>
      <c r="G51" s="2089" t="n"/>
      <c r="H51" s="2089" t="n"/>
      <c r="I51" s="2089" t="n"/>
      <c r="J51" s="2089" t="n"/>
      <c r="K51" s="2090" t="n"/>
      <c r="L51" s="2089" t="n"/>
      <c r="M51" s="2089" t="n"/>
      <c r="N51" s="2089" t="n"/>
      <c r="O51" s="2089" t="n"/>
      <c r="P51" s="2090" t="n"/>
      <c r="Q51" s="2089" t="n"/>
      <c r="R51" s="2089" t="n"/>
      <c r="S51" s="2089" t="n"/>
      <c r="T51" s="2089" t="n"/>
      <c r="U51" s="2090" t="n"/>
      <c r="V51" s="2089" t="n"/>
      <c r="W51" s="2089" t="n"/>
      <c r="X51" s="2089" t="n"/>
      <c r="Y51" s="2089" t="n"/>
      <c r="Z51" s="2090" t="n"/>
      <c r="AA51" s="2089" t="n"/>
      <c r="AB51" s="2089" t="n"/>
      <c r="AC51" s="2089" t="n"/>
      <c r="AD51" s="2089" t="n"/>
      <c r="AE51" s="2090" t="n"/>
      <c r="AF51" s="2089" t="n"/>
      <c r="AG51" s="2089" t="n"/>
      <c r="AH51" s="2089" t="n"/>
      <c r="AI51" s="2089" t="n"/>
      <c r="AJ51" s="2090" t="n"/>
      <c r="AK51" s="2089" t="n"/>
      <c r="AL51" s="2089" t="n"/>
      <c r="AM51" s="2089" t="n"/>
      <c r="AN51" s="2089" t="n"/>
      <c r="AO51" s="2090" t="n"/>
      <c r="AP51" s="2089" t="n"/>
      <c r="AQ51" s="2089" t="n"/>
      <c r="AR51" s="2089" t="n"/>
      <c r="AS51" s="2089" t="n"/>
      <c r="AT51" s="2090" t="n"/>
      <c r="AU51" s="2089" t="n"/>
      <c r="AV51" s="2089" t="n"/>
      <c r="AW51" s="2089" t="n"/>
      <c r="AX51" s="2089" t="n"/>
      <c r="AY51" s="2088" t="n">
        <v>13.044</v>
      </c>
      <c r="AZ51" s="2089" t="n"/>
      <c r="BA51" s="2089" t="n"/>
      <c r="BB51" s="2089" t="n"/>
      <c r="BC51" s="2089" t="n"/>
      <c r="BD51" s="2088" t="n">
        <v>28.698</v>
      </c>
      <c r="BE51" s="2089" t="n"/>
      <c r="BF51" s="2089" t="n"/>
      <c r="BG51" s="2089" t="n"/>
      <c r="BH51" s="2089" t="n"/>
      <c r="BI51" s="2117" t="n">
        <v>44.351</v>
      </c>
      <c r="BJ51" s="2089" t="n"/>
      <c r="BK51" s="2089" t="n"/>
      <c r="BL51" s="2089" t="n"/>
      <c r="BM51" s="2089" t="n"/>
      <c r="BN51" s="2087" t="n"/>
      <c r="BO51" s="2089" t="n"/>
      <c r="BP51" s="2089" t="n"/>
      <c r="BQ51" s="2100" t="n"/>
      <c r="BR51" s="2089" t="n"/>
      <c r="BS51" s="2090" t="n"/>
      <c r="BT51" s="2089" t="n"/>
      <c r="BU51" s="2089" t="n"/>
      <c r="BV51" s="2089" t="n"/>
      <c r="BW51" s="2089" t="n"/>
      <c r="BX51" s="2090" t="n"/>
      <c r="BY51" s="2090" t="n"/>
      <c r="BZ51" s="2090" t="n"/>
      <c r="CA51" s="2090" t="n"/>
      <c r="CB51" s="2085" t="n"/>
    </row>
    <row r="52" ht="14.4" customFormat="1" customHeight="1" s="2082">
      <c r="A52" s="1611" t="inlineStr">
        <is>
          <t>CEO - Options 02/25/28 # of unexercised unexercisable options, 000s</t>
        </is>
      </c>
      <c r="B52" s="2098" t="n"/>
      <c r="C52" s="2090" t="n"/>
      <c r="D52" s="2090" t="n"/>
      <c r="E52" s="2090" t="n"/>
      <c r="F52" s="2090" t="n"/>
      <c r="G52" s="2089" t="n"/>
      <c r="H52" s="2089" t="n"/>
      <c r="I52" s="2089" t="n"/>
      <c r="J52" s="2089" t="n"/>
      <c r="K52" s="2090" t="n"/>
      <c r="L52" s="2089" t="n"/>
      <c r="M52" s="2089" t="n"/>
      <c r="N52" s="2089" t="n"/>
      <c r="O52" s="2089" t="n"/>
      <c r="P52" s="2090" t="n"/>
      <c r="Q52" s="2089" t="n"/>
      <c r="R52" s="2089" t="n"/>
      <c r="S52" s="2089" t="n"/>
      <c r="T52" s="2089" t="n"/>
      <c r="U52" s="2090" t="n"/>
      <c r="V52" s="2089" t="n"/>
      <c r="W52" s="2089" t="n"/>
      <c r="X52" s="2089" t="n"/>
      <c r="Y52" s="2089" t="n"/>
      <c r="Z52" s="2090" t="n"/>
      <c r="AA52" s="2089" t="n"/>
      <c r="AB52" s="2089" t="n"/>
      <c r="AC52" s="2089" t="n"/>
      <c r="AD52" s="2089" t="n"/>
      <c r="AE52" s="2090" t="n"/>
      <c r="AF52" s="2089" t="n"/>
      <c r="AG52" s="2089" t="n"/>
      <c r="AH52" s="2089" t="n"/>
      <c r="AI52" s="2089" t="n"/>
      <c r="AJ52" s="2090" t="n"/>
      <c r="AK52" s="2089" t="n"/>
      <c r="AL52" s="2089" t="n"/>
      <c r="AM52" s="2089" t="n"/>
      <c r="AN52" s="2089" t="n"/>
      <c r="AO52" s="2090" t="n"/>
      <c r="AP52" s="2089" t="n"/>
      <c r="AQ52" s="2089" t="n"/>
      <c r="AR52" s="2089" t="n"/>
      <c r="AS52" s="2089" t="n"/>
      <c r="AT52" s="2090" t="n"/>
      <c r="AU52" s="2089" t="n"/>
      <c r="AV52" s="2089" t="n"/>
      <c r="AW52" s="2089" t="n"/>
      <c r="AX52" s="2089" t="n"/>
      <c r="AY52" s="2088" t="n">
        <v>49.57</v>
      </c>
      <c r="AZ52" s="2089" t="n"/>
      <c r="BA52" s="2089" t="n"/>
      <c r="BB52" s="2089" t="n"/>
      <c r="BC52" s="2089" t="n"/>
      <c r="BD52" s="2088" t="n">
        <v>33.916</v>
      </c>
      <c r="BE52" s="2089" t="n"/>
      <c r="BF52" s="2089" t="n"/>
      <c r="BG52" s="2089" t="n"/>
      <c r="BH52" s="2089" t="n"/>
      <c r="BI52" s="2117" t="n">
        <v>18.263</v>
      </c>
      <c r="BJ52" s="2089" t="n"/>
      <c r="BK52" s="2089" t="n"/>
      <c r="BL52" s="2089" t="n"/>
      <c r="BM52" s="2089" t="n"/>
      <c r="BN52" s="2087" t="n"/>
      <c r="BO52" s="2089" t="n"/>
      <c r="BP52" s="2089" t="n"/>
      <c r="BQ52" s="2100" t="n"/>
      <c r="BR52" s="2089" t="n"/>
      <c r="BS52" s="2090" t="n"/>
      <c r="BT52" s="2089" t="n"/>
      <c r="BU52" s="2089" t="n"/>
      <c r="BV52" s="2089" t="n"/>
      <c r="BW52" s="2089" t="n"/>
      <c r="BX52" s="2090" t="n"/>
      <c r="BY52" s="2090" t="n"/>
      <c r="BZ52" s="2090" t="n"/>
      <c r="CA52" s="2090" t="n"/>
      <c r="CB52" s="2085" t="n"/>
    </row>
    <row r="53" ht="14.4" customFormat="1" customHeight="1" s="2118">
      <c r="A53" s="2119" t="inlineStr">
        <is>
          <t>CEO - Options 02/25/28 exercise price, $</t>
        </is>
      </c>
      <c r="B53" s="2129" t="n"/>
      <c r="C53" s="2126" t="n"/>
      <c r="D53" s="2126" t="n"/>
      <c r="E53" s="2126" t="n"/>
      <c r="F53" s="2126" t="n"/>
      <c r="G53" s="2125" t="n"/>
      <c r="H53" s="2125" t="n"/>
      <c r="I53" s="2125" t="n"/>
      <c r="J53" s="2125" t="n"/>
      <c r="K53" s="2126" t="n"/>
      <c r="L53" s="2125" t="n"/>
      <c r="M53" s="2125" t="n"/>
      <c r="N53" s="2125" t="n"/>
      <c r="O53" s="2125" t="n"/>
      <c r="P53" s="2126" t="n"/>
      <c r="Q53" s="2125" t="n"/>
      <c r="R53" s="2125" t="n"/>
      <c r="S53" s="2125" t="n"/>
      <c r="T53" s="2125" t="n"/>
      <c r="U53" s="2126" t="n"/>
      <c r="V53" s="2125" t="n"/>
      <c r="W53" s="2125" t="n"/>
      <c r="X53" s="2125" t="n"/>
      <c r="Y53" s="2125" t="n"/>
      <c r="Z53" s="2126" t="n"/>
      <c r="AA53" s="2125" t="n"/>
      <c r="AB53" s="2125" t="n"/>
      <c r="AC53" s="2125" t="n"/>
      <c r="AD53" s="2125" t="n"/>
      <c r="AE53" s="2126" t="n"/>
      <c r="AF53" s="2125" t="n"/>
      <c r="AG53" s="2125" t="n"/>
      <c r="AH53" s="2125" t="n"/>
      <c r="AI53" s="2125" t="n"/>
      <c r="AJ53" s="2126" t="n"/>
      <c r="AK53" s="2125" t="n"/>
      <c r="AL53" s="2125" t="n"/>
      <c r="AM53" s="2125" t="n"/>
      <c r="AN53" s="2125" t="n"/>
      <c r="AO53" s="2126" t="n"/>
      <c r="AP53" s="2125" t="n"/>
      <c r="AQ53" s="2125" t="n"/>
      <c r="AR53" s="2125" t="n"/>
      <c r="AS53" s="2125" t="n"/>
      <c r="AT53" s="2126" t="n"/>
      <c r="AU53" s="2125" t="n"/>
      <c r="AV53" s="2125" t="n"/>
      <c r="AW53" s="2125" t="n"/>
      <c r="AX53" s="2125" t="n"/>
      <c r="AY53" s="2128" t="n">
        <v>138.02</v>
      </c>
      <c r="AZ53" s="2125" t="n"/>
      <c r="BA53" s="2125" t="n"/>
      <c r="BB53" s="2125" t="n"/>
      <c r="BC53" s="2125" t="n"/>
      <c r="BD53" s="2128" t="n">
        <v>138.02</v>
      </c>
      <c r="BE53" s="2125" t="n"/>
      <c r="BF53" s="2125" t="n"/>
      <c r="BG53" s="2125" t="n"/>
      <c r="BH53" s="2125" t="n"/>
      <c r="BI53" s="2123" t="n">
        <v>138.02</v>
      </c>
      <c r="BJ53" s="2125" t="n"/>
      <c r="BK53" s="2125" t="n"/>
      <c r="BL53" s="2125" t="n"/>
      <c r="BM53" s="2125" t="n"/>
      <c r="BN53" s="2121" t="n"/>
      <c r="BO53" s="2125" t="n"/>
      <c r="BP53" s="2125" t="n"/>
      <c r="BQ53" s="2130" t="n"/>
      <c r="BR53" s="2125" t="n"/>
      <c r="BS53" s="2126" t="n"/>
      <c r="BT53" s="2125" t="n"/>
      <c r="BU53" s="2125" t="n"/>
      <c r="BV53" s="2125" t="n"/>
      <c r="BW53" s="2125" t="n"/>
      <c r="BX53" s="2126" t="n"/>
      <c r="BY53" s="2126" t="n"/>
      <c r="BZ53" s="2126" t="n"/>
      <c r="CA53" s="2126" t="n"/>
      <c r="CB53" s="2127" t="n"/>
    </row>
    <row r="54" ht="14.4" customFormat="1" customHeight="1" s="2082">
      <c r="A54" s="1596" t="n"/>
      <c r="B54" s="2098" t="n"/>
      <c r="C54" s="2090" t="n"/>
      <c r="D54" s="2090" t="n"/>
      <c r="E54" s="2090" t="n"/>
      <c r="F54" s="2090" t="n"/>
      <c r="G54" s="2089" t="n"/>
      <c r="H54" s="2089" t="n"/>
      <c r="I54" s="2089" t="n"/>
      <c r="J54" s="2089" t="n"/>
      <c r="K54" s="2090" t="n"/>
      <c r="L54" s="2089" t="n"/>
      <c r="M54" s="2089" t="n"/>
      <c r="N54" s="2089" t="n"/>
      <c r="O54" s="2089" t="n"/>
      <c r="P54" s="2090" t="n"/>
      <c r="Q54" s="2089" t="n"/>
      <c r="R54" s="2089" t="n"/>
      <c r="S54" s="2089" t="n"/>
      <c r="T54" s="2089" t="n"/>
      <c r="U54" s="2090" t="n"/>
      <c r="V54" s="2089" t="n"/>
      <c r="W54" s="2089" t="n"/>
      <c r="X54" s="2089" t="n"/>
      <c r="Y54" s="2089" t="n"/>
      <c r="Z54" s="2090" t="n"/>
      <c r="AA54" s="2089" t="n"/>
      <c r="AB54" s="2089" t="n"/>
      <c r="AC54" s="2089" t="n"/>
      <c r="AD54" s="2089" t="n"/>
      <c r="AE54" s="2090" t="n"/>
      <c r="AF54" s="2089" t="n"/>
      <c r="AG54" s="2089" t="n"/>
      <c r="AH54" s="2089" t="n"/>
      <c r="AI54" s="2089" t="n"/>
      <c r="AJ54" s="2090" t="n"/>
      <c r="AK54" s="2089" t="n"/>
      <c r="AL54" s="2089" t="n"/>
      <c r="AM54" s="2089" t="n"/>
      <c r="AN54" s="2089" t="n"/>
      <c r="AO54" s="2090" t="n"/>
      <c r="AP54" s="2089" t="n"/>
      <c r="AQ54" s="2089" t="n"/>
      <c r="AR54" s="2089" t="n"/>
      <c r="AS54" s="2089" t="n"/>
      <c r="AT54" s="2090" t="n"/>
      <c r="AU54" s="2089" t="n"/>
      <c r="AV54" s="2089" t="n"/>
      <c r="AW54" s="2089" t="n"/>
      <c r="AX54" s="2089" t="n"/>
      <c r="AY54" s="2090" t="n"/>
      <c r="AZ54" s="2089" t="n"/>
      <c r="BA54" s="2089" t="n"/>
      <c r="BB54" s="2089" t="n"/>
      <c r="BC54" s="2089" t="n"/>
      <c r="BD54" s="2099" t="n"/>
      <c r="BE54" s="2089" t="n"/>
      <c r="BF54" s="2089" t="n"/>
      <c r="BG54" s="2089" t="n"/>
      <c r="BH54" s="2089" t="n"/>
      <c r="BI54" s="2087" t="n"/>
      <c r="BJ54" s="2089" t="n"/>
      <c r="BK54" s="2089" t="n"/>
      <c r="BL54" s="2089" t="n"/>
      <c r="BM54" s="2089" t="n"/>
      <c r="BN54" s="2087" t="n"/>
      <c r="BO54" s="2089" t="n"/>
      <c r="BP54" s="2089" t="n"/>
      <c r="BQ54" s="2100" t="n"/>
      <c r="BR54" s="2089" t="n"/>
      <c r="BS54" s="2090" t="n"/>
      <c r="BT54" s="2089" t="n"/>
      <c r="BU54" s="2089" t="n"/>
      <c r="BV54" s="2089" t="n"/>
      <c r="BW54" s="2089" t="n"/>
      <c r="BX54" s="2090" t="n"/>
      <c r="BY54" s="2090" t="n"/>
      <c r="BZ54" s="2090" t="n"/>
      <c r="CA54" s="2090" t="n"/>
      <c r="CB54" s="2085" t="n"/>
    </row>
    <row r="55" ht="14.4" customFormat="1" customHeight="1" s="2082">
      <c r="A55" s="1611" t="inlineStr">
        <is>
          <t>CEO - Options 12/15/28 # of unexercised exercisable options, 000s</t>
        </is>
      </c>
      <c r="B55" s="2098" t="n"/>
      <c r="C55" s="2090" t="n"/>
      <c r="D55" s="2090" t="n"/>
      <c r="E55" s="2090" t="n"/>
      <c r="F55" s="2090" t="n"/>
      <c r="G55" s="2089" t="n"/>
      <c r="H55" s="2089" t="n"/>
      <c r="I55" s="2089" t="n"/>
      <c r="J55" s="2089" t="n"/>
      <c r="K55" s="2090" t="n"/>
      <c r="L55" s="2089" t="n"/>
      <c r="M55" s="2089" t="n"/>
      <c r="N55" s="2089" t="n"/>
      <c r="O55" s="2089" t="n"/>
      <c r="P55" s="2090" t="n"/>
      <c r="Q55" s="2089" t="n"/>
      <c r="R55" s="2089" t="n"/>
      <c r="S55" s="2089" t="n"/>
      <c r="T55" s="2089" t="n"/>
      <c r="U55" s="2090" t="n"/>
      <c r="V55" s="2089" t="n"/>
      <c r="W55" s="2089" t="n"/>
      <c r="X55" s="2089" t="n"/>
      <c r="Y55" s="2089" t="n"/>
      <c r="Z55" s="2090" t="n"/>
      <c r="AA55" s="2089" t="n"/>
      <c r="AB55" s="2089" t="n"/>
      <c r="AC55" s="2089" t="n"/>
      <c r="AD55" s="2089" t="n"/>
      <c r="AE55" s="2090" t="n"/>
      <c r="AF55" s="2089" t="n"/>
      <c r="AG55" s="2089" t="n"/>
      <c r="AH55" s="2089" t="n"/>
      <c r="AI55" s="2089" t="n"/>
      <c r="AJ55" s="2090" t="n"/>
      <c r="AK55" s="2089" t="n"/>
      <c r="AL55" s="2089" t="n"/>
      <c r="AM55" s="2089" t="n"/>
      <c r="AN55" s="2089" t="n"/>
      <c r="AO55" s="2090" t="n"/>
      <c r="AP55" s="2089" t="n"/>
      <c r="AQ55" s="2089" t="n"/>
      <c r="AR55" s="2089" t="n"/>
      <c r="AS55" s="2089" t="n"/>
      <c r="AT55" s="2090" t="n"/>
      <c r="AU55" s="2089" t="n"/>
      <c r="AV55" s="2089" t="n"/>
      <c r="AW55" s="2089" t="n"/>
      <c r="AX55" s="2089" t="n"/>
      <c r="AY55" s="2102" t="n"/>
      <c r="AZ55" s="2089" t="n"/>
      <c r="BA55" s="2089" t="n"/>
      <c r="BB55" s="2089" t="n"/>
      <c r="BC55" s="2089" t="n"/>
      <c r="BD55" s="2088" t="n">
        <v>70.248</v>
      </c>
      <c r="BE55" s="2089" t="n"/>
      <c r="BF55" s="2089" t="n"/>
      <c r="BG55" s="2089" t="n"/>
      <c r="BH55" s="2089" t="n"/>
      <c r="BI55" s="2117" t="n">
        <v>140.496</v>
      </c>
      <c r="BJ55" s="2089" t="n"/>
      <c r="BK55" s="2089" t="n"/>
      <c r="BL55" s="2089" t="n"/>
      <c r="BM55" s="2089" t="n"/>
      <c r="BN55" s="2087" t="n"/>
      <c r="BO55" s="2089" t="n"/>
      <c r="BP55" s="2089" t="n"/>
      <c r="BQ55" s="2100" t="n"/>
      <c r="BR55" s="2089" t="n"/>
      <c r="BS55" s="2090" t="n"/>
      <c r="BT55" s="2089" t="n"/>
      <c r="BU55" s="2089" t="n"/>
      <c r="BV55" s="2089" t="n"/>
      <c r="BW55" s="2089" t="n"/>
      <c r="BX55" s="2090" t="n"/>
      <c r="BY55" s="2090" t="n"/>
      <c r="BZ55" s="2090" t="n"/>
      <c r="CA55" s="2090" t="n"/>
      <c r="CB55" s="2085" t="n"/>
    </row>
    <row r="56" ht="14.4" customFormat="1" customHeight="1" s="2082">
      <c r="A56" s="1611" t="inlineStr">
        <is>
          <t>CEO - Options 12/15/28 # of unexercised unexercisable options, 000s</t>
        </is>
      </c>
      <c r="B56" s="2098" t="n"/>
      <c r="C56" s="2090" t="n"/>
      <c r="D56" s="2090" t="n"/>
      <c r="E56" s="2090" t="n"/>
      <c r="F56" s="2090" t="n"/>
      <c r="G56" s="2089" t="n"/>
      <c r="H56" s="2089" t="n"/>
      <c r="I56" s="2089" t="n"/>
      <c r="J56" s="2089" t="n"/>
      <c r="K56" s="2090" t="n"/>
      <c r="L56" s="2089" t="n"/>
      <c r="M56" s="2089" t="n"/>
      <c r="N56" s="2089" t="n"/>
      <c r="O56" s="2089" t="n"/>
      <c r="P56" s="2090" t="n"/>
      <c r="Q56" s="2089" t="n"/>
      <c r="R56" s="2089" t="n"/>
      <c r="S56" s="2089" t="n"/>
      <c r="T56" s="2089" t="n"/>
      <c r="U56" s="2090" t="n"/>
      <c r="V56" s="2089" t="n"/>
      <c r="W56" s="2089" t="n"/>
      <c r="X56" s="2089" t="n"/>
      <c r="Y56" s="2089" t="n"/>
      <c r="Z56" s="2090" t="n"/>
      <c r="AA56" s="2089" t="n"/>
      <c r="AB56" s="2089" t="n"/>
      <c r="AC56" s="2089" t="n"/>
      <c r="AD56" s="2089" t="n"/>
      <c r="AE56" s="2090" t="n"/>
      <c r="AF56" s="2089" t="n"/>
      <c r="AG56" s="2089" t="n"/>
      <c r="AH56" s="2089" t="n"/>
      <c r="AI56" s="2089" t="n"/>
      <c r="AJ56" s="2090" t="n"/>
      <c r="AK56" s="2089" t="n"/>
      <c r="AL56" s="2089" t="n"/>
      <c r="AM56" s="2089" t="n"/>
      <c r="AN56" s="2089" t="n"/>
      <c r="AO56" s="2090" t="n"/>
      <c r="AP56" s="2089" t="n"/>
      <c r="AQ56" s="2089" t="n"/>
      <c r="AR56" s="2089" t="n"/>
      <c r="AS56" s="2089" t="n"/>
      <c r="AT56" s="2090" t="n"/>
      <c r="AU56" s="2089" t="n"/>
      <c r="AV56" s="2089" t="n"/>
      <c r="AW56" s="2089" t="n"/>
      <c r="AX56" s="2089" t="n"/>
      <c r="AY56" s="2088" t="n">
        <v>280.993</v>
      </c>
      <c r="AZ56" s="2089" t="n"/>
      <c r="BA56" s="2089" t="n"/>
      <c r="BB56" s="2089" t="n"/>
      <c r="BC56" s="2089" t="n"/>
      <c r="BD56" s="2088" t="n">
        <v>210.745</v>
      </c>
      <c r="BE56" s="2089" t="n"/>
      <c r="BF56" s="2089" t="n"/>
      <c r="BG56" s="2089" t="n"/>
      <c r="BH56" s="2089" t="n"/>
      <c r="BI56" s="2117" t="n">
        <v>140.497</v>
      </c>
      <c r="BJ56" s="2089" t="n"/>
      <c r="BK56" s="2089" t="n"/>
      <c r="BL56" s="2089" t="n"/>
      <c r="BM56" s="2089" t="n"/>
      <c r="BN56" s="2087" t="n"/>
      <c r="BO56" s="2089" t="n"/>
      <c r="BP56" s="2089" t="n"/>
      <c r="BQ56" s="2100" t="n"/>
      <c r="BR56" s="2089" t="n"/>
      <c r="BS56" s="2090" t="n"/>
      <c r="BT56" s="2089" t="n"/>
      <c r="BU56" s="2089" t="n"/>
      <c r="BV56" s="2089" t="n"/>
      <c r="BW56" s="2089" t="n"/>
      <c r="BX56" s="2090" t="n"/>
      <c r="BY56" s="2090" t="n"/>
      <c r="BZ56" s="2090" t="n"/>
      <c r="CA56" s="2090" t="n"/>
      <c r="CB56" s="2085" t="n"/>
    </row>
    <row r="57" ht="14.4" customFormat="1" customHeight="1" s="2118">
      <c r="A57" s="2119" t="inlineStr">
        <is>
          <t>CEO - Options 12/15/28 exercise price, $</t>
        </is>
      </c>
      <c r="B57" s="2129" t="n"/>
      <c r="C57" s="2126" t="n"/>
      <c r="D57" s="2126" t="n"/>
      <c r="E57" s="2126" t="n"/>
      <c r="F57" s="2126" t="n"/>
      <c r="G57" s="2125" t="n"/>
      <c r="H57" s="2125" t="n"/>
      <c r="I57" s="2125" t="n"/>
      <c r="J57" s="2125" t="n"/>
      <c r="K57" s="2126" t="n"/>
      <c r="L57" s="2125" t="n"/>
      <c r="M57" s="2125" t="n"/>
      <c r="N57" s="2125" t="n"/>
      <c r="O57" s="2125" t="n"/>
      <c r="P57" s="2126" t="n"/>
      <c r="Q57" s="2125" t="n"/>
      <c r="R57" s="2125" t="n"/>
      <c r="S57" s="2125" t="n"/>
      <c r="T57" s="2125" t="n"/>
      <c r="U57" s="2126" t="n"/>
      <c r="V57" s="2125" t="n"/>
      <c r="W57" s="2125" t="n"/>
      <c r="X57" s="2125" t="n"/>
      <c r="Y57" s="2125" t="n"/>
      <c r="Z57" s="2126" t="n"/>
      <c r="AA57" s="2125" t="n"/>
      <c r="AB57" s="2125" t="n"/>
      <c r="AC57" s="2125" t="n"/>
      <c r="AD57" s="2125" t="n"/>
      <c r="AE57" s="2126" t="n"/>
      <c r="AF57" s="2125" t="n"/>
      <c r="AG57" s="2125" t="n"/>
      <c r="AH57" s="2125" t="n"/>
      <c r="AI57" s="2125" t="n"/>
      <c r="AJ57" s="2126" t="n"/>
      <c r="AK57" s="2125" t="n"/>
      <c r="AL57" s="2125" t="n"/>
      <c r="AM57" s="2125" t="n"/>
      <c r="AN57" s="2125" t="n"/>
      <c r="AO57" s="2126" t="n"/>
      <c r="AP57" s="2125" t="n"/>
      <c r="AQ57" s="2125" t="n"/>
      <c r="AR57" s="2125" t="n"/>
      <c r="AS57" s="2125" t="n"/>
      <c r="AT57" s="2126" t="n"/>
      <c r="AU57" s="2125" t="n"/>
      <c r="AV57" s="2125" t="n"/>
      <c r="AW57" s="2125" t="n"/>
      <c r="AX57" s="2125" t="n"/>
      <c r="AY57" s="2128" t="n">
        <v>184.27</v>
      </c>
      <c r="AZ57" s="2125" t="n"/>
      <c r="BA57" s="2125" t="n"/>
      <c r="BB57" s="2125" t="n"/>
      <c r="BC57" s="2125" t="n"/>
      <c r="BD57" s="2128" t="n">
        <v>184.27</v>
      </c>
      <c r="BE57" s="2125" t="n"/>
      <c r="BF57" s="2125" t="n"/>
      <c r="BG57" s="2125" t="n"/>
      <c r="BH57" s="2125" t="n"/>
      <c r="BI57" s="2123" t="n">
        <v>184.27</v>
      </c>
      <c r="BJ57" s="2125" t="n"/>
      <c r="BK57" s="2125" t="n"/>
      <c r="BL57" s="2125" t="n"/>
      <c r="BM57" s="2125" t="n"/>
      <c r="BN57" s="2121" t="n"/>
      <c r="BO57" s="2125" t="n"/>
      <c r="BP57" s="2125" t="n"/>
      <c r="BQ57" s="2130" t="n"/>
      <c r="BR57" s="2125" t="n"/>
      <c r="BS57" s="2126" t="n"/>
      <c r="BT57" s="2125" t="n"/>
      <c r="BU57" s="2125" t="n"/>
      <c r="BV57" s="2125" t="n"/>
      <c r="BW57" s="2125" t="n"/>
      <c r="BX57" s="2126" t="n"/>
      <c r="BY57" s="2126" t="n"/>
      <c r="BZ57" s="2126" t="n"/>
      <c r="CA57" s="2126" t="n"/>
      <c r="CB57" s="2127" t="n"/>
    </row>
    <row r="58" ht="14.4" customFormat="1" customHeight="1" s="2082">
      <c r="A58" s="1596" t="n"/>
      <c r="B58" s="2098" t="n"/>
      <c r="C58" s="2090" t="n"/>
      <c r="D58" s="2090" t="n"/>
      <c r="E58" s="2090" t="n"/>
      <c r="F58" s="2090" t="n"/>
      <c r="G58" s="2089" t="n"/>
      <c r="H58" s="2089" t="n"/>
      <c r="I58" s="2089" t="n"/>
      <c r="J58" s="2089" t="n"/>
      <c r="K58" s="2090" t="n"/>
      <c r="L58" s="2089" t="n"/>
      <c r="M58" s="2089" t="n"/>
      <c r="N58" s="2089" t="n"/>
      <c r="O58" s="2089" t="n"/>
      <c r="P58" s="2090" t="n"/>
      <c r="Q58" s="2089" t="n"/>
      <c r="R58" s="2089" t="n"/>
      <c r="S58" s="2089" t="n"/>
      <c r="T58" s="2089" t="n"/>
      <c r="U58" s="2090" t="n"/>
      <c r="V58" s="2089" t="n"/>
      <c r="W58" s="2089" t="n"/>
      <c r="X58" s="2089" t="n"/>
      <c r="Y58" s="2089" t="n"/>
      <c r="Z58" s="2090" t="n"/>
      <c r="AA58" s="2089" t="n"/>
      <c r="AB58" s="2089" t="n"/>
      <c r="AC58" s="2089" t="n"/>
      <c r="AD58" s="2089" t="n"/>
      <c r="AE58" s="2090" t="n"/>
      <c r="AF58" s="2089" t="n"/>
      <c r="AG58" s="2089" t="n"/>
      <c r="AH58" s="2089" t="n"/>
      <c r="AI58" s="2089" t="n"/>
      <c r="AJ58" s="2090" t="n"/>
      <c r="AK58" s="2089" t="n"/>
      <c r="AL58" s="2089" t="n"/>
      <c r="AM58" s="2089" t="n"/>
      <c r="AN58" s="2089" t="n"/>
      <c r="AO58" s="2090" t="n"/>
      <c r="AP58" s="2089" t="n"/>
      <c r="AQ58" s="2089" t="n"/>
      <c r="AR58" s="2089" t="n"/>
      <c r="AS58" s="2089" t="n"/>
      <c r="AT58" s="2090" t="n"/>
      <c r="AU58" s="2089" t="n"/>
      <c r="AV58" s="2089" t="n"/>
      <c r="AW58" s="2089" t="n"/>
      <c r="AX58" s="2089" t="n"/>
      <c r="AY58" s="2090" t="n"/>
      <c r="AZ58" s="2089" t="n"/>
      <c r="BA58" s="2089" t="n"/>
      <c r="BB58" s="2089" t="n"/>
      <c r="BC58" s="2089" t="n"/>
      <c r="BD58" s="2099" t="n"/>
      <c r="BE58" s="2089" t="n"/>
      <c r="BF58" s="2089" t="n"/>
      <c r="BG58" s="2089" t="n"/>
      <c r="BH58" s="2089" t="n"/>
      <c r="BI58" s="2087" t="n"/>
      <c r="BJ58" s="2089" t="n"/>
      <c r="BK58" s="2089" t="n"/>
      <c r="BL58" s="2089" t="n"/>
      <c r="BM58" s="2089" t="n"/>
      <c r="BN58" s="2087" t="n"/>
      <c r="BO58" s="2089" t="n"/>
      <c r="BP58" s="2089" t="n"/>
      <c r="BQ58" s="2100" t="n"/>
      <c r="BR58" s="2089" t="n"/>
      <c r="BS58" s="2090" t="n"/>
      <c r="BT58" s="2089" t="n"/>
      <c r="BU58" s="2089" t="n"/>
      <c r="BV58" s="2089" t="n"/>
      <c r="BW58" s="2089" t="n"/>
      <c r="BX58" s="2090" t="n"/>
      <c r="BY58" s="2090" t="n"/>
      <c r="BZ58" s="2090" t="n"/>
      <c r="CA58" s="2090" t="n"/>
      <c r="CB58" s="2085" t="n"/>
    </row>
    <row r="59" ht="14.4" customFormat="1" customHeight="1" s="2082">
      <c r="A59" s="1611" t="inlineStr">
        <is>
          <t>CEO - Options 03/15/29 # of unexercised exercisable options, 000s</t>
        </is>
      </c>
      <c r="B59" s="2098" t="n"/>
      <c r="C59" s="2090" t="n"/>
      <c r="D59" s="2090" t="n"/>
      <c r="E59" s="2090" t="n"/>
      <c r="F59" s="2090" t="n"/>
      <c r="G59" s="2089" t="n"/>
      <c r="H59" s="2089" t="n"/>
      <c r="I59" s="2089" t="n"/>
      <c r="J59" s="2089" t="n"/>
      <c r="K59" s="2090" t="n"/>
      <c r="L59" s="2089" t="n"/>
      <c r="M59" s="2089" t="n"/>
      <c r="N59" s="2089" t="n"/>
      <c r="O59" s="2089" t="n"/>
      <c r="P59" s="2090" t="n"/>
      <c r="Q59" s="2089" t="n"/>
      <c r="R59" s="2089" t="n"/>
      <c r="S59" s="2089" t="n"/>
      <c r="T59" s="2089" t="n"/>
      <c r="U59" s="2090" t="n"/>
      <c r="V59" s="2089" t="n"/>
      <c r="W59" s="2089" t="n"/>
      <c r="X59" s="2089" t="n"/>
      <c r="Y59" s="2089" t="n"/>
      <c r="Z59" s="2090" t="n"/>
      <c r="AA59" s="2089" t="n"/>
      <c r="AB59" s="2089" t="n"/>
      <c r="AC59" s="2089" t="n"/>
      <c r="AD59" s="2089" t="n"/>
      <c r="AE59" s="2090" t="n"/>
      <c r="AF59" s="2089" t="n"/>
      <c r="AG59" s="2089" t="n"/>
      <c r="AH59" s="2089" t="n"/>
      <c r="AI59" s="2089" t="n"/>
      <c r="AJ59" s="2090" t="n"/>
      <c r="AK59" s="2089" t="n"/>
      <c r="AL59" s="2089" t="n"/>
      <c r="AM59" s="2089" t="n"/>
      <c r="AN59" s="2089" t="n"/>
      <c r="AO59" s="2090" t="n"/>
      <c r="AP59" s="2089" t="n"/>
      <c r="AQ59" s="2089" t="n"/>
      <c r="AR59" s="2089" t="n"/>
      <c r="AS59" s="2089" t="n"/>
      <c r="AT59" s="2090" t="n"/>
      <c r="AU59" s="2089" t="n"/>
      <c r="AV59" s="2089" t="n"/>
      <c r="AW59" s="2089" t="n"/>
      <c r="AX59" s="2089" t="n"/>
      <c r="AY59" s="2090" t="n"/>
      <c r="AZ59" s="2089" t="n"/>
      <c r="BA59" s="2089" t="n"/>
      <c r="BB59" s="2089" t="n"/>
      <c r="BC59" s="2089" t="n"/>
      <c r="BD59" s="2088" t="n">
        <v>18.3</v>
      </c>
      <c r="BE59" s="2089" t="n"/>
      <c r="BF59" s="2089" t="n"/>
      <c r="BG59" s="2089" t="n"/>
      <c r="BH59" s="2089" t="n"/>
      <c r="BI59" s="2117" t="n">
        <v>42.7</v>
      </c>
      <c r="BJ59" s="2089" t="n"/>
      <c r="BK59" s="2089" t="n"/>
      <c r="BL59" s="2089" t="n"/>
      <c r="BM59" s="2089" t="n"/>
      <c r="BN59" s="2087" t="n"/>
      <c r="BO59" s="2089" t="n"/>
      <c r="BP59" s="2089" t="n"/>
      <c r="BQ59" s="2100" t="n"/>
      <c r="BR59" s="2089" t="n"/>
      <c r="BS59" s="2090" t="n"/>
      <c r="BT59" s="2089" t="n"/>
      <c r="BU59" s="2089" t="n"/>
      <c r="BV59" s="2089" t="n"/>
      <c r="BW59" s="2089" t="n"/>
      <c r="BX59" s="2090" t="n"/>
      <c r="BY59" s="2090" t="n"/>
      <c r="BZ59" s="2090" t="n"/>
      <c r="CA59" s="2090" t="n"/>
      <c r="CB59" s="2085" t="n"/>
    </row>
    <row r="60" ht="14.4" customFormat="1" customHeight="1" s="2082">
      <c r="A60" s="1611" t="inlineStr">
        <is>
          <t>CEO - Options 03/15/29 # of unexercised unexercisable options, 000s</t>
        </is>
      </c>
      <c r="B60" s="2098" t="n"/>
      <c r="C60" s="2090" t="n"/>
      <c r="D60" s="2090" t="n"/>
      <c r="E60" s="2090" t="n"/>
      <c r="F60" s="2090" t="n"/>
      <c r="G60" s="2089" t="n"/>
      <c r="H60" s="2089" t="n"/>
      <c r="I60" s="2089" t="n"/>
      <c r="J60" s="2089" t="n"/>
      <c r="K60" s="2090" t="n"/>
      <c r="L60" s="2089" t="n"/>
      <c r="M60" s="2089" t="n"/>
      <c r="N60" s="2089" t="n"/>
      <c r="O60" s="2089" t="n"/>
      <c r="P60" s="2090" t="n"/>
      <c r="Q60" s="2089" t="n"/>
      <c r="R60" s="2089" t="n"/>
      <c r="S60" s="2089" t="n"/>
      <c r="T60" s="2089" t="n"/>
      <c r="U60" s="2090" t="n"/>
      <c r="V60" s="2089" t="n"/>
      <c r="W60" s="2089" t="n"/>
      <c r="X60" s="2089" t="n"/>
      <c r="Y60" s="2089" t="n"/>
      <c r="Z60" s="2090" t="n"/>
      <c r="AA60" s="2089" t="n"/>
      <c r="AB60" s="2089" t="n"/>
      <c r="AC60" s="2089" t="n"/>
      <c r="AD60" s="2089" t="n"/>
      <c r="AE60" s="2090" t="n"/>
      <c r="AF60" s="2089" t="n"/>
      <c r="AG60" s="2089" t="n"/>
      <c r="AH60" s="2089" t="n"/>
      <c r="AI60" s="2089" t="n"/>
      <c r="AJ60" s="2090" t="n"/>
      <c r="AK60" s="2089" t="n"/>
      <c r="AL60" s="2089" t="n"/>
      <c r="AM60" s="2089" t="n"/>
      <c r="AN60" s="2089" t="n"/>
      <c r="AO60" s="2090" t="n"/>
      <c r="AP60" s="2089" t="n"/>
      <c r="AQ60" s="2089" t="n"/>
      <c r="AR60" s="2089" t="n"/>
      <c r="AS60" s="2089" t="n"/>
      <c r="AT60" s="2090" t="n"/>
      <c r="AU60" s="2089" t="n"/>
      <c r="AV60" s="2089" t="n"/>
      <c r="AW60" s="2089" t="n"/>
      <c r="AX60" s="2089" t="n"/>
      <c r="AY60" s="2090" t="n"/>
      <c r="AZ60" s="2089" t="n"/>
      <c r="BA60" s="2089" t="n"/>
      <c r="BB60" s="2089" t="n"/>
      <c r="BC60" s="2089" t="n"/>
      <c r="BD60" s="2088" t="n">
        <v>79.301</v>
      </c>
      <c r="BE60" s="2089" t="n"/>
      <c r="BF60" s="2089" t="n"/>
      <c r="BG60" s="2089" t="n"/>
      <c r="BH60" s="2089" t="n"/>
      <c r="BI60" s="2117" t="n">
        <v>54.901</v>
      </c>
      <c r="BJ60" s="2089" t="n"/>
      <c r="BK60" s="2089" t="n"/>
      <c r="BL60" s="2089" t="n"/>
      <c r="BM60" s="2089" t="n"/>
      <c r="BN60" s="2087" t="n"/>
      <c r="BO60" s="2089" t="n"/>
      <c r="BP60" s="2089" t="n"/>
      <c r="BQ60" s="2100" t="n"/>
      <c r="BR60" s="2089" t="n"/>
      <c r="BS60" s="2090" t="n"/>
      <c r="BT60" s="2089" t="n"/>
      <c r="BU60" s="2089" t="n"/>
      <c r="BV60" s="2089" t="n"/>
      <c r="BW60" s="2089" t="n"/>
      <c r="BX60" s="2090" t="n"/>
      <c r="BY60" s="2090" t="n"/>
      <c r="BZ60" s="2090" t="n"/>
      <c r="CA60" s="2090" t="n"/>
      <c r="CB60" s="2085" t="n"/>
    </row>
    <row r="61" ht="14.4" customFormat="1" customHeight="1" s="2118">
      <c r="A61" s="2119" t="inlineStr">
        <is>
          <t>CEO - Options 03/15/29 exercise price, $</t>
        </is>
      </c>
      <c r="B61" s="2129" t="n"/>
      <c r="C61" s="2126" t="n"/>
      <c r="D61" s="2126" t="n"/>
      <c r="E61" s="2126" t="n"/>
      <c r="F61" s="2126" t="n"/>
      <c r="G61" s="2125" t="n"/>
      <c r="H61" s="2125" t="n"/>
      <c r="I61" s="2125" t="n"/>
      <c r="J61" s="2125" t="n"/>
      <c r="K61" s="2126" t="n"/>
      <c r="L61" s="2125" t="n"/>
      <c r="M61" s="2125" t="n"/>
      <c r="N61" s="2125" t="n"/>
      <c r="O61" s="2125" t="n"/>
      <c r="P61" s="2126" t="n"/>
      <c r="Q61" s="2125" t="n"/>
      <c r="R61" s="2125" t="n"/>
      <c r="S61" s="2125" t="n"/>
      <c r="T61" s="2125" t="n"/>
      <c r="U61" s="2126" t="n"/>
      <c r="V61" s="2125" t="n"/>
      <c r="W61" s="2125" t="n"/>
      <c r="X61" s="2125" t="n"/>
      <c r="Y61" s="2125" t="n"/>
      <c r="Z61" s="2126" t="n"/>
      <c r="AA61" s="2125" t="n"/>
      <c r="AB61" s="2125" t="n"/>
      <c r="AC61" s="2125" t="n"/>
      <c r="AD61" s="2125" t="n"/>
      <c r="AE61" s="2126" t="n"/>
      <c r="AF61" s="2125" t="n"/>
      <c r="AG61" s="2125" t="n"/>
      <c r="AH61" s="2125" t="n"/>
      <c r="AI61" s="2125" t="n"/>
      <c r="AJ61" s="2126" t="n"/>
      <c r="AK61" s="2125" t="n"/>
      <c r="AL61" s="2125" t="n"/>
      <c r="AM61" s="2125" t="n"/>
      <c r="AN61" s="2125" t="n"/>
      <c r="AO61" s="2126" t="n"/>
      <c r="AP61" s="2125" t="n"/>
      <c r="AQ61" s="2125" t="n"/>
      <c r="AR61" s="2125" t="n"/>
      <c r="AS61" s="2125" t="n"/>
      <c r="AT61" s="2126" t="n"/>
      <c r="AU61" s="2125" t="n"/>
      <c r="AV61" s="2125" t="n"/>
      <c r="AW61" s="2125" t="n"/>
      <c r="AX61" s="2125" t="n"/>
      <c r="AY61" s="2126" t="n"/>
      <c r="AZ61" s="2125" t="n"/>
      <c r="BA61" s="2125" t="n"/>
      <c r="BB61" s="2125" t="n"/>
      <c r="BC61" s="2125" t="n"/>
      <c r="BD61" s="2128" t="n">
        <v>142.5</v>
      </c>
      <c r="BE61" s="2125" t="n"/>
      <c r="BF61" s="2125" t="n"/>
      <c r="BG61" s="2125" t="n"/>
      <c r="BH61" s="2125" t="n"/>
      <c r="BI61" s="2123" t="n">
        <v>142.5</v>
      </c>
      <c r="BJ61" s="2125" t="n"/>
      <c r="BK61" s="2125" t="n"/>
      <c r="BL61" s="2125" t="n"/>
      <c r="BM61" s="2125" t="n"/>
      <c r="BN61" s="2121" t="n"/>
      <c r="BO61" s="2125" t="n"/>
      <c r="BP61" s="2125" t="n"/>
      <c r="BQ61" s="2130" t="n"/>
      <c r="BR61" s="2125" t="n"/>
      <c r="BS61" s="2126" t="n"/>
      <c r="BT61" s="2125" t="n"/>
      <c r="BU61" s="2125" t="n"/>
      <c r="BV61" s="2125" t="n"/>
      <c r="BW61" s="2125" t="n"/>
      <c r="BX61" s="2126" t="n"/>
      <c r="BY61" s="2126" t="n"/>
      <c r="BZ61" s="2126" t="n"/>
      <c r="CA61" s="2126" t="n"/>
      <c r="CB61" s="2127" t="n"/>
    </row>
    <row r="62" ht="14.4" customFormat="1" customHeight="1" s="2082">
      <c r="A62" s="1596" t="n"/>
      <c r="B62" s="2098" t="n"/>
      <c r="C62" s="2090" t="n"/>
      <c r="D62" s="2090" t="n"/>
      <c r="E62" s="2090" t="n"/>
      <c r="F62" s="2090" t="n"/>
      <c r="G62" s="2089" t="n"/>
      <c r="H62" s="2089" t="n"/>
      <c r="I62" s="2089" t="n"/>
      <c r="J62" s="2089" t="n"/>
      <c r="K62" s="2090" t="n"/>
      <c r="L62" s="2089" t="n"/>
      <c r="M62" s="2089" t="n"/>
      <c r="N62" s="2089" t="n"/>
      <c r="O62" s="2089" t="n"/>
      <c r="P62" s="2090" t="n"/>
      <c r="Q62" s="2089" t="n"/>
      <c r="R62" s="2089" t="n"/>
      <c r="S62" s="2089" t="n"/>
      <c r="T62" s="2089" t="n"/>
      <c r="U62" s="2090" t="n"/>
      <c r="V62" s="2089" t="n"/>
      <c r="W62" s="2089" t="n"/>
      <c r="X62" s="2089" t="n"/>
      <c r="Y62" s="2089" t="n"/>
      <c r="Z62" s="2090" t="n"/>
      <c r="AA62" s="2089" t="n"/>
      <c r="AB62" s="2089" t="n"/>
      <c r="AC62" s="2089" t="n"/>
      <c r="AD62" s="2089" t="n"/>
      <c r="AE62" s="2090" t="n"/>
      <c r="AF62" s="2089" t="n"/>
      <c r="AG62" s="2089" t="n"/>
      <c r="AH62" s="2089" t="n"/>
      <c r="AI62" s="2089" t="n"/>
      <c r="AJ62" s="2090" t="n"/>
      <c r="AK62" s="2089" t="n"/>
      <c r="AL62" s="2089" t="n"/>
      <c r="AM62" s="2089" t="n"/>
      <c r="AN62" s="2089" t="n"/>
      <c r="AO62" s="2090" t="n"/>
      <c r="AP62" s="2089" t="n"/>
      <c r="AQ62" s="2089" t="n"/>
      <c r="AR62" s="2089" t="n"/>
      <c r="AS62" s="2089" t="n"/>
      <c r="AT62" s="2090" t="n"/>
      <c r="AU62" s="2089" t="n"/>
      <c r="AV62" s="2089" t="n"/>
      <c r="AW62" s="2089" t="n"/>
      <c r="AX62" s="2089" t="n"/>
      <c r="AY62" s="2090" t="n"/>
      <c r="AZ62" s="2089" t="n"/>
      <c r="BA62" s="2089" t="n"/>
      <c r="BB62" s="2089" t="n"/>
      <c r="BC62" s="2089" t="n"/>
      <c r="BD62" s="2090" t="n"/>
      <c r="BE62" s="2089" t="n"/>
      <c r="BF62" s="2089" t="n"/>
      <c r="BG62" s="2089" t="n"/>
      <c r="BH62" s="2089" t="n"/>
      <c r="BI62" s="2090" t="n"/>
      <c r="BJ62" s="2089" t="n"/>
      <c r="BK62" s="2089" t="n"/>
      <c r="BL62" s="2089" t="n"/>
      <c r="BM62" s="2089" t="n"/>
      <c r="BN62" s="2090" t="n"/>
      <c r="BO62" s="2089" t="n"/>
      <c r="BP62" s="2089" t="n"/>
      <c r="BQ62" s="2100" t="n"/>
      <c r="BR62" s="2089" t="n"/>
      <c r="BS62" s="2090" t="n"/>
      <c r="BT62" s="2089" t="n"/>
      <c r="BU62" s="2089" t="n"/>
      <c r="BV62" s="2089" t="n"/>
      <c r="BW62" s="2089" t="n"/>
      <c r="BX62" s="2090" t="n"/>
      <c r="BY62" s="2090" t="n"/>
      <c r="BZ62" s="2090" t="n"/>
      <c r="CA62" s="2090" t="n"/>
      <c r="CB62" s="2085" t="n"/>
    </row>
    <row r="63" ht="14.4" customFormat="1" customHeight="1" s="2082">
      <c r="A63" s="1611" t="inlineStr">
        <is>
          <t>CEO - Options 03/15/30 # of unexercised exercisable options, 000s</t>
        </is>
      </c>
      <c r="B63" s="2098" t="n"/>
      <c r="C63" s="2090" t="n"/>
      <c r="D63" s="2090" t="n"/>
      <c r="E63" s="2090" t="n"/>
      <c r="F63" s="2090" t="n"/>
      <c r="G63" s="2089" t="n"/>
      <c r="H63" s="2089" t="n"/>
      <c r="I63" s="2089" t="n"/>
      <c r="J63" s="2089" t="n"/>
      <c r="K63" s="2090" t="n"/>
      <c r="L63" s="2089" t="n"/>
      <c r="M63" s="2089" t="n"/>
      <c r="N63" s="2089" t="n"/>
      <c r="O63" s="2089" t="n"/>
      <c r="P63" s="2090" t="n"/>
      <c r="Q63" s="2089" t="n"/>
      <c r="R63" s="2089" t="n"/>
      <c r="S63" s="2089" t="n"/>
      <c r="T63" s="2089" t="n"/>
      <c r="U63" s="2090" t="n"/>
      <c r="V63" s="2089" t="n"/>
      <c r="W63" s="2089" t="n"/>
      <c r="X63" s="2089" t="n"/>
      <c r="Y63" s="2089" t="n"/>
      <c r="Z63" s="2090" t="n"/>
      <c r="AA63" s="2089" t="n"/>
      <c r="AB63" s="2089" t="n"/>
      <c r="AC63" s="2089" t="n"/>
      <c r="AD63" s="2089" t="n"/>
      <c r="AE63" s="2090" t="n"/>
      <c r="AF63" s="2089" t="n"/>
      <c r="AG63" s="2089" t="n"/>
      <c r="AH63" s="2089" t="n"/>
      <c r="AI63" s="2089" t="n"/>
      <c r="AJ63" s="2090" t="n"/>
      <c r="AK63" s="2089" t="n"/>
      <c r="AL63" s="2089" t="n"/>
      <c r="AM63" s="2089" t="n"/>
      <c r="AN63" s="2089" t="n"/>
      <c r="AO63" s="2090" t="n"/>
      <c r="AP63" s="2089" t="n"/>
      <c r="AQ63" s="2089" t="n"/>
      <c r="AR63" s="2089" t="n"/>
      <c r="AS63" s="2089" t="n"/>
      <c r="AT63" s="2090" t="n"/>
      <c r="AU63" s="2089" t="n"/>
      <c r="AV63" s="2089" t="n"/>
      <c r="AW63" s="2089" t="n"/>
      <c r="AX63" s="2089" t="n"/>
      <c r="AY63" s="2090" t="n"/>
      <c r="AZ63" s="2089" t="n"/>
      <c r="BA63" s="2089" t="n"/>
      <c r="BB63" s="2089" t="n"/>
      <c r="BC63" s="2089" t="n"/>
      <c r="BD63" s="2090" t="n"/>
      <c r="BE63" s="2089" t="n"/>
      <c r="BF63" s="2089" t="n"/>
      <c r="BG63" s="2089" t="n"/>
      <c r="BH63" s="2089" t="n"/>
      <c r="BI63" s="2117" t="n">
        <v>20.323</v>
      </c>
      <c r="BJ63" s="2089" t="n"/>
      <c r="BK63" s="2089" t="n"/>
      <c r="BL63" s="2089" t="n"/>
      <c r="BM63" s="2089" t="n"/>
      <c r="BN63" s="2087" t="n"/>
      <c r="BO63" s="2089" t="n"/>
      <c r="BP63" s="2089" t="n"/>
      <c r="BQ63" s="2100" t="n"/>
      <c r="BR63" s="2089" t="n"/>
      <c r="BS63" s="2090" t="n"/>
      <c r="BT63" s="2089" t="n"/>
      <c r="BU63" s="2089" t="n"/>
      <c r="BV63" s="2089" t="n"/>
      <c r="BW63" s="2089" t="n"/>
      <c r="BX63" s="2090" t="n"/>
      <c r="BY63" s="2090" t="n"/>
      <c r="BZ63" s="2090" t="n"/>
      <c r="CA63" s="2090" t="n"/>
      <c r="CB63" s="2085" t="n"/>
    </row>
    <row r="64" ht="14.4" customFormat="1" customHeight="1" s="2082">
      <c r="A64" s="1611" t="inlineStr">
        <is>
          <t>CEO - Options 03/15/30 # of unexercised unexercisable options, 000s</t>
        </is>
      </c>
      <c r="B64" s="2098" t="n"/>
      <c r="C64" s="2090" t="n"/>
      <c r="D64" s="2090" t="n"/>
      <c r="E64" s="2090" t="n"/>
      <c r="F64" s="2090" t="n"/>
      <c r="G64" s="2089" t="n"/>
      <c r="H64" s="2089" t="n"/>
      <c r="I64" s="2089" t="n"/>
      <c r="J64" s="2089" t="n"/>
      <c r="K64" s="2090" t="n"/>
      <c r="L64" s="2089" t="n"/>
      <c r="M64" s="2089" t="n"/>
      <c r="N64" s="2089" t="n"/>
      <c r="O64" s="2089" t="n"/>
      <c r="P64" s="2090" t="n"/>
      <c r="Q64" s="2089" t="n"/>
      <c r="R64" s="2089" t="n"/>
      <c r="S64" s="2089" t="n"/>
      <c r="T64" s="2089" t="n"/>
      <c r="U64" s="2090" t="n"/>
      <c r="V64" s="2089" t="n"/>
      <c r="W64" s="2089" t="n"/>
      <c r="X64" s="2089" t="n"/>
      <c r="Y64" s="2089" t="n"/>
      <c r="Z64" s="2090" t="n"/>
      <c r="AA64" s="2089" t="n"/>
      <c r="AB64" s="2089" t="n"/>
      <c r="AC64" s="2089" t="n"/>
      <c r="AD64" s="2089" t="n"/>
      <c r="AE64" s="2090" t="n"/>
      <c r="AF64" s="2089" t="n"/>
      <c r="AG64" s="2089" t="n"/>
      <c r="AH64" s="2089" t="n"/>
      <c r="AI64" s="2089" t="n"/>
      <c r="AJ64" s="2090" t="n"/>
      <c r="AK64" s="2089" t="n"/>
      <c r="AL64" s="2089" t="n"/>
      <c r="AM64" s="2089" t="n"/>
      <c r="AN64" s="2089" t="n"/>
      <c r="AO64" s="2090" t="n"/>
      <c r="AP64" s="2089" t="n"/>
      <c r="AQ64" s="2089" t="n"/>
      <c r="AR64" s="2089" t="n"/>
      <c r="AS64" s="2089" t="n"/>
      <c r="AT64" s="2090" t="n"/>
      <c r="AU64" s="2089" t="n"/>
      <c r="AV64" s="2089" t="n"/>
      <c r="AW64" s="2089" t="n"/>
      <c r="AX64" s="2089" t="n"/>
      <c r="AY64" s="2090" t="n"/>
      <c r="AZ64" s="2089" t="n"/>
      <c r="BA64" s="2089" t="n"/>
      <c r="BB64" s="2089" t="n"/>
      <c r="BC64" s="2089" t="n"/>
      <c r="BD64" s="2090" t="n"/>
      <c r="BE64" s="2089" t="n"/>
      <c r="BF64" s="2089" t="n"/>
      <c r="BG64" s="2089" t="n"/>
      <c r="BH64" s="2089" t="n"/>
      <c r="BI64" s="2117" t="n">
        <v>88.06699999999999</v>
      </c>
      <c r="BJ64" s="2089" t="n"/>
      <c r="BK64" s="2089" t="n"/>
      <c r="BL64" s="2089" t="n"/>
      <c r="BM64" s="2089" t="n"/>
      <c r="BN64" s="2087" t="n"/>
      <c r="BO64" s="2089" t="n"/>
      <c r="BP64" s="2089" t="n"/>
      <c r="BQ64" s="2100" t="n"/>
      <c r="BR64" s="2089" t="n"/>
      <c r="BS64" s="2090" t="n"/>
      <c r="BT64" s="2089" t="n"/>
      <c r="BU64" s="2089" t="n"/>
      <c r="BV64" s="2089" t="n"/>
      <c r="BW64" s="2089" t="n"/>
      <c r="BX64" s="2090" t="n"/>
      <c r="BY64" s="2090" t="n"/>
      <c r="BZ64" s="2090" t="n"/>
      <c r="CA64" s="2090" t="n"/>
      <c r="CB64" s="2085" t="n"/>
    </row>
    <row r="65" ht="14.4" customFormat="1" customHeight="1" s="2082">
      <c r="A65" s="2119" t="inlineStr">
        <is>
          <t>CEO - Options 03/15/30 exercise price, $</t>
        </is>
      </c>
      <c r="B65" s="2098" t="n"/>
      <c r="C65" s="2090" t="n"/>
      <c r="D65" s="2090" t="n"/>
      <c r="E65" s="2090" t="n"/>
      <c r="F65" s="2090" t="n"/>
      <c r="G65" s="2089" t="n"/>
      <c r="H65" s="2089" t="n"/>
      <c r="I65" s="2089" t="n"/>
      <c r="J65" s="2089" t="n"/>
      <c r="K65" s="2090" t="n"/>
      <c r="L65" s="2089" t="n"/>
      <c r="M65" s="2089" t="n"/>
      <c r="N65" s="2089" t="n"/>
      <c r="O65" s="2089" t="n"/>
      <c r="P65" s="2090" t="n"/>
      <c r="Q65" s="2089" t="n"/>
      <c r="R65" s="2089" t="n"/>
      <c r="S65" s="2089" t="n"/>
      <c r="T65" s="2089" t="n"/>
      <c r="U65" s="2090" t="n"/>
      <c r="V65" s="2089" t="n"/>
      <c r="W65" s="2089" t="n"/>
      <c r="X65" s="2089" t="n"/>
      <c r="Y65" s="2089" t="n"/>
      <c r="Z65" s="2090" t="n"/>
      <c r="AA65" s="2089" t="n"/>
      <c r="AB65" s="2089" t="n"/>
      <c r="AC65" s="2089" t="n"/>
      <c r="AD65" s="2089" t="n"/>
      <c r="AE65" s="2090" t="n"/>
      <c r="AF65" s="2089" t="n"/>
      <c r="AG65" s="2089" t="n"/>
      <c r="AH65" s="2089" t="n"/>
      <c r="AI65" s="2089" t="n"/>
      <c r="AJ65" s="2090" t="n"/>
      <c r="AK65" s="2089" t="n"/>
      <c r="AL65" s="2089" t="n"/>
      <c r="AM65" s="2089" t="n"/>
      <c r="AN65" s="2089" t="n"/>
      <c r="AO65" s="2090" t="n"/>
      <c r="AP65" s="2089" t="n"/>
      <c r="AQ65" s="2089" t="n"/>
      <c r="AR65" s="2089" t="n"/>
      <c r="AS65" s="2089" t="n"/>
      <c r="AT65" s="2090" t="n"/>
      <c r="AU65" s="2089" t="n"/>
      <c r="AV65" s="2089" t="n"/>
      <c r="AW65" s="2089" t="n"/>
      <c r="AX65" s="2089" t="n"/>
      <c r="AY65" s="2090" t="n"/>
      <c r="AZ65" s="2089" t="n"/>
      <c r="BA65" s="2089" t="n"/>
      <c r="BB65" s="2089" t="n"/>
      <c r="BC65" s="2089" t="n"/>
      <c r="BD65" s="2090" t="n"/>
      <c r="BE65" s="2089" t="n"/>
      <c r="BF65" s="2089" t="n"/>
      <c r="BG65" s="2089" t="n"/>
      <c r="BH65" s="2089" t="n"/>
      <c r="BI65" s="2117" t="n">
        <v>202.94</v>
      </c>
      <c r="BJ65" s="2089" t="n"/>
      <c r="BK65" s="2089" t="n"/>
      <c r="BL65" s="2089" t="n"/>
      <c r="BM65" s="2089" t="n"/>
      <c r="BN65" s="2087" t="n"/>
      <c r="BO65" s="2089" t="n"/>
      <c r="BP65" s="2089" t="n"/>
      <c r="BQ65" s="2100" t="n"/>
      <c r="BR65" s="2089" t="n"/>
      <c r="BS65" s="2090" t="n"/>
      <c r="BT65" s="2089" t="n"/>
      <c r="BU65" s="2089" t="n"/>
      <c r="BV65" s="2089" t="n"/>
      <c r="BW65" s="2089" t="n"/>
      <c r="BX65" s="2090" t="n"/>
      <c r="BY65" s="2090" t="n"/>
      <c r="BZ65" s="2090" t="n"/>
      <c r="CA65" s="2090" t="n"/>
      <c r="CB65" s="2085" t="n"/>
    </row>
    <row r="66" ht="14.4" customFormat="1" customHeight="1" s="2082">
      <c r="A66" s="1596" t="n"/>
      <c r="B66" s="2098" t="n"/>
      <c r="C66" s="2090" t="n"/>
      <c r="D66" s="2090" t="n"/>
      <c r="E66" s="2090" t="n"/>
      <c r="F66" s="2090" t="n"/>
      <c r="G66" s="2089" t="n"/>
      <c r="H66" s="2089" t="n"/>
      <c r="I66" s="2089" t="n"/>
      <c r="J66" s="2089" t="n"/>
      <c r="K66" s="2090" t="n"/>
      <c r="L66" s="2089" t="n"/>
      <c r="M66" s="2089" t="n"/>
      <c r="N66" s="2089" t="n"/>
      <c r="O66" s="2089" t="n"/>
      <c r="P66" s="2090" t="n"/>
      <c r="Q66" s="2089" t="n"/>
      <c r="R66" s="2089" t="n"/>
      <c r="S66" s="2089" t="n"/>
      <c r="T66" s="2089" t="n"/>
      <c r="U66" s="2090" t="n"/>
      <c r="V66" s="2089" t="n"/>
      <c r="W66" s="2089" t="n"/>
      <c r="X66" s="2089" t="n"/>
      <c r="Y66" s="2089" t="n"/>
      <c r="Z66" s="2090" t="n"/>
      <c r="AA66" s="2089" t="n"/>
      <c r="AB66" s="2089" t="n"/>
      <c r="AC66" s="2089" t="n"/>
      <c r="AD66" s="2089" t="n"/>
      <c r="AE66" s="2090" t="n"/>
      <c r="AF66" s="2089" t="n"/>
      <c r="AG66" s="2089" t="n"/>
      <c r="AH66" s="2089" t="n"/>
      <c r="AI66" s="2089" t="n"/>
      <c r="AJ66" s="2090" t="n"/>
      <c r="AK66" s="2089" t="n"/>
      <c r="AL66" s="2089" t="n"/>
      <c r="AM66" s="2089" t="n"/>
      <c r="AN66" s="2089" t="n"/>
      <c r="AO66" s="2090" t="n"/>
      <c r="AP66" s="2089" t="n"/>
      <c r="AQ66" s="2089" t="n"/>
      <c r="AR66" s="2089" t="n"/>
      <c r="AS66" s="2089" t="n"/>
      <c r="AT66" s="2090" t="n"/>
      <c r="AU66" s="2089" t="n"/>
      <c r="AV66" s="2089" t="n"/>
      <c r="AW66" s="2089" t="n"/>
      <c r="AX66" s="2089" t="n"/>
      <c r="AY66" s="2090" t="n"/>
      <c r="AZ66" s="2089" t="n"/>
      <c r="BA66" s="2089" t="n"/>
      <c r="BB66" s="2089" t="n"/>
      <c r="BC66" s="2089" t="n"/>
      <c r="BD66" s="2090" t="n"/>
      <c r="BE66" s="2089" t="n"/>
      <c r="BF66" s="2089" t="n"/>
      <c r="BG66" s="2089" t="n"/>
      <c r="BH66" s="2089" t="n"/>
      <c r="BI66" s="2090" t="n"/>
      <c r="BJ66" s="2089" t="n"/>
      <c r="BK66" s="2089" t="n"/>
      <c r="BL66" s="2089" t="n"/>
      <c r="BM66" s="2089" t="n"/>
      <c r="BN66" s="2090" t="n"/>
      <c r="BO66" s="2089" t="n"/>
      <c r="BP66" s="2089" t="n"/>
      <c r="BQ66" s="2100" t="n"/>
      <c r="BR66" s="2089" t="n"/>
      <c r="BS66" s="2090" t="n"/>
      <c r="BT66" s="2089" t="n"/>
      <c r="BU66" s="2089" t="n"/>
      <c r="BV66" s="2089" t="n"/>
      <c r="BW66" s="2089" t="n"/>
      <c r="BX66" s="2090" t="n"/>
      <c r="BY66" s="2090" t="n"/>
      <c r="BZ66" s="2090" t="n"/>
      <c r="CA66" s="2090" t="n"/>
      <c r="CB66" s="2085" t="n"/>
    </row>
    <row r="67" ht="14.4" customFormat="1" customHeight="1" s="2082">
      <c r="A67" s="1596" t="inlineStr">
        <is>
          <t>CEO - EoP shares beneficially owned, 000s</t>
        </is>
      </c>
      <c r="B67" s="2098" t="n"/>
      <c r="C67" s="2090" t="n"/>
      <c r="D67" s="2090" t="n"/>
      <c r="E67" s="2090" t="n"/>
      <c r="F67" s="2090" t="n"/>
      <c r="G67" s="2089" t="n"/>
      <c r="H67" s="2089" t="n"/>
      <c r="I67" s="2089" t="n"/>
      <c r="J67" s="2089" t="n"/>
      <c r="K67" s="2090" t="n"/>
      <c r="L67" s="2089" t="n"/>
      <c r="M67" s="2089" t="n"/>
      <c r="N67" s="2089" t="n"/>
      <c r="O67" s="2089" t="n"/>
      <c r="P67" s="2090" t="n"/>
      <c r="Q67" s="2089" t="n"/>
      <c r="R67" s="2089" t="n"/>
      <c r="S67" s="2089" t="n"/>
      <c r="T67" s="2089" t="n"/>
      <c r="U67" s="2090" t="n"/>
      <c r="V67" s="2089" t="n"/>
      <c r="W67" s="2089" t="n"/>
      <c r="X67" s="2089" t="n"/>
      <c r="Y67" s="2089" t="n"/>
      <c r="Z67" s="2090" t="n"/>
      <c r="AA67" s="2089" t="n"/>
      <c r="AB67" s="2089" t="n"/>
      <c r="AC67" s="2089" t="n"/>
      <c r="AD67" s="2089" t="n"/>
      <c r="AE67" s="2090" t="n"/>
      <c r="AF67" s="2089" t="n"/>
      <c r="AG67" s="2089" t="n"/>
      <c r="AH67" s="2089" t="n"/>
      <c r="AI67" s="2089" t="n"/>
      <c r="AJ67" s="2090" t="n"/>
      <c r="AK67" s="2089" t="n"/>
      <c r="AL67" s="2089" t="n"/>
      <c r="AM67" s="2089" t="n"/>
      <c r="AN67" s="2089" t="n"/>
      <c r="AO67" s="2090" t="n"/>
      <c r="AP67" s="2089" t="n"/>
      <c r="AQ67" s="2089" t="n"/>
      <c r="AR67" s="2089" t="n"/>
      <c r="AS67" s="2089" t="n"/>
      <c r="AT67" s="2131" t="n">
        <v>3819.991</v>
      </c>
      <c r="AU67" s="2089" t="n"/>
      <c r="AV67" s="2089" t="n"/>
      <c r="AW67" s="2089" t="n"/>
      <c r="AX67" s="2089" t="n"/>
      <c r="AY67" s="2132" t="n">
        <v>215.571</v>
      </c>
      <c r="AZ67" s="2089" t="n"/>
      <c r="BA67" s="2089" t="n"/>
      <c r="BB67" s="2089" t="n"/>
      <c r="BC67" s="2089" t="n"/>
      <c r="BD67" s="2132" t="n">
        <v>576.321</v>
      </c>
      <c r="BE67" s="2089" t="n"/>
      <c r="BF67" s="2089" t="n"/>
      <c r="BG67" s="2089" t="n"/>
      <c r="BH67" s="2089" t="n"/>
      <c r="BI67" s="2132" t="n">
        <v>595.096</v>
      </c>
      <c r="BJ67" s="2089" t="n"/>
      <c r="BK67" s="2089" t="n"/>
      <c r="BL67" s="2089" t="n"/>
      <c r="BM67" s="2089" t="n"/>
      <c r="BN67" s="2090" t="n"/>
      <c r="BO67" s="2089" t="n"/>
      <c r="BP67" s="2089" t="n"/>
      <c r="BQ67" s="2100" t="n"/>
      <c r="BR67" s="2089" t="n"/>
      <c r="BS67" s="2090" t="n"/>
      <c r="BT67" s="2089" t="n"/>
      <c r="BU67" s="2089" t="n"/>
      <c r="BV67" s="2089" t="n"/>
      <c r="BW67" s="2089" t="n"/>
      <c r="BX67" s="2090" t="n"/>
      <c r="BY67" s="2090" t="n"/>
      <c r="BZ67" s="2090" t="n"/>
      <c r="CA67" s="2090" t="n"/>
      <c r="CB67" s="2085" t="n"/>
    </row>
    <row r="68" ht="14.4" customFormat="1" customHeight="1" s="2082">
      <c r="A68" s="1596" t="n"/>
      <c r="B68" s="2098" t="n"/>
      <c r="C68" s="2090" t="n"/>
      <c r="D68" s="2090" t="n"/>
      <c r="E68" s="2090" t="n"/>
      <c r="F68" s="2090" t="n"/>
      <c r="G68" s="2089" t="n"/>
      <c r="H68" s="2089" t="n"/>
      <c r="I68" s="2089" t="n"/>
      <c r="J68" s="2089" t="n"/>
      <c r="K68" s="2090" t="n"/>
      <c r="L68" s="2089" t="n"/>
      <c r="M68" s="2089" t="n"/>
      <c r="N68" s="2089" t="n"/>
      <c r="O68" s="2089" t="n"/>
      <c r="P68" s="2090" t="n"/>
      <c r="Q68" s="2089" t="n"/>
      <c r="R68" s="2089" t="n"/>
      <c r="S68" s="2089" t="n"/>
      <c r="T68" s="2089" t="n"/>
      <c r="U68" s="2090" t="n"/>
      <c r="V68" s="2089" t="n"/>
      <c r="W68" s="2089" t="n"/>
      <c r="X68" s="2089" t="n"/>
      <c r="Y68" s="2089" t="n"/>
      <c r="Z68" s="2090" t="n"/>
      <c r="AA68" s="2089" t="n"/>
      <c r="AB68" s="2089" t="n"/>
      <c r="AC68" s="2089" t="n"/>
      <c r="AD68" s="2089" t="n"/>
      <c r="AE68" s="2090" t="n"/>
      <c r="AF68" s="2089" t="n"/>
      <c r="AG68" s="2089" t="n"/>
      <c r="AH68" s="2089" t="n"/>
      <c r="AI68" s="2089" t="n"/>
      <c r="AJ68" s="2090" t="n"/>
      <c r="AK68" s="2089" t="n"/>
      <c r="AL68" s="2089" t="n"/>
      <c r="AM68" s="2089" t="n"/>
      <c r="AN68" s="2089" t="n"/>
      <c r="AO68" s="2090" t="n"/>
      <c r="AP68" s="2089" t="n"/>
      <c r="AQ68" s="2089" t="n"/>
      <c r="AR68" s="2089" t="n"/>
      <c r="AS68" s="2089" t="n"/>
      <c r="AT68" s="2090" t="n"/>
      <c r="AU68" s="2089" t="n"/>
      <c r="AV68" s="2089" t="n"/>
      <c r="AW68" s="2089" t="n"/>
      <c r="AX68" s="2089" t="n"/>
      <c r="AY68" s="2090" t="n"/>
      <c r="AZ68" s="2089" t="n"/>
      <c r="BA68" s="2089" t="n"/>
      <c r="BB68" s="2089" t="n"/>
      <c r="BC68" s="2089" t="n"/>
      <c r="BD68" s="2090" t="n"/>
      <c r="BE68" s="2089" t="n"/>
      <c r="BF68" s="2089" t="n"/>
      <c r="BG68" s="2089" t="n"/>
      <c r="BH68" s="2089" t="n"/>
      <c r="BI68" s="2090" t="n"/>
      <c r="BJ68" s="2089" t="n"/>
      <c r="BK68" s="2089" t="n"/>
      <c r="BL68" s="2089" t="n"/>
      <c r="BM68" s="2089" t="n"/>
      <c r="BN68" s="2090" t="n"/>
      <c r="BO68" s="2089" t="n"/>
      <c r="BP68" s="2089" t="n"/>
      <c r="BQ68" s="2100" t="n"/>
      <c r="BR68" s="2089" t="n"/>
      <c r="BS68" s="2090" t="n"/>
      <c r="BT68" s="2089" t="n"/>
      <c r="BU68" s="2089" t="n"/>
      <c r="BV68" s="2089" t="n"/>
      <c r="BW68" s="2089" t="n"/>
      <c r="BX68" s="2090" t="n"/>
      <c r="BY68" s="2090" t="n"/>
      <c r="BZ68" s="2090" t="n"/>
      <c r="CA68" s="2090" t="n"/>
      <c r="CB68" s="2085" t="n"/>
    </row>
    <row r="69" ht="14.4" customFormat="1" customHeight="1" s="2101">
      <c r="A69" s="1593" t="inlineStr">
        <is>
          <t>CFO - Base Pay, 000s</t>
        </is>
      </c>
      <c r="B69" s="2086" t="n"/>
      <c r="C69" s="2087" t="n"/>
      <c r="D69" s="2087" t="n"/>
      <c r="E69" s="2087" t="n"/>
      <c r="F69" s="2087" t="n"/>
      <c r="G69" s="2072" t="n"/>
      <c r="H69" s="2072" t="n"/>
      <c r="I69" s="2072" t="n"/>
      <c r="J69" s="2072" t="n"/>
      <c r="K69" s="2087" t="n"/>
      <c r="L69" s="2072" t="n"/>
      <c r="M69" s="2072" t="n"/>
      <c r="N69" s="2072" t="n"/>
      <c r="O69" s="2072" t="n"/>
      <c r="P69" s="2087" t="n"/>
      <c r="Q69" s="2072" t="n"/>
      <c r="R69" s="2072" t="n"/>
      <c r="S69" s="2072" t="n"/>
      <c r="T69" s="2072" t="n"/>
      <c r="U69" s="2087" t="n"/>
      <c r="V69" s="2072" t="n"/>
      <c r="W69" s="2072" t="n"/>
      <c r="X69" s="2072" t="n"/>
      <c r="Y69" s="2072" t="n"/>
      <c r="Z69" s="2087" t="n"/>
      <c r="AA69" s="2072" t="n"/>
      <c r="AB69" s="2072" t="n"/>
      <c r="AC69" s="2072" t="n"/>
      <c r="AD69" s="2072" t="n"/>
      <c r="AE69" s="2087" t="n"/>
      <c r="AF69" s="2072" t="n"/>
      <c r="AG69" s="2072" t="n"/>
      <c r="AH69" s="2072" t="n"/>
      <c r="AI69" s="2072" t="n"/>
      <c r="AJ69" s="2087" t="n"/>
      <c r="AK69" s="2072" t="n"/>
      <c r="AL69" s="2072" t="n"/>
      <c r="AM69" s="2072" t="n"/>
      <c r="AN69" s="2072" t="n"/>
      <c r="AO69" s="2087" t="n"/>
      <c r="AP69" s="2072" t="n"/>
      <c r="AQ69" s="2072" t="n"/>
      <c r="AR69" s="2072" t="n"/>
      <c r="AS69" s="2072" t="n"/>
      <c r="AT69" s="2088" t="n">
        <v>448.462</v>
      </c>
      <c r="AU69" s="2072" t="n"/>
      <c r="AV69" s="2072" t="n"/>
      <c r="AW69" s="2072" t="n"/>
      <c r="AX69" s="2072" t="n"/>
      <c r="AY69" s="2088" t="n">
        <v>500</v>
      </c>
      <c r="AZ69" s="2072" t="n"/>
      <c r="BA69" s="2072" t="n"/>
      <c r="BB69" s="2072" t="n"/>
      <c r="BC69" s="2072" t="n"/>
      <c r="BD69" s="2088" t="n">
        <v>550</v>
      </c>
      <c r="BE69" s="2072" t="n"/>
      <c r="BF69" s="2072" t="n"/>
      <c r="BG69" s="2072" t="n"/>
      <c r="BH69" s="2072" t="n"/>
      <c r="BI69" s="2088" t="n">
        <v>575</v>
      </c>
      <c r="BJ69" s="2072" t="n"/>
      <c r="BK69" s="2072" t="n"/>
      <c r="BL69" s="2072" t="n"/>
      <c r="BM69" s="2072" t="n"/>
      <c r="BN69" s="2102" t="n"/>
      <c r="BO69" s="2072" t="n"/>
      <c r="BP69" s="2072" t="n"/>
      <c r="BQ69" s="2073" t="n"/>
      <c r="BR69" s="2072" t="n"/>
      <c r="BS69" s="2087" t="n"/>
      <c r="BT69" s="2072" t="n"/>
      <c r="BU69" s="2072" t="n"/>
      <c r="BV69" s="2072" t="n"/>
      <c r="BW69" s="2072" t="n"/>
      <c r="BX69" s="2087" t="n"/>
      <c r="BY69" s="2087" t="n"/>
      <c r="BZ69" s="2087" t="n"/>
      <c r="CA69" s="2087" t="n"/>
      <c r="CB69" s="2103" t="n"/>
    </row>
    <row r="70" ht="14.4" customFormat="1" customHeight="1" s="2101">
      <c r="A70" s="1593" t="inlineStr">
        <is>
          <t>CFO - Stock Awards, 000s</t>
        </is>
      </c>
      <c r="B70" s="2086" t="n"/>
      <c r="C70" s="2087" t="n"/>
      <c r="D70" s="2087" t="n"/>
      <c r="E70" s="2087" t="n"/>
      <c r="F70" s="2087" t="n"/>
      <c r="G70" s="2072" t="n"/>
      <c r="H70" s="2072" t="n"/>
      <c r="I70" s="2072" t="n"/>
      <c r="J70" s="2072" t="n"/>
      <c r="K70" s="2087" t="n"/>
      <c r="L70" s="2072" t="n"/>
      <c r="M70" s="2072" t="n"/>
      <c r="N70" s="2072" t="n"/>
      <c r="O70" s="2072" t="n"/>
      <c r="P70" s="2087" t="n"/>
      <c r="Q70" s="2072" t="n"/>
      <c r="R70" s="2072" t="n"/>
      <c r="S70" s="2072" t="n"/>
      <c r="T70" s="2072" t="n"/>
      <c r="U70" s="2087" t="n"/>
      <c r="V70" s="2072" t="n"/>
      <c r="W70" s="2072" t="n"/>
      <c r="X70" s="2072" t="n"/>
      <c r="Y70" s="2072" t="n"/>
      <c r="Z70" s="2087" t="n"/>
      <c r="AA70" s="2072" t="n"/>
      <c r="AB70" s="2072" t="n"/>
      <c r="AC70" s="2072" t="n"/>
      <c r="AD70" s="2072" t="n"/>
      <c r="AE70" s="2087" t="n"/>
      <c r="AF70" s="2072" t="n"/>
      <c r="AG70" s="2072" t="n"/>
      <c r="AH70" s="2072" t="n"/>
      <c r="AI70" s="2072" t="n"/>
      <c r="AJ70" s="2087" t="n"/>
      <c r="AK70" s="2072" t="n"/>
      <c r="AL70" s="2072" t="n"/>
      <c r="AM70" s="2072" t="n"/>
      <c r="AN70" s="2072" t="n"/>
      <c r="AO70" s="2087" t="n"/>
      <c r="AP70" s="2072" t="n"/>
      <c r="AQ70" s="2072" t="n"/>
      <c r="AR70" s="2072" t="n"/>
      <c r="AS70" s="2072" t="n"/>
      <c r="AT70" s="2088" t="n">
        <v>1419.019</v>
      </c>
      <c r="AU70" s="2072" t="n"/>
      <c r="AV70" s="2072" t="n"/>
      <c r="AW70" s="2072" t="n"/>
      <c r="AX70" s="2072" t="n"/>
      <c r="AY70" s="2088" t="n">
        <v>7310.069</v>
      </c>
      <c r="AZ70" s="2072" t="n"/>
      <c r="BA70" s="2072" t="n"/>
      <c r="BB70" s="2072" t="n"/>
      <c r="BC70" s="2072" t="n"/>
      <c r="BD70" s="2088" t="n">
        <v>8528.597</v>
      </c>
      <c r="BE70" s="2072" t="n"/>
      <c r="BF70" s="2072" t="n"/>
      <c r="BG70" s="2072" t="n"/>
      <c r="BH70" s="2072" t="n"/>
      <c r="BI70" s="2088" t="n">
        <v>3050.188</v>
      </c>
      <c r="BJ70" s="2072" t="n"/>
      <c r="BK70" s="2072" t="n"/>
      <c r="BL70" s="2072" t="n"/>
      <c r="BM70" s="2072" t="n"/>
      <c r="BN70" s="2102" t="n"/>
      <c r="BO70" s="2072" t="n"/>
      <c r="BP70" s="2072" t="n"/>
      <c r="BQ70" s="2073" t="n"/>
      <c r="BR70" s="2072" t="n"/>
      <c r="BS70" s="2087" t="n"/>
      <c r="BT70" s="2072" t="n"/>
      <c r="BU70" s="2072" t="n"/>
      <c r="BV70" s="2072" t="n"/>
      <c r="BW70" s="2072" t="n"/>
      <c r="BX70" s="2087" t="n"/>
      <c r="BY70" s="2087" t="n"/>
      <c r="BZ70" s="2087" t="n"/>
      <c r="CA70" s="2087" t="n"/>
      <c r="CB70" s="2103" t="n"/>
    </row>
    <row r="71" ht="14.4" customFormat="1" customHeight="1" s="2101">
      <c r="A71" s="1593" t="inlineStr">
        <is>
          <t>CFO - Option Awards, 000s</t>
        </is>
      </c>
      <c r="B71" s="2086" t="n"/>
      <c r="C71" s="2087" t="n"/>
      <c r="D71" s="2087" t="n"/>
      <c r="E71" s="2087" t="n"/>
      <c r="F71" s="2087" t="n"/>
      <c r="G71" s="2072" t="n"/>
      <c r="H71" s="2072" t="n"/>
      <c r="I71" s="2072" t="n"/>
      <c r="J71" s="2072" t="n"/>
      <c r="K71" s="2087" t="n"/>
      <c r="L71" s="2072" t="n"/>
      <c r="M71" s="2072" t="n"/>
      <c r="N71" s="2072" t="n"/>
      <c r="O71" s="2072" t="n"/>
      <c r="P71" s="2087" t="n"/>
      <c r="Q71" s="2072" t="n"/>
      <c r="R71" s="2072" t="n"/>
      <c r="S71" s="2072" t="n"/>
      <c r="T71" s="2072" t="n"/>
      <c r="U71" s="2087" t="n"/>
      <c r="V71" s="2072" t="n"/>
      <c r="W71" s="2072" t="n"/>
      <c r="X71" s="2072" t="n"/>
      <c r="Y71" s="2072" t="n"/>
      <c r="Z71" s="2087" t="n"/>
      <c r="AA71" s="2072" t="n"/>
      <c r="AB71" s="2072" t="n"/>
      <c r="AC71" s="2072" t="n"/>
      <c r="AD71" s="2072" t="n"/>
      <c r="AE71" s="2087" t="n"/>
      <c r="AF71" s="2072" t="n"/>
      <c r="AG71" s="2072" t="n"/>
      <c r="AH71" s="2072" t="n"/>
      <c r="AI71" s="2072" t="n"/>
      <c r="AJ71" s="2087" t="n"/>
      <c r="AK71" s="2072" t="n"/>
      <c r="AL71" s="2072" t="n"/>
      <c r="AM71" s="2072" t="n"/>
      <c r="AN71" s="2072" t="n"/>
      <c r="AO71" s="2087" t="n"/>
      <c r="AP71" s="2072" t="n"/>
      <c r="AQ71" s="2072" t="n"/>
      <c r="AR71" s="2072" t="n"/>
      <c r="AS71" s="2072" t="n"/>
      <c r="AT71" s="2088" t="n">
        <v>730.724</v>
      </c>
      <c r="AU71" s="2072" t="n"/>
      <c r="AV71" s="2072" t="n"/>
      <c r="AW71" s="2072" t="n"/>
      <c r="AX71" s="2072" t="n"/>
      <c r="AY71" s="2088" t="n">
        <v>1189.938</v>
      </c>
      <c r="AZ71" s="2072" t="n"/>
      <c r="BA71" s="2072" t="n"/>
      <c r="BB71" s="2072" t="n"/>
      <c r="BC71" s="2072" t="n"/>
      <c r="BD71" s="2088" t="n">
        <v>1218.8</v>
      </c>
      <c r="BE71" s="2072" t="n"/>
      <c r="BF71" s="2072" t="n"/>
      <c r="BG71" s="2072" t="n"/>
      <c r="BH71" s="2072" t="n"/>
      <c r="BI71" s="2088" t="n">
        <v>1568.773</v>
      </c>
      <c r="BJ71" s="2072" t="n"/>
      <c r="BK71" s="2072" t="n"/>
      <c r="BL71" s="2072" t="n"/>
      <c r="BM71" s="2072" t="n"/>
      <c r="BN71" s="2102" t="n"/>
      <c r="BO71" s="2072" t="n"/>
      <c r="BP71" s="2072" t="n"/>
      <c r="BQ71" s="2073" t="n"/>
      <c r="BR71" s="2072" t="n"/>
      <c r="BS71" s="2087" t="n"/>
      <c r="BT71" s="2072" t="n"/>
      <c r="BU71" s="2072" t="n"/>
      <c r="BV71" s="2072" t="n"/>
      <c r="BW71" s="2072" t="n"/>
      <c r="BX71" s="2087" t="n"/>
      <c r="BY71" s="2087" t="n"/>
      <c r="BZ71" s="2087" t="n"/>
      <c r="CA71" s="2087" t="n"/>
      <c r="CB71" s="2103" t="n"/>
    </row>
    <row r="72" ht="14.4" customFormat="1" customHeight="1" s="2101">
      <c r="A72" s="1593" t="inlineStr">
        <is>
          <t>CFO - Non-equity incentive plans, 000s</t>
        </is>
      </c>
      <c r="B72" s="2086" t="n"/>
      <c r="C72" s="2087" t="n"/>
      <c r="D72" s="2087" t="n"/>
      <c r="E72" s="2087" t="n"/>
      <c r="F72" s="2087" t="n"/>
      <c r="G72" s="2072" t="n"/>
      <c r="H72" s="2072" t="n"/>
      <c r="I72" s="2072" t="n"/>
      <c r="J72" s="2072" t="n"/>
      <c r="K72" s="2087" t="n"/>
      <c r="L72" s="2072" t="n"/>
      <c r="M72" s="2072" t="n"/>
      <c r="N72" s="2072" t="n"/>
      <c r="O72" s="2072" t="n"/>
      <c r="P72" s="2087" t="n"/>
      <c r="Q72" s="2072" t="n"/>
      <c r="R72" s="2072" t="n"/>
      <c r="S72" s="2072" t="n"/>
      <c r="T72" s="2072" t="n"/>
      <c r="U72" s="2087" t="n"/>
      <c r="V72" s="2072" t="n"/>
      <c r="W72" s="2072" t="n"/>
      <c r="X72" s="2072" t="n"/>
      <c r="Y72" s="2072" t="n"/>
      <c r="Z72" s="2087" t="n"/>
      <c r="AA72" s="2072" t="n"/>
      <c r="AB72" s="2072" t="n"/>
      <c r="AC72" s="2072" t="n"/>
      <c r="AD72" s="2072" t="n"/>
      <c r="AE72" s="2087" t="n"/>
      <c r="AF72" s="2072" t="n"/>
      <c r="AG72" s="2072" t="n"/>
      <c r="AH72" s="2072" t="n"/>
      <c r="AI72" s="2072" t="n"/>
      <c r="AJ72" s="2087" t="n"/>
      <c r="AK72" s="2072" t="n"/>
      <c r="AL72" s="2072" t="n"/>
      <c r="AM72" s="2072" t="n"/>
      <c r="AN72" s="2072" t="n"/>
      <c r="AO72" s="2087" t="n"/>
      <c r="AP72" s="2072" t="n"/>
      <c r="AQ72" s="2072" t="n"/>
      <c r="AR72" s="2072" t="n"/>
      <c r="AS72" s="2072" t="n"/>
      <c r="AT72" s="2088" t="n">
        <v>688.197</v>
      </c>
      <c r="AU72" s="2072" t="n"/>
      <c r="AV72" s="2072" t="n"/>
      <c r="AW72" s="2072" t="n"/>
      <c r="AX72" s="2072" t="n"/>
      <c r="AY72" s="2088" t="n">
        <v>788.207</v>
      </c>
      <c r="AZ72" s="2072" t="n"/>
      <c r="BA72" s="2072" t="n"/>
      <c r="BB72" s="2072" t="n"/>
      <c r="BC72" s="2072" t="n"/>
      <c r="BD72" s="2088" t="n">
        <v>845.326</v>
      </c>
      <c r="BE72" s="2072" t="n"/>
      <c r="BF72" s="2072" t="n"/>
      <c r="BG72" s="2072" t="n"/>
      <c r="BH72" s="2072" t="n"/>
      <c r="BI72" s="2088" t="n">
        <v>705.606</v>
      </c>
      <c r="BJ72" s="2072" t="n"/>
      <c r="BK72" s="2072" t="n"/>
      <c r="BL72" s="2072" t="n"/>
      <c r="BM72" s="2072" t="n"/>
      <c r="BN72" s="2102" t="n"/>
      <c r="BO72" s="2072" t="n"/>
      <c r="BP72" s="2072" t="n"/>
      <c r="BQ72" s="2073" t="n"/>
      <c r="BR72" s="2072" t="n"/>
      <c r="BS72" s="2087" t="n"/>
      <c r="BT72" s="2072" t="n"/>
      <c r="BU72" s="2072" t="n"/>
      <c r="BV72" s="2072" t="n"/>
      <c r="BW72" s="2072" t="n"/>
      <c r="BX72" s="2087" t="n"/>
      <c r="BY72" s="2087" t="n"/>
      <c r="BZ72" s="2087" t="n"/>
      <c r="CA72" s="2087" t="n"/>
      <c r="CB72" s="2103" t="n"/>
    </row>
    <row r="73" ht="14.4" customFormat="1" customHeight="1" s="2101">
      <c r="A73" s="1607" t="inlineStr">
        <is>
          <t>CFO - All other compensation, 000s</t>
        </is>
      </c>
      <c r="B73" s="2091" t="n"/>
      <c r="C73" s="2092" t="n"/>
      <c r="D73" s="2092" t="n"/>
      <c r="E73" s="2092" t="n"/>
      <c r="F73" s="2092" t="n"/>
      <c r="G73" s="2093" t="n"/>
      <c r="H73" s="2093" t="n"/>
      <c r="I73" s="2093" t="n"/>
      <c r="J73" s="2093" t="n"/>
      <c r="K73" s="2092" t="n"/>
      <c r="L73" s="2093" t="n"/>
      <c r="M73" s="2093" t="n"/>
      <c r="N73" s="2093" t="n"/>
      <c r="O73" s="2093" t="n"/>
      <c r="P73" s="2092" t="n"/>
      <c r="Q73" s="2093" t="n"/>
      <c r="R73" s="2093" t="n"/>
      <c r="S73" s="2093" t="n"/>
      <c r="T73" s="2093" t="n"/>
      <c r="U73" s="2092" t="n"/>
      <c r="V73" s="2093" t="n"/>
      <c r="W73" s="2093" t="n"/>
      <c r="X73" s="2093" t="n"/>
      <c r="Y73" s="2093" t="n"/>
      <c r="Z73" s="2092" t="n"/>
      <c r="AA73" s="2093" t="n"/>
      <c r="AB73" s="2093" t="n"/>
      <c r="AC73" s="2093" t="n"/>
      <c r="AD73" s="2093" t="n"/>
      <c r="AE73" s="2092" t="n"/>
      <c r="AF73" s="2093" t="n"/>
      <c r="AG73" s="2093" t="n"/>
      <c r="AH73" s="2093" t="n"/>
      <c r="AI73" s="2093" t="n"/>
      <c r="AJ73" s="2092" t="n"/>
      <c r="AK73" s="2093" t="n"/>
      <c r="AL73" s="2093" t="n"/>
      <c r="AM73" s="2093" t="n"/>
      <c r="AN73" s="2093" t="n"/>
      <c r="AO73" s="2092" t="n"/>
      <c r="AP73" s="2093" t="n"/>
      <c r="AQ73" s="2093" t="n"/>
      <c r="AR73" s="2093" t="n"/>
      <c r="AS73" s="2093" t="n"/>
      <c r="AT73" s="2094" t="n">
        <v>10.16</v>
      </c>
      <c r="AU73" s="2093" t="n"/>
      <c r="AV73" s="2093" t="n"/>
      <c r="AW73" s="2093" t="n"/>
      <c r="AX73" s="2093" t="n"/>
      <c r="AY73" s="2094" t="n">
        <v>10.572</v>
      </c>
      <c r="AZ73" s="2093" t="n"/>
      <c r="BA73" s="2093" t="n"/>
      <c r="BB73" s="2093" t="n"/>
      <c r="BC73" s="2093" t="n"/>
      <c r="BD73" s="2094" t="n">
        <v>11.022</v>
      </c>
      <c r="BE73" s="2093" t="n"/>
      <c r="BF73" s="2093" t="n"/>
      <c r="BG73" s="2093" t="n"/>
      <c r="BH73" s="2093" t="n"/>
      <c r="BI73" s="2094" t="n">
        <v>11.772</v>
      </c>
      <c r="BJ73" s="2093" t="n"/>
      <c r="BK73" s="2093" t="n"/>
      <c r="BL73" s="2093" t="n"/>
      <c r="BM73" s="2093" t="n"/>
      <c r="BN73" s="2104" t="n"/>
      <c r="BO73" s="2093" t="n"/>
      <c r="BP73" s="2093" t="n"/>
      <c r="BQ73" s="2095" t="n"/>
      <c r="BR73" s="2093" t="n"/>
      <c r="BS73" s="2092" t="n"/>
      <c r="BT73" s="2093" t="n"/>
      <c r="BU73" s="2093" t="n"/>
      <c r="BV73" s="2093" t="n"/>
      <c r="BW73" s="2093" t="n"/>
      <c r="BX73" s="2092" t="n"/>
      <c r="BY73" s="2092" t="n"/>
      <c r="BZ73" s="2092" t="n"/>
      <c r="CA73" s="2092" t="n"/>
      <c r="CB73" s="2103" t="n"/>
    </row>
    <row r="74" ht="14.4" customFormat="1" customHeight="1" s="2082">
      <c r="A74" s="1596" t="inlineStr">
        <is>
          <t>CFO - Total Comp, 000s</t>
        </is>
      </c>
      <c r="B74" s="2098" t="n"/>
      <c r="C74" s="2090" t="n"/>
      <c r="D74" s="2090" t="n"/>
      <c r="E74" s="2090" t="n"/>
      <c r="F74" s="2090" t="n"/>
      <c r="G74" s="2089" t="n"/>
      <c r="H74" s="2089" t="n"/>
      <c r="I74" s="2089" t="n"/>
      <c r="J74" s="2089" t="n"/>
      <c r="K74" s="2090" t="n"/>
      <c r="L74" s="2089" t="n"/>
      <c r="M74" s="2089" t="n"/>
      <c r="N74" s="2089" t="n"/>
      <c r="O74" s="2089" t="n"/>
      <c r="P74" s="2090" t="n"/>
      <c r="Q74" s="2089" t="n"/>
      <c r="R74" s="2089" t="n"/>
      <c r="S74" s="2089" t="n"/>
      <c r="T74" s="2089" t="n"/>
      <c r="U74" s="2090" t="n"/>
      <c r="V74" s="2089" t="n"/>
      <c r="W74" s="2089" t="n"/>
      <c r="X74" s="2089" t="n"/>
      <c r="Y74" s="2089" t="n"/>
      <c r="Z74" s="2090" t="n"/>
      <c r="AA74" s="2089" t="n"/>
      <c r="AB74" s="2089" t="n"/>
      <c r="AC74" s="2089" t="n"/>
      <c r="AD74" s="2089" t="n"/>
      <c r="AE74" s="2090" t="n"/>
      <c r="AF74" s="2089" t="n"/>
      <c r="AG74" s="2089" t="n"/>
      <c r="AH74" s="2089" t="n"/>
      <c r="AI74" s="2089" t="n"/>
      <c r="AJ74" s="2090" t="n"/>
      <c r="AK74" s="2089" t="n"/>
      <c r="AL74" s="2089" t="n"/>
      <c r="AM74" s="2089" t="n"/>
      <c r="AN74" s="2089" t="n"/>
      <c r="AO74" s="2090" t="n"/>
      <c r="AP74" s="2089" t="n"/>
      <c r="AQ74" s="2089" t="n"/>
      <c r="AR74" s="2089" t="n"/>
      <c r="AS74" s="2089" t="n"/>
      <c r="AT74" s="2099">
        <f>SUM(AT69:AT73)</f>
        <v/>
      </c>
      <c r="AU74" s="2089" t="n"/>
      <c r="AV74" s="2089" t="n"/>
      <c r="AW74" s="2089" t="n"/>
      <c r="AX74" s="2089" t="n"/>
      <c r="AY74" s="2099">
        <f>SUM(AY69:AY73)</f>
        <v/>
      </c>
      <c r="AZ74" s="2089" t="n"/>
      <c r="BA74" s="2089" t="n"/>
      <c r="BB74" s="2089" t="n"/>
      <c r="BC74" s="2089" t="n"/>
      <c r="BD74" s="2099">
        <f>SUM(BD69:BD73)</f>
        <v/>
      </c>
      <c r="BE74" s="2089" t="n"/>
      <c r="BF74" s="2089" t="n"/>
      <c r="BG74" s="2089" t="n"/>
      <c r="BH74" s="2089" t="n"/>
      <c r="BI74" s="2099">
        <f>SUM(BI69:BI73)</f>
        <v/>
      </c>
      <c r="BJ74" s="2089" t="n"/>
      <c r="BK74" s="2089" t="n"/>
      <c r="BL74" s="2089" t="n"/>
      <c r="BM74" s="2089" t="n"/>
      <c r="BN74" s="2099" t="n"/>
      <c r="BO74" s="2089" t="n"/>
      <c r="BP74" s="2089" t="n"/>
      <c r="BQ74" s="2100" t="n"/>
      <c r="BR74" s="2089" t="n"/>
      <c r="BS74" s="2090" t="n"/>
      <c r="BT74" s="2089" t="n"/>
      <c r="BU74" s="2089" t="n"/>
      <c r="BV74" s="2089" t="n"/>
      <c r="BW74" s="2089" t="n"/>
      <c r="BX74" s="2090" t="n"/>
      <c r="BY74" s="2090" t="n"/>
      <c r="BZ74" s="2090" t="n"/>
      <c r="CA74" s="2090" t="n"/>
      <c r="CB74" s="2085" t="n"/>
    </row>
    <row r="75" ht="14.4" customFormat="1" customHeight="1" s="2105">
      <c r="A75" s="2106" t="inlineStr">
        <is>
          <t>CFO - comp tied to equity, %</t>
        </is>
      </c>
      <c r="B75" s="2107" t="n"/>
      <c r="C75" s="2108" t="n"/>
      <c r="D75" s="2108" t="n"/>
      <c r="E75" s="2108" t="n"/>
      <c r="F75" s="2108" t="n"/>
      <c r="G75" s="2109" t="n"/>
      <c r="H75" s="2109" t="n"/>
      <c r="I75" s="2109" t="n"/>
      <c r="J75" s="2109" t="n"/>
      <c r="K75" s="2108" t="n"/>
      <c r="L75" s="2109" t="n"/>
      <c r="M75" s="2109" t="n"/>
      <c r="N75" s="2109" t="n"/>
      <c r="O75" s="2109" t="n"/>
      <c r="P75" s="2108" t="n"/>
      <c r="Q75" s="2109" t="n"/>
      <c r="R75" s="2109" t="n"/>
      <c r="S75" s="2109" t="n"/>
      <c r="T75" s="2109" t="n"/>
      <c r="U75" s="2108" t="n"/>
      <c r="V75" s="2109" t="n"/>
      <c r="W75" s="2109" t="n"/>
      <c r="X75" s="2109" t="n"/>
      <c r="Y75" s="2109" t="n"/>
      <c r="Z75" s="2108" t="n"/>
      <c r="AA75" s="2109" t="n"/>
      <c r="AB75" s="2109" t="n"/>
      <c r="AC75" s="2109" t="n"/>
      <c r="AD75" s="2109" t="n"/>
      <c r="AE75" s="2108" t="n"/>
      <c r="AF75" s="2109" t="n"/>
      <c r="AG75" s="2109" t="n"/>
      <c r="AH75" s="2109" t="n"/>
      <c r="AI75" s="2109" t="n"/>
      <c r="AJ75" s="2108" t="n"/>
      <c r="AK75" s="2109" t="n"/>
      <c r="AL75" s="2109" t="n"/>
      <c r="AM75" s="2109" t="n"/>
      <c r="AN75" s="2109" t="n"/>
      <c r="AO75" s="2108" t="n"/>
      <c r="AP75" s="2109" t="n"/>
      <c r="AQ75" s="2109" t="n"/>
      <c r="AR75" s="2109" t="n"/>
      <c r="AS75" s="2109" t="n"/>
      <c r="AT75" s="2108">
        <f>SUM(AT70,AT71)/AT74</f>
        <v/>
      </c>
      <c r="AU75" s="2109" t="n"/>
      <c r="AV75" s="2109" t="n"/>
      <c r="AW75" s="2109" t="n"/>
      <c r="AX75" s="2109" t="n"/>
      <c r="AY75" s="2108">
        <f>SUM(AY70,AY71)/AY74</f>
        <v/>
      </c>
      <c r="AZ75" s="2109" t="n"/>
      <c r="BA75" s="2109" t="n"/>
      <c r="BB75" s="2109" t="n"/>
      <c r="BC75" s="2109" t="n"/>
      <c r="BD75" s="2108">
        <f>SUM(BD70,BD71)/BD74</f>
        <v/>
      </c>
      <c r="BE75" s="2109" t="n"/>
      <c r="BF75" s="2109" t="n"/>
      <c r="BG75" s="2109" t="n"/>
      <c r="BH75" s="2109" t="n"/>
      <c r="BI75" s="2108">
        <f>SUM(BI70,BI71)/BI74</f>
        <v/>
      </c>
      <c r="BJ75" s="2109" t="n"/>
      <c r="BK75" s="2109" t="n"/>
      <c r="BL75" s="2109" t="n"/>
      <c r="BM75" s="2109" t="n"/>
      <c r="BN75" s="2108" t="n"/>
      <c r="BO75" s="2109" t="n"/>
      <c r="BP75" s="2109" t="n"/>
      <c r="BQ75" s="2110" t="n"/>
      <c r="BR75" s="2111" t="n"/>
      <c r="BS75" s="2112" t="n"/>
      <c r="BT75" s="2111" t="n"/>
      <c r="BU75" s="2111" t="n"/>
      <c r="BV75" s="2111" t="n"/>
      <c r="BW75" s="2111" t="n"/>
      <c r="BX75" s="2112" t="n"/>
      <c r="BY75" s="2112" t="n"/>
      <c r="BZ75" s="2112" t="n"/>
      <c r="CA75" s="2112" t="n"/>
      <c r="CB75" s="2113" t="n"/>
    </row>
    <row r="76" ht="14.4" customFormat="1" customHeight="1" s="2082">
      <c r="A76" s="1596" t="n"/>
      <c r="B76" s="2098" t="n"/>
      <c r="C76" s="2090" t="n"/>
      <c r="D76" s="2090" t="n"/>
      <c r="E76" s="2090" t="n"/>
      <c r="F76" s="2090" t="n"/>
      <c r="G76" s="2089" t="n"/>
      <c r="H76" s="2089" t="n"/>
      <c r="I76" s="2089" t="n"/>
      <c r="J76" s="2089" t="n"/>
      <c r="K76" s="2090" t="n"/>
      <c r="L76" s="2089" t="n"/>
      <c r="M76" s="2089" t="n"/>
      <c r="N76" s="2089" t="n"/>
      <c r="O76" s="2089" t="n"/>
      <c r="P76" s="2090" t="n"/>
      <c r="Q76" s="2089" t="n"/>
      <c r="R76" s="2089" t="n"/>
      <c r="S76" s="2089" t="n"/>
      <c r="T76" s="2089" t="n"/>
      <c r="U76" s="2090" t="n"/>
      <c r="V76" s="2089" t="n"/>
      <c r="W76" s="2089" t="n"/>
      <c r="X76" s="2089" t="n"/>
      <c r="Y76" s="2089" t="n"/>
      <c r="Z76" s="2090" t="n"/>
      <c r="AA76" s="2089" t="n"/>
      <c r="AB76" s="2089" t="n"/>
      <c r="AC76" s="2089" t="n"/>
      <c r="AD76" s="2089" t="n"/>
      <c r="AE76" s="2090" t="n"/>
      <c r="AF76" s="2089" t="n"/>
      <c r="AG76" s="2089" t="n"/>
      <c r="AH76" s="2089" t="n"/>
      <c r="AI76" s="2089" t="n"/>
      <c r="AJ76" s="2090" t="n"/>
      <c r="AK76" s="2089" t="n"/>
      <c r="AL76" s="2089" t="n"/>
      <c r="AM76" s="2089" t="n"/>
      <c r="AN76" s="2089" t="n"/>
      <c r="AO76" s="2090" t="n"/>
      <c r="AP76" s="2089" t="n"/>
      <c r="AQ76" s="2089" t="n"/>
      <c r="AR76" s="2089" t="n"/>
      <c r="AS76" s="2089" t="n"/>
      <c r="AT76" s="2090" t="n"/>
      <c r="AU76" s="2089" t="n"/>
      <c r="AV76" s="2089" t="n"/>
      <c r="AW76" s="2089" t="n"/>
      <c r="AX76" s="2089" t="n"/>
      <c r="AY76" s="2090" t="n"/>
      <c r="AZ76" s="2089" t="n"/>
      <c r="BA76" s="2089" t="n"/>
      <c r="BB76" s="2089" t="n"/>
      <c r="BC76" s="2089" t="n"/>
      <c r="BD76" s="2090" t="n"/>
      <c r="BE76" s="2089" t="n"/>
      <c r="BF76" s="2089" t="n"/>
      <c r="BG76" s="2089" t="n"/>
      <c r="BH76" s="2089" t="n"/>
      <c r="BI76" s="2090" t="n"/>
      <c r="BJ76" s="2089" t="n"/>
      <c r="BK76" s="2089" t="n"/>
      <c r="BL76" s="2089" t="n"/>
      <c r="BM76" s="2089" t="n"/>
      <c r="BN76" s="2090" t="n"/>
      <c r="BO76" s="2089" t="n"/>
      <c r="BP76" s="2089" t="n"/>
      <c r="BQ76" s="2100" t="n"/>
      <c r="BR76" s="2089" t="n"/>
      <c r="BS76" s="2090" t="n"/>
      <c r="BT76" s="2089" t="n"/>
      <c r="BU76" s="2089" t="n"/>
      <c r="BV76" s="2089" t="n"/>
      <c r="BW76" s="2089" t="n"/>
      <c r="BX76" s="2090" t="n"/>
      <c r="BY76" s="2090" t="n"/>
      <c r="BZ76" s="2090" t="n"/>
      <c r="CA76" s="2090" t="n"/>
      <c r="CB76" s="2085" t="n"/>
    </row>
    <row r="77" ht="14.4" customFormat="1" customHeight="1" s="2082">
      <c r="A77" s="1611" t="inlineStr">
        <is>
          <t>CFO - Options 02/06/25 # of unexercised exercisable options, 000s</t>
        </is>
      </c>
      <c r="B77" s="2098" t="n"/>
      <c r="C77" s="2090" t="n"/>
      <c r="D77" s="2090" t="n"/>
      <c r="E77" s="2090" t="n"/>
      <c r="F77" s="2090" t="n"/>
      <c r="G77" s="2089" t="n"/>
      <c r="H77" s="2089" t="n"/>
      <c r="I77" s="2089" t="n"/>
      <c r="J77" s="2089" t="n"/>
      <c r="K77" s="2090" t="n"/>
      <c r="L77" s="2089" t="n"/>
      <c r="M77" s="2089" t="n"/>
      <c r="N77" s="2089" t="n"/>
      <c r="O77" s="2089" t="n"/>
      <c r="P77" s="2090" t="n"/>
      <c r="Q77" s="2089" t="n"/>
      <c r="R77" s="2089" t="n"/>
      <c r="S77" s="2089" t="n"/>
      <c r="T77" s="2089" t="n"/>
      <c r="U77" s="2090" t="n"/>
      <c r="V77" s="2089" t="n"/>
      <c r="W77" s="2089" t="n"/>
      <c r="X77" s="2089" t="n"/>
      <c r="Y77" s="2089" t="n"/>
      <c r="Z77" s="2090" t="n"/>
      <c r="AA77" s="2089" t="n"/>
      <c r="AB77" s="2089" t="n"/>
      <c r="AC77" s="2089" t="n"/>
      <c r="AD77" s="2089" t="n"/>
      <c r="AE77" s="2090" t="n"/>
      <c r="AF77" s="2089" t="n"/>
      <c r="AG77" s="2089" t="n"/>
      <c r="AH77" s="2089" t="n"/>
      <c r="AI77" s="2089" t="n"/>
      <c r="AJ77" s="2090" t="n"/>
      <c r="AK77" s="2089" t="n"/>
      <c r="AL77" s="2089" t="n"/>
      <c r="AM77" s="2089" t="n"/>
      <c r="AN77" s="2089" t="n"/>
      <c r="AO77" s="2090" t="n"/>
      <c r="AP77" s="2089" t="n"/>
      <c r="AQ77" s="2089" t="n"/>
      <c r="AR77" s="2089" t="n"/>
      <c r="AS77" s="2089" t="n"/>
      <c r="AT77" s="2117" t="n">
        <v>29.48</v>
      </c>
      <c r="AU77" s="2089" t="n"/>
      <c r="AV77" s="2089" t="n"/>
      <c r="AW77" s="2089" t="n"/>
      <c r="AX77" s="2089" t="n"/>
      <c r="AY77" s="2117" t="n">
        <v>39.884</v>
      </c>
      <c r="AZ77" s="2089" t="n"/>
      <c r="BA77" s="2089" t="n"/>
      <c r="BB77" s="2089" t="n"/>
      <c r="BC77" s="2089" t="n"/>
      <c r="BD77" s="2090" t="n"/>
      <c r="BE77" s="2089" t="n"/>
      <c r="BF77" s="2089" t="n"/>
      <c r="BG77" s="2089" t="n"/>
      <c r="BH77" s="2089" t="n"/>
      <c r="BI77" s="2090" t="n"/>
      <c r="BJ77" s="2089" t="n"/>
      <c r="BK77" s="2089" t="n"/>
      <c r="BL77" s="2089" t="n"/>
      <c r="BM77" s="2089" t="n"/>
      <c r="BN77" s="2090" t="n"/>
      <c r="BO77" s="2089" t="n"/>
      <c r="BP77" s="2089" t="n"/>
      <c r="BQ77" s="2100" t="n"/>
      <c r="BR77" s="2089" t="n"/>
      <c r="BS77" s="2090" t="n"/>
      <c r="BT77" s="2089" t="n"/>
      <c r="BU77" s="2089" t="n"/>
      <c r="BV77" s="2089" t="n"/>
      <c r="BW77" s="2089" t="n"/>
      <c r="BX77" s="2090" t="n"/>
      <c r="BY77" s="2090" t="n"/>
      <c r="BZ77" s="2090" t="n"/>
      <c r="CA77" s="2090" t="n"/>
      <c r="CB77" s="2085" t="n"/>
    </row>
    <row r="78" ht="14.4" customFormat="1" customHeight="1" s="2082">
      <c r="A78" s="1611" t="inlineStr">
        <is>
          <t>CFO - Options 02/06/25 # of unexercised unexercisable options, 000s</t>
        </is>
      </c>
      <c r="B78" s="2098" t="n"/>
      <c r="C78" s="2090" t="n"/>
      <c r="D78" s="2090" t="n"/>
      <c r="E78" s="2090" t="n"/>
      <c r="F78" s="2090" t="n"/>
      <c r="G78" s="2089" t="n"/>
      <c r="H78" s="2089" t="n"/>
      <c r="I78" s="2089" t="n"/>
      <c r="J78" s="2089" t="n"/>
      <c r="K78" s="2090" t="n"/>
      <c r="L78" s="2089" t="n"/>
      <c r="M78" s="2089" t="n"/>
      <c r="N78" s="2089" t="n"/>
      <c r="O78" s="2089" t="n"/>
      <c r="P78" s="2090" t="n"/>
      <c r="Q78" s="2089" t="n"/>
      <c r="R78" s="2089" t="n"/>
      <c r="S78" s="2089" t="n"/>
      <c r="T78" s="2089" t="n"/>
      <c r="U78" s="2090" t="n"/>
      <c r="V78" s="2089" t="n"/>
      <c r="W78" s="2089" t="n"/>
      <c r="X78" s="2089" t="n"/>
      <c r="Y78" s="2089" t="n"/>
      <c r="Z78" s="2090" t="n"/>
      <c r="AA78" s="2089" t="n"/>
      <c r="AB78" s="2089" t="n"/>
      <c r="AC78" s="2089" t="n"/>
      <c r="AD78" s="2089" t="n"/>
      <c r="AE78" s="2090" t="n"/>
      <c r="AF78" s="2089" t="n"/>
      <c r="AG78" s="2089" t="n"/>
      <c r="AH78" s="2089" t="n"/>
      <c r="AI78" s="2089" t="n"/>
      <c r="AJ78" s="2090" t="n"/>
      <c r="AK78" s="2089" t="n"/>
      <c r="AL78" s="2089" t="n"/>
      <c r="AM78" s="2089" t="n"/>
      <c r="AN78" s="2089" t="n"/>
      <c r="AO78" s="2090" t="n"/>
      <c r="AP78" s="2089" t="n"/>
      <c r="AQ78" s="2089" t="n"/>
      <c r="AR78" s="2089" t="n"/>
      <c r="AS78" s="2089" t="n"/>
      <c r="AT78" s="2117" t="n">
        <v>12.139</v>
      </c>
      <c r="AU78" s="2089" t="n"/>
      <c r="AV78" s="2089" t="n"/>
      <c r="AW78" s="2089" t="n"/>
      <c r="AX78" s="2089" t="n"/>
      <c r="AY78" s="2117" t="n">
        <v>1.735</v>
      </c>
      <c r="AZ78" s="2089" t="n"/>
      <c r="BA78" s="2089" t="n"/>
      <c r="BB78" s="2089" t="n"/>
      <c r="BC78" s="2089" t="n"/>
      <c r="BD78" s="2090" t="n"/>
      <c r="BE78" s="2089" t="n"/>
      <c r="BF78" s="2089" t="n"/>
      <c r="BG78" s="2089" t="n"/>
      <c r="BH78" s="2089" t="n"/>
      <c r="BI78" s="2090" t="n"/>
      <c r="BJ78" s="2089" t="n"/>
      <c r="BK78" s="2089" t="n"/>
      <c r="BL78" s="2089" t="n"/>
      <c r="BM78" s="2089" t="n"/>
      <c r="BN78" s="2090" t="n"/>
      <c r="BO78" s="2089" t="n"/>
      <c r="BP78" s="2089" t="n"/>
      <c r="BQ78" s="2100" t="n"/>
      <c r="BR78" s="2089" t="n"/>
      <c r="BS78" s="2090" t="n"/>
      <c r="BT78" s="2089" t="n"/>
      <c r="BU78" s="2089" t="n"/>
      <c r="BV78" s="2089" t="n"/>
      <c r="BW78" s="2089" t="n"/>
      <c r="BX78" s="2090" t="n"/>
      <c r="BY78" s="2090" t="n"/>
      <c r="BZ78" s="2090" t="n"/>
      <c r="CA78" s="2090" t="n"/>
      <c r="CB78" s="2085" t="n"/>
    </row>
    <row r="79" ht="14.4" customFormat="1" customHeight="1" s="2118">
      <c r="A79" s="2119" t="inlineStr">
        <is>
          <t>CFO - Options 02/06/25 exercise price, $</t>
        </is>
      </c>
      <c r="B79" s="2129" t="n"/>
      <c r="C79" s="2126" t="n"/>
      <c r="D79" s="2126" t="n"/>
      <c r="E79" s="2126" t="n"/>
      <c r="F79" s="2126" t="n"/>
      <c r="G79" s="2125" t="n"/>
      <c r="H79" s="2125" t="n"/>
      <c r="I79" s="2125" t="n"/>
      <c r="J79" s="2125" t="n"/>
      <c r="K79" s="2126" t="n"/>
      <c r="L79" s="2125" t="n"/>
      <c r="M79" s="2125" t="n"/>
      <c r="N79" s="2125" t="n"/>
      <c r="O79" s="2125" t="n"/>
      <c r="P79" s="2126" t="n"/>
      <c r="Q79" s="2125" t="n"/>
      <c r="R79" s="2125" t="n"/>
      <c r="S79" s="2125" t="n"/>
      <c r="T79" s="2125" t="n"/>
      <c r="U79" s="2126" t="n"/>
      <c r="V79" s="2125" t="n"/>
      <c r="W79" s="2125" t="n"/>
      <c r="X79" s="2125" t="n"/>
      <c r="Y79" s="2125" t="n"/>
      <c r="Z79" s="2126" t="n"/>
      <c r="AA79" s="2125" t="n"/>
      <c r="AB79" s="2125" t="n"/>
      <c r="AC79" s="2125" t="n"/>
      <c r="AD79" s="2125" t="n"/>
      <c r="AE79" s="2126" t="n"/>
      <c r="AF79" s="2125" t="n"/>
      <c r="AG79" s="2125" t="n"/>
      <c r="AH79" s="2125" t="n"/>
      <c r="AI79" s="2125" t="n"/>
      <c r="AJ79" s="2126" t="n"/>
      <c r="AK79" s="2125" t="n"/>
      <c r="AL79" s="2125" t="n"/>
      <c r="AM79" s="2125" t="n"/>
      <c r="AN79" s="2125" t="n"/>
      <c r="AO79" s="2126" t="n"/>
      <c r="AP79" s="2125" t="n"/>
      <c r="AQ79" s="2125" t="n"/>
      <c r="AR79" s="2125" t="n"/>
      <c r="AS79" s="2125" t="n"/>
      <c r="AT79" s="2123" t="n">
        <v>39.58</v>
      </c>
      <c r="AU79" s="2125" t="n"/>
      <c r="AV79" s="2125" t="n"/>
      <c r="AW79" s="2125" t="n"/>
      <c r="AX79" s="2125" t="n"/>
      <c r="AY79" s="2123" t="n">
        <v>39.58</v>
      </c>
      <c r="AZ79" s="2125" t="n"/>
      <c r="BA79" s="2125" t="n"/>
      <c r="BB79" s="2125" t="n"/>
      <c r="BC79" s="2125" t="n"/>
      <c r="BD79" s="2126" t="n"/>
      <c r="BE79" s="2125" t="n"/>
      <c r="BF79" s="2125" t="n"/>
      <c r="BG79" s="2125" t="n"/>
      <c r="BH79" s="2125" t="n"/>
      <c r="BI79" s="2126" t="n"/>
      <c r="BJ79" s="2125" t="n"/>
      <c r="BK79" s="2125" t="n"/>
      <c r="BL79" s="2125" t="n"/>
      <c r="BM79" s="2125" t="n"/>
      <c r="BN79" s="2126" t="n"/>
      <c r="BO79" s="2125" t="n"/>
      <c r="BP79" s="2125" t="n"/>
      <c r="BQ79" s="2130" t="n"/>
      <c r="BR79" s="2125" t="n"/>
      <c r="BS79" s="2126" t="n"/>
      <c r="BT79" s="2125" t="n"/>
      <c r="BU79" s="2125" t="n"/>
      <c r="BV79" s="2125" t="n"/>
      <c r="BW79" s="2125" t="n"/>
      <c r="BX79" s="2126" t="n"/>
      <c r="BY79" s="2126" t="n"/>
      <c r="BZ79" s="2126" t="n"/>
      <c r="CA79" s="2126" t="n"/>
      <c r="CB79" s="2127" t="n"/>
    </row>
    <row r="80" ht="14.4" customFormat="1" customHeight="1" s="2082">
      <c r="A80" s="1596" t="n"/>
      <c r="B80" s="2098" t="n"/>
      <c r="C80" s="2090" t="n"/>
      <c r="D80" s="2090" t="n"/>
      <c r="E80" s="2090" t="n"/>
      <c r="F80" s="2090" t="n"/>
      <c r="G80" s="2089" t="n"/>
      <c r="H80" s="2089" t="n"/>
      <c r="I80" s="2089" t="n"/>
      <c r="J80" s="2089" t="n"/>
      <c r="K80" s="2090" t="n"/>
      <c r="L80" s="2089" t="n"/>
      <c r="M80" s="2089" t="n"/>
      <c r="N80" s="2089" t="n"/>
      <c r="O80" s="2089" t="n"/>
      <c r="P80" s="2090" t="n"/>
      <c r="Q80" s="2089" t="n"/>
      <c r="R80" s="2089" t="n"/>
      <c r="S80" s="2089" t="n"/>
      <c r="T80" s="2089" t="n"/>
      <c r="U80" s="2090" t="n"/>
      <c r="V80" s="2089" t="n"/>
      <c r="W80" s="2089" t="n"/>
      <c r="X80" s="2089" t="n"/>
      <c r="Y80" s="2089" t="n"/>
      <c r="Z80" s="2090" t="n"/>
      <c r="AA80" s="2089" t="n"/>
      <c r="AB80" s="2089" t="n"/>
      <c r="AC80" s="2089" t="n"/>
      <c r="AD80" s="2089" t="n"/>
      <c r="AE80" s="2090" t="n"/>
      <c r="AF80" s="2089" t="n"/>
      <c r="AG80" s="2089" t="n"/>
      <c r="AH80" s="2089" t="n"/>
      <c r="AI80" s="2089" t="n"/>
      <c r="AJ80" s="2090" t="n"/>
      <c r="AK80" s="2089" t="n"/>
      <c r="AL80" s="2089" t="n"/>
      <c r="AM80" s="2089" t="n"/>
      <c r="AN80" s="2089" t="n"/>
      <c r="AO80" s="2090" t="n"/>
      <c r="AP80" s="2089" t="n"/>
      <c r="AQ80" s="2089" t="n"/>
      <c r="AR80" s="2089" t="n"/>
      <c r="AS80" s="2089" t="n"/>
      <c r="AT80" s="2090" t="n"/>
      <c r="AU80" s="2089" t="n"/>
      <c r="AV80" s="2089" t="n"/>
      <c r="AW80" s="2089" t="n"/>
      <c r="AX80" s="2089" t="n"/>
      <c r="AY80" s="2090" t="n"/>
      <c r="AZ80" s="2089" t="n"/>
      <c r="BA80" s="2089" t="n"/>
      <c r="BB80" s="2089" t="n"/>
      <c r="BC80" s="2089" t="n"/>
      <c r="BD80" s="2090" t="n"/>
      <c r="BE80" s="2089" t="n"/>
      <c r="BF80" s="2089" t="n"/>
      <c r="BG80" s="2089" t="n"/>
      <c r="BH80" s="2089" t="n"/>
      <c r="BI80" s="2090" t="n"/>
      <c r="BJ80" s="2089" t="n"/>
      <c r="BK80" s="2089" t="n"/>
      <c r="BL80" s="2089" t="n"/>
      <c r="BM80" s="2089" t="n"/>
      <c r="BN80" s="2090" t="n"/>
      <c r="BO80" s="2089" t="n"/>
      <c r="BP80" s="2089" t="n"/>
      <c r="BQ80" s="2100" t="n"/>
      <c r="BR80" s="2089" t="n"/>
      <c r="BS80" s="2090" t="n"/>
      <c r="BT80" s="2089" t="n"/>
      <c r="BU80" s="2089" t="n"/>
      <c r="BV80" s="2089" t="n"/>
      <c r="BW80" s="2089" t="n"/>
      <c r="BX80" s="2090" t="n"/>
      <c r="BY80" s="2090" t="n"/>
      <c r="BZ80" s="2090" t="n"/>
      <c r="CA80" s="2090" t="n"/>
      <c r="CB80" s="2085" t="n"/>
    </row>
    <row r="81" ht="14.4" customFormat="1" customHeight="1" s="2082">
      <c r="A81" s="1611" t="inlineStr">
        <is>
          <t>CFO - Options 02/22/26 # of unexercised exercisable options, 000s</t>
        </is>
      </c>
      <c r="B81" s="2086" t="n"/>
      <c r="C81" s="2087" t="n"/>
      <c r="D81" s="2087" t="n"/>
      <c r="E81" s="2087" t="n"/>
      <c r="F81" s="2087" t="n"/>
      <c r="G81" s="2072" t="n"/>
      <c r="H81" s="2072" t="n"/>
      <c r="I81" s="2072" t="n"/>
      <c r="J81" s="2072" t="n"/>
      <c r="K81" s="2087" t="n"/>
      <c r="L81" s="2072" t="n"/>
      <c r="M81" s="2072" t="n"/>
      <c r="N81" s="2072" t="n"/>
      <c r="O81" s="2072" t="n"/>
      <c r="P81" s="2087" t="n"/>
      <c r="Q81" s="2072" t="n"/>
      <c r="R81" s="2072" t="n"/>
      <c r="S81" s="2072" t="n"/>
      <c r="T81" s="2072" t="n"/>
      <c r="U81" s="2087" t="n"/>
      <c r="V81" s="2072" t="n"/>
      <c r="W81" s="2072" t="n"/>
      <c r="X81" s="2072" t="n"/>
      <c r="Y81" s="2072" t="n"/>
      <c r="Z81" s="2087" t="n"/>
      <c r="AA81" s="2072" t="n"/>
      <c r="AB81" s="2072" t="n"/>
      <c r="AC81" s="2072" t="n"/>
      <c r="AD81" s="2072" t="n"/>
      <c r="AE81" s="2087" t="n"/>
      <c r="AF81" s="2072" t="n"/>
      <c r="AG81" s="2072" t="n"/>
      <c r="AH81" s="2072" t="n"/>
      <c r="AI81" s="2072" t="n"/>
      <c r="AJ81" s="2087" t="n"/>
      <c r="AK81" s="2072" t="n"/>
      <c r="AL81" s="2072" t="n"/>
      <c r="AM81" s="2072" t="n"/>
      <c r="AN81" s="2072" t="n"/>
      <c r="AO81" s="2087" t="n"/>
      <c r="AP81" s="2072" t="n"/>
      <c r="AQ81" s="2072" t="n"/>
      <c r="AR81" s="2072" t="n"/>
      <c r="AS81" s="2072" t="n"/>
      <c r="AT81" s="2117" t="n">
        <v>17.077</v>
      </c>
      <c r="AU81" s="2072" t="n"/>
      <c r="AV81" s="2072" t="n"/>
      <c r="AW81" s="2072" t="n"/>
      <c r="AX81" s="2072" t="n"/>
      <c r="AY81" s="2117" t="n">
        <v>26.392</v>
      </c>
      <c r="AZ81" s="2072" t="n"/>
      <c r="BA81" s="2072" t="n"/>
      <c r="BB81" s="2072" t="n"/>
      <c r="BC81" s="2072" t="n"/>
      <c r="BD81" s="2133" t="n">
        <v>35.707</v>
      </c>
      <c r="BE81" s="2072" t="n"/>
      <c r="BF81" s="2072" t="n"/>
      <c r="BG81" s="2072" t="n"/>
      <c r="BH81" s="2072" t="n"/>
      <c r="BI81" s="2087" t="n"/>
      <c r="BJ81" s="2072" t="n"/>
      <c r="BK81" s="2072" t="n"/>
      <c r="BL81" s="2072" t="n"/>
      <c r="BM81" s="2072" t="n"/>
      <c r="BN81" s="2087" t="n"/>
      <c r="BO81" s="2072" t="n"/>
      <c r="BP81" s="2072" t="n"/>
      <c r="BQ81" s="2073" t="n"/>
      <c r="BR81" s="2089" t="n"/>
      <c r="BS81" s="2090" t="n"/>
      <c r="BT81" s="2089" t="n"/>
      <c r="BU81" s="2089" t="n"/>
      <c r="BV81" s="2089" t="n"/>
      <c r="BW81" s="2089" t="n"/>
      <c r="BX81" s="2090" t="n"/>
      <c r="BY81" s="2090" t="n"/>
      <c r="BZ81" s="2090" t="n"/>
      <c r="CA81" s="2090" t="n"/>
      <c r="CB81" s="2085" t="n"/>
    </row>
    <row r="82" ht="14.4" customFormat="1" customHeight="1" s="2082">
      <c r="A82" s="1611" t="inlineStr">
        <is>
          <t>CFO - Options 02/22/26 # of unexercised unexercisable options, 000s</t>
        </is>
      </c>
      <c r="B82" s="2086" t="n"/>
      <c r="C82" s="2087" t="n"/>
      <c r="D82" s="2087" t="n"/>
      <c r="E82" s="2087" t="n"/>
      <c r="F82" s="2087" t="n"/>
      <c r="G82" s="2072" t="n"/>
      <c r="H82" s="2072" t="n"/>
      <c r="I82" s="2072" t="n"/>
      <c r="J82" s="2072" t="n"/>
      <c r="K82" s="2087" t="n"/>
      <c r="L82" s="2072" t="n"/>
      <c r="M82" s="2072" t="n"/>
      <c r="N82" s="2072" t="n"/>
      <c r="O82" s="2072" t="n"/>
      <c r="P82" s="2087" t="n"/>
      <c r="Q82" s="2072" t="n"/>
      <c r="R82" s="2072" t="n"/>
      <c r="S82" s="2072" t="n"/>
      <c r="T82" s="2072" t="n"/>
      <c r="U82" s="2087" t="n"/>
      <c r="V82" s="2072" t="n"/>
      <c r="W82" s="2072" t="n"/>
      <c r="X82" s="2072" t="n"/>
      <c r="Y82" s="2072" t="n"/>
      <c r="Z82" s="2087" t="n"/>
      <c r="AA82" s="2072" t="n"/>
      <c r="AB82" s="2072" t="n"/>
      <c r="AC82" s="2072" t="n"/>
      <c r="AD82" s="2072" t="n"/>
      <c r="AE82" s="2087" t="n"/>
      <c r="AF82" s="2072" t="n"/>
      <c r="AG82" s="2072" t="n"/>
      <c r="AH82" s="2072" t="n"/>
      <c r="AI82" s="2072" t="n"/>
      <c r="AJ82" s="2087" t="n"/>
      <c r="AK82" s="2072" t="n"/>
      <c r="AL82" s="2072" t="n"/>
      <c r="AM82" s="2072" t="n"/>
      <c r="AN82" s="2072" t="n"/>
      <c r="AO82" s="2087" t="n"/>
      <c r="AP82" s="2072" t="n"/>
      <c r="AQ82" s="2072" t="n"/>
      <c r="AR82" s="2072" t="n"/>
      <c r="AS82" s="2072" t="n"/>
      <c r="AT82" s="2117" t="n">
        <v>20.183</v>
      </c>
      <c r="AU82" s="2072" t="n"/>
      <c r="AV82" s="2072" t="n"/>
      <c r="AW82" s="2072" t="n"/>
      <c r="AX82" s="2072" t="n"/>
      <c r="AY82" s="2117" t="n">
        <v>10.868</v>
      </c>
      <c r="AZ82" s="2072" t="n"/>
      <c r="BA82" s="2072" t="n"/>
      <c r="BB82" s="2072" t="n"/>
      <c r="BC82" s="2072" t="n"/>
      <c r="BD82" s="2133" t="n">
        <v>1.553</v>
      </c>
      <c r="BE82" s="2072" t="n"/>
      <c r="BF82" s="2072" t="n"/>
      <c r="BG82" s="2072" t="n"/>
      <c r="BH82" s="2072" t="n"/>
      <c r="BI82" s="2087" t="n"/>
      <c r="BJ82" s="2072" t="n"/>
      <c r="BK82" s="2072" t="n"/>
      <c r="BL82" s="2072" t="n"/>
      <c r="BM82" s="2072" t="n"/>
      <c r="BN82" s="2087" t="n"/>
      <c r="BO82" s="2072" t="n"/>
      <c r="BP82" s="2072" t="n"/>
      <c r="BQ82" s="2073" t="n"/>
      <c r="BR82" s="2089" t="n"/>
      <c r="BS82" s="2090" t="n"/>
      <c r="BT82" s="2089" t="n"/>
      <c r="BU82" s="2089" t="n"/>
      <c r="BV82" s="2089" t="n"/>
      <c r="BW82" s="2089" t="n"/>
      <c r="BX82" s="2090" t="n"/>
      <c r="BY82" s="2090" t="n"/>
      <c r="BZ82" s="2090" t="n"/>
      <c r="CA82" s="2090" t="n"/>
      <c r="CB82" s="2085" t="n"/>
    </row>
    <row r="83" ht="14.4" customFormat="1" customHeight="1" s="2118">
      <c r="A83" s="2119" t="inlineStr">
        <is>
          <t>CFO - Options 02/22/26 exercise price, $</t>
        </is>
      </c>
      <c r="B83" s="2120" t="n"/>
      <c r="C83" s="2121" t="n"/>
      <c r="D83" s="2121" t="n"/>
      <c r="E83" s="2121" t="n"/>
      <c r="F83" s="2121" t="n"/>
      <c r="G83" s="2122" t="n"/>
      <c r="H83" s="2122" t="n"/>
      <c r="I83" s="2122" t="n"/>
      <c r="J83" s="2122" t="n"/>
      <c r="K83" s="2121" t="n"/>
      <c r="L83" s="2122" t="n"/>
      <c r="M83" s="2122" t="n"/>
      <c r="N83" s="2122" t="n"/>
      <c r="O83" s="2122" t="n"/>
      <c r="P83" s="2121" t="n"/>
      <c r="Q83" s="2122" t="n"/>
      <c r="R83" s="2122" t="n"/>
      <c r="S83" s="2122" t="n"/>
      <c r="T83" s="2122" t="n"/>
      <c r="U83" s="2121" t="n"/>
      <c r="V83" s="2122" t="n"/>
      <c r="W83" s="2122" t="n"/>
      <c r="X83" s="2122" t="n"/>
      <c r="Y83" s="2122" t="n"/>
      <c r="Z83" s="2121" t="n"/>
      <c r="AA83" s="2122" t="n"/>
      <c r="AB83" s="2122" t="n"/>
      <c r="AC83" s="2122" t="n"/>
      <c r="AD83" s="2122" t="n"/>
      <c r="AE83" s="2121" t="n"/>
      <c r="AF83" s="2122" t="n"/>
      <c r="AG83" s="2122" t="n"/>
      <c r="AH83" s="2122" t="n"/>
      <c r="AI83" s="2122" t="n"/>
      <c r="AJ83" s="2121" t="n"/>
      <c r="AK83" s="2122" t="n"/>
      <c r="AL83" s="2122" t="n"/>
      <c r="AM83" s="2122" t="n"/>
      <c r="AN83" s="2122" t="n"/>
      <c r="AO83" s="2121" t="n"/>
      <c r="AP83" s="2122" t="n"/>
      <c r="AQ83" s="2122" t="n"/>
      <c r="AR83" s="2122" t="n"/>
      <c r="AS83" s="2122" t="n"/>
      <c r="AT83" s="2123" t="n">
        <v>56.57</v>
      </c>
      <c r="AU83" s="2122" t="n"/>
      <c r="AV83" s="2122" t="n"/>
      <c r="AW83" s="2122" t="n"/>
      <c r="AX83" s="2122" t="n"/>
      <c r="AY83" s="2123" t="n">
        <v>56.57</v>
      </c>
      <c r="AZ83" s="2122" t="n"/>
      <c r="BA83" s="2122" t="n"/>
      <c r="BB83" s="2122" t="n"/>
      <c r="BC83" s="2122" t="n"/>
      <c r="BD83" s="2134" t="n">
        <v>56.57</v>
      </c>
      <c r="BE83" s="2122" t="n"/>
      <c r="BF83" s="2122" t="n"/>
      <c r="BG83" s="2122" t="n"/>
      <c r="BH83" s="2122" t="n"/>
      <c r="BI83" s="2121" t="n"/>
      <c r="BJ83" s="2122" t="n"/>
      <c r="BK83" s="2122" t="n"/>
      <c r="BL83" s="2122" t="n"/>
      <c r="BM83" s="2122" t="n"/>
      <c r="BN83" s="2121" t="n"/>
      <c r="BO83" s="2122" t="n"/>
      <c r="BP83" s="2122" t="n"/>
      <c r="BQ83" s="2124" t="n"/>
      <c r="BR83" s="2125" t="n"/>
      <c r="BS83" s="2126" t="n"/>
      <c r="BT83" s="2125" t="n"/>
      <c r="BU83" s="2125" t="n"/>
      <c r="BV83" s="2125" t="n"/>
      <c r="BW83" s="2125" t="n"/>
      <c r="BX83" s="2126" t="n"/>
      <c r="BY83" s="2126" t="n"/>
      <c r="BZ83" s="2126" t="n"/>
      <c r="CA83" s="2126" t="n"/>
      <c r="CB83" s="2127" t="n"/>
    </row>
    <row r="84" ht="14.4" customFormat="1" customHeight="1" s="2082">
      <c r="A84" s="1611" t="n"/>
      <c r="B84" s="2086" t="n"/>
      <c r="C84" s="2087" t="n"/>
      <c r="D84" s="2087" t="n"/>
      <c r="E84" s="2087" t="n"/>
      <c r="F84" s="2087" t="n"/>
      <c r="G84" s="2072" t="n"/>
      <c r="H84" s="2072" t="n"/>
      <c r="I84" s="2072" t="n"/>
      <c r="J84" s="2072" t="n"/>
      <c r="K84" s="2087" t="n"/>
      <c r="L84" s="2072" t="n"/>
      <c r="M84" s="2072" t="n"/>
      <c r="N84" s="2072" t="n"/>
      <c r="O84" s="2072" t="n"/>
      <c r="P84" s="2087" t="n"/>
      <c r="Q84" s="2072" t="n"/>
      <c r="R84" s="2072" t="n"/>
      <c r="S84" s="2072" t="n"/>
      <c r="T84" s="2072" t="n"/>
      <c r="U84" s="2087" t="n"/>
      <c r="V84" s="2072" t="n"/>
      <c r="W84" s="2072" t="n"/>
      <c r="X84" s="2072" t="n"/>
      <c r="Y84" s="2072" t="n"/>
      <c r="Z84" s="2087" t="n"/>
      <c r="AA84" s="2072" t="n"/>
      <c r="AB84" s="2072" t="n"/>
      <c r="AC84" s="2072" t="n"/>
      <c r="AD84" s="2072" t="n"/>
      <c r="AE84" s="2087" t="n"/>
      <c r="AF84" s="2072" t="n"/>
      <c r="AG84" s="2072" t="n"/>
      <c r="AH84" s="2072" t="n"/>
      <c r="AI84" s="2072" t="n"/>
      <c r="AJ84" s="2087" t="n"/>
      <c r="AK84" s="2072" t="n"/>
      <c r="AL84" s="2072" t="n"/>
      <c r="AM84" s="2072" t="n"/>
      <c r="AN84" s="2072" t="n"/>
      <c r="AO84" s="2087" t="n"/>
      <c r="AP84" s="2072" t="n"/>
      <c r="AQ84" s="2072" t="n"/>
      <c r="AR84" s="2072" t="n"/>
      <c r="AS84" s="2072" t="n"/>
      <c r="AT84" s="2087" t="n"/>
      <c r="AU84" s="2072" t="n"/>
      <c r="AV84" s="2072" t="n"/>
      <c r="AW84" s="2072" t="n"/>
      <c r="AX84" s="2072" t="n"/>
      <c r="AY84" s="2087" t="n"/>
      <c r="AZ84" s="2072" t="n"/>
      <c r="BA84" s="2072" t="n"/>
      <c r="BB84" s="2072" t="n"/>
      <c r="BC84" s="2072" t="n"/>
      <c r="BD84" s="2135" t="n"/>
      <c r="BE84" s="2072" t="n"/>
      <c r="BF84" s="2072" t="n"/>
      <c r="BG84" s="2072" t="n"/>
      <c r="BH84" s="2072" t="n"/>
      <c r="BI84" s="2087" t="n"/>
      <c r="BJ84" s="2072" t="n"/>
      <c r="BK84" s="2072" t="n"/>
      <c r="BL84" s="2072" t="n"/>
      <c r="BM84" s="2072" t="n"/>
      <c r="BN84" s="2087" t="n"/>
      <c r="BO84" s="2072" t="n"/>
      <c r="BP84" s="2072" t="n"/>
      <c r="BQ84" s="2073" t="n"/>
      <c r="BR84" s="2089" t="n"/>
      <c r="BS84" s="2090" t="n"/>
      <c r="BT84" s="2089" t="n"/>
      <c r="BU84" s="2089" t="n"/>
      <c r="BV84" s="2089" t="n"/>
      <c r="BW84" s="2089" t="n"/>
      <c r="BX84" s="2090" t="n"/>
      <c r="BY84" s="2090" t="n"/>
      <c r="BZ84" s="2090" t="n"/>
      <c r="CA84" s="2090" t="n"/>
      <c r="CB84" s="2085" t="n"/>
    </row>
    <row r="85" ht="14.4" customFormat="1" customHeight="1" s="2082">
      <c r="A85" s="1611" t="inlineStr">
        <is>
          <t>CFO - Options 02/14/27 # of unexercised exercisable options, 000s</t>
        </is>
      </c>
      <c r="B85" s="2086" t="n"/>
      <c r="C85" s="2087" t="n"/>
      <c r="D85" s="2087" t="n"/>
      <c r="E85" s="2087" t="n"/>
      <c r="F85" s="2087" t="n"/>
      <c r="G85" s="2072" t="n"/>
      <c r="H85" s="2072" t="n"/>
      <c r="I85" s="2072" t="n"/>
      <c r="J85" s="2072" t="n"/>
      <c r="K85" s="2087" t="n"/>
      <c r="L85" s="2072" t="n"/>
      <c r="M85" s="2072" t="n"/>
      <c r="N85" s="2072" t="n"/>
      <c r="O85" s="2072" t="n"/>
      <c r="P85" s="2087" t="n"/>
      <c r="Q85" s="2072" t="n"/>
      <c r="R85" s="2072" t="n"/>
      <c r="S85" s="2072" t="n"/>
      <c r="T85" s="2072" t="n"/>
      <c r="U85" s="2087" t="n"/>
      <c r="V85" s="2072" t="n"/>
      <c r="W85" s="2072" t="n"/>
      <c r="X85" s="2072" t="n"/>
      <c r="Y85" s="2072" t="n"/>
      <c r="Z85" s="2087" t="n"/>
      <c r="AA85" s="2072" t="n"/>
      <c r="AB85" s="2072" t="n"/>
      <c r="AC85" s="2072" t="n"/>
      <c r="AD85" s="2072" t="n"/>
      <c r="AE85" s="2087" t="n"/>
      <c r="AF85" s="2072" t="n"/>
      <c r="AG85" s="2072" t="n"/>
      <c r="AH85" s="2072" t="n"/>
      <c r="AI85" s="2072" t="n"/>
      <c r="AJ85" s="2087" t="n"/>
      <c r="AK85" s="2072" t="n"/>
      <c r="AL85" s="2072" t="n"/>
      <c r="AM85" s="2072" t="n"/>
      <c r="AN85" s="2072" t="n"/>
      <c r="AO85" s="2087" t="n"/>
      <c r="AP85" s="2072" t="n"/>
      <c r="AQ85" s="2072" t="n"/>
      <c r="AR85" s="2072" t="n"/>
      <c r="AS85" s="2072" t="n"/>
      <c r="AT85" s="2117" t="n">
        <v>8.042</v>
      </c>
      <c r="AU85" s="2072" t="n"/>
      <c r="AV85" s="2072" t="n"/>
      <c r="AW85" s="2072" t="n"/>
      <c r="AX85" s="2072" t="n"/>
      <c r="AY85" s="2117" t="n">
        <v>17.693</v>
      </c>
      <c r="AZ85" s="2072" t="n"/>
      <c r="BA85" s="2072" t="n"/>
      <c r="BB85" s="2072" t="n"/>
      <c r="BC85" s="2072" t="n"/>
      <c r="BD85" s="2133" t="n">
        <v>27.344</v>
      </c>
      <c r="BE85" s="2072" t="n"/>
      <c r="BF85" s="2072" t="n"/>
      <c r="BG85" s="2072" t="n"/>
      <c r="BH85" s="2072" t="n"/>
      <c r="BI85" s="2117" t="n">
        <v>4.391</v>
      </c>
      <c r="BJ85" s="2072" t="n"/>
      <c r="BK85" s="2072" t="n"/>
      <c r="BL85" s="2072" t="n"/>
      <c r="BM85" s="2072" t="n"/>
      <c r="BN85" s="2087" t="n"/>
      <c r="BO85" s="2072" t="n"/>
      <c r="BP85" s="2072" t="n"/>
      <c r="BQ85" s="2073" t="n"/>
      <c r="BR85" s="2089" t="n"/>
      <c r="BS85" s="2090" t="n"/>
      <c r="BT85" s="2089" t="n"/>
      <c r="BU85" s="2089" t="n"/>
      <c r="BV85" s="2089" t="n"/>
      <c r="BW85" s="2089" t="n"/>
      <c r="BX85" s="2090" t="n"/>
      <c r="BY85" s="2090" t="n"/>
      <c r="BZ85" s="2090" t="n"/>
      <c r="CA85" s="2090" t="n"/>
      <c r="CB85" s="2085" t="n"/>
    </row>
    <row r="86" ht="14.4" customFormat="1" customHeight="1" s="2082">
      <c r="A86" s="1611" t="inlineStr">
        <is>
          <t>CFO - Options 02/14/27 # of unexercised unexercisable options, 000s</t>
        </is>
      </c>
      <c r="B86" s="2086" t="n"/>
      <c r="C86" s="2087" t="n"/>
      <c r="D86" s="2087" t="n"/>
      <c r="E86" s="2087" t="n"/>
      <c r="F86" s="2087" t="n"/>
      <c r="G86" s="2072" t="n"/>
      <c r="H86" s="2072" t="n"/>
      <c r="I86" s="2072" t="n"/>
      <c r="J86" s="2072" t="n"/>
      <c r="K86" s="2087" t="n"/>
      <c r="L86" s="2072" t="n"/>
      <c r="M86" s="2072" t="n"/>
      <c r="N86" s="2072" t="n"/>
      <c r="O86" s="2072" t="n"/>
      <c r="P86" s="2087" t="n"/>
      <c r="Q86" s="2072" t="n"/>
      <c r="R86" s="2072" t="n"/>
      <c r="S86" s="2072" t="n"/>
      <c r="T86" s="2072" t="n"/>
      <c r="U86" s="2087" t="n"/>
      <c r="V86" s="2072" t="n"/>
      <c r="W86" s="2072" t="n"/>
      <c r="X86" s="2072" t="n"/>
      <c r="Y86" s="2072" t="n"/>
      <c r="Z86" s="2087" t="n"/>
      <c r="AA86" s="2072" t="n"/>
      <c r="AB86" s="2072" t="n"/>
      <c r="AC86" s="2072" t="n"/>
      <c r="AD86" s="2072" t="n"/>
      <c r="AE86" s="2087" t="n"/>
      <c r="AF86" s="2072" t="n"/>
      <c r="AG86" s="2072" t="n"/>
      <c r="AH86" s="2072" t="n"/>
      <c r="AI86" s="2072" t="n"/>
      <c r="AJ86" s="2087" t="n"/>
      <c r="AK86" s="2072" t="n"/>
      <c r="AL86" s="2072" t="n"/>
      <c r="AM86" s="2072" t="n"/>
      <c r="AN86" s="2072" t="n"/>
      <c r="AO86" s="2087" t="n"/>
      <c r="AP86" s="2072" t="n"/>
      <c r="AQ86" s="2072" t="n"/>
      <c r="AR86" s="2072" t="n"/>
      <c r="AS86" s="2072" t="n"/>
      <c r="AT86" s="2117" t="n">
        <v>30.562</v>
      </c>
      <c r="AU86" s="2072" t="n"/>
      <c r="AV86" s="2072" t="n"/>
      <c r="AW86" s="2072" t="n"/>
      <c r="AX86" s="2072" t="n"/>
      <c r="AY86" s="2117" t="n">
        <v>20.911</v>
      </c>
      <c r="AZ86" s="2072" t="n"/>
      <c r="BA86" s="2072" t="n"/>
      <c r="BB86" s="2072" t="n"/>
      <c r="BC86" s="2072" t="n"/>
      <c r="BD86" s="2133" t="n">
        <v>10.868</v>
      </c>
      <c r="BE86" s="2072" t="n"/>
      <c r="BF86" s="2072" t="n"/>
      <c r="BG86" s="2072" t="n"/>
      <c r="BH86" s="2072" t="n"/>
      <c r="BI86" s="2117" t="n">
        <v>1.609</v>
      </c>
      <c r="BJ86" s="2072" t="n"/>
      <c r="BK86" s="2072" t="n"/>
      <c r="BL86" s="2072" t="n"/>
      <c r="BM86" s="2072" t="n"/>
      <c r="BN86" s="2087" t="n"/>
      <c r="BO86" s="2072" t="n"/>
      <c r="BP86" s="2072" t="n"/>
      <c r="BQ86" s="2073" t="n"/>
      <c r="BR86" s="2089" t="n"/>
      <c r="BS86" s="2090" t="n"/>
      <c r="BT86" s="2089" t="n"/>
      <c r="BU86" s="2089" t="n"/>
      <c r="BV86" s="2089" t="n"/>
      <c r="BW86" s="2089" t="n"/>
      <c r="BX86" s="2090" t="n"/>
      <c r="BY86" s="2090" t="n"/>
      <c r="BZ86" s="2090" t="n"/>
      <c r="CA86" s="2090" t="n"/>
      <c r="CB86" s="2085" t="n"/>
    </row>
    <row r="87" ht="14.4" customFormat="1" customHeight="1" s="2118">
      <c r="A87" s="2119" t="inlineStr">
        <is>
          <t>CFO - Options 02/14/27 exercise price, $</t>
        </is>
      </c>
      <c r="B87" s="2120" t="n"/>
      <c r="C87" s="2121" t="n"/>
      <c r="D87" s="2121" t="n"/>
      <c r="E87" s="2121" t="n"/>
      <c r="F87" s="2121" t="n"/>
      <c r="G87" s="2122" t="n"/>
      <c r="H87" s="2122" t="n"/>
      <c r="I87" s="2122" t="n"/>
      <c r="J87" s="2122" t="n"/>
      <c r="K87" s="2121" t="n"/>
      <c r="L87" s="2122" t="n"/>
      <c r="M87" s="2122" t="n"/>
      <c r="N87" s="2122" t="n"/>
      <c r="O87" s="2122" t="n"/>
      <c r="P87" s="2121" t="n"/>
      <c r="Q87" s="2122" t="n"/>
      <c r="R87" s="2122" t="n"/>
      <c r="S87" s="2122" t="n"/>
      <c r="T87" s="2122" t="n"/>
      <c r="U87" s="2121" t="n"/>
      <c r="V87" s="2122" t="n"/>
      <c r="W87" s="2122" t="n"/>
      <c r="X87" s="2122" t="n"/>
      <c r="Y87" s="2122" t="n"/>
      <c r="Z87" s="2121" t="n"/>
      <c r="AA87" s="2122" t="n"/>
      <c r="AB87" s="2122" t="n"/>
      <c r="AC87" s="2122" t="n"/>
      <c r="AD87" s="2122" t="n"/>
      <c r="AE87" s="2121" t="n"/>
      <c r="AF87" s="2122" t="n"/>
      <c r="AG87" s="2122" t="n"/>
      <c r="AH87" s="2122" t="n"/>
      <c r="AI87" s="2122" t="n"/>
      <c r="AJ87" s="2121" t="n"/>
      <c r="AK87" s="2122" t="n"/>
      <c r="AL87" s="2122" t="n"/>
      <c r="AM87" s="2122" t="n"/>
      <c r="AN87" s="2122" t="n"/>
      <c r="AO87" s="2121" t="n"/>
      <c r="AP87" s="2122" t="n"/>
      <c r="AQ87" s="2122" t="n"/>
      <c r="AR87" s="2122" t="n"/>
      <c r="AS87" s="2122" t="n"/>
      <c r="AT87" s="2123" t="n">
        <v>78.76000000000001</v>
      </c>
      <c r="AU87" s="2122" t="n"/>
      <c r="AV87" s="2122" t="n"/>
      <c r="AW87" s="2122" t="n"/>
      <c r="AX87" s="2122" t="n"/>
      <c r="AY87" s="2123" t="n">
        <v>78.76000000000001</v>
      </c>
      <c r="AZ87" s="2122" t="n"/>
      <c r="BA87" s="2122" t="n"/>
      <c r="BB87" s="2122" t="n"/>
      <c r="BC87" s="2122" t="n"/>
      <c r="BD87" s="2134" t="n">
        <v>78.76000000000001</v>
      </c>
      <c r="BE87" s="2122" t="n"/>
      <c r="BF87" s="2122" t="n"/>
      <c r="BG87" s="2122" t="n"/>
      <c r="BH87" s="2122" t="n"/>
      <c r="BI87" s="2123" t="n">
        <v>78.76000000000001</v>
      </c>
      <c r="BJ87" s="2122" t="n"/>
      <c r="BK87" s="2122" t="n"/>
      <c r="BL87" s="2122" t="n"/>
      <c r="BM87" s="2122" t="n"/>
      <c r="BN87" s="2121" t="n"/>
      <c r="BO87" s="2122" t="n"/>
      <c r="BP87" s="2122" t="n"/>
      <c r="BQ87" s="2124" t="n"/>
      <c r="BR87" s="2125" t="n"/>
      <c r="BS87" s="2126" t="n"/>
      <c r="BT87" s="2125" t="n"/>
      <c r="BU87" s="2125" t="n"/>
      <c r="BV87" s="2125" t="n"/>
      <c r="BW87" s="2125" t="n"/>
      <c r="BX87" s="2126" t="n"/>
      <c r="BY87" s="2126" t="n"/>
      <c r="BZ87" s="2126" t="n"/>
      <c r="CA87" s="2126" t="n"/>
      <c r="CB87" s="2127" t="n"/>
    </row>
    <row r="88" ht="14.4" customFormat="1" customHeight="1" s="2082">
      <c r="A88" s="1611" t="n"/>
      <c r="B88" s="2086" t="n"/>
      <c r="C88" s="2087" t="n"/>
      <c r="D88" s="2087" t="n"/>
      <c r="E88" s="2087" t="n"/>
      <c r="F88" s="2087" t="n"/>
      <c r="G88" s="2072" t="n"/>
      <c r="H88" s="2072" t="n"/>
      <c r="I88" s="2072" t="n"/>
      <c r="J88" s="2072" t="n"/>
      <c r="K88" s="2087" t="n"/>
      <c r="L88" s="2072" t="n"/>
      <c r="M88" s="2072" t="n"/>
      <c r="N88" s="2072" t="n"/>
      <c r="O88" s="2072" t="n"/>
      <c r="P88" s="2087" t="n"/>
      <c r="Q88" s="2072" t="n"/>
      <c r="R88" s="2072" t="n"/>
      <c r="S88" s="2072" t="n"/>
      <c r="T88" s="2072" t="n"/>
      <c r="U88" s="2087" t="n"/>
      <c r="V88" s="2072" t="n"/>
      <c r="W88" s="2072" t="n"/>
      <c r="X88" s="2072" t="n"/>
      <c r="Y88" s="2072" t="n"/>
      <c r="Z88" s="2087" t="n"/>
      <c r="AA88" s="2072" t="n"/>
      <c r="AB88" s="2072" t="n"/>
      <c r="AC88" s="2072" t="n"/>
      <c r="AD88" s="2072" t="n"/>
      <c r="AE88" s="2087" t="n"/>
      <c r="AF88" s="2072" t="n"/>
      <c r="AG88" s="2072" t="n"/>
      <c r="AH88" s="2072" t="n"/>
      <c r="AI88" s="2072" t="n"/>
      <c r="AJ88" s="2087" t="n"/>
      <c r="AK88" s="2072" t="n"/>
      <c r="AL88" s="2072" t="n"/>
      <c r="AM88" s="2072" t="n"/>
      <c r="AN88" s="2072" t="n"/>
      <c r="AO88" s="2087" t="n"/>
      <c r="AP88" s="2072" t="n"/>
      <c r="AQ88" s="2072" t="n"/>
      <c r="AR88" s="2072" t="n"/>
      <c r="AS88" s="2072" t="n"/>
      <c r="AT88" s="2087" t="n"/>
      <c r="AU88" s="2072" t="n"/>
      <c r="AV88" s="2072" t="n"/>
      <c r="AW88" s="2072" t="n"/>
      <c r="AX88" s="2072" t="n"/>
      <c r="AY88" s="2087" t="n"/>
      <c r="AZ88" s="2072" t="n"/>
      <c r="BA88" s="2072" t="n"/>
      <c r="BB88" s="2072" t="n"/>
      <c r="BC88" s="2072" t="n"/>
      <c r="BD88" s="2135" t="n"/>
      <c r="BE88" s="2072" t="n"/>
      <c r="BF88" s="2072" t="n"/>
      <c r="BG88" s="2072" t="n"/>
      <c r="BH88" s="2072" t="n"/>
      <c r="BI88" s="2087" t="n"/>
      <c r="BJ88" s="2072" t="n"/>
      <c r="BK88" s="2072" t="n"/>
      <c r="BL88" s="2072" t="n"/>
      <c r="BM88" s="2072" t="n"/>
      <c r="BN88" s="2087" t="n"/>
      <c r="BO88" s="2072" t="n"/>
      <c r="BP88" s="2072" t="n"/>
      <c r="BQ88" s="2073" t="n"/>
      <c r="BR88" s="2089" t="n"/>
      <c r="BS88" s="2090" t="n"/>
      <c r="BT88" s="2089" t="n"/>
      <c r="BU88" s="2089" t="n"/>
      <c r="BV88" s="2089" t="n"/>
      <c r="BW88" s="2089" t="n"/>
      <c r="BX88" s="2090" t="n"/>
      <c r="BY88" s="2090" t="n"/>
      <c r="BZ88" s="2090" t="n"/>
      <c r="CA88" s="2090" t="n"/>
      <c r="CB88" s="2085" t="n"/>
    </row>
    <row r="89" ht="14.4" customFormat="1" customHeight="1" s="2082">
      <c r="A89" s="1611" t="inlineStr">
        <is>
          <t>CFO - Options 02/25/28 # of unexercised exercisable options, 000s</t>
        </is>
      </c>
      <c r="B89" s="2086" t="n"/>
      <c r="C89" s="2087" t="n"/>
      <c r="D89" s="2087" t="n"/>
      <c r="E89" s="2087" t="n"/>
      <c r="F89" s="2087" t="n"/>
      <c r="G89" s="2072" t="n"/>
      <c r="H89" s="2072" t="n"/>
      <c r="I89" s="2072" t="n"/>
      <c r="J89" s="2072" t="n"/>
      <c r="K89" s="2087" t="n"/>
      <c r="L89" s="2072" t="n"/>
      <c r="M89" s="2072" t="n"/>
      <c r="N89" s="2072" t="n"/>
      <c r="O89" s="2072" t="n"/>
      <c r="P89" s="2087" t="n"/>
      <c r="Q89" s="2072" t="n"/>
      <c r="R89" s="2072" t="n"/>
      <c r="S89" s="2072" t="n"/>
      <c r="T89" s="2072" t="n"/>
      <c r="U89" s="2087" t="n"/>
      <c r="V89" s="2072" t="n"/>
      <c r="W89" s="2072" t="n"/>
      <c r="X89" s="2072" t="n"/>
      <c r="Y89" s="2072" t="n"/>
      <c r="Z89" s="2087" t="n"/>
      <c r="AA89" s="2072" t="n"/>
      <c r="AB89" s="2072" t="n"/>
      <c r="AC89" s="2072" t="n"/>
      <c r="AD89" s="2072" t="n"/>
      <c r="AE89" s="2087" t="n"/>
      <c r="AF89" s="2072" t="n"/>
      <c r="AG89" s="2072" t="n"/>
      <c r="AH89" s="2072" t="n"/>
      <c r="AI89" s="2072" t="n"/>
      <c r="AJ89" s="2087" t="n"/>
      <c r="AK89" s="2072" t="n"/>
      <c r="AL89" s="2072" t="n"/>
      <c r="AM89" s="2072" t="n"/>
      <c r="AN89" s="2072" t="n"/>
      <c r="AO89" s="2087" t="n"/>
      <c r="AP89" s="2072" t="n"/>
      <c r="AQ89" s="2072" t="n"/>
      <c r="AR89" s="2072" t="n"/>
      <c r="AS89" s="2072" t="n"/>
      <c r="AT89" s="2087" t="n"/>
      <c r="AU89" s="2072" t="n"/>
      <c r="AV89" s="2072" t="n"/>
      <c r="AW89" s="2072" t="n"/>
      <c r="AX89" s="2072" t="n"/>
      <c r="AY89" s="2117" t="n">
        <v>6.208</v>
      </c>
      <c r="AZ89" s="2072" t="n"/>
      <c r="BA89" s="2072" t="n"/>
      <c r="BB89" s="2072" t="n"/>
      <c r="BC89" s="2072" t="n"/>
      <c r="BD89" s="2133" t="n">
        <v>10.733</v>
      </c>
      <c r="BE89" s="2072" t="n"/>
      <c r="BF89" s="2072" t="n"/>
      <c r="BG89" s="2072" t="n"/>
      <c r="BH89" s="2072" t="n"/>
      <c r="BI89" s="2117" t="n">
        <v>16.587</v>
      </c>
      <c r="BJ89" s="2072" t="n"/>
      <c r="BK89" s="2072" t="n"/>
      <c r="BL89" s="2072" t="n"/>
      <c r="BM89" s="2072" t="n"/>
      <c r="BN89" s="2087" t="n"/>
      <c r="BO89" s="2072" t="n"/>
      <c r="BP89" s="2072" t="n"/>
      <c r="BQ89" s="2073" t="n"/>
      <c r="BR89" s="2089" t="n"/>
      <c r="BS89" s="2090" t="n"/>
      <c r="BT89" s="2089" t="n"/>
      <c r="BU89" s="2089" t="n"/>
      <c r="BV89" s="2089" t="n"/>
      <c r="BW89" s="2089" t="n"/>
      <c r="BX89" s="2090" t="n"/>
      <c r="BY89" s="2090" t="n"/>
      <c r="BZ89" s="2090" t="n"/>
      <c r="CA89" s="2090" t="n"/>
      <c r="CB89" s="2085" t="n"/>
    </row>
    <row r="90" ht="14.4" customFormat="1" customHeight="1" s="2082">
      <c r="A90" s="1611" t="inlineStr">
        <is>
          <t>CFO - Options 02/25/28 # of unexercised unexercisable options, 000s</t>
        </is>
      </c>
      <c r="B90" s="2086" t="n"/>
      <c r="C90" s="2087" t="n"/>
      <c r="D90" s="2087" t="n"/>
      <c r="E90" s="2087" t="n"/>
      <c r="F90" s="2087" t="n"/>
      <c r="G90" s="2072" t="n"/>
      <c r="H90" s="2072" t="n"/>
      <c r="I90" s="2072" t="n"/>
      <c r="J90" s="2072" t="n"/>
      <c r="K90" s="2087" t="n"/>
      <c r="L90" s="2072" t="n"/>
      <c r="M90" s="2072" t="n"/>
      <c r="N90" s="2072" t="n"/>
      <c r="O90" s="2072" t="n"/>
      <c r="P90" s="2087" t="n"/>
      <c r="Q90" s="2072" t="n"/>
      <c r="R90" s="2072" t="n"/>
      <c r="S90" s="2072" t="n"/>
      <c r="T90" s="2072" t="n"/>
      <c r="U90" s="2087" t="n"/>
      <c r="V90" s="2072" t="n"/>
      <c r="W90" s="2072" t="n"/>
      <c r="X90" s="2072" t="n"/>
      <c r="Y90" s="2072" t="n"/>
      <c r="Z90" s="2087" t="n"/>
      <c r="AA90" s="2072" t="n"/>
      <c r="AB90" s="2072" t="n"/>
      <c r="AC90" s="2072" t="n"/>
      <c r="AD90" s="2072" t="n"/>
      <c r="AE90" s="2087" t="n"/>
      <c r="AF90" s="2072" t="n"/>
      <c r="AG90" s="2072" t="n"/>
      <c r="AH90" s="2072" t="n"/>
      <c r="AI90" s="2072" t="n"/>
      <c r="AJ90" s="2087" t="n"/>
      <c r="AK90" s="2072" t="n"/>
      <c r="AL90" s="2072" t="n"/>
      <c r="AM90" s="2072" t="n"/>
      <c r="AN90" s="2072" t="n"/>
      <c r="AO90" s="2087" t="n"/>
      <c r="AP90" s="2072" t="n"/>
      <c r="AQ90" s="2072" t="n"/>
      <c r="AR90" s="2072" t="n"/>
      <c r="AS90" s="2072" t="n"/>
      <c r="AT90" s="2087" t="n"/>
      <c r="AU90" s="2072" t="n"/>
      <c r="AV90" s="2072" t="n"/>
      <c r="AW90" s="2072" t="n"/>
      <c r="AX90" s="2072" t="n"/>
      <c r="AY90" s="2117" t="n">
        <v>23.597</v>
      </c>
      <c r="AZ90" s="2072" t="n"/>
      <c r="BA90" s="2072" t="n"/>
      <c r="BB90" s="2072" t="n"/>
      <c r="BC90" s="2072" t="n"/>
      <c r="BD90" s="2133" t="n">
        <v>12.685</v>
      </c>
      <c r="BE90" s="2072" t="n"/>
      <c r="BF90" s="2072" t="n"/>
      <c r="BG90" s="2072" t="n"/>
      <c r="BH90" s="2072" t="n"/>
      <c r="BI90" s="2117" t="n">
        <v>6.831</v>
      </c>
      <c r="BJ90" s="2072" t="n"/>
      <c r="BK90" s="2072" t="n"/>
      <c r="BL90" s="2072" t="n"/>
      <c r="BM90" s="2072" t="n"/>
      <c r="BN90" s="2087" t="n"/>
      <c r="BO90" s="2072" t="n"/>
      <c r="BP90" s="2072" t="n"/>
      <c r="BQ90" s="2073" t="n"/>
      <c r="BR90" s="2089" t="n"/>
      <c r="BS90" s="2090" t="n"/>
      <c r="BT90" s="2089" t="n"/>
      <c r="BU90" s="2089" t="n"/>
      <c r="BV90" s="2089" t="n"/>
      <c r="BW90" s="2089" t="n"/>
      <c r="BX90" s="2090" t="n"/>
      <c r="BY90" s="2090" t="n"/>
      <c r="BZ90" s="2090" t="n"/>
      <c r="CA90" s="2090" t="n"/>
      <c r="CB90" s="2085" t="n"/>
    </row>
    <row r="91" ht="14.4" customFormat="1" customHeight="1" s="2118">
      <c r="A91" s="2119" t="inlineStr">
        <is>
          <t>CFO - Options 02/25/28 exercise price, $</t>
        </is>
      </c>
      <c r="B91" s="2120" t="n"/>
      <c r="C91" s="2121" t="n"/>
      <c r="D91" s="2121" t="n"/>
      <c r="E91" s="2121" t="n"/>
      <c r="F91" s="2121" t="n"/>
      <c r="G91" s="2122" t="n"/>
      <c r="H91" s="2122" t="n"/>
      <c r="I91" s="2122" t="n"/>
      <c r="J91" s="2122" t="n"/>
      <c r="K91" s="2121" t="n"/>
      <c r="L91" s="2122" t="n"/>
      <c r="M91" s="2122" t="n"/>
      <c r="N91" s="2122" t="n"/>
      <c r="O91" s="2122" t="n"/>
      <c r="P91" s="2121" t="n"/>
      <c r="Q91" s="2122" t="n"/>
      <c r="R91" s="2122" t="n"/>
      <c r="S91" s="2122" t="n"/>
      <c r="T91" s="2122" t="n"/>
      <c r="U91" s="2121" t="n"/>
      <c r="V91" s="2122" t="n"/>
      <c r="W91" s="2122" t="n"/>
      <c r="X91" s="2122" t="n"/>
      <c r="Y91" s="2122" t="n"/>
      <c r="Z91" s="2121" t="n"/>
      <c r="AA91" s="2122" t="n"/>
      <c r="AB91" s="2122" t="n"/>
      <c r="AC91" s="2122" t="n"/>
      <c r="AD91" s="2122" t="n"/>
      <c r="AE91" s="2121" t="n"/>
      <c r="AF91" s="2122" t="n"/>
      <c r="AG91" s="2122" t="n"/>
      <c r="AH91" s="2122" t="n"/>
      <c r="AI91" s="2122" t="n"/>
      <c r="AJ91" s="2121" t="n"/>
      <c r="AK91" s="2122" t="n"/>
      <c r="AL91" s="2122" t="n"/>
      <c r="AM91" s="2122" t="n"/>
      <c r="AN91" s="2122" t="n"/>
      <c r="AO91" s="2121" t="n"/>
      <c r="AP91" s="2122" t="n"/>
      <c r="AQ91" s="2122" t="n"/>
      <c r="AR91" s="2122" t="n"/>
      <c r="AS91" s="2122" t="n"/>
      <c r="AT91" s="2121" t="n"/>
      <c r="AU91" s="2122" t="n"/>
      <c r="AV91" s="2122" t="n"/>
      <c r="AW91" s="2122" t="n"/>
      <c r="AX91" s="2122" t="n"/>
      <c r="AY91" s="2123" t="n">
        <v>138.02</v>
      </c>
      <c r="AZ91" s="2122" t="n"/>
      <c r="BA91" s="2122" t="n"/>
      <c r="BB91" s="2122" t="n"/>
      <c r="BC91" s="2122" t="n"/>
      <c r="BD91" s="2134" t="n">
        <v>138.02</v>
      </c>
      <c r="BE91" s="2122" t="n"/>
      <c r="BF91" s="2122" t="n"/>
      <c r="BG91" s="2122" t="n"/>
      <c r="BH91" s="2122" t="n"/>
      <c r="BI91" s="2123" t="n">
        <v>138.02</v>
      </c>
      <c r="BJ91" s="2122" t="n"/>
      <c r="BK91" s="2122" t="n"/>
      <c r="BL91" s="2122" t="n"/>
      <c r="BM91" s="2122" t="n"/>
      <c r="BN91" s="2121" t="n"/>
      <c r="BO91" s="2122" t="n"/>
      <c r="BP91" s="2122" t="n"/>
      <c r="BQ91" s="2124" t="n"/>
      <c r="BR91" s="2125" t="n"/>
      <c r="BS91" s="2126" t="n"/>
      <c r="BT91" s="2125" t="n"/>
      <c r="BU91" s="2125" t="n"/>
      <c r="BV91" s="2125" t="n"/>
      <c r="BW91" s="2125" t="n"/>
      <c r="BX91" s="2126" t="n"/>
      <c r="BY91" s="2126" t="n"/>
      <c r="BZ91" s="2126" t="n"/>
      <c r="CA91" s="2126" t="n"/>
      <c r="CB91" s="2127" t="n"/>
    </row>
    <row r="92" ht="14.4" customFormat="1" customHeight="1" s="2082">
      <c r="A92" s="1596" t="n"/>
      <c r="B92" s="2098" t="n"/>
      <c r="C92" s="2090" t="n"/>
      <c r="D92" s="2090" t="n"/>
      <c r="E92" s="2090" t="n"/>
      <c r="F92" s="2090" t="n"/>
      <c r="G92" s="2089" t="n"/>
      <c r="H92" s="2089" t="n"/>
      <c r="I92" s="2089" t="n"/>
      <c r="J92" s="2089" t="n"/>
      <c r="K92" s="2090" t="n"/>
      <c r="L92" s="2089" t="n"/>
      <c r="M92" s="2089" t="n"/>
      <c r="N92" s="2089" t="n"/>
      <c r="O92" s="2089" t="n"/>
      <c r="P92" s="2090" t="n"/>
      <c r="Q92" s="2089" t="n"/>
      <c r="R92" s="2089" t="n"/>
      <c r="S92" s="2089" t="n"/>
      <c r="T92" s="2089" t="n"/>
      <c r="U92" s="2090" t="n"/>
      <c r="V92" s="2089" t="n"/>
      <c r="W92" s="2089" t="n"/>
      <c r="X92" s="2089" t="n"/>
      <c r="Y92" s="2089" t="n"/>
      <c r="Z92" s="2090" t="n"/>
      <c r="AA92" s="2089" t="n"/>
      <c r="AB92" s="2089" t="n"/>
      <c r="AC92" s="2089" t="n"/>
      <c r="AD92" s="2089" t="n"/>
      <c r="AE92" s="2090" t="n"/>
      <c r="AF92" s="2089" t="n"/>
      <c r="AG92" s="2089" t="n"/>
      <c r="AH92" s="2089" t="n"/>
      <c r="AI92" s="2089" t="n"/>
      <c r="AJ92" s="2090" t="n"/>
      <c r="AK92" s="2089" t="n"/>
      <c r="AL92" s="2089" t="n"/>
      <c r="AM92" s="2089" t="n"/>
      <c r="AN92" s="2089" t="n"/>
      <c r="AO92" s="2090" t="n"/>
      <c r="AP92" s="2089" t="n"/>
      <c r="AQ92" s="2089" t="n"/>
      <c r="AR92" s="2089" t="n"/>
      <c r="AS92" s="2089" t="n"/>
      <c r="AT92" s="2090" t="n"/>
      <c r="AU92" s="2089" t="n"/>
      <c r="AV92" s="2089" t="n"/>
      <c r="AW92" s="2089" t="n"/>
      <c r="AX92" s="2089" t="n"/>
      <c r="AY92" s="2090" t="n"/>
      <c r="AZ92" s="2089" t="n"/>
      <c r="BA92" s="2089" t="n"/>
      <c r="BB92" s="2089" t="n"/>
      <c r="BC92" s="2089" t="n"/>
      <c r="BD92" s="2090" t="n"/>
      <c r="BE92" s="2089" t="n"/>
      <c r="BF92" s="2089" t="n"/>
      <c r="BG92" s="2089" t="n"/>
      <c r="BH92" s="2089" t="n"/>
      <c r="BI92" s="2087" t="n"/>
      <c r="BJ92" s="2089" t="n"/>
      <c r="BK92" s="2089" t="n"/>
      <c r="BL92" s="2089" t="n"/>
      <c r="BM92" s="2089" t="n"/>
      <c r="BN92" s="2087" t="n"/>
      <c r="BO92" s="2089" t="n"/>
      <c r="BP92" s="2089" t="n"/>
      <c r="BQ92" s="2100" t="n"/>
      <c r="BR92" s="2089" t="n"/>
      <c r="BS92" s="2090" t="n"/>
      <c r="BT92" s="2089" t="n"/>
      <c r="BU92" s="2089" t="n"/>
      <c r="BV92" s="2089" t="n"/>
      <c r="BW92" s="2089" t="n"/>
      <c r="BX92" s="2090" t="n"/>
      <c r="BY92" s="2090" t="n"/>
      <c r="BZ92" s="2090" t="n"/>
      <c r="CA92" s="2090" t="n"/>
      <c r="CB92" s="2085" t="n"/>
    </row>
    <row r="93" ht="14.4" customFormat="1" customHeight="1" s="2082">
      <c r="A93" s="1611" t="inlineStr">
        <is>
          <t>CFO - Options 02/25/28 # of unexercised exercisable options, 000s</t>
        </is>
      </c>
      <c r="B93" s="2098" t="n"/>
      <c r="C93" s="2090" t="n"/>
      <c r="D93" s="2090" t="n"/>
      <c r="E93" s="2090" t="n"/>
      <c r="F93" s="2090" t="n"/>
      <c r="G93" s="2089" t="n"/>
      <c r="H93" s="2089" t="n"/>
      <c r="I93" s="2089" t="n"/>
      <c r="J93" s="2089" t="n"/>
      <c r="K93" s="2090" t="n"/>
      <c r="L93" s="2089" t="n"/>
      <c r="M93" s="2089" t="n"/>
      <c r="N93" s="2089" t="n"/>
      <c r="O93" s="2089" t="n"/>
      <c r="P93" s="2090" t="n"/>
      <c r="Q93" s="2089" t="n"/>
      <c r="R93" s="2089" t="n"/>
      <c r="S93" s="2089" t="n"/>
      <c r="T93" s="2089" t="n"/>
      <c r="U93" s="2090" t="n"/>
      <c r="V93" s="2089" t="n"/>
      <c r="W93" s="2089" t="n"/>
      <c r="X93" s="2089" t="n"/>
      <c r="Y93" s="2089" t="n"/>
      <c r="Z93" s="2090" t="n"/>
      <c r="AA93" s="2089" t="n"/>
      <c r="AB93" s="2089" t="n"/>
      <c r="AC93" s="2089" t="n"/>
      <c r="AD93" s="2089" t="n"/>
      <c r="AE93" s="2090" t="n"/>
      <c r="AF93" s="2089" t="n"/>
      <c r="AG93" s="2089" t="n"/>
      <c r="AH93" s="2089" t="n"/>
      <c r="AI93" s="2089" t="n"/>
      <c r="AJ93" s="2090" t="n"/>
      <c r="AK93" s="2089" t="n"/>
      <c r="AL93" s="2089" t="n"/>
      <c r="AM93" s="2089" t="n"/>
      <c r="AN93" s="2089" t="n"/>
      <c r="AO93" s="2090" t="n"/>
      <c r="AP93" s="2089" t="n"/>
      <c r="AQ93" s="2089" t="n"/>
      <c r="AR93" s="2089" t="n"/>
      <c r="AS93" s="2089" t="n"/>
      <c r="AT93" s="2090" t="n"/>
      <c r="AU93" s="2089" t="n"/>
      <c r="AV93" s="2089" t="n"/>
      <c r="AW93" s="2089" t="n"/>
      <c r="AX93" s="2089" t="n"/>
      <c r="AY93" s="2090" t="n"/>
      <c r="AZ93" s="2089" t="n"/>
      <c r="BA93" s="2089" t="n"/>
      <c r="BB93" s="2089" t="n"/>
      <c r="BC93" s="2089" t="n"/>
      <c r="BD93" s="2088" t="n">
        <v>2.927</v>
      </c>
      <c r="BE93" s="2089" t="n"/>
      <c r="BF93" s="2089" t="n"/>
      <c r="BG93" s="2089" t="n"/>
      <c r="BH93" s="2089" t="n"/>
      <c r="BI93" s="2117" t="n">
        <v>4.524</v>
      </c>
      <c r="BJ93" s="2089" t="n"/>
      <c r="BK93" s="2089" t="n"/>
      <c r="BL93" s="2089" t="n"/>
      <c r="BM93" s="2089" t="n"/>
      <c r="BN93" s="2087" t="n"/>
      <c r="BO93" s="2089" t="n"/>
      <c r="BP93" s="2089" t="n"/>
      <c r="BQ93" s="2100" t="n"/>
      <c r="BR93" s="2089" t="n"/>
      <c r="BS93" s="2090" t="n"/>
      <c r="BT93" s="2089" t="n"/>
      <c r="BU93" s="2089" t="n"/>
      <c r="BV93" s="2089" t="n"/>
      <c r="BW93" s="2089" t="n"/>
      <c r="BX93" s="2090" t="n"/>
      <c r="BY93" s="2090" t="n"/>
      <c r="BZ93" s="2090" t="n"/>
      <c r="CA93" s="2090" t="n"/>
      <c r="CB93" s="2085" t="n"/>
    </row>
    <row r="94" ht="14.4" customFormat="1" customHeight="1" s="2082">
      <c r="A94" s="1611" t="inlineStr">
        <is>
          <t>CFO - Options 02/25/28 # of unexercised unexercisable options, 000s</t>
        </is>
      </c>
      <c r="B94" s="2098" t="n"/>
      <c r="C94" s="2090" t="n"/>
      <c r="D94" s="2090" t="n"/>
      <c r="E94" s="2090" t="n"/>
      <c r="F94" s="2090" t="n"/>
      <c r="G94" s="2089" t="n"/>
      <c r="H94" s="2089" t="n"/>
      <c r="I94" s="2089" t="n"/>
      <c r="J94" s="2089" t="n"/>
      <c r="K94" s="2090" t="n"/>
      <c r="L94" s="2089" t="n"/>
      <c r="M94" s="2089" t="n"/>
      <c r="N94" s="2089" t="n"/>
      <c r="O94" s="2089" t="n"/>
      <c r="P94" s="2090" t="n"/>
      <c r="Q94" s="2089" t="n"/>
      <c r="R94" s="2089" t="n"/>
      <c r="S94" s="2089" t="n"/>
      <c r="T94" s="2089" t="n"/>
      <c r="U94" s="2090" t="n"/>
      <c r="V94" s="2089" t="n"/>
      <c r="W94" s="2089" t="n"/>
      <c r="X94" s="2089" t="n"/>
      <c r="Y94" s="2089" t="n"/>
      <c r="Z94" s="2090" t="n"/>
      <c r="AA94" s="2089" t="n"/>
      <c r="AB94" s="2089" t="n"/>
      <c r="AC94" s="2089" t="n"/>
      <c r="AD94" s="2089" t="n"/>
      <c r="AE94" s="2090" t="n"/>
      <c r="AF94" s="2089" t="n"/>
      <c r="AG94" s="2089" t="n"/>
      <c r="AH94" s="2089" t="n"/>
      <c r="AI94" s="2089" t="n"/>
      <c r="AJ94" s="2090" t="n"/>
      <c r="AK94" s="2089" t="n"/>
      <c r="AL94" s="2089" t="n"/>
      <c r="AM94" s="2089" t="n"/>
      <c r="AN94" s="2089" t="n"/>
      <c r="AO94" s="2090" t="n"/>
      <c r="AP94" s="2089" t="n"/>
      <c r="AQ94" s="2089" t="n"/>
      <c r="AR94" s="2089" t="n"/>
      <c r="AS94" s="2089" t="n"/>
      <c r="AT94" s="2090" t="n"/>
      <c r="AU94" s="2089" t="n"/>
      <c r="AV94" s="2089" t="n"/>
      <c r="AW94" s="2089" t="n"/>
      <c r="AX94" s="2089" t="n"/>
      <c r="AY94" s="2090" t="n"/>
      <c r="AZ94" s="2089" t="n"/>
      <c r="BA94" s="2089" t="n"/>
      <c r="BB94" s="2089" t="n"/>
      <c r="BC94" s="2089" t="n"/>
      <c r="BD94" s="2088" t="n">
        <v>3.46</v>
      </c>
      <c r="BE94" s="2089" t="n"/>
      <c r="BF94" s="2089" t="n"/>
      <c r="BG94" s="2089" t="n"/>
      <c r="BH94" s="2089" t="n"/>
      <c r="BI94" s="2117" t="n">
        <v>1.863</v>
      </c>
      <c r="BJ94" s="2089" t="n"/>
      <c r="BK94" s="2089" t="n"/>
      <c r="BL94" s="2089" t="n"/>
      <c r="BM94" s="2089" t="n"/>
      <c r="BN94" s="2087" t="n"/>
      <c r="BO94" s="2089" t="n"/>
      <c r="BP94" s="2089" t="n"/>
      <c r="BQ94" s="2100" t="n"/>
      <c r="BR94" s="2089" t="n"/>
      <c r="BS94" s="2090" t="n"/>
      <c r="BT94" s="2089" t="n"/>
      <c r="BU94" s="2089" t="n"/>
      <c r="BV94" s="2089" t="n"/>
      <c r="BW94" s="2089" t="n"/>
      <c r="BX94" s="2090" t="n"/>
      <c r="BY94" s="2090" t="n"/>
      <c r="BZ94" s="2090" t="n"/>
      <c r="CA94" s="2090" t="n"/>
      <c r="CB94" s="2085" t="n"/>
    </row>
    <row r="95" ht="14.4" customFormat="1" customHeight="1" s="2118">
      <c r="A95" s="2119" t="inlineStr">
        <is>
          <t>CFO - Options 02/25/28 exercise price, $</t>
        </is>
      </c>
      <c r="B95" s="2129" t="n"/>
      <c r="C95" s="2126" t="n"/>
      <c r="D95" s="2126" t="n"/>
      <c r="E95" s="2126" t="n"/>
      <c r="F95" s="2126" t="n"/>
      <c r="G95" s="2125" t="n"/>
      <c r="H95" s="2125" t="n"/>
      <c r="I95" s="2125" t="n"/>
      <c r="J95" s="2125" t="n"/>
      <c r="K95" s="2126" t="n"/>
      <c r="L95" s="2125" t="n"/>
      <c r="M95" s="2125" t="n"/>
      <c r="N95" s="2125" t="n"/>
      <c r="O95" s="2125" t="n"/>
      <c r="P95" s="2126" t="n"/>
      <c r="Q95" s="2125" t="n"/>
      <c r="R95" s="2125" t="n"/>
      <c r="S95" s="2125" t="n"/>
      <c r="T95" s="2125" t="n"/>
      <c r="U95" s="2126" t="n"/>
      <c r="V95" s="2125" t="n"/>
      <c r="W95" s="2125" t="n"/>
      <c r="X95" s="2125" t="n"/>
      <c r="Y95" s="2125" t="n"/>
      <c r="Z95" s="2126" t="n"/>
      <c r="AA95" s="2125" t="n"/>
      <c r="AB95" s="2125" t="n"/>
      <c r="AC95" s="2125" t="n"/>
      <c r="AD95" s="2125" t="n"/>
      <c r="AE95" s="2126" t="n"/>
      <c r="AF95" s="2125" t="n"/>
      <c r="AG95" s="2125" t="n"/>
      <c r="AH95" s="2125" t="n"/>
      <c r="AI95" s="2125" t="n"/>
      <c r="AJ95" s="2126" t="n"/>
      <c r="AK95" s="2125" t="n"/>
      <c r="AL95" s="2125" t="n"/>
      <c r="AM95" s="2125" t="n"/>
      <c r="AN95" s="2125" t="n"/>
      <c r="AO95" s="2126" t="n"/>
      <c r="AP95" s="2125" t="n"/>
      <c r="AQ95" s="2125" t="n"/>
      <c r="AR95" s="2125" t="n"/>
      <c r="AS95" s="2125" t="n"/>
      <c r="AT95" s="2126" t="n"/>
      <c r="AU95" s="2125" t="n"/>
      <c r="AV95" s="2125" t="n"/>
      <c r="AW95" s="2125" t="n"/>
      <c r="AX95" s="2125" t="n"/>
      <c r="AY95" s="2126" t="n"/>
      <c r="AZ95" s="2125" t="n"/>
      <c r="BA95" s="2125" t="n"/>
      <c r="BB95" s="2125" t="n"/>
      <c r="BC95" s="2125" t="n"/>
      <c r="BD95" s="2128" t="n">
        <v>138.02</v>
      </c>
      <c r="BE95" s="2125" t="n"/>
      <c r="BF95" s="2125" t="n"/>
      <c r="BG95" s="2125" t="n"/>
      <c r="BH95" s="2125" t="n"/>
      <c r="BI95" s="2123" t="n">
        <v>138.02</v>
      </c>
      <c r="BJ95" s="2125" t="n"/>
      <c r="BK95" s="2125" t="n"/>
      <c r="BL95" s="2125" t="n"/>
      <c r="BM95" s="2125" t="n"/>
      <c r="BN95" s="2121" t="n"/>
      <c r="BO95" s="2125" t="n"/>
      <c r="BP95" s="2125" t="n"/>
      <c r="BQ95" s="2130" t="n"/>
      <c r="BR95" s="2125" t="n"/>
      <c r="BS95" s="2126" t="n"/>
      <c r="BT95" s="2125" t="n"/>
      <c r="BU95" s="2125" t="n"/>
      <c r="BV95" s="2125" t="n"/>
      <c r="BW95" s="2125" t="n"/>
      <c r="BX95" s="2126" t="n"/>
      <c r="BY95" s="2126" t="n"/>
      <c r="BZ95" s="2126" t="n"/>
      <c r="CA95" s="2126" t="n"/>
      <c r="CB95" s="2127" t="n"/>
    </row>
    <row r="96" ht="14.4" customFormat="1" customHeight="1" s="2082">
      <c r="A96" s="1596" t="n"/>
      <c r="B96" s="2098" t="n"/>
      <c r="C96" s="2090" t="n"/>
      <c r="D96" s="2090" t="n"/>
      <c r="E96" s="2090" t="n"/>
      <c r="F96" s="2090" t="n"/>
      <c r="G96" s="2089" t="n"/>
      <c r="H96" s="2089" t="n"/>
      <c r="I96" s="2089" t="n"/>
      <c r="J96" s="2089" t="n"/>
      <c r="K96" s="2090" t="n"/>
      <c r="L96" s="2089" t="n"/>
      <c r="M96" s="2089" t="n"/>
      <c r="N96" s="2089" t="n"/>
      <c r="O96" s="2089" t="n"/>
      <c r="P96" s="2090" t="n"/>
      <c r="Q96" s="2089" t="n"/>
      <c r="R96" s="2089" t="n"/>
      <c r="S96" s="2089" t="n"/>
      <c r="T96" s="2089" t="n"/>
      <c r="U96" s="2090" t="n"/>
      <c r="V96" s="2089" t="n"/>
      <c r="W96" s="2089" t="n"/>
      <c r="X96" s="2089" t="n"/>
      <c r="Y96" s="2089" t="n"/>
      <c r="Z96" s="2090" t="n"/>
      <c r="AA96" s="2089" t="n"/>
      <c r="AB96" s="2089" t="n"/>
      <c r="AC96" s="2089" t="n"/>
      <c r="AD96" s="2089" t="n"/>
      <c r="AE96" s="2090" t="n"/>
      <c r="AF96" s="2089" t="n"/>
      <c r="AG96" s="2089" t="n"/>
      <c r="AH96" s="2089" t="n"/>
      <c r="AI96" s="2089" t="n"/>
      <c r="AJ96" s="2090" t="n"/>
      <c r="AK96" s="2089" t="n"/>
      <c r="AL96" s="2089" t="n"/>
      <c r="AM96" s="2089" t="n"/>
      <c r="AN96" s="2089" t="n"/>
      <c r="AO96" s="2090" t="n"/>
      <c r="AP96" s="2089" t="n"/>
      <c r="AQ96" s="2089" t="n"/>
      <c r="AR96" s="2089" t="n"/>
      <c r="AS96" s="2089" t="n"/>
      <c r="AT96" s="2090" t="n"/>
      <c r="AU96" s="2089" t="n"/>
      <c r="AV96" s="2089" t="n"/>
      <c r="AW96" s="2089" t="n"/>
      <c r="AX96" s="2089" t="n"/>
      <c r="AY96" s="2090" t="n"/>
      <c r="AZ96" s="2089" t="n"/>
      <c r="BA96" s="2089" t="n"/>
      <c r="BB96" s="2089" t="n"/>
      <c r="BC96" s="2089" t="n"/>
      <c r="BD96" s="2099" t="n"/>
      <c r="BE96" s="2089" t="n"/>
      <c r="BF96" s="2089" t="n"/>
      <c r="BG96" s="2089" t="n"/>
      <c r="BH96" s="2089" t="n"/>
      <c r="BI96" s="2087" t="n"/>
      <c r="BJ96" s="2089" t="n"/>
      <c r="BK96" s="2089" t="n"/>
      <c r="BL96" s="2089" t="n"/>
      <c r="BM96" s="2089" t="n"/>
      <c r="BN96" s="2087" t="n"/>
      <c r="BO96" s="2089" t="n"/>
      <c r="BP96" s="2089" t="n"/>
      <c r="BQ96" s="2100" t="n"/>
      <c r="BR96" s="2089" t="n"/>
      <c r="BS96" s="2090" t="n"/>
      <c r="BT96" s="2089" t="n"/>
      <c r="BU96" s="2089" t="n"/>
      <c r="BV96" s="2089" t="n"/>
      <c r="BW96" s="2089" t="n"/>
      <c r="BX96" s="2090" t="n"/>
      <c r="BY96" s="2090" t="n"/>
      <c r="BZ96" s="2090" t="n"/>
      <c r="CA96" s="2090" t="n"/>
      <c r="CB96" s="2085" t="n"/>
    </row>
    <row r="97" ht="14.4" customFormat="1" customHeight="1" s="2082">
      <c r="A97" s="1611" t="inlineStr">
        <is>
          <t>CFO - Options 03/15/29 # of unexercised exercisable options, 000s</t>
        </is>
      </c>
      <c r="B97" s="2098" t="n"/>
      <c r="C97" s="2090" t="n"/>
      <c r="D97" s="2090" t="n"/>
      <c r="E97" s="2090" t="n"/>
      <c r="F97" s="2090" t="n"/>
      <c r="G97" s="2089" t="n"/>
      <c r="H97" s="2089" t="n"/>
      <c r="I97" s="2089" t="n"/>
      <c r="J97" s="2089" t="n"/>
      <c r="K97" s="2090" t="n"/>
      <c r="L97" s="2089" t="n"/>
      <c r="M97" s="2089" t="n"/>
      <c r="N97" s="2089" t="n"/>
      <c r="O97" s="2089" t="n"/>
      <c r="P97" s="2090" t="n"/>
      <c r="Q97" s="2089" t="n"/>
      <c r="R97" s="2089" t="n"/>
      <c r="S97" s="2089" t="n"/>
      <c r="T97" s="2089" t="n"/>
      <c r="U97" s="2090" t="n"/>
      <c r="V97" s="2089" t="n"/>
      <c r="W97" s="2089" t="n"/>
      <c r="X97" s="2089" t="n"/>
      <c r="Y97" s="2089" t="n"/>
      <c r="Z97" s="2090" t="n"/>
      <c r="AA97" s="2089" t="n"/>
      <c r="AB97" s="2089" t="n"/>
      <c r="AC97" s="2089" t="n"/>
      <c r="AD97" s="2089" t="n"/>
      <c r="AE97" s="2090" t="n"/>
      <c r="AF97" s="2089" t="n"/>
      <c r="AG97" s="2089" t="n"/>
      <c r="AH97" s="2089" t="n"/>
      <c r="AI97" s="2089" t="n"/>
      <c r="AJ97" s="2090" t="n"/>
      <c r="AK97" s="2089" t="n"/>
      <c r="AL97" s="2089" t="n"/>
      <c r="AM97" s="2089" t="n"/>
      <c r="AN97" s="2089" t="n"/>
      <c r="AO97" s="2090" t="n"/>
      <c r="AP97" s="2089" t="n"/>
      <c r="AQ97" s="2089" t="n"/>
      <c r="AR97" s="2089" t="n"/>
      <c r="AS97" s="2089" t="n"/>
      <c r="AT97" s="2090" t="n"/>
      <c r="AU97" s="2089" t="n"/>
      <c r="AV97" s="2089" t="n"/>
      <c r="AW97" s="2089" t="n"/>
      <c r="AX97" s="2089" t="n"/>
      <c r="AY97" s="2090" t="n"/>
      <c r="AZ97" s="2089" t="n"/>
      <c r="BA97" s="2089" t="n"/>
      <c r="BB97" s="2089" t="n"/>
      <c r="BC97" s="2089" t="n"/>
      <c r="BD97" s="2088" t="n">
        <v>4.666</v>
      </c>
      <c r="BE97" s="2089" t="n"/>
      <c r="BF97" s="2089" t="n"/>
      <c r="BG97" s="2089" t="n"/>
      <c r="BH97" s="2089" t="n"/>
      <c r="BI97" s="2117" t="n">
        <v>10.888</v>
      </c>
      <c r="BJ97" s="2089" t="n"/>
      <c r="BK97" s="2089" t="n"/>
      <c r="BL97" s="2089" t="n"/>
      <c r="BM97" s="2089" t="n"/>
      <c r="BN97" s="2087" t="n"/>
      <c r="BO97" s="2089" t="n"/>
      <c r="BP97" s="2089" t="n"/>
      <c r="BQ97" s="2100" t="n"/>
      <c r="BR97" s="2089" t="n"/>
      <c r="BS97" s="2090" t="n"/>
      <c r="BT97" s="2089" t="n"/>
      <c r="BU97" s="2089" t="n"/>
      <c r="BV97" s="2089" t="n"/>
      <c r="BW97" s="2089" t="n"/>
      <c r="BX97" s="2090" t="n"/>
      <c r="BY97" s="2090" t="n"/>
      <c r="BZ97" s="2090" t="n"/>
      <c r="CA97" s="2090" t="n"/>
      <c r="CB97" s="2085" t="n"/>
    </row>
    <row r="98" ht="14.4" customFormat="1" customHeight="1" s="2082">
      <c r="A98" s="1611" t="inlineStr">
        <is>
          <t>CFO - Options 03/15/29 # of unexercised unexercisable options, 000s</t>
        </is>
      </c>
      <c r="B98" s="2098" t="n"/>
      <c r="C98" s="2090" t="n"/>
      <c r="D98" s="2090" t="n"/>
      <c r="E98" s="2090" t="n"/>
      <c r="F98" s="2090" t="n"/>
      <c r="G98" s="2089" t="n"/>
      <c r="H98" s="2089" t="n"/>
      <c r="I98" s="2089" t="n"/>
      <c r="J98" s="2089" t="n"/>
      <c r="K98" s="2090" t="n"/>
      <c r="L98" s="2089" t="n"/>
      <c r="M98" s="2089" t="n"/>
      <c r="N98" s="2089" t="n"/>
      <c r="O98" s="2089" t="n"/>
      <c r="P98" s="2090" t="n"/>
      <c r="Q98" s="2089" t="n"/>
      <c r="R98" s="2089" t="n"/>
      <c r="S98" s="2089" t="n"/>
      <c r="T98" s="2089" t="n"/>
      <c r="U98" s="2090" t="n"/>
      <c r="V98" s="2089" t="n"/>
      <c r="W98" s="2089" t="n"/>
      <c r="X98" s="2089" t="n"/>
      <c r="Y98" s="2089" t="n"/>
      <c r="Z98" s="2090" t="n"/>
      <c r="AA98" s="2089" t="n"/>
      <c r="AB98" s="2089" t="n"/>
      <c r="AC98" s="2089" t="n"/>
      <c r="AD98" s="2089" t="n"/>
      <c r="AE98" s="2090" t="n"/>
      <c r="AF98" s="2089" t="n"/>
      <c r="AG98" s="2089" t="n"/>
      <c r="AH98" s="2089" t="n"/>
      <c r="AI98" s="2089" t="n"/>
      <c r="AJ98" s="2090" t="n"/>
      <c r="AK98" s="2089" t="n"/>
      <c r="AL98" s="2089" t="n"/>
      <c r="AM98" s="2089" t="n"/>
      <c r="AN98" s="2089" t="n"/>
      <c r="AO98" s="2090" t="n"/>
      <c r="AP98" s="2089" t="n"/>
      <c r="AQ98" s="2089" t="n"/>
      <c r="AR98" s="2089" t="n"/>
      <c r="AS98" s="2089" t="n"/>
      <c r="AT98" s="2090" t="n"/>
      <c r="AU98" s="2089" t="n"/>
      <c r="AV98" s="2089" t="n"/>
      <c r="AW98" s="2089" t="n"/>
      <c r="AX98" s="2089" t="n"/>
      <c r="AY98" s="2090" t="n"/>
      <c r="AZ98" s="2089" t="n"/>
      <c r="BA98" s="2089" t="n"/>
      <c r="BB98" s="2089" t="n"/>
      <c r="BC98" s="2089" t="n"/>
      <c r="BD98" s="2088" t="n">
        <v>20.222</v>
      </c>
      <c r="BE98" s="2089" t="n"/>
      <c r="BF98" s="2089" t="n"/>
      <c r="BG98" s="2089" t="n"/>
      <c r="BH98" s="2089" t="n"/>
      <c r="BI98" s="2117" t="n">
        <v>14</v>
      </c>
      <c r="BJ98" s="2089" t="n"/>
      <c r="BK98" s="2089" t="n"/>
      <c r="BL98" s="2089" t="n"/>
      <c r="BM98" s="2089" t="n"/>
      <c r="BN98" s="2087" t="n"/>
      <c r="BO98" s="2089" t="n"/>
      <c r="BP98" s="2089" t="n"/>
      <c r="BQ98" s="2100" t="n"/>
      <c r="BR98" s="2089" t="n"/>
      <c r="BS98" s="2090" t="n"/>
      <c r="BT98" s="2089" t="n"/>
      <c r="BU98" s="2089" t="n"/>
      <c r="BV98" s="2089" t="n"/>
      <c r="BW98" s="2089" t="n"/>
      <c r="BX98" s="2090" t="n"/>
      <c r="BY98" s="2090" t="n"/>
      <c r="BZ98" s="2090" t="n"/>
      <c r="CA98" s="2090" t="n"/>
      <c r="CB98" s="2085" t="n"/>
    </row>
    <row r="99" ht="14.4" customFormat="1" customHeight="1" s="2118">
      <c r="A99" s="2119" t="inlineStr">
        <is>
          <t>CFO - Options 03/15/29 exercise price, $</t>
        </is>
      </c>
      <c r="B99" s="2129" t="n"/>
      <c r="C99" s="2126" t="n"/>
      <c r="D99" s="2126" t="n"/>
      <c r="E99" s="2126" t="n"/>
      <c r="F99" s="2126" t="n"/>
      <c r="G99" s="2125" t="n"/>
      <c r="H99" s="2125" t="n"/>
      <c r="I99" s="2125" t="n"/>
      <c r="J99" s="2125" t="n"/>
      <c r="K99" s="2126" t="n"/>
      <c r="L99" s="2125" t="n"/>
      <c r="M99" s="2125" t="n"/>
      <c r="N99" s="2125" t="n"/>
      <c r="O99" s="2125" t="n"/>
      <c r="P99" s="2126" t="n"/>
      <c r="Q99" s="2125" t="n"/>
      <c r="R99" s="2125" t="n"/>
      <c r="S99" s="2125" t="n"/>
      <c r="T99" s="2125" t="n"/>
      <c r="U99" s="2126" t="n"/>
      <c r="V99" s="2125" t="n"/>
      <c r="W99" s="2125" t="n"/>
      <c r="X99" s="2125" t="n"/>
      <c r="Y99" s="2125" t="n"/>
      <c r="Z99" s="2126" t="n"/>
      <c r="AA99" s="2125" t="n"/>
      <c r="AB99" s="2125" t="n"/>
      <c r="AC99" s="2125" t="n"/>
      <c r="AD99" s="2125" t="n"/>
      <c r="AE99" s="2126" t="n"/>
      <c r="AF99" s="2125" t="n"/>
      <c r="AG99" s="2125" t="n"/>
      <c r="AH99" s="2125" t="n"/>
      <c r="AI99" s="2125" t="n"/>
      <c r="AJ99" s="2126" t="n"/>
      <c r="AK99" s="2125" t="n"/>
      <c r="AL99" s="2125" t="n"/>
      <c r="AM99" s="2125" t="n"/>
      <c r="AN99" s="2125" t="n"/>
      <c r="AO99" s="2126" t="n"/>
      <c r="AP99" s="2125" t="n"/>
      <c r="AQ99" s="2125" t="n"/>
      <c r="AR99" s="2125" t="n"/>
      <c r="AS99" s="2125" t="n"/>
      <c r="AT99" s="2126" t="n"/>
      <c r="AU99" s="2125" t="n"/>
      <c r="AV99" s="2125" t="n"/>
      <c r="AW99" s="2125" t="n"/>
      <c r="AX99" s="2125" t="n"/>
      <c r="AY99" s="2126" t="n"/>
      <c r="AZ99" s="2125" t="n"/>
      <c r="BA99" s="2125" t="n"/>
      <c r="BB99" s="2125" t="n"/>
      <c r="BC99" s="2125" t="n"/>
      <c r="BD99" s="2128" t="n">
        <v>142.5</v>
      </c>
      <c r="BE99" s="2125" t="n"/>
      <c r="BF99" s="2125" t="n"/>
      <c r="BG99" s="2125" t="n"/>
      <c r="BH99" s="2125" t="n"/>
      <c r="BI99" s="2123" t="n">
        <v>142.5</v>
      </c>
      <c r="BJ99" s="2125" t="n"/>
      <c r="BK99" s="2125" t="n"/>
      <c r="BL99" s="2125" t="n"/>
      <c r="BM99" s="2125" t="n"/>
      <c r="BN99" s="2121" t="n"/>
      <c r="BO99" s="2125" t="n"/>
      <c r="BP99" s="2125" t="n"/>
      <c r="BQ99" s="2130" t="n"/>
      <c r="BR99" s="2125" t="n"/>
      <c r="BS99" s="2126" t="n"/>
      <c r="BT99" s="2125" t="n"/>
      <c r="BU99" s="2125" t="n"/>
      <c r="BV99" s="2125" t="n"/>
      <c r="BW99" s="2125" t="n"/>
      <c r="BX99" s="2126" t="n"/>
      <c r="BY99" s="2126" t="n"/>
      <c r="BZ99" s="2126" t="n"/>
      <c r="CA99" s="2126" t="n"/>
      <c r="CB99" s="2127" t="n"/>
    </row>
    <row r="100" ht="14.4" customFormat="1" customHeight="1" s="2082">
      <c r="A100" s="1596" t="n"/>
      <c r="B100" s="2098" t="n"/>
      <c r="C100" s="2090" t="n"/>
      <c r="D100" s="2090" t="n"/>
      <c r="E100" s="2090" t="n"/>
      <c r="F100" s="2090" t="n"/>
      <c r="G100" s="2089" t="n"/>
      <c r="H100" s="2089" t="n"/>
      <c r="I100" s="2089" t="n"/>
      <c r="J100" s="2089" t="n"/>
      <c r="K100" s="2090" t="n"/>
      <c r="L100" s="2089" t="n"/>
      <c r="M100" s="2089" t="n"/>
      <c r="N100" s="2089" t="n"/>
      <c r="O100" s="2089" t="n"/>
      <c r="P100" s="2090" t="n"/>
      <c r="Q100" s="2089" t="n"/>
      <c r="R100" s="2089" t="n"/>
      <c r="S100" s="2089" t="n"/>
      <c r="T100" s="2089" t="n"/>
      <c r="U100" s="2090" t="n"/>
      <c r="V100" s="2089" t="n"/>
      <c r="W100" s="2089" t="n"/>
      <c r="X100" s="2089" t="n"/>
      <c r="Y100" s="2089" t="n"/>
      <c r="Z100" s="2090" t="n"/>
      <c r="AA100" s="2089" t="n"/>
      <c r="AB100" s="2089" t="n"/>
      <c r="AC100" s="2089" t="n"/>
      <c r="AD100" s="2089" t="n"/>
      <c r="AE100" s="2090" t="n"/>
      <c r="AF100" s="2089" t="n"/>
      <c r="AG100" s="2089" t="n"/>
      <c r="AH100" s="2089" t="n"/>
      <c r="AI100" s="2089" t="n"/>
      <c r="AJ100" s="2090" t="n"/>
      <c r="AK100" s="2089" t="n"/>
      <c r="AL100" s="2089" t="n"/>
      <c r="AM100" s="2089" t="n"/>
      <c r="AN100" s="2089" t="n"/>
      <c r="AO100" s="2090" t="n"/>
      <c r="AP100" s="2089" t="n"/>
      <c r="AQ100" s="2089" t="n"/>
      <c r="AR100" s="2089" t="n"/>
      <c r="AS100" s="2089" t="n"/>
      <c r="AT100" s="2090" t="n"/>
      <c r="AU100" s="2089" t="n"/>
      <c r="AV100" s="2089" t="n"/>
      <c r="AW100" s="2089" t="n"/>
      <c r="AX100" s="2089" t="n"/>
      <c r="AY100" s="2090" t="n"/>
      <c r="AZ100" s="2089" t="n"/>
      <c r="BA100" s="2089" t="n"/>
      <c r="BB100" s="2089" t="n"/>
      <c r="BC100" s="2089" t="n"/>
      <c r="BD100" s="2090" t="n"/>
      <c r="BE100" s="2089" t="n"/>
      <c r="BF100" s="2089" t="n"/>
      <c r="BG100" s="2089" t="n"/>
      <c r="BH100" s="2089" t="n"/>
      <c r="BI100" s="2090" t="n"/>
      <c r="BJ100" s="2089" t="n"/>
      <c r="BK100" s="2089" t="n"/>
      <c r="BL100" s="2089" t="n"/>
      <c r="BM100" s="2089" t="n"/>
      <c r="BN100" s="2090" t="n"/>
      <c r="BO100" s="2089" t="n"/>
      <c r="BP100" s="2089" t="n"/>
      <c r="BQ100" s="2100" t="n"/>
      <c r="BR100" s="2089" t="n"/>
      <c r="BS100" s="2090" t="n"/>
      <c r="BT100" s="2089" t="n"/>
      <c r="BU100" s="2089" t="n"/>
      <c r="BV100" s="2089" t="n"/>
      <c r="BW100" s="2089" t="n"/>
      <c r="BX100" s="2090" t="n"/>
      <c r="BY100" s="2090" t="n"/>
      <c r="BZ100" s="2090" t="n"/>
      <c r="CA100" s="2090" t="n"/>
      <c r="CB100" s="2085" t="n"/>
    </row>
    <row r="101" ht="14.4" customFormat="1" customHeight="1" s="2082">
      <c r="A101" s="1611" t="inlineStr">
        <is>
          <t>CFO - Options 03/15/30 # of unexercised exercisable options, 000s</t>
        </is>
      </c>
      <c r="B101" s="2098" t="n"/>
      <c r="C101" s="2090" t="n"/>
      <c r="D101" s="2090" t="n"/>
      <c r="E101" s="2090" t="n"/>
      <c r="F101" s="2090" t="n"/>
      <c r="G101" s="2089" t="n"/>
      <c r="H101" s="2089" t="n"/>
      <c r="I101" s="2089" t="n"/>
      <c r="J101" s="2089" t="n"/>
      <c r="K101" s="2090" t="n"/>
      <c r="L101" s="2089" t="n"/>
      <c r="M101" s="2089" t="n"/>
      <c r="N101" s="2089" t="n"/>
      <c r="O101" s="2089" t="n"/>
      <c r="P101" s="2090" t="n"/>
      <c r="Q101" s="2089" t="n"/>
      <c r="R101" s="2089" t="n"/>
      <c r="S101" s="2089" t="n"/>
      <c r="T101" s="2089" t="n"/>
      <c r="U101" s="2090" t="n"/>
      <c r="V101" s="2089" t="n"/>
      <c r="W101" s="2089" t="n"/>
      <c r="X101" s="2089" t="n"/>
      <c r="Y101" s="2089" t="n"/>
      <c r="Z101" s="2090" t="n"/>
      <c r="AA101" s="2089" t="n"/>
      <c r="AB101" s="2089" t="n"/>
      <c r="AC101" s="2089" t="n"/>
      <c r="AD101" s="2089" t="n"/>
      <c r="AE101" s="2090" t="n"/>
      <c r="AF101" s="2089" t="n"/>
      <c r="AG101" s="2089" t="n"/>
      <c r="AH101" s="2089" t="n"/>
      <c r="AI101" s="2089" t="n"/>
      <c r="AJ101" s="2090" t="n"/>
      <c r="AK101" s="2089" t="n"/>
      <c r="AL101" s="2089" t="n"/>
      <c r="AM101" s="2089" t="n"/>
      <c r="AN101" s="2089" t="n"/>
      <c r="AO101" s="2090" t="n"/>
      <c r="AP101" s="2089" t="n"/>
      <c r="AQ101" s="2089" t="n"/>
      <c r="AR101" s="2089" t="n"/>
      <c r="AS101" s="2089" t="n"/>
      <c r="AT101" s="2090" t="n"/>
      <c r="AU101" s="2089" t="n"/>
      <c r="AV101" s="2089" t="n"/>
      <c r="AW101" s="2089" t="n"/>
      <c r="AX101" s="2089" t="n"/>
      <c r="AY101" s="2090" t="n"/>
      <c r="AZ101" s="2089" t="n"/>
      <c r="BA101" s="2089" t="n"/>
      <c r="BB101" s="2089" t="n"/>
      <c r="BC101" s="2089" t="n"/>
      <c r="BD101" s="2090" t="n"/>
      <c r="BE101" s="2089" t="n"/>
      <c r="BF101" s="2089" t="n"/>
      <c r="BG101" s="2089" t="n"/>
      <c r="BH101" s="2089" t="n"/>
      <c r="BI101" s="2117" t="n">
        <v>4.146</v>
      </c>
      <c r="BJ101" s="2089" t="n"/>
      <c r="BK101" s="2089" t="n"/>
      <c r="BL101" s="2089" t="n"/>
      <c r="BM101" s="2089" t="n"/>
      <c r="BN101" s="2087" t="n"/>
      <c r="BO101" s="2089" t="n"/>
      <c r="BP101" s="2089" t="n"/>
      <c r="BQ101" s="2100" t="n"/>
      <c r="BR101" s="2089" t="n"/>
      <c r="BS101" s="2090" t="n"/>
      <c r="BT101" s="2089" t="n"/>
      <c r="BU101" s="2089" t="n"/>
      <c r="BV101" s="2089" t="n"/>
      <c r="BW101" s="2089" t="n"/>
      <c r="BX101" s="2090" t="n"/>
      <c r="BY101" s="2090" t="n"/>
      <c r="BZ101" s="2090" t="n"/>
      <c r="CA101" s="2090" t="n"/>
      <c r="CB101" s="2085" t="n"/>
    </row>
    <row r="102" ht="14.4" customFormat="1" customHeight="1" s="2082">
      <c r="A102" s="1611" t="inlineStr">
        <is>
          <t>CFO - Options 03/15/30 # of unexercised unexercisable options, 000s</t>
        </is>
      </c>
      <c r="B102" s="2098" t="n"/>
      <c r="C102" s="2090" t="n"/>
      <c r="D102" s="2090" t="n"/>
      <c r="E102" s="2090" t="n"/>
      <c r="F102" s="2090" t="n"/>
      <c r="G102" s="2089" t="n"/>
      <c r="H102" s="2089" t="n"/>
      <c r="I102" s="2089" t="n"/>
      <c r="J102" s="2089" t="n"/>
      <c r="K102" s="2090" t="n"/>
      <c r="L102" s="2089" t="n"/>
      <c r="M102" s="2089" t="n"/>
      <c r="N102" s="2089" t="n"/>
      <c r="O102" s="2089" t="n"/>
      <c r="P102" s="2090" t="n"/>
      <c r="Q102" s="2089" t="n"/>
      <c r="R102" s="2089" t="n"/>
      <c r="S102" s="2089" t="n"/>
      <c r="T102" s="2089" t="n"/>
      <c r="U102" s="2090" t="n"/>
      <c r="V102" s="2089" t="n"/>
      <c r="W102" s="2089" t="n"/>
      <c r="X102" s="2089" t="n"/>
      <c r="Y102" s="2089" t="n"/>
      <c r="Z102" s="2090" t="n"/>
      <c r="AA102" s="2089" t="n"/>
      <c r="AB102" s="2089" t="n"/>
      <c r="AC102" s="2089" t="n"/>
      <c r="AD102" s="2089" t="n"/>
      <c r="AE102" s="2090" t="n"/>
      <c r="AF102" s="2089" t="n"/>
      <c r="AG102" s="2089" t="n"/>
      <c r="AH102" s="2089" t="n"/>
      <c r="AI102" s="2089" t="n"/>
      <c r="AJ102" s="2090" t="n"/>
      <c r="AK102" s="2089" t="n"/>
      <c r="AL102" s="2089" t="n"/>
      <c r="AM102" s="2089" t="n"/>
      <c r="AN102" s="2089" t="n"/>
      <c r="AO102" s="2090" t="n"/>
      <c r="AP102" s="2089" t="n"/>
      <c r="AQ102" s="2089" t="n"/>
      <c r="AR102" s="2089" t="n"/>
      <c r="AS102" s="2089" t="n"/>
      <c r="AT102" s="2090" t="n"/>
      <c r="AU102" s="2089" t="n"/>
      <c r="AV102" s="2089" t="n"/>
      <c r="AW102" s="2089" t="n"/>
      <c r="AX102" s="2089" t="n"/>
      <c r="AY102" s="2090" t="n"/>
      <c r="AZ102" s="2089" t="n"/>
      <c r="BA102" s="2089" t="n"/>
      <c r="BB102" s="2089" t="n"/>
      <c r="BC102" s="2089" t="n"/>
      <c r="BD102" s="2090" t="n"/>
      <c r="BE102" s="2089" t="n"/>
      <c r="BF102" s="2089" t="n"/>
      <c r="BG102" s="2089" t="n"/>
      <c r="BH102" s="2089" t="n"/>
      <c r="BI102" s="2117" t="n">
        <v>17.966</v>
      </c>
      <c r="BJ102" s="2089" t="n"/>
      <c r="BK102" s="2089" t="n"/>
      <c r="BL102" s="2089" t="n"/>
      <c r="BM102" s="2089" t="n"/>
      <c r="BN102" s="2087" t="n"/>
      <c r="BO102" s="2089" t="n"/>
      <c r="BP102" s="2089" t="n"/>
      <c r="BQ102" s="2100" t="n"/>
      <c r="BR102" s="2089" t="n"/>
      <c r="BS102" s="2090" t="n"/>
      <c r="BT102" s="2089" t="n"/>
      <c r="BU102" s="2089" t="n"/>
      <c r="BV102" s="2089" t="n"/>
      <c r="BW102" s="2089" t="n"/>
      <c r="BX102" s="2090" t="n"/>
      <c r="BY102" s="2090" t="n"/>
      <c r="BZ102" s="2090" t="n"/>
      <c r="CA102" s="2090" t="n"/>
      <c r="CB102" s="2085" t="n"/>
    </row>
    <row r="103" ht="14.4" customFormat="1" customHeight="1" s="2082">
      <c r="A103" s="2119" t="inlineStr">
        <is>
          <t>CFO - Options 03/15/30 exercise price, $</t>
        </is>
      </c>
      <c r="B103" s="2098" t="n"/>
      <c r="C103" s="2090" t="n"/>
      <c r="D103" s="2090" t="n"/>
      <c r="E103" s="2090" t="n"/>
      <c r="F103" s="2090" t="n"/>
      <c r="G103" s="2089" t="n"/>
      <c r="H103" s="2089" t="n"/>
      <c r="I103" s="2089" t="n"/>
      <c r="J103" s="2089" t="n"/>
      <c r="K103" s="2090" t="n"/>
      <c r="L103" s="2089" t="n"/>
      <c r="M103" s="2089" t="n"/>
      <c r="N103" s="2089" t="n"/>
      <c r="O103" s="2089" t="n"/>
      <c r="P103" s="2090" t="n"/>
      <c r="Q103" s="2089" t="n"/>
      <c r="R103" s="2089" t="n"/>
      <c r="S103" s="2089" t="n"/>
      <c r="T103" s="2089" t="n"/>
      <c r="U103" s="2090" t="n"/>
      <c r="V103" s="2089" t="n"/>
      <c r="W103" s="2089" t="n"/>
      <c r="X103" s="2089" t="n"/>
      <c r="Y103" s="2089" t="n"/>
      <c r="Z103" s="2090" t="n"/>
      <c r="AA103" s="2089" t="n"/>
      <c r="AB103" s="2089" t="n"/>
      <c r="AC103" s="2089" t="n"/>
      <c r="AD103" s="2089" t="n"/>
      <c r="AE103" s="2090" t="n"/>
      <c r="AF103" s="2089" t="n"/>
      <c r="AG103" s="2089" t="n"/>
      <c r="AH103" s="2089" t="n"/>
      <c r="AI103" s="2089" t="n"/>
      <c r="AJ103" s="2090" t="n"/>
      <c r="AK103" s="2089" t="n"/>
      <c r="AL103" s="2089" t="n"/>
      <c r="AM103" s="2089" t="n"/>
      <c r="AN103" s="2089" t="n"/>
      <c r="AO103" s="2090" t="n"/>
      <c r="AP103" s="2089" t="n"/>
      <c r="AQ103" s="2089" t="n"/>
      <c r="AR103" s="2089" t="n"/>
      <c r="AS103" s="2089" t="n"/>
      <c r="AT103" s="2090" t="n"/>
      <c r="AU103" s="2089" t="n"/>
      <c r="AV103" s="2089" t="n"/>
      <c r="AW103" s="2089" t="n"/>
      <c r="AX103" s="2089" t="n"/>
      <c r="AY103" s="2090" t="n"/>
      <c r="AZ103" s="2089" t="n"/>
      <c r="BA103" s="2089" t="n"/>
      <c r="BB103" s="2089" t="n"/>
      <c r="BC103" s="2089" t="n"/>
      <c r="BD103" s="2090" t="n"/>
      <c r="BE103" s="2089" t="n"/>
      <c r="BF103" s="2089" t="n"/>
      <c r="BG103" s="2089" t="n"/>
      <c r="BH103" s="2089" t="n"/>
      <c r="BI103" s="2117" t="n">
        <v>202.94</v>
      </c>
      <c r="BJ103" s="2089" t="n"/>
      <c r="BK103" s="2089" t="n"/>
      <c r="BL103" s="2089" t="n"/>
      <c r="BM103" s="2089" t="n"/>
      <c r="BN103" s="2087" t="n"/>
      <c r="BO103" s="2089" t="n"/>
      <c r="BP103" s="2089" t="n"/>
      <c r="BQ103" s="2100" t="n"/>
      <c r="BR103" s="2089" t="n"/>
      <c r="BS103" s="2090" t="n"/>
      <c r="BT103" s="2089" t="n"/>
      <c r="BU103" s="2089" t="n"/>
      <c r="BV103" s="2089" t="n"/>
      <c r="BW103" s="2089" t="n"/>
      <c r="BX103" s="2090" t="n"/>
      <c r="BY103" s="2090" t="n"/>
      <c r="BZ103" s="2090" t="n"/>
      <c r="CA103" s="2090" t="n"/>
      <c r="CB103" s="2085" t="n"/>
    </row>
    <row r="104" ht="14.4" customFormat="1" customHeight="1" s="2082">
      <c r="A104" s="1596" t="n"/>
      <c r="B104" s="2098" t="n"/>
      <c r="C104" s="2090" t="n"/>
      <c r="D104" s="2090" t="n"/>
      <c r="E104" s="2090" t="n"/>
      <c r="F104" s="2090" t="n"/>
      <c r="G104" s="2089" t="n"/>
      <c r="H104" s="2089" t="n"/>
      <c r="I104" s="2089" t="n"/>
      <c r="J104" s="2089" t="n"/>
      <c r="K104" s="2090" t="n"/>
      <c r="L104" s="2089" t="n"/>
      <c r="M104" s="2089" t="n"/>
      <c r="N104" s="2089" t="n"/>
      <c r="O104" s="2089" t="n"/>
      <c r="P104" s="2090" t="n"/>
      <c r="Q104" s="2089" t="n"/>
      <c r="R104" s="2089" t="n"/>
      <c r="S104" s="2089" t="n"/>
      <c r="T104" s="2089" t="n"/>
      <c r="U104" s="2090" t="n"/>
      <c r="V104" s="2089" t="n"/>
      <c r="W104" s="2089" t="n"/>
      <c r="X104" s="2089" t="n"/>
      <c r="Y104" s="2089" t="n"/>
      <c r="Z104" s="2090" t="n"/>
      <c r="AA104" s="2089" t="n"/>
      <c r="AB104" s="2089" t="n"/>
      <c r="AC104" s="2089" t="n"/>
      <c r="AD104" s="2089" t="n"/>
      <c r="AE104" s="2090" t="n"/>
      <c r="AF104" s="2089" t="n"/>
      <c r="AG104" s="2089" t="n"/>
      <c r="AH104" s="2089" t="n"/>
      <c r="AI104" s="2089" t="n"/>
      <c r="AJ104" s="2090" t="n"/>
      <c r="AK104" s="2089" t="n"/>
      <c r="AL104" s="2089" t="n"/>
      <c r="AM104" s="2089" t="n"/>
      <c r="AN104" s="2089" t="n"/>
      <c r="AO104" s="2090" t="n"/>
      <c r="AP104" s="2089" t="n"/>
      <c r="AQ104" s="2089" t="n"/>
      <c r="AR104" s="2089" t="n"/>
      <c r="AS104" s="2089" t="n"/>
      <c r="AT104" s="2090" t="n"/>
      <c r="AU104" s="2089" t="n"/>
      <c r="AV104" s="2089" t="n"/>
      <c r="AW104" s="2089" t="n"/>
      <c r="AX104" s="2089" t="n"/>
      <c r="AY104" s="2090" t="n"/>
      <c r="AZ104" s="2089" t="n"/>
      <c r="BA104" s="2089" t="n"/>
      <c r="BB104" s="2089" t="n"/>
      <c r="BC104" s="2089" t="n"/>
      <c r="BD104" s="2090" t="n"/>
      <c r="BE104" s="2089" t="n"/>
      <c r="BF104" s="2089" t="n"/>
      <c r="BG104" s="2089" t="n"/>
      <c r="BH104" s="2089" t="n"/>
      <c r="BI104" s="2090" t="n"/>
      <c r="BJ104" s="2089" t="n"/>
      <c r="BK104" s="2089" t="n"/>
      <c r="BL104" s="2089" t="n"/>
      <c r="BM104" s="2089" t="n"/>
      <c r="BN104" s="2090" t="n"/>
      <c r="BO104" s="2089" t="n"/>
      <c r="BP104" s="2089" t="n"/>
      <c r="BQ104" s="2100" t="n"/>
      <c r="BR104" s="2089" t="n"/>
      <c r="BS104" s="2090" t="n"/>
      <c r="BT104" s="2089" t="n"/>
      <c r="BU104" s="2089" t="n"/>
      <c r="BV104" s="2089" t="n"/>
      <c r="BW104" s="2089" t="n"/>
      <c r="BX104" s="2090" t="n"/>
      <c r="BY104" s="2090" t="n"/>
      <c r="BZ104" s="2090" t="n"/>
      <c r="CA104" s="2090" t="n"/>
      <c r="CB104" s="2085" t="n"/>
    </row>
    <row r="105" ht="14.4" customFormat="1" customHeight="1" s="2082">
      <c r="A105" s="1596" t="inlineStr">
        <is>
          <t>CFO - EoP shares beneficially owned, 000s</t>
        </is>
      </c>
      <c r="B105" s="2098" t="n"/>
      <c r="C105" s="2090" t="n"/>
      <c r="D105" s="2090" t="n"/>
      <c r="E105" s="2090" t="n"/>
      <c r="F105" s="2090" t="n"/>
      <c r="G105" s="2089" t="n"/>
      <c r="H105" s="2089" t="n"/>
      <c r="I105" s="2089" t="n"/>
      <c r="J105" s="2089" t="n"/>
      <c r="K105" s="2090" t="n"/>
      <c r="L105" s="2089" t="n"/>
      <c r="M105" s="2089" t="n"/>
      <c r="N105" s="2089" t="n"/>
      <c r="O105" s="2089" t="n"/>
      <c r="P105" s="2090" t="n"/>
      <c r="Q105" s="2089" t="n"/>
      <c r="R105" s="2089" t="n"/>
      <c r="S105" s="2089" t="n"/>
      <c r="T105" s="2089" t="n"/>
      <c r="U105" s="2090" t="n"/>
      <c r="V105" s="2089" t="n"/>
      <c r="W105" s="2089" t="n"/>
      <c r="X105" s="2089" t="n"/>
      <c r="Y105" s="2089" t="n"/>
      <c r="Z105" s="2090" t="n"/>
      <c r="AA105" s="2089" t="n"/>
      <c r="AB105" s="2089" t="n"/>
      <c r="AC105" s="2089" t="n"/>
      <c r="AD105" s="2089" t="n"/>
      <c r="AE105" s="2090" t="n"/>
      <c r="AF105" s="2089" t="n"/>
      <c r="AG105" s="2089" t="n"/>
      <c r="AH105" s="2089" t="n"/>
      <c r="AI105" s="2089" t="n"/>
      <c r="AJ105" s="2090" t="n"/>
      <c r="AK105" s="2089" t="n"/>
      <c r="AL105" s="2089" t="n"/>
      <c r="AM105" s="2089" t="n"/>
      <c r="AN105" s="2089" t="n"/>
      <c r="AO105" s="2090" t="n"/>
      <c r="AP105" s="2089" t="n"/>
      <c r="AQ105" s="2089" t="n"/>
      <c r="AR105" s="2089" t="n"/>
      <c r="AS105" s="2089" t="n"/>
      <c r="AT105" s="2131" t="n">
        <v>248.662</v>
      </c>
      <c r="AU105" s="2089" t="n"/>
      <c r="AV105" s="2089" t="n"/>
      <c r="AW105" s="2089" t="n"/>
      <c r="AX105" s="2089" t="n"/>
      <c r="AY105" s="2132" t="n">
        <v>145.062</v>
      </c>
      <c r="AZ105" s="2089" t="n"/>
      <c r="BA105" s="2089" t="n"/>
      <c r="BB105" s="2089" t="n"/>
      <c r="BC105" s="2089" t="n"/>
      <c r="BD105" s="2132" t="n">
        <v>211.444</v>
      </c>
      <c r="BE105" s="2089" t="n"/>
      <c r="BF105" s="2089" t="n"/>
      <c r="BG105" s="2089" t="n"/>
      <c r="BH105" s="2089" t="n"/>
      <c r="BI105" s="2132" t="n">
        <v>89.09699999999999</v>
      </c>
      <c r="BJ105" s="2089" t="n"/>
      <c r="BK105" s="2089" t="n"/>
      <c r="BL105" s="2089" t="n"/>
      <c r="BM105" s="2089" t="n"/>
      <c r="BN105" s="2090" t="n"/>
      <c r="BO105" s="2089" t="n"/>
      <c r="BP105" s="2089" t="n"/>
      <c r="BQ105" s="2100" t="n"/>
      <c r="BR105" s="2089" t="n"/>
      <c r="BS105" s="2090" t="n"/>
      <c r="BT105" s="2089" t="n"/>
      <c r="BU105" s="2089" t="n"/>
      <c r="BV105" s="2089" t="n"/>
      <c r="BW105" s="2089" t="n"/>
      <c r="BX105" s="2090" t="n"/>
      <c r="BY105" s="2090" t="n"/>
      <c r="BZ105" s="2090" t="n"/>
      <c r="CA105" s="2090" t="n"/>
      <c r="CB105" s="2085" t="n"/>
    </row>
    <row r="106" ht="14.4" customFormat="1" customHeight="1" s="2082">
      <c r="A106" s="1596" t="n"/>
      <c r="B106" s="2098" t="n"/>
      <c r="C106" s="2090" t="n"/>
      <c r="D106" s="2090" t="n"/>
      <c r="E106" s="2090" t="n"/>
      <c r="F106" s="2090" t="n"/>
      <c r="G106" s="2089" t="n"/>
      <c r="H106" s="2089" t="n"/>
      <c r="I106" s="2089" t="n"/>
      <c r="J106" s="2089" t="n"/>
      <c r="K106" s="2090" t="n"/>
      <c r="L106" s="2089" t="n"/>
      <c r="M106" s="2089" t="n"/>
      <c r="N106" s="2089" t="n"/>
      <c r="O106" s="2089" t="n"/>
      <c r="P106" s="2090" t="n"/>
      <c r="Q106" s="2089" t="n"/>
      <c r="R106" s="2089" t="n"/>
      <c r="S106" s="2089" t="n"/>
      <c r="T106" s="2089" t="n"/>
      <c r="U106" s="2090" t="n"/>
      <c r="V106" s="2089" t="n"/>
      <c r="W106" s="2089" t="n"/>
      <c r="X106" s="2089" t="n"/>
      <c r="Y106" s="2089" t="n"/>
      <c r="Z106" s="2090" t="n"/>
      <c r="AA106" s="2089" t="n"/>
      <c r="AB106" s="2089" t="n"/>
      <c r="AC106" s="2089" t="n"/>
      <c r="AD106" s="2089" t="n"/>
      <c r="AE106" s="2090" t="n"/>
      <c r="AF106" s="2089" t="n"/>
      <c r="AG106" s="2089" t="n"/>
      <c r="AH106" s="2089" t="n"/>
      <c r="AI106" s="2089" t="n"/>
      <c r="AJ106" s="2090" t="n"/>
      <c r="AK106" s="2089" t="n"/>
      <c r="AL106" s="2089" t="n"/>
      <c r="AM106" s="2089" t="n"/>
      <c r="AN106" s="2089" t="n"/>
      <c r="AO106" s="2090" t="n"/>
      <c r="AP106" s="2089" t="n"/>
      <c r="AQ106" s="2089" t="n"/>
      <c r="AR106" s="2089" t="n"/>
      <c r="AS106" s="2089" t="n"/>
      <c r="AT106" s="2090" t="n"/>
      <c r="AU106" s="2089" t="n"/>
      <c r="AV106" s="2089" t="n"/>
      <c r="AW106" s="2089" t="n"/>
      <c r="AX106" s="2089" t="n"/>
      <c r="AY106" s="2090" t="n"/>
      <c r="AZ106" s="2089" t="n"/>
      <c r="BA106" s="2089" t="n"/>
      <c r="BB106" s="2089" t="n"/>
      <c r="BC106" s="2089" t="n"/>
      <c r="BD106" s="2090" t="n"/>
      <c r="BE106" s="2089" t="n"/>
      <c r="BF106" s="2089" t="n"/>
      <c r="BG106" s="2089" t="n"/>
      <c r="BH106" s="2089" t="n"/>
      <c r="BI106" s="2090" t="n"/>
      <c r="BJ106" s="2089" t="n"/>
      <c r="BK106" s="2089" t="n"/>
      <c r="BL106" s="2089" t="n"/>
      <c r="BM106" s="2089" t="n"/>
      <c r="BN106" s="2090" t="n"/>
      <c r="BO106" s="2089" t="n"/>
      <c r="BP106" s="2089" t="n"/>
      <c r="BQ106" s="2100" t="n"/>
      <c r="BR106" s="2089" t="n"/>
      <c r="BS106" s="2090" t="n"/>
      <c r="BT106" s="2089" t="n"/>
      <c r="BU106" s="2089" t="n"/>
      <c r="BV106" s="2089" t="n"/>
      <c r="BW106" s="2089" t="n"/>
      <c r="BX106" s="2090" t="n"/>
      <c r="BY106" s="2090" t="n"/>
      <c r="BZ106" s="2090" t="n"/>
      <c r="CA106" s="2090" t="n"/>
      <c r="CB106" s="2085" t="n"/>
    </row>
    <row r="107" ht="14.4" customFormat="1" customHeight="1" s="2082">
      <c r="A107" s="1593" t="inlineStr">
        <is>
          <t>CRO - Base Pay, 000s</t>
        </is>
      </c>
      <c r="B107" s="2086" t="n"/>
      <c r="C107" s="2087" t="n"/>
      <c r="D107" s="2087" t="n"/>
      <c r="E107" s="2087" t="n"/>
      <c r="F107" s="2087" t="n"/>
      <c r="G107" s="2072" t="n"/>
      <c r="H107" s="2072" t="n"/>
      <c r="I107" s="2072" t="n"/>
      <c r="J107" s="2072" t="n"/>
      <c r="K107" s="2087" t="n"/>
      <c r="L107" s="2072" t="n"/>
      <c r="M107" s="2072" t="n"/>
      <c r="N107" s="2072" t="n"/>
      <c r="O107" s="2072" t="n"/>
      <c r="P107" s="2087" t="n"/>
      <c r="Q107" s="2072" t="n"/>
      <c r="R107" s="2072" t="n"/>
      <c r="S107" s="2072" t="n"/>
      <c r="T107" s="2072" t="n"/>
      <c r="U107" s="2087" t="n"/>
      <c r="V107" s="2072" t="n"/>
      <c r="W107" s="2072" t="n"/>
      <c r="X107" s="2072" t="n"/>
      <c r="Y107" s="2072" t="n"/>
      <c r="Z107" s="2087" t="n"/>
      <c r="AA107" s="2072" t="n"/>
      <c r="AB107" s="2072" t="n"/>
      <c r="AC107" s="2072" t="n"/>
      <c r="AD107" s="2072" t="n"/>
      <c r="AE107" s="2087" t="n"/>
      <c r="AF107" s="2072" t="n"/>
      <c r="AG107" s="2072" t="n"/>
      <c r="AH107" s="2072" t="n"/>
      <c r="AI107" s="2072" t="n"/>
      <c r="AJ107" s="2087" t="n"/>
      <c r="AK107" s="2072" t="n"/>
      <c r="AL107" s="2072" t="n"/>
      <c r="AM107" s="2072" t="n"/>
      <c r="AN107" s="2072" t="n"/>
      <c r="AO107" s="2087" t="n"/>
      <c r="AP107" s="2072" t="n"/>
      <c r="AQ107" s="2072" t="n"/>
      <c r="AR107" s="2072" t="n"/>
      <c r="AS107" s="2072" t="n"/>
      <c r="AT107" s="2087" t="n"/>
      <c r="AU107" s="2072" t="n"/>
      <c r="AV107" s="2072" t="n"/>
      <c r="AW107" s="2072" t="n"/>
      <c r="AX107" s="2072" t="n"/>
      <c r="AY107" s="2088" t="n">
        <v>500</v>
      </c>
      <c r="AZ107" s="2072" t="n"/>
      <c r="BA107" s="2072" t="n"/>
      <c r="BB107" s="2072" t="n"/>
      <c r="BC107" s="2072" t="n"/>
      <c r="BD107" s="2088" t="n">
        <v>550</v>
      </c>
      <c r="BE107" s="2072" t="n"/>
      <c r="BF107" s="2072" t="n"/>
      <c r="BG107" s="2072" t="n"/>
      <c r="BH107" s="2072" t="n"/>
      <c r="BI107" s="2088" t="n">
        <v>575</v>
      </c>
      <c r="BJ107" s="2072" t="n"/>
      <c r="BK107" s="2072" t="n"/>
      <c r="BL107" s="2072" t="n"/>
      <c r="BM107" s="2072" t="n"/>
      <c r="BN107" s="2102" t="n"/>
      <c r="BO107" s="2072" t="n"/>
      <c r="BP107" s="2072" t="n"/>
      <c r="BQ107" s="2073" t="n"/>
      <c r="BR107" s="2089" t="n"/>
      <c r="BS107" s="2090" t="n"/>
      <c r="BT107" s="2089" t="n"/>
      <c r="BU107" s="2089" t="n"/>
      <c r="BV107" s="2089" t="n"/>
      <c r="BW107" s="2089" t="n"/>
      <c r="BX107" s="2090" t="n"/>
      <c r="BY107" s="2090" t="n"/>
      <c r="BZ107" s="2090" t="n"/>
      <c r="CA107" s="2090" t="n"/>
      <c r="CB107" s="2085" t="n"/>
    </row>
    <row r="108" ht="14.4" customFormat="1" customHeight="1" s="2082">
      <c r="A108" s="1593" t="inlineStr">
        <is>
          <t>CRO - Stock Awards, 000s</t>
        </is>
      </c>
      <c r="B108" s="2086" t="n"/>
      <c r="C108" s="2087" t="n"/>
      <c r="D108" s="2087" t="n"/>
      <c r="E108" s="2087" t="n"/>
      <c r="F108" s="2087" t="n"/>
      <c r="G108" s="2072" t="n"/>
      <c r="H108" s="2072" t="n"/>
      <c r="I108" s="2072" t="n"/>
      <c r="J108" s="2072" t="n"/>
      <c r="K108" s="2087" t="n"/>
      <c r="L108" s="2072" t="n"/>
      <c r="M108" s="2072" t="n"/>
      <c r="N108" s="2072" t="n"/>
      <c r="O108" s="2072" t="n"/>
      <c r="P108" s="2087" t="n"/>
      <c r="Q108" s="2072" t="n"/>
      <c r="R108" s="2072" t="n"/>
      <c r="S108" s="2072" t="n"/>
      <c r="T108" s="2072" t="n"/>
      <c r="U108" s="2087" t="n"/>
      <c r="V108" s="2072" t="n"/>
      <c r="W108" s="2072" t="n"/>
      <c r="X108" s="2072" t="n"/>
      <c r="Y108" s="2072" t="n"/>
      <c r="Z108" s="2087" t="n"/>
      <c r="AA108" s="2072" t="n"/>
      <c r="AB108" s="2072" t="n"/>
      <c r="AC108" s="2072" t="n"/>
      <c r="AD108" s="2072" t="n"/>
      <c r="AE108" s="2087" t="n"/>
      <c r="AF108" s="2072" t="n"/>
      <c r="AG108" s="2072" t="n"/>
      <c r="AH108" s="2072" t="n"/>
      <c r="AI108" s="2072" t="n"/>
      <c r="AJ108" s="2087" t="n"/>
      <c r="AK108" s="2072" t="n"/>
      <c r="AL108" s="2072" t="n"/>
      <c r="AM108" s="2072" t="n"/>
      <c r="AN108" s="2072" t="n"/>
      <c r="AO108" s="2087" t="n"/>
      <c r="AP108" s="2072" t="n"/>
      <c r="AQ108" s="2072" t="n"/>
      <c r="AR108" s="2072" t="n"/>
      <c r="AS108" s="2072" t="n"/>
      <c r="AT108" s="2087" t="n"/>
      <c r="AU108" s="2072" t="n"/>
      <c r="AV108" s="2072" t="n"/>
      <c r="AW108" s="2072" t="n"/>
      <c r="AX108" s="2072" t="n"/>
      <c r="AY108" s="2088" t="n">
        <v>1980.035</v>
      </c>
      <c r="AZ108" s="2072" t="n"/>
      <c r="BA108" s="2072" t="n"/>
      <c r="BB108" s="2072" t="n"/>
      <c r="BC108" s="2072" t="n"/>
      <c r="BD108" s="2088" t="n">
        <v>8370.707</v>
      </c>
      <c r="BE108" s="2072" t="n"/>
      <c r="BF108" s="2072" t="n"/>
      <c r="BG108" s="2072" t="n"/>
      <c r="BH108" s="2072" t="n"/>
      <c r="BI108" s="2088" t="n">
        <v>2711.278</v>
      </c>
      <c r="BJ108" s="2072" t="n"/>
      <c r="BK108" s="2072" t="n"/>
      <c r="BL108" s="2072" t="n"/>
      <c r="BM108" s="2072" t="n"/>
      <c r="BN108" s="2102" t="n"/>
      <c r="BO108" s="2072" t="n"/>
      <c r="BP108" s="2072" t="n"/>
      <c r="BQ108" s="2073" t="n"/>
      <c r="BR108" s="2089" t="n"/>
      <c r="BS108" s="2090" t="n"/>
      <c r="BT108" s="2089" t="n"/>
      <c r="BU108" s="2089" t="n"/>
      <c r="BV108" s="2089" t="n"/>
      <c r="BW108" s="2089" t="n"/>
      <c r="BX108" s="2090" t="n"/>
      <c r="BY108" s="2090" t="n"/>
      <c r="BZ108" s="2090" t="n"/>
      <c r="CA108" s="2090" t="n"/>
      <c r="CB108" s="2085" t="n"/>
    </row>
    <row r="109" ht="14.4" customFormat="1" customHeight="1" s="2082">
      <c r="A109" s="1593" t="inlineStr">
        <is>
          <t>CRO - Option Awards, 000s</t>
        </is>
      </c>
      <c r="B109" s="2086" t="n"/>
      <c r="C109" s="2087" t="n"/>
      <c r="D109" s="2087" t="n"/>
      <c r="E109" s="2087" t="n"/>
      <c r="F109" s="2087" t="n"/>
      <c r="G109" s="2072" t="n"/>
      <c r="H109" s="2072" t="n"/>
      <c r="I109" s="2072" t="n"/>
      <c r="J109" s="2072" t="n"/>
      <c r="K109" s="2087" t="n"/>
      <c r="L109" s="2072" t="n"/>
      <c r="M109" s="2072" t="n"/>
      <c r="N109" s="2072" t="n"/>
      <c r="O109" s="2072" t="n"/>
      <c r="P109" s="2087" t="n"/>
      <c r="Q109" s="2072" t="n"/>
      <c r="R109" s="2072" t="n"/>
      <c r="S109" s="2072" t="n"/>
      <c r="T109" s="2072" t="n"/>
      <c r="U109" s="2087" t="n"/>
      <c r="V109" s="2072" t="n"/>
      <c r="W109" s="2072" t="n"/>
      <c r="X109" s="2072" t="n"/>
      <c r="Y109" s="2072" t="n"/>
      <c r="Z109" s="2087" t="n"/>
      <c r="AA109" s="2072" t="n"/>
      <c r="AB109" s="2072" t="n"/>
      <c r="AC109" s="2072" t="n"/>
      <c r="AD109" s="2072" t="n"/>
      <c r="AE109" s="2087" t="n"/>
      <c r="AF109" s="2072" t="n"/>
      <c r="AG109" s="2072" t="n"/>
      <c r="AH109" s="2072" t="n"/>
      <c r="AI109" s="2072" t="n"/>
      <c r="AJ109" s="2087" t="n"/>
      <c r="AK109" s="2072" t="n"/>
      <c r="AL109" s="2072" t="n"/>
      <c r="AM109" s="2072" t="n"/>
      <c r="AN109" s="2072" t="n"/>
      <c r="AO109" s="2087" t="n"/>
      <c r="AP109" s="2072" t="n"/>
      <c r="AQ109" s="2072" t="n"/>
      <c r="AR109" s="2072" t="n"/>
      <c r="AS109" s="2072" t="n"/>
      <c r="AT109" s="2087" t="n"/>
      <c r="AU109" s="2072" t="n"/>
      <c r="AV109" s="2072" t="n"/>
      <c r="AW109" s="2072" t="n"/>
      <c r="AX109" s="2072" t="n"/>
      <c r="AY109" s="2088" t="n">
        <v>1019.901</v>
      </c>
      <c r="AZ109" s="2072" t="n"/>
      <c r="BA109" s="2072" t="n"/>
      <c r="BB109" s="2072" t="n"/>
      <c r="BC109" s="2072" t="n"/>
      <c r="BD109" s="2088" t="n">
        <v>1137.557</v>
      </c>
      <c r="BE109" s="2072" t="n"/>
      <c r="BF109" s="2072" t="n"/>
      <c r="BG109" s="2072" t="n"/>
      <c r="BH109" s="2072" t="n"/>
      <c r="BI109" s="2088" t="n">
        <v>1394.457</v>
      </c>
      <c r="BJ109" s="2072" t="n"/>
      <c r="BK109" s="2072" t="n"/>
      <c r="BL109" s="2072" t="n"/>
      <c r="BM109" s="2072" t="n"/>
      <c r="BN109" s="2102" t="n"/>
      <c r="BO109" s="2072" t="n"/>
      <c r="BP109" s="2072" t="n"/>
      <c r="BQ109" s="2073" t="n"/>
      <c r="BR109" s="2089" t="n"/>
      <c r="BS109" s="2090" t="n"/>
      <c r="BT109" s="2089" t="n"/>
      <c r="BU109" s="2089" t="n"/>
      <c r="BV109" s="2089" t="n"/>
      <c r="BW109" s="2089" t="n"/>
      <c r="BX109" s="2090" t="n"/>
      <c r="BY109" s="2090" t="n"/>
      <c r="BZ109" s="2090" t="n"/>
      <c r="CA109" s="2090" t="n"/>
      <c r="CB109" s="2085" t="n"/>
    </row>
    <row r="110" ht="14.4" customFormat="1" customHeight="1" s="2082">
      <c r="A110" s="1593" t="inlineStr">
        <is>
          <t>CRO - Non-equity incentive plans, 000s</t>
        </is>
      </c>
      <c r="B110" s="2086" t="n"/>
      <c r="C110" s="2087" t="n"/>
      <c r="D110" s="2087" t="n"/>
      <c r="E110" s="2087" t="n"/>
      <c r="F110" s="2087" t="n"/>
      <c r="G110" s="2072" t="n"/>
      <c r="H110" s="2072" t="n"/>
      <c r="I110" s="2072" t="n"/>
      <c r="J110" s="2072" t="n"/>
      <c r="K110" s="2087" t="n"/>
      <c r="L110" s="2072" t="n"/>
      <c r="M110" s="2072" t="n"/>
      <c r="N110" s="2072" t="n"/>
      <c r="O110" s="2072" t="n"/>
      <c r="P110" s="2087" t="n"/>
      <c r="Q110" s="2072" t="n"/>
      <c r="R110" s="2072" t="n"/>
      <c r="S110" s="2072" t="n"/>
      <c r="T110" s="2072" t="n"/>
      <c r="U110" s="2087" t="n"/>
      <c r="V110" s="2072" t="n"/>
      <c r="W110" s="2072" t="n"/>
      <c r="X110" s="2072" t="n"/>
      <c r="Y110" s="2072" t="n"/>
      <c r="Z110" s="2087" t="n"/>
      <c r="AA110" s="2072" t="n"/>
      <c r="AB110" s="2072" t="n"/>
      <c r="AC110" s="2072" t="n"/>
      <c r="AD110" s="2072" t="n"/>
      <c r="AE110" s="2087" t="n"/>
      <c r="AF110" s="2072" t="n"/>
      <c r="AG110" s="2072" t="n"/>
      <c r="AH110" s="2072" t="n"/>
      <c r="AI110" s="2072" t="n"/>
      <c r="AJ110" s="2087" t="n"/>
      <c r="AK110" s="2072" t="n"/>
      <c r="AL110" s="2072" t="n"/>
      <c r="AM110" s="2072" t="n"/>
      <c r="AN110" s="2072" t="n"/>
      <c r="AO110" s="2087" t="n"/>
      <c r="AP110" s="2072" t="n"/>
      <c r="AQ110" s="2072" t="n"/>
      <c r="AR110" s="2072" t="n"/>
      <c r="AS110" s="2072" t="n"/>
      <c r="AT110" s="2087" t="n"/>
      <c r="AU110" s="2072" t="n"/>
      <c r="AV110" s="2072" t="n"/>
      <c r="AW110" s="2072" t="n"/>
      <c r="AX110" s="2072" t="n"/>
      <c r="AY110" s="2088" t="n">
        <v>784.476</v>
      </c>
      <c r="AZ110" s="2072" t="n"/>
      <c r="BA110" s="2072" t="n"/>
      <c r="BB110" s="2072" t="n"/>
      <c r="BC110" s="2072" t="n"/>
      <c r="BD110" s="2088" t="n">
        <v>845.326</v>
      </c>
      <c r="BE110" s="2072" t="n"/>
      <c r="BF110" s="2072" t="n"/>
      <c r="BG110" s="2072" t="n"/>
      <c r="BH110" s="2072" t="n"/>
      <c r="BI110" s="2088" t="n">
        <v>712.722</v>
      </c>
      <c r="BJ110" s="2072" t="n"/>
      <c r="BK110" s="2072" t="n"/>
      <c r="BL110" s="2072" t="n"/>
      <c r="BM110" s="2072" t="n"/>
      <c r="BN110" s="2102" t="n"/>
      <c r="BO110" s="2072" t="n"/>
      <c r="BP110" s="2072" t="n"/>
      <c r="BQ110" s="2073" t="n"/>
      <c r="BR110" s="2089" t="n"/>
      <c r="BS110" s="2090" t="n"/>
      <c r="BT110" s="2089" t="n"/>
      <c r="BU110" s="2089" t="n"/>
      <c r="BV110" s="2089" t="n"/>
      <c r="BW110" s="2089" t="n"/>
      <c r="BX110" s="2090" t="n"/>
      <c r="BY110" s="2090" t="n"/>
      <c r="BZ110" s="2090" t="n"/>
      <c r="CA110" s="2090" t="n"/>
      <c r="CB110" s="2085" t="n"/>
    </row>
    <row r="111" ht="14.4" customFormat="1" customHeight="1" s="2082">
      <c r="A111" s="1607" t="inlineStr">
        <is>
          <t>CRO - All other compensation, 000s</t>
        </is>
      </c>
      <c r="B111" s="2091" t="n"/>
      <c r="C111" s="2092" t="n"/>
      <c r="D111" s="2092" t="n"/>
      <c r="E111" s="2092" t="n"/>
      <c r="F111" s="2092" t="n"/>
      <c r="G111" s="2093" t="n"/>
      <c r="H111" s="2093" t="n"/>
      <c r="I111" s="2093" t="n"/>
      <c r="J111" s="2093" t="n"/>
      <c r="K111" s="2092" t="n"/>
      <c r="L111" s="2093" t="n"/>
      <c r="M111" s="2093" t="n"/>
      <c r="N111" s="2093" t="n"/>
      <c r="O111" s="2093" t="n"/>
      <c r="P111" s="2092" t="n"/>
      <c r="Q111" s="2093" t="n"/>
      <c r="R111" s="2093" t="n"/>
      <c r="S111" s="2093" t="n"/>
      <c r="T111" s="2093" t="n"/>
      <c r="U111" s="2092" t="n"/>
      <c r="V111" s="2093" t="n"/>
      <c r="W111" s="2093" t="n"/>
      <c r="X111" s="2093" t="n"/>
      <c r="Y111" s="2093" t="n"/>
      <c r="Z111" s="2092" t="n"/>
      <c r="AA111" s="2093" t="n"/>
      <c r="AB111" s="2093" t="n"/>
      <c r="AC111" s="2093" t="n"/>
      <c r="AD111" s="2093" t="n"/>
      <c r="AE111" s="2092" t="n"/>
      <c r="AF111" s="2093" t="n"/>
      <c r="AG111" s="2093" t="n"/>
      <c r="AH111" s="2093" t="n"/>
      <c r="AI111" s="2093" t="n"/>
      <c r="AJ111" s="2092" t="n"/>
      <c r="AK111" s="2093" t="n"/>
      <c r="AL111" s="2093" t="n"/>
      <c r="AM111" s="2093" t="n"/>
      <c r="AN111" s="2093" t="n"/>
      <c r="AO111" s="2092" t="n"/>
      <c r="AP111" s="2093" t="n"/>
      <c r="AQ111" s="2093" t="n"/>
      <c r="AR111" s="2093" t="n"/>
      <c r="AS111" s="2093" t="n"/>
      <c r="AT111" s="2092" t="n"/>
      <c r="AU111" s="2093" t="n"/>
      <c r="AV111" s="2093" t="n"/>
      <c r="AW111" s="2093" t="n"/>
      <c r="AX111" s="2093" t="n"/>
      <c r="AY111" s="2094" t="n">
        <v>10.572</v>
      </c>
      <c r="AZ111" s="2093" t="n"/>
      <c r="BA111" s="2093" t="n"/>
      <c r="BB111" s="2093" t="n"/>
      <c r="BC111" s="2093" t="n"/>
      <c r="BD111" s="2094" t="n">
        <v>11.022</v>
      </c>
      <c r="BE111" s="2093" t="n"/>
      <c r="BF111" s="2093" t="n"/>
      <c r="BG111" s="2093" t="n"/>
      <c r="BH111" s="2093" t="n"/>
      <c r="BI111" s="2094" t="n">
        <v>11.772</v>
      </c>
      <c r="BJ111" s="2093" t="n"/>
      <c r="BK111" s="2093" t="n"/>
      <c r="BL111" s="2093" t="n"/>
      <c r="BM111" s="2093" t="n"/>
      <c r="BN111" s="2104" t="n"/>
      <c r="BO111" s="2093" t="n"/>
      <c r="BP111" s="2093" t="n"/>
      <c r="BQ111" s="2095" t="n"/>
      <c r="BR111" s="2096" t="n"/>
      <c r="BS111" s="2097" t="n"/>
      <c r="BT111" s="2096" t="n"/>
      <c r="BU111" s="2096" t="n"/>
      <c r="BV111" s="2096" t="n"/>
      <c r="BW111" s="2096" t="n"/>
      <c r="BX111" s="2097" t="n"/>
      <c r="BY111" s="2097" t="n"/>
      <c r="BZ111" s="2097" t="n"/>
      <c r="CA111" s="2097" t="n"/>
      <c r="CB111" s="2085" t="n"/>
    </row>
    <row r="112" ht="14.4" customFormat="1" customHeight="1" s="2082">
      <c r="A112" s="1596" t="inlineStr">
        <is>
          <t>CRO (Chief Revenue Officer) - Total Comp , 000s</t>
        </is>
      </c>
      <c r="B112" s="2098" t="n"/>
      <c r="C112" s="2090" t="n"/>
      <c r="D112" s="2090" t="n"/>
      <c r="E112" s="2090" t="n"/>
      <c r="F112" s="2090" t="n"/>
      <c r="G112" s="2089" t="n"/>
      <c r="H112" s="2089" t="n"/>
      <c r="I112" s="2089" t="n"/>
      <c r="J112" s="2089" t="n"/>
      <c r="K112" s="2090" t="n"/>
      <c r="L112" s="2089" t="n"/>
      <c r="M112" s="2089" t="n"/>
      <c r="N112" s="2089" t="n"/>
      <c r="O112" s="2089" t="n"/>
      <c r="P112" s="2090" t="n"/>
      <c r="Q112" s="2089" t="n"/>
      <c r="R112" s="2089" t="n"/>
      <c r="S112" s="2089" t="n"/>
      <c r="T112" s="2089" t="n"/>
      <c r="U112" s="2090" t="n"/>
      <c r="V112" s="2089" t="n"/>
      <c r="W112" s="2089" t="n"/>
      <c r="X112" s="2089" t="n"/>
      <c r="Y112" s="2089" t="n"/>
      <c r="Z112" s="2090" t="n"/>
      <c r="AA112" s="2089" t="n"/>
      <c r="AB112" s="2089" t="n"/>
      <c r="AC112" s="2089" t="n"/>
      <c r="AD112" s="2089" t="n"/>
      <c r="AE112" s="2090" t="n"/>
      <c r="AF112" s="2089" t="n"/>
      <c r="AG112" s="2089" t="n"/>
      <c r="AH112" s="2089" t="n"/>
      <c r="AI112" s="2089" t="n"/>
      <c r="AJ112" s="2090" t="n"/>
      <c r="AK112" s="2089" t="n"/>
      <c r="AL112" s="2089" t="n"/>
      <c r="AM112" s="2089" t="n"/>
      <c r="AN112" s="2089" t="n"/>
      <c r="AO112" s="2090" t="n"/>
      <c r="AP112" s="2089" t="n"/>
      <c r="AQ112" s="2089" t="n"/>
      <c r="AR112" s="2089" t="n"/>
      <c r="AS112" s="2089" t="n"/>
      <c r="AT112" s="2090" t="n"/>
      <c r="AU112" s="2089" t="n"/>
      <c r="AV112" s="2089" t="n"/>
      <c r="AW112" s="2089" t="n"/>
      <c r="AX112" s="2089" t="n"/>
      <c r="AY112" s="2099">
        <f>SUM(AY107:AY111)</f>
        <v/>
      </c>
      <c r="AZ112" s="2089" t="n"/>
      <c r="BA112" s="2089" t="n"/>
      <c r="BB112" s="2089" t="n"/>
      <c r="BC112" s="2089" t="n"/>
      <c r="BD112" s="2099">
        <f>SUM(BD107:BD111)</f>
        <v/>
      </c>
      <c r="BE112" s="2089" t="n"/>
      <c r="BF112" s="2089" t="n"/>
      <c r="BG112" s="2089" t="n"/>
      <c r="BH112" s="2089" t="n"/>
      <c r="BI112" s="2099">
        <f>SUM(BI107:BI111)</f>
        <v/>
      </c>
      <c r="BJ112" s="2089" t="n"/>
      <c r="BK112" s="2089" t="n"/>
      <c r="BL112" s="2089" t="n"/>
      <c r="BM112" s="2089" t="n"/>
      <c r="BN112" s="2099" t="n"/>
      <c r="BO112" s="2089" t="n"/>
      <c r="BP112" s="2089" t="n"/>
      <c r="BQ112" s="2100" t="n"/>
      <c r="BR112" s="2089" t="n"/>
      <c r="BS112" s="2090" t="n"/>
      <c r="BT112" s="2089" t="n"/>
      <c r="BU112" s="2089" t="n"/>
      <c r="BV112" s="2089" t="n"/>
      <c r="BW112" s="2089" t="n"/>
      <c r="BX112" s="2090" t="n"/>
      <c r="BY112" s="2090" t="n"/>
      <c r="BZ112" s="2090" t="n"/>
      <c r="CA112" s="2090" t="n"/>
      <c r="CB112" s="2085" t="n"/>
    </row>
    <row r="113" ht="14.4" customFormat="1" customHeight="1" s="2105">
      <c r="A113" s="2106" t="inlineStr">
        <is>
          <t>CRO - comp tied to equity, %</t>
        </is>
      </c>
      <c r="B113" s="2107" t="n"/>
      <c r="C113" s="2108" t="n"/>
      <c r="D113" s="2108" t="n"/>
      <c r="E113" s="2108" t="n"/>
      <c r="F113" s="2108" t="n"/>
      <c r="G113" s="2109" t="n"/>
      <c r="H113" s="2109" t="n"/>
      <c r="I113" s="2109" t="n"/>
      <c r="J113" s="2109" t="n"/>
      <c r="K113" s="2108" t="n"/>
      <c r="L113" s="2109" t="n"/>
      <c r="M113" s="2109" t="n"/>
      <c r="N113" s="2109" t="n"/>
      <c r="O113" s="2109" t="n"/>
      <c r="P113" s="2108" t="n"/>
      <c r="Q113" s="2109" t="n"/>
      <c r="R113" s="2109" t="n"/>
      <c r="S113" s="2109" t="n"/>
      <c r="T113" s="2109" t="n"/>
      <c r="U113" s="2108" t="n"/>
      <c r="V113" s="2109" t="n"/>
      <c r="W113" s="2109" t="n"/>
      <c r="X113" s="2109" t="n"/>
      <c r="Y113" s="2109" t="n"/>
      <c r="Z113" s="2108" t="n"/>
      <c r="AA113" s="2109" t="n"/>
      <c r="AB113" s="2109" t="n"/>
      <c r="AC113" s="2109" t="n"/>
      <c r="AD113" s="2109" t="n"/>
      <c r="AE113" s="2108" t="n"/>
      <c r="AF113" s="2109" t="n"/>
      <c r="AG113" s="2109" t="n"/>
      <c r="AH113" s="2109" t="n"/>
      <c r="AI113" s="2109" t="n"/>
      <c r="AJ113" s="2108" t="n"/>
      <c r="AK113" s="2109" t="n"/>
      <c r="AL113" s="2109" t="n"/>
      <c r="AM113" s="2109" t="n"/>
      <c r="AN113" s="2109" t="n"/>
      <c r="AO113" s="2108" t="n"/>
      <c r="AP113" s="2109" t="n"/>
      <c r="AQ113" s="2109" t="n"/>
      <c r="AR113" s="2109" t="n"/>
      <c r="AS113" s="2109" t="n"/>
      <c r="AT113" s="2108" t="n"/>
      <c r="AU113" s="2109" t="n"/>
      <c r="AV113" s="2109" t="n"/>
      <c r="AW113" s="2109" t="n"/>
      <c r="AX113" s="2109" t="n"/>
      <c r="AY113" s="2108">
        <f>SUM(AY108,AY109)/AY112</f>
        <v/>
      </c>
      <c r="AZ113" s="2109" t="n"/>
      <c r="BA113" s="2109" t="n"/>
      <c r="BB113" s="2109" t="n"/>
      <c r="BC113" s="2109" t="n"/>
      <c r="BD113" s="2136">
        <f>SUM(BD108,BD109)/BD112</f>
        <v/>
      </c>
      <c r="BE113" s="2109" t="n"/>
      <c r="BF113" s="2109" t="n"/>
      <c r="BG113" s="2109" t="n"/>
      <c r="BH113" s="2109" t="n"/>
      <c r="BI113" s="2136">
        <f>SUM(BI108,BI109)/BI112</f>
        <v/>
      </c>
      <c r="BJ113" s="2109" t="n"/>
      <c r="BK113" s="2109" t="n"/>
      <c r="BL113" s="2109" t="n"/>
      <c r="BM113" s="2109" t="n"/>
      <c r="BN113" s="2136" t="n"/>
      <c r="BO113" s="2109" t="n"/>
      <c r="BP113" s="2109" t="n"/>
      <c r="BQ113" s="2110" t="n"/>
      <c r="BR113" s="2111" t="n"/>
      <c r="BS113" s="2112" t="n"/>
      <c r="BT113" s="2111" t="n"/>
      <c r="BU113" s="2111" t="n"/>
      <c r="BV113" s="2111" t="n"/>
      <c r="BW113" s="2111" t="n"/>
      <c r="BX113" s="2112" t="n"/>
      <c r="BY113" s="2112" t="n"/>
      <c r="BZ113" s="2112" t="n"/>
      <c r="CA113" s="2112" t="n"/>
      <c r="CB113" s="2113" t="n"/>
    </row>
    <row r="114" ht="14.4" customFormat="1" customHeight="1" s="2082">
      <c r="A114" s="1596" t="n"/>
      <c r="B114" s="2098" t="n"/>
      <c r="C114" s="2090" t="n"/>
      <c r="D114" s="2090" t="n"/>
      <c r="E114" s="2090" t="n"/>
      <c r="F114" s="2090" t="n"/>
      <c r="G114" s="2089" t="n"/>
      <c r="H114" s="2089" t="n"/>
      <c r="I114" s="2089" t="n"/>
      <c r="J114" s="2089" t="n"/>
      <c r="K114" s="2090" t="n"/>
      <c r="L114" s="2089" t="n"/>
      <c r="M114" s="2089" t="n"/>
      <c r="N114" s="2089" t="n"/>
      <c r="O114" s="2089" t="n"/>
      <c r="P114" s="2090" t="n"/>
      <c r="Q114" s="2089" t="n"/>
      <c r="R114" s="2089" t="n"/>
      <c r="S114" s="2089" t="n"/>
      <c r="T114" s="2089" t="n"/>
      <c r="U114" s="2090" t="n"/>
      <c r="V114" s="2089" t="n"/>
      <c r="W114" s="2089" t="n"/>
      <c r="X114" s="2089" t="n"/>
      <c r="Y114" s="2089" t="n"/>
      <c r="Z114" s="2090" t="n"/>
      <c r="AA114" s="2089" t="n"/>
      <c r="AB114" s="2089" t="n"/>
      <c r="AC114" s="2089" t="n"/>
      <c r="AD114" s="2089" t="n"/>
      <c r="AE114" s="2090" t="n"/>
      <c r="AF114" s="2089" t="n"/>
      <c r="AG114" s="2089" t="n"/>
      <c r="AH114" s="2089" t="n"/>
      <c r="AI114" s="2089" t="n"/>
      <c r="AJ114" s="2090" t="n"/>
      <c r="AK114" s="2089" t="n"/>
      <c r="AL114" s="2089" t="n"/>
      <c r="AM114" s="2089" t="n"/>
      <c r="AN114" s="2089" t="n"/>
      <c r="AO114" s="2090" t="n"/>
      <c r="AP114" s="2089" t="n"/>
      <c r="AQ114" s="2089" t="n"/>
      <c r="AR114" s="2089" t="n"/>
      <c r="AS114" s="2089" t="n"/>
      <c r="AT114" s="2090" t="n"/>
      <c r="AU114" s="2089" t="n"/>
      <c r="AV114" s="2089" t="n"/>
      <c r="AW114" s="2089" t="n"/>
      <c r="AX114" s="2089" t="n"/>
      <c r="AY114" s="2090" t="n"/>
      <c r="AZ114" s="2089" t="n"/>
      <c r="BA114" s="2089" t="n"/>
      <c r="BB114" s="2089" t="n"/>
      <c r="BC114" s="2089" t="n"/>
      <c r="BD114" s="2090" t="n"/>
      <c r="BE114" s="2089" t="n"/>
      <c r="BF114" s="2089" t="n"/>
      <c r="BG114" s="2089" t="n"/>
      <c r="BH114" s="2089" t="n"/>
      <c r="BI114" s="2090" t="n"/>
      <c r="BJ114" s="2089" t="n"/>
      <c r="BK114" s="2089" t="n"/>
      <c r="BL114" s="2089" t="n"/>
      <c r="BM114" s="2089" t="n"/>
      <c r="BN114" s="2090" t="n"/>
      <c r="BO114" s="2089" t="n"/>
      <c r="BP114" s="2089" t="n"/>
      <c r="BQ114" s="2100" t="n"/>
      <c r="BR114" s="2089" t="n"/>
      <c r="BS114" s="2090" t="n"/>
      <c r="BT114" s="2089" t="n"/>
      <c r="BU114" s="2089" t="n"/>
      <c r="BV114" s="2089" t="n"/>
      <c r="BW114" s="2089" t="n"/>
      <c r="BX114" s="2090" t="n"/>
      <c r="BY114" s="2090" t="n"/>
      <c r="BZ114" s="2090" t="n"/>
      <c r="CA114" s="2090" t="n"/>
      <c r="CB114" s="2085" t="n"/>
    </row>
    <row r="115" ht="14.4" customFormat="1" customHeight="1" s="2082">
      <c r="A115" s="1611" t="inlineStr">
        <is>
          <t>CRO - Options 02/06/25 # of unexercised exercisable options, 000s</t>
        </is>
      </c>
      <c r="B115" s="2098" t="n"/>
      <c r="C115" s="2090" t="n"/>
      <c r="D115" s="2090" t="n"/>
      <c r="E115" s="2090" t="n"/>
      <c r="F115" s="2090" t="n"/>
      <c r="G115" s="2089" t="n"/>
      <c r="H115" s="2089" t="n"/>
      <c r="I115" s="2089" t="n"/>
      <c r="J115" s="2089" t="n"/>
      <c r="K115" s="2090" t="n"/>
      <c r="L115" s="2089" t="n"/>
      <c r="M115" s="2089" t="n"/>
      <c r="N115" s="2089" t="n"/>
      <c r="O115" s="2089" t="n"/>
      <c r="P115" s="2090" t="n"/>
      <c r="Q115" s="2089" t="n"/>
      <c r="R115" s="2089" t="n"/>
      <c r="S115" s="2089" t="n"/>
      <c r="T115" s="2089" t="n"/>
      <c r="U115" s="2090" t="n"/>
      <c r="V115" s="2089" t="n"/>
      <c r="W115" s="2089" t="n"/>
      <c r="X115" s="2089" t="n"/>
      <c r="Y115" s="2089" t="n"/>
      <c r="Z115" s="2090" t="n"/>
      <c r="AA115" s="2089" t="n"/>
      <c r="AB115" s="2089" t="n"/>
      <c r="AC115" s="2089" t="n"/>
      <c r="AD115" s="2089" t="n"/>
      <c r="AE115" s="2090" t="n"/>
      <c r="AF115" s="2089" t="n"/>
      <c r="AG115" s="2089" t="n"/>
      <c r="AH115" s="2089" t="n"/>
      <c r="AI115" s="2089" t="n"/>
      <c r="AJ115" s="2090" t="n"/>
      <c r="AK115" s="2089" t="n"/>
      <c r="AL115" s="2089" t="n"/>
      <c r="AM115" s="2089" t="n"/>
      <c r="AN115" s="2089" t="n"/>
      <c r="AO115" s="2090" t="n"/>
      <c r="AP115" s="2089" t="n"/>
      <c r="AQ115" s="2089" t="n"/>
      <c r="AR115" s="2089" t="n"/>
      <c r="AS115" s="2089" t="n"/>
      <c r="AT115" s="2090" t="n"/>
      <c r="AU115" s="2089" t="n"/>
      <c r="AV115" s="2089" t="n"/>
      <c r="AW115" s="2089" t="n"/>
      <c r="AX115" s="2089" t="n"/>
      <c r="AY115" s="2088" t="n">
        <v>4.717</v>
      </c>
      <c r="AZ115" s="2089" t="n"/>
      <c r="BA115" s="2089" t="n"/>
      <c r="BB115" s="2089" t="n"/>
      <c r="BC115" s="2089" t="n"/>
      <c r="BD115" s="2090" t="n"/>
      <c r="BE115" s="2089" t="n"/>
      <c r="BF115" s="2089" t="n"/>
      <c r="BG115" s="2089" t="n"/>
      <c r="BH115" s="2089" t="n"/>
      <c r="BI115" s="2090" t="n"/>
      <c r="BJ115" s="2089" t="n"/>
      <c r="BK115" s="2089" t="n"/>
      <c r="BL115" s="2089" t="n"/>
      <c r="BM115" s="2089" t="n"/>
      <c r="BN115" s="2090" t="n"/>
      <c r="BO115" s="2089" t="n"/>
      <c r="BP115" s="2089" t="n"/>
      <c r="BQ115" s="2100" t="n"/>
      <c r="BR115" s="2089" t="n"/>
      <c r="BS115" s="2090" t="n"/>
      <c r="BT115" s="2089" t="n"/>
      <c r="BU115" s="2089" t="n"/>
      <c r="BV115" s="2089" t="n"/>
      <c r="BW115" s="2089" t="n"/>
      <c r="BX115" s="2090" t="n"/>
      <c r="BY115" s="2090" t="n"/>
      <c r="BZ115" s="2090" t="n"/>
      <c r="CA115" s="2090" t="n"/>
      <c r="CB115" s="2085" t="n"/>
    </row>
    <row r="116" ht="14.4" customFormat="1" customHeight="1" s="2082">
      <c r="A116" s="1611" t="inlineStr">
        <is>
          <t>CRO - Options 02/06/25 # of unexercised unexercisable options, 000s</t>
        </is>
      </c>
      <c r="B116" s="2098" t="n"/>
      <c r="C116" s="2090" t="n"/>
      <c r="D116" s="2090" t="n"/>
      <c r="E116" s="2090" t="n"/>
      <c r="F116" s="2090" t="n"/>
      <c r="G116" s="2089" t="n"/>
      <c r="H116" s="2089" t="n"/>
      <c r="I116" s="2089" t="n"/>
      <c r="J116" s="2089" t="n"/>
      <c r="K116" s="2090" t="n"/>
      <c r="L116" s="2089" t="n"/>
      <c r="M116" s="2089" t="n"/>
      <c r="N116" s="2089" t="n"/>
      <c r="O116" s="2089" t="n"/>
      <c r="P116" s="2090" t="n"/>
      <c r="Q116" s="2089" t="n"/>
      <c r="R116" s="2089" t="n"/>
      <c r="S116" s="2089" t="n"/>
      <c r="T116" s="2089" t="n"/>
      <c r="U116" s="2090" t="n"/>
      <c r="V116" s="2089" t="n"/>
      <c r="W116" s="2089" t="n"/>
      <c r="X116" s="2089" t="n"/>
      <c r="Y116" s="2089" t="n"/>
      <c r="Z116" s="2090" t="n"/>
      <c r="AA116" s="2089" t="n"/>
      <c r="AB116" s="2089" t="n"/>
      <c r="AC116" s="2089" t="n"/>
      <c r="AD116" s="2089" t="n"/>
      <c r="AE116" s="2090" t="n"/>
      <c r="AF116" s="2089" t="n"/>
      <c r="AG116" s="2089" t="n"/>
      <c r="AH116" s="2089" t="n"/>
      <c r="AI116" s="2089" t="n"/>
      <c r="AJ116" s="2090" t="n"/>
      <c r="AK116" s="2089" t="n"/>
      <c r="AL116" s="2089" t="n"/>
      <c r="AM116" s="2089" t="n"/>
      <c r="AN116" s="2089" t="n"/>
      <c r="AO116" s="2090" t="n"/>
      <c r="AP116" s="2089" t="n"/>
      <c r="AQ116" s="2089" t="n"/>
      <c r="AR116" s="2089" t="n"/>
      <c r="AS116" s="2089" t="n"/>
      <c r="AT116" s="2090" t="n"/>
      <c r="AU116" s="2089" t="n"/>
      <c r="AV116" s="2089" t="n"/>
      <c r="AW116" s="2089" t="n"/>
      <c r="AX116" s="2089" t="n"/>
      <c r="AY116" s="2088" t="n">
        <v>2.359</v>
      </c>
      <c r="AZ116" s="2089" t="n"/>
      <c r="BA116" s="2089" t="n"/>
      <c r="BB116" s="2089" t="n"/>
      <c r="BC116" s="2089" t="n"/>
      <c r="BD116" s="2090" t="n"/>
      <c r="BE116" s="2089" t="n"/>
      <c r="BF116" s="2089" t="n"/>
      <c r="BG116" s="2089" t="n"/>
      <c r="BH116" s="2089" t="n"/>
      <c r="BI116" s="2090" t="n"/>
      <c r="BJ116" s="2089" t="n"/>
      <c r="BK116" s="2089" t="n"/>
      <c r="BL116" s="2089" t="n"/>
      <c r="BM116" s="2089" t="n"/>
      <c r="BN116" s="2090" t="n"/>
      <c r="BO116" s="2089" t="n"/>
      <c r="BP116" s="2089" t="n"/>
      <c r="BQ116" s="2100" t="n"/>
      <c r="BR116" s="2089" t="n"/>
      <c r="BS116" s="2090" t="n"/>
      <c r="BT116" s="2089" t="n"/>
      <c r="BU116" s="2089" t="n"/>
      <c r="BV116" s="2089" t="n"/>
      <c r="BW116" s="2089" t="n"/>
      <c r="BX116" s="2090" t="n"/>
      <c r="BY116" s="2090" t="n"/>
      <c r="BZ116" s="2090" t="n"/>
      <c r="CA116" s="2090" t="n"/>
      <c r="CB116" s="2085" t="n"/>
    </row>
    <row r="117" ht="14.4" customFormat="1" customHeight="1" s="2118">
      <c r="A117" s="2119" t="inlineStr">
        <is>
          <t>CRO - Options 02/06/25 exercise price, $</t>
        </is>
      </c>
      <c r="B117" s="2129" t="n"/>
      <c r="C117" s="2126" t="n"/>
      <c r="D117" s="2126" t="n"/>
      <c r="E117" s="2126" t="n"/>
      <c r="F117" s="2126" t="n"/>
      <c r="G117" s="2125" t="n"/>
      <c r="H117" s="2125" t="n"/>
      <c r="I117" s="2125" t="n"/>
      <c r="J117" s="2125" t="n"/>
      <c r="K117" s="2126" t="n"/>
      <c r="L117" s="2125" t="n"/>
      <c r="M117" s="2125" t="n"/>
      <c r="N117" s="2125" t="n"/>
      <c r="O117" s="2125" t="n"/>
      <c r="P117" s="2126" t="n"/>
      <c r="Q117" s="2125" t="n"/>
      <c r="R117" s="2125" t="n"/>
      <c r="S117" s="2125" t="n"/>
      <c r="T117" s="2125" t="n"/>
      <c r="U117" s="2126" t="n"/>
      <c r="V117" s="2125" t="n"/>
      <c r="W117" s="2125" t="n"/>
      <c r="X117" s="2125" t="n"/>
      <c r="Y117" s="2125" t="n"/>
      <c r="Z117" s="2126" t="n"/>
      <c r="AA117" s="2125" t="n"/>
      <c r="AB117" s="2125" t="n"/>
      <c r="AC117" s="2125" t="n"/>
      <c r="AD117" s="2125" t="n"/>
      <c r="AE117" s="2126" t="n"/>
      <c r="AF117" s="2125" t="n"/>
      <c r="AG117" s="2125" t="n"/>
      <c r="AH117" s="2125" t="n"/>
      <c r="AI117" s="2125" t="n"/>
      <c r="AJ117" s="2126" t="n"/>
      <c r="AK117" s="2125" t="n"/>
      <c r="AL117" s="2125" t="n"/>
      <c r="AM117" s="2125" t="n"/>
      <c r="AN117" s="2125" t="n"/>
      <c r="AO117" s="2126" t="n"/>
      <c r="AP117" s="2125" t="n"/>
      <c r="AQ117" s="2125" t="n"/>
      <c r="AR117" s="2125" t="n"/>
      <c r="AS117" s="2125" t="n"/>
      <c r="AT117" s="2126" t="n"/>
      <c r="AU117" s="2125" t="n"/>
      <c r="AV117" s="2125" t="n"/>
      <c r="AW117" s="2125" t="n"/>
      <c r="AX117" s="2125" t="n"/>
      <c r="AY117" s="2128" t="n">
        <v>39.58</v>
      </c>
      <c r="AZ117" s="2125" t="n"/>
      <c r="BA117" s="2125" t="n"/>
      <c r="BB117" s="2125" t="n"/>
      <c r="BC117" s="2125" t="n"/>
      <c r="BD117" s="2126" t="n"/>
      <c r="BE117" s="2125" t="n"/>
      <c r="BF117" s="2125" t="n"/>
      <c r="BG117" s="2125" t="n"/>
      <c r="BH117" s="2125" t="n"/>
      <c r="BI117" s="2126" t="n"/>
      <c r="BJ117" s="2125" t="n"/>
      <c r="BK117" s="2125" t="n"/>
      <c r="BL117" s="2125" t="n"/>
      <c r="BM117" s="2125" t="n"/>
      <c r="BN117" s="2126" t="n"/>
      <c r="BO117" s="2125" t="n"/>
      <c r="BP117" s="2125" t="n"/>
      <c r="BQ117" s="2130" t="n"/>
      <c r="BR117" s="2125" t="n"/>
      <c r="BS117" s="2126" t="n"/>
      <c r="BT117" s="2125" t="n"/>
      <c r="BU117" s="2125" t="n"/>
      <c r="BV117" s="2125" t="n"/>
      <c r="BW117" s="2125" t="n"/>
      <c r="BX117" s="2126" t="n"/>
      <c r="BY117" s="2126" t="n"/>
      <c r="BZ117" s="2126" t="n"/>
      <c r="CA117" s="2126" t="n"/>
      <c r="CB117" s="2127" t="n"/>
    </row>
    <row r="118" ht="14.4" customFormat="1" customHeight="1" s="2082">
      <c r="A118" s="1596" t="n"/>
      <c r="B118" s="2098" t="n"/>
      <c r="C118" s="2090" t="n"/>
      <c r="D118" s="2090" t="n"/>
      <c r="E118" s="2090" t="n"/>
      <c r="F118" s="2090" t="n"/>
      <c r="G118" s="2089" t="n"/>
      <c r="H118" s="2089" t="n"/>
      <c r="I118" s="2089" t="n"/>
      <c r="J118" s="2089" t="n"/>
      <c r="K118" s="2090" t="n"/>
      <c r="L118" s="2089" t="n"/>
      <c r="M118" s="2089" t="n"/>
      <c r="N118" s="2089" t="n"/>
      <c r="O118" s="2089" t="n"/>
      <c r="P118" s="2090" t="n"/>
      <c r="Q118" s="2089" t="n"/>
      <c r="R118" s="2089" t="n"/>
      <c r="S118" s="2089" t="n"/>
      <c r="T118" s="2089" t="n"/>
      <c r="U118" s="2090" t="n"/>
      <c r="V118" s="2089" t="n"/>
      <c r="W118" s="2089" t="n"/>
      <c r="X118" s="2089" t="n"/>
      <c r="Y118" s="2089" t="n"/>
      <c r="Z118" s="2090" t="n"/>
      <c r="AA118" s="2089" t="n"/>
      <c r="AB118" s="2089" t="n"/>
      <c r="AC118" s="2089" t="n"/>
      <c r="AD118" s="2089" t="n"/>
      <c r="AE118" s="2090" t="n"/>
      <c r="AF118" s="2089" t="n"/>
      <c r="AG118" s="2089" t="n"/>
      <c r="AH118" s="2089" t="n"/>
      <c r="AI118" s="2089" t="n"/>
      <c r="AJ118" s="2090" t="n"/>
      <c r="AK118" s="2089" t="n"/>
      <c r="AL118" s="2089" t="n"/>
      <c r="AM118" s="2089" t="n"/>
      <c r="AN118" s="2089" t="n"/>
      <c r="AO118" s="2090" t="n"/>
      <c r="AP118" s="2089" t="n"/>
      <c r="AQ118" s="2089" t="n"/>
      <c r="AR118" s="2089" t="n"/>
      <c r="AS118" s="2089" t="n"/>
      <c r="AT118" s="2090" t="n"/>
      <c r="AU118" s="2089" t="n"/>
      <c r="AV118" s="2089" t="n"/>
      <c r="AW118" s="2089" t="n"/>
      <c r="AX118" s="2089" t="n"/>
      <c r="AY118" s="2090" t="n"/>
      <c r="AZ118" s="2089" t="n"/>
      <c r="BA118" s="2089" t="n"/>
      <c r="BB118" s="2089" t="n"/>
      <c r="BC118" s="2089" t="n"/>
      <c r="BD118" s="2090" t="n"/>
      <c r="BE118" s="2089" t="n"/>
      <c r="BF118" s="2089" t="n"/>
      <c r="BG118" s="2089" t="n"/>
      <c r="BH118" s="2089" t="n"/>
      <c r="BI118" s="2090" t="n"/>
      <c r="BJ118" s="2089" t="n"/>
      <c r="BK118" s="2089" t="n"/>
      <c r="BL118" s="2089" t="n"/>
      <c r="BM118" s="2089" t="n"/>
      <c r="BN118" s="2090" t="n"/>
      <c r="BO118" s="2089" t="n"/>
      <c r="BP118" s="2089" t="n"/>
      <c r="BQ118" s="2100" t="n"/>
      <c r="BR118" s="2089" t="n"/>
      <c r="BS118" s="2090" t="n"/>
      <c r="BT118" s="2089" t="n"/>
      <c r="BU118" s="2089" t="n"/>
      <c r="BV118" s="2089" t="n"/>
      <c r="BW118" s="2089" t="n"/>
      <c r="BX118" s="2090" t="n"/>
      <c r="BY118" s="2090" t="n"/>
      <c r="BZ118" s="2090" t="n"/>
      <c r="CA118" s="2090" t="n"/>
      <c r="CB118" s="2085" t="n"/>
    </row>
    <row r="119" ht="14.4" customFormat="1" customHeight="1" s="2082">
      <c r="A119" s="1611" t="inlineStr">
        <is>
          <t>CRO - Options 02/22/26 # of unexercised exercisable options, 000s</t>
        </is>
      </c>
      <c r="B119" s="2098" t="n"/>
      <c r="C119" s="2090" t="n"/>
      <c r="D119" s="2090" t="n"/>
      <c r="E119" s="2090" t="n"/>
      <c r="F119" s="2090" t="n"/>
      <c r="G119" s="2089" t="n"/>
      <c r="H119" s="2089" t="n"/>
      <c r="I119" s="2089" t="n"/>
      <c r="J119" s="2089" t="n"/>
      <c r="K119" s="2090" t="n"/>
      <c r="L119" s="2089" t="n"/>
      <c r="M119" s="2089" t="n"/>
      <c r="N119" s="2089" t="n"/>
      <c r="O119" s="2089" t="n"/>
      <c r="P119" s="2090" t="n"/>
      <c r="Q119" s="2089" t="n"/>
      <c r="R119" s="2089" t="n"/>
      <c r="S119" s="2089" t="n"/>
      <c r="T119" s="2089" t="n"/>
      <c r="U119" s="2090" t="n"/>
      <c r="V119" s="2089" t="n"/>
      <c r="W119" s="2089" t="n"/>
      <c r="X119" s="2089" t="n"/>
      <c r="Y119" s="2089" t="n"/>
      <c r="Z119" s="2090" t="n"/>
      <c r="AA119" s="2089" t="n"/>
      <c r="AB119" s="2089" t="n"/>
      <c r="AC119" s="2089" t="n"/>
      <c r="AD119" s="2089" t="n"/>
      <c r="AE119" s="2090" t="n"/>
      <c r="AF119" s="2089" t="n"/>
      <c r="AG119" s="2089" t="n"/>
      <c r="AH119" s="2089" t="n"/>
      <c r="AI119" s="2089" t="n"/>
      <c r="AJ119" s="2090" t="n"/>
      <c r="AK119" s="2089" t="n"/>
      <c r="AL119" s="2089" t="n"/>
      <c r="AM119" s="2089" t="n"/>
      <c r="AN119" s="2089" t="n"/>
      <c r="AO119" s="2090" t="n"/>
      <c r="AP119" s="2089" t="n"/>
      <c r="AQ119" s="2089" t="n"/>
      <c r="AR119" s="2089" t="n"/>
      <c r="AS119" s="2089" t="n"/>
      <c r="AT119" s="2090" t="n"/>
      <c r="AU119" s="2089" t="n"/>
      <c r="AV119" s="2089" t="n"/>
      <c r="AW119" s="2089" t="n"/>
      <c r="AX119" s="2089" t="n"/>
      <c r="AY119" s="2088" t="n">
        <v>4.366</v>
      </c>
      <c r="AZ119" s="2089" t="n"/>
      <c r="BA119" s="2089" t="n"/>
      <c r="BB119" s="2089" t="n"/>
      <c r="BC119" s="2089" t="n"/>
      <c r="BD119" s="2088" t="n">
        <v>4.367</v>
      </c>
      <c r="BE119" s="2089" t="n"/>
      <c r="BF119" s="2089" t="n"/>
      <c r="BG119" s="2089" t="n"/>
      <c r="BH119" s="2089" t="n"/>
      <c r="BI119" s="2102" t="n"/>
      <c r="BJ119" s="2089" t="n"/>
      <c r="BK119" s="2089" t="n"/>
      <c r="BL119" s="2089" t="n"/>
      <c r="BM119" s="2089" t="n"/>
      <c r="BN119" s="2102" t="n"/>
      <c r="BO119" s="2089" t="n"/>
      <c r="BP119" s="2089" t="n"/>
      <c r="BQ119" s="2100" t="n"/>
      <c r="BR119" s="2089" t="n"/>
      <c r="BS119" s="2090" t="n"/>
      <c r="BT119" s="2089" t="n"/>
      <c r="BU119" s="2089" t="n"/>
      <c r="BV119" s="2089" t="n"/>
      <c r="BW119" s="2089" t="n"/>
      <c r="BX119" s="2090" t="n"/>
      <c r="BY119" s="2090" t="n"/>
      <c r="BZ119" s="2090" t="n"/>
      <c r="CA119" s="2090" t="n"/>
      <c r="CB119" s="2085" t="n"/>
    </row>
    <row r="120" ht="14.4" customFormat="1" customHeight="1" s="2082">
      <c r="A120" s="1611" t="inlineStr">
        <is>
          <t>CRO - Options 02/22/26 # of unexercised unexercisable options, 000s</t>
        </is>
      </c>
      <c r="B120" s="2098" t="n"/>
      <c r="C120" s="2090" t="n"/>
      <c r="D120" s="2090" t="n"/>
      <c r="E120" s="2090" t="n"/>
      <c r="F120" s="2090" t="n"/>
      <c r="G120" s="2089" t="n"/>
      <c r="H120" s="2089" t="n"/>
      <c r="I120" s="2089" t="n"/>
      <c r="J120" s="2089" t="n"/>
      <c r="K120" s="2090" t="n"/>
      <c r="L120" s="2089" t="n"/>
      <c r="M120" s="2089" t="n"/>
      <c r="N120" s="2089" t="n"/>
      <c r="O120" s="2089" t="n"/>
      <c r="P120" s="2090" t="n"/>
      <c r="Q120" s="2089" t="n"/>
      <c r="R120" s="2089" t="n"/>
      <c r="S120" s="2089" t="n"/>
      <c r="T120" s="2089" t="n"/>
      <c r="U120" s="2090" t="n"/>
      <c r="V120" s="2089" t="n"/>
      <c r="W120" s="2089" t="n"/>
      <c r="X120" s="2089" t="n"/>
      <c r="Y120" s="2089" t="n"/>
      <c r="Z120" s="2090" t="n"/>
      <c r="AA120" s="2089" t="n"/>
      <c r="AB120" s="2089" t="n"/>
      <c r="AC120" s="2089" t="n"/>
      <c r="AD120" s="2089" t="n"/>
      <c r="AE120" s="2090" t="n"/>
      <c r="AF120" s="2089" t="n"/>
      <c r="AG120" s="2089" t="n"/>
      <c r="AH120" s="2089" t="n"/>
      <c r="AI120" s="2089" t="n"/>
      <c r="AJ120" s="2090" t="n"/>
      <c r="AK120" s="2089" t="n"/>
      <c r="AL120" s="2089" t="n"/>
      <c r="AM120" s="2089" t="n"/>
      <c r="AN120" s="2089" t="n"/>
      <c r="AO120" s="2090" t="n"/>
      <c r="AP120" s="2089" t="n"/>
      <c r="AQ120" s="2089" t="n"/>
      <c r="AR120" s="2089" t="n"/>
      <c r="AS120" s="2089" t="n"/>
      <c r="AT120" s="2090" t="n"/>
      <c r="AU120" s="2089" t="n"/>
      <c r="AV120" s="2089" t="n"/>
      <c r="AW120" s="2089" t="n"/>
      <c r="AX120" s="2089" t="n"/>
      <c r="AY120" s="2088" t="n">
        <v>12.227</v>
      </c>
      <c r="AZ120" s="2089" t="n"/>
      <c r="BA120" s="2089" t="n"/>
      <c r="BB120" s="2089" t="n"/>
      <c r="BC120" s="2089" t="n"/>
      <c r="BD120" s="2088" t="n">
        <v>1.747</v>
      </c>
      <c r="BE120" s="2089" t="n"/>
      <c r="BF120" s="2089" t="n"/>
      <c r="BG120" s="2089" t="n"/>
      <c r="BH120" s="2089" t="n"/>
      <c r="BI120" s="2102" t="n"/>
      <c r="BJ120" s="2089" t="n"/>
      <c r="BK120" s="2089" t="n"/>
      <c r="BL120" s="2089" t="n"/>
      <c r="BM120" s="2089" t="n"/>
      <c r="BN120" s="2102" t="n"/>
      <c r="BO120" s="2089" t="n"/>
      <c r="BP120" s="2089" t="n"/>
      <c r="BQ120" s="2100" t="n"/>
      <c r="BR120" s="2089" t="n"/>
      <c r="BS120" s="2090" t="n"/>
      <c r="BT120" s="2089" t="n"/>
      <c r="BU120" s="2089" t="n"/>
      <c r="BV120" s="2089" t="n"/>
      <c r="BW120" s="2089" t="n"/>
      <c r="BX120" s="2090" t="n"/>
      <c r="BY120" s="2090" t="n"/>
      <c r="BZ120" s="2090" t="n"/>
      <c r="CA120" s="2090" t="n"/>
      <c r="CB120" s="2085" t="n"/>
    </row>
    <row r="121" ht="14.4" customFormat="1" customHeight="1" s="2118">
      <c r="A121" s="2119" t="inlineStr">
        <is>
          <t>CRO - Options 02/22/26 exercise price, $</t>
        </is>
      </c>
      <c r="B121" s="2129" t="n"/>
      <c r="C121" s="2126" t="n"/>
      <c r="D121" s="2126" t="n"/>
      <c r="E121" s="2126" t="n"/>
      <c r="F121" s="2126" t="n"/>
      <c r="G121" s="2125" t="n"/>
      <c r="H121" s="2125" t="n"/>
      <c r="I121" s="2125" t="n"/>
      <c r="J121" s="2125" t="n"/>
      <c r="K121" s="2126" t="n"/>
      <c r="L121" s="2125" t="n"/>
      <c r="M121" s="2125" t="n"/>
      <c r="N121" s="2125" t="n"/>
      <c r="O121" s="2125" t="n"/>
      <c r="P121" s="2126" t="n"/>
      <c r="Q121" s="2125" t="n"/>
      <c r="R121" s="2125" t="n"/>
      <c r="S121" s="2125" t="n"/>
      <c r="T121" s="2125" t="n"/>
      <c r="U121" s="2126" t="n"/>
      <c r="V121" s="2125" t="n"/>
      <c r="W121" s="2125" t="n"/>
      <c r="X121" s="2125" t="n"/>
      <c r="Y121" s="2125" t="n"/>
      <c r="Z121" s="2126" t="n"/>
      <c r="AA121" s="2125" t="n"/>
      <c r="AB121" s="2125" t="n"/>
      <c r="AC121" s="2125" t="n"/>
      <c r="AD121" s="2125" t="n"/>
      <c r="AE121" s="2126" t="n"/>
      <c r="AF121" s="2125" t="n"/>
      <c r="AG121" s="2125" t="n"/>
      <c r="AH121" s="2125" t="n"/>
      <c r="AI121" s="2125" t="n"/>
      <c r="AJ121" s="2126" t="n"/>
      <c r="AK121" s="2125" t="n"/>
      <c r="AL121" s="2125" t="n"/>
      <c r="AM121" s="2125" t="n"/>
      <c r="AN121" s="2125" t="n"/>
      <c r="AO121" s="2126" t="n"/>
      <c r="AP121" s="2125" t="n"/>
      <c r="AQ121" s="2125" t="n"/>
      <c r="AR121" s="2125" t="n"/>
      <c r="AS121" s="2125" t="n"/>
      <c r="AT121" s="2126" t="n"/>
      <c r="AU121" s="2125" t="n"/>
      <c r="AV121" s="2125" t="n"/>
      <c r="AW121" s="2125" t="n"/>
      <c r="AX121" s="2125" t="n"/>
      <c r="AY121" s="2128" t="n">
        <v>56.57</v>
      </c>
      <c r="AZ121" s="2125" t="n"/>
      <c r="BA121" s="2125" t="n"/>
      <c r="BB121" s="2125" t="n"/>
      <c r="BC121" s="2125" t="n"/>
      <c r="BD121" s="2128" t="n">
        <v>56.57</v>
      </c>
      <c r="BE121" s="2125" t="n"/>
      <c r="BF121" s="2125" t="n"/>
      <c r="BG121" s="2125" t="n"/>
      <c r="BH121" s="2125" t="n"/>
      <c r="BI121" s="2137" t="n"/>
      <c r="BJ121" s="2125" t="n"/>
      <c r="BK121" s="2125" t="n"/>
      <c r="BL121" s="2125" t="n"/>
      <c r="BM121" s="2125" t="n"/>
      <c r="BN121" s="2137" t="n"/>
      <c r="BO121" s="2125" t="n"/>
      <c r="BP121" s="2125" t="n"/>
      <c r="BQ121" s="2130" t="n"/>
      <c r="BR121" s="2125" t="n"/>
      <c r="BS121" s="2126" t="n"/>
      <c r="BT121" s="2125" t="n"/>
      <c r="BU121" s="2125" t="n"/>
      <c r="BV121" s="2125" t="n"/>
      <c r="BW121" s="2125" t="n"/>
      <c r="BX121" s="2126" t="n"/>
      <c r="BY121" s="2126" t="n"/>
      <c r="BZ121" s="2126" t="n"/>
      <c r="CA121" s="2126" t="n"/>
      <c r="CB121" s="2127" t="n"/>
    </row>
    <row r="122" ht="14.4" customFormat="1" customHeight="1" s="2082">
      <c r="A122" s="1611" t="n"/>
      <c r="B122" s="2098" t="n"/>
      <c r="C122" s="2090" t="n"/>
      <c r="D122" s="2090" t="n"/>
      <c r="E122" s="2090" t="n"/>
      <c r="F122" s="2090" t="n"/>
      <c r="G122" s="2089" t="n"/>
      <c r="H122" s="2089" t="n"/>
      <c r="I122" s="2089" t="n"/>
      <c r="J122" s="2089" t="n"/>
      <c r="K122" s="2090" t="n"/>
      <c r="L122" s="2089" t="n"/>
      <c r="M122" s="2089" t="n"/>
      <c r="N122" s="2089" t="n"/>
      <c r="O122" s="2089" t="n"/>
      <c r="P122" s="2090" t="n"/>
      <c r="Q122" s="2089" t="n"/>
      <c r="R122" s="2089" t="n"/>
      <c r="S122" s="2089" t="n"/>
      <c r="T122" s="2089" t="n"/>
      <c r="U122" s="2090" t="n"/>
      <c r="V122" s="2089" t="n"/>
      <c r="W122" s="2089" t="n"/>
      <c r="X122" s="2089" t="n"/>
      <c r="Y122" s="2089" t="n"/>
      <c r="Z122" s="2090" t="n"/>
      <c r="AA122" s="2089" t="n"/>
      <c r="AB122" s="2089" t="n"/>
      <c r="AC122" s="2089" t="n"/>
      <c r="AD122" s="2089" t="n"/>
      <c r="AE122" s="2090" t="n"/>
      <c r="AF122" s="2089" t="n"/>
      <c r="AG122" s="2089" t="n"/>
      <c r="AH122" s="2089" t="n"/>
      <c r="AI122" s="2089" t="n"/>
      <c r="AJ122" s="2090" t="n"/>
      <c r="AK122" s="2089" t="n"/>
      <c r="AL122" s="2089" t="n"/>
      <c r="AM122" s="2089" t="n"/>
      <c r="AN122" s="2089" t="n"/>
      <c r="AO122" s="2090" t="n"/>
      <c r="AP122" s="2089" t="n"/>
      <c r="AQ122" s="2089" t="n"/>
      <c r="AR122" s="2089" t="n"/>
      <c r="AS122" s="2089" t="n"/>
      <c r="AT122" s="2090" t="n"/>
      <c r="AU122" s="2089" t="n"/>
      <c r="AV122" s="2089" t="n"/>
      <c r="AW122" s="2089" t="n"/>
      <c r="AX122" s="2089" t="n"/>
      <c r="AY122" s="2090" t="n"/>
      <c r="AZ122" s="2089" t="n"/>
      <c r="BA122" s="2089" t="n"/>
      <c r="BB122" s="2089" t="n"/>
      <c r="BC122" s="2089" t="n"/>
      <c r="BD122" s="2090" t="n"/>
      <c r="BE122" s="2089" t="n"/>
      <c r="BF122" s="2089" t="n"/>
      <c r="BG122" s="2089" t="n"/>
      <c r="BH122" s="2089" t="n"/>
      <c r="BI122" s="2090" t="n"/>
      <c r="BJ122" s="2089" t="n"/>
      <c r="BK122" s="2089" t="n"/>
      <c r="BL122" s="2089" t="n"/>
      <c r="BM122" s="2089" t="n"/>
      <c r="BN122" s="2090" t="n"/>
      <c r="BO122" s="2089" t="n"/>
      <c r="BP122" s="2089" t="n"/>
      <c r="BQ122" s="2100" t="n"/>
      <c r="BR122" s="2089" t="n"/>
      <c r="BS122" s="2090" t="n"/>
      <c r="BT122" s="2089" t="n"/>
      <c r="BU122" s="2089" t="n"/>
      <c r="BV122" s="2089" t="n"/>
      <c r="BW122" s="2089" t="n"/>
      <c r="BX122" s="2090" t="n"/>
      <c r="BY122" s="2090" t="n"/>
      <c r="BZ122" s="2090" t="n"/>
      <c r="CA122" s="2090" t="n"/>
      <c r="CB122" s="2085" t="n"/>
    </row>
    <row r="123" ht="14.4" customFormat="1" customHeight="1" s="2082">
      <c r="A123" s="1611" t="inlineStr">
        <is>
          <t>CRO - Options 02/14/27 # of unexercised exercisable options, 000s</t>
        </is>
      </c>
      <c r="B123" s="2098" t="n"/>
      <c r="C123" s="2090" t="n"/>
      <c r="D123" s="2090" t="n"/>
      <c r="E123" s="2090" t="n"/>
      <c r="F123" s="2090" t="n"/>
      <c r="G123" s="2089" t="n"/>
      <c r="H123" s="2089" t="n"/>
      <c r="I123" s="2089" t="n"/>
      <c r="J123" s="2089" t="n"/>
      <c r="K123" s="2090" t="n"/>
      <c r="L123" s="2089" t="n"/>
      <c r="M123" s="2089" t="n"/>
      <c r="N123" s="2089" t="n"/>
      <c r="O123" s="2089" t="n"/>
      <c r="P123" s="2090" t="n"/>
      <c r="Q123" s="2089" t="n"/>
      <c r="R123" s="2089" t="n"/>
      <c r="S123" s="2089" t="n"/>
      <c r="T123" s="2089" t="n"/>
      <c r="U123" s="2090" t="n"/>
      <c r="V123" s="2089" t="n"/>
      <c r="W123" s="2089" t="n"/>
      <c r="X123" s="2089" t="n"/>
      <c r="Y123" s="2089" t="n"/>
      <c r="Z123" s="2090" t="n"/>
      <c r="AA123" s="2089" t="n"/>
      <c r="AB123" s="2089" t="n"/>
      <c r="AC123" s="2089" t="n"/>
      <c r="AD123" s="2089" t="n"/>
      <c r="AE123" s="2090" t="n"/>
      <c r="AF123" s="2089" t="n"/>
      <c r="AG123" s="2089" t="n"/>
      <c r="AH123" s="2089" t="n"/>
      <c r="AI123" s="2089" t="n"/>
      <c r="AJ123" s="2090" t="n"/>
      <c r="AK123" s="2089" t="n"/>
      <c r="AL123" s="2089" t="n"/>
      <c r="AM123" s="2089" t="n"/>
      <c r="AN123" s="2089" t="n"/>
      <c r="AO123" s="2090" t="n"/>
      <c r="AP123" s="2089" t="n"/>
      <c r="AQ123" s="2089" t="n"/>
      <c r="AR123" s="2089" t="n"/>
      <c r="AS123" s="2089" t="n"/>
      <c r="AT123" s="2090" t="n"/>
      <c r="AU123" s="2089" t="n"/>
      <c r="AV123" s="2089" t="n"/>
      <c r="AW123" s="2089" t="n"/>
      <c r="AX123" s="2089" t="n"/>
      <c r="AY123" s="2088" t="n">
        <v>2.992</v>
      </c>
      <c r="AZ123" s="2089" t="n"/>
      <c r="BA123" s="2089" t="n"/>
      <c r="BB123" s="2089" t="n"/>
      <c r="BC123" s="2089" t="n"/>
      <c r="BD123" s="2088" t="n">
        <v>3.741</v>
      </c>
      <c r="BE123" s="2089" t="n"/>
      <c r="BF123" s="2089" t="n"/>
      <c r="BG123" s="2089" t="n"/>
      <c r="BH123" s="2089" t="n"/>
      <c r="BI123" s="2117" t="n">
        <v>6.733</v>
      </c>
      <c r="BJ123" s="2089" t="n"/>
      <c r="BK123" s="2089" t="n"/>
      <c r="BL123" s="2089" t="n"/>
      <c r="BM123" s="2089" t="n"/>
      <c r="BN123" s="2087" t="n"/>
      <c r="BO123" s="2089" t="n"/>
      <c r="BP123" s="2089" t="n"/>
      <c r="BQ123" s="2100" t="n"/>
      <c r="BR123" s="2089" t="n"/>
      <c r="BS123" s="2090" t="n"/>
      <c r="BT123" s="2089" t="n"/>
      <c r="BU123" s="2089" t="n"/>
      <c r="BV123" s="2089" t="n"/>
      <c r="BW123" s="2089" t="n"/>
      <c r="BX123" s="2090" t="n"/>
      <c r="BY123" s="2090" t="n"/>
      <c r="BZ123" s="2090" t="n"/>
      <c r="CA123" s="2090" t="n"/>
      <c r="CB123" s="2085" t="n"/>
    </row>
    <row r="124" ht="14.4" customFormat="1" customHeight="1" s="2082">
      <c r="A124" s="1611" t="inlineStr">
        <is>
          <t>CRO - Options 02/14/27 # of unexercised unexercisable options, 000s</t>
        </is>
      </c>
      <c r="B124" s="2098" t="n"/>
      <c r="C124" s="2090" t="n"/>
      <c r="D124" s="2090" t="n"/>
      <c r="E124" s="2090" t="n"/>
      <c r="F124" s="2090" t="n"/>
      <c r="G124" s="2089" t="n"/>
      <c r="H124" s="2089" t="n"/>
      <c r="I124" s="2089" t="n"/>
      <c r="J124" s="2089" t="n"/>
      <c r="K124" s="2090" t="n"/>
      <c r="L124" s="2089" t="n"/>
      <c r="M124" s="2089" t="n"/>
      <c r="N124" s="2089" t="n"/>
      <c r="O124" s="2089" t="n"/>
      <c r="P124" s="2090" t="n"/>
      <c r="Q124" s="2089" t="n"/>
      <c r="R124" s="2089" t="n"/>
      <c r="S124" s="2089" t="n"/>
      <c r="T124" s="2089" t="n"/>
      <c r="U124" s="2090" t="n"/>
      <c r="V124" s="2089" t="n"/>
      <c r="W124" s="2089" t="n"/>
      <c r="X124" s="2089" t="n"/>
      <c r="Y124" s="2089" t="n"/>
      <c r="Z124" s="2090" t="n"/>
      <c r="AA124" s="2089" t="n"/>
      <c r="AB124" s="2089" t="n"/>
      <c r="AC124" s="2089" t="n"/>
      <c r="AD124" s="2089" t="n"/>
      <c r="AE124" s="2090" t="n"/>
      <c r="AF124" s="2089" t="n"/>
      <c r="AG124" s="2089" t="n"/>
      <c r="AH124" s="2089" t="n"/>
      <c r="AI124" s="2089" t="n"/>
      <c r="AJ124" s="2090" t="n"/>
      <c r="AK124" s="2089" t="n"/>
      <c r="AL124" s="2089" t="n"/>
      <c r="AM124" s="2089" t="n"/>
      <c r="AN124" s="2089" t="n"/>
      <c r="AO124" s="2090" t="n"/>
      <c r="AP124" s="2089" t="n"/>
      <c r="AQ124" s="2089" t="n"/>
      <c r="AR124" s="2089" t="n"/>
      <c r="AS124" s="2089" t="n"/>
      <c r="AT124" s="2090" t="n"/>
      <c r="AU124" s="2089" t="n"/>
      <c r="AV124" s="2089" t="n"/>
      <c r="AW124" s="2089" t="n"/>
      <c r="AX124" s="2089" t="n"/>
      <c r="AY124" s="2088" t="n">
        <v>19.452</v>
      </c>
      <c r="AZ124" s="2089" t="n"/>
      <c r="BA124" s="2089" t="n"/>
      <c r="BB124" s="2089" t="n"/>
      <c r="BC124" s="2089" t="n"/>
      <c r="BD124" s="2088" t="n">
        <v>10.474</v>
      </c>
      <c r="BE124" s="2089" t="n"/>
      <c r="BF124" s="2089" t="n"/>
      <c r="BG124" s="2089" t="n"/>
      <c r="BH124" s="2089" t="n"/>
      <c r="BI124" s="2117" t="n">
        <v>1.497</v>
      </c>
      <c r="BJ124" s="2089" t="n"/>
      <c r="BK124" s="2089" t="n"/>
      <c r="BL124" s="2089" t="n"/>
      <c r="BM124" s="2089" t="n"/>
      <c r="BN124" s="2087" t="n"/>
      <c r="BO124" s="2089" t="n"/>
      <c r="BP124" s="2089" t="n"/>
      <c r="BQ124" s="2100" t="n"/>
      <c r="BR124" s="2089" t="n"/>
      <c r="BS124" s="2090" t="n"/>
      <c r="BT124" s="2089" t="n"/>
      <c r="BU124" s="2089" t="n"/>
      <c r="BV124" s="2089" t="n"/>
      <c r="BW124" s="2089" t="n"/>
      <c r="BX124" s="2090" t="n"/>
      <c r="BY124" s="2090" t="n"/>
      <c r="BZ124" s="2090" t="n"/>
      <c r="CA124" s="2090" t="n"/>
      <c r="CB124" s="2085" t="n"/>
    </row>
    <row r="125" ht="14.4" customFormat="1" customHeight="1" s="2118">
      <c r="A125" s="2119" t="inlineStr">
        <is>
          <t>CRO - Options 02/14/27 exercise price, $</t>
        </is>
      </c>
      <c r="B125" s="2129" t="n"/>
      <c r="C125" s="2126" t="n"/>
      <c r="D125" s="2126" t="n"/>
      <c r="E125" s="2126" t="n"/>
      <c r="F125" s="2126" t="n"/>
      <c r="G125" s="2125" t="n"/>
      <c r="H125" s="2125" t="n"/>
      <c r="I125" s="2125" t="n"/>
      <c r="J125" s="2125" t="n"/>
      <c r="K125" s="2126" t="n"/>
      <c r="L125" s="2125" t="n"/>
      <c r="M125" s="2125" t="n"/>
      <c r="N125" s="2125" t="n"/>
      <c r="O125" s="2125" t="n"/>
      <c r="P125" s="2126" t="n"/>
      <c r="Q125" s="2125" t="n"/>
      <c r="R125" s="2125" t="n"/>
      <c r="S125" s="2125" t="n"/>
      <c r="T125" s="2125" t="n"/>
      <c r="U125" s="2126" t="n"/>
      <c r="V125" s="2125" t="n"/>
      <c r="W125" s="2125" t="n"/>
      <c r="X125" s="2125" t="n"/>
      <c r="Y125" s="2125" t="n"/>
      <c r="Z125" s="2126" t="n"/>
      <c r="AA125" s="2125" t="n"/>
      <c r="AB125" s="2125" t="n"/>
      <c r="AC125" s="2125" t="n"/>
      <c r="AD125" s="2125" t="n"/>
      <c r="AE125" s="2126" t="n"/>
      <c r="AF125" s="2125" t="n"/>
      <c r="AG125" s="2125" t="n"/>
      <c r="AH125" s="2125" t="n"/>
      <c r="AI125" s="2125" t="n"/>
      <c r="AJ125" s="2126" t="n"/>
      <c r="AK125" s="2125" t="n"/>
      <c r="AL125" s="2125" t="n"/>
      <c r="AM125" s="2125" t="n"/>
      <c r="AN125" s="2125" t="n"/>
      <c r="AO125" s="2126" t="n"/>
      <c r="AP125" s="2125" t="n"/>
      <c r="AQ125" s="2125" t="n"/>
      <c r="AR125" s="2125" t="n"/>
      <c r="AS125" s="2125" t="n"/>
      <c r="AT125" s="2126" t="n"/>
      <c r="AU125" s="2125" t="n"/>
      <c r="AV125" s="2125" t="n"/>
      <c r="AW125" s="2125" t="n"/>
      <c r="AX125" s="2125" t="n"/>
      <c r="AY125" s="2128" t="n">
        <v>78.76000000000001</v>
      </c>
      <c r="AZ125" s="2125" t="n"/>
      <c r="BA125" s="2125" t="n"/>
      <c r="BB125" s="2125" t="n"/>
      <c r="BC125" s="2125" t="n"/>
      <c r="BD125" s="2128" t="n">
        <v>78.76000000000001</v>
      </c>
      <c r="BE125" s="2125" t="n"/>
      <c r="BF125" s="2125" t="n"/>
      <c r="BG125" s="2125" t="n"/>
      <c r="BH125" s="2125" t="n"/>
      <c r="BI125" s="2123" t="n">
        <v>78.76000000000001</v>
      </c>
      <c r="BJ125" s="2125" t="n"/>
      <c r="BK125" s="2125" t="n"/>
      <c r="BL125" s="2125" t="n"/>
      <c r="BM125" s="2125" t="n"/>
      <c r="BN125" s="2121" t="n"/>
      <c r="BO125" s="2125" t="n"/>
      <c r="BP125" s="2125" t="n"/>
      <c r="BQ125" s="2130" t="n"/>
      <c r="BR125" s="2125" t="n"/>
      <c r="BS125" s="2126" t="n"/>
      <c r="BT125" s="2125" t="n"/>
      <c r="BU125" s="2125" t="n"/>
      <c r="BV125" s="2125" t="n"/>
      <c r="BW125" s="2125" t="n"/>
      <c r="BX125" s="2126" t="n"/>
      <c r="BY125" s="2126" t="n"/>
      <c r="BZ125" s="2126" t="n"/>
      <c r="CA125" s="2126" t="n"/>
      <c r="CB125" s="2127" t="n"/>
    </row>
    <row r="126" ht="14.4" customFormat="1" customHeight="1" s="2082">
      <c r="A126" s="1611" t="n"/>
      <c r="B126" s="2098" t="n"/>
      <c r="C126" s="2090" t="n"/>
      <c r="D126" s="2090" t="n"/>
      <c r="E126" s="2090" t="n"/>
      <c r="F126" s="2090" t="n"/>
      <c r="G126" s="2089" t="n"/>
      <c r="H126" s="2089" t="n"/>
      <c r="I126" s="2089" t="n"/>
      <c r="J126" s="2089" t="n"/>
      <c r="K126" s="2090" t="n"/>
      <c r="L126" s="2089" t="n"/>
      <c r="M126" s="2089" t="n"/>
      <c r="N126" s="2089" t="n"/>
      <c r="O126" s="2089" t="n"/>
      <c r="P126" s="2090" t="n"/>
      <c r="Q126" s="2089" t="n"/>
      <c r="R126" s="2089" t="n"/>
      <c r="S126" s="2089" t="n"/>
      <c r="T126" s="2089" t="n"/>
      <c r="U126" s="2090" t="n"/>
      <c r="V126" s="2089" t="n"/>
      <c r="W126" s="2089" t="n"/>
      <c r="X126" s="2089" t="n"/>
      <c r="Y126" s="2089" t="n"/>
      <c r="Z126" s="2090" t="n"/>
      <c r="AA126" s="2089" t="n"/>
      <c r="AB126" s="2089" t="n"/>
      <c r="AC126" s="2089" t="n"/>
      <c r="AD126" s="2089" t="n"/>
      <c r="AE126" s="2090" t="n"/>
      <c r="AF126" s="2089" t="n"/>
      <c r="AG126" s="2089" t="n"/>
      <c r="AH126" s="2089" t="n"/>
      <c r="AI126" s="2089" t="n"/>
      <c r="AJ126" s="2090" t="n"/>
      <c r="AK126" s="2089" t="n"/>
      <c r="AL126" s="2089" t="n"/>
      <c r="AM126" s="2089" t="n"/>
      <c r="AN126" s="2089" t="n"/>
      <c r="AO126" s="2090" t="n"/>
      <c r="AP126" s="2089" t="n"/>
      <c r="AQ126" s="2089" t="n"/>
      <c r="AR126" s="2089" t="n"/>
      <c r="AS126" s="2089" t="n"/>
      <c r="AT126" s="2090" t="n"/>
      <c r="AU126" s="2089" t="n"/>
      <c r="AV126" s="2089" t="n"/>
      <c r="AW126" s="2089" t="n"/>
      <c r="AX126" s="2089" t="n"/>
      <c r="AY126" s="2090" t="n"/>
      <c r="AZ126" s="2089" t="n"/>
      <c r="BA126" s="2089" t="n"/>
      <c r="BB126" s="2089" t="n"/>
      <c r="BC126" s="2089" t="n"/>
      <c r="BD126" s="2090" t="n"/>
      <c r="BE126" s="2089" t="n"/>
      <c r="BF126" s="2089" t="n"/>
      <c r="BG126" s="2089" t="n"/>
      <c r="BH126" s="2089" t="n"/>
      <c r="BI126" s="2087" t="n"/>
      <c r="BJ126" s="2089" t="n"/>
      <c r="BK126" s="2089" t="n"/>
      <c r="BL126" s="2089" t="n"/>
      <c r="BM126" s="2089" t="n"/>
      <c r="BN126" s="2087" t="n"/>
      <c r="BO126" s="2089" t="n"/>
      <c r="BP126" s="2089" t="n"/>
      <c r="BQ126" s="2100" t="n"/>
      <c r="BR126" s="2089" t="n"/>
      <c r="BS126" s="2090" t="n"/>
      <c r="BT126" s="2089" t="n"/>
      <c r="BU126" s="2089" t="n"/>
      <c r="BV126" s="2089" t="n"/>
      <c r="BW126" s="2089" t="n"/>
      <c r="BX126" s="2090" t="n"/>
      <c r="BY126" s="2090" t="n"/>
      <c r="BZ126" s="2090" t="n"/>
      <c r="CA126" s="2090" t="n"/>
      <c r="CB126" s="2085" t="n"/>
    </row>
    <row r="127" ht="14.4" customFormat="1" customHeight="1" s="2082">
      <c r="A127" s="1611" t="inlineStr">
        <is>
          <t>CRO - Options 02/25/28 # of unexercised exercisable options, 000s</t>
        </is>
      </c>
      <c r="B127" s="2098" t="n"/>
      <c r="C127" s="2090" t="n"/>
      <c r="D127" s="2090" t="n"/>
      <c r="E127" s="2090" t="n"/>
      <c r="F127" s="2090" t="n"/>
      <c r="G127" s="2089" t="n"/>
      <c r="H127" s="2089" t="n"/>
      <c r="I127" s="2089" t="n"/>
      <c r="J127" s="2089" t="n"/>
      <c r="K127" s="2090" t="n"/>
      <c r="L127" s="2089" t="n"/>
      <c r="M127" s="2089" t="n"/>
      <c r="N127" s="2089" t="n"/>
      <c r="O127" s="2089" t="n"/>
      <c r="P127" s="2090" t="n"/>
      <c r="Q127" s="2089" t="n"/>
      <c r="R127" s="2089" t="n"/>
      <c r="S127" s="2089" t="n"/>
      <c r="T127" s="2089" t="n"/>
      <c r="U127" s="2090" t="n"/>
      <c r="V127" s="2089" t="n"/>
      <c r="W127" s="2089" t="n"/>
      <c r="X127" s="2089" t="n"/>
      <c r="Y127" s="2089" t="n"/>
      <c r="Z127" s="2090" t="n"/>
      <c r="AA127" s="2089" t="n"/>
      <c r="AB127" s="2089" t="n"/>
      <c r="AC127" s="2089" t="n"/>
      <c r="AD127" s="2089" t="n"/>
      <c r="AE127" s="2090" t="n"/>
      <c r="AF127" s="2089" t="n"/>
      <c r="AG127" s="2089" t="n"/>
      <c r="AH127" s="2089" t="n"/>
      <c r="AI127" s="2089" t="n"/>
      <c r="AJ127" s="2090" t="n"/>
      <c r="AK127" s="2089" t="n"/>
      <c r="AL127" s="2089" t="n"/>
      <c r="AM127" s="2089" t="n"/>
      <c r="AN127" s="2089" t="n"/>
      <c r="AO127" s="2090" t="n"/>
      <c r="AP127" s="2089" t="n"/>
      <c r="AQ127" s="2089" t="n"/>
      <c r="AR127" s="2089" t="n"/>
      <c r="AS127" s="2089" t="n"/>
      <c r="AT127" s="2090" t="n"/>
      <c r="AU127" s="2089" t="n"/>
      <c r="AV127" s="2089" t="n"/>
      <c r="AW127" s="2089" t="n"/>
      <c r="AX127" s="2089" t="n"/>
      <c r="AY127" s="2088" t="n">
        <v>5.321</v>
      </c>
      <c r="AZ127" s="2089" t="n"/>
      <c r="BA127" s="2089" t="n"/>
      <c r="BB127" s="2089" t="n"/>
      <c r="BC127" s="2089" t="n"/>
      <c r="BD127" s="2088" t="n">
        <v>2.084</v>
      </c>
      <c r="BE127" s="2089" t="n"/>
      <c r="BF127" s="2089" t="n"/>
      <c r="BG127" s="2089" t="n"/>
      <c r="BH127" s="2089" t="n"/>
      <c r="BI127" s="2117" t="n">
        <v>4.169</v>
      </c>
      <c r="BJ127" s="2089" t="n"/>
      <c r="BK127" s="2089" t="n"/>
      <c r="BL127" s="2089" t="n"/>
      <c r="BM127" s="2089" t="n"/>
      <c r="BN127" s="2087" t="n"/>
      <c r="BO127" s="2089" t="n"/>
      <c r="BP127" s="2089" t="n"/>
      <c r="BQ127" s="2100" t="n"/>
      <c r="BR127" s="2089" t="n"/>
      <c r="BS127" s="2090" t="n"/>
      <c r="BT127" s="2089" t="n"/>
      <c r="BU127" s="2089" t="n"/>
      <c r="BV127" s="2089" t="n"/>
      <c r="BW127" s="2089" t="n"/>
      <c r="BX127" s="2090" t="n"/>
      <c r="BY127" s="2090" t="n"/>
      <c r="BZ127" s="2090" t="n"/>
      <c r="CA127" s="2090" t="n"/>
      <c r="CB127" s="2085" t="n"/>
    </row>
    <row r="128" ht="14.4" customFormat="1" customHeight="1" s="2082">
      <c r="A128" s="1611" t="inlineStr">
        <is>
          <t>CRO - Options 02/25/28 # of unexercised unexercisable options, 000s</t>
        </is>
      </c>
      <c r="B128" s="2098" t="n"/>
      <c r="C128" s="2090" t="n"/>
      <c r="D128" s="2090" t="n"/>
      <c r="E128" s="2090" t="n"/>
      <c r="F128" s="2090" t="n"/>
      <c r="G128" s="2089" t="n"/>
      <c r="H128" s="2089" t="n"/>
      <c r="I128" s="2089" t="n"/>
      <c r="J128" s="2089" t="n"/>
      <c r="K128" s="2090" t="n"/>
      <c r="L128" s="2089" t="n"/>
      <c r="M128" s="2089" t="n"/>
      <c r="N128" s="2089" t="n"/>
      <c r="O128" s="2089" t="n"/>
      <c r="P128" s="2090" t="n"/>
      <c r="Q128" s="2089" t="n"/>
      <c r="R128" s="2089" t="n"/>
      <c r="S128" s="2089" t="n"/>
      <c r="T128" s="2089" t="n"/>
      <c r="U128" s="2090" t="n"/>
      <c r="V128" s="2089" t="n"/>
      <c r="W128" s="2089" t="n"/>
      <c r="X128" s="2089" t="n"/>
      <c r="Y128" s="2089" t="n"/>
      <c r="Z128" s="2090" t="n"/>
      <c r="AA128" s="2089" t="n"/>
      <c r="AB128" s="2089" t="n"/>
      <c r="AC128" s="2089" t="n"/>
      <c r="AD128" s="2089" t="n"/>
      <c r="AE128" s="2090" t="n"/>
      <c r="AF128" s="2089" t="n"/>
      <c r="AG128" s="2089" t="n"/>
      <c r="AH128" s="2089" t="n"/>
      <c r="AI128" s="2089" t="n"/>
      <c r="AJ128" s="2090" t="n"/>
      <c r="AK128" s="2089" t="n"/>
      <c r="AL128" s="2089" t="n"/>
      <c r="AM128" s="2089" t="n"/>
      <c r="AN128" s="2089" t="n"/>
      <c r="AO128" s="2090" t="n"/>
      <c r="AP128" s="2089" t="n"/>
      <c r="AQ128" s="2089" t="n"/>
      <c r="AR128" s="2089" t="n"/>
      <c r="AS128" s="2089" t="n"/>
      <c r="AT128" s="2090" t="n"/>
      <c r="AU128" s="2089" t="n"/>
      <c r="AV128" s="2089" t="n"/>
      <c r="AW128" s="2089" t="n"/>
      <c r="AX128" s="2089" t="n"/>
      <c r="AY128" s="2088" t="n">
        <v>20.225</v>
      </c>
      <c r="AZ128" s="2089" t="n"/>
      <c r="BA128" s="2089" t="n"/>
      <c r="BB128" s="2089" t="n"/>
      <c r="BC128" s="2089" t="n"/>
      <c r="BD128" s="2088" t="n">
        <v>10.84</v>
      </c>
      <c r="BE128" s="2089" t="n"/>
      <c r="BF128" s="2089" t="n"/>
      <c r="BG128" s="2089" t="n"/>
      <c r="BH128" s="2089" t="n"/>
      <c r="BI128" s="2117" t="n">
        <v>5.837</v>
      </c>
      <c r="BJ128" s="2089" t="n"/>
      <c r="BK128" s="2089" t="n"/>
      <c r="BL128" s="2089" t="n"/>
      <c r="BM128" s="2089" t="n"/>
      <c r="BN128" s="2087" t="n"/>
      <c r="BO128" s="2089" t="n"/>
      <c r="BP128" s="2089" t="n"/>
      <c r="BQ128" s="2100" t="n"/>
      <c r="BR128" s="2089" t="n"/>
      <c r="BS128" s="2090" t="n"/>
      <c r="BT128" s="2089" t="n"/>
      <c r="BU128" s="2089" t="n"/>
      <c r="BV128" s="2089" t="n"/>
      <c r="BW128" s="2089" t="n"/>
      <c r="BX128" s="2090" t="n"/>
      <c r="BY128" s="2090" t="n"/>
      <c r="BZ128" s="2090" t="n"/>
      <c r="CA128" s="2090" t="n"/>
      <c r="CB128" s="2085" t="n"/>
    </row>
    <row r="129" ht="14.4" customFormat="1" customHeight="1" s="2118">
      <c r="A129" s="2119" t="inlineStr">
        <is>
          <t>CRO - Options 02/25/28 exercise price, $</t>
        </is>
      </c>
      <c r="B129" s="2129" t="n"/>
      <c r="C129" s="2126" t="n"/>
      <c r="D129" s="2126" t="n"/>
      <c r="E129" s="2126" t="n"/>
      <c r="F129" s="2126" t="n"/>
      <c r="G129" s="2125" t="n"/>
      <c r="H129" s="2125" t="n"/>
      <c r="I129" s="2125" t="n"/>
      <c r="J129" s="2125" t="n"/>
      <c r="K129" s="2126" t="n"/>
      <c r="L129" s="2125" t="n"/>
      <c r="M129" s="2125" t="n"/>
      <c r="N129" s="2125" t="n"/>
      <c r="O129" s="2125" t="n"/>
      <c r="P129" s="2126" t="n"/>
      <c r="Q129" s="2125" t="n"/>
      <c r="R129" s="2125" t="n"/>
      <c r="S129" s="2125" t="n"/>
      <c r="T129" s="2125" t="n"/>
      <c r="U129" s="2126" t="n"/>
      <c r="V129" s="2125" t="n"/>
      <c r="W129" s="2125" t="n"/>
      <c r="X129" s="2125" t="n"/>
      <c r="Y129" s="2125" t="n"/>
      <c r="Z129" s="2126" t="n"/>
      <c r="AA129" s="2125" t="n"/>
      <c r="AB129" s="2125" t="n"/>
      <c r="AC129" s="2125" t="n"/>
      <c r="AD129" s="2125" t="n"/>
      <c r="AE129" s="2126" t="n"/>
      <c r="AF129" s="2125" t="n"/>
      <c r="AG129" s="2125" t="n"/>
      <c r="AH129" s="2125" t="n"/>
      <c r="AI129" s="2125" t="n"/>
      <c r="AJ129" s="2126" t="n"/>
      <c r="AK129" s="2125" t="n"/>
      <c r="AL129" s="2125" t="n"/>
      <c r="AM129" s="2125" t="n"/>
      <c r="AN129" s="2125" t="n"/>
      <c r="AO129" s="2126" t="n"/>
      <c r="AP129" s="2125" t="n"/>
      <c r="AQ129" s="2125" t="n"/>
      <c r="AR129" s="2125" t="n"/>
      <c r="AS129" s="2125" t="n"/>
      <c r="AT129" s="2126" t="n"/>
      <c r="AU129" s="2125" t="n"/>
      <c r="AV129" s="2125" t="n"/>
      <c r="AW129" s="2125" t="n"/>
      <c r="AX129" s="2125" t="n"/>
      <c r="AY129" s="2128" t="n">
        <v>138.02</v>
      </c>
      <c r="AZ129" s="2125" t="n"/>
      <c r="BA129" s="2125" t="n"/>
      <c r="BB129" s="2125" t="n"/>
      <c r="BC129" s="2125" t="n"/>
      <c r="BD129" s="2128" t="n">
        <v>138.02</v>
      </c>
      <c r="BE129" s="2125" t="n"/>
      <c r="BF129" s="2125" t="n"/>
      <c r="BG129" s="2125" t="n"/>
      <c r="BH129" s="2125" t="n"/>
      <c r="BI129" s="2123" t="n">
        <v>138.02</v>
      </c>
      <c r="BJ129" s="2125" t="n"/>
      <c r="BK129" s="2125" t="n"/>
      <c r="BL129" s="2125" t="n"/>
      <c r="BM129" s="2125" t="n"/>
      <c r="BN129" s="2121" t="n"/>
      <c r="BO129" s="2125" t="n"/>
      <c r="BP129" s="2125" t="n"/>
      <c r="BQ129" s="2130" t="n"/>
      <c r="BR129" s="2125" t="n"/>
      <c r="BS129" s="2126" t="n"/>
      <c r="BT129" s="2125" t="n"/>
      <c r="BU129" s="2125" t="n"/>
      <c r="BV129" s="2125" t="n"/>
      <c r="BW129" s="2125" t="n"/>
      <c r="BX129" s="2126" t="n"/>
      <c r="BY129" s="2126" t="n"/>
      <c r="BZ129" s="2126" t="n"/>
      <c r="CA129" s="2126" t="n"/>
      <c r="CB129" s="2127" t="n"/>
    </row>
    <row r="130" ht="14.4" customFormat="1" customHeight="1" s="2082">
      <c r="A130" s="1596" t="n"/>
      <c r="B130" s="2098" t="n"/>
      <c r="C130" s="2090" t="n"/>
      <c r="D130" s="2090" t="n"/>
      <c r="E130" s="2090" t="n"/>
      <c r="F130" s="2090" t="n"/>
      <c r="G130" s="2089" t="n"/>
      <c r="H130" s="2089" t="n"/>
      <c r="I130" s="2089" t="n"/>
      <c r="J130" s="2089" t="n"/>
      <c r="K130" s="2090" t="n"/>
      <c r="L130" s="2089" t="n"/>
      <c r="M130" s="2089" t="n"/>
      <c r="N130" s="2089" t="n"/>
      <c r="O130" s="2089" t="n"/>
      <c r="P130" s="2090" t="n"/>
      <c r="Q130" s="2089" t="n"/>
      <c r="R130" s="2089" t="n"/>
      <c r="S130" s="2089" t="n"/>
      <c r="T130" s="2089" t="n"/>
      <c r="U130" s="2090" t="n"/>
      <c r="V130" s="2089" t="n"/>
      <c r="W130" s="2089" t="n"/>
      <c r="X130" s="2089" t="n"/>
      <c r="Y130" s="2089" t="n"/>
      <c r="Z130" s="2090" t="n"/>
      <c r="AA130" s="2089" t="n"/>
      <c r="AB130" s="2089" t="n"/>
      <c r="AC130" s="2089" t="n"/>
      <c r="AD130" s="2089" t="n"/>
      <c r="AE130" s="2090" t="n"/>
      <c r="AF130" s="2089" t="n"/>
      <c r="AG130" s="2089" t="n"/>
      <c r="AH130" s="2089" t="n"/>
      <c r="AI130" s="2089" t="n"/>
      <c r="AJ130" s="2090" t="n"/>
      <c r="AK130" s="2089" t="n"/>
      <c r="AL130" s="2089" t="n"/>
      <c r="AM130" s="2089" t="n"/>
      <c r="AN130" s="2089" t="n"/>
      <c r="AO130" s="2090" t="n"/>
      <c r="AP130" s="2089" t="n"/>
      <c r="AQ130" s="2089" t="n"/>
      <c r="AR130" s="2089" t="n"/>
      <c r="AS130" s="2089" t="n"/>
      <c r="AT130" s="2090" t="n"/>
      <c r="AU130" s="2089" t="n"/>
      <c r="AV130" s="2089" t="n"/>
      <c r="AW130" s="2089" t="n"/>
      <c r="AX130" s="2089" t="n"/>
      <c r="AY130" s="2090" t="n"/>
      <c r="AZ130" s="2089" t="n"/>
      <c r="BA130" s="2089" t="n"/>
      <c r="BB130" s="2089" t="n"/>
      <c r="BC130" s="2089" t="n"/>
      <c r="BD130" s="2090" t="n"/>
      <c r="BE130" s="2089" t="n"/>
      <c r="BF130" s="2089" t="n"/>
      <c r="BG130" s="2089" t="n"/>
      <c r="BH130" s="2089" t="n"/>
      <c r="BI130" s="2087" t="n"/>
      <c r="BJ130" s="2089" t="n"/>
      <c r="BK130" s="2089" t="n"/>
      <c r="BL130" s="2089" t="n"/>
      <c r="BM130" s="2089" t="n"/>
      <c r="BN130" s="2087" t="n"/>
      <c r="BO130" s="2089" t="n"/>
      <c r="BP130" s="2089" t="n"/>
      <c r="BQ130" s="2100" t="n"/>
      <c r="BR130" s="2089" t="n"/>
      <c r="BS130" s="2090" t="n"/>
      <c r="BT130" s="2089" t="n"/>
      <c r="BU130" s="2089" t="n"/>
      <c r="BV130" s="2089" t="n"/>
      <c r="BW130" s="2089" t="n"/>
      <c r="BX130" s="2090" t="n"/>
      <c r="BY130" s="2090" t="n"/>
      <c r="BZ130" s="2090" t="n"/>
      <c r="CA130" s="2090" t="n"/>
      <c r="CB130" s="2085" t="n"/>
    </row>
    <row r="131" ht="14.4" customFormat="1" customHeight="1" s="2082">
      <c r="A131" s="1611" t="inlineStr">
        <is>
          <t>CRO - Options 02/25/28 # of unexercised exercisable options, 000s</t>
        </is>
      </c>
      <c r="B131" s="2098" t="n"/>
      <c r="C131" s="2090" t="n"/>
      <c r="D131" s="2090" t="n"/>
      <c r="E131" s="2090" t="n"/>
      <c r="F131" s="2090" t="n"/>
      <c r="G131" s="2089" t="n"/>
      <c r="H131" s="2089" t="n"/>
      <c r="I131" s="2089" t="n"/>
      <c r="J131" s="2089" t="n"/>
      <c r="K131" s="2090" t="n"/>
      <c r="L131" s="2089" t="n"/>
      <c r="M131" s="2089" t="n"/>
      <c r="N131" s="2089" t="n"/>
      <c r="O131" s="2089" t="n"/>
      <c r="P131" s="2090" t="n"/>
      <c r="Q131" s="2089" t="n"/>
      <c r="R131" s="2089" t="n"/>
      <c r="S131" s="2089" t="n"/>
      <c r="T131" s="2089" t="n"/>
      <c r="U131" s="2090" t="n"/>
      <c r="V131" s="2089" t="n"/>
      <c r="W131" s="2089" t="n"/>
      <c r="X131" s="2089" t="n"/>
      <c r="Y131" s="2089" t="n"/>
      <c r="Z131" s="2090" t="n"/>
      <c r="AA131" s="2089" t="n"/>
      <c r="AB131" s="2089" t="n"/>
      <c r="AC131" s="2089" t="n"/>
      <c r="AD131" s="2089" t="n"/>
      <c r="AE131" s="2090" t="n"/>
      <c r="AF131" s="2089" t="n"/>
      <c r="AG131" s="2089" t="n"/>
      <c r="AH131" s="2089" t="n"/>
      <c r="AI131" s="2089" t="n"/>
      <c r="AJ131" s="2090" t="n"/>
      <c r="AK131" s="2089" t="n"/>
      <c r="AL131" s="2089" t="n"/>
      <c r="AM131" s="2089" t="n"/>
      <c r="AN131" s="2089" t="n"/>
      <c r="AO131" s="2090" t="n"/>
      <c r="AP131" s="2089" t="n"/>
      <c r="AQ131" s="2089" t="n"/>
      <c r="AR131" s="2089" t="n"/>
      <c r="AS131" s="2089" t="n"/>
      <c r="AT131" s="2090" t="n"/>
      <c r="AU131" s="2089" t="n"/>
      <c r="AV131" s="2089" t="n"/>
      <c r="AW131" s="2089" t="n"/>
      <c r="AX131" s="2089" t="n"/>
      <c r="AY131" s="2090" t="n"/>
      <c r="AZ131" s="2089" t="n"/>
      <c r="BA131" s="2089" t="n"/>
      <c r="BB131" s="2089" t="n"/>
      <c r="BC131" s="2089" t="n"/>
      <c r="BD131" s="2133" t="n">
        <v>2.536</v>
      </c>
      <c r="BE131" s="2089" t="n"/>
      <c r="BF131" s="2089" t="n"/>
      <c r="BG131" s="2089" t="n"/>
      <c r="BH131" s="2089" t="n"/>
      <c r="BI131" s="2117" t="n">
        <v>3.92</v>
      </c>
      <c r="BJ131" s="2089" t="n"/>
      <c r="BK131" s="2089" t="n"/>
      <c r="BL131" s="2089" t="n"/>
      <c r="BM131" s="2089" t="n"/>
      <c r="BN131" s="2087" t="n"/>
      <c r="BO131" s="2089" t="n"/>
      <c r="BP131" s="2089" t="n"/>
      <c r="BQ131" s="2100" t="n"/>
      <c r="BR131" s="2089" t="n"/>
      <c r="BS131" s="2090" t="n"/>
      <c r="BT131" s="2089" t="n"/>
      <c r="BU131" s="2089" t="n"/>
      <c r="BV131" s="2089" t="n"/>
      <c r="BW131" s="2089" t="n"/>
      <c r="BX131" s="2090" t="n"/>
      <c r="BY131" s="2090" t="n"/>
      <c r="BZ131" s="2090" t="n"/>
      <c r="CA131" s="2090" t="n"/>
      <c r="CB131" s="2085" t="n"/>
    </row>
    <row r="132" ht="14.4" customFormat="1" customHeight="1" s="2082">
      <c r="A132" s="1611" t="inlineStr">
        <is>
          <t>CRO - Options 02/25/28 # of unexercised unexercisable options, 000s</t>
        </is>
      </c>
      <c r="B132" s="2098" t="n"/>
      <c r="C132" s="2090" t="n"/>
      <c r="D132" s="2090" t="n"/>
      <c r="E132" s="2090" t="n"/>
      <c r="F132" s="2090" t="n"/>
      <c r="G132" s="2089" t="n"/>
      <c r="H132" s="2089" t="n"/>
      <c r="I132" s="2089" t="n"/>
      <c r="J132" s="2089" t="n"/>
      <c r="K132" s="2090" t="n"/>
      <c r="L132" s="2089" t="n"/>
      <c r="M132" s="2089" t="n"/>
      <c r="N132" s="2089" t="n"/>
      <c r="O132" s="2089" t="n"/>
      <c r="P132" s="2090" t="n"/>
      <c r="Q132" s="2089" t="n"/>
      <c r="R132" s="2089" t="n"/>
      <c r="S132" s="2089" t="n"/>
      <c r="T132" s="2089" t="n"/>
      <c r="U132" s="2090" t="n"/>
      <c r="V132" s="2089" t="n"/>
      <c r="W132" s="2089" t="n"/>
      <c r="X132" s="2089" t="n"/>
      <c r="Y132" s="2089" t="n"/>
      <c r="Z132" s="2090" t="n"/>
      <c r="AA132" s="2089" t="n"/>
      <c r="AB132" s="2089" t="n"/>
      <c r="AC132" s="2089" t="n"/>
      <c r="AD132" s="2089" t="n"/>
      <c r="AE132" s="2090" t="n"/>
      <c r="AF132" s="2089" t="n"/>
      <c r="AG132" s="2089" t="n"/>
      <c r="AH132" s="2089" t="n"/>
      <c r="AI132" s="2089" t="n"/>
      <c r="AJ132" s="2090" t="n"/>
      <c r="AK132" s="2089" t="n"/>
      <c r="AL132" s="2089" t="n"/>
      <c r="AM132" s="2089" t="n"/>
      <c r="AN132" s="2089" t="n"/>
      <c r="AO132" s="2090" t="n"/>
      <c r="AP132" s="2089" t="n"/>
      <c r="AQ132" s="2089" t="n"/>
      <c r="AR132" s="2089" t="n"/>
      <c r="AS132" s="2089" t="n"/>
      <c r="AT132" s="2090" t="n"/>
      <c r="AU132" s="2089" t="n"/>
      <c r="AV132" s="2089" t="n"/>
      <c r="AW132" s="2089" t="n"/>
      <c r="AX132" s="2089" t="n"/>
      <c r="AY132" s="2090" t="n"/>
      <c r="AZ132" s="2089" t="n"/>
      <c r="BA132" s="2089" t="n"/>
      <c r="BB132" s="2089" t="n"/>
      <c r="BC132" s="2089" t="n"/>
      <c r="BD132" s="2133" t="n">
        <v>2.999</v>
      </c>
      <c r="BE132" s="2089" t="n"/>
      <c r="BF132" s="2089" t="n"/>
      <c r="BG132" s="2089" t="n"/>
      <c r="BH132" s="2089" t="n"/>
      <c r="BI132" s="2117" t="n">
        <v>1.615</v>
      </c>
      <c r="BJ132" s="2089" t="n"/>
      <c r="BK132" s="2089" t="n"/>
      <c r="BL132" s="2089" t="n"/>
      <c r="BM132" s="2089" t="n"/>
      <c r="BN132" s="2087" t="n"/>
      <c r="BO132" s="2089" t="n"/>
      <c r="BP132" s="2089" t="n"/>
      <c r="BQ132" s="2100" t="n"/>
      <c r="BR132" s="2089" t="n"/>
      <c r="BS132" s="2090" t="n"/>
      <c r="BT132" s="2089" t="n"/>
      <c r="BU132" s="2089" t="n"/>
      <c r="BV132" s="2089" t="n"/>
      <c r="BW132" s="2089" t="n"/>
      <c r="BX132" s="2090" t="n"/>
      <c r="BY132" s="2090" t="n"/>
      <c r="BZ132" s="2090" t="n"/>
      <c r="CA132" s="2090" t="n"/>
      <c r="CB132" s="2085" t="n"/>
    </row>
    <row r="133" ht="14.4" customFormat="1" customHeight="1" s="2118">
      <c r="A133" s="2119" t="inlineStr">
        <is>
          <t>CRO - Options 02/25/28 exercise price, $</t>
        </is>
      </c>
      <c r="B133" s="2129" t="n"/>
      <c r="C133" s="2126" t="n"/>
      <c r="D133" s="2126" t="n"/>
      <c r="E133" s="2126" t="n"/>
      <c r="F133" s="2126" t="n"/>
      <c r="G133" s="2125" t="n"/>
      <c r="H133" s="2125" t="n"/>
      <c r="I133" s="2125" t="n"/>
      <c r="J133" s="2125" t="n"/>
      <c r="K133" s="2126" t="n"/>
      <c r="L133" s="2125" t="n"/>
      <c r="M133" s="2125" t="n"/>
      <c r="N133" s="2125" t="n"/>
      <c r="O133" s="2125" t="n"/>
      <c r="P133" s="2126" t="n"/>
      <c r="Q133" s="2125" t="n"/>
      <c r="R133" s="2125" t="n"/>
      <c r="S133" s="2125" t="n"/>
      <c r="T133" s="2125" t="n"/>
      <c r="U133" s="2126" t="n"/>
      <c r="V133" s="2125" t="n"/>
      <c r="W133" s="2125" t="n"/>
      <c r="X133" s="2125" t="n"/>
      <c r="Y133" s="2125" t="n"/>
      <c r="Z133" s="2126" t="n"/>
      <c r="AA133" s="2125" t="n"/>
      <c r="AB133" s="2125" t="n"/>
      <c r="AC133" s="2125" t="n"/>
      <c r="AD133" s="2125" t="n"/>
      <c r="AE133" s="2126" t="n"/>
      <c r="AF133" s="2125" t="n"/>
      <c r="AG133" s="2125" t="n"/>
      <c r="AH133" s="2125" t="n"/>
      <c r="AI133" s="2125" t="n"/>
      <c r="AJ133" s="2126" t="n"/>
      <c r="AK133" s="2125" t="n"/>
      <c r="AL133" s="2125" t="n"/>
      <c r="AM133" s="2125" t="n"/>
      <c r="AN133" s="2125" t="n"/>
      <c r="AO133" s="2126" t="n"/>
      <c r="AP133" s="2125" t="n"/>
      <c r="AQ133" s="2125" t="n"/>
      <c r="AR133" s="2125" t="n"/>
      <c r="AS133" s="2125" t="n"/>
      <c r="AT133" s="2126" t="n"/>
      <c r="AU133" s="2125" t="n"/>
      <c r="AV133" s="2125" t="n"/>
      <c r="AW133" s="2125" t="n"/>
      <c r="AX133" s="2125" t="n"/>
      <c r="AY133" s="2126" t="n"/>
      <c r="AZ133" s="2125" t="n"/>
      <c r="BA133" s="2125" t="n"/>
      <c r="BB133" s="2125" t="n"/>
      <c r="BC133" s="2125" t="n"/>
      <c r="BD133" s="2134" t="n">
        <v>138.02</v>
      </c>
      <c r="BE133" s="2125" t="n"/>
      <c r="BF133" s="2125" t="n"/>
      <c r="BG133" s="2125" t="n"/>
      <c r="BH133" s="2125" t="n"/>
      <c r="BI133" s="2123" t="n">
        <v>138.02</v>
      </c>
      <c r="BJ133" s="2125" t="n"/>
      <c r="BK133" s="2125" t="n"/>
      <c r="BL133" s="2125" t="n"/>
      <c r="BM133" s="2125" t="n"/>
      <c r="BN133" s="2121" t="n"/>
      <c r="BO133" s="2125" t="n"/>
      <c r="BP133" s="2125" t="n"/>
      <c r="BQ133" s="2130" t="n"/>
      <c r="BR133" s="2125" t="n"/>
      <c r="BS133" s="2126" t="n"/>
      <c r="BT133" s="2125" t="n"/>
      <c r="BU133" s="2125" t="n"/>
      <c r="BV133" s="2125" t="n"/>
      <c r="BW133" s="2125" t="n"/>
      <c r="BX133" s="2126" t="n"/>
      <c r="BY133" s="2126" t="n"/>
      <c r="BZ133" s="2126" t="n"/>
      <c r="CA133" s="2126" t="n"/>
      <c r="CB133" s="2127" t="n"/>
    </row>
    <row r="134" ht="14.4" customFormat="1" customHeight="1" s="2082">
      <c r="A134" s="1596" t="n"/>
      <c r="B134" s="2098" t="n"/>
      <c r="C134" s="2090" t="n"/>
      <c r="D134" s="2090" t="n"/>
      <c r="E134" s="2090" t="n"/>
      <c r="F134" s="2090" t="n"/>
      <c r="G134" s="2089" t="n"/>
      <c r="H134" s="2089" t="n"/>
      <c r="I134" s="2089" t="n"/>
      <c r="J134" s="2089" t="n"/>
      <c r="K134" s="2090" t="n"/>
      <c r="L134" s="2089" t="n"/>
      <c r="M134" s="2089" t="n"/>
      <c r="N134" s="2089" t="n"/>
      <c r="O134" s="2089" t="n"/>
      <c r="P134" s="2090" t="n"/>
      <c r="Q134" s="2089" t="n"/>
      <c r="R134" s="2089" t="n"/>
      <c r="S134" s="2089" t="n"/>
      <c r="T134" s="2089" t="n"/>
      <c r="U134" s="2090" t="n"/>
      <c r="V134" s="2089" t="n"/>
      <c r="W134" s="2089" t="n"/>
      <c r="X134" s="2089" t="n"/>
      <c r="Y134" s="2089" t="n"/>
      <c r="Z134" s="2090" t="n"/>
      <c r="AA134" s="2089" t="n"/>
      <c r="AB134" s="2089" t="n"/>
      <c r="AC134" s="2089" t="n"/>
      <c r="AD134" s="2089" t="n"/>
      <c r="AE134" s="2090" t="n"/>
      <c r="AF134" s="2089" t="n"/>
      <c r="AG134" s="2089" t="n"/>
      <c r="AH134" s="2089" t="n"/>
      <c r="AI134" s="2089" t="n"/>
      <c r="AJ134" s="2090" t="n"/>
      <c r="AK134" s="2089" t="n"/>
      <c r="AL134" s="2089" t="n"/>
      <c r="AM134" s="2089" t="n"/>
      <c r="AN134" s="2089" t="n"/>
      <c r="AO134" s="2090" t="n"/>
      <c r="AP134" s="2089" t="n"/>
      <c r="AQ134" s="2089" t="n"/>
      <c r="AR134" s="2089" t="n"/>
      <c r="AS134" s="2089" t="n"/>
      <c r="AT134" s="2090" t="n"/>
      <c r="AU134" s="2089" t="n"/>
      <c r="AV134" s="2089" t="n"/>
      <c r="AW134" s="2089" t="n"/>
      <c r="AX134" s="2089" t="n"/>
      <c r="AY134" s="2090" t="n"/>
      <c r="AZ134" s="2089" t="n"/>
      <c r="BA134" s="2089" t="n"/>
      <c r="BB134" s="2089" t="n"/>
      <c r="BC134" s="2089" t="n"/>
      <c r="BD134" s="2090" t="n"/>
      <c r="BE134" s="2089" t="n"/>
      <c r="BF134" s="2089" t="n"/>
      <c r="BG134" s="2089" t="n"/>
      <c r="BH134" s="2089" t="n"/>
      <c r="BI134" s="2087" t="n"/>
      <c r="BJ134" s="2089" t="n"/>
      <c r="BK134" s="2089" t="n"/>
      <c r="BL134" s="2089" t="n"/>
      <c r="BM134" s="2089" t="n"/>
      <c r="BN134" s="2087" t="n"/>
      <c r="BO134" s="2089" t="n"/>
      <c r="BP134" s="2089" t="n"/>
      <c r="BQ134" s="2100" t="n"/>
      <c r="BR134" s="2089" t="n"/>
      <c r="BS134" s="2090" t="n"/>
      <c r="BT134" s="2089" t="n"/>
      <c r="BU134" s="2089" t="n"/>
      <c r="BV134" s="2089" t="n"/>
      <c r="BW134" s="2089" t="n"/>
      <c r="BX134" s="2090" t="n"/>
      <c r="BY134" s="2090" t="n"/>
      <c r="BZ134" s="2090" t="n"/>
      <c r="CA134" s="2090" t="n"/>
      <c r="CB134" s="2085" t="n"/>
    </row>
    <row r="135" ht="14.4" customFormat="1" customHeight="1" s="2082">
      <c r="A135" s="1611" t="inlineStr">
        <is>
          <t>CRO - Options 03/15/29 # of unexercised exercisable options, 000s</t>
        </is>
      </c>
      <c r="B135" s="2098" t="n"/>
      <c r="C135" s="2090" t="n"/>
      <c r="D135" s="2090" t="n"/>
      <c r="E135" s="2090" t="n"/>
      <c r="F135" s="2090" t="n"/>
      <c r="G135" s="2089" t="n"/>
      <c r="H135" s="2089" t="n"/>
      <c r="I135" s="2089" t="n"/>
      <c r="J135" s="2089" t="n"/>
      <c r="K135" s="2090" t="n"/>
      <c r="L135" s="2089" t="n"/>
      <c r="M135" s="2089" t="n"/>
      <c r="N135" s="2089" t="n"/>
      <c r="O135" s="2089" t="n"/>
      <c r="P135" s="2090" t="n"/>
      <c r="Q135" s="2089" t="n"/>
      <c r="R135" s="2089" t="n"/>
      <c r="S135" s="2089" t="n"/>
      <c r="T135" s="2089" t="n"/>
      <c r="U135" s="2090" t="n"/>
      <c r="V135" s="2089" t="n"/>
      <c r="W135" s="2089" t="n"/>
      <c r="X135" s="2089" t="n"/>
      <c r="Y135" s="2089" t="n"/>
      <c r="Z135" s="2090" t="n"/>
      <c r="AA135" s="2089" t="n"/>
      <c r="AB135" s="2089" t="n"/>
      <c r="AC135" s="2089" t="n"/>
      <c r="AD135" s="2089" t="n"/>
      <c r="AE135" s="2090" t="n"/>
      <c r="AF135" s="2089" t="n"/>
      <c r="AG135" s="2089" t="n"/>
      <c r="AH135" s="2089" t="n"/>
      <c r="AI135" s="2089" t="n"/>
      <c r="AJ135" s="2090" t="n"/>
      <c r="AK135" s="2089" t="n"/>
      <c r="AL135" s="2089" t="n"/>
      <c r="AM135" s="2089" t="n"/>
      <c r="AN135" s="2089" t="n"/>
      <c r="AO135" s="2090" t="n"/>
      <c r="AP135" s="2089" t="n"/>
      <c r="AQ135" s="2089" t="n"/>
      <c r="AR135" s="2089" t="n"/>
      <c r="AS135" s="2089" t="n"/>
      <c r="AT135" s="2090" t="n"/>
      <c r="AU135" s="2089" t="n"/>
      <c r="AV135" s="2089" t="n"/>
      <c r="AW135" s="2089" t="n"/>
      <c r="AX135" s="2089" t="n"/>
      <c r="AY135" s="2090" t="n"/>
      <c r="AZ135" s="2089" t="n"/>
      <c r="BA135" s="2089" t="n"/>
      <c r="BB135" s="2089" t="n"/>
      <c r="BC135" s="2089" t="n"/>
      <c r="BD135" s="2088" t="n">
        <v>4.365</v>
      </c>
      <c r="BE135" s="2089" t="n"/>
      <c r="BF135" s="2089" t="n"/>
      <c r="BG135" s="2089" t="n"/>
      <c r="BH135" s="2089" t="n"/>
      <c r="BI135" s="2117" t="n">
        <v>10.162</v>
      </c>
      <c r="BJ135" s="2089" t="n"/>
      <c r="BK135" s="2089" t="n"/>
      <c r="BL135" s="2089" t="n"/>
      <c r="BM135" s="2089" t="n"/>
      <c r="BN135" s="2087" t="n"/>
      <c r="BO135" s="2089" t="n"/>
      <c r="BP135" s="2089" t="n"/>
      <c r="BQ135" s="2100" t="n"/>
      <c r="BR135" s="2089" t="n"/>
      <c r="BS135" s="2090" t="n"/>
      <c r="BT135" s="2089" t="n"/>
      <c r="BU135" s="2089" t="n"/>
      <c r="BV135" s="2089" t="n"/>
      <c r="BW135" s="2089" t="n"/>
      <c r="BX135" s="2090" t="n"/>
      <c r="BY135" s="2090" t="n"/>
      <c r="BZ135" s="2090" t="n"/>
      <c r="CA135" s="2090" t="n"/>
      <c r="CB135" s="2085" t="n"/>
    </row>
    <row r="136" ht="14.4" customFormat="1" customHeight="1" s="2082">
      <c r="A136" s="1611" t="inlineStr">
        <is>
          <t>CRO - Options 03/15/29 # of unexercised unexercisable options, 000s</t>
        </is>
      </c>
      <c r="B136" s="2098" t="n"/>
      <c r="C136" s="2090" t="n"/>
      <c r="D136" s="2090" t="n"/>
      <c r="E136" s="2090" t="n"/>
      <c r="F136" s="2090" t="n"/>
      <c r="G136" s="2089" t="n"/>
      <c r="H136" s="2089" t="n"/>
      <c r="I136" s="2089" t="n"/>
      <c r="J136" s="2089" t="n"/>
      <c r="K136" s="2090" t="n"/>
      <c r="L136" s="2089" t="n"/>
      <c r="M136" s="2089" t="n"/>
      <c r="N136" s="2089" t="n"/>
      <c r="O136" s="2089" t="n"/>
      <c r="P136" s="2090" t="n"/>
      <c r="Q136" s="2089" t="n"/>
      <c r="R136" s="2089" t="n"/>
      <c r="S136" s="2089" t="n"/>
      <c r="T136" s="2089" t="n"/>
      <c r="U136" s="2090" t="n"/>
      <c r="V136" s="2089" t="n"/>
      <c r="W136" s="2089" t="n"/>
      <c r="X136" s="2089" t="n"/>
      <c r="Y136" s="2089" t="n"/>
      <c r="Z136" s="2090" t="n"/>
      <c r="AA136" s="2089" t="n"/>
      <c r="AB136" s="2089" t="n"/>
      <c r="AC136" s="2089" t="n"/>
      <c r="AD136" s="2089" t="n"/>
      <c r="AE136" s="2090" t="n"/>
      <c r="AF136" s="2089" t="n"/>
      <c r="AG136" s="2089" t="n"/>
      <c r="AH136" s="2089" t="n"/>
      <c r="AI136" s="2089" t="n"/>
      <c r="AJ136" s="2090" t="n"/>
      <c r="AK136" s="2089" t="n"/>
      <c r="AL136" s="2089" t="n"/>
      <c r="AM136" s="2089" t="n"/>
      <c r="AN136" s="2089" t="n"/>
      <c r="AO136" s="2090" t="n"/>
      <c r="AP136" s="2089" t="n"/>
      <c r="AQ136" s="2089" t="n"/>
      <c r="AR136" s="2089" t="n"/>
      <c r="AS136" s="2089" t="n"/>
      <c r="AT136" s="2090" t="n"/>
      <c r="AU136" s="2089" t="n"/>
      <c r="AV136" s="2089" t="n"/>
      <c r="AW136" s="2089" t="n"/>
      <c r="AX136" s="2089" t="n"/>
      <c r="AY136" s="2090" t="n"/>
      <c r="AZ136" s="2089" t="n"/>
      <c r="BA136" s="2089" t="n"/>
      <c r="BB136" s="2089" t="n"/>
      <c r="BC136" s="2089" t="n"/>
      <c r="BD136" s="2088" t="n">
        <v>18.874</v>
      </c>
      <c r="BE136" s="2089" t="n"/>
      <c r="BF136" s="2089" t="n"/>
      <c r="BG136" s="2089" t="n"/>
      <c r="BH136" s="2089" t="n"/>
      <c r="BI136" s="2117" t="n">
        <v>13.067</v>
      </c>
      <c r="BJ136" s="2089" t="n"/>
      <c r="BK136" s="2089" t="n"/>
      <c r="BL136" s="2089" t="n"/>
      <c r="BM136" s="2089" t="n"/>
      <c r="BN136" s="2087" t="n"/>
      <c r="BO136" s="2089" t="n"/>
      <c r="BP136" s="2089" t="n"/>
      <c r="BQ136" s="2100" t="n"/>
      <c r="BR136" s="2089" t="n"/>
      <c r="BS136" s="2090" t="n"/>
      <c r="BT136" s="2089" t="n"/>
      <c r="BU136" s="2089" t="n"/>
      <c r="BV136" s="2089" t="n"/>
      <c r="BW136" s="2089" t="n"/>
      <c r="BX136" s="2090" t="n"/>
      <c r="BY136" s="2090" t="n"/>
      <c r="BZ136" s="2090" t="n"/>
      <c r="CA136" s="2090" t="n"/>
      <c r="CB136" s="2085" t="n"/>
    </row>
    <row r="137" ht="14.4" customFormat="1" customHeight="1" s="2118">
      <c r="A137" s="2119" t="inlineStr">
        <is>
          <t>CRO - Options 03/15/29 exercise price, $</t>
        </is>
      </c>
      <c r="B137" s="2129" t="n"/>
      <c r="C137" s="2126" t="n"/>
      <c r="D137" s="2126" t="n"/>
      <c r="E137" s="2126" t="n"/>
      <c r="F137" s="2126" t="n"/>
      <c r="G137" s="2125" t="n"/>
      <c r="H137" s="2125" t="n"/>
      <c r="I137" s="2125" t="n"/>
      <c r="J137" s="2125" t="n"/>
      <c r="K137" s="2126" t="n"/>
      <c r="L137" s="2125" t="n"/>
      <c r="M137" s="2125" t="n"/>
      <c r="N137" s="2125" t="n"/>
      <c r="O137" s="2125" t="n"/>
      <c r="P137" s="2126" t="n"/>
      <c r="Q137" s="2125" t="n"/>
      <c r="R137" s="2125" t="n"/>
      <c r="S137" s="2125" t="n"/>
      <c r="T137" s="2125" t="n"/>
      <c r="U137" s="2126" t="n"/>
      <c r="V137" s="2125" t="n"/>
      <c r="W137" s="2125" t="n"/>
      <c r="X137" s="2125" t="n"/>
      <c r="Y137" s="2125" t="n"/>
      <c r="Z137" s="2126" t="n"/>
      <c r="AA137" s="2125" t="n"/>
      <c r="AB137" s="2125" t="n"/>
      <c r="AC137" s="2125" t="n"/>
      <c r="AD137" s="2125" t="n"/>
      <c r="AE137" s="2126" t="n"/>
      <c r="AF137" s="2125" t="n"/>
      <c r="AG137" s="2125" t="n"/>
      <c r="AH137" s="2125" t="n"/>
      <c r="AI137" s="2125" t="n"/>
      <c r="AJ137" s="2126" t="n"/>
      <c r="AK137" s="2125" t="n"/>
      <c r="AL137" s="2125" t="n"/>
      <c r="AM137" s="2125" t="n"/>
      <c r="AN137" s="2125" t="n"/>
      <c r="AO137" s="2126" t="n"/>
      <c r="AP137" s="2125" t="n"/>
      <c r="AQ137" s="2125" t="n"/>
      <c r="AR137" s="2125" t="n"/>
      <c r="AS137" s="2125" t="n"/>
      <c r="AT137" s="2126" t="n"/>
      <c r="AU137" s="2125" t="n"/>
      <c r="AV137" s="2125" t="n"/>
      <c r="AW137" s="2125" t="n"/>
      <c r="AX137" s="2125" t="n"/>
      <c r="AY137" s="2126" t="n"/>
      <c r="AZ137" s="2125" t="n"/>
      <c r="BA137" s="2125" t="n"/>
      <c r="BB137" s="2125" t="n"/>
      <c r="BC137" s="2125" t="n"/>
      <c r="BD137" s="2128" t="n">
        <v>142.5</v>
      </c>
      <c r="BE137" s="2125" t="n"/>
      <c r="BF137" s="2125" t="n"/>
      <c r="BG137" s="2125" t="n"/>
      <c r="BH137" s="2125" t="n"/>
      <c r="BI137" s="2123" t="n">
        <v>142.5</v>
      </c>
      <c r="BJ137" s="2125" t="n"/>
      <c r="BK137" s="2125" t="n"/>
      <c r="BL137" s="2125" t="n"/>
      <c r="BM137" s="2125" t="n"/>
      <c r="BN137" s="2121" t="n"/>
      <c r="BO137" s="2125" t="n"/>
      <c r="BP137" s="2125" t="n"/>
      <c r="BQ137" s="2130" t="n"/>
      <c r="BR137" s="2125" t="n"/>
      <c r="BS137" s="2126" t="n"/>
      <c r="BT137" s="2125" t="n"/>
      <c r="BU137" s="2125" t="n"/>
      <c r="BV137" s="2125" t="n"/>
      <c r="BW137" s="2125" t="n"/>
      <c r="BX137" s="2126" t="n"/>
      <c r="BY137" s="2126" t="n"/>
      <c r="BZ137" s="2126" t="n"/>
      <c r="CA137" s="2126" t="n"/>
      <c r="CB137" s="2127" t="n"/>
    </row>
    <row r="138" ht="14.4" customFormat="1" customHeight="1" s="2082">
      <c r="A138" s="1596" t="n"/>
      <c r="B138" s="2098" t="n"/>
      <c r="C138" s="2090" t="n"/>
      <c r="D138" s="2090" t="n"/>
      <c r="E138" s="2090" t="n"/>
      <c r="F138" s="2090" t="n"/>
      <c r="G138" s="2089" t="n"/>
      <c r="H138" s="2089" t="n"/>
      <c r="I138" s="2089" t="n"/>
      <c r="J138" s="2089" t="n"/>
      <c r="K138" s="2090" t="n"/>
      <c r="L138" s="2089" t="n"/>
      <c r="M138" s="2089" t="n"/>
      <c r="N138" s="2089" t="n"/>
      <c r="O138" s="2089" t="n"/>
      <c r="P138" s="2090" t="n"/>
      <c r="Q138" s="2089" t="n"/>
      <c r="R138" s="2089" t="n"/>
      <c r="S138" s="2089" t="n"/>
      <c r="T138" s="2089" t="n"/>
      <c r="U138" s="2090" t="n"/>
      <c r="V138" s="2089" t="n"/>
      <c r="W138" s="2089" t="n"/>
      <c r="X138" s="2089" t="n"/>
      <c r="Y138" s="2089" t="n"/>
      <c r="Z138" s="2090" t="n"/>
      <c r="AA138" s="2089" t="n"/>
      <c r="AB138" s="2089" t="n"/>
      <c r="AC138" s="2089" t="n"/>
      <c r="AD138" s="2089" t="n"/>
      <c r="AE138" s="2090" t="n"/>
      <c r="AF138" s="2089" t="n"/>
      <c r="AG138" s="2089" t="n"/>
      <c r="AH138" s="2089" t="n"/>
      <c r="AI138" s="2089" t="n"/>
      <c r="AJ138" s="2090" t="n"/>
      <c r="AK138" s="2089" t="n"/>
      <c r="AL138" s="2089" t="n"/>
      <c r="AM138" s="2089" t="n"/>
      <c r="AN138" s="2089" t="n"/>
      <c r="AO138" s="2090" t="n"/>
      <c r="AP138" s="2089" t="n"/>
      <c r="AQ138" s="2089" t="n"/>
      <c r="AR138" s="2089" t="n"/>
      <c r="AS138" s="2089" t="n"/>
      <c r="AT138" s="2090" t="n"/>
      <c r="AU138" s="2089" t="n"/>
      <c r="AV138" s="2089" t="n"/>
      <c r="AW138" s="2089" t="n"/>
      <c r="AX138" s="2089" t="n"/>
      <c r="AY138" s="2090" t="n"/>
      <c r="AZ138" s="2089" t="n"/>
      <c r="BA138" s="2089" t="n"/>
      <c r="BB138" s="2089" t="n"/>
      <c r="BC138" s="2089" t="n"/>
      <c r="BD138" s="2090" t="n"/>
      <c r="BE138" s="2089" t="n"/>
      <c r="BF138" s="2089" t="n"/>
      <c r="BG138" s="2089" t="n"/>
      <c r="BH138" s="2089" t="n"/>
      <c r="BI138" s="2090" t="n"/>
      <c r="BJ138" s="2089" t="n"/>
      <c r="BK138" s="2089" t="n"/>
      <c r="BL138" s="2089" t="n"/>
      <c r="BM138" s="2089" t="n"/>
      <c r="BN138" s="2090" t="n"/>
      <c r="BO138" s="2089" t="n"/>
      <c r="BP138" s="2089" t="n"/>
      <c r="BQ138" s="2100" t="n"/>
      <c r="BR138" s="2089" t="n"/>
      <c r="BS138" s="2090" t="n"/>
      <c r="BT138" s="2089" t="n"/>
      <c r="BU138" s="2089" t="n"/>
      <c r="BV138" s="2089" t="n"/>
      <c r="BW138" s="2089" t="n"/>
      <c r="BX138" s="2090" t="n"/>
      <c r="BY138" s="2090" t="n"/>
      <c r="BZ138" s="2090" t="n"/>
      <c r="CA138" s="2090" t="n"/>
      <c r="CB138" s="2085" t="n"/>
    </row>
    <row r="139" ht="14.4" customFormat="1" customHeight="1" s="2082">
      <c r="A139" s="1611" t="inlineStr">
        <is>
          <t>CRO - Options 03/15/30 # of unexercised exercisable options, 000s</t>
        </is>
      </c>
      <c r="B139" s="2098" t="n"/>
      <c r="C139" s="2090" t="n"/>
      <c r="D139" s="2090" t="n"/>
      <c r="E139" s="2090" t="n"/>
      <c r="F139" s="2090" t="n"/>
      <c r="G139" s="2089" t="n"/>
      <c r="H139" s="2089" t="n"/>
      <c r="I139" s="2089" t="n"/>
      <c r="J139" s="2089" t="n"/>
      <c r="K139" s="2090" t="n"/>
      <c r="L139" s="2089" t="n"/>
      <c r="M139" s="2089" t="n"/>
      <c r="N139" s="2089" t="n"/>
      <c r="O139" s="2089" t="n"/>
      <c r="P139" s="2090" t="n"/>
      <c r="Q139" s="2089" t="n"/>
      <c r="R139" s="2089" t="n"/>
      <c r="S139" s="2089" t="n"/>
      <c r="T139" s="2089" t="n"/>
      <c r="U139" s="2090" t="n"/>
      <c r="V139" s="2089" t="n"/>
      <c r="W139" s="2089" t="n"/>
      <c r="X139" s="2089" t="n"/>
      <c r="Y139" s="2089" t="n"/>
      <c r="Z139" s="2090" t="n"/>
      <c r="AA139" s="2089" t="n"/>
      <c r="AB139" s="2089" t="n"/>
      <c r="AC139" s="2089" t="n"/>
      <c r="AD139" s="2089" t="n"/>
      <c r="AE139" s="2090" t="n"/>
      <c r="AF139" s="2089" t="n"/>
      <c r="AG139" s="2089" t="n"/>
      <c r="AH139" s="2089" t="n"/>
      <c r="AI139" s="2089" t="n"/>
      <c r="AJ139" s="2090" t="n"/>
      <c r="AK139" s="2089" t="n"/>
      <c r="AL139" s="2089" t="n"/>
      <c r="AM139" s="2089" t="n"/>
      <c r="AN139" s="2089" t="n"/>
      <c r="AO139" s="2090" t="n"/>
      <c r="AP139" s="2089" t="n"/>
      <c r="AQ139" s="2089" t="n"/>
      <c r="AR139" s="2089" t="n"/>
      <c r="AS139" s="2089" t="n"/>
      <c r="AT139" s="2090" t="n"/>
      <c r="AU139" s="2089" t="n"/>
      <c r="AV139" s="2089" t="n"/>
      <c r="AW139" s="2089" t="n"/>
      <c r="AX139" s="2089" t="n"/>
      <c r="AY139" s="2090" t="n"/>
      <c r="AZ139" s="2089" t="n"/>
      <c r="BA139" s="2089" t="n"/>
      <c r="BB139" s="2089" t="n"/>
      <c r="BC139" s="2089" t="n"/>
      <c r="BD139" s="2090" t="n"/>
      <c r="BE139" s="2089" t="n"/>
      <c r="BF139" s="2089" t="n"/>
      <c r="BG139" s="2089" t="n"/>
      <c r="BH139" s="2089" t="n"/>
      <c r="BI139" s="2117" t="n">
        <v>3.685</v>
      </c>
      <c r="BJ139" s="2089" t="n"/>
      <c r="BK139" s="2089" t="n"/>
      <c r="BL139" s="2089" t="n"/>
      <c r="BM139" s="2089" t="n"/>
      <c r="BN139" s="2087" t="n"/>
      <c r="BO139" s="2089" t="n"/>
      <c r="BP139" s="2089" t="n"/>
      <c r="BQ139" s="2100" t="n"/>
      <c r="BR139" s="2089" t="n"/>
      <c r="BS139" s="2090" t="n"/>
      <c r="BT139" s="2089" t="n"/>
      <c r="BU139" s="2089" t="n"/>
      <c r="BV139" s="2089" t="n"/>
      <c r="BW139" s="2089" t="n"/>
      <c r="BX139" s="2090" t="n"/>
      <c r="BY139" s="2090" t="n"/>
      <c r="BZ139" s="2090" t="n"/>
      <c r="CA139" s="2090" t="n"/>
      <c r="CB139" s="2085" t="n"/>
    </row>
    <row r="140" ht="14.4" customFormat="1" customHeight="1" s="2082">
      <c r="A140" s="1611" t="inlineStr">
        <is>
          <t>CRO - Options 03/15/30 # of unexercised unexercisable options, 000s</t>
        </is>
      </c>
      <c r="B140" s="2098" t="n"/>
      <c r="C140" s="2090" t="n"/>
      <c r="D140" s="2090" t="n"/>
      <c r="E140" s="2090" t="n"/>
      <c r="F140" s="2090" t="n"/>
      <c r="G140" s="2089" t="n"/>
      <c r="H140" s="2089" t="n"/>
      <c r="I140" s="2089" t="n"/>
      <c r="J140" s="2089" t="n"/>
      <c r="K140" s="2090" t="n"/>
      <c r="L140" s="2089" t="n"/>
      <c r="M140" s="2089" t="n"/>
      <c r="N140" s="2089" t="n"/>
      <c r="O140" s="2089" t="n"/>
      <c r="P140" s="2090" t="n"/>
      <c r="Q140" s="2089" t="n"/>
      <c r="R140" s="2089" t="n"/>
      <c r="S140" s="2089" t="n"/>
      <c r="T140" s="2089" t="n"/>
      <c r="U140" s="2090" t="n"/>
      <c r="V140" s="2089" t="n"/>
      <c r="W140" s="2089" t="n"/>
      <c r="X140" s="2089" t="n"/>
      <c r="Y140" s="2089" t="n"/>
      <c r="Z140" s="2090" t="n"/>
      <c r="AA140" s="2089" t="n"/>
      <c r="AB140" s="2089" t="n"/>
      <c r="AC140" s="2089" t="n"/>
      <c r="AD140" s="2089" t="n"/>
      <c r="AE140" s="2090" t="n"/>
      <c r="AF140" s="2089" t="n"/>
      <c r="AG140" s="2089" t="n"/>
      <c r="AH140" s="2089" t="n"/>
      <c r="AI140" s="2089" t="n"/>
      <c r="AJ140" s="2090" t="n"/>
      <c r="AK140" s="2089" t="n"/>
      <c r="AL140" s="2089" t="n"/>
      <c r="AM140" s="2089" t="n"/>
      <c r="AN140" s="2089" t="n"/>
      <c r="AO140" s="2090" t="n"/>
      <c r="AP140" s="2089" t="n"/>
      <c r="AQ140" s="2089" t="n"/>
      <c r="AR140" s="2089" t="n"/>
      <c r="AS140" s="2089" t="n"/>
      <c r="AT140" s="2090" t="n"/>
      <c r="AU140" s="2089" t="n"/>
      <c r="AV140" s="2089" t="n"/>
      <c r="AW140" s="2089" t="n"/>
      <c r="AX140" s="2089" t="n"/>
      <c r="AY140" s="2090" t="n"/>
      <c r="AZ140" s="2089" t="n"/>
      <c r="BA140" s="2089" t="n"/>
      <c r="BB140" s="2089" t="n"/>
      <c r="BC140" s="2089" t="n"/>
      <c r="BD140" s="2090" t="n"/>
      <c r="BE140" s="2089" t="n"/>
      <c r="BF140" s="2089" t="n"/>
      <c r="BG140" s="2089" t="n"/>
      <c r="BH140" s="2089" t="n"/>
      <c r="BI140" s="2117" t="n">
        <v>15.97</v>
      </c>
      <c r="BJ140" s="2089" t="n"/>
      <c r="BK140" s="2089" t="n"/>
      <c r="BL140" s="2089" t="n"/>
      <c r="BM140" s="2089" t="n"/>
      <c r="BN140" s="2087" t="n"/>
      <c r="BO140" s="2089" t="n"/>
      <c r="BP140" s="2089" t="n"/>
      <c r="BQ140" s="2100" t="n"/>
      <c r="BR140" s="2089" t="n"/>
      <c r="BS140" s="2090" t="n"/>
      <c r="BT140" s="2089" t="n"/>
      <c r="BU140" s="2089" t="n"/>
      <c r="BV140" s="2089" t="n"/>
      <c r="BW140" s="2089" t="n"/>
      <c r="BX140" s="2090" t="n"/>
      <c r="BY140" s="2090" t="n"/>
      <c r="BZ140" s="2090" t="n"/>
      <c r="CA140" s="2090" t="n"/>
      <c r="CB140" s="2085" t="n"/>
    </row>
    <row r="141" ht="14.4" customFormat="1" customHeight="1" s="2082">
      <c r="A141" s="2119" t="inlineStr">
        <is>
          <t>CRO - Options 03/15/30 exercise price, $</t>
        </is>
      </c>
      <c r="B141" s="2098" t="n"/>
      <c r="C141" s="2090" t="n"/>
      <c r="D141" s="2090" t="n"/>
      <c r="E141" s="2090" t="n"/>
      <c r="F141" s="2090" t="n"/>
      <c r="G141" s="2089" t="n"/>
      <c r="H141" s="2089" t="n"/>
      <c r="I141" s="2089" t="n"/>
      <c r="J141" s="2089" t="n"/>
      <c r="K141" s="2090" t="n"/>
      <c r="L141" s="2089" t="n"/>
      <c r="M141" s="2089" t="n"/>
      <c r="N141" s="2089" t="n"/>
      <c r="O141" s="2089" t="n"/>
      <c r="P141" s="2090" t="n"/>
      <c r="Q141" s="2089" t="n"/>
      <c r="R141" s="2089" t="n"/>
      <c r="S141" s="2089" t="n"/>
      <c r="T141" s="2089" t="n"/>
      <c r="U141" s="2090" t="n"/>
      <c r="V141" s="2089" t="n"/>
      <c r="W141" s="2089" t="n"/>
      <c r="X141" s="2089" t="n"/>
      <c r="Y141" s="2089" t="n"/>
      <c r="Z141" s="2090" t="n"/>
      <c r="AA141" s="2089" t="n"/>
      <c r="AB141" s="2089" t="n"/>
      <c r="AC141" s="2089" t="n"/>
      <c r="AD141" s="2089" t="n"/>
      <c r="AE141" s="2090" t="n"/>
      <c r="AF141" s="2089" t="n"/>
      <c r="AG141" s="2089" t="n"/>
      <c r="AH141" s="2089" t="n"/>
      <c r="AI141" s="2089" t="n"/>
      <c r="AJ141" s="2090" t="n"/>
      <c r="AK141" s="2089" t="n"/>
      <c r="AL141" s="2089" t="n"/>
      <c r="AM141" s="2089" t="n"/>
      <c r="AN141" s="2089" t="n"/>
      <c r="AO141" s="2090" t="n"/>
      <c r="AP141" s="2089" t="n"/>
      <c r="AQ141" s="2089" t="n"/>
      <c r="AR141" s="2089" t="n"/>
      <c r="AS141" s="2089" t="n"/>
      <c r="AT141" s="2090" t="n"/>
      <c r="AU141" s="2089" t="n"/>
      <c r="AV141" s="2089" t="n"/>
      <c r="AW141" s="2089" t="n"/>
      <c r="AX141" s="2089" t="n"/>
      <c r="AY141" s="2090" t="n"/>
      <c r="AZ141" s="2089" t="n"/>
      <c r="BA141" s="2089" t="n"/>
      <c r="BB141" s="2089" t="n"/>
      <c r="BC141" s="2089" t="n"/>
      <c r="BD141" s="2090" t="n"/>
      <c r="BE141" s="2089" t="n"/>
      <c r="BF141" s="2089" t="n"/>
      <c r="BG141" s="2089" t="n"/>
      <c r="BH141" s="2089" t="n"/>
      <c r="BI141" s="2117" t="n">
        <v>202.94</v>
      </c>
      <c r="BJ141" s="2089" t="n"/>
      <c r="BK141" s="2089" t="n"/>
      <c r="BL141" s="2089" t="n"/>
      <c r="BM141" s="2089" t="n"/>
      <c r="BN141" s="2087" t="n"/>
      <c r="BO141" s="2089" t="n"/>
      <c r="BP141" s="2089" t="n"/>
      <c r="BQ141" s="2100" t="n"/>
      <c r="BR141" s="2089" t="n"/>
      <c r="BS141" s="2090" t="n"/>
      <c r="BT141" s="2089" t="n"/>
      <c r="BU141" s="2089" t="n"/>
      <c r="BV141" s="2089" t="n"/>
      <c r="BW141" s="2089" t="n"/>
      <c r="BX141" s="2090" t="n"/>
      <c r="BY141" s="2090" t="n"/>
      <c r="BZ141" s="2090" t="n"/>
      <c r="CA141" s="2090" t="n"/>
      <c r="CB141" s="2085" t="n"/>
    </row>
    <row r="142" ht="14.4" customFormat="1" customHeight="1" s="2082">
      <c r="A142" s="1596" t="n"/>
      <c r="B142" s="2098" t="n"/>
      <c r="C142" s="2090" t="n"/>
      <c r="D142" s="2090" t="n"/>
      <c r="E142" s="2090" t="n"/>
      <c r="F142" s="2090" t="n"/>
      <c r="G142" s="2089" t="n"/>
      <c r="H142" s="2089" t="n"/>
      <c r="I142" s="2089" t="n"/>
      <c r="J142" s="2089" t="n"/>
      <c r="K142" s="2090" t="n"/>
      <c r="L142" s="2089" t="n"/>
      <c r="M142" s="2089" t="n"/>
      <c r="N142" s="2089" t="n"/>
      <c r="O142" s="2089" t="n"/>
      <c r="P142" s="2090" t="n"/>
      <c r="Q142" s="2089" t="n"/>
      <c r="R142" s="2089" t="n"/>
      <c r="S142" s="2089" t="n"/>
      <c r="T142" s="2089" t="n"/>
      <c r="U142" s="2090" t="n"/>
      <c r="V142" s="2089" t="n"/>
      <c r="W142" s="2089" t="n"/>
      <c r="X142" s="2089" t="n"/>
      <c r="Y142" s="2089" t="n"/>
      <c r="Z142" s="2090" t="n"/>
      <c r="AA142" s="2089" t="n"/>
      <c r="AB142" s="2089" t="n"/>
      <c r="AC142" s="2089" t="n"/>
      <c r="AD142" s="2089" t="n"/>
      <c r="AE142" s="2090" t="n"/>
      <c r="AF142" s="2089" t="n"/>
      <c r="AG142" s="2089" t="n"/>
      <c r="AH142" s="2089" t="n"/>
      <c r="AI142" s="2089" t="n"/>
      <c r="AJ142" s="2090" t="n"/>
      <c r="AK142" s="2089" t="n"/>
      <c r="AL142" s="2089" t="n"/>
      <c r="AM142" s="2089" t="n"/>
      <c r="AN142" s="2089" t="n"/>
      <c r="AO142" s="2090" t="n"/>
      <c r="AP142" s="2089" t="n"/>
      <c r="AQ142" s="2089" t="n"/>
      <c r="AR142" s="2089" t="n"/>
      <c r="AS142" s="2089" t="n"/>
      <c r="AT142" s="2090" t="n"/>
      <c r="AU142" s="2089" t="n"/>
      <c r="AV142" s="2089" t="n"/>
      <c r="AW142" s="2089" t="n"/>
      <c r="AX142" s="2089" t="n"/>
      <c r="AY142" s="2090" t="n"/>
      <c r="AZ142" s="2089" t="n"/>
      <c r="BA142" s="2089" t="n"/>
      <c r="BB142" s="2089" t="n"/>
      <c r="BC142" s="2089" t="n"/>
      <c r="BD142" s="2090" t="n"/>
      <c r="BE142" s="2089" t="n"/>
      <c r="BF142" s="2089" t="n"/>
      <c r="BG142" s="2089" t="n"/>
      <c r="BH142" s="2089" t="n"/>
      <c r="BI142" s="2087" t="n"/>
      <c r="BJ142" s="2089" t="n"/>
      <c r="BK142" s="2089" t="n"/>
      <c r="BL142" s="2089" t="n"/>
      <c r="BM142" s="2089" t="n"/>
      <c r="BN142" s="2087" t="n"/>
      <c r="BO142" s="2089" t="n"/>
      <c r="BP142" s="2089" t="n"/>
      <c r="BQ142" s="2100" t="n"/>
      <c r="BR142" s="2089" t="n"/>
      <c r="BS142" s="2090" t="n"/>
      <c r="BT142" s="2089" t="n"/>
      <c r="BU142" s="2089" t="n"/>
      <c r="BV142" s="2089" t="n"/>
      <c r="BW142" s="2089" t="n"/>
      <c r="BX142" s="2090" t="n"/>
      <c r="BY142" s="2090" t="n"/>
      <c r="BZ142" s="2090" t="n"/>
      <c r="CA142" s="2090" t="n"/>
      <c r="CB142" s="2085" t="n"/>
    </row>
    <row r="143" ht="14.4" customFormat="1" customHeight="1" s="2082">
      <c r="A143" s="1596" t="inlineStr">
        <is>
          <t>CRO - EoP shares beneficially owned, 000s</t>
        </is>
      </c>
      <c r="B143" s="2098" t="n"/>
      <c r="C143" s="2090" t="n"/>
      <c r="D143" s="2090" t="n"/>
      <c r="E143" s="2090" t="n"/>
      <c r="F143" s="2090" t="n"/>
      <c r="G143" s="2089" t="n"/>
      <c r="H143" s="2089" t="n"/>
      <c r="I143" s="2089" t="n"/>
      <c r="J143" s="2089" t="n"/>
      <c r="K143" s="2090" t="n"/>
      <c r="L143" s="2089" t="n"/>
      <c r="M143" s="2089" t="n"/>
      <c r="N143" s="2089" t="n"/>
      <c r="O143" s="2089" t="n"/>
      <c r="P143" s="2090" t="n"/>
      <c r="Q143" s="2089" t="n"/>
      <c r="R143" s="2089" t="n"/>
      <c r="S143" s="2089" t="n"/>
      <c r="T143" s="2089" t="n"/>
      <c r="U143" s="2090" t="n"/>
      <c r="V143" s="2089" t="n"/>
      <c r="W143" s="2089" t="n"/>
      <c r="X143" s="2089" t="n"/>
      <c r="Y143" s="2089" t="n"/>
      <c r="Z143" s="2090" t="n"/>
      <c r="AA143" s="2089" t="n"/>
      <c r="AB143" s="2089" t="n"/>
      <c r="AC143" s="2089" t="n"/>
      <c r="AD143" s="2089" t="n"/>
      <c r="AE143" s="2090" t="n"/>
      <c r="AF143" s="2089" t="n"/>
      <c r="AG143" s="2089" t="n"/>
      <c r="AH143" s="2089" t="n"/>
      <c r="AI143" s="2089" t="n"/>
      <c r="AJ143" s="2090" t="n"/>
      <c r="AK143" s="2089" t="n"/>
      <c r="AL143" s="2089" t="n"/>
      <c r="AM143" s="2089" t="n"/>
      <c r="AN143" s="2089" t="n"/>
      <c r="AO143" s="2090" t="n"/>
      <c r="AP143" s="2089" t="n"/>
      <c r="AQ143" s="2089" t="n"/>
      <c r="AR143" s="2089" t="n"/>
      <c r="AS143" s="2089" t="n"/>
      <c r="AT143" s="2090" t="n"/>
      <c r="AU143" s="2089" t="n"/>
      <c r="AV143" s="2089" t="n"/>
      <c r="AW143" s="2089" t="n"/>
      <c r="AX143" s="2089" t="n"/>
      <c r="AY143" s="2132" t="n">
        <v>105.421</v>
      </c>
      <c r="AZ143" s="2089" t="n"/>
      <c r="BA143" s="2089" t="n"/>
      <c r="BB143" s="2089" t="n"/>
      <c r="BC143" s="2089" t="n"/>
      <c r="BD143" s="2132" t="n">
        <v>111.941</v>
      </c>
      <c r="BE143" s="2089" t="n"/>
      <c r="BF143" s="2089" t="n"/>
      <c r="BG143" s="2089" t="n"/>
      <c r="BH143" s="2089" t="n"/>
      <c r="BI143" s="2132" t="n">
        <v>90.31100000000001</v>
      </c>
      <c r="BJ143" s="2089" t="n"/>
      <c r="BK143" s="2089" t="n"/>
      <c r="BL143" s="2089" t="n"/>
      <c r="BM143" s="2089" t="n"/>
      <c r="BN143" s="2090" t="n"/>
      <c r="BO143" s="2089" t="n"/>
      <c r="BP143" s="2089" t="n"/>
      <c r="BQ143" s="2100" t="n"/>
      <c r="BR143" s="2089" t="n"/>
      <c r="BS143" s="2090" t="n"/>
      <c r="BT143" s="2089" t="n"/>
      <c r="BU143" s="2089" t="n"/>
      <c r="BV143" s="2089" t="n"/>
      <c r="BW143" s="2089" t="n"/>
      <c r="BX143" s="2090" t="n"/>
      <c r="BY143" s="2090" t="n"/>
      <c r="BZ143" s="2090" t="n"/>
      <c r="CA143" s="2090" t="n"/>
      <c r="CB143" s="2085" t="n"/>
    </row>
    <row r="144" ht="14.4" customFormat="1" customHeight="1" s="2082">
      <c r="A144" s="1596" t="n"/>
      <c r="B144" s="2098" t="n"/>
      <c r="C144" s="2090" t="n"/>
      <c r="D144" s="2090" t="n"/>
      <c r="E144" s="2090" t="n"/>
      <c r="F144" s="2090" t="n"/>
      <c r="G144" s="2089" t="n"/>
      <c r="H144" s="2089" t="n"/>
      <c r="I144" s="2089" t="n"/>
      <c r="J144" s="2089" t="n"/>
      <c r="K144" s="2090" t="n"/>
      <c r="L144" s="2089" t="n"/>
      <c r="M144" s="2089" t="n"/>
      <c r="N144" s="2089" t="n"/>
      <c r="O144" s="2089" t="n"/>
      <c r="P144" s="2090" t="n"/>
      <c r="Q144" s="2089" t="n"/>
      <c r="R144" s="2089" t="n"/>
      <c r="S144" s="2089" t="n"/>
      <c r="T144" s="2089" t="n"/>
      <c r="U144" s="2090" t="n"/>
      <c r="V144" s="2089" t="n"/>
      <c r="W144" s="2089" t="n"/>
      <c r="X144" s="2089" t="n"/>
      <c r="Y144" s="2089" t="n"/>
      <c r="Z144" s="2090" t="n"/>
      <c r="AA144" s="2089" t="n"/>
      <c r="AB144" s="2089" t="n"/>
      <c r="AC144" s="2089" t="n"/>
      <c r="AD144" s="2089" t="n"/>
      <c r="AE144" s="2090" t="n"/>
      <c r="AF144" s="2089" t="n"/>
      <c r="AG144" s="2089" t="n"/>
      <c r="AH144" s="2089" t="n"/>
      <c r="AI144" s="2089" t="n"/>
      <c r="AJ144" s="2090" t="n"/>
      <c r="AK144" s="2089" t="n"/>
      <c r="AL144" s="2089" t="n"/>
      <c r="AM144" s="2089" t="n"/>
      <c r="AN144" s="2089" t="n"/>
      <c r="AO144" s="2090" t="n"/>
      <c r="AP144" s="2089" t="n"/>
      <c r="AQ144" s="2089" t="n"/>
      <c r="AR144" s="2089" t="n"/>
      <c r="AS144" s="2089" t="n"/>
      <c r="AT144" s="2090" t="n"/>
      <c r="AU144" s="2089" t="n"/>
      <c r="AV144" s="2089" t="n"/>
      <c r="AW144" s="2089" t="n"/>
      <c r="AX144" s="2089" t="n"/>
      <c r="AY144" s="2090" t="n"/>
      <c r="AZ144" s="2089" t="n"/>
      <c r="BA144" s="2089" t="n"/>
      <c r="BB144" s="2089" t="n"/>
      <c r="BC144" s="2089" t="n"/>
      <c r="BD144" s="2090" t="n"/>
      <c r="BE144" s="2089" t="n"/>
      <c r="BF144" s="2089" t="n"/>
      <c r="BG144" s="2089" t="n"/>
      <c r="BH144" s="2089" t="n"/>
      <c r="BI144" s="2090" t="n"/>
      <c r="BJ144" s="2089" t="n"/>
      <c r="BK144" s="2089" t="n"/>
      <c r="BL144" s="2089" t="n"/>
      <c r="BM144" s="2089" t="n"/>
      <c r="BN144" s="2090" t="n"/>
      <c r="BO144" s="2089" t="n"/>
      <c r="BP144" s="2089" t="n"/>
      <c r="BQ144" s="2100" t="n"/>
      <c r="BR144" s="2089" t="n"/>
      <c r="BS144" s="2090" t="n"/>
      <c r="BT144" s="2089" t="n"/>
      <c r="BU144" s="2089" t="n"/>
      <c r="BV144" s="2089" t="n"/>
      <c r="BW144" s="2089" t="n"/>
      <c r="BX144" s="2090" t="n"/>
      <c r="BY144" s="2090" t="n"/>
      <c r="BZ144" s="2090" t="n"/>
      <c r="CA144" s="2090" t="n"/>
      <c r="CB144" s="2085" t="n"/>
    </row>
    <row r="145" ht="14.4" customFormat="1" customHeight="1" s="2082">
      <c r="A145" s="1593" t="inlineStr">
        <is>
          <t>CLO - Base Pay, 000s</t>
        </is>
      </c>
      <c r="B145" s="2086" t="n"/>
      <c r="C145" s="2087" t="n"/>
      <c r="D145" s="2087" t="n"/>
      <c r="E145" s="2087" t="n"/>
      <c r="F145" s="2087" t="n"/>
      <c r="G145" s="2072" t="n"/>
      <c r="H145" s="2072" t="n"/>
      <c r="I145" s="2072" t="n"/>
      <c r="J145" s="2072" t="n"/>
      <c r="K145" s="2087" t="n"/>
      <c r="L145" s="2072" t="n"/>
      <c r="M145" s="2072" t="n"/>
      <c r="N145" s="2072" t="n"/>
      <c r="O145" s="2072" t="n"/>
      <c r="P145" s="2087" t="n"/>
      <c r="Q145" s="2072" t="n"/>
      <c r="R145" s="2072" t="n"/>
      <c r="S145" s="2072" t="n"/>
      <c r="T145" s="2072" t="n"/>
      <c r="U145" s="2087" t="n"/>
      <c r="V145" s="2072" t="n"/>
      <c r="W145" s="2072" t="n"/>
      <c r="X145" s="2072" t="n"/>
      <c r="Y145" s="2072" t="n"/>
      <c r="Z145" s="2087" t="n"/>
      <c r="AA145" s="2072" t="n"/>
      <c r="AB145" s="2072" t="n"/>
      <c r="AC145" s="2072" t="n"/>
      <c r="AD145" s="2072" t="n"/>
      <c r="AE145" s="2087" t="n"/>
      <c r="AF145" s="2072" t="n"/>
      <c r="AG145" s="2072" t="n"/>
      <c r="AH145" s="2072" t="n"/>
      <c r="AI145" s="2072" t="n"/>
      <c r="AJ145" s="2087" t="n"/>
      <c r="AK145" s="2072" t="n"/>
      <c r="AL145" s="2072" t="n"/>
      <c r="AM145" s="2072" t="n"/>
      <c r="AN145" s="2072" t="n"/>
      <c r="AO145" s="2087" t="n"/>
      <c r="AP145" s="2072" t="n"/>
      <c r="AQ145" s="2072" t="n"/>
      <c r="AR145" s="2072" t="n"/>
      <c r="AS145" s="2072" t="n"/>
      <c r="AT145" s="2088" t="n">
        <v>244.423</v>
      </c>
      <c r="AU145" s="2089" t="n"/>
      <c r="AV145" s="2089" t="n"/>
      <c r="AW145" s="2089" t="n"/>
      <c r="AX145" s="2089" t="n"/>
      <c r="AY145" s="2090" t="n"/>
      <c r="AZ145" s="2089" t="n"/>
      <c r="BA145" s="2089" t="n"/>
      <c r="BB145" s="2089" t="n"/>
      <c r="BC145" s="2089" t="n"/>
      <c r="BD145" s="2090" t="n"/>
      <c r="BE145" s="2089" t="n"/>
      <c r="BF145" s="2089" t="n"/>
      <c r="BG145" s="2089" t="n"/>
      <c r="BH145" s="2089" t="n"/>
      <c r="BI145" s="2090" t="n"/>
      <c r="BJ145" s="2089" t="n"/>
      <c r="BK145" s="2089" t="n"/>
      <c r="BL145" s="2089" t="n"/>
      <c r="BM145" s="2089" t="n"/>
      <c r="BN145" s="2090" t="n"/>
      <c r="BO145" s="2089" t="n"/>
      <c r="BP145" s="2089" t="n"/>
      <c r="BQ145" s="2100" t="n"/>
      <c r="BR145" s="2089" t="n"/>
      <c r="BS145" s="2090" t="n"/>
      <c r="BT145" s="2089" t="n"/>
      <c r="BU145" s="2089" t="n"/>
      <c r="BV145" s="2089" t="n"/>
      <c r="BW145" s="2089" t="n"/>
      <c r="BX145" s="2090" t="n"/>
      <c r="BY145" s="2090" t="n"/>
      <c r="BZ145" s="2090" t="n"/>
      <c r="CA145" s="2090" t="n"/>
      <c r="CB145" s="2085" t="n"/>
    </row>
    <row r="146" ht="14.4" customFormat="1" customHeight="1" s="2082">
      <c r="A146" s="1593" t="inlineStr">
        <is>
          <t>CLO - Stock Awards, 000s</t>
        </is>
      </c>
      <c r="B146" s="2086" t="n"/>
      <c r="C146" s="2087" t="n"/>
      <c r="D146" s="2087" t="n"/>
      <c r="E146" s="2087" t="n"/>
      <c r="F146" s="2087" t="n"/>
      <c r="G146" s="2072" t="n"/>
      <c r="H146" s="2072" t="n"/>
      <c r="I146" s="2072" t="n"/>
      <c r="J146" s="2072" t="n"/>
      <c r="K146" s="2087" t="n"/>
      <c r="L146" s="2072" t="n"/>
      <c r="M146" s="2072" t="n"/>
      <c r="N146" s="2072" t="n"/>
      <c r="O146" s="2072" t="n"/>
      <c r="P146" s="2087" t="n"/>
      <c r="Q146" s="2072" t="n"/>
      <c r="R146" s="2072" t="n"/>
      <c r="S146" s="2072" t="n"/>
      <c r="T146" s="2072" t="n"/>
      <c r="U146" s="2087" t="n"/>
      <c r="V146" s="2072" t="n"/>
      <c r="W146" s="2072" t="n"/>
      <c r="X146" s="2072" t="n"/>
      <c r="Y146" s="2072" t="n"/>
      <c r="Z146" s="2087" t="n"/>
      <c r="AA146" s="2072" t="n"/>
      <c r="AB146" s="2072" t="n"/>
      <c r="AC146" s="2072" t="n"/>
      <c r="AD146" s="2072" t="n"/>
      <c r="AE146" s="2087" t="n"/>
      <c r="AF146" s="2072" t="n"/>
      <c r="AG146" s="2072" t="n"/>
      <c r="AH146" s="2072" t="n"/>
      <c r="AI146" s="2072" t="n"/>
      <c r="AJ146" s="2087" t="n"/>
      <c r="AK146" s="2072" t="n"/>
      <c r="AL146" s="2072" t="n"/>
      <c r="AM146" s="2072" t="n"/>
      <c r="AN146" s="2072" t="n"/>
      <c r="AO146" s="2087" t="n"/>
      <c r="AP146" s="2072" t="n"/>
      <c r="AQ146" s="2072" t="n"/>
      <c r="AR146" s="2072" t="n"/>
      <c r="AS146" s="2072" t="n"/>
      <c r="AT146" s="2088" t="n">
        <v>3660.965</v>
      </c>
      <c r="AU146" s="2089" t="n"/>
      <c r="AV146" s="2089" t="n"/>
      <c r="AW146" s="2089" t="n"/>
      <c r="AX146" s="2089" t="n"/>
      <c r="AY146" s="2090" t="n"/>
      <c r="AZ146" s="2089" t="n"/>
      <c r="BA146" s="2089" t="n"/>
      <c r="BB146" s="2089" t="n"/>
      <c r="BC146" s="2089" t="n"/>
      <c r="BD146" s="2090" t="n"/>
      <c r="BE146" s="2089" t="n"/>
      <c r="BF146" s="2089" t="n"/>
      <c r="BG146" s="2089" t="n"/>
      <c r="BH146" s="2089" t="n"/>
      <c r="BI146" s="2090" t="n"/>
      <c r="BJ146" s="2089" t="n"/>
      <c r="BK146" s="2089" t="n"/>
      <c r="BL146" s="2089" t="n"/>
      <c r="BM146" s="2089" t="n"/>
      <c r="BN146" s="2090" t="n"/>
      <c r="BO146" s="2089" t="n"/>
      <c r="BP146" s="2089" t="n"/>
      <c r="BQ146" s="2100" t="n"/>
      <c r="BR146" s="2089" t="n"/>
      <c r="BS146" s="2090" t="n"/>
      <c r="BT146" s="2089" t="n"/>
      <c r="BU146" s="2089" t="n"/>
      <c r="BV146" s="2089" t="n"/>
      <c r="BW146" s="2089" t="n"/>
      <c r="BX146" s="2090" t="n"/>
      <c r="BY146" s="2090" t="n"/>
      <c r="BZ146" s="2090" t="n"/>
      <c r="CA146" s="2090" t="n"/>
      <c r="CB146" s="2085" t="n"/>
    </row>
    <row r="147" ht="14.4" customFormat="1" customHeight="1" s="2082">
      <c r="A147" s="1593" t="inlineStr">
        <is>
          <t>CLO - Option Awards, 000s</t>
        </is>
      </c>
      <c r="B147" s="2086" t="n"/>
      <c r="C147" s="2087" t="n"/>
      <c r="D147" s="2087" t="n"/>
      <c r="E147" s="2087" t="n"/>
      <c r="F147" s="2087" t="n"/>
      <c r="G147" s="2072" t="n"/>
      <c r="H147" s="2072" t="n"/>
      <c r="I147" s="2072" t="n"/>
      <c r="J147" s="2072" t="n"/>
      <c r="K147" s="2087" t="n"/>
      <c r="L147" s="2072" t="n"/>
      <c r="M147" s="2072" t="n"/>
      <c r="N147" s="2072" t="n"/>
      <c r="O147" s="2072" t="n"/>
      <c r="P147" s="2087" t="n"/>
      <c r="Q147" s="2072" t="n"/>
      <c r="R147" s="2072" t="n"/>
      <c r="S147" s="2072" t="n"/>
      <c r="T147" s="2072" t="n"/>
      <c r="U147" s="2087" t="n"/>
      <c r="V147" s="2072" t="n"/>
      <c r="W147" s="2072" t="n"/>
      <c r="X147" s="2072" t="n"/>
      <c r="Y147" s="2072" t="n"/>
      <c r="Z147" s="2087" t="n"/>
      <c r="AA147" s="2072" t="n"/>
      <c r="AB147" s="2072" t="n"/>
      <c r="AC147" s="2072" t="n"/>
      <c r="AD147" s="2072" t="n"/>
      <c r="AE147" s="2087" t="n"/>
      <c r="AF147" s="2072" t="n"/>
      <c r="AG147" s="2072" t="n"/>
      <c r="AH147" s="2072" t="n"/>
      <c r="AI147" s="2072" t="n"/>
      <c r="AJ147" s="2087" t="n"/>
      <c r="AK147" s="2072" t="n"/>
      <c r="AL147" s="2072" t="n"/>
      <c r="AM147" s="2072" t="n"/>
      <c r="AN147" s="2072" t="n"/>
      <c r="AO147" s="2087" t="n"/>
      <c r="AP147" s="2072" t="n"/>
      <c r="AQ147" s="2072" t="n"/>
      <c r="AR147" s="2072" t="n"/>
      <c r="AS147" s="2072" t="n"/>
      <c r="AT147" s="2088" t="n">
        <v>765.018</v>
      </c>
      <c r="AU147" s="2089" t="n"/>
      <c r="AV147" s="2089" t="n"/>
      <c r="AW147" s="2089" t="n"/>
      <c r="AX147" s="2089" t="n"/>
      <c r="AY147" s="2090" t="n"/>
      <c r="AZ147" s="2089" t="n"/>
      <c r="BA147" s="2089" t="n"/>
      <c r="BB147" s="2089" t="n"/>
      <c r="BC147" s="2089" t="n"/>
      <c r="BD147" s="2090" t="n"/>
      <c r="BE147" s="2089" t="n"/>
      <c r="BF147" s="2089" t="n"/>
      <c r="BG147" s="2089" t="n"/>
      <c r="BH147" s="2089" t="n"/>
      <c r="BI147" s="2090" t="n"/>
      <c r="BJ147" s="2089" t="n"/>
      <c r="BK147" s="2089" t="n"/>
      <c r="BL147" s="2089" t="n"/>
      <c r="BM147" s="2089" t="n"/>
      <c r="BN147" s="2090" t="n"/>
      <c r="BO147" s="2089" t="n"/>
      <c r="BP147" s="2089" t="n"/>
      <c r="BQ147" s="2100" t="n"/>
      <c r="BR147" s="2089" t="n"/>
      <c r="BS147" s="2090" t="n"/>
      <c r="BT147" s="2089" t="n"/>
      <c r="BU147" s="2089" t="n"/>
      <c r="BV147" s="2089" t="n"/>
      <c r="BW147" s="2089" t="n"/>
      <c r="BX147" s="2090" t="n"/>
      <c r="BY147" s="2090" t="n"/>
      <c r="BZ147" s="2090" t="n"/>
      <c r="CA147" s="2090" t="n"/>
      <c r="CB147" s="2085" t="n"/>
    </row>
    <row r="148" ht="14.4" customFormat="1" customHeight="1" s="2082">
      <c r="A148" s="1593" t="inlineStr">
        <is>
          <t>CLO - Non-equity incentive plans, 000s</t>
        </is>
      </c>
      <c r="B148" s="2086" t="n"/>
      <c r="C148" s="2087" t="n"/>
      <c r="D148" s="2087" t="n"/>
      <c r="E148" s="2087" t="n"/>
      <c r="F148" s="2087" t="n"/>
      <c r="G148" s="2072" t="n"/>
      <c r="H148" s="2072" t="n"/>
      <c r="I148" s="2072" t="n"/>
      <c r="J148" s="2072" t="n"/>
      <c r="K148" s="2087" t="n"/>
      <c r="L148" s="2072" t="n"/>
      <c r="M148" s="2072" t="n"/>
      <c r="N148" s="2072" t="n"/>
      <c r="O148" s="2072" t="n"/>
      <c r="P148" s="2087" t="n"/>
      <c r="Q148" s="2072" t="n"/>
      <c r="R148" s="2072" t="n"/>
      <c r="S148" s="2072" t="n"/>
      <c r="T148" s="2072" t="n"/>
      <c r="U148" s="2087" t="n"/>
      <c r="V148" s="2072" t="n"/>
      <c r="W148" s="2072" t="n"/>
      <c r="X148" s="2072" t="n"/>
      <c r="Y148" s="2072" t="n"/>
      <c r="Z148" s="2087" t="n"/>
      <c r="AA148" s="2072" t="n"/>
      <c r="AB148" s="2072" t="n"/>
      <c r="AC148" s="2072" t="n"/>
      <c r="AD148" s="2072" t="n"/>
      <c r="AE148" s="2087" t="n"/>
      <c r="AF148" s="2072" t="n"/>
      <c r="AG148" s="2072" t="n"/>
      <c r="AH148" s="2072" t="n"/>
      <c r="AI148" s="2072" t="n"/>
      <c r="AJ148" s="2087" t="n"/>
      <c r="AK148" s="2072" t="n"/>
      <c r="AL148" s="2072" t="n"/>
      <c r="AM148" s="2072" t="n"/>
      <c r="AN148" s="2072" t="n"/>
      <c r="AO148" s="2087" t="n"/>
      <c r="AP148" s="2072" t="n"/>
      <c r="AQ148" s="2072" t="n"/>
      <c r="AR148" s="2072" t="n"/>
      <c r="AS148" s="2072" t="n"/>
      <c r="AT148" s="2088" t="n">
        <v>239.908</v>
      </c>
      <c r="AU148" s="2089" t="n"/>
      <c r="AV148" s="2089" t="n"/>
      <c r="AW148" s="2089" t="n"/>
      <c r="AX148" s="2089" t="n"/>
      <c r="AY148" s="2090" t="n"/>
      <c r="AZ148" s="2089" t="n"/>
      <c r="BA148" s="2089" t="n"/>
      <c r="BB148" s="2089" t="n"/>
      <c r="BC148" s="2089" t="n"/>
      <c r="BD148" s="2090" t="n"/>
      <c r="BE148" s="2089" t="n"/>
      <c r="BF148" s="2089" t="n"/>
      <c r="BG148" s="2089" t="n"/>
      <c r="BH148" s="2089" t="n"/>
      <c r="BI148" s="2090" t="n"/>
      <c r="BJ148" s="2089" t="n"/>
      <c r="BK148" s="2089" t="n"/>
      <c r="BL148" s="2089" t="n"/>
      <c r="BM148" s="2089" t="n"/>
      <c r="BN148" s="2090" t="n"/>
      <c r="BO148" s="2089" t="n"/>
      <c r="BP148" s="2089" t="n"/>
      <c r="BQ148" s="2100" t="n"/>
      <c r="BR148" s="2089" t="n"/>
      <c r="BS148" s="2090" t="n"/>
      <c r="BT148" s="2089" t="n"/>
      <c r="BU148" s="2089" t="n"/>
      <c r="BV148" s="2089" t="n"/>
      <c r="BW148" s="2089" t="n"/>
      <c r="BX148" s="2090" t="n"/>
      <c r="BY148" s="2090" t="n"/>
      <c r="BZ148" s="2090" t="n"/>
      <c r="CA148" s="2090" t="n"/>
      <c r="CB148" s="2085" t="n"/>
    </row>
    <row r="149" ht="14.4" customFormat="1" customHeight="1" s="2082">
      <c r="A149" s="1607" t="inlineStr">
        <is>
          <t>CLO - All other compensation, 000s</t>
        </is>
      </c>
      <c r="B149" s="2091" t="n"/>
      <c r="C149" s="2092" t="n"/>
      <c r="D149" s="2092" t="n"/>
      <c r="E149" s="2092" t="n"/>
      <c r="F149" s="2092" t="n"/>
      <c r="G149" s="2093" t="n"/>
      <c r="H149" s="2093" t="n"/>
      <c r="I149" s="2093" t="n"/>
      <c r="J149" s="2093" t="n"/>
      <c r="K149" s="2092" t="n"/>
      <c r="L149" s="2093" t="n"/>
      <c r="M149" s="2093" t="n"/>
      <c r="N149" s="2093" t="n"/>
      <c r="O149" s="2093" t="n"/>
      <c r="P149" s="2092" t="n"/>
      <c r="Q149" s="2093" t="n"/>
      <c r="R149" s="2093" t="n"/>
      <c r="S149" s="2093" t="n"/>
      <c r="T149" s="2093" t="n"/>
      <c r="U149" s="2092" t="n"/>
      <c r="V149" s="2093" t="n"/>
      <c r="W149" s="2093" t="n"/>
      <c r="X149" s="2093" t="n"/>
      <c r="Y149" s="2093" t="n"/>
      <c r="Z149" s="2092" t="n"/>
      <c r="AA149" s="2093" t="n"/>
      <c r="AB149" s="2093" t="n"/>
      <c r="AC149" s="2093" t="n"/>
      <c r="AD149" s="2093" t="n"/>
      <c r="AE149" s="2092" t="n"/>
      <c r="AF149" s="2093" t="n"/>
      <c r="AG149" s="2093" t="n"/>
      <c r="AH149" s="2093" t="n"/>
      <c r="AI149" s="2093" t="n"/>
      <c r="AJ149" s="2092" t="n"/>
      <c r="AK149" s="2093" t="n"/>
      <c r="AL149" s="2093" t="n"/>
      <c r="AM149" s="2093" t="n"/>
      <c r="AN149" s="2093" t="n"/>
      <c r="AO149" s="2092" t="n"/>
      <c r="AP149" s="2093" t="n"/>
      <c r="AQ149" s="2093" t="n"/>
      <c r="AR149" s="2093" t="n"/>
      <c r="AS149" s="2093" t="n"/>
      <c r="AT149" s="2094" t="n">
        <v>5.255</v>
      </c>
      <c r="AU149" s="2093" t="n"/>
      <c r="AV149" s="2093" t="n"/>
      <c r="AW149" s="2093" t="n"/>
      <c r="AX149" s="2093" t="n"/>
      <c r="AY149" s="2092" t="n"/>
      <c r="AZ149" s="2093" t="n"/>
      <c r="BA149" s="2093" t="n"/>
      <c r="BB149" s="2093" t="n"/>
      <c r="BC149" s="2093" t="n"/>
      <c r="BD149" s="2092" t="n"/>
      <c r="BE149" s="2093" t="n"/>
      <c r="BF149" s="2093" t="n"/>
      <c r="BG149" s="2093" t="n"/>
      <c r="BH149" s="2093" t="n"/>
      <c r="BI149" s="2092" t="n"/>
      <c r="BJ149" s="2093" t="n"/>
      <c r="BK149" s="2093" t="n"/>
      <c r="BL149" s="2093" t="n"/>
      <c r="BM149" s="2093" t="n"/>
      <c r="BN149" s="2092" t="n"/>
      <c r="BO149" s="2093" t="n"/>
      <c r="BP149" s="2093" t="n"/>
      <c r="BQ149" s="2095" t="n"/>
      <c r="BR149" s="2096" t="n"/>
      <c r="BS149" s="2097" t="n"/>
      <c r="BT149" s="2096" t="n"/>
      <c r="BU149" s="2096" t="n"/>
      <c r="BV149" s="2096" t="n"/>
      <c r="BW149" s="2096" t="n"/>
      <c r="BX149" s="2097" t="n"/>
      <c r="BY149" s="2097" t="n"/>
      <c r="BZ149" s="2097" t="n"/>
      <c r="CA149" s="2097" t="n"/>
      <c r="CB149" s="2085" t="n"/>
    </row>
    <row r="150" ht="14.4" customFormat="1" customHeight="1" s="2082">
      <c r="A150" s="1596" t="inlineStr">
        <is>
          <t>CLO (Chief Legal Officer) - Total Comp , 000s</t>
        </is>
      </c>
      <c r="B150" s="2098" t="n"/>
      <c r="C150" s="2090" t="n"/>
      <c r="D150" s="2090" t="n"/>
      <c r="E150" s="2090" t="n"/>
      <c r="F150" s="2090" t="n"/>
      <c r="G150" s="2089" t="n"/>
      <c r="H150" s="2089" t="n"/>
      <c r="I150" s="2089" t="n"/>
      <c r="J150" s="2089" t="n"/>
      <c r="K150" s="2090" t="n"/>
      <c r="L150" s="2089" t="n"/>
      <c r="M150" s="2089" t="n"/>
      <c r="N150" s="2089" t="n"/>
      <c r="O150" s="2089" t="n"/>
      <c r="P150" s="2090" t="n"/>
      <c r="Q150" s="2089" t="n"/>
      <c r="R150" s="2089" t="n"/>
      <c r="S150" s="2089" t="n"/>
      <c r="T150" s="2089" t="n"/>
      <c r="U150" s="2090" t="n"/>
      <c r="V150" s="2089" t="n"/>
      <c r="W150" s="2089" t="n"/>
      <c r="X150" s="2089" t="n"/>
      <c r="Y150" s="2089" t="n"/>
      <c r="Z150" s="2090" t="n"/>
      <c r="AA150" s="2089" t="n"/>
      <c r="AB150" s="2089" t="n"/>
      <c r="AC150" s="2089" t="n"/>
      <c r="AD150" s="2089" t="n"/>
      <c r="AE150" s="2090" t="n"/>
      <c r="AF150" s="2089" t="n"/>
      <c r="AG150" s="2089" t="n"/>
      <c r="AH150" s="2089" t="n"/>
      <c r="AI150" s="2089" t="n"/>
      <c r="AJ150" s="2090" t="n"/>
      <c r="AK150" s="2089" t="n"/>
      <c r="AL150" s="2089" t="n"/>
      <c r="AM150" s="2089" t="n"/>
      <c r="AN150" s="2089" t="n"/>
      <c r="AO150" s="2090" t="n"/>
      <c r="AP150" s="2089" t="n"/>
      <c r="AQ150" s="2089" t="n"/>
      <c r="AR150" s="2089" t="n"/>
      <c r="AS150" s="2089" t="n"/>
      <c r="AT150" s="2099">
        <f>SUM(AT145:AT149)</f>
        <v/>
      </c>
      <c r="AU150" s="2089" t="n"/>
      <c r="AV150" s="2089" t="n"/>
      <c r="AW150" s="2089" t="n"/>
      <c r="AX150" s="2089" t="n"/>
      <c r="AY150" s="2090" t="n"/>
      <c r="AZ150" s="2089" t="n"/>
      <c r="BA150" s="2089" t="n"/>
      <c r="BB150" s="2089" t="n"/>
      <c r="BC150" s="2089" t="n"/>
      <c r="BD150" s="2090" t="n"/>
      <c r="BE150" s="2089" t="n"/>
      <c r="BF150" s="2089" t="n"/>
      <c r="BG150" s="2089" t="n"/>
      <c r="BH150" s="2089" t="n"/>
      <c r="BI150" s="2090" t="n"/>
      <c r="BJ150" s="2089" t="n"/>
      <c r="BK150" s="2089" t="n"/>
      <c r="BL150" s="2089" t="n"/>
      <c r="BM150" s="2089" t="n"/>
      <c r="BN150" s="2090" t="n"/>
      <c r="BO150" s="2089" t="n"/>
      <c r="BP150" s="2089" t="n"/>
      <c r="BQ150" s="2100" t="n"/>
      <c r="BR150" s="2089" t="n"/>
      <c r="BS150" s="2090" t="n"/>
      <c r="BT150" s="2089" t="n"/>
      <c r="BU150" s="2089" t="n"/>
      <c r="BV150" s="2089" t="n"/>
      <c r="BW150" s="2089" t="n"/>
      <c r="BX150" s="2090" t="n"/>
      <c r="BY150" s="2090" t="n"/>
      <c r="BZ150" s="2090" t="n"/>
      <c r="CA150" s="2090" t="n"/>
      <c r="CB150" s="2085" t="n"/>
    </row>
    <row r="151" ht="14.4" customFormat="1" customHeight="1" s="2105">
      <c r="A151" s="2106" t="inlineStr">
        <is>
          <t>CLO - comp tied to equity, %</t>
        </is>
      </c>
      <c r="B151" s="2107" t="n"/>
      <c r="C151" s="2108" t="n"/>
      <c r="D151" s="2108" t="n"/>
      <c r="E151" s="2108" t="n"/>
      <c r="F151" s="2108" t="n"/>
      <c r="G151" s="2109" t="n"/>
      <c r="H151" s="2109" t="n"/>
      <c r="I151" s="2109" t="n"/>
      <c r="J151" s="2109" t="n"/>
      <c r="K151" s="2108" t="n"/>
      <c r="L151" s="2109" t="n"/>
      <c r="M151" s="2109" t="n"/>
      <c r="N151" s="2109" t="n"/>
      <c r="O151" s="2109" t="n"/>
      <c r="P151" s="2108" t="n"/>
      <c r="Q151" s="2109" t="n"/>
      <c r="R151" s="2109" t="n"/>
      <c r="S151" s="2109" t="n"/>
      <c r="T151" s="2109" t="n"/>
      <c r="U151" s="2108" t="n"/>
      <c r="V151" s="2109" t="n"/>
      <c r="W151" s="2109" t="n"/>
      <c r="X151" s="2109" t="n"/>
      <c r="Y151" s="2109" t="n"/>
      <c r="Z151" s="2108" t="n"/>
      <c r="AA151" s="2109" t="n"/>
      <c r="AB151" s="2109" t="n"/>
      <c r="AC151" s="2109" t="n"/>
      <c r="AD151" s="2109" t="n"/>
      <c r="AE151" s="2108" t="n"/>
      <c r="AF151" s="2109" t="n"/>
      <c r="AG151" s="2109" t="n"/>
      <c r="AH151" s="2109" t="n"/>
      <c r="AI151" s="2109" t="n"/>
      <c r="AJ151" s="2108" t="n"/>
      <c r="AK151" s="2109" t="n"/>
      <c r="AL151" s="2109" t="n"/>
      <c r="AM151" s="2109" t="n"/>
      <c r="AN151" s="2109" t="n"/>
      <c r="AO151" s="2108" t="n"/>
      <c r="AP151" s="2109" t="n"/>
      <c r="AQ151" s="2109" t="n"/>
      <c r="AR151" s="2109" t="n"/>
      <c r="AS151" s="2109" t="n"/>
      <c r="AT151" s="2108">
        <f>SUM(AT146,AT147)/AT150</f>
        <v/>
      </c>
      <c r="AU151" s="2111" t="n"/>
      <c r="AV151" s="2111" t="n"/>
      <c r="AW151" s="2111" t="n"/>
      <c r="AX151" s="2111" t="n"/>
      <c r="AY151" s="2112" t="n"/>
      <c r="AZ151" s="2111" t="n"/>
      <c r="BA151" s="2111" t="n"/>
      <c r="BB151" s="2111" t="n"/>
      <c r="BC151" s="2111" t="n"/>
      <c r="BD151" s="2112" t="n"/>
      <c r="BE151" s="2111" t="n"/>
      <c r="BF151" s="2111" t="n"/>
      <c r="BG151" s="2111" t="n"/>
      <c r="BH151" s="2111" t="n"/>
      <c r="BI151" s="2112" t="n"/>
      <c r="BJ151" s="2111" t="n"/>
      <c r="BK151" s="2111" t="n"/>
      <c r="BL151" s="2111" t="n"/>
      <c r="BM151" s="2111" t="n"/>
      <c r="BN151" s="2112" t="n"/>
      <c r="BO151" s="2111" t="n"/>
      <c r="BP151" s="2111" t="n"/>
      <c r="BQ151" s="2138" t="n"/>
      <c r="BR151" s="2111" t="n"/>
      <c r="BS151" s="2112" t="n"/>
      <c r="BT151" s="2111" t="n"/>
      <c r="BU151" s="2111" t="n"/>
      <c r="BV151" s="2111" t="n"/>
      <c r="BW151" s="2111" t="n"/>
      <c r="BX151" s="2112" t="n"/>
      <c r="BY151" s="2112" t="n"/>
      <c r="BZ151" s="2112" t="n"/>
      <c r="CA151" s="2112" t="n"/>
      <c r="CB151" s="2113" t="n"/>
    </row>
    <row r="152" ht="14.4" customFormat="1" customHeight="1" s="2082">
      <c r="A152" s="1596" t="n"/>
      <c r="B152" s="2098" t="n"/>
      <c r="C152" s="2090" t="n"/>
      <c r="D152" s="2090" t="n"/>
      <c r="E152" s="2090" t="n"/>
      <c r="F152" s="2090" t="n"/>
      <c r="G152" s="2089" t="n"/>
      <c r="H152" s="2089" t="n"/>
      <c r="I152" s="2089" t="n"/>
      <c r="J152" s="2089" t="n"/>
      <c r="K152" s="2090" t="n"/>
      <c r="L152" s="2089" t="n"/>
      <c r="M152" s="2089" t="n"/>
      <c r="N152" s="2089" t="n"/>
      <c r="O152" s="2089" t="n"/>
      <c r="P152" s="2090" t="n"/>
      <c r="Q152" s="2089" t="n"/>
      <c r="R152" s="2089" t="n"/>
      <c r="S152" s="2089" t="n"/>
      <c r="T152" s="2089" t="n"/>
      <c r="U152" s="2090" t="n"/>
      <c r="V152" s="2089" t="n"/>
      <c r="W152" s="2089" t="n"/>
      <c r="X152" s="2089" t="n"/>
      <c r="Y152" s="2089" t="n"/>
      <c r="Z152" s="2090" t="n"/>
      <c r="AA152" s="2089" t="n"/>
      <c r="AB152" s="2089" t="n"/>
      <c r="AC152" s="2089" t="n"/>
      <c r="AD152" s="2089" t="n"/>
      <c r="AE152" s="2090" t="n"/>
      <c r="AF152" s="2089" t="n"/>
      <c r="AG152" s="2089" t="n"/>
      <c r="AH152" s="2089" t="n"/>
      <c r="AI152" s="2089" t="n"/>
      <c r="AJ152" s="2090" t="n"/>
      <c r="AK152" s="2089" t="n"/>
      <c r="AL152" s="2089" t="n"/>
      <c r="AM152" s="2089" t="n"/>
      <c r="AN152" s="2089" t="n"/>
      <c r="AO152" s="2090" t="n"/>
      <c r="AP152" s="2089" t="n"/>
      <c r="AQ152" s="2089" t="n"/>
      <c r="AR152" s="2089" t="n"/>
      <c r="AS152" s="2089" t="n"/>
      <c r="AT152" s="2090" t="n"/>
      <c r="AU152" s="2089" t="n"/>
      <c r="AV152" s="2089" t="n"/>
      <c r="AW152" s="2089" t="n"/>
      <c r="AX152" s="2089" t="n"/>
      <c r="AY152" s="2090" t="n"/>
      <c r="AZ152" s="2089" t="n"/>
      <c r="BA152" s="2089" t="n"/>
      <c r="BB152" s="2089" t="n"/>
      <c r="BC152" s="2089" t="n"/>
      <c r="BD152" s="2090" t="n"/>
      <c r="BE152" s="2089" t="n"/>
      <c r="BF152" s="2089" t="n"/>
      <c r="BG152" s="2089" t="n"/>
      <c r="BH152" s="2089" t="n"/>
      <c r="BI152" s="2090" t="n"/>
      <c r="BJ152" s="2089" t="n"/>
      <c r="BK152" s="2089" t="n"/>
      <c r="BL152" s="2089" t="n"/>
      <c r="BM152" s="2089" t="n"/>
      <c r="BN152" s="2090" t="n"/>
      <c r="BO152" s="2089" t="n"/>
      <c r="BP152" s="2089" t="n"/>
      <c r="BQ152" s="2100" t="n"/>
      <c r="BR152" s="2089" t="n"/>
      <c r="BS152" s="2090" t="n"/>
      <c r="BT152" s="2089" t="n"/>
      <c r="BU152" s="2089" t="n"/>
      <c r="BV152" s="2089" t="n"/>
      <c r="BW152" s="2089" t="n"/>
      <c r="BX152" s="2090" t="n"/>
      <c r="BY152" s="2090" t="n"/>
      <c r="BZ152" s="2090" t="n"/>
      <c r="CA152" s="2090" t="n"/>
      <c r="CB152" s="2085" t="n"/>
    </row>
    <row r="153" ht="14.4" customFormat="1" customHeight="1" s="2082">
      <c r="A153" s="1611" t="inlineStr">
        <is>
          <t>CLO - Options 07/15/27 # of unexercised unexercisable options, 000s</t>
        </is>
      </c>
      <c r="B153" s="2098" t="n"/>
      <c r="C153" s="2090" t="n"/>
      <c r="D153" s="2090" t="n"/>
      <c r="E153" s="2090" t="n"/>
      <c r="F153" s="2090" t="n"/>
      <c r="G153" s="2089" t="n"/>
      <c r="H153" s="2089" t="n"/>
      <c r="I153" s="2089" t="n"/>
      <c r="J153" s="2089" t="n"/>
      <c r="K153" s="2090" t="n"/>
      <c r="L153" s="2089" t="n"/>
      <c r="M153" s="2089" t="n"/>
      <c r="N153" s="2089" t="n"/>
      <c r="O153" s="2089" t="n"/>
      <c r="P153" s="2090" t="n"/>
      <c r="Q153" s="2089" t="n"/>
      <c r="R153" s="2089" t="n"/>
      <c r="S153" s="2089" t="n"/>
      <c r="T153" s="2089" t="n"/>
      <c r="U153" s="2090" t="n"/>
      <c r="V153" s="2089" t="n"/>
      <c r="W153" s="2089" t="n"/>
      <c r="X153" s="2089" t="n"/>
      <c r="Y153" s="2089" t="n"/>
      <c r="Z153" s="2090" t="n"/>
      <c r="AA153" s="2089" t="n"/>
      <c r="AB153" s="2089" t="n"/>
      <c r="AC153" s="2089" t="n"/>
      <c r="AD153" s="2089" t="n"/>
      <c r="AE153" s="2090" t="n"/>
      <c r="AF153" s="2089" t="n"/>
      <c r="AG153" s="2089" t="n"/>
      <c r="AH153" s="2089" t="n"/>
      <c r="AI153" s="2089" t="n"/>
      <c r="AJ153" s="2090" t="n"/>
      <c r="AK153" s="2089" t="n"/>
      <c r="AL153" s="2089" t="n"/>
      <c r="AM153" s="2089" t="n"/>
      <c r="AN153" s="2089" t="n"/>
      <c r="AO153" s="2090" t="n"/>
      <c r="AP153" s="2089" t="n"/>
      <c r="AQ153" s="2089" t="n"/>
      <c r="AR153" s="2089" t="n"/>
      <c r="AS153" s="2089" t="n"/>
      <c r="AT153" s="2088" t="n">
        <v>27.787</v>
      </c>
      <c r="AU153" s="2089" t="n"/>
      <c r="AV153" s="2089" t="n"/>
      <c r="AW153" s="2089" t="n"/>
      <c r="AX153" s="2089" t="n"/>
      <c r="AY153" s="2090" t="n"/>
      <c r="AZ153" s="2089" t="n"/>
      <c r="BA153" s="2089" t="n"/>
      <c r="BB153" s="2089" t="n"/>
      <c r="BC153" s="2089" t="n"/>
      <c r="BD153" s="2090" t="n"/>
      <c r="BE153" s="2089" t="n"/>
      <c r="BF153" s="2089" t="n"/>
      <c r="BG153" s="2089" t="n"/>
      <c r="BH153" s="2089" t="n"/>
      <c r="BI153" s="2090" t="n"/>
      <c r="BJ153" s="2089" t="n"/>
      <c r="BK153" s="2089" t="n"/>
      <c r="BL153" s="2089" t="n"/>
      <c r="BM153" s="2089" t="n"/>
      <c r="BN153" s="2090" t="n"/>
      <c r="BO153" s="2089" t="n"/>
      <c r="BP153" s="2089" t="n"/>
      <c r="BQ153" s="2100" t="n"/>
      <c r="BR153" s="2089" t="n"/>
      <c r="BS153" s="2090" t="n"/>
      <c r="BT153" s="2089" t="n"/>
      <c r="BU153" s="2089" t="n"/>
      <c r="BV153" s="2089" t="n"/>
      <c r="BW153" s="2089" t="n"/>
      <c r="BX153" s="2090" t="n"/>
      <c r="BY153" s="2090" t="n"/>
      <c r="BZ153" s="2090" t="n"/>
      <c r="CA153" s="2090" t="n"/>
      <c r="CB153" s="2085" t="n"/>
    </row>
    <row r="154" ht="14.4" customFormat="1" customHeight="1" s="2118">
      <c r="A154" s="2119" t="inlineStr">
        <is>
          <t>CLO - Options 07/15/27 exercise price, $</t>
        </is>
      </c>
      <c r="B154" s="2129" t="n"/>
      <c r="C154" s="2126" t="n"/>
      <c r="D154" s="2126" t="n"/>
      <c r="E154" s="2126" t="n"/>
      <c r="F154" s="2126" t="n"/>
      <c r="G154" s="2125" t="n"/>
      <c r="H154" s="2125" t="n"/>
      <c r="I154" s="2125" t="n"/>
      <c r="J154" s="2125" t="n"/>
      <c r="K154" s="2126" t="n"/>
      <c r="L154" s="2125" t="n"/>
      <c r="M154" s="2125" t="n"/>
      <c r="N154" s="2125" t="n"/>
      <c r="O154" s="2125" t="n"/>
      <c r="P154" s="2126" t="n"/>
      <c r="Q154" s="2125" t="n"/>
      <c r="R154" s="2125" t="n"/>
      <c r="S154" s="2125" t="n"/>
      <c r="T154" s="2125" t="n"/>
      <c r="U154" s="2126" t="n"/>
      <c r="V154" s="2125" t="n"/>
      <c r="W154" s="2125" t="n"/>
      <c r="X154" s="2125" t="n"/>
      <c r="Y154" s="2125" t="n"/>
      <c r="Z154" s="2126" t="n"/>
      <c r="AA154" s="2125" t="n"/>
      <c r="AB154" s="2125" t="n"/>
      <c r="AC154" s="2125" t="n"/>
      <c r="AD154" s="2125" t="n"/>
      <c r="AE154" s="2126" t="n"/>
      <c r="AF154" s="2125" t="n"/>
      <c r="AG154" s="2125" t="n"/>
      <c r="AH154" s="2125" t="n"/>
      <c r="AI154" s="2125" t="n"/>
      <c r="AJ154" s="2126" t="n"/>
      <c r="AK154" s="2125" t="n"/>
      <c r="AL154" s="2125" t="n"/>
      <c r="AM154" s="2125" t="n"/>
      <c r="AN154" s="2125" t="n"/>
      <c r="AO154" s="2126" t="n"/>
      <c r="AP154" s="2125" t="n"/>
      <c r="AQ154" s="2125" t="n"/>
      <c r="AR154" s="2125" t="n"/>
      <c r="AS154" s="2125" t="n"/>
      <c r="AT154" s="2128" t="n">
        <v>99.11</v>
      </c>
      <c r="AU154" s="2125" t="n"/>
      <c r="AV154" s="2125" t="n"/>
      <c r="AW154" s="2125" t="n"/>
      <c r="AX154" s="2125" t="n"/>
      <c r="AY154" s="2126" t="n"/>
      <c r="AZ154" s="2125" t="n"/>
      <c r="BA154" s="2125" t="n"/>
      <c r="BB154" s="2125" t="n"/>
      <c r="BC154" s="2125" t="n"/>
      <c r="BD154" s="2126" t="n"/>
      <c r="BE154" s="2125" t="n"/>
      <c r="BF154" s="2125" t="n"/>
      <c r="BG154" s="2125" t="n"/>
      <c r="BH154" s="2125" t="n"/>
      <c r="BI154" s="2126" t="n"/>
      <c r="BJ154" s="2125" t="n"/>
      <c r="BK154" s="2125" t="n"/>
      <c r="BL154" s="2125" t="n"/>
      <c r="BM154" s="2125" t="n"/>
      <c r="BN154" s="2126" t="n"/>
      <c r="BO154" s="2125" t="n"/>
      <c r="BP154" s="2125" t="n"/>
      <c r="BQ154" s="2130" t="n"/>
      <c r="BR154" s="2125" t="n"/>
      <c r="BS154" s="2126" t="n"/>
      <c r="BT154" s="2125" t="n"/>
      <c r="BU154" s="2125" t="n"/>
      <c r="BV154" s="2125" t="n"/>
      <c r="BW154" s="2125" t="n"/>
      <c r="BX154" s="2126" t="n"/>
      <c r="BY154" s="2126" t="n"/>
      <c r="BZ154" s="2126" t="n"/>
      <c r="CA154" s="2126" t="n"/>
      <c r="CB154" s="2127" t="n"/>
    </row>
    <row r="155" ht="14.4" customFormat="1" customHeight="1" s="2082">
      <c r="A155" s="1596" t="n"/>
      <c r="B155" s="2098" t="n"/>
      <c r="C155" s="2090" t="n"/>
      <c r="D155" s="2090" t="n"/>
      <c r="E155" s="2090" t="n"/>
      <c r="F155" s="2090" t="n"/>
      <c r="G155" s="2089" t="n"/>
      <c r="H155" s="2089" t="n"/>
      <c r="I155" s="2089" t="n"/>
      <c r="J155" s="2089" t="n"/>
      <c r="K155" s="2090" t="n"/>
      <c r="L155" s="2089" t="n"/>
      <c r="M155" s="2089" t="n"/>
      <c r="N155" s="2089" t="n"/>
      <c r="O155" s="2089" t="n"/>
      <c r="P155" s="2090" t="n"/>
      <c r="Q155" s="2089" t="n"/>
      <c r="R155" s="2089" t="n"/>
      <c r="S155" s="2089" t="n"/>
      <c r="T155" s="2089" t="n"/>
      <c r="U155" s="2090" t="n"/>
      <c r="V155" s="2089" t="n"/>
      <c r="W155" s="2089" t="n"/>
      <c r="X155" s="2089" t="n"/>
      <c r="Y155" s="2089" t="n"/>
      <c r="Z155" s="2090" t="n"/>
      <c r="AA155" s="2089" t="n"/>
      <c r="AB155" s="2089" t="n"/>
      <c r="AC155" s="2089" t="n"/>
      <c r="AD155" s="2089" t="n"/>
      <c r="AE155" s="2090" t="n"/>
      <c r="AF155" s="2089" t="n"/>
      <c r="AG155" s="2089" t="n"/>
      <c r="AH155" s="2089" t="n"/>
      <c r="AI155" s="2089" t="n"/>
      <c r="AJ155" s="2090" t="n"/>
      <c r="AK155" s="2089" t="n"/>
      <c r="AL155" s="2089" t="n"/>
      <c r="AM155" s="2089" t="n"/>
      <c r="AN155" s="2089" t="n"/>
      <c r="AO155" s="2090" t="n"/>
      <c r="AP155" s="2089" t="n"/>
      <c r="AQ155" s="2089" t="n"/>
      <c r="AR155" s="2089" t="n"/>
      <c r="AS155" s="2089" t="n"/>
      <c r="AT155" s="2090" t="n"/>
      <c r="AU155" s="2089" t="n"/>
      <c r="AV155" s="2089" t="n"/>
      <c r="AW155" s="2089" t="n"/>
      <c r="AX155" s="2089" t="n"/>
      <c r="AY155" s="2090" t="n"/>
      <c r="AZ155" s="2089" t="n"/>
      <c r="BA155" s="2089" t="n"/>
      <c r="BB155" s="2089" t="n"/>
      <c r="BC155" s="2089" t="n"/>
      <c r="BD155" s="2090" t="n"/>
      <c r="BE155" s="2089" t="n"/>
      <c r="BF155" s="2089" t="n"/>
      <c r="BG155" s="2089" t="n"/>
      <c r="BH155" s="2089" t="n"/>
      <c r="BI155" s="2090" t="n"/>
      <c r="BJ155" s="2089" t="n"/>
      <c r="BK155" s="2089" t="n"/>
      <c r="BL155" s="2089" t="n"/>
      <c r="BM155" s="2089" t="n"/>
      <c r="BN155" s="2090" t="n"/>
      <c r="BO155" s="2089" t="n"/>
      <c r="BP155" s="2089" t="n"/>
      <c r="BQ155" s="2100" t="n"/>
      <c r="BR155" s="2089" t="n"/>
      <c r="BS155" s="2090" t="n"/>
      <c r="BT155" s="2089" t="n"/>
      <c r="BU155" s="2089" t="n"/>
      <c r="BV155" s="2089" t="n"/>
      <c r="BW155" s="2089" t="n"/>
      <c r="BX155" s="2090" t="n"/>
      <c r="BY155" s="2090" t="n"/>
      <c r="BZ155" s="2090" t="n"/>
      <c r="CA155" s="2090" t="n"/>
      <c r="CB155" s="2085" t="n"/>
    </row>
    <row r="156" ht="14.4" customFormat="1" customHeight="1" s="2082">
      <c r="A156" s="1596" t="inlineStr">
        <is>
          <t>CLO - EoP shares beneficially owned, 000s</t>
        </is>
      </c>
      <c r="B156" s="2098" t="n"/>
      <c r="C156" s="2090" t="n"/>
      <c r="D156" s="2090" t="n"/>
      <c r="E156" s="2090" t="n"/>
      <c r="F156" s="2090" t="n"/>
      <c r="G156" s="2089" t="n"/>
      <c r="H156" s="2089" t="n"/>
      <c r="I156" s="2089" t="n"/>
      <c r="J156" s="2089" t="n"/>
      <c r="K156" s="2090" t="n"/>
      <c r="L156" s="2089" t="n"/>
      <c r="M156" s="2089" t="n"/>
      <c r="N156" s="2089" t="n"/>
      <c r="O156" s="2089" t="n"/>
      <c r="P156" s="2090" t="n"/>
      <c r="Q156" s="2089" t="n"/>
      <c r="R156" s="2089" t="n"/>
      <c r="S156" s="2089" t="n"/>
      <c r="T156" s="2089" t="n"/>
      <c r="U156" s="2090" t="n"/>
      <c r="V156" s="2089" t="n"/>
      <c r="W156" s="2089" t="n"/>
      <c r="X156" s="2089" t="n"/>
      <c r="Y156" s="2089" t="n"/>
      <c r="Z156" s="2090" t="n"/>
      <c r="AA156" s="2089" t="n"/>
      <c r="AB156" s="2089" t="n"/>
      <c r="AC156" s="2089" t="n"/>
      <c r="AD156" s="2089" t="n"/>
      <c r="AE156" s="2090" t="n"/>
      <c r="AF156" s="2089" t="n"/>
      <c r="AG156" s="2089" t="n"/>
      <c r="AH156" s="2089" t="n"/>
      <c r="AI156" s="2089" t="n"/>
      <c r="AJ156" s="2090" t="n"/>
      <c r="AK156" s="2089" t="n"/>
      <c r="AL156" s="2089" t="n"/>
      <c r="AM156" s="2089" t="n"/>
      <c r="AN156" s="2089" t="n"/>
      <c r="AO156" s="2090" t="n"/>
      <c r="AP156" s="2089" t="n"/>
      <c r="AQ156" s="2089" t="n"/>
      <c r="AR156" s="2089" t="n"/>
      <c r="AS156" s="2089" t="n"/>
      <c r="AT156" s="2132" t="n">
        <v>63.841</v>
      </c>
      <c r="AU156" s="2089" t="n"/>
      <c r="AV156" s="2089" t="n"/>
      <c r="AW156" s="2089" t="n"/>
      <c r="AX156" s="2089" t="n"/>
      <c r="AY156" s="2090" t="n"/>
      <c r="AZ156" s="2089" t="n"/>
      <c r="BA156" s="2089" t="n"/>
      <c r="BB156" s="2089" t="n"/>
      <c r="BC156" s="2089" t="n"/>
      <c r="BD156" s="2090" t="n"/>
      <c r="BE156" s="2089" t="n"/>
      <c r="BF156" s="2089" t="n"/>
      <c r="BG156" s="2089" t="n"/>
      <c r="BH156" s="2089" t="n"/>
      <c r="BI156" s="2090" t="n"/>
      <c r="BJ156" s="2089" t="n"/>
      <c r="BK156" s="2089" t="n"/>
      <c r="BL156" s="2089" t="n"/>
      <c r="BM156" s="2089" t="n"/>
      <c r="BN156" s="2090" t="n"/>
      <c r="BO156" s="2089" t="n"/>
      <c r="BP156" s="2089" t="n"/>
      <c r="BQ156" s="2100" t="n"/>
      <c r="BR156" s="2089" t="n"/>
      <c r="BS156" s="2090" t="n"/>
      <c r="BT156" s="2089" t="n"/>
      <c r="BU156" s="2089" t="n"/>
      <c r="BV156" s="2089" t="n"/>
      <c r="BW156" s="2089" t="n"/>
      <c r="BX156" s="2090" t="n"/>
      <c r="BY156" s="2090" t="n"/>
      <c r="BZ156" s="2090" t="n"/>
      <c r="CA156" s="2090" t="n"/>
      <c r="CB156" s="2085" t="n"/>
    </row>
    <row r="157" ht="14.4" customFormat="1" customHeight="1" s="2082">
      <c r="A157" s="1596" t="n"/>
      <c r="B157" s="2098" t="n"/>
      <c r="C157" s="2090" t="n"/>
      <c r="D157" s="2090" t="n"/>
      <c r="E157" s="2090" t="n"/>
      <c r="F157" s="2090" t="n"/>
      <c r="G157" s="2089" t="n"/>
      <c r="H157" s="2089" t="n"/>
      <c r="I157" s="2089" t="n"/>
      <c r="J157" s="2089" t="n"/>
      <c r="K157" s="2090" t="n"/>
      <c r="L157" s="2089" t="n"/>
      <c r="M157" s="2089" t="n"/>
      <c r="N157" s="2089" t="n"/>
      <c r="O157" s="2089" t="n"/>
      <c r="P157" s="2090" t="n"/>
      <c r="Q157" s="2089" t="n"/>
      <c r="R157" s="2089" t="n"/>
      <c r="S157" s="2089" t="n"/>
      <c r="T157" s="2089" t="n"/>
      <c r="U157" s="2090" t="n"/>
      <c r="V157" s="2089" t="n"/>
      <c r="W157" s="2089" t="n"/>
      <c r="X157" s="2089" t="n"/>
      <c r="Y157" s="2089" t="n"/>
      <c r="Z157" s="2090" t="n"/>
      <c r="AA157" s="2089" t="n"/>
      <c r="AB157" s="2089" t="n"/>
      <c r="AC157" s="2089" t="n"/>
      <c r="AD157" s="2089" t="n"/>
      <c r="AE157" s="2090" t="n"/>
      <c r="AF157" s="2089" t="n"/>
      <c r="AG157" s="2089" t="n"/>
      <c r="AH157" s="2089" t="n"/>
      <c r="AI157" s="2089" t="n"/>
      <c r="AJ157" s="2090" t="n"/>
      <c r="AK157" s="2089" t="n"/>
      <c r="AL157" s="2089" t="n"/>
      <c r="AM157" s="2089" t="n"/>
      <c r="AN157" s="2089" t="n"/>
      <c r="AO157" s="2090" t="n"/>
      <c r="AP157" s="2089" t="n"/>
      <c r="AQ157" s="2089" t="n"/>
      <c r="AR157" s="2089" t="n"/>
      <c r="AS157" s="2089" t="n"/>
      <c r="AT157" s="2090" t="n"/>
      <c r="AU157" s="2089" t="n"/>
      <c r="AV157" s="2089" t="n"/>
      <c r="AW157" s="2089" t="n"/>
      <c r="AX157" s="2089" t="n"/>
      <c r="AY157" s="2090" t="n"/>
      <c r="AZ157" s="2089" t="n"/>
      <c r="BA157" s="2089" t="n"/>
      <c r="BB157" s="2089" t="n"/>
      <c r="BC157" s="2089" t="n"/>
      <c r="BD157" s="2090" t="n"/>
      <c r="BE157" s="2089" t="n"/>
      <c r="BF157" s="2089" t="n"/>
      <c r="BG157" s="2089" t="n"/>
      <c r="BH157" s="2089" t="n"/>
      <c r="BI157" s="2090" t="n"/>
      <c r="BJ157" s="2089" t="n"/>
      <c r="BK157" s="2089" t="n"/>
      <c r="BL157" s="2089" t="n"/>
      <c r="BM157" s="2089" t="n"/>
      <c r="BN157" s="2090" t="n"/>
      <c r="BO157" s="2089" t="n"/>
      <c r="BP157" s="2089" t="n"/>
      <c r="BQ157" s="2100" t="n"/>
      <c r="BR157" s="2089" t="n"/>
      <c r="BS157" s="2090" t="n"/>
      <c r="BT157" s="2089" t="n"/>
      <c r="BU157" s="2089" t="n"/>
      <c r="BV157" s="2089" t="n"/>
      <c r="BW157" s="2089" t="n"/>
      <c r="BX157" s="2090" t="n"/>
      <c r="BY157" s="2090" t="n"/>
      <c r="BZ157" s="2090" t="n"/>
      <c r="CA157" s="2090" t="n"/>
      <c r="CB157" s="2085" t="n"/>
    </row>
    <row r="158" ht="14.4" customFormat="1" customHeight="1" s="2082">
      <c r="A158" s="2083" t="inlineStr">
        <is>
          <t>Board Diversity</t>
        </is>
      </c>
      <c r="B158" s="2083" t="n"/>
      <c r="C158" s="2083" t="n"/>
      <c r="D158" s="2083" t="n"/>
      <c r="E158" s="2083" t="n"/>
      <c r="F158" s="2083" t="n"/>
      <c r="G158" s="2083" t="n"/>
      <c r="H158" s="2083" t="n"/>
      <c r="I158" s="2083" t="n"/>
      <c r="J158" s="2083" t="n"/>
      <c r="K158" s="2083" t="n"/>
      <c r="L158" s="2083" t="n"/>
      <c r="M158" s="2083" t="n"/>
      <c r="N158" s="2083" t="n"/>
      <c r="O158" s="2083" t="n"/>
      <c r="P158" s="2083" t="n"/>
      <c r="Q158" s="2083" t="n"/>
      <c r="R158" s="2083" t="n"/>
      <c r="S158" s="2083" t="n"/>
      <c r="T158" s="2083" t="n"/>
      <c r="U158" s="2083" t="n"/>
      <c r="V158" s="2083" t="n"/>
      <c r="W158" s="2083" t="n"/>
      <c r="X158" s="2083" t="n"/>
      <c r="Y158" s="2083" t="n"/>
      <c r="Z158" s="2083" t="n"/>
      <c r="AA158" s="2083" t="n"/>
      <c r="AB158" s="2083" t="n"/>
      <c r="AC158" s="2083" t="n"/>
      <c r="AD158" s="2083" t="n"/>
      <c r="AE158" s="2083" t="n"/>
      <c r="AF158" s="2083" t="n"/>
      <c r="AG158" s="2083" t="n"/>
      <c r="AH158" s="2083" t="n"/>
      <c r="AI158" s="2083" t="n"/>
      <c r="AJ158" s="2083" t="n"/>
      <c r="AK158" s="2083" t="n"/>
      <c r="AL158" s="2083" t="n"/>
      <c r="AM158" s="2083" t="n"/>
      <c r="AN158" s="2083" t="n"/>
      <c r="AO158" s="2083" t="n"/>
      <c r="AP158" s="2083" t="n"/>
      <c r="AQ158" s="2083" t="n"/>
      <c r="AR158" s="2083" t="n"/>
      <c r="AS158" s="2083" t="n"/>
      <c r="AT158" s="2083" t="n"/>
      <c r="AU158" s="2083" t="n"/>
      <c r="AV158" s="2083" t="n"/>
      <c r="AW158" s="2083" t="n"/>
      <c r="AX158" s="2083" t="n"/>
      <c r="AY158" s="2083" t="n"/>
      <c r="AZ158" s="2083" t="n"/>
      <c r="BA158" s="2083" t="n"/>
      <c r="BB158" s="2083" t="n"/>
      <c r="BC158" s="2083" t="n"/>
      <c r="BD158" s="2083" t="n"/>
      <c r="BE158" s="2083" t="n"/>
      <c r="BF158" s="2083" t="n"/>
      <c r="BG158" s="2083" t="n"/>
      <c r="BH158" s="2083" t="n"/>
      <c r="BI158" s="2083" t="n"/>
      <c r="BJ158" s="2083" t="n"/>
      <c r="BK158" s="2083" t="n"/>
      <c r="BL158" s="2083" t="n"/>
      <c r="BM158" s="2083" t="n"/>
      <c r="BN158" s="2083" t="n"/>
      <c r="BO158" s="2083" t="n"/>
      <c r="BP158" s="2083" t="n"/>
      <c r="BQ158" s="2084" t="n"/>
      <c r="BR158" s="2083" t="n"/>
      <c r="BS158" s="2083" t="n"/>
      <c r="BT158" s="2083" t="n"/>
      <c r="BU158" s="2083" t="n"/>
      <c r="BV158" s="2083" t="n"/>
      <c r="BW158" s="2083" t="n"/>
      <c r="BX158" s="2083" t="n"/>
      <c r="BY158" s="2083" t="n"/>
      <c r="BZ158" s="2083" t="n"/>
      <c r="CA158" s="2083" t="n"/>
      <c r="CB158" s="2085" t="n"/>
    </row>
    <row r="159" ht="14.4" customFormat="1" customHeight="1" s="2139">
      <c r="A159" s="2140" t="inlineStr">
        <is>
          <t>Total # of current directors</t>
        </is>
      </c>
      <c r="B159" s="2141" t="n"/>
      <c r="C159" s="2142" t="n"/>
      <c r="D159" s="2142" t="n"/>
      <c r="E159" s="2142" t="n"/>
      <c r="F159" s="2142" t="n"/>
      <c r="G159" s="2143" t="n"/>
      <c r="H159" s="2143" t="n"/>
      <c r="I159" s="2143" t="n"/>
      <c r="J159" s="2143" t="n"/>
      <c r="K159" s="2142" t="n"/>
      <c r="L159" s="2143" t="n"/>
      <c r="M159" s="2143" t="n"/>
      <c r="N159" s="2143" t="n"/>
      <c r="O159" s="2143" t="n"/>
      <c r="P159" s="2142" t="n"/>
      <c r="Q159" s="2143" t="n"/>
      <c r="R159" s="2143" t="n"/>
      <c r="S159" s="2143" t="n"/>
      <c r="T159" s="2143" t="n"/>
      <c r="U159" s="2142" t="n"/>
      <c r="V159" s="2143" t="n"/>
      <c r="W159" s="2143" t="n"/>
      <c r="X159" s="2143" t="n"/>
      <c r="Y159" s="2143" t="n"/>
      <c r="Z159" s="2142" t="n"/>
      <c r="AA159" s="2143" t="n"/>
      <c r="AB159" s="2143" t="n"/>
      <c r="AC159" s="2143" t="n"/>
      <c r="AD159" s="2143" t="n"/>
      <c r="AE159" s="2142" t="n"/>
      <c r="AF159" s="2143" t="n"/>
      <c r="AG159" s="2143" t="n"/>
      <c r="AH159" s="2143" t="n"/>
      <c r="AI159" s="2143" t="n"/>
      <c r="AJ159" s="2142" t="n"/>
      <c r="AK159" s="2143" t="n"/>
      <c r="AL159" s="2143" t="n"/>
      <c r="AM159" s="2143" t="n"/>
      <c r="AN159" s="2143" t="n"/>
      <c r="AO159" s="2142" t="n"/>
      <c r="AP159" s="2143" t="n"/>
      <c r="AQ159" s="2143" t="n"/>
      <c r="AR159" s="2143" t="n"/>
      <c r="AS159" s="2143" t="n"/>
      <c r="AT159" s="2144" t="n">
        <v>10</v>
      </c>
      <c r="AU159" s="2143" t="n"/>
      <c r="AV159" s="2143" t="n"/>
      <c r="AW159" s="2143" t="n"/>
      <c r="AX159" s="2143" t="n"/>
      <c r="AY159" s="2144" t="n">
        <v>11</v>
      </c>
      <c r="AZ159" s="2143" t="n"/>
      <c r="BA159" s="2143" t="n"/>
      <c r="BB159" s="2143" t="n"/>
      <c r="BC159" s="2143" t="n"/>
      <c r="BD159" s="2144" t="n">
        <v>11</v>
      </c>
      <c r="BE159" s="2143" t="n"/>
      <c r="BF159" s="2143" t="n"/>
      <c r="BG159" s="2143" t="n"/>
      <c r="BH159" s="2143" t="n"/>
      <c r="BI159" s="2144" t="n">
        <v>10</v>
      </c>
      <c r="BJ159" s="2143" t="n"/>
      <c r="BK159" s="2143" t="n"/>
      <c r="BL159" s="2143" t="n"/>
      <c r="BM159" s="2143" t="n"/>
      <c r="BN159" s="2142" t="n"/>
      <c r="BO159" s="2143" t="n"/>
      <c r="BP159" s="2143" t="n"/>
      <c r="BQ159" s="2145" t="n"/>
      <c r="BR159" s="2146" t="n"/>
      <c r="BS159" s="2147" t="n"/>
      <c r="BT159" s="2146" t="n"/>
      <c r="BU159" s="2146" t="n"/>
      <c r="BV159" s="2146" t="n"/>
      <c r="BW159" s="2146" t="n"/>
      <c r="BX159" s="2147" t="n"/>
      <c r="BY159" s="2147" t="n"/>
      <c r="BZ159" s="2147" t="n"/>
      <c r="CA159" s="2147" t="n"/>
      <c r="CB159" s="2148" t="n"/>
    </row>
    <row r="160" ht="14.4" customFormat="1" customHeight="1" s="2139">
      <c r="A160" s="2140" t="inlineStr">
        <is>
          <t>Total # of independent current directors</t>
        </is>
      </c>
      <c r="B160" s="2141" t="n"/>
      <c r="C160" s="2142" t="n"/>
      <c r="D160" s="2142" t="n"/>
      <c r="E160" s="2142" t="n"/>
      <c r="F160" s="2142" t="n"/>
      <c r="G160" s="2143" t="n"/>
      <c r="H160" s="2143" t="n"/>
      <c r="I160" s="2143" t="n"/>
      <c r="J160" s="2143" t="n"/>
      <c r="K160" s="2142" t="n"/>
      <c r="L160" s="2143" t="n"/>
      <c r="M160" s="2143" t="n"/>
      <c r="N160" s="2143" t="n"/>
      <c r="O160" s="2143" t="n"/>
      <c r="P160" s="2142" t="n"/>
      <c r="Q160" s="2143" t="n"/>
      <c r="R160" s="2143" t="n"/>
      <c r="S160" s="2143" t="n"/>
      <c r="T160" s="2143" t="n"/>
      <c r="U160" s="2142" t="n"/>
      <c r="V160" s="2143" t="n"/>
      <c r="W160" s="2143" t="n"/>
      <c r="X160" s="2143" t="n"/>
      <c r="Y160" s="2143" t="n"/>
      <c r="Z160" s="2142" t="n"/>
      <c r="AA160" s="2143" t="n"/>
      <c r="AB160" s="2143" t="n"/>
      <c r="AC160" s="2143" t="n"/>
      <c r="AD160" s="2143" t="n"/>
      <c r="AE160" s="2142" t="n"/>
      <c r="AF160" s="2143" t="n"/>
      <c r="AG160" s="2143" t="n"/>
      <c r="AH160" s="2143" t="n"/>
      <c r="AI160" s="2143" t="n"/>
      <c r="AJ160" s="2142" t="n"/>
      <c r="AK160" s="2143" t="n"/>
      <c r="AL160" s="2143" t="n"/>
      <c r="AM160" s="2143" t="n"/>
      <c r="AN160" s="2143" t="n"/>
      <c r="AO160" s="2142" t="n"/>
      <c r="AP160" s="2143" t="n"/>
      <c r="AQ160" s="2143" t="n"/>
      <c r="AR160" s="2143" t="n"/>
      <c r="AS160" s="2143" t="n"/>
      <c r="AT160" s="2144" t="n">
        <v>9</v>
      </c>
      <c r="AU160" s="2143" t="n"/>
      <c r="AV160" s="2143" t="n"/>
      <c r="AW160" s="2143" t="n"/>
      <c r="AX160" s="2143" t="n"/>
      <c r="AY160" s="2144" t="n">
        <v>9</v>
      </c>
      <c r="AZ160" s="2143" t="n"/>
      <c r="BA160" s="2143" t="n"/>
      <c r="BB160" s="2143" t="n"/>
      <c r="BC160" s="2143" t="n"/>
      <c r="BD160" s="2144" t="n">
        <v>9</v>
      </c>
      <c r="BE160" s="2143" t="n"/>
      <c r="BF160" s="2143" t="n"/>
      <c r="BG160" s="2143" t="n"/>
      <c r="BH160" s="2143" t="n"/>
      <c r="BI160" s="2144" t="n">
        <v>9</v>
      </c>
      <c r="BJ160" s="2143" t="n"/>
      <c r="BK160" s="2143" t="n"/>
      <c r="BL160" s="2143" t="n"/>
      <c r="BM160" s="2143" t="n"/>
      <c r="BN160" s="2142" t="n"/>
      <c r="BO160" s="2143" t="n"/>
      <c r="BP160" s="2143" t="n"/>
      <c r="BQ160" s="2145" t="n"/>
      <c r="BR160" s="2146" t="n"/>
      <c r="BS160" s="2147" t="n"/>
      <c r="BT160" s="2146" t="n"/>
      <c r="BU160" s="2146" t="n"/>
      <c r="BV160" s="2146" t="n"/>
      <c r="BW160" s="2146" t="n"/>
      <c r="BX160" s="2147" t="n"/>
      <c r="BY160" s="2147" t="n"/>
      <c r="BZ160" s="2147" t="n"/>
      <c r="CA160" s="2147" t="n"/>
      <c r="CB160" s="2148" t="n"/>
    </row>
    <row r="161" ht="14.4" customFormat="1" customHeight="1" s="2139">
      <c r="A161" s="2140" t="inlineStr">
        <is>
          <t>Total # of female current directors</t>
        </is>
      </c>
      <c r="B161" s="2141" t="n"/>
      <c r="C161" s="2142" t="n"/>
      <c r="D161" s="2142" t="n"/>
      <c r="E161" s="2142" t="n"/>
      <c r="F161" s="2142" t="n"/>
      <c r="G161" s="2143" t="n"/>
      <c r="H161" s="2143" t="n"/>
      <c r="I161" s="2143" t="n"/>
      <c r="J161" s="2143" t="n"/>
      <c r="K161" s="2142" t="n"/>
      <c r="L161" s="2143" t="n"/>
      <c r="M161" s="2143" t="n"/>
      <c r="N161" s="2143" t="n"/>
      <c r="O161" s="2143" t="n"/>
      <c r="P161" s="2142" t="n"/>
      <c r="Q161" s="2143" t="n"/>
      <c r="R161" s="2143" t="n"/>
      <c r="S161" s="2143" t="n"/>
      <c r="T161" s="2143" t="n"/>
      <c r="U161" s="2142" t="n"/>
      <c r="V161" s="2143" t="n"/>
      <c r="W161" s="2143" t="n"/>
      <c r="X161" s="2143" t="n"/>
      <c r="Y161" s="2143" t="n"/>
      <c r="Z161" s="2142" t="n"/>
      <c r="AA161" s="2143" t="n"/>
      <c r="AB161" s="2143" t="n"/>
      <c r="AC161" s="2143" t="n"/>
      <c r="AD161" s="2143" t="n"/>
      <c r="AE161" s="2142" t="n"/>
      <c r="AF161" s="2143" t="n"/>
      <c r="AG161" s="2143" t="n"/>
      <c r="AH161" s="2143" t="n"/>
      <c r="AI161" s="2143" t="n"/>
      <c r="AJ161" s="2142" t="n"/>
      <c r="AK161" s="2143" t="n"/>
      <c r="AL161" s="2143" t="n"/>
      <c r="AM161" s="2143" t="n"/>
      <c r="AN161" s="2143" t="n"/>
      <c r="AO161" s="2142" t="n"/>
      <c r="AP161" s="2143" t="n"/>
      <c r="AQ161" s="2143" t="n"/>
      <c r="AR161" s="2143" t="n"/>
      <c r="AS161" s="2143" t="n"/>
      <c r="AT161" s="2144" t="n">
        <v>3</v>
      </c>
      <c r="AU161" s="2143" t="n"/>
      <c r="AV161" s="2143" t="n"/>
      <c r="AW161" s="2143" t="n"/>
      <c r="AX161" s="2143" t="n"/>
      <c r="AY161" s="2144" t="n">
        <v>3</v>
      </c>
      <c r="AZ161" s="2143" t="n"/>
      <c r="BA161" s="2143" t="n"/>
      <c r="BB161" s="2143" t="n"/>
      <c r="BC161" s="2143" t="n"/>
      <c r="BD161" s="2144" t="n">
        <v>3</v>
      </c>
      <c r="BE161" s="2143" t="n"/>
      <c r="BF161" s="2143" t="n"/>
      <c r="BG161" s="2143" t="n"/>
      <c r="BH161" s="2143" t="n"/>
      <c r="BI161" s="2144" t="n">
        <v>3</v>
      </c>
      <c r="BJ161" s="2143" t="n"/>
      <c r="BK161" s="2143" t="n"/>
      <c r="BL161" s="2143" t="n"/>
      <c r="BM161" s="2143" t="n"/>
      <c r="BN161" s="2142" t="n"/>
      <c r="BO161" s="2143" t="n"/>
      <c r="BP161" s="2143" t="n"/>
      <c r="BQ161" s="2145" t="n"/>
      <c r="BR161" s="2146" t="n"/>
      <c r="BS161" s="2147" t="n"/>
      <c r="BT161" s="2146" t="n"/>
      <c r="BU161" s="2146" t="n"/>
      <c r="BV161" s="2146" t="n"/>
      <c r="BW161" s="2146" t="n"/>
      <c r="BX161" s="2147" t="n"/>
      <c r="BY161" s="2147" t="n"/>
      <c r="BZ161" s="2147" t="n"/>
      <c r="CA161" s="2147" t="n"/>
      <c r="CB161" s="2148" t="n"/>
    </row>
    <row r="162" ht="14.4" customFormat="1" customHeight="1" s="2139">
      <c r="A162" s="2140" t="inlineStr">
        <is>
          <t>Total # of racially/ethnically diverse current directors</t>
        </is>
      </c>
      <c r="B162" s="2141" t="n"/>
      <c r="C162" s="2142" t="n"/>
      <c r="D162" s="2142" t="n"/>
      <c r="E162" s="2142" t="n"/>
      <c r="F162" s="2142" t="n"/>
      <c r="G162" s="2143" t="n"/>
      <c r="H162" s="2143" t="n"/>
      <c r="I162" s="2143" t="n"/>
      <c r="J162" s="2143" t="n"/>
      <c r="K162" s="2142" t="n"/>
      <c r="L162" s="2143" t="n"/>
      <c r="M162" s="2143" t="n"/>
      <c r="N162" s="2143" t="n"/>
      <c r="O162" s="2143" t="n"/>
      <c r="P162" s="2142" t="n"/>
      <c r="Q162" s="2143" t="n"/>
      <c r="R162" s="2143" t="n"/>
      <c r="S162" s="2143" t="n"/>
      <c r="T162" s="2143" t="n"/>
      <c r="U162" s="2142" t="n"/>
      <c r="V162" s="2143" t="n"/>
      <c r="W162" s="2143" t="n"/>
      <c r="X162" s="2143" t="n"/>
      <c r="Y162" s="2143" t="n"/>
      <c r="Z162" s="2142" t="n"/>
      <c r="AA162" s="2143" t="n"/>
      <c r="AB162" s="2143" t="n"/>
      <c r="AC162" s="2143" t="n"/>
      <c r="AD162" s="2143" t="n"/>
      <c r="AE162" s="2142" t="n"/>
      <c r="AF162" s="2143" t="n"/>
      <c r="AG162" s="2143" t="n"/>
      <c r="AH162" s="2143" t="n"/>
      <c r="AI162" s="2143" t="n"/>
      <c r="AJ162" s="2142" t="n"/>
      <c r="AK162" s="2143" t="n"/>
      <c r="AL162" s="2143" t="n"/>
      <c r="AM162" s="2143" t="n"/>
      <c r="AN162" s="2143" t="n"/>
      <c r="AO162" s="2142" t="n"/>
      <c r="AP162" s="2143" t="n"/>
      <c r="AQ162" s="2143" t="n"/>
      <c r="AR162" s="2143" t="n"/>
      <c r="AS162" s="2143" t="n"/>
      <c r="AT162" s="2144" t="n">
        <v>4</v>
      </c>
      <c r="AU162" s="2143" t="n"/>
      <c r="AV162" s="2143" t="n"/>
      <c r="AW162" s="2143" t="n"/>
      <c r="AX162" s="2143" t="n"/>
      <c r="AY162" s="2144" t="n">
        <v>5</v>
      </c>
      <c r="AZ162" s="2143" t="n"/>
      <c r="BA162" s="2143" t="n"/>
      <c r="BB162" s="2143" t="n"/>
      <c r="BC162" s="2143" t="n"/>
      <c r="BD162" s="2144" t="n">
        <v>5</v>
      </c>
      <c r="BE162" s="2143" t="n"/>
      <c r="BF162" s="2143" t="n"/>
      <c r="BG162" s="2143" t="n"/>
      <c r="BH162" s="2143" t="n"/>
      <c r="BI162" s="2144" t="n">
        <v>4</v>
      </c>
      <c r="BJ162" s="2143" t="n"/>
      <c r="BK162" s="2143" t="n"/>
      <c r="BL162" s="2143" t="n"/>
      <c r="BM162" s="2143" t="n"/>
      <c r="BN162" s="2142" t="n"/>
      <c r="BO162" s="2143" t="n"/>
      <c r="BP162" s="2143" t="n"/>
      <c r="BQ162" s="2145" t="n"/>
      <c r="BR162" s="2146" t="n"/>
      <c r="BS162" s="2147" t="n"/>
      <c r="BT162" s="2146" t="n"/>
      <c r="BU162" s="2146" t="n"/>
      <c r="BV162" s="2146" t="n"/>
      <c r="BW162" s="2146" t="n"/>
      <c r="BX162" s="2147" t="n"/>
      <c r="BY162" s="2147" t="n"/>
      <c r="BZ162" s="2147" t="n"/>
      <c r="CA162" s="2147" t="n"/>
      <c r="CB162" s="2148" t="n"/>
    </row>
    <row r="163" ht="14.4" customFormat="1" customHeight="1" s="2139">
      <c r="A163" s="2140" t="n"/>
      <c r="B163" s="2141" t="n"/>
      <c r="C163" s="2142" t="n"/>
      <c r="D163" s="2142" t="n"/>
      <c r="E163" s="2142" t="n"/>
      <c r="F163" s="2142" t="n"/>
      <c r="G163" s="2143" t="n"/>
      <c r="H163" s="2143" t="n"/>
      <c r="I163" s="2143" t="n"/>
      <c r="J163" s="2143" t="n"/>
      <c r="K163" s="2142" t="n"/>
      <c r="L163" s="2143" t="n"/>
      <c r="M163" s="2143" t="n"/>
      <c r="N163" s="2143" t="n"/>
      <c r="O163" s="2143" t="n"/>
      <c r="P163" s="2142" t="n"/>
      <c r="Q163" s="2143" t="n"/>
      <c r="R163" s="2143" t="n"/>
      <c r="S163" s="2143" t="n"/>
      <c r="T163" s="2143" t="n"/>
      <c r="U163" s="2142" t="n"/>
      <c r="V163" s="2143" t="n"/>
      <c r="W163" s="2143" t="n"/>
      <c r="X163" s="2143" t="n"/>
      <c r="Y163" s="2143" t="n"/>
      <c r="Z163" s="2142" t="n"/>
      <c r="AA163" s="2143" t="n"/>
      <c r="AB163" s="2143" t="n"/>
      <c r="AC163" s="2143" t="n"/>
      <c r="AD163" s="2143" t="n"/>
      <c r="AE163" s="2142" t="n"/>
      <c r="AF163" s="2143" t="n"/>
      <c r="AG163" s="2143" t="n"/>
      <c r="AH163" s="2143" t="n"/>
      <c r="AI163" s="2143" t="n"/>
      <c r="AJ163" s="2142" t="n"/>
      <c r="AK163" s="2143" t="n"/>
      <c r="AL163" s="2143" t="n"/>
      <c r="AM163" s="2143" t="n"/>
      <c r="AN163" s="2143" t="n"/>
      <c r="AO163" s="2142" t="n"/>
      <c r="AP163" s="2143" t="n"/>
      <c r="AQ163" s="2143" t="n"/>
      <c r="AR163" s="2143" t="n"/>
      <c r="AS163" s="2143" t="n"/>
      <c r="AT163" s="2142" t="n"/>
      <c r="AU163" s="2143" t="n"/>
      <c r="AV163" s="2143" t="n"/>
      <c r="AW163" s="2143" t="n"/>
      <c r="AX163" s="2143" t="n"/>
      <c r="AY163" s="2142" t="n"/>
      <c r="AZ163" s="2143" t="n"/>
      <c r="BA163" s="2143" t="n"/>
      <c r="BB163" s="2143" t="n"/>
      <c r="BC163" s="2143" t="n"/>
      <c r="BD163" s="2142" t="n"/>
      <c r="BE163" s="2143" t="n"/>
      <c r="BF163" s="2143" t="n"/>
      <c r="BG163" s="2143" t="n"/>
      <c r="BH163" s="2143" t="n"/>
      <c r="BI163" s="2142" t="n"/>
      <c r="BJ163" s="2143" t="n"/>
      <c r="BK163" s="2143" t="n"/>
      <c r="BL163" s="2143" t="n"/>
      <c r="BM163" s="2143" t="n"/>
      <c r="BN163" s="2142" t="n"/>
      <c r="BO163" s="2143" t="n"/>
      <c r="BP163" s="2143" t="n"/>
      <c r="BQ163" s="2145" t="n"/>
      <c r="BR163" s="2146" t="n"/>
      <c r="BS163" s="2147" t="n"/>
      <c r="BT163" s="2146" t="n"/>
      <c r="BU163" s="2146" t="n"/>
      <c r="BV163" s="2146" t="n"/>
      <c r="BW163" s="2146" t="n"/>
      <c r="BX163" s="2147" t="n"/>
      <c r="BY163" s="2147" t="n"/>
      <c r="BZ163" s="2147" t="n"/>
      <c r="CA163" s="2147" t="n"/>
      <c r="CB163" s="2148" t="n"/>
    </row>
    <row r="164" ht="14.4" customFormat="1" customHeight="1" s="2139">
      <c r="A164" s="2140" t="inlineStr">
        <is>
          <t>Total # of director nominees</t>
        </is>
      </c>
      <c r="B164" s="2141" t="n"/>
      <c r="C164" s="2142" t="n"/>
      <c r="D164" s="2142" t="n"/>
      <c r="E164" s="2142" t="n"/>
      <c r="F164" s="2142" t="n"/>
      <c r="G164" s="2143" t="n"/>
      <c r="H164" s="2143" t="n"/>
      <c r="I164" s="2143" t="n"/>
      <c r="J164" s="2143" t="n"/>
      <c r="K164" s="2142" t="n"/>
      <c r="L164" s="2143" t="n"/>
      <c r="M164" s="2143" t="n"/>
      <c r="N164" s="2143" t="n"/>
      <c r="O164" s="2143" t="n"/>
      <c r="P164" s="2142" t="n"/>
      <c r="Q164" s="2143" t="n"/>
      <c r="R164" s="2143" t="n"/>
      <c r="S164" s="2143" t="n"/>
      <c r="T164" s="2143" t="n"/>
      <c r="U164" s="2142" t="n"/>
      <c r="V164" s="2143" t="n"/>
      <c r="W164" s="2143" t="n"/>
      <c r="X164" s="2143" t="n"/>
      <c r="Y164" s="2143" t="n"/>
      <c r="Z164" s="2142" t="n"/>
      <c r="AA164" s="2143" t="n"/>
      <c r="AB164" s="2143" t="n"/>
      <c r="AC164" s="2143" t="n"/>
      <c r="AD164" s="2143" t="n"/>
      <c r="AE164" s="2142" t="n"/>
      <c r="AF164" s="2143" t="n"/>
      <c r="AG164" s="2143" t="n"/>
      <c r="AH164" s="2143" t="n"/>
      <c r="AI164" s="2143" t="n"/>
      <c r="AJ164" s="2142" t="n"/>
      <c r="AK164" s="2143" t="n"/>
      <c r="AL164" s="2143" t="n"/>
      <c r="AM164" s="2143" t="n"/>
      <c r="AN164" s="2143" t="n"/>
      <c r="AO164" s="2142" t="n"/>
      <c r="AP164" s="2143" t="n"/>
      <c r="AQ164" s="2143" t="n"/>
      <c r="AR164" s="2143" t="n"/>
      <c r="AS164" s="2143" t="n"/>
      <c r="AT164" s="2144" t="n">
        <v>9</v>
      </c>
      <c r="AU164" s="2143" t="n"/>
      <c r="AV164" s="2143" t="n"/>
      <c r="AW164" s="2143" t="n"/>
      <c r="AX164" s="2143" t="n"/>
      <c r="AY164" s="2144" t="n">
        <v>11</v>
      </c>
      <c r="AZ164" s="2143" t="n"/>
      <c r="BA164" s="2143" t="n"/>
      <c r="BB164" s="2143" t="n"/>
      <c r="BC164" s="2143" t="n"/>
      <c r="BD164" s="2144" t="n">
        <v>10</v>
      </c>
      <c r="BE164" s="2143" t="n"/>
      <c r="BF164" s="2143" t="n"/>
      <c r="BG164" s="2143" t="n"/>
      <c r="BH164" s="2143" t="n"/>
      <c r="BI164" s="2144" t="n">
        <v>9</v>
      </c>
      <c r="BJ164" s="2143" t="n"/>
      <c r="BK164" s="2143" t="n"/>
      <c r="BL164" s="2143" t="n"/>
      <c r="BM164" s="2143" t="n"/>
      <c r="BN164" s="2142" t="n"/>
      <c r="BO164" s="2143" t="n"/>
      <c r="BP164" s="2143" t="n"/>
      <c r="BQ164" s="2145" t="n"/>
      <c r="BR164" s="2146" t="n"/>
      <c r="BS164" s="2147" t="n"/>
      <c r="BT164" s="2146" t="n"/>
      <c r="BU164" s="2146" t="n"/>
      <c r="BV164" s="2146" t="n"/>
      <c r="BW164" s="2146" t="n"/>
      <c r="BX164" s="2147" t="n"/>
      <c r="BY164" s="2147" t="n"/>
      <c r="BZ164" s="2147" t="n"/>
      <c r="CA164" s="2147" t="n"/>
      <c r="CB164" s="2148" t="n"/>
    </row>
    <row r="165" ht="14.4" customFormat="1" customHeight="1" s="2139">
      <c r="A165" s="2140" t="inlineStr">
        <is>
          <t>Total # of independent director nominees</t>
        </is>
      </c>
      <c r="B165" s="2141" t="n"/>
      <c r="C165" s="2142" t="n"/>
      <c r="D165" s="2142" t="n"/>
      <c r="E165" s="2142" t="n"/>
      <c r="F165" s="2142" t="n"/>
      <c r="G165" s="2143" t="n"/>
      <c r="H165" s="2143" t="n"/>
      <c r="I165" s="2143" t="n"/>
      <c r="J165" s="2143" t="n"/>
      <c r="K165" s="2142" t="n"/>
      <c r="L165" s="2143" t="n"/>
      <c r="M165" s="2143" t="n"/>
      <c r="N165" s="2143" t="n"/>
      <c r="O165" s="2143" t="n"/>
      <c r="P165" s="2142" t="n"/>
      <c r="Q165" s="2143" t="n"/>
      <c r="R165" s="2143" t="n"/>
      <c r="S165" s="2143" t="n"/>
      <c r="T165" s="2143" t="n"/>
      <c r="U165" s="2142" t="n"/>
      <c r="V165" s="2143" t="n"/>
      <c r="W165" s="2143" t="n"/>
      <c r="X165" s="2143" t="n"/>
      <c r="Y165" s="2143" t="n"/>
      <c r="Z165" s="2142" t="n"/>
      <c r="AA165" s="2143" t="n"/>
      <c r="AB165" s="2143" t="n"/>
      <c r="AC165" s="2143" t="n"/>
      <c r="AD165" s="2143" t="n"/>
      <c r="AE165" s="2142" t="n"/>
      <c r="AF165" s="2143" t="n"/>
      <c r="AG165" s="2143" t="n"/>
      <c r="AH165" s="2143" t="n"/>
      <c r="AI165" s="2143" t="n"/>
      <c r="AJ165" s="2142" t="n"/>
      <c r="AK165" s="2143" t="n"/>
      <c r="AL165" s="2143" t="n"/>
      <c r="AM165" s="2143" t="n"/>
      <c r="AN165" s="2143" t="n"/>
      <c r="AO165" s="2142" t="n"/>
      <c r="AP165" s="2143" t="n"/>
      <c r="AQ165" s="2143" t="n"/>
      <c r="AR165" s="2143" t="n"/>
      <c r="AS165" s="2143" t="n"/>
      <c r="AT165" s="2144" t="n">
        <v>8</v>
      </c>
      <c r="AU165" s="2143" t="n"/>
      <c r="AV165" s="2143" t="n"/>
      <c r="AW165" s="2143" t="n"/>
      <c r="AX165" s="2143" t="n"/>
      <c r="AY165" s="2144" t="n">
        <v>9</v>
      </c>
      <c r="AZ165" s="2143" t="n"/>
      <c r="BA165" s="2143" t="n"/>
      <c r="BB165" s="2143" t="n"/>
      <c r="BC165" s="2143" t="n"/>
      <c r="BD165" s="2144" t="n">
        <v>9</v>
      </c>
      <c r="BE165" s="2143" t="n"/>
      <c r="BF165" s="2143" t="n"/>
      <c r="BG165" s="2143" t="n"/>
      <c r="BH165" s="2143" t="n"/>
      <c r="BI165" s="2144" t="n">
        <v>9</v>
      </c>
      <c r="BJ165" s="2143" t="n"/>
      <c r="BK165" s="2143" t="n"/>
      <c r="BL165" s="2143" t="n"/>
      <c r="BM165" s="2143" t="n"/>
      <c r="BN165" s="2142" t="n"/>
      <c r="BO165" s="2143" t="n"/>
      <c r="BP165" s="2143" t="n"/>
      <c r="BQ165" s="2145" t="n"/>
      <c r="BR165" s="2146" t="n"/>
      <c r="BS165" s="2147" t="n"/>
      <c r="BT165" s="2146" t="n"/>
      <c r="BU165" s="2146" t="n"/>
      <c r="BV165" s="2146" t="n"/>
      <c r="BW165" s="2146" t="n"/>
      <c r="BX165" s="2147" t="n"/>
      <c r="BY165" s="2147" t="n"/>
      <c r="BZ165" s="2147" t="n"/>
      <c r="CA165" s="2147" t="n"/>
      <c r="CB165" s="2148" t="n"/>
    </row>
    <row r="166" ht="14.4" customFormat="1" customHeight="1" s="2082">
      <c r="A166" s="1596" t="n"/>
      <c r="B166" s="2098" t="n"/>
      <c r="C166" s="2090" t="n"/>
      <c r="D166" s="2090" t="n"/>
      <c r="E166" s="2090" t="n"/>
      <c r="F166" s="2090" t="n"/>
      <c r="G166" s="2089" t="n"/>
      <c r="H166" s="2089" t="n"/>
      <c r="I166" s="2089" t="n"/>
      <c r="J166" s="2089" t="n"/>
      <c r="K166" s="2090" t="n"/>
      <c r="L166" s="2089" t="n"/>
      <c r="M166" s="2089" t="n"/>
      <c r="N166" s="2089" t="n"/>
      <c r="O166" s="2089" t="n"/>
      <c r="P166" s="2090" t="n"/>
      <c r="Q166" s="2089" t="n"/>
      <c r="R166" s="2089" t="n"/>
      <c r="S166" s="2089" t="n"/>
      <c r="T166" s="2089" t="n"/>
      <c r="U166" s="2090" t="n"/>
      <c r="V166" s="2089" t="n"/>
      <c r="W166" s="2089" t="n"/>
      <c r="X166" s="2089" t="n"/>
      <c r="Y166" s="2089" t="n"/>
      <c r="Z166" s="2090" t="n"/>
      <c r="AA166" s="2089" t="n"/>
      <c r="AB166" s="2089" t="n"/>
      <c r="AC166" s="2089" t="n"/>
      <c r="AD166" s="2089" t="n"/>
      <c r="AE166" s="2090" t="n"/>
      <c r="AF166" s="2089" t="n"/>
      <c r="AG166" s="2089" t="n"/>
      <c r="AH166" s="2089" t="n"/>
      <c r="AI166" s="2089" t="n"/>
      <c r="AJ166" s="2090" t="n"/>
      <c r="AK166" s="2089" t="n"/>
      <c r="AL166" s="2089" t="n"/>
      <c r="AM166" s="2089" t="n"/>
      <c r="AN166" s="2089" t="n"/>
      <c r="AO166" s="2090" t="n"/>
      <c r="AP166" s="2089" t="n"/>
      <c r="AQ166" s="2089" t="n"/>
      <c r="AR166" s="2089" t="n"/>
      <c r="AS166" s="2089" t="n"/>
      <c r="AT166" s="2090" t="n"/>
      <c r="AU166" s="2089" t="n"/>
      <c r="AV166" s="2089" t="n"/>
      <c r="AW166" s="2089" t="n"/>
      <c r="AX166" s="2089" t="n"/>
      <c r="AY166" s="2090" t="n"/>
      <c r="AZ166" s="2089" t="n"/>
      <c r="BA166" s="2089" t="n"/>
      <c r="BB166" s="2089" t="n"/>
      <c r="BC166" s="2089" t="n"/>
      <c r="BD166" s="2090" t="n"/>
      <c r="BE166" s="2089" t="n"/>
      <c r="BF166" s="2089" t="n"/>
      <c r="BG166" s="2089" t="n"/>
      <c r="BH166" s="2089" t="n"/>
      <c r="BI166" s="2090" t="n"/>
      <c r="BJ166" s="2089" t="n"/>
      <c r="BK166" s="2089" t="n"/>
      <c r="BL166" s="2089" t="n"/>
      <c r="BM166" s="2089" t="n"/>
      <c r="BN166" s="2090" t="n"/>
      <c r="BO166" s="2089" t="n"/>
      <c r="BP166" s="2089" t="n"/>
      <c r="BQ166" s="2100" t="n"/>
      <c r="BR166" s="2089" t="n"/>
      <c r="BS166" s="2090" t="n"/>
      <c r="BT166" s="2089" t="n"/>
      <c r="BU166" s="2089" t="n"/>
      <c r="BV166" s="2089" t="n"/>
      <c r="BW166" s="2089" t="n"/>
      <c r="BX166" s="2090" t="n"/>
      <c r="BY166" s="2090" t="n"/>
      <c r="BZ166" s="2090" t="n"/>
      <c r="CA166" s="2090" t="n"/>
      <c r="CB166" s="2085" t="n"/>
    </row>
    <row r="167" ht="14.4" customFormat="1" customHeight="1" s="2082">
      <c r="A167" s="2083" t="inlineStr">
        <is>
          <t>Director Compensation</t>
        </is>
      </c>
      <c r="B167" s="2083" t="n"/>
      <c r="C167" s="2083" t="n"/>
      <c r="D167" s="2083" t="n"/>
      <c r="E167" s="2083" t="n"/>
      <c r="F167" s="2083" t="n"/>
      <c r="G167" s="2083" t="n"/>
      <c r="H167" s="2083" t="n"/>
      <c r="I167" s="2083" t="n"/>
      <c r="J167" s="2083" t="n"/>
      <c r="K167" s="2083" t="n"/>
      <c r="L167" s="2083" t="n"/>
      <c r="M167" s="2083" t="n"/>
      <c r="N167" s="2083" t="n"/>
      <c r="O167" s="2083" t="n"/>
      <c r="P167" s="2083" t="n"/>
      <c r="Q167" s="2083" t="n"/>
      <c r="R167" s="2083" t="n"/>
      <c r="S167" s="2083" t="n"/>
      <c r="T167" s="2083" t="n"/>
      <c r="U167" s="2083" t="n"/>
      <c r="V167" s="2083" t="n"/>
      <c r="W167" s="2083" t="n"/>
      <c r="X167" s="2083" t="n"/>
      <c r="Y167" s="2083" t="n"/>
      <c r="Z167" s="2083" t="n"/>
      <c r="AA167" s="2083" t="n"/>
      <c r="AB167" s="2083" t="n"/>
      <c r="AC167" s="2083" t="n"/>
      <c r="AD167" s="2083" t="n"/>
      <c r="AE167" s="2083" t="n"/>
      <c r="AF167" s="2083" t="n"/>
      <c r="AG167" s="2083" t="n"/>
      <c r="AH167" s="2083" t="n"/>
      <c r="AI167" s="2083" t="n"/>
      <c r="AJ167" s="2083" t="n"/>
      <c r="AK167" s="2083" t="n"/>
      <c r="AL167" s="2083" t="n"/>
      <c r="AM167" s="2083" t="n"/>
      <c r="AN167" s="2083" t="n"/>
      <c r="AO167" s="2083" t="n"/>
      <c r="AP167" s="2083" t="n"/>
      <c r="AQ167" s="2083" t="n"/>
      <c r="AR167" s="2083" t="n"/>
      <c r="AS167" s="2083" t="n"/>
      <c r="AT167" s="2083" t="n"/>
      <c r="AU167" s="2083" t="n"/>
      <c r="AV167" s="2083" t="n"/>
      <c r="AW167" s="2083" t="n"/>
      <c r="AX167" s="2083" t="n"/>
      <c r="AY167" s="2083" t="n"/>
      <c r="AZ167" s="2083" t="n"/>
      <c r="BA167" s="2083" t="n"/>
      <c r="BB167" s="2083" t="n"/>
      <c r="BC167" s="2083" t="n"/>
      <c r="BD167" s="2083" t="n"/>
      <c r="BE167" s="2083" t="n"/>
      <c r="BF167" s="2083" t="n"/>
      <c r="BG167" s="2083" t="n"/>
      <c r="BH167" s="2083" t="n"/>
      <c r="BI167" s="2083" t="n"/>
      <c r="BJ167" s="2083" t="n"/>
      <c r="BK167" s="2083" t="n"/>
      <c r="BL167" s="2083" t="n"/>
      <c r="BM167" s="2083" t="n"/>
      <c r="BN167" s="2083" t="n"/>
      <c r="BO167" s="2083" t="n"/>
      <c r="BP167" s="2083" t="n"/>
      <c r="BQ167" s="2084" t="n"/>
      <c r="BR167" s="2083" t="n"/>
      <c r="BS167" s="2083" t="n"/>
      <c r="BT167" s="2083" t="n"/>
      <c r="BU167" s="2083" t="n"/>
      <c r="BV167" s="2083" t="n"/>
      <c r="BW167" s="2083" t="n"/>
      <c r="BX167" s="2083" t="n"/>
      <c r="BY167" s="2083" t="n"/>
      <c r="BZ167" s="2083" t="n"/>
      <c r="CA167" s="2083" t="n"/>
      <c r="CB167" s="2085" t="n"/>
    </row>
    <row r="168" hidden="1" outlineLevel="1" ht="14.4" customFormat="1" customHeight="1" s="2082">
      <c r="A168" s="1594" t="inlineStr">
        <is>
          <t>Director 1 cash comp, 000s</t>
        </is>
      </c>
      <c r="B168" s="2086" t="n"/>
      <c r="C168" s="2087" t="n"/>
      <c r="D168" s="2087" t="n"/>
      <c r="E168" s="2087" t="n"/>
      <c r="F168" s="2087" t="n"/>
      <c r="G168" s="2072" t="n"/>
      <c r="H168" s="2072" t="n"/>
      <c r="I168" s="2072" t="n"/>
      <c r="J168" s="2072" t="n"/>
      <c r="K168" s="2087" t="n"/>
      <c r="L168" s="2072" t="n"/>
      <c r="M168" s="2072" t="n"/>
      <c r="N168" s="2072" t="n"/>
      <c r="O168" s="2072" t="n"/>
      <c r="P168" s="2087" t="n"/>
      <c r="Q168" s="2072" t="n"/>
      <c r="R168" s="2072" t="n"/>
      <c r="S168" s="2072" t="n"/>
      <c r="T168" s="2072" t="n"/>
      <c r="U168" s="2087" t="n"/>
      <c r="V168" s="2072" t="n"/>
      <c r="W168" s="2072" t="n"/>
      <c r="X168" s="2072" t="n"/>
      <c r="Y168" s="2072" t="n"/>
      <c r="Z168" s="2087" t="n"/>
      <c r="AA168" s="2072" t="n"/>
      <c r="AB168" s="2072" t="n"/>
      <c r="AC168" s="2072" t="n"/>
      <c r="AD168" s="2072" t="n"/>
      <c r="AE168" s="2087" t="n"/>
      <c r="AF168" s="2072" t="n"/>
      <c r="AG168" s="2072" t="n"/>
      <c r="AH168" s="2072" t="n"/>
      <c r="AI168" s="2072" t="n"/>
      <c r="AJ168" s="2087" t="n"/>
      <c r="AK168" s="2072" t="n"/>
      <c r="AL168" s="2072" t="n"/>
      <c r="AM168" s="2072" t="n"/>
      <c r="AN168" s="2072" t="n"/>
      <c r="AO168" s="2087" t="n"/>
      <c r="AP168" s="2072" t="n"/>
      <c r="AQ168" s="2072" t="n"/>
      <c r="AR168" s="2072" t="n"/>
      <c r="AS168" s="2072" t="n"/>
      <c r="AT168" s="2088" t="n">
        <v>139</v>
      </c>
      <c r="AU168" s="2072" t="n"/>
      <c r="AV168" s="2072" t="n"/>
      <c r="AW168" s="2072" t="n"/>
      <c r="AX168" s="2072" t="n"/>
      <c r="AY168" s="2088" t="n">
        <v>140</v>
      </c>
      <c r="AZ168" s="2072" t="n"/>
      <c r="BA168" s="2072" t="n"/>
      <c r="BB168" s="2072" t="n"/>
      <c r="BC168" s="2072" t="n"/>
      <c r="BD168" s="2088" t="n">
        <v>140</v>
      </c>
      <c r="BE168" s="2072" t="n"/>
      <c r="BF168" s="2072" t="n"/>
      <c r="BG168" s="2072" t="n"/>
      <c r="BH168" s="2072" t="n"/>
      <c r="BI168" s="2117" t="n">
        <v>144</v>
      </c>
      <c r="BJ168" s="2072" t="n"/>
      <c r="BK168" s="2072" t="n"/>
      <c r="BL168" s="2072" t="n"/>
      <c r="BM168" s="2072" t="n"/>
      <c r="BN168" s="2087" t="n"/>
      <c r="BO168" s="2072" t="n"/>
      <c r="BP168" s="2072" t="n"/>
      <c r="BQ168" s="2073" t="n"/>
      <c r="BR168" s="2089" t="n"/>
      <c r="BS168" s="2090" t="n"/>
      <c r="BT168" s="2089" t="n"/>
      <c r="BU168" s="2089" t="n"/>
      <c r="BV168" s="2089" t="n"/>
      <c r="BW168" s="2089" t="n"/>
      <c r="BX168" s="2090" t="n"/>
      <c r="BY168" s="2090" t="n"/>
      <c r="BZ168" s="2090" t="n"/>
      <c r="CA168" s="2090" t="n"/>
      <c r="CB168" s="2085" t="n"/>
    </row>
    <row r="169" hidden="1" outlineLevel="1" ht="14.4" customFormat="1" customHeight="1" s="2082">
      <c r="A169" s="1594" t="inlineStr">
        <is>
          <t>Director 2 cash comp, 000s</t>
        </is>
      </c>
      <c r="B169" s="2086" t="n"/>
      <c r="C169" s="2087" t="n"/>
      <c r="D169" s="2087" t="n"/>
      <c r="E169" s="2087" t="n"/>
      <c r="F169" s="2087" t="n"/>
      <c r="G169" s="2072" t="n"/>
      <c r="H169" s="2072" t="n"/>
      <c r="I169" s="2072" t="n"/>
      <c r="J169" s="2072" t="n"/>
      <c r="K169" s="2087" t="n"/>
      <c r="L169" s="2072" t="n"/>
      <c r="M169" s="2072" t="n"/>
      <c r="N169" s="2072" t="n"/>
      <c r="O169" s="2072" t="n"/>
      <c r="P169" s="2087" t="n"/>
      <c r="Q169" s="2072" t="n"/>
      <c r="R169" s="2072" t="n"/>
      <c r="S169" s="2072" t="n"/>
      <c r="T169" s="2072" t="n"/>
      <c r="U169" s="2087" t="n"/>
      <c r="V169" s="2072" t="n"/>
      <c r="W169" s="2072" t="n"/>
      <c r="X169" s="2072" t="n"/>
      <c r="Y169" s="2072" t="n"/>
      <c r="Z169" s="2087" t="n"/>
      <c r="AA169" s="2072" t="n"/>
      <c r="AB169" s="2072" t="n"/>
      <c r="AC169" s="2072" t="n"/>
      <c r="AD169" s="2072" t="n"/>
      <c r="AE169" s="2087" t="n"/>
      <c r="AF169" s="2072" t="n"/>
      <c r="AG169" s="2072" t="n"/>
      <c r="AH169" s="2072" t="n"/>
      <c r="AI169" s="2072" t="n"/>
      <c r="AJ169" s="2087" t="n"/>
      <c r="AK169" s="2072" t="n"/>
      <c r="AL169" s="2072" t="n"/>
      <c r="AM169" s="2072" t="n"/>
      <c r="AN169" s="2072" t="n"/>
      <c r="AO169" s="2087" t="n"/>
      <c r="AP169" s="2072" t="n"/>
      <c r="AQ169" s="2072" t="n"/>
      <c r="AR169" s="2072" t="n"/>
      <c r="AS169" s="2072" t="n"/>
      <c r="AT169" s="2088" t="n">
        <v>143</v>
      </c>
      <c r="AU169" s="2072" t="n"/>
      <c r="AV169" s="2072" t="n"/>
      <c r="AW169" s="2072" t="n"/>
      <c r="AX169" s="2072" t="n"/>
      <c r="AY169" s="2117" t="n">
        <v>51.671</v>
      </c>
      <c r="AZ169" s="2072" t="n"/>
      <c r="BA169" s="2072" t="n"/>
      <c r="BB169" s="2072" t="n"/>
      <c r="BC169" s="2072" t="n"/>
      <c r="BD169" s="2088" t="n">
        <v>127.885</v>
      </c>
      <c r="BE169" s="2072" t="n"/>
      <c r="BF169" s="2072" t="n"/>
      <c r="BG169" s="2072" t="n"/>
      <c r="BH169" s="2072" t="n"/>
      <c r="BI169" s="2117" t="n">
        <v>142</v>
      </c>
      <c r="BJ169" s="2072" t="n"/>
      <c r="BK169" s="2072" t="n"/>
      <c r="BL169" s="2072" t="n"/>
      <c r="BM169" s="2072" t="n"/>
      <c r="BN169" s="2087" t="n"/>
      <c r="BO169" s="2072" t="n"/>
      <c r="BP169" s="2072" t="n"/>
      <c r="BQ169" s="2073" t="n"/>
      <c r="BR169" s="2089" t="n"/>
      <c r="BS169" s="2090" t="n"/>
      <c r="BT169" s="2089" t="n"/>
      <c r="BU169" s="2089" t="n"/>
      <c r="BV169" s="2089" t="n"/>
      <c r="BW169" s="2089" t="n"/>
      <c r="BX169" s="2090" t="n"/>
      <c r="BY169" s="2090" t="n"/>
      <c r="BZ169" s="2090" t="n"/>
      <c r="CA169" s="2090" t="n"/>
      <c r="CB169" s="2085" t="n"/>
    </row>
    <row r="170" hidden="1" outlineLevel="1" ht="14.4" customFormat="1" customHeight="1" s="2082">
      <c r="A170" s="1594" t="inlineStr">
        <is>
          <t>Director 3 cash comp, 000s</t>
        </is>
      </c>
      <c r="B170" s="2086" t="n"/>
      <c r="C170" s="2087" t="n"/>
      <c r="D170" s="2087" t="n"/>
      <c r="E170" s="2087" t="n"/>
      <c r="F170" s="2087" t="n"/>
      <c r="G170" s="2072" t="n"/>
      <c r="H170" s="2072" t="n"/>
      <c r="I170" s="2072" t="n"/>
      <c r="J170" s="2072" t="n"/>
      <c r="K170" s="2087" t="n"/>
      <c r="L170" s="2072" t="n"/>
      <c r="M170" s="2072" t="n"/>
      <c r="N170" s="2072" t="n"/>
      <c r="O170" s="2072" t="n"/>
      <c r="P170" s="2087" t="n"/>
      <c r="Q170" s="2072" t="n"/>
      <c r="R170" s="2072" t="n"/>
      <c r="S170" s="2072" t="n"/>
      <c r="T170" s="2072" t="n"/>
      <c r="U170" s="2087" t="n"/>
      <c r="V170" s="2072" t="n"/>
      <c r="W170" s="2072" t="n"/>
      <c r="X170" s="2072" t="n"/>
      <c r="Y170" s="2072" t="n"/>
      <c r="Z170" s="2087" t="n"/>
      <c r="AA170" s="2072" t="n"/>
      <c r="AB170" s="2072" t="n"/>
      <c r="AC170" s="2072" t="n"/>
      <c r="AD170" s="2072" t="n"/>
      <c r="AE170" s="2087" t="n"/>
      <c r="AF170" s="2072" t="n"/>
      <c r="AG170" s="2072" t="n"/>
      <c r="AH170" s="2072" t="n"/>
      <c r="AI170" s="2072" t="n"/>
      <c r="AJ170" s="2087" t="n"/>
      <c r="AK170" s="2072" t="n"/>
      <c r="AL170" s="2072" t="n"/>
      <c r="AM170" s="2072" t="n"/>
      <c r="AN170" s="2072" t="n"/>
      <c r="AO170" s="2087" t="n"/>
      <c r="AP170" s="2072" t="n"/>
      <c r="AQ170" s="2072" t="n"/>
      <c r="AR170" s="2072" t="n"/>
      <c r="AS170" s="2072" t="n"/>
      <c r="AT170" s="2088" t="n">
        <v>84.825</v>
      </c>
      <c r="AU170" s="2072" t="n"/>
      <c r="AV170" s="2072" t="n"/>
      <c r="AW170" s="2072" t="n"/>
      <c r="AX170" s="2072" t="n"/>
      <c r="AY170" s="2117" t="n">
        <v>106</v>
      </c>
      <c r="AZ170" s="2072" t="n"/>
      <c r="BA170" s="2072" t="n"/>
      <c r="BB170" s="2072" t="n"/>
      <c r="BC170" s="2072" t="n"/>
      <c r="BD170" s="2088" t="n">
        <v>150</v>
      </c>
      <c r="BE170" s="2072" t="n"/>
      <c r="BF170" s="2072" t="n"/>
      <c r="BG170" s="2072" t="n"/>
      <c r="BH170" s="2072" t="n"/>
      <c r="BI170" s="2117" t="n">
        <v>158</v>
      </c>
      <c r="BJ170" s="2072" t="n"/>
      <c r="BK170" s="2072" t="n"/>
      <c r="BL170" s="2072" t="n"/>
      <c r="BM170" s="2072" t="n"/>
      <c r="BN170" s="2087" t="n"/>
      <c r="BO170" s="2072" t="n"/>
      <c r="BP170" s="2072" t="n"/>
      <c r="BQ170" s="2073" t="n"/>
      <c r="BR170" s="2089" t="n"/>
      <c r="BS170" s="2090" t="n"/>
      <c r="BT170" s="2089" t="n"/>
      <c r="BU170" s="2089" t="n"/>
      <c r="BV170" s="2089" t="n"/>
      <c r="BW170" s="2089" t="n"/>
      <c r="BX170" s="2090" t="n"/>
      <c r="BY170" s="2090" t="n"/>
      <c r="BZ170" s="2090" t="n"/>
      <c r="CA170" s="2090" t="n"/>
      <c r="CB170" s="2085" t="n"/>
    </row>
    <row r="171" hidden="1" outlineLevel="1" ht="14.4" customFormat="1" customHeight="1" s="2082">
      <c r="A171" s="1594" t="inlineStr">
        <is>
          <t>Director 4 cash comp, 000s</t>
        </is>
      </c>
      <c r="B171" s="2086" t="n"/>
      <c r="C171" s="2087" t="n"/>
      <c r="D171" s="2087" t="n"/>
      <c r="E171" s="2087" t="n"/>
      <c r="F171" s="2087" t="n"/>
      <c r="G171" s="2072" t="n"/>
      <c r="H171" s="2072" t="n"/>
      <c r="I171" s="2072" t="n"/>
      <c r="J171" s="2072" t="n"/>
      <c r="K171" s="2087" t="n"/>
      <c r="L171" s="2072" t="n"/>
      <c r="M171" s="2072" t="n"/>
      <c r="N171" s="2072" t="n"/>
      <c r="O171" s="2072" t="n"/>
      <c r="P171" s="2087" t="n"/>
      <c r="Q171" s="2072" t="n"/>
      <c r="R171" s="2072" t="n"/>
      <c r="S171" s="2072" t="n"/>
      <c r="T171" s="2072" t="n"/>
      <c r="U171" s="2087" t="n"/>
      <c r="V171" s="2072" t="n"/>
      <c r="W171" s="2072" t="n"/>
      <c r="X171" s="2072" t="n"/>
      <c r="Y171" s="2072" t="n"/>
      <c r="Z171" s="2087" t="n"/>
      <c r="AA171" s="2072" t="n"/>
      <c r="AB171" s="2072" t="n"/>
      <c r="AC171" s="2072" t="n"/>
      <c r="AD171" s="2072" t="n"/>
      <c r="AE171" s="2087" t="n"/>
      <c r="AF171" s="2072" t="n"/>
      <c r="AG171" s="2072" t="n"/>
      <c r="AH171" s="2072" t="n"/>
      <c r="AI171" s="2072" t="n"/>
      <c r="AJ171" s="2087" t="n"/>
      <c r="AK171" s="2072" t="n"/>
      <c r="AL171" s="2072" t="n"/>
      <c r="AM171" s="2072" t="n"/>
      <c r="AN171" s="2072" t="n"/>
      <c r="AO171" s="2087" t="n"/>
      <c r="AP171" s="2072" t="n"/>
      <c r="AQ171" s="2072" t="n"/>
      <c r="AR171" s="2072" t="n"/>
      <c r="AS171" s="2072" t="n"/>
      <c r="AT171" s="2088" t="n">
        <v>111.601</v>
      </c>
      <c r="AU171" s="2072" t="n"/>
      <c r="AV171" s="2072" t="n"/>
      <c r="AW171" s="2072" t="n"/>
      <c r="AX171" s="2072" t="n"/>
      <c r="AY171" s="2117" t="n">
        <v>142</v>
      </c>
      <c r="AZ171" s="2072" t="n"/>
      <c r="BA171" s="2072" t="n"/>
      <c r="BB171" s="2072" t="n"/>
      <c r="BC171" s="2072" t="n"/>
      <c r="BD171" s="2088" t="n">
        <v>91.151</v>
      </c>
      <c r="BE171" s="2072" t="n"/>
      <c r="BF171" s="2072" t="n"/>
      <c r="BG171" s="2072" t="n"/>
      <c r="BH171" s="2072" t="n"/>
      <c r="BI171" s="2117" t="n">
        <v>162.747</v>
      </c>
      <c r="BJ171" s="2072" t="n"/>
      <c r="BK171" s="2072" t="n"/>
      <c r="BL171" s="2072" t="n"/>
      <c r="BM171" s="2072" t="n"/>
      <c r="BN171" s="2087" t="n"/>
      <c r="BO171" s="2072" t="n"/>
      <c r="BP171" s="2072" t="n"/>
      <c r="BQ171" s="2073" t="n"/>
      <c r="BR171" s="2089" t="n"/>
      <c r="BS171" s="2090" t="n"/>
      <c r="BT171" s="2089" t="n"/>
      <c r="BU171" s="2089" t="n"/>
      <c r="BV171" s="2089" t="n"/>
      <c r="BW171" s="2089" t="n"/>
      <c r="BX171" s="2090" t="n"/>
      <c r="BY171" s="2090" t="n"/>
      <c r="BZ171" s="2090" t="n"/>
      <c r="CA171" s="2090" t="n"/>
      <c r="CB171" s="2085" t="n"/>
    </row>
    <row r="172" hidden="1" outlineLevel="1" ht="14.4" customFormat="1" customHeight="1" s="2082">
      <c r="A172" s="1594" t="inlineStr">
        <is>
          <t>Director 5 cash comp, 000s</t>
        </is>
      </c>
      <c r="B172" s="2086" t="n"/>
      <c r="C172" s="2087" t="n"/>
      <c r="D172" s="2087" t="n"/>
      <c r="E172" s="2087" t="n"/>
      <c r="F172" s="2087" t="n"/>
      <c r="G172" s="2072" t="n"/>
      <c r="H172" s="2072" t="n"/>
      <c r="I172" s="2072" t="n"/>
      <c r="J172" s="2072" t="n"/>
      <c r="K172" s="2087" t="n"/>
      <c r="L172" s="2072" t="n"/>
      <c r="M172" s="2072" t="n"/>
      <c r="N172" s="2072" t="n"/>
      <c r="O172" s="2072" t="n"/>
      <c r="P172" s="2087" t="n"/>
      <c r="Q172" s="2072" t="n"/>
      <c r="R172" s="2072" t="n"/>
      <c r="S172" s="2072" t="n"/>
      <c r="T172" s="2072" t="n"/>
      <c r="U172" s="2087" t="n"/>
      <c r="V172" s="2072" t="n"/>
      <c r="W172" s="2072" t="n"/>
      <c r="X172" s="2072" t="n"/>
      <c r="Y172" s="2072" t="n"/>
      <c r="Z172" s="2087" t="n"/>
      <c r="AA172" s="2072" t="n"/>
      <c r="AB172" s="2072" t="n"/>
      <c r="AC172" s="2072" t="n"/>
      <c r="AD172" s="2072" t="n"/>
      <c r="AE172" s="2087" t="n"/>
      <c r="AF172" s="2072" t="n"/>
      <c r="AG172" s="2072" t="n"/>
      <c r="AH172" s="2072" t="n"/>
      <c r="AI172" s="2072" t="n"/>
      <c r="AJ172" s="2087" t="n"/>
      <c r="AK172" s="2072" t="n"/>
      <c r="AL172" s="2072" t="n"/>
      <c r="AM172" s="2072" t="n"/>
      <c r="AN172" s="2072" t="n"/>
      <c r="AO172" s="2087" t="n"/>
      <c r="AP172" s="2072" t="n"/>
      <c r="AQ172" s="2072" t="n"/>
      <c r="AR172" s="2072" t="n"/>
      <c r="AS172" s="2072" t="n"/>
      <c r="AT172" s="2088" t="n">
        <v>143</v>
      </c>
      <c r="AU172" s="2072" t="n"/>
      <c r="AV172" s="2072" t="n"/>
      <c r="AW172" s="2072" t="n"/>
      <c r="AX172" s="2072" t="n"/>
      <c r="AY172" s="2117" t="n">
        <v>108</v>
      </c>
      <c r="AZ172" s="2072" t="n"/>
      <c r="BA172" s="2072" t="n"/>
      <c r="BB172" s="2072" t="n"/>
      <c r="BC172" s="2072" t="n"/>
      <c r="BD172" s="2088" t="n">
        <v>110</v>
      </c>
      <c r="BE172" s="2072" t="n"/>
      <c r="BF172" s="2072" t="n"/>
      <c r="BG172" s="2072" t="n"/>
      <c r="BH172" s="2072" t="n"/>
      <c r="BI172" s="2117" t="n">
        <v>102</v>
      </c>
      <c r="BJ172" s="2072" t="n"/>
      <c r="BK172" s="2072" t="n"/>
      <c r="BL172" s="2072" t="n"/>
      <c r="BM172" s="2072" t="n"/>
      <c r="BN172" s="2087" t="n"/>
      <c r="BO172" s="2072" t="n"/>
      <c r="BP172" s="2072" t="n"/>
      <c r="BQ172" s="2073" t="n"/>
      <c r="BR172" s="2089" t="n"/>
      <c r="BS172" s="2090" t="n"/>
      <c r="BT172" s="2089" t="n"/>
      <c r="BU172" s="2089" t="n"/>
      <c r="BV172" s="2089" t="n"/>
      <c r="BW172" s="2089" t="n"/>
      <c r="BX172" s="2090" t="n"/>
      <c r="BY172" s="2090" t="n"/>
      <c r="BZ172" s="2090" t="n"/>
      <c r="CA172" s="2090" t="n"/>
      <c r="CB172" s="2085" t="n"/>
    </row>
    <row r="173" hidden="1" outlineLevel="1" ht="14.4" customFormat="1" customHeight="1" s="2082">
      <c r="A173" s="1594" t="inlineStr">
        <is>
          <t>Director 6 cash comp, 000s</t>
        </is>
      </c>
      <c r="B173" s="2086" t="n"/>
      <c r="C173" s="2087" t="n"/>
      <c r="D173" s="2087" t="n"/>
      <c r="E173" s="2087" t="n"/>
      <c r="F173" s="2087" t="n"/>
      <c r="G173" s="2072" t="n"/>
      <c r="H173" s="2072" t="n"/>
      <c r="I173" s="2072" t="n"/>
      <c r="J173" s="2072" t="n"/>
      <c r="K173" s="2087" t="n"/>
      <c r="L173" s="2072" t="n"/>
      <c r="M173" s="2072" t="n"/>
      <c r="N173" s="2072" t="n"/>
      <c r="O173" s="2072" t="n"/>
      <c r="P173" s="2087" t="n"/>
      <c r="Q173" s="2072" t="n"/>
      <c r="R173" s="2072" t="n"/>
      <c r="S173" s="2072" t="n"/>
      <c r="T173" s="2072" t="n"/>
      <c r="U173" s="2087" t="n"/>
      <c r="V173" s="2072" t="n"/>
      <c r="W173" s="2072" t="n"/>
      <c r="X173" s="2072" t="n"/>
      <c r="Y173" s="2072" t="n"/>
      <c r="Z173" s="2087" t="n"/>
      <c r="AA173" s="2072" t="n"/>
      <c r="AB173" s="2072" t="n"/>
      <c r="AC173" s="2072" t="n"/>
      <c r="AD173" s="2072" t="n"/>
      <c r="AE173" s="2087" t="n"/>
      <c r="AF173" s="2072" t="n"/>
      <c r="AG173" s="2072" t="n"/>
      <c r="AH173" s="2072" t="n"/>
      <c r="AI173" s="2072" t="n"/>
      <c r="AJ173" s="2087" t="n"/>
      <c r="AK173" s="2072" t="n"/>
      <c r="AL173" s="2072" t="n"/>
      <c r="AM173" s="2072" t="n"/>
      <c r="AN173" s="2072" t="n"/>
      <c r="AO173" s="2087" t="n"/>
      <c r="AP173" s="2072" t="n"/>
      <c r="AQ173" s="2072" t="n"/>
      <c r="AR173" s="2072" t="n"/>
      <c r="AS173" s="2072" t="n"/>
      <c r="AT173" s="2088" t="n">
        <v>105</v>
      </c>
      <c r="AU173" s="2072" t="n"/>
      <c r="AV173" s="2072" t="n"/>
      <c r="AW173" s="2072" t="n"/>
      <c r="AX173" s="2072" t="n"/>
      <c r="AY173" s="2117" t="n">
        <v>150</v>
      </c>
      <c r="AZ173" s="2072" t="n"/>
      <c r="BA173" s="2072" t="n"/>
      <c r="BB173" s="2072" t="n"/>
      <c r="BC173" s="2072" t="n"/>
      <c r="BD173" s="2088" t="n">
        <v>128.198</v>
      </c>
      <c r="BE173" s="2072" t="n"/>
      <c r="BF173" s="2072" t="n"/>
      <c r="BG173" s="2072" t="n"/>
      <c r="BH173" s="2072" t="n"/>
      <c r="BI173" s="2117" t="n">
        <v>114</v>
      </c>
      <c r="BJ173" s="2072" t="n"/>
      <c r="BK173" s="2072" t="n"/>
      <c r="BL173" s="2072" t="n"/>
      <c r="BM173" s="2072" t="n"/>
      <c r="BN173" s="2087" t="n"/>
      <c r="BO173" s="2072" t="n"/>
      <c r="BP173" s="2072" t="n"/>
      <c r="BQ173" s="2073" t="n"/>
      <c r="BR173" s="2089" t="n"/>
      <c r="BS173" s="2090" t="n"/>
      <c r="BT173" s="2089" t="n"/>
      <c r="BU173" s="2089" t="n"/>
      <c r="BV173" s="2089" t="n"/>
      <c r="BW173" s="2089" t="n"/>
      <c r="BX173" s="2090" t="n"/>
      <c r="BY173" s="2090" t="n"/>
      <c r="BZ173" s="2090" t="n"/>
      <c r="CA173" s="2090" t="n"/>
      <c r="CB173" s="2085" t="n"/>
    </row>
    <row r="174" hidden="1" outlineLevel="1" ht="14.4" customFormat="1" customHeight="1" s="2082">
      <c r="A174" s="1594" t="inlineStr">
        <is>
          <t>Director 7 cash comp, 000s</t>
        </is>
      </c>
      <c r="B174" s="2086" t="n"/>
      <c r="C174" s="2087" t="n"/>
      <c r="D174" s="2087" t="n"/>
      <c r="E174" s="2087" t="n"/>
      <c r="F174" s="2087" t="n"/>
      <c r="G174" s="2072" t="n"/>
      <c r="H174" s="2072" t="n"/>
      <c r="I174" s="2072" t="n"/>
      <c r="J174" s="2072" t="n"/>
      <c r="K174" s="2087" t="n"/>
      <c r="L174" s="2072" t="n"/>
      <c r="M174" s="2072" t="n"/>
      <c r="N174" s="2072" t="n"/>
      <c r="O174" s="2072" t="n"/>
      <c r="P174" s="2087" t="n"/>
      <c r="Q174" s="2072" t="n"/>
      <c r="R174" s="2072" t="n"/>
      <c r="S174" s="2072" t="n"/>
      <c r="T174" s="2072" t="n"/>
      <c r="U174" s="2087" t="n"/>
      <c r="V174" s="2072" t="n"/>
      <c r="W174" s="2072" t="n"/>
      <c r="X174" s="2072" t="n"/>
      <c r="Y174" s="2072" t="n"/>
      <c r="Z174" s="2087" t="n"/>
      <c r="AA174" s="2072" t="n"/>
      <c r="AB174" s="2072" t="n"/>
      <c r="AC174" s="2072" t="n"/>
      <c r="AD174" s="2072" t="n"/>
      <c r="AE174" s="2087" t="n"/>
      <c r="AF174" s="2072" t="n"/>
      <c r="AG174" s="2072" t="n"/>
      <c r="AH174" s="2072" t="n"/>
      <c r="AI174" s="2072" t="n"/>
      <c r="AJ174" s="2087" t="n"/>
      <c r="AK174" s="2072" t="n"/>
      <c r="AL174" s="2072" t="n"/>
      <c r="AM174" s="2072" t="n"/>
      <c r="AN174" s="2072" t="n"/>
      <c r="AO174" s="2087" t="n"/>
      <c r="AP174" s="2072" t="n"/>
      <c r="AQ174" s="2072" t="n"/>
      <c r="AR174" s="2072" t="n"/>
      <c r="AS174" s="2072" t="n"/>
      <c r="AT174" s="2088" t="n">
        <v>206</v>
      </c>
      <c r="AU174" s="2072" t="n"/>
      <c r="AV174" s="2072" t="n"/>
      <c r="AW174" s="2072" t="n"/>
      <c r="AX174" s="2072" t="n"/>
      <c r="AY174" s="2117" t="n">
        <v>102</v>
      </c>
      <c r="AZ174" s="2072" t="n"/>
      <c r="BA174" s="2072" t="n"/>
      <c r="BB174" s="2072" t="n"/>
      <c r="BC174" s="2072" t="n"/>
      <c r="BD174" s="2088" t="n">
        <v>106</v>
      </c>
      <c r="BE174" s="2072" t="n"/>
      <c r="BF174" s="2072" t="n"/>
      <c r="BG174" s="2072" t="n"/>
      <c r="BH174" s="2072" t="n"/>
      <c r="BI174" s="2117" t="n">
        <v>114</v>
      </c>
      <c r="BJ174" s="2072" t="n"/>
      <c r="BK174" s="2072" t="n"/>
      <c r="BL174" s="2072" t="n"/>
      <c r="BM174" s="2072" t="n"/>
      <c r="BN174" s="2087" t="n"/>
      <c r="BO174" s="2072" t="n"/>
      <c r="BP174" s="2072" t="n"/>
      <c r="BQ174" s="2073" t="n"/>
      <c r="BR174" s="2089" t="n"/>
      <c r="BS174" s="2090" t="n"/>
      <c r="BT174" s="2089" t="n"/>
      <c r="BU174" s="2089" t="n"/>
      <c r="BV174" s="2089" t="n"/>
      <c r="BW174" s="2089" t="n"/>
      <c r="BX174" s="2090" t="n"/>
      <c r="BY174" s="2090" t="n"/>
      <c r="BZ174" s="2090" t="n"/>
      <c r="CA174" s="2090" t="n"/>
      <c r="CB174" s="2085" t="n"/>
    </row>
    <row r="175" hidden="1" outlineLevel="1" ht="14.4" customFormat="1" customHeight="1" s="2082">
      <c r="A175" s="1594" t="inlineStr">
        <is>
          <t>Director 8 cash comp, 000s</t>
        </is>
      </c>
      <c r="B175" s="2086" t="n"/>
      <c r="C175" s="2087" t="n"/>
      <c r="D175" s="2087" t="n"/>
      <c r="E175" s="2087" t="n"/>
      <c r="F175" s="2087" t="n"/>
      <c r="G175" s="2072" t="n"/>
      <c r="H175" s="2072" t="n"/>
      <c r="I175" s="2072" t="n"/>
      <c r="J175" s="2072" t="n"/>
      <c r="K175" s="2087" t="n"/>
      <c r="L175" s="2072" t="n"/>
      <c r="M175" s="2072" t="n"/>
      <c r="N175" s="2072" t="n"/>
      <c r="O175" s="2072" t="n"/>
      <c r="P175" s="2087" t="n"/>
      <c r="Q175" s="2072" t="n"/>
      <c r="R175" s="2072" t="n"/>
      <c r="S175" s="2072" t="n"/>
      <c r="T175" s="2072" t="n"/>
      <c r="U175" s="2087" t="n"/>
      <c r="V175" s="2072" t="n"/>
      <c r="W175" s="2072" t="n"/>
      <c r="X175" s="2072" t="n"/>
      <c r="Y175" s="2072" t="n"/>
      <c r="Z175" s="2087" t="n"/>
      <c r="AA175" s="2072" t="n"/>
      <c r="AB175" s="2072" t="n"/>
      <c r="AC175" s="2072" t="n"/>
      <c r="AD175" s="2072" t="n"/>
      <c r="AE175" s="2087" t="n"/>
      <c r="AF175" s="2072" t="n"/>
      <c r="AG175" s="2072" t="n"/>
      <c r="AH175" s="2072" t="n"/>
      <c r="AI175" s="2072" t="n"/>
      <c r="AJ175" s="2087" t="n"/>
      <c r="AK175" s="2072" t="n"/>
      <c r="AL175" s="2072" t="n"/>
      <c r="AM175" s="2072" t="n"/>
      <c r="AN175" s="2072" t="n"/>
      <c r="AO175" s="2087" t="n"/>
      <c r="AP175" s="2072" t="n"/>
      <c r="AQ175" s="2072" t="n"/>
      <c r="AR175" s="2072" t="n"/>
      <c r="AS175" s="2072" t="n"/>
      <c r="AT175" s="2088" t="n">
        <v>42.672</v>
      </c>
      <c r="AU175" s="2072" t="n"/>
      <c r="AV175" s="2072" t="n"/>
      <c r="AW175" s="2072" t="n"/>
      <c r="AX175" s="2072" t="n"/>
      <c r="AY175" s="2117" t="n">
        <v>208</v>
      </c>
      <c r="AZ175" s="2072" t="n"/>
      <c r="BA175" s="2072" t="n"/>
      <c r="BB175" s="2072" t="n"/>
      <c r="BC175" s="2072" t="n"/>
      <c r="BD175" s="2088" t="n">
        <v>200</v>
      </c>
      <c r="BE175" s="2072" t="n"/>
      <c r="BF175" s="2072" t="n"/>
      <c r="BG175" s="2072" t="n"/>
      <c r="BH175" s="2072" t="n"/>
      <c r="BI175" s="2117" t="n">
        <v>141.473</v>
      </c>
      <c r="BJ175" s="2072" t="n"/>
      <c r="BK175" s="2072" t="n"/>
      <c r="BL175" s="2072" t="n"/>
      <c r="BM175" s="2072" t="n"/>
      <c r="BN175" s="2087" t="n"/>
      <c r="BO175" s="2072" t="n"/>
      <c r="BP175" s="2072" t="n"/>
      <c r="BQ175" s="2073" t="n"/>
      <c r="BR175" s="2089" t="n"/>
      <c r="BS175" s="2090" t="n"/>
      <c r="BT175" s="2089" t="n"/>
      <c r="BU175" s="2089" t="n"/>
      <c r="BV175" s="2089" t="n"/>
      <c r="BW175" s="2089" t="n"/>
      <c r="BX175" s="2090" t="n"/>
      <c r="BY175" s="2090" t="n"/>
      <c r="BZ175" s="2090" t="n"/>
      <c r="CA175" s="2090" t="n"/>
      <c r="CB175" s="2085" t="n"/>
    </row>
    <row r="176" hidden="1" outlineLevel="1" ht="14.4" customFormat="1" customHeight="1" s="2082">
      <c r="A176" s="1594" t="inlineStr">
        <is>
          <t>Director 9 cash comp, 000s</t>
        </is>
      </c>
      <c r="B176" s="2086" t="n"/>
      <c r="C176" s="2087" t="n"/>
      <c r="D176" s="2087" t="n"/>
      <c r="E176" s="2087" t="n"/>
      <c r="F176" s="2087" t="n"/>
      <c r="G176" s="2072" t="n"/>
      <c r="H176" s="2072" t="n"/>
      <c r="I176" s="2072" t="n"/>
      <c r="J176" s="2072" t="n"/>
      <c r="K176" s="2087" t="n"/>
      <c r="L176" s="2072" t="n"/>
      <c r="M176" s="2072" t="n"/>
      <c r="N176" s="2072" t="n"/>
      <c r="O176" s="2072" t="n"/>
      <c r="P176" s="2087" t="n"/>
      <c r="Q176" s="2072" t="n"/>
      <c r="R176" s="2072" t="n"/>
      <c r="S176" s="2072" t="n"/>
      <c r="T176" s="2072" t="n"/>
      <c r="U176" s="2087" t="n"/>
      <c r="V176" s="2072" t="n"/>
      <c r="W176" s="2072" t="n"/>
      <c r="X176" s="2072" t="n"/>
      <c r="Y176" s="2072" t="n"/>
      <c r="Z176" s="2087" t="n"/>
      <c r="AA176" s="2072" t="n"/>
      <c r="AB176" s="2072" t="n"/>
      <c r="AC176" s="2072" t="n"/>
      <c r="AD176" s="2072" t="n"/>
      <c r="AE176" s="2087" t="n"/>
      <c r="AF176" s="2072" t="n"/>
      <c r="AG176" s="2072" t="n"/>
      <c r="AH176" s="2072" t="n"/>
      <c r="AI176" s="2072" t="n"/>
      <c r="AJ176" s="2087" t="n"/>
      <c r="AK176" s="2072" t="n"/>
      <c r="AL176" s="2072" t="n"/>
      <c r="AM176" s="2072" t="n"/>
      <c r="AN176" s="2072" t="n"/>
      <c r="AO176" s="2087" t="n"/>
      <c r="AP176" s="2072" t="n"/>
      <c r="AQ176" s="2072" t="n"/>
      <c r="AR176" s="2072" t="n"/>
      <c r="AS176" s="2072" t="n"/>
      <c r="AT176" s="2088" t="n">
        <v>132</v>
      </c>
      <c r="AU176" s="2072" t="n"/>
      <c r="AV176" s="2072" t="n"/>
      <c r="AW176" s="2072" t="n"/>
      <c r="AX176" s="2072" t="n"/>
      <c r="AY176" s="2117" t="n">
        <v>130</v>
      </c>
      <c r="AZ176" s="2072" t="n"/>
      <c r="BA176" s="2072" t="n"/>
      <c r="BB176" s="2072" t="n"/>
      <c r="BC176" s="2072" t="n"/>
      <c r="BD176" s="2088" t="n">
        <v>132</v>
      </c>
      <c r="BE176" s="2072" t="n"/>
      <c r="BF176" s="2072" t="n"/>
      <c r="BG176" s="2072" t="n"/>
      <c r="BH176" s="2072" t="n"/>
      <c r="BI176" s="2117" t="n">
        <v>138</v>
      </c>
      <c r="BJ176" s="2072" t="n"/>
      <c r="BK176" s="2072" t="n"/>
      <c r="BL176" s="2072" t="n"/>
      <c r="BM176" s="2072" t="n"/>
      <c r="BN176" s="2087" t="n"/>
      <c r="BO176" s="2072" t="n"/>
      <c r="BP176" s="2072" t="n"/>
      <c r="BQ176" s="2073" t="n"/>
      <c r="BR176" s="2089" t="n"/>
      <c r="BS176" s="2090" t="n"/>
      <c r="BT176" s="2089" t="n"/>
      <c r="BU176" s="2089" t="n"/>
      <c r="BV176" s="2089" t="n"/>
      <c r="BW176" s="2089" t="n"/>
      <c r="BX176" s="2090" t="n"/>
      <c r="BY176" s="2090" t="n"/>
      <c r="BZ176" s="2090" t="n"/>
      <c r="CA176" s="2090" t="n"/>
      <c r="CB176" s="2085" t="n"/>
    </row>
    <row r="177" hidden="1" outlineLevel="1" ht="14.4" customFormat="1" customHeight="1" s="2082">
      <c r="A177" s="1595" t="inlineStr">
        <is>
          <t>Director 10 cash comp, 000s</t>
        </is>
      </c>
      <c r="B177" s="2091" t="n"/>
      <c r="C177" s="2092" t="n"/>
      <c r="D177" s="2092" t="n"/>
      <c r="E177" s="2092" t="n"/>
      <c r="F177" s="2092" t="n"/>
      <c r="G177" s="2093" t="n"/>
      <c r="H177" s="2093" t="n"/>
      <c r="I177" s="2093" t="n"/>
      <c r="J177" s="2093" t="n"/>
      <c r="K177" s="2092" t="n"/>
      <c r="L177" s="2093" t="n"/>
      <c r="M177" s="2093" t="n"/>
      <c r="N177" s="2093" t="n"/>
      <c r="O177" s="2093" t="n"/>
      <c r="P177" s="2092" t="n"/>
      <c r="Q177" s="2093" t="n"/>
      <c r="R177" s="2093" t="n"/>
      <c r="S177" s="2093" t="n"/>
      <c r="T177" s="2093" t="n"/>
      <c r="U177" s="2092" t="n"/>
      <c r="V177" s="2093" t="n"/>
      <c r="W177" s="2093" t="n"/>
      <c r="X177" s="2093" t="n"/>
      <c r="Y177" s="2093" t="n"/>
      <c r="Z177" s="2092" t="n"/>
      <c r="AA177" s="2093" t="n"/>
      <c r="AB177" s="2093" t="n"/>
      <c r="AC177" s="2093" t="n"/>
      <c r="AD177" s="2093" t="n"/>
      <c r="AE177" s="2092" t="n"/>
      <c r="AF177" s="2093" t="n"/>
      <c r="AG177" s="2093" t="n"/>
      <c r="AH177" s="2093" t="n"/>
      <c r="AI177" s="2093" t="n"/>
      <c r="AJ177" s="2092" t="n"/>
      <c r="AK177" s="2093" t="n"/>
      <c r="AL177" s="2093" t="n"/>
      <c r="AM177" s="2093" t="n"/>
      <c r="AN177" s="2093" t="n"/>
      <c r="AO177" s="2092" t="n"/>
      <c r="AP177" s="2093" t="n"/>
      <c r="AQ177" s="2093" t="n"/>
      <c r="AR177" s="2093" t="n"/>
      <c r="AS177" s="2093" t="n"/>
      <c r="AT177" s="2094" t="n">
        <v>32.448</v>
      </c>
      <c r="AU177" s="2093" t="n"/>
      <c r="AV177" s="2093" t="n"/>
      <c r="AW177" s="2093" t="n"/>
      <c r="AX177" s="2093" t="n"/>
      <c r="AY177" s="2092" t="n"/>
      <c r="AZ177" s="2093" t="n"/>
      <c r="BA177" s="2093" t="n"/>
      <c r="BB177" s="2093" t="n"/>
      <c r="BC177" s="2093" t="n"/>
      <c r="BD177" s="2104" t="n"/>
      <c r="BE177" s="2093" t="n"/>
      <c r="BF177" s="2093" t="n"/>
      <c r="BG177" s="2093" t="n"/>
      <c r="BH177" s="2093" t="n"/>
      <c r="BI177" s="2104" t="n"/>
      <c r="BJ177" s="2093" t="n"/>
      <c r="BK177" s="2093" t="n"/>
      <c r="BL177" s="2093" t="n"/>
      <c r="BM177" s="2093" t="n"/>
      <c r="BN177" s="2104" t="n"/>
      <c r="BO177" s="2093" t="n"/>
      <c r="BP177" s="2093" t="n"/>
      <c r="BQ177" s="2095" t="n"/>
      <c r="BR177" s="2096" t="n"/>
      <c r="BS177" s="2097" t="n"/>
      <c r="BT177" s="2096" t="n"/>
      <c r="BU177" s="2096" t="n"/>
      <c r="BV177" s="2096" t="n"/>
      <c r="BW177" s="2096" t="n"/>
      <c r="BX177" s="2097" t="n"/>
      <c r="BY177" s="2097" t="n"/>
      <c r="BZ177" s="2097" t="n"/>
      <c r="CA177" s="2097" t="n"/>
      <c r="CB177" s="2085" t="n"/>
    </row>
    <row r="178" collapsed="1" ht="14.4" customFormat="1" customHeight="1" s="2082">
      <c r="A178" s="1593" t="inlineStr">
        <is>
          <t>Total director cash comp, 000s</t>
        </is>
      </c>
      <c r="B178" s="2086" t="n"/>
      <c r="C178" s="2087" t="n"/>
      <c r="D178" s="2087" t="n"/>
      <c r="E178" s="2087" t="n"/>
      <c r="F178" s="2087" t="n"/>
      <c r="G178" s="2072" t="n"/>
      <c r="H178" s="2072" t="n"/>
      <c r="I178" s="2072" t="n"/>
      <c r="J178" s="2072" t="n"/>
      <c r="K178" s="2087" t="n"/>
      <c r="L178" s="2072" t="n"/>
      <c r="M178" s="2072" t="n"/>
      <c r="N178" s="2072" t="n"/>
      <c r="O178" s="2072" t="n"/>
      <c r="P178" s="2087" t="n"/>
      <c r="Q178" s="2072" t="n"/>
      <c r="R178" s="2072" t="n"/>
      <c r="S178" s="2072" t="n"/>
      <c r="T178" s="2072" t="n"/>
      <c r="U178" s="2087" t="n"/>
      <c r="V178" s="2072" t="n"/>
      <c r="W178" s="2072" t="n"/>
      <c r="X178" s="2072" t="n"/>
      <c r="Y178" s="2072" t="n"/>
      <c r="Z178" s="2087" t="n"/>
      <c r="AA178" s="2072" t="n"/>
      <c r="AB178" s="2072" t="n"/>
      <c r="AC178" s="2072" t="n"/>
      <c r="AD178" s="2072" t="n"/>
      <c r="AE178" s="2087" t="n"/>
      <c r="AF178" s="2072" t="n"/>
      <c r="AG178" s="2072" t="n"/>
      <c r="AH178" s="2072" t="n"/>
      <c r="AI178" s="2072" t="n"/>
      <c r="AJ178" s="2087" t="n"/>
      <c r="AK178" s="2072" t="n"/>
      <c r="AL178" s="2072" t="n"/>
      <c r="AM178" s="2072" t="n"/>
      <c r="AN178" s="2072" t="n"/>
      <c r="AO178" s="2087" t="n"/>
      <c r="AP178" s="2072" t="n"/>
      <c r="AQ178" s="2072" t="n"/>
      <c r="AR178" s="2072" t="n"/>
      <c r="AS178" s="2072" t="n"/>
      <c r="AT178" s="2102">
        <f>SUM(AT168:AT177)</f>
        <v/>
      </c>
      <c r="AU178" s="2072" t="n"/>
      <c r="AV178" s="2072" t="n"/>
      <c r="AW178" s="2072" t="n"/>
      <c r="AX178" s="2072" t="n"/>
      <c r="AY178" s="2087">
        <f>SUM(AY168:AY177)</f>
        <v/>
      </c>
      <c r="AZ178" s="2072" t="n"/>
      <c r="BA178" s="2072" t="n"/>
      <c r="BB178" s="2072" t="n"/>
      <c r="BC178" s="2072" t="n"/>
      <c r="BD178" s="2102">
        <f>SUM(BD168:BD177)</f>
        <v/>
      </c>
      <c r="BE178" s="2072" t="n"/>
      <c r="BF178" s="2072" t="n"/>
      <c r="BG178" s="2072" t="n"/>
      <c r="BH178" s="2072" t="n"/>
      <c r="BI178" s="2102">
        <f>SUM(BI168:BI177)</f>
        <v/>
      </c>
      <c r="BJ178" s="2072" t="n"/>
      <c r="BK178" s="2072" t="n"/>
      <c r="BL178" s="2072" t="n"/>
      <c r="BM178" s="2072" t="n"/>
      <c r="BN178" s="2102" t="n"/>
      <c r="BO178" s="2072" t="n"/>
      <c r="BP178" s="2072" t="n"/>
      <c r="BQ178" s="2073" t="n"/>
      <c r="BR178" s="2089" t="n"/>
      <c r="BS178" s="2090" t="n"/>
      <c r="BT178" s="2089" t="n"/>
      <c r="BU178" s="2089" t="n"/>
      <c r="BV178" s="2089" t="n"/>
      <c r="BW178" s="2089" t="n"/>
      <c r="BX178" s="2090" t="n"/>
      <c r="BY178" s="2090" t="n"/>
      <c r="BZ178" s="2090" t="n"/>
      <c r="CA178" s="2090" t="n"/>
      <c r="CB178" s="2085" t="n"/>
    </row>
    <row r="179" hidden="1" outlineLevel="1" ht="14.4" customFormat="1" customHeight="1" s="2082">
      <c r="A179" s="1594" t="inlineStr">
        <is>
          <t>Director 1 stock award comp, 000s</t>
        </is>
      </c>
      <c r="B179" s="2086" t="n"/>
      <c r="C179" s="2087" t="n"/>
      <c r="D179" s="2087" t="n"/>
      <c r="E179" s="2087" t="n"/>
      <c r="F179" s="2087" t="n"/>
      <c r="G179" s="2072" t="n"/>
      <c r="H179" s="2072" t="n"/>
      <c r="I179" s="2072" t="n"/>
      <c r="J179" s="2072" t="n"/>
      <c r="K179" s="2087" t="n"/>
      <c r="L179" s="2072" t="n"/>
      <c r="M179" s="2072" t="n"/>
      <c r="N179" s="2072" t="n"/>
      <c r="O179" s="2072" t="n"/>
      <c r="P179" s="2087" t="n"/>
      <c r="Q179" s="2072" t="n"/>
      <c r="R179" s="2072" t="n"/>
      <c r="S179" s="2072" t="n"/>
      <c r="T179" s="2072" t="n"/>
      <c r="U179" s="2087" t="n"/>
      <c r="V179" s="2072" t="n"/>
      <c r="W179" s="2072" t="n"/>
      <c r="X179" s="2072" t="n"/>
      <c r="Y179" s="2072" t="n"/>
      <c r="Z179" s="2087" t="n"/>
      <c r="AA179" s="2072" t="n"/>
      <c r="AB179" s="2072" t="n"/>
      <c r="AC179" s="2072" t="n"/>
      <c r="AD179" s="2072" t="n"/>
      <c r="AE179" s="2087" t="n"/>
      <c r="AF179" s="2072" t="n"/>
      <c r="AG179" s="2072" t="n"/>
      <c r="AH179" s="2072" t="n"/>
      <c r="AI179" s="2072" t="n"/>
      <c r="AJ179" s="2087" t="n"/>
      <c r="AK179" s="2072" t="n"/>
      <c r="AL179" s="2072" t="n"/>
      <c r="AM179" s="2072" t="n"/>
      <c r="AN179" s="2072" t="n"/>
      <c r="AO179" s="2087" t="n"/>
      <c r="AP179" s="2072" t="n"/>
      <c r="AQ179" s="2072" t="n"/>
      <c r="AR179" s="2072" t="n"/>
      <c r="AS179" s="2072" t="n"/>
      <c r="AT179" s="2117" t="n">
        <v>189.969</v>
      </c>
      <c r="AU179" s="2072" t="n"/>
      <c r="AV179" s="2072" t="n"/>
      <c r="AW179" s="2072" t="n"/>
      <c r="AX179" s="2072" t="n"/>
      <c r="AY179" s="2088" t="n">
        <v>190.054</v>
      </c>
      <c r="AZ179" s="2072" t="n"/>
      <c r="BA179" s="2072" t="n"/>
      <c r="BB179" s="2072" t="n"/>
      <c r="BC179" s="2072" t="n"/>
      <c r="BD179" s="2088" t="n">
        <v>220.066</v>
      </c>
      <c r="BE179" s="2072" t="n"/>
      <c r="BF179" s="2072" t="n"/>
      <c r="BG179" s="2072" t="n"/>
      <c r="BH179" s="2072" t="n"/>
      <c r="BI179" s="2117" t="n">
        <v>219.997</v>
      </c>
      <c r="BJ179" s="2072" t="n"/>
      <c r="BK179" s="2072" t="n"/>
      <c r="BL179" s="2072" t="n"/>
      <c r="BM179" s="2072" t="n"/>
      <c r="BN179" s="2087" t="n"/>
      <c r="BO179" s="2072" t="n"/>
      <c r="BP179" s="2072" t="n"/>
      <c r="BQ179" s="2073" t="n"/>
      <c r="BR179" s="2089" t="n"/>
      <c r="BS179" s="2090" t="n"/>
      <c r="BT179" s="2089" t="n"/>
      <c r="BU179" s="2089" t="n"/>
      <c r="BV179" s="2089" t="n"/>
      <c r="BW179" s="2089" t="n"/>
      <c r="BX179" s="2090" t="n"/>
      <c r="BY179" s="2090" t="n"/>
      <c r="BZ179" s="2090" t="n"/>
      <c r="CA179" s="2090" t="n"/>
      <c r="CB179" s="2085" t="n"/>
    </row>
    <row r="180" hidden="1" outlineLevel="1" ht="14.4" customFormat="1" customHeight="1" s="2082">
      <c r="A180" s="1594" t="inlineStr">
        <is>
          <t>Director 2 stock award comp, 000s</t>
        </is>
      </c>
      <c r="B180" s="2086" t="n"/>
      <c r="C180" s="2087" t="n"/>
      <c r="D180" s="2087" t="n"/>
      <c r="E180" s="2087" t="n"/>
      <c r="F180" s="2087" t="n"/>
      <c r="G180" s="2072" t="n"/>
      <c r="H180" s="2072" t="n"/>
      <c r="I180" s="2072" t="n"/>
      <c r="J180" s="2072" t="n"/>
      <c r="K180" s="2087" t="n"/>
      <c r="L180" s="2072" t="n"/>
      <c r="M180" s="2072" t="n"/>
      <c r="N180" s="2072" t="n"/>
      <c r="O180" s="2072" t="n"/>
      <c r="P180" s="2087" t="n"/>
      <c r="Q180" s="2072" t="n"/>
      <c r="R180" s="2072" t="n"/>
      <c r="S180" s="2072" t="n"/>
      <c r="T180" s="2072" t="n"/>
      <c r="U180" s="2087" t="n"/>
      <c r="V180" s="2072" t="n"/>
      <c r="W180" s="2072" t="n"/>
      <c r="X180" s="2072" t="n"/>
      <c r="Y180" s="2072" t="n"/>
      <c r="Z180" s="2087" t="n"/>
      <c r="AA180" s="2072" t="n"/>
      <c r="AB180" s="2072" t="n"/>
      <c r="AC180" s="2072" t="n"/>
      <c r="AD180" s="2072" t="n"/>
      <c r="AE180" s="2087" t="n"/>
      <c r="AF180" s="2072" t="n"/>
      <c r="AG180" s="2072" t="n"/>
      <c r="AH180" s="2072" t="n"/>
      <c r="AI180" s="2072" t="n"/>
      <c r="AJ180" s="2087" t="n"/>
      <c r="AK180" s="2072" t="n"/>
      <c r="AL180" s="2072" t="n"/>
      <c r="AM180" s="2072" t="n"/>
      <c r="AN180" s="2072" t="n"/>
      <c r="AO180" s="2087" t="n"/>
      <c r="AP180" s="2072" t="n"/>
      <c r="AQ180" s="2072" t="n"/>
      <c r="AR180" s="2072" t="n"/>
      <c r="AS180" s="2072" t="n"/>
      <c r="AT180" s="2117" t="n">
        <v>189.969</v>
      </c>
      <c r="AU180" s="2072" t="n"/>
      <c r="AV180" s="2072" t="n"/>
      <c r="AW180" s="2072" t="n"/>
      <c r="AX180" s="2072" t="n"/>
      <c r="AY180" s="2088" t="n">
        <v>190.054</v>
      </c>
      <c r="AZ180" s="2072" t="n"/>
      <c r="BA180" s="2072" t="n"/>
      <c r="BB180" s="2072" t="n"/>
      <c r="BC180" s="2072" t="n"/>
      <c r="BD180" s="2088" t="n">
        <v>220.066</v>
      </c>
      <c r="BE180" s="2072" t="n"/>
      <c r="BF180" s="2072" t="n"/>
      <c r="BG180" s="2072" t="n"/>
      <c r="BH180" s="2072" t="n"/>
      <c r="BI180" s="2117" t="n">
        <v>219.997</v>
      </c>
      <c r="BJ180" s="2072" t="n"/>
      <c r="BK180" s="2072" t="n"/>
      <c r="BL180" s="2072" t="n"/>
      <c r="BM180" s="2072" t="n"/>
      <c r="BN180" s="2087" t="n"/>
      <c r="BO180" s="2072" t="n"/>
      <c r="BP180" s="2072" t="n"/>
      <c r="BQ180" s="2073" t="n"/>
      <c r="BR180" s="2089" t="n"/>
      <c r="BS180" s="2090" t="n"/>
      <c r="BT180" s="2089" t="n"/>
      <c r="BU180" s="2089" t="n"/>
      <c r="BV180" s="2089" t="n"/>
      <c r="BW180" s="2089" t="n"/>
      <c r="BX180" s="2090" t="n"/>
      <c r="BY180" s="2090" t="n"/>
      <c r="BZ180" s="2090" t="n"/>
      <c r="CA180" s="2090" t="n"/>
      <c r="CB180" s="2085" t="n"/>
    </row>
    <row r="181" hidden="1" outlineLevel="1" ht="14.4" customFormat="1" customHeight="1" s="2082">
      <c r="A181" s="1594" t="inlineStr">
        <is>
          <t>Director 3 stock award comp, 000s</t>
        </is>
      </c>
      <c r="B181" s="2086" t="n"/>
      <c r="C181" s="2087" t="n"/>
      <c r="D181" s="2087" t="n"/>
      <c r="E181" s="2087" t="n"/>
      <c r="F181" s="2087" t="n"/>
      <c r="G181" s="2072" t="n"/>
      <c r="H181" s="2072" t="n"/>
      <c r="I181" s="2072" t="n"/>
      <c r="J181" s="2072" t="n"/>
      <c r="K181" s="2087" t="n"/>
      <c r="L181" s="2072" t="n"/>
      <c r="M181" s="2072" t="n"/>
      <c r="N181" s="2072" t="n"/>
      <c r="O181" s="2072" t="n"/>
      <c r="P181" s="2087" t="n"/>
      <c r="Q181" s="2072" t="n"/>
      <c r="R181" s="2072" t="n"/>
      <c r="S181" s="2072" t="n"/>
      <c r="T181" s="2072" t="n"/>
      <c r="U181" s="2087" t="n"/>
      <c r="V181" s="2072" t="n"/>
      <c r="W181" s="2072" t="n"/>
      <c r="X181" s="2072" t="n"/>
      <c r="Y181" s="2072" t="n"/>
      <c r="Z181" s="2087" t="n"/>
      <c r="AA181" s="2072" t="n"/>
      <c r="AB181" s="2072" t="n"/>
      <c r="AC181" s="2072" t="n"/>
      <c r="AD181" s="2072" t="n"/>
      <c r="AE181" s="2087" t="n"/>
      <c r="AF181" s="2072" t="n"/>
      <c r="AG181" s="2072" t="n"/>
      <c r="AH181" s="2072" t="n"/>
      <c r="AI181" s="2072" t="n"/>
      <c r="AJ181" s="2087" t="n"/>
      <c r="AK181" s="2072" t="n"/>
      <c r="AL181" s="2072" t="n"/>
      <c r="AM181" s="2072" t="n"/>
      <c r="AN181" s="2072" t="n"/>
      <c r="AO181" s="2087" t="n"/>
      <c r="AP181" s="2072" t="n"/>
      <c r="AQ181" s="2072" t="n"/>
      <c r="AR181" s="2072" t="n"/>
      <c r="AS181" s="2072" t="n"/>
      <c r="AT181" s="2117" t="n">
        <v>174.916</v>
      </c>
      <c r="AU181" s="2072" t="n"/>
      <c r="AV181" s="2072" t="n"/>
      <c r="AW181" s="2072" t="n"/>
      <c r="AX181" s="2072" t="n"/>
      <c r="AY181" s="2088" t="n">
        <v>190.054</v>
      </c>
      <c r="AZ181" s="2072" t="n"/>
      <c r="BA181" s="2072" t="n"/>
      <c r="BB181" s="2072" t="n"/>
      <c r="BC181" s="2072" t="n"/>
      <c r="BD181" s="2088" t="n">
        <v>220.066</v>
      </c>
      <c r="BE181" s="2072" t="n"/>
      <c r="BF181" s="2072" t="n"/>
      <c r="BG181" s="2072" t="n"/>
      <c r="BH181" s="2072" t="n"/>
      <c r="BI181" s="2117" t="n">
        <v>219.997</v>
      </c>
      <c r="BJ181" s="2072" t="n"/>
      <c r="BK181" s="2072" t="n"/>
      <c r="BL181" s="2072" t="n"/>
      <c r="BM181" s="2072" t="n"/>
      <c r="BN181" s="2087" t="n"/>
      <c r="BO181" s="2072" t="n"/>
      <c r="BP181" s="2072" t="n"/>
      <c r="BQ181" s="2073" t="n"/>
      <c r="BR181" s="2089" t="n"/>
      <c r="BS181" s="2090" t="n"/>
      <c r="BT181" s="2089" t="n"/>
      <c r="BU181" s="2089" t="n"/>
      <c r="BV181" s="2089" t="n"/>
      <c r="BW181" s="2089" t="n"/>
      <c r="BX181" s="2090" t="n"/>
      <c r="BY181" s="2090" t="n"/>
      <c r="BZ181" s="2090" t="n"/>
      <c r="CA181" s="2090" t="n"/>
      <c r="CB181" s="2085" t="n"/>
    </row>
    <row r="182" hidden="1" outlineLevel="1" ht="14.4" customFormat="1" customHeight="1" s="2082">
      <c r="A182" s="1594" t="inlineStr">
        <is>
          <t>Director 4 stock award comp, 000s</t>
        </is>
      </c>
      <c r="B182" s="2086" t="n"/>
      <c r="C182" s="2087" t="n"/>
      <c r="D182" s="2087" t="n"/>
      <c r="E182" s="2087" t="n"/>
      <c r="F182" s="2087" t="n"/>
      <c r="G182" s="2072" t="n"/>
      <c r="H182" s="2072" t="n"/>
      <c r="I182" s="2072" t="n"/>
      <c r="J182" s="2072" t="n"/>
      <c r="K182" s="2087" t="n"/>
      <c r="L182" s="2072" t="n"/>
      <c r="M182" s="2072" t="n"/>
      <c r="N182" s="2072" t="n"/>
      <c r="O182" s="2072" t="n"/>
      <c r="P182" s="2087" t="n"/>
      <c r="Q182" s="2072" t="n"/>
      <c r="R182" s="2072" t="n"/>
      <c r="S182" s="2072" t="n"/>
      <c r="T182" s="2072" t="n"/>
      <c r="U182" s="2087" t="n"/>
      <c r="V182" s="2072" t="n"/>
      <c r="W182" s="2072" t="n"/>
      <c r="X182" s="2072" t="n"/>
      <c r="Y182" s="2072" t="n"/>
      <c r="Z182" s="2087" t="n"/>
      <c r="AA182" s="2072" t="n"/>
      <c r="AB182" s="2072" t="n"/>
      <c r="AC182" s="2072" t="n"/>
      <c r="AD182" s="2072" t="n"/>
      <c r="AE182" s="2087" t="n"/>
      <c r="AF182" s="2072" t="n"/>
      <c r="AG182" s="2072" t="n"/>
      <c r="AH182" s="2072" t="n"/>
      <c r="AI182" s="2072" t="n"/>
      <c r="AJ182" s="2087" t="n"/>
      <c r="AK182" s="2072" t="n"/>
      <c r="AL182" s="2072" t="n"/>
      <c r="AM182" s="2072" t="n"/>
      <c r="AN182" s="2072" t="n"/>
      <c r="AO182" s="2087" t="n"/>
      <c r="AP182" s="2072" t="n"/>
      <c r="AQ182" s="2072" t="n"/>
      <c r="AR182" s="2072" t="n"/>
      <c r="AS182" s="2072" t="n"/>
      <c r="AT182" s="2117" t="n">
        <v>174.916</v>
      </c>
      <c r="AU182" s="2072" t="n"/>
      <c r="AV182" s="2072" t="n"/>
      <c r="AW182" s="2072" t="n"/>
      <c r="AX182" s="2072" t="n"/>
      <c r="AY182" s="2088" t="n">
        <v>190.054</v>
      </c>
      <c r="AZ182" s="2072" t="n"/>
      <c r="BA182" s="2072" t="n"/>
      <c r="BB182" s="2072" t="n"/>
      <c r="BC182" s="2072" t="n"/>
      <c r="BD182" s="2088" t="n">
        <v>233.15</v>
      </c>
      <c r="BE182" s="2072" t="n"/>
      <c r="BF182" s="2072" t="n"/>
      <c r="BG182" s="2072" t="n"/>
      <c r="BH182" s="2072" t="n"/>
      <c r="BI182" s="2117" t="n">
        <v>219.997</v>
      </c>
      <c r="BJ182" s="2072" t="n"/>
      <c r="BK182" s="2072" t="n"/>
      <c r="BL182" s="2072" t="n"/>
      <c r="BM182" s="2072" t="n"/>
      <c r="BN182" s="2087" t="n"/>
      <c r="BO182" s="2072" t="n"/>
      <c r="BP182" s="2072" t="n"/>
      <c r="BQ182" s="2073" t="n"/>
      <c r="BR182" s="2089" t="n"/>
      <c r="BS182" s="2090" t="n"/>
      <c r="BT182" s="2089" t="n"/>
      <c r="BU182" s="2089" t="n"/>
      <c r="BV182" s="2089" t="n"/>
      <c r="BW182" s="2089" t="n"/>
      <c r="BX182" s="2090" t="n"/>
      <c r="BY182" s="2090" t="n"/>
      <c r="BZ182" s="2090" t="n"/>
      <c r="CA182" s="2090" t="n"/>
      <c r="CB182" s="2085" t="n"/>
    </row>
    <row r="183" hidden="1" outlineLevel="1" ht="14.4" customFormat="1" customHeight="1" s="2082">
      <c r="A183" s="1594" t="inlineStr">
        <is>
          <t>Director 5 stock award comp, 000s</t>
        </is>
      </c>
      <c r="B183" s="2086" t="n"/>
      <c r="C183" s="2087" t="n"/>
      <c r="D183" s="2087" t="n"/>
      <c r="E183" s="2087" t="n"/>
      <c r="F183" s="2087" t="n"/>
      <c r="G183" s="2072" t="n"/>
      <c r="H183" s="2072" t="n"/>
      <c r="I183" s="2072" t="n"/>
      <c r="J183" s="2072" t="n"/>
      <c r="K183" s="2087" t="n"/>
      <c r="L183" s="2072" t="n"/>
      <c r="M183" s="2072" t="n"/>
      <c r="N183" s="2072" t="n"/>
      <c r="O183" s="2072" t="n"/>
      <c r="P183" s="2087" t="n"/>
      <c r="Q183" s="2072" t="n"/>
      <c r="R183" s="2072" t="n"/>
      <c r="S183" s="2072" t="n"/>
      <c r="T183" s="2072" t="n"/>
      <c r="U183" s="2087" t="n"/>
      <c r="V183" s="2072" t="n"/>
      <c r="W183" s="2072" t="n"/>
      <c r="X183" s="2072" t="n"/>
      <c r="Y183" s="2072" t="n"/>
      <c r="Z183" s="2087" t="n"/>
      <c r="AA183" s="2072" t="n"/>
      <c r="AB183" s="2072" t="n"/>
      <c r="AC183" s="2072" t="n"/>
      <c r="AD183" s="2072" t="n"/>
      <c r="AE183" s="2087" t="n"/>
      <c r="AF183" s="2072" t="n"/>
      <c r="AG183" s="2072" t="n"/>
      <c r="AH183" s="2072" t="n"/>
      <c r="AI183" s="2072" t="n"/>
      <c r="AJ183" s="2087" t="n"/>
      <c r="AK183" s="2072" t="n"/>
      <c r="AL183" s="2072" t="n"/>
      <c r="AM183" s="2072" t="n"/>
      <c r="AN183" s="2072" t="n"/>
      <c r="AO183" s="2087" t="n"/>
      <c r="AP183" s="2072" t="n"/>
      <c r="AQ183" s="2072" t="n"/>
      <c r="AR183" s="2072" t="n"/>
      <c r="AS183" s="2072" t="n"/>
      <c r="AT183" s="2117" t="n">
        <v>189.969</v>
      </c>
      <c r="AU183" s="2072" t="n"/>
      <c r="AV183" s="2072" t="n"/>
      <c r="AW183" s="2072" t="n"/>
      <c r="AX183" s="2072" t="n"/>
      <c r="AY183" s="2088" t="n">
        <v>211.368</v>
      </c>
      <c r="AZ183" s="2072" t="n"/>
      <c r="BA183" s="2072" t="n"/>
      <c r="BB183" s="2072" t="n"/>
      <c r="BC183" s="2072" t="n"/>
      <c r="BD183" s="2088" t="n">
        <v>220.066</v>
      </c>
      <c r="BE183" s="2072" t="n"/>
      <c r="BF183" s="2072" t="n"/>
      <c r="BG183" s="2072" t="n"/>
      <c r="BH183" s="2072" t="n"/>
      <c r="BI183" s="2117" t="n">
        <v>219.997</v>
      </c>
      <c r="BJ183" s="2072" t="n"/>
      <c r="BK183" s="2072" t="n"/>
      <c r="BL183" s="2072" t="n"/>
      <c r="BM183" s="2072" t="n"/>
      <c r="BN183" s="2087" t="n"/>
      <c r="BO183" s="2072" t="n"/>
      <c r="BP183" s="2072" t="n"/>
      <c r="BQ183" s="2073" t="n"/>
      <c r="BR183" s="2089" t="n"/>
      <c r="BS183" s="2090" t="n"/>
      <c r="BT183" s="2089" t="n"/>
      <c r="BU183" s="2089" t="n"/>
      <c r="BV183" s="2089" t="n"/>
      <c r="BW183" s="2089" t="n"/>
      <c r="BX183" s="2090" t="n"/>
      <c r="BY183" s="2090" t="n"/>
      <c r="BZ183" s="2090" t="n"/>
      <c r="CA183" s="2090" t="n"/>
      <c r="CB183" s="2085" t="n"/>
    </row>
    <row r="184" hidden="1" outlineLevel="1" ht="14.4" customFormat="1" customHeight="1" s="2082">
      <c r="A184" s="1594" t="inlineStr">
        <is>
          <t>Director 6 stock award comp, 000s</t>
        </is>
      </c>
      <c r="B184" s="2086" t="n"/>
      <c r="C184" s="2087" t="n"/>
      <c r="D184" s="2087" t="n"/>
      <c r="E184" s="2087" t="n"/>
      <c r="F184" s="2087" t="n"/>
      <c r="G184" s="2072" t="n"/>
      <c r="H184" s="2072" t="n"/>
      <c r="I184" s="2072" t="n"/>
      <c r="J184" s="2072" t="n"/>
      <c r="K184" s="2087" t="n"/>
      <c r="L184" s="2072" t="n"/>
      <c r="M184" s="2072" t="n"/>
      <c r="N184" s="2072" t="n"/>
      <c r="O184" s="2072" t="n"/>
      <c r="P184" s="2087" t="n"/>
      <c r="Q184" s="2072" t="n"/>
      <c r="R184" s="2072" t="n"/>
      <c r="S184" s="2072" t="n"/>
      <c r="T184" s="2072" t="n"/>
      <c r="U184" s="2087" t="n"/>
      <c r="V184" s="2072" t="n"/>
      <c r="W184" s="2072" t="n"/>
      <c r="X184" s="2072" t="n"/>
      <c r="Y184" s="2072" t="n"/>
      <c r="Z184" s="2087" t="n"/>
      <c r="AA184" s="2072" t="n"/>
      <c r="AB184" s="2072" t="n"/>
      <c r="AC184" s="2072" t="n"/>
      <c r="AD184" s="2072" t="n"/>
      <c r="AE184" s="2087" t="n"/>
      <c r="AF184" s="2072" t="n"/>
      <c r="AG184" s="2072" t="n"/>
      <c r="AH184" s="2072" t="n"/>
      <c r="AI184" s="2072" t="n"/>
      <c r="AJ184" s="2087" t="n"/>
      <c r="AK184" s="2072" t="n"/>
      <c r="AL184" s="2072" t="n"/>
      <c r="AM184" s="2072" t="n"/>
      <c r="AN184" s="2072" t="n"/>
      <c r="AO184" s="2087" t="n"/>
      <c r="AP184" s="2072" t="n"/>
      <c r="AQ184" s="2072" t="n"/>
      <c r="AR184" s="2072" t="n"/>
      <c r="AS184" s="2072" t="n"/>
      <c r="AT184" s="2117" t="n">
        <v>189.969</v>
      </c>
      <c r="AU184" s="2072" t="n"/>
      <c r="AV184" s="2072" t="n"/>
      <c r="AW184" s="2072" t="n"/>
      <c r="AX184" s="2072" t="n"/>
      <c r="AY184" s="2088" t="n">
        <v>190.054</v>
      </c>
      <c r="AZ184" s="2072" t="n"/>
      <c r="BA184" s="2072" t="n"/>
      <c r="BB184" s="2072" t="n"/>
      <c r="BC184" s="2072" t="n"/>
      <c r="BD184" s="2088" t="n">
        <v>220.066</v>
      </c>
      <c r="BE184" s="2072" t="n"/>
      <c r="BF184" s="2072" t="n"/>
      <c r="BG184" s="2072" t="n"/>
      <c r="BH184" s="2072" t="n"/>
      <c r="BI184" s="2117" t="n">
        <v>219.997</v>
      </c>
      <c r="BJ184" s="2072" t="n"/>
      <c r="BK184" s="2072" t="n"/>
      <c r="BL184" s="2072" t="n"/>
      <c r="BM184" s="2072" t="n"/>
      <c r="BN184" s="2087" t="n"/>
      <c r="BO184" s="2072" t="n"/>
      <c r="BP184" s="2072" t="n"/>
      <c r="BQ184" s="2073" t="n"/>
      <c r="BR184" s="2089" t="n"/>
      <c r="BS184" s="2090" t="n"/>
      <c r="BT184" s="2089" t="n"/>
      <c r="BU184" s="2089" t="n"/>
      <c r="BV184" s="2089" t="n"/>
      <c r="BW184" s="2089" t="n"/>
      <c r="BX184" s="2090" t="n"/>
      <c r="BY184" s="2090" t="n"/>
      <c r="BZ184" s="2090" t="n"/>
      <c r="CA184" s="2090" t="n"/>
      <c r="CB184" s="2085" t="n"/>
    </row>
    <row r="185" hidden="1" outlineLevel="1" ht="14.4" customFormat="1" customHeight="1" s="2082">
      <c r="A185" s="1594" t="inlineStr">
        <is>
          <t>Director 7 stock award comp, 000s</t>
        </is>
      </c>
      <c r="B185" s="2086" t="n"/>
      <c r="C185" s="2087" t="n"/>
      <c r="D185" s="2087" t="n"/>
      <c r="E185" s="2087" t="n"/>
      <c r="F185" s="2087" t="n"/>
      <c r="G185" s="2072" t="n"/>
      <c r="H185" s="2072" t="n"/>
      <c r="I185" s="2072" t="n"/>
      <c r="J185" s="2072" t="n"/>
      <c r="K185" s="2087" t="n"/>
      <c r="L185" s="2072" t="n"/>
      <c r="M185" s="2072" t="n"/>
      <c r="N185" s="2072" t="n"/>
      <c r="O185" s="2072" t="n"/>
      <c r="P185" s="2087" t="n"/>
      <c r="Q185" s="2072" t="n"/>
      <c r="R185" s="2072" t="n"/>
      <c r="S185" s="2072" t="n"/>
      <c r="T185" s="2072" t="n"/>
      <c r="U185" s="2087" t="n"/>
      <c r="V185" s="2072" t="n"/>
      <c r="W185" s="2072" t="n"/>
      <c r="X185" s="2072" t="n"/>
      <c r="Y185" s="2072" t="n"/>
      <c r="Z185" s="2087" t="n"/>
      <c r="AA185" s="2072" t="n"/>
      <c r="AB185" s="2072" t="n"/>
      <c r="AC185" s="2072" t="n"/>
      <c r="AD185" s="2072" t="n"/>
      <c r="AE185" s="2087" t="n"/>
      <c r="AF185" s="2072" t="n"/>
      <c r="AG185" s="2072" t="n"/>
      <c r="AH185" s="2072" t="n"/>
      <c r="AI185" s="2072" t="n"/>
      <c r="AJ185" s="2087" t="n"/>
      <c r="AK185" s="2072" t="n"/>
      <c r="AL185" s="2072" t="n"/>
      <c r="AM185" s="2072" t="n"/>
      <c r="AN185" s="2072" t="n"/>
      <c r="AO185" s="2087" t="n"/>
      <c r="AP185" s="2072" t="n"/>
      <c r="AQ185" s="2072" t="n"/>
      <c r="AR185" s="2072" t="n"/>
      <c r="AS185" s="2072" t="n"/>
      <c r="AT185" s="2117" t="n">
        <v>219.977</v>
      </c>
      <c r="AU185" s="2072" t="n"/>
      <c r="AV185" s="2072" t="n"/>
      <c r="AW185" s="2072" t="n"/>
      <c r="AX185" s="2072" t="n"/>
      <c r="AY185" s="2088" t="n">
        <v>190.054</v>
      </c>
      <c r="AZ185" s="2072" t="n"/>
      <c r="BA185" s="2072" t="n"/>
      <c r="BB185" s="2072" t="n"/>
      <c r="BC185" s="2072" t="n"/>
      <c r="BD185" s="2088" t="n">
        <v>220.066</v>
      </c>
      <c r="BE185" s="2072" t="n"/>
      <c r="BF185" s="2072" t="n"/>
      <c r="BG185" s="2072" t="n"/>
      <c r="BH185" s="2072" t="n"/>
      <c r="BI185" s="2117" t="n">
        <v>219.997</v>
      </c>
      <c r="BJ185" s="2072" t="n"/>
      <c r="BK185" s="2072" t="n"/>
      <c r="BL185" s="2072" t="n"/>
      <c r="BM185" s="2072" t="n"/>
      <c r="BN185" s="2087" t="n"/>
      <c r="BO185" s="2072" t="n"/>
      <c r="BP185" s="2072" t="n"/>
      <c r="BQ185" s="2073" t="n"/>
      <c r="BR185" s="2089" t="n"/>
      <c r="BS185" s="2090" t="n"/>
      <c r="BT185" s="2089" t="n"/>
      <c r="BU185" s="2089" t="n"/>
      <c r="BV185" s="2089" t="n"/>
      <c r="BW185" s="2089" t="n"/>
      <c r="BX185" s="2090" t="n"/>
      <c r="BY185" s="2090" t="n"/>
      <c r="BZ185" s="2090" t="n"/>
      <c r="CA185" s="2090" t="n"/>
      <c r="CB185" s="2085" t="n"/>
    </row>
    <row r="186" hidden="1" outlineLevel="1" ht="14.4" customFormat="1" customHeight="1" s="2082">
      <c r="A186" s="1594" t="inlineStr">
        <is>
          <t>Director 8 stock award comp, 000s</t>
        </is>
      </c>
      <c r="B186" s="2086" t="n"/>
      <c r="C186" s="2087" t="n"/>
      <c r="D186" s="2087" t="n"/>
      <c r="E186" s="2087" t="n"/>
      <c r="F186" s="2087" t="n"/>
      <c r="G186" s="2072" t="n"/>
      <c r="H186" s="2072" t="n"/>
      <c r="I186" s="2072" t="n"/>
      <c r="J186" s="2072" t="n"/>
      <c r="K186" s="2087" t="n"/>
      <c r="L186" s="2072" t="n"/>
      <c r="M186" s="2072" t="n"/>
      <c r="N186" s="2072" t="n"/>
      <c r="O186" s="2072" t="n"/>
      <c r="P186" s="2087" t="n"/>
      <c r="Q186" s="2072" t="n"/>
      <c r="R186" s="2072" t="n"/>
      <c r="S186" s="2072" t="n"/>
      <c r="T186" s="2072" t="n"/>
      <c r="U186" s="2087" t="n"/>
      <c r="V186" s="2072" t="n"/>
      <c r="W186" s="2072" t="n"/>
      <c r="X186" s="2072" t="n"/>
      <c r="Y186" s="2072" t="n"/>
      <c r="Z186" s="2087" t="n"/>
      <c r="AA186" s="2072" t="n"/>
      <c r="AB186" s="2072" t="n"/>
      <c r="AC186" s="2072" t="n"/>
      <c r="AD186" s="2072" t="n"/>
      <c r="AE186" s="2087" t="n"/>
      <c r="AF186" s="2072" t="n"/>
      <c r="AG186" s="2072" t="n"/>
      <c r="AH186" s="2072" t="n"/>
      <c r="AI186" s="2072" t="n"/>
      <c r="AJ186" s="2087" t="n"/>
      <c r="AK186" s="2072" t="n"/>
      <c r="AL186" s="2072" t="n"/>
      <c r="AM186" s="2072" t="n"/>
      <c r="AN186" s="2072" t="n"/>
      <c r="AO186" s="2087" t="n"/>
      <c r="AP186" s="2072" t="n"/>
      <c r="AQ186" s="2072" t="n"/>
      <c r="AR186" s="2072" t="n"/>
      <c r="AS186" s="2072" t="n"/>
      <c r="AT186" s="2117" t="n">
        <v>189.969</v>
      </c>
      <c r="AU186" s="2072" t="n"/>
      <c r="AV186" s="2072" t="n"/>
      <c r="AW186" s="2072" t="n"/>
      <c r="AX186" s="2072" t="n"/>
      <c r="AY186" s="2088" t="n">
        <v>220.004</v>
      </c>
      <c r="AZ186" s="2072" t="n"/>
      <c r="BA186" s="2072" t="n"/>
      <c r="BB186" s="2072" t="n"/>
      <c r="BC186" s="2072" t="n"/>
      <c r="BD186" s="2088" t="n">
        <v>220.066</v>
      </c>
      <c r="BE186" s="2072" t="n"/>
      <c r="BF186" s="2072" t="n"/>
      <c r="BG186" s="2072" t="n"/>
      <c r="BH186" s="2072" t="n"/>
      <c r="BI186" s="2117" t="n">
        <v>219.997</v>
      </c>
      <c r="BJ186" s="2072" t="n"/>
      <c r="BK186" s="2072" t="n"/>
      <c r="BL186" s="2072" t="n"/>
      <c r="BM186" s="2072" t="n"/>
      <c r="BN186" s="2087" t="n"/>
      <c r="BO186" s="2072" t="n"/>
      <c r="BP186" s="2072" t="n"/>
      <c r="BQ186" s="2073" t="n"/>
      <c r="BR186" s="2089" t="n"/>
      <c r="BS186" s="2090" t="n"/>
      <c r="BT186" s="2089" t="n"/>
      <c r="BU186" s="2089" t="n"/>
      <c r="BV186" s="2089" t="n"/>
      <c r="BW186" s="2089" t="n"/>
      <c r="BX186" s="2090" t="n"/>
      <c r="BY186" s="2090" t="n"/>
      <c r="BZ186" s="2090" t="n"/>
      <c r="CA186" s="2090" t="n"/>
      <c r="CB186" s="2085" t="n"/>
    </row>
    <row r="187" hidden="1" outlineLevel="1" ht="14.4" customFormat="1" customHeight="1" s="2082">
      <c r="A187" s="1594" t="inlineStr">
        <is>
          <t>Director 9 stock award comp, 000s</t>
        </is>
      </c>
      <c r="B187" s="2086" t="n"/>
      <c r="C187" s="2087" t="n"/>
      <c r="D187" s="2087" t="n"/>
      <c r="E187" s="2087" t="n"/>
      <c r="F187" s="2087" t="n"/>
      <c r="G187" s="2072" t="n"/>
      <c r="H187" s="2072" t="n"/>
      <c r="I187" s="2072" t="n"/>
      <c r="J187" s="2072" t="n"/>
      <c r="K187" s="2087" t="n"/>
      <c r="L187" s="2072" t="n"/>
      <c r="M187" s="2072" t="n"/>
      <c r="N187" s="2072" t="n"/>
      <c r="O187" s="2072" t="n"/>
      <c r="P187" s="2087" t="n"/>
      <c r="Q187" s="2072" t="n"/>
      <c r="R187" s="2072" t="n"/>
      <c r="S187" s="2072" t="n"/>
      <c r="T187" s="2072" t="n"/>
      <c r="U187" s="2087" t="n"/>
      <c r="V187" s="2072" t="n"/>
      <c r="W187" s="2072" t="n"/>
      <c r="X187" s="2072" t="n"/>
      <c r="Y187" s="2072" t="n"/>
      <c r="Z187" s="2087" t="n"/>
      <c r="AA187" s="2072" t="n"/>
      <c r="AB187" s="2072" t="n"/>
      <c r="AC187" s="2072" t="n"/>
      <c r="AD187" s="2072" t="n"/>
      <c r="AE187" s="2087" t="n"/>
      <c r="AF187" s="2072" t="n"/>
      <c r="AG187" s="2072" t="n"/>
      <c r="AH187" s="2072" t="n"/>
      <c r="AI187" s="2072" t="n"/>
      <c r="AJ187" s="2087" t="n"/>
      <c r="AK187" s="2072" t="n"/>
      <c r="AL187" s="2072" t="n"/>
      <c r="AM187" s="2072" t="n"/>
      <c r="AN187" s="2072" t="n"/>
      <c r="AO187" s="2087" t="n"/>
      <c r="AP187" s="2072" t="n"/>
      <c r="AQ187" s="2072" t="n"/>
      <c r="AR187" s="2072" t="n"/>
      <c r="AS187" s="2072" t="n"/>
      <c r="AT187" s="2117" t="n">
        <v>189.969</v>
      </c>
      <c r="AU187" s="2072" t="n"/>
      <c r="AV187" s="2072" t="n"/>
      <c r="AW187" s="2072" t="n"/>
      <c r="AX187" s="2072" t="n"/>
      <c r="AY187" s="2088" t="n">
        <v>190.054</v>
      </c>
      <c r="AZ187" s="2072" t="n"/>
      <c r="BA187" s="2072" t="n"/>
      <c r="BB187" s="2072" t="n"/>
      <c r="BC187" s="2072" t="n"/>
      <c r="BD187" s="2088" t="n">
        <v>220.066</v>
      </c>
      <c r="BE187" s="2072" t="n"/>
      <c r="BF187" s="2072" t="n"/>
      <c r="BG187" s="2072" t="n"/>
      <c r="BH187" s="2072" t="n"/>
      <c r="BI187" s="2117" t="n">
        <v>219.997</v>
      </c>
      <c r="BJ187" s="2072" t="n"/>
      <c r="BK187" s="2072" t="n"/>
      <c r="BL187" s="2072" t="n"/>
      <c r="BM187" s="2072" t="n"/>
      <c r="BN187" s="2087" t="n"/>
      <c r="BO187" s="2072" t="n"/>
      <c r="BP187" s="2072" t="n"/>
      <c r="BQ187" s="2073" t="n"/>
      <c r="BR187" s="2089" t="n"/>
      <c r="BS187" s="2090" t="n"/>
      <c r="BT187" s="2089" t="n"/>
      <c r="BU187" s="2089" t="n"/>
      <c r="BV187" s="2089" t="n"/>
      <c r="BW187" s="2089" t="n"/>
      <c r="BX187" s="2090" t="n"/>
      <c r="BY187" s="2090" t="n"/>
      <c r="BZ187" s="2090" t="n"/>
      <c r="CA187" s="2090" t="n"/>
      <c r="CB187" s="2085" t="n"/>
    </row>
    <row r="188" hidden="1" outlineLevel="1" ht="14.4" customFormat="1" customHeight="1" s="2082">
      <c r="A188" s="1595" t="inlineStr">
        <is>
          <t>Director 10 stock award comp, 000s</t>
        </is>
      </c>
      <c r="B188" s="2091" t="n"/>
      <c r="C188" s="2092" t="n"/>
      <c r="D188" s="2092" t="n"/>
      <c r="E188" s="2092" t="n"/>
      <c r="F188" s="2092" t="n"/>
      <c r="G188" s="2093" t="n"/>
      <c r="H188" s="2093" t="n"/>
      <c r="I188" s="2093" t="n"/>
      <c r="J188" s="2093" t="n"/>
      <c r="K188" s="2092" t="n"/>
      <c r="L188" s="2093" t="n"/>
      <c r="M188" s="2093" t="n"/>
      <c r="N188" s="2093" t="n"/>
      <c r="O188" s="2093" t="n"/>
      <c r="P188" s="2092" t="n"/>
      <c r="Q188" s="2093" t="n"/>
      <c r="R188" s="2093" t="n"/>
      <c r="S188" s="2093" t="n"/>
      <c r="T188" s="2093" t="n"/>
      <c r="U188" s="2092" t="n"/>
      <c r="V188" s="2093" t="n"/>
      <c r="W188" s="2093" t="n"/>
      <c r="X188" s="2093" t="n"/>
      <c r="Y188" s="2093" t="n"/>
      <c r="Z188" s="2092" t="n"/>
      <c r="AA188" s="2093" t="n"/>
      <c r="AB188" s="2093" t="n"/>
      <c r="AC188" s="2093" t="n"/>
      <c r="AD188" s="2093" t="n"/>
      <c r="AE188" s="2092" t="n"/>
      <c r="AF188" s="2093" t="n"/>
      <c r="AG188" s="2093" t="n"/>
      <c r="AH188" s="2093" t="n"/>
      <c r="AI188" s="2093" t="n"/>
      <c r="AJ188" s="2092" t="n"/>
      <c r="AK188" s="2093" t="n"/>
      <c r="AL188" s="2093" t="n"/>
      <c r="AM188" s="2093" t="n"/>
      <c r="AN188" s="2093" t="n"/>
      <c r="AO188" s="2092" t="n"/>
      <c r="AP188" s="2093" t="n"/>
      <c r="AQ188" s="2093" t="n"/>
      <c r="AR188" s="2093" t="n"/>
      <c r="AS188" s="2093" t="n"/>
      <c r="AT188" s="2149" t="n">
        <v>189.969</v>
      </c>
      <c r="AU188" s="2093" t="n"/>
      <c r="AV188" s="2093" t="n"/>
      <c r="AW188" s="2093" t="n"/>
      <c r="AX188" s="2093" t="n"/>
      <c r="AY188" s="2104" t="n"/>
      <c r="AZ188" s="2093" t="n"/>
      <c r="BA188" s="2093" t="n"/>
      <c r="BB188" s="2093" t="n"/>
      <c r="BC188" s="2093" t="n"/>
      <c r="BD188" s="2104" t="n"/>
      <c r="BE188" s="2093" t="n"/>
      <c r="BF188" s="2093" t="n"/>
      <c r="BG188" s="2093" t="n"/>
      <c r="BH188" s="2093" t="n"/>
      <c r="BI188" s="2104" t="n"/>
      <c r="BJ188" s="2093" t="n"/>
      <c r="BK188" s="2093" t="n"/>
      <c r="BL188" s="2093" t="n"/>
      <c r="BM188" s="2093" t="n"/>
      <c r="BN188" s="2104" t="n"/>
      <c r="BO188" s="2093" t="n"/>
      <c r="BP188" s="2093" t="n"/>
      <c r="BQ188" s="2095" t="n"/>
      <c r="BR188" s="2096" t="n"/>
      <c r="BS188" s="2097" t="n"/>
      <c r="BT188" s="2096" t="n"/>
      <c r="BU188" s="2096" t="n"/>
      <c r="BV188" s="2096" t="n"/>
      <c r="BW188" s="2096" t="n"/>
      <c r="BX188" s="2097" t="n"/>
      <c r="BY188" s="2097" t="n"/>
      <c r="BZ188" s="2097" t="n"/>
      <c r="CA188" s="2097" t="n"/>
      <c r="CB188" s="2085" t="n"/>
    </row>
    <row r="189" collapsed="1" ht="14.4" customFormat="1" customHeight="1" s="2082">
      <c r="A189" s="1593" t="inlineStr">
        <is>
          <t>Total director stock award comp, 000s</t>
        </is>
      </c>
      <c r="B189" s="2086" t="n"/>
      <c r="C189" s="2087" t="n"/>
      <c r="D189" s="2087" t="n"/>
      <c r="E189" s="2087" t="n"/>
      <c r="F189" s="2087" t="n"/>
      <c r="G189" s="2072" t="n"/>
      <c r="H189" s="2072" t="n"/>
      <c r="I189" s="2072" t="n"/>
      <c r="J189" s="2072" t="n"/>
      <c r="K189" s="2087" t="n"/>
      <c r="L189" s="2072" t="n"/>
      <c r="M189" s="2072" t="n"/>
      <c r="N189" s="2072" t="n"/>
      <c r="O189" s="2072" t="n"/>
      <c r="P189" s="2087" t="n"/>
      <c r="Q189" s="2072" t="n"/>
      <c r="R189" s="2072" t="n"/>
      <c r="S189" s="2072" t="n"/>
      <c r="T189" s="2072" t="n"/>
      <c r="U189" s="2087" t="n"/>
      <c r="V189" s="2072" t="n"/>
      <c r="W189" s="2072" t="n"/>
      <c r="X189" s="2072" t="n"/>
      <c r="Y189" s="2072" t="n"/>
      <c r="Z189" s="2087" t="n"/>
      <c r="AA189" s="2072" t="n"/>
      <c r="AB189" s="2072" t="n"/>
      <c r="AC189" s="2072" t="n"/>
      <c r="AD189" s="2072" t="n"/>
      <c r="AE189" s="2087" t="n"/>
      <c r="AF189" s="2072" t="n"/>
      <c r="AG189" s="2072" t="n"/>
      <c r="AH189" s="2072" t="n"/>
      <c r="AI189" s="2072" t="n"/>
      <c r="AJ189" s="2087" t="n"/>
      <c r="AK189" s="2072" t="n"/>
      <c r="AL189" s="2072" t="n"/>
      <c r="AM189" s="2072" t="n"/>
      <c r="AN189" s="2072" t="n"/>
      <c r="AO189" s="2087" t="n"/>
      <c r="AP189" s="2072" t="n"/>
      <c r="AQ189" s="2072" t="n"/>
      <c r="AR189" s="2072" t="n"/>
      <c r="AS189" s="2072" t="n"/>
      <c r="AT189" s="2087">
        <f>SUM(AT179:AT188)</f>
        <v/>
      </c>
      <c r="AU189" s="2072" t="n"/>
      <c r="AV189" s="2072" t="n"/>
      <c r="AW189" s="2072" t="n"/>
      <c r="AX189" s="2072" t="n"/>
      <c r="AY189" s="2102">
        <f>SUM(AY179:AY188)</f>
        <v/>
      </c>
      <c r="AZ189" s="2072" t="n"/>
      <c r="BA189" s="2072" t="n"/>
      <c r="BB189" s="2072" t="n"/>
      <c r="BC189" s="2072" t="n"/>
      <c r="BD189" s="2102">
        <f>SUM(BD179:BD188)</f>
        <v/>
      </c>
      <c r="BE189" s="2072" t="n"/>
      <c r="BF189" s="2072" t="n"/>
      <c r="BG189" s="2072" t="n"/>
      <c r="BH189" s="2072" t="n"/>
      <c r="BI189" s="2102">
        <f>SUM(BI179:BI188)</f>
        <v/>
      </c>
      <c r="BJ189" s="2072" t="n"/>
      <c r="BK189" s="2072" t="n"/>
      <c r="BL189" s="2072" t="n"/>
      <c r="BM189" s="2072" t="n"/>
      <c r="BN189" s="2102" t="n"/>
      <c r="BO189" s="2072" t="n"/>
      <c r="BP189" s="2072" t="n"/>
      <c r="BQ189" s="2073" t="n"/>
      <c r="BR189" s="2089" t="n"/>
      <c r="BS189" s="2090" t="n"/>
      <c r="BT189" s="2089" t="n"/>
      <c r="BU189" s="2089" t="n"/>
      <c r="BV189" s="2089" t="n"/>
      <c r="BW189" s="2089" t="n"/>
      <c r="BX189" s="2090" t="n"/>
      <c r="BY189" s="2090" t="n"/>
      <c r="BZ189" s="2090" t="n"/>
      <c r="CA189" s="2090" t="n"/>
      <c r="CB189" s="2085" t="n"/>
    </row>
    <row r="190" hidden="1" outlineLevel="1" ht="14.4" customFormat="1" customHeight="1" s="2082">
      <c r="A190" s="1594" t="inlineStr">
        <is>
          <t>Director 1 all other comp, 000s</t>
        </is>
      </c>
      <c r="B190" s="2086" t="n"/>
      <c r="C190" s="2087" t="n"/>
      <c r="D190" s="2087" t="n"/>
      <c r="E190" s="2087" t="n"/>
      <c r="F190" s="2087" t="n"/>
      <c r="G190" s="2072" t="n"/>
      <c r="H190" s="2072" t="n"/>
      <c r="I190" s="2072" t="n"/>
      <c r="J190" s="2072" t="n"/>
      <c r="K190" s="2087" t="n"/>
      <c r="L190" s="2072" t="n"/>
      <c r="M190" s="2072" t="n"/>
      <c r="N190" s="2072" t="n"/>
      <c r="O190" s="2072" t="n"/>
      <c r="P190" s="2087" t="n"/>
      <c r="Q190" s="2072" t="n"/>
      <c r="R190" s="2072" t="n"/>
      <c r="S190" s="2072" t="n"/>
      <c r="T190" s="2072" t="n"/>
      <c r="U190" s="2087" t="n"/>
      <c r="V190" s="2072" t="n"/>
      <c r="W190" s="2072" t="n"/>
      <c r="X190" s="2072" t="n"/>
      <c r="Y190" s="2072" t="n"/>
      <c r="Z190" s="2087" t="n"/>
      <c r="AA190" s="2072" t="n"/>
      <c r="AB190" s="2072" t="n"/>
      <c r="AC190" s="2072" t="n"/>
      <c r="AD190" s="2072" t="n"/>
      <c r="AE190" s="2087" t="n"/>
      <c r="AF190" s="2072" t="n"/>
      <c r="AG190" s="2072" t="n"/>
      <c r="AH190" s="2072" t="n"/>
      <c r="AI190" s="2072" t="n"/>
      <c r="AJ190" s="2087" t="n"/>
      <c r="AK190" s="2072" t="n"/>
      <c r="AL190" s="2072" t="n"/>
      <c r="AM190" s="2072" t="n"/>
      <c r="AN190" s="2072" t="n"/>
      <c r="AO190" s="2087" t="n"/>
      <c r="AP190" s="2072" t="n"/>
      <c r="AQ190" s="2072" t="n"/>
      <c r="AR190" s="2072" t="n"/>
      <c r="AS190" s="2072" t="n"/>
      <c r="AT190" s="2088" t="n">
        <v>0</v>
      </c>
      <c r="AU190" s="2072" t="n"/>
      <c r="AV190" s="2072" t="n"/>
      <c r="AW190" s="2072" t="n"/>
      <c r="AX190" s="2072" t="n"/>
      <c r="AY190" s="2088" t="n">
        <v>0</v>
      </c>
      <c r="AZ190" s="2072" t="n"/>
      <c r="BA190" s="2072" t="n"/>
      <c r="BB190" s="2072" t="n"/>
      <c r="BC190" s="2072" t="n"/>
      <c r="BD190" s="2088" t="n">
        <v>0</v>
      </c>
      <c r="BE190" s="2072" t="n"/>
      <c r="BF190" s="2072" t="n"/>
      <c r="BG190" s="2072" t="n"/>
      <c r="BH190" s="2072" t="n"/>
      <c r="BI190" s="2102" t="n"/>
      <c r="BJ190" s="2072" t="n"/>
      <c r="BK190" s="2072" t="n"/>
      <c r="BL190" s="2072" t="n"/>
      <c r="BM190" s="2072" t="n"/>
      <c r="BN190" s="2102" t="n"/>
      <c r="BO190" s="2072" t="n"/>
      <c r="BP190" s="2072" t="n"/>
      <c r="BQ190" s="2073" t="n"/>
      <c r="BR190" s="2089" t="n"/>
      <c r="BS190" s="2090" t="n"/>
      <c r="BT190" s="2089" t="n"/>
      <c r="BU190" s="2089" t="n"/>
      <c r="BV190" s="2089" t="n"/>
      <c r="BW190" s="2089" t="n"/>
      <c r="BX190" s="2090" t="n"/>
      <c r="BY190" s="2090" t="n"/>
      <c r="BZ190" s="2090" t="n"/>
      <c r="CA190" s="2090" t="n"/>
      <c r="CB190" s="2085" t="n"/>
    </row>
    <row r="191" hidden="1" outlineLevel="1" ht="14.4" customFormat="1" customHeight="1" s="2082">
      <c r="A191" s="1594" t="inlineStr">
        <is>
          <t>Director 2 all other comp, 000s</t>
        </is>
      </c>
      <c r="B191" s="2086" t="n"/>
      <c r="C191" s="2087" t="n"/>
      <c r="D191" s="2087" t="n"/>
      <c r="E191" s="2087" t="n"/>
      <c r="F191" s="2087" t="n"/>
      <c r="G191" s="2072" t="n"/>
      <c r="H191" s="2072" t="n"/>
      <c r="I191" s="2072" t="n"/>
      <c r="J191" s="2072" t="n"/>
      <c r="K191" s="2087" t="n"/>
      <c r="L191" s="2072" t="n"/>
      <c r="M191" s="2072" t="n"/>
      <c r="N191" s="2072" t="n"/>
      <c r="O191" s="2072" t="n"/>
      <c r="P191" s="2087" t="n"/>
      <c r="Q191" s="2072" t="n"/>
      <c r="R191" s="2072" t="n"/>
      <c r="S191" s="2072" t="n"/>
      <c r="T191" s="2072" t="n"/>
      <c r="U191" s="2087" t="n"/>
      <c r="V191" s="2072" t="n"/>
      <c r="W191" s="2072" t="n"/>
      <c r="X191" s="2072" t="n"/>
      <c r="Y191" s="2072" t="n"/>
      <c r="Z191" s="2087" t="n"/>
      <c r="AA191" s="2072" t="n"/>
      <c r="AB191" s="2072" t="n"/>
      <c r="AC191" s="2072" t="n"/>
      <c r="AD191" s="2072" t="n"/>
      <c r="AE191" s="2087" t="n"/>
      <c r="AF191" s="2072" t="n"/>
      <c r="AG191" s="2072" t="n"/>
      <c r="AH191" s="2072" t="n"/>
      <c r="AI191" s="2072" t="n"/>
      <c r="AJ191" s="2087" t="n"/>
      <c r="AK191" s="2072" t="n"/>
      <c r="AL191" s="2072" t="n"/>
      <c r="AM191" s="2072" t="n"/>
      <c r="AN191" s="2072" t="n"/>
      <c r="AO191" s="2087" t="n"/>
      <c r="AP191" s="2072" t="n"/>
      <c r="AQ191" s="2072" t="n"/>
      <c r="AR191" s="2072" t="n"/>
      <c r="AS191" s="2072" t="n"/>
      <c r="AT191" s="2088" t="n">
        <v>20</v>
      </c>
      <c r="AU191" s="2072" t="n"/>
      <c r="AV191" s="2072" t="n"/>
      <c r="AW191" s="2072" t="n"/>
      <c r="AX191" s="2072" t="n"/>
      <c r="AY191" s="2088" t="n">
        <v>11.911</v>
      </c>
      <c r="AZ191" s="2072" t="n"/>
      <c r="BA191" s="2072" t="n"/>
      <c r="BB191" s="2072" t="n"/>
      <c r="BC191" s="2072" t="n"/>
      <c r="BD191" s="2088" t="n">
        <v>0</v>
      </c>
      <c r="BE191" s="2072" t="n"/>
      <c r="BF191" s="2072" t="n"/>
      <c r="BG191" s="2072" t="n"/>
      <c r="BH191" s="2072" t="n"/>
      <c r="BI191" s="2102" t="n"/>
      <c r="BJ191" s="2072" t="n"/>
      <c r="BK191" s="2072" t="n"/>
      <c r="BL191" s="2072" t="n"/>
      <c r="BM191" s="2072" t="n"/>
      <c r="BN191" s="2102" t="n"/>
      <c r="BO191" s="2072" t="n"/>
      <c r="BP191" s="2072" t="n"/>
      <c r="BQ191" s="2073" t="n"/>
      <c r="BR191" s="2089" t="n"/>
      <c r="BS191" s="2090" t="n"/>
      <c r="BT191" s="2089" t="n"/>
      <c r="BU191" s="2089" t="n"/>
      <c r="BV191" s="2089" t="n"/>
      <c r="BW191" s="2089" t="n"/>
      <c r="BX191" s="2090" t="n"/>
      <c r="BY191" s="2090" t="n"/>
      <c r="BZ191" s="2090" t="n"/>
      <c r="CA191" s="2090" t="n"/>
      <c r="CB191" s="2085" t="n"/>
    </row>
    <row r="192" hidden="1" outlineLevel="1" ht="14.4" customFormat="1" customHeight="1" s="2082">
      <c r="A192" s="1594" t="inlineStr">
        <is>
          <t>Director 3 all other comp, 000s</t>
        </is>
      </c>
      <c r="B192" s="2086" t="n"/>
      <c r="C192" s="2087" t="n"/>
      <c r="D192" s="2087" t="n"/>
      <c r="E192" s="2087" t="n"/>
      <c r="F192" s="2087" t="n"/>
      <c r="G192" s="2072" t="n"/>
      <c r="H192" s="2072" t="n"/>
      <c r="I192" s="2072" t="n"/>
      <c r="J192" s="2072" t="n"/>
      <c r="K192" s="2087" t="n"/>
      <c r="L192" s="2072" t="n"/>
      <c r="M192" s="2072" t="n"/>
      <c r="N192" s="2072" t="n"/>
      <c r="O192" s="2072" t="n"/>
      <c r="P192" s="2087" t="n"/>
      <c r="Q192" s="2072" t="n"/>
      <c r="R192" s="2072" t="n"/>
      <c r="S192" s="2072" t="n"/>
      <c r="T192" s="2072" t="n"/>
      <c r="U192" s="2087" t="n"/>
      <c r="V192" s="2072" t="n"/>
      <c r="W192" s="2072" t="n"/>
      <c r="X192" s="2072" t="n"/>
      <c r="Y192" s="2072" t="n"/>
      <c r="Z192" s="2087" t="n"/>
      <c r="AA192" s="2072" t="n"/>
      <c r="AB192" s="2072" t="n"/>
      <c r="AC192" s="2072" t="n"/>
      <c r="AD192" s="2072" t="n"/>
      <c r="AE192" s="2087" t="n"/>
      <c r="AF192" s="2072" t="n"/>
      <c r="AG192" s="2072" t="n"/>
      <c r="AH192" s="2072" t="n"/>
      <c r="AI192" s="2072" t="n"/>
      <c r="AJ192" s="2087" t="n"/>
      <c r="AK192" s="2072" t="n"/>
      <c r="AL192" s="2072" t="n"/>
      <c r="AM192" s="2072" t="n"/>
      <c r="AN192" s="2072" t="n"/>
      <c r="AO192" s="2087" t="n"/>
      <c r="AP192" s="2072" t="n"/>
      <c r="AQ192" s="2072" t="n"/>
      <c r="AR192" s="2072" t="n"/>
      <c r="AS192" s="2072" t="n"/>
      <c r="AT192" s="2088" t="n">
        <v>0</v>
      </c>
      <c r="AU192" s="2072" t="n"/>
      <c r="AV192" s="2072" t="n"/>
      <c r="AW192" s="2072" t="n"/>
      <c r="AX192" s="2072" t="n"/>
      <c r="AY192" s="2088" t="n">
        <v>0</v>
      </c>
      <c r="AZ192" s="2072" t="n"/>
      <c r="BA192" s="2072" t="n"/>
      <c r="BB192" s="2072" t="n"/>
      <c r="BC192" s="2072" t="n"/>
      <c r="BD192" s="2088" t="n">
        <v>0</v>
      </c>
      <c r="BE192" s="2072" t="n"/>
      <c r="BF192" s="2072" t="n"/>
      <c r="BG192" s="2072" t="n"/>
      <c r="BH192" s="2072" t="n"/>
      <c r="BI192" s="2102" t="n"/>
      <c r="BJ192" s="2072" t="n"/>
      <c r="BK192" s="2072" t="n"/>
      <c r="BL192" s="2072" t="n"/>
      <c r="BM192" s="2072" t="n"/>
      <c r="BN192" s="2102" t="n"/>
      <c r="BO192" s="2072" t="n"/>
      <c r="BP192" s="2072" t="n"/>
      <c r="BQ192" s="2073" t="n"/>
      <c r="BR192" s="2089" t="n"/>
      <c r="BS192" s="2090" t="n"/>
      <c r="BT192" s="2089" t="n"/>
      <c r="BU192" s="2089" t="n"/>
      <c r="BV192" s="2089" t="n"/>
      <c r="BW192" s="2089" t="n"/>
      <c r="BX192" s="2090" t="n"/>
      <c r="BY192" s="2090" t="n"/>
      <c r="BZ192" s="2090" t="n"/>
      <c r="CA192" s="2090" t="n"/>
      <c r="CB192" s="2085" t="n"/>
    </row>
    <row r="193" hidden="1" outlineLevel="1" ht="14.4" customFormat="1" customHeight="1" s="2082">
      <c r="A193" s="1594" t="inlineStr">
        <is>
          <t>Director 4 all other comp, 000s</t>
        </is>
      </c>
      <c r="B193" s="2086" t="n"/>
      <c r="C193" s="2087" t="n"/>
      <c r="D193" s="2087" t="n"/>
      <c r="E193" s="2087" t="n"/>
      <c r="F193" s="2087" t="n"/>
      <c r="G193" s="2072" t="n"/>
      <c r="H193" s="2072" t="n"/>
      <c r="I193" s="2072" t="n"/>
      <c r="J193" s="2072" t="n"/>
      <c r="K193" s="2087" t="n"/>
      <c r="L193" s="2072" t="n"/>
      <c r="M193" s="2072" t="n"/>
      <c r="N193" s="2072" t="n"/>
      <c r="O193" s="2072" t="n"/>
      <c r="P193" s="2087" t="n"/>
      <c r="Q193" s="2072" t="n"/>
      <c r="R193" s="2072" t="n"/>
      <c r="S193" s="2072" t="n"/>
      <c r="T193" s="2072" t="n"/>
      <c r="U193" s="2087" t="n"/>
      <c r="V193" s="2072" t="n"/>
      <c r="W193" s="2072" t="n"/>
      <c r="X193" s="2072" t="n"/>
      <c r="Y193" s="2072" t="n"/>
      <c r="Z193" s="2087" t="n"/>
      <c r="AA193" s="2072" t="n"/>
      <c r="AB193" s="2072" t="n"/>
      <c r="AC193" s="2072" t="n"/>
      <c r="AD193" s="2072" t="n"/>
      <c r="AE193" s="2087" t="n"/>
      <c r="AF193" s="2072" t="n"/>
      <c r="AG193" s="2072" t="n"/>
      <c r="AH193" s="2072" t="n"/>
      <c r="AI193" s="2072" t="n"/>
      <c r="AJ193" s="2087" t="n"/>
      <c r="AK193" s="2072" t="n"/>
      <c r="AL193" s="2072" t="n"/>
      <c r="AM193" s="2072" t="n"/>
      <c r="AN193" s="2072" t="n"/>
      <c r="AO193" s="2087" t="n"/>
      <c r="AP193" s="2072" t="n"/>
      <c r="AQ193" s="2072" t="n"/>
      <c r="AR193" s="2072" t="n"/>
      <c r="AS193" s="2072" t="n"/>
      <c r="AT193" s="2088" t="n">
        <v>0</v>
      </c>
      <c r="AU193" s="2072" t="n"/>
      <c r="AV193" s="2072" t="n"/>
      <c r="AW193" s="2072" t="n"/>
      <c r="AX193" s="2072" t="n"/>
      <c r="AY193" s="2088" t="n">
        <v>0</v>
      </c>
      <c r="AZ193" s="2072" t="n"/>
      <c r="BA193" s="2072" t="n"/>
      <c r="BB193" s="2072" t="n"/>
      <c r="BC193" s="2072" t="n"/>
      <c r="BD193" s="2088" t="n">
        <v>0</v>
      </c>
      <c r="BE193" s="2072" t="n"/>
      <c r="BF193" s="2072" t="n"/>
      <c r="BG193" s="2072" t="n"/>
      <c r="BH193" s="2072" t="n"/>
      <c r="BI193" s="2102" t="n"/>
      <c r="BJ193" s="2072" t="n"/>
      <c r="BK193" s="2072" t="n"/>
      <c r="BL193" s="2072" t="n"/>
      <c r="BM193" s="2072" t="n"/>
      <c r="BN193" s="2102" t="n"/>
      <c r="BO193" s="2072" t="n"/>
      <c r="BP193" s="2072" t="n"/>
      <c r="BQ193" s="2073" t="n"/>
      <c r="BR193" s="2089" t="n"/>
      <c r="BS193" s="2090" t="n"/>
      <c r="BT193" s="2089" t="n"/>
      <c r="BU193" s="2089" t="n"/>
      <c r="BV193" s="2089" t="n"/>
      <c r="BW193" s="2089" t="n"/>
      <c r="BX193" s="2090" t="n"/>
      <c r="BY193" s="2090" t="n"/>
      <c r="BZ193" s="2090" t="n"/>
      <c r="CA193" s="2090" t="n"/>
      <c r="CB193" s="2085" t="n"/>
    </row>
    <row r="194" hidden="1" outlineLevel="1" ht="14.4" customFormat="1" customHeight="1" s="2082">
      <c r="A194" s="1594" t="inlineStr">
        <is>
          <t>Director 5 all other comp, 000s</t>
        </is>
      </c>
      <c r="B194" s="2086" t="n"/>
      <c r="C194" s="2087" t="n"/>
      <c r="D194" s="2087" t="n"/>
      <c r="E194" s="2087" t="n"/>
      <c r="F194" s="2087" t="n"/>
      <c r="G194" s="2072" t="n"/>
      <c r="H194" s="2072" t="n"/>
      <c r="I194" s="2072" t="n"/>
      <c r="J194" s="2072" t="n"/>
      <c r="K194" s="2087" t="n"/>
      <c r="L194" s="2072" t="n"/>
      <c r="M194" s="2072" t="n"/>
      <c r="N194" s="2072" t="n"/>
      <c r="O194" s="2072" t="n"/>
      <c r="P194" s="2087" t="n"/>
      <c r="Q194" s="2072" t="n"/>
      <c r="R194" s="2072" t="n"/>
      <c r="S194" s="2072" t="n"/>
      <c r="T194" s="2072" t="n"/>
      <c r="U194" s="2087" t="n"/>
      <c r="V194" s="2072" t="n"/>
      <c r="W194" s="2072" t="n"/>
      <c r="X194" s="2072" t="n"/>
      <c r="Y194" s="2072" t="n"/>
      <c r="Z194" s="2087" t="n"/>
      <c r="AA194" s="2072" t="n"/>
      <c r="AB194" s="2072" t="n"/>
      <c r="AC194" s="2072" t="n"/>
      <c r="AD194" s="2072" t="n"/>
      <c r="AE194" s="2087" t="n"/>
      <c r="AF194" s="2072" t="n"/>
      <c r="AG194" s="2072" t="n"/>
      <c r="AH194" s="2072" t="n"/>
      <c r="AI194" s="2072" t="n"/>
      <c r="AJ194" s="2087" t="n"/>
      <c r="AK194" s="2072" t="n"/>
      <c r="AL194" s="2072" t="n"/>
      <c r="AM194" s="2072" t="n"/>
      <c r="AN194" s="2072" t="n"/>
      <c r="AO194" s="2087" t="n"/>
      <c r="AP194" s="2072" t="n"/>
      <c r="AQ194" s="2072" t="n"/>
      <c r="AR194" s="2072" t="n"/>
      <c r="AS194" s="2072" t="n"/>
      <c r="AT194" s="2088" t="n">
        <v>0</v>
      </c>
      <c r="AU194" s="2072" t="n"/>
      <c r="AV194" s="2072" t="n"/>
      <c r="AW194" s="2072" t="n"/>
      <c r="AX194" s="2072" t="n"/>
      <c r="AY194" s="2088" t="n">
        <v>0</v>
      </c>
      <c r="AZ194" s="2072" t="n"/>
      <c r="BA194" s="2072" t="n"/>
      <c r="BB194" s="2072" t="n"/>
      <c r="BC194" s="2072" t="n"/>
      <c r="BD194" s="2088" t="n">
        <v>0</v>
      </c>
      <c r="BE194" s="2072" t="n"/>
      <c r="BF194" s="2072" t="n"/>
      <c r="BG194" s="2072" t="n"/>
      <c r="BH194" s="2072" t="n"/>
      <c r="BI194" s="2102" t="n"/>
      <c r="BJ194" s="2072" t="n"/>
      <c r="BK194" s="2072" t="n"/>
      <c r="BL194" s="2072" t="n"/>
      <c r="BM194" s="2072" t="n"/>
      <c r="BN194" s="2102" t="n"/>
      <c r="BO194" s="2072" t="n"/>
      <c r="BP194" s="2072" t="n"/>
      <c r="BQ194" s="2073" t="n"/>
      <c r="BR194" s="2089" t="n"/>
      <c r="BS194" s="2090" t="n"/>
      <c r="BT194" s="2089" t="n"/>
      <c r="BU194" s="2089" t="n"/>
      <c r="BV194" s="2089" t="n"/>
      <c r="BW194" s="2089" t="n"/>
      <c r="BX194" s="2090" t="n"/>
      <c r="BY194" s="2090" t="n"/>
      <c r="BZ194" s="2090" t="n"/>
      <c r="CA194" s="2090" t="n"/>
      <c r="CB194" s="2085" t="n"/>
    </row>
    <row r="195" hidden="1" outlineLevel="1" ht="14.4" customFormat="1" customHeight="1" s="2082">
      <c r="A195" s="1594" t="inlineStr">
        <is>
          <t>Director 6 all other comp, 000s</t>
        </is>
      </c>
      <c r="B195" s="2086" t="n"/>
      <c r="C195" s="2087" t="n"/>
      <c r="D195" s="2087" t="n"/>
      <c r="E195" s="2087" t="n"/>
      <c r="F195" s="2087" t="n"/>
      <c r="G195" s="2072" t="n"/>
      <c r="H195" s="2072" t="n"/>
      <c r="I195" s="2072" t="n"/>
      <c r="J195" s="2072" t="n"/>
      <c r="K195" s="2087" t="n"/>
      <c r="L195" s="2072" t="n"/>
      <c r="M195" s="2072" t="n"/>
      <c r="N195" s="2072" t="n"/>
      <c r="O195" s="2072" t="n"/>
      <c r="P195" s="2087" t="n"/>
      <c r="Q195" s="2072" t="n"/>
      <c r="R195" s="2072" t="n"/>
      <c r="S195" s="2072" t="n"/>
      <c r="T195" s="2072" t="n"/>
      <c r="U195" s="2087" t="n"/>
      <c r="V195" s="2072" t="n"/>
      <c r="W195" s="2072" t="n"/>
      <c r="X195" s="2072" t="n"/>
      <c r="Y195" s="2072" t="n"/>
      <c r="Z195" s="2087" t="n"/>
      <c r="AA195" s="2072" t="n"/>
      <c r="AB195" s="2072" t="n"/>
      <c r="AC195" s="2072" t="n"/>
      <c r="AD195" s="2072" t="n"/>
      <c r="AE195" s="2087" t="n"/>
      <c r="AF195" s="2072" t="n"/>
      <c r="AG195" s="2072" t="n"/>
      <c r="AH195" s="2072" t="n"/>
      <c r="AI195" s="2072" t="n"/>
      <c r="AJ195" s="2087" t="n"/>
      <c r="AK195" s="2072" t="n"/>
      <c r="AL195" s="2072" t="n"/>
      <c r="AM195" s="2072" t="n"/>
      <c r="AN195" s="2072" t="n"/>
      <c r="AO195" s="2087" t="n"/>
      <c r="AP195" s="2072" t="n"/>
      <c r="AQ195" s="2072" t="n"/>
      <c r="AR195" s="2072" t="n"/>
      <c r="AS195" s="2072" t="n"/>
      <c r="AT195" s="2088" t="n">
        <v>0</v>
      </c>
      <c r="AU195" s="2072" t="n"/>
      <c r="AV195" s="2072" t="n"/>
      <c r="AW195" s="2072" t="n"/>
      <c r="AX195" s="2072" t="n"/>
      <c r="AY195" s="2088" t="n">
        <v>0</v>
      </c>
      <c r="AZ195" s="2072" t="n"/>
      <c r="BA195" s="2072" t="n"/>
      <c r="BB195" s="2072" t="n"/>
      <c r="BC195" s="2072" t="n"/>
      <c r="BD195" s="2088" t="n">
        <v>0</v>
      </c>
      <c r="BE195" s="2072" t="n"/>
      <c r="BF195" s="2072" t="n"/>
      <c r="BG195" s="2072" t="n"/>
      <c r="BH195" s="2072" t="n"/>
      <c r="BI195" s="2102" t="n"/>
      <c r="BJ195" s="2072" t="n"/>
      <c r="BK195" s="2072" t="n"/>
      <c r="BL195" s="2072" t="n"/>
      <c r="BM195" s="2072" t="n"/>
      <c r="BN195" s="2102" t="n"/>
      <c r="BO195" s="2072" t="n"/>
      <c r="BP195" s="2072" t="n"/>
      <c r="BQ195" s="2073" t="n"/>
      <c r="BR195" s="2089" t="n"/>
      <c r="BS195" s="2090" t="n"/>
      <c r="BT195" s="2089" t="n"/>
      <c r="BU195" s="2089" t="n"/>
      <c r="BV195" s="2089" t="n"/>
      <c r="BW195" s="2089" t="n"/>
      <c r="BX195" s="2090" t="n"/>
      <c r="BY195" s="2090" t="n"/>
      <c r="BZ195" s="2090" t="n"/>
      <c r="CA195" s="2090" t="n"/>
      <c r="CB195" s="2085" t="n"/>
    </row>
    <row r="196" hidden="1" outlineLevel="1" ht="14.4" customFormat="1" customHeight="1" s="2082">
      <c r="A196" s="1594" t="inlineStr">
        <is>
          <t>Director 7 all other comp, 000s</t>
        </is>
      </c>
      <c r="B196" s="2086" t="n"/>
      <c r="C196" s="2087" t="n"/>
      <c r="D196" s="2087" t="n"/>
      <c r="E196" s="2087" t="n"/>
      <c r="F196" s="2087" t="n"/>
      <c r="G196" s="2072" t="n"/>
      <c r="H196" s="2072" t="n"/>
      <c r="I196" s="2072" t="n"/>
      <c r="J196" s="2072" t="n"/>
      <c r="K196" s="2087" t="n"/>
      <c r="L196" s="2072" t="n"/>
      <c r="M196" s="2072" t="n"/>
      <c r="N196" s="2072" t="n"/>
      <c r="O196" s="2072" t="n"/>
      <c r="P196" s="2087" t="n"/>
      <c r="Q196" s="2072" t="n"/>
      <c r="R196" s="2072" t="n"/>
      <c r="S196" s="2072" t="n"/>
      <c r="T196" s="2072" t="n"/>
      <c r="U196" s="2087" t="n"/>
      <c r="V196" s="2072" t="n"/>
      <c r="W196" s="2072" t="n"/>
      <c r="X196" s="2072" t="n"/>
      <c r="Y196" s="2072" t="n"/>
      <c r="Z196" s="2087" t="n"/>
      <c r="AA196" s="2072" t="n"/>
      <c r="AB196" s="2072" t="n"/>
      <c r="AC196" s="2072" t="n"/>
      <c r="AD196" s="2072" t="n"/>
      <c r="AE196" s="2087" t="n"/>
      <c r="AF196" s="2072" t="n"/>
      <c r="AG196" s="2072" t="n"/>
      <c r="AH196" s="2072" t="n"/>
      <c r="AI196" s="2072" t="n"/>
      <c r="AJ196" s="2087" t="n"/>
      <c r="AK196" s="2072" t="n"/>
      <c r="AL196" s="2072" t="n"/>
      <c r="AM196" s="2072" t="n"/>
      <c r="AN196" s="2072" t="n"/>
      <c r="AO196" s="2087" t="n"/>
      <c r="AP196" s="2072" t="n"/>
      <c r="AQ196" s="2072" t="n"/>
      <c r="AR196" s="2072" t="n"/>
      <c r="AS196" s="2072" t="n"/>
      <c r="AT196" s="2088" t="n">
        <v>6.009</v>
      </c>
      <c r="AU196" s="2072" t="n"/>
      <c r="AV196" s="2072" t="n"/>
      <c r="AW196" s="2072" t="n"/>
      <c r="AX196" s="2072" t="n"/>
      <c r="AY196" s="2088" t="n">
        <v>0</v>
      </c>
      <c r="AZ196" s="2072" t="n"/>
      <c r="BA196" s="2072" t="n"/>
      <c r="BB196" s="2072" t="n"/>
      <c r="BC196" s="2072" t="n"/>
      <c r="BD196" s="2088" t="n">
        <v>18.17</v>
      </c>
      <c r="BE196" s="2072" t="n"/>
      <c r="BF196" s="2072" t="n"/>
      <c r="BG196" s="2072" t="n"/>
      <c r="BH196" s="2072" t="n"/>
      <c r="BI196" s="2117" t="n">
        <v>17.314</v>
      </c>
      <c r="BJ196" s="2072" t="n"/>
      <c r="BK196" s="2072" t="n"/>
      <c r="BL196" s="2072" t="n"/>
      <c r="BM196" s="2072" t="n"/>
      <c r="BN196" s="2087" t="n"/>
      <c r="BO196" s="2072" t="n"/>
      <c r="BP196" s="2072" t="n"/>
      <c r="BQ196" s="2073" t="n"/>
      <c r="BR196" s="2089" t="n"/>
      <c r="BS196" s="2090" t="n"/>
      <c r="BT196" s="2089" t="n"/>
      <c r="BU196" s="2089" t="n"/>
      <c r="BV196" s="2089" t="n"/>
      <c r="BW196" s="2089" t="n"/>
      <c r="BX196" s="2090" t="n"/>
      <c r="BY196" s="2090" t="n"/>
      <c r="BZ196" s="2090" t="n"/>
      <c r="CA196" s="2090" t="n"/>
      <c r="CB196" s="2085" t="n"/>
    </row>
    <row r="197" hidden="1" outlineLevel="1" ht="14.4" customFormat="1" customHeight="1" s="2082">
      <c r="A197" s="1594" t="inlineStr">
        <is>
          <t>Director 8 all other comp, 000s</t>
        </is>
      </c>
      <c r="B197" s="2086" t="n"/>
      <c r="C197" s="2087" t="n"/>
      <c r="D197" s="2087" t="n"/>
      <c r="E197" s="2087" t="n"/>
      <c r="F197" s="2087" t="n"/>
      <c r="G197" s="2072" t="n"/>
      <c r="H197" s="2072" t="n"/>
      <c r="I197" s="2072" t="n"/>
      <c r="J197" s="2072" t="n"/>
      <c r="K197" s="2087" t="n"/>
      <c r="L197" s="2072" t="n"/>
      <c r="M197" s="2072" t="n"/>
      <c r="N197" s="2072" t="n"/>
      <c r="O197" s="2072" t="n"/>
      <c r="P197" s="2087" t="n"/>
      <c r="Q197" s="2072" t="n"/>
      <c r="R197" s="2072" t="n"/>
      <c r="S197" s="2072" t="n"/>
      <c r="T197" s="2072" t="n"/>
      <c r="U197" s="2087" t="n"/>
      <c r="V197" s="2072" t="n"/>
      <c r="W197" s="2072" t="n"/>
      <c r="X197" s="2072" t="n"/>
      <c r="Y197" s="2072" t="n"/>
      <c r="Z197" s="2087" t="n"/>
      <c r="AA197" s="2072" t="n"/>
      <c r="AB197" s="2072" t="n"/>
      <c r="AC197" s="2072" t="n"/>
      <c r="AD197" s="2072" t="n"/>
      <c r="AE197" s="2087" t="n"/>
      <c r="AF197" s="2072" t="n"/>
      <c r="AG197" s="2072" t="n"/>
      <c r="AH197" s="2072" t="n"/>
      <c r="AI197" s="2072" t="n"/>
      <c r="AJ197" s="2087" t="n"/>
      <c r="AK197" s="2072" t="n"/>
      <c r="AL197" s="2072" t="n"/>
      <c r="AM197" s="2072" t="n"/>
      <c r="AN197" s="2072" t="n"/>
      <c r="AO197" s="2087" t="n"/>
      <c r="AP197" s="2072" t="n"/>
      <c r="AQ197" s="2072" t="n"/>
      <c r="AR197" s="2072" t="n"/>
      <c r="AS197" s="2072" t="n"/>
      <c r="AT197" s="2088" t="n">
        <v>11.688</v>
      </c>
      <c r="AU197" s="2072" t="n"/>
      <c r="AV197" s="2072" t="n"/>
      <c r="AW197" s="2072" t="n"/>
      <c r="AX197" s="2072" t="n"/>
      <c r="AY197" s="2088" t="n">
        <v>5.652</v>
      </c>
      <c r="AZ197" s="2072" t="n"/>
      <c r="BA197" s="2072" t="n"/>
      <c r="BB197" s="2072" t="n"/>
      <c r="BC197" s="2072" t="n"/>
      <c r="BD197" s="2088" t="n">
        <v>13.29</v>
      </c>
      <c r="BE197" s="2072" t="n"/>
      <c r="BF197" s="2072" t="n"/>
      <c r="BG197" s="2072" t="n"/>
      <c r="BH197" s="2072" t="n"/>
      <c r="BI197" s="2117" t="n">
        <v>16.036</v>
      </c>
      <c r="BJ197" s="2072" t="n"/>
      <c r="BK197" s="2072" t="n"/>
      <c r="BL197" s="2072" t="n"/>
      <c r="BM197" s="2072" t="n"/>
      <c r="BN197" s="2087" t="n"/>
      <c r="BO197" s="2072" t="n"/>
      <c r="BP197" s="2072" t="n"/>
      <c r="BQ197" s="2073" t="n"/>
      <c r="BR197" s="2089" t="n"/>
      <c r="BS197" s="2090" t="n"/>
      <c r="BT197" s="2089" t="n"/>
      <c r="BU197" s="2089" t="n"/>
      <c r="BV197" s="2089" t="n"/>
      <c r="BW197" s="2089" t="n"/>
      <c r="BX197" s="2090" t="n"/>
      <c r="BY197" s="2090" t="n"/>
      <c r="BZ197" s="2090" t="n"/>
      <c r="CA197" s="2090" t="n"/>
      <c r="CB197" s="2085" t="n"/>
    </row>
    <row r="198" hidden="1" outlineLevel="1" ht="14.4" customFormat="1" customHeight="1" s="2082">
      <c r="A198" s="1594" t="inlineStr">
        <is>
          <t>Director 9 all other comp, 000s</t>
        </is>
      </c>
      <c r="B198" s="2086" t="n"/>
      <c r="C198" s="2087" t="n"/>
      <c r="D198" s="2087" t="n"/>
      <c r="E198" s="2087" t="n"/>
      <c r="F198" s="2087" t="n"/>
      <c r="G198" s="2072" t="n"/>
      <c r="H198" s="2072" t="n"/>
      <c r="I198" s="2072" t="n"/>
      <c r="J198" s="2072" t="n"/>
      <c r="K198" s="2087" t="n"/>
      <c r="L198" s="2072" t="n"/>
      <c r="M198" s="2072" t="n"/>
      <c r="N198" s="2072" t="n"/>
      <c r="O198" s="2072" t="n"/>
      <c r="P198" s="2087" t="n"/>
      <c r="Q198" s="2072" t="n"/>
      <c r="R198" s="2072" t="n"/>
      <c r="S198" s="2072" t="n"/>
      <c r="T198" s="2072" t="n"/>
      <c r="U198" s="2087" t="n"/>
      <c r="V198" s="2072" t="n"/>
      <c r="W198" s="2072" t="n"/>
      <c r="X198" s="2072" t="n"/>
      <c r="Y198" s="2072" t="n"/>
      <c r="Z198" s="2087" t="n"/>
      <c r="AA198" s="2072" t="n"/>
      <c r="AB198" s="2072" t="n"/>
      <c r="AC198" s="2072" t="n"/>
      <c r="AD198" s="2072" t="n"/>
      <c r="AE198" s="2087" t="n"/>
      <c r="AF198" s="2072" t="n"/>
      <c r="AG198" s="2072" t="n"/>
      <c r="AH198" s="2072" t="n"/>
      <c r="AI198" s="2072" t="n"/>
      <c r="AJ198" s="2087" t="n"/>
      <c r="AK198" s="2072" t="n"/>
      <c r="AL198" s="2072" t="n"/>
      <c r="AM198" s="2072" t="n"/>
      <c r="AN198" s="2072" t="n"/>
      <c r="AO198" s="2087" t="n"/>
      <c r="AP198" s="2072" t="n"/>
      <c r="AQ198" s="2072" t="n"/>
      <c r="AR198" s="2072" t="n"/>
      <c r="AS198" s="2072" t="n"/>
      <c r="AT198" s="2088" t="n">
        <v>0</v>
      </c>
      <c r="AU198" s="2072" t="n"/>
      <c r="AV198" s="2072" t="n"/>
      <c r="AW198" s="2072" t="n"/>
      <c r="AX198" s="2072" t="n"/>
      <c r="AY198" s="2088" t="n">
        <v>0</v>
      </c>
      <c r="AZ198" s="2072" t="n"/>
      <c r="BA198" s="2072" t="n"/>
      <c r="BB198" s="2072" t="n"/>
      <c r="BC198" s="2072" t="n"/>
      <c r="BD198" s="2088" t="n">
        <v>0</v>
      </c>
      <c r="BE198" s="2072" t="n"/>
      <c r="BF198" s="2072" t="n"/>
      <c r="BG198" s="2072" t="n"/>
      <c r="BH198" s="2072" t="n"/>
      <c r="BI198" s="2102" t="n"/>
      <c r="BJ198" s="2072" t="n"/>
      <c r="BK198" s="2072" t="n"/>
      <c r="BL198" s="2072" t="n"/>
      <c r="BM198" s="2072" t="n"/>
      <c r="BN198" s="2102" t="n"/>
      <c r="BO198" s="2072" t="n"/>
      <c r="BP198" s="2072" t="n"/>
      <c r="BQ198" s="2073" t="n"/>
      <c r="BR198" s="2089" t="n"/>
      <c r="BS198" s="2090" t="n"/>
      <c r="BT198" s="2089" t="n"/>
      <c r="BU198" s="2089" t="n"/>
      <c r="BV198" s="2089" t="n"/>
      <c r="BW198" s="2089" t="n"/>
      <c r="BX198" s="2090" t="n"/>
      <c r="BY198" s="2090" t="n"/>
      <c r="BZ198" s="2090" t="n"/>
      <c r="CA198" s="2090" t="n"/>
      <c r="CB198" s="2085" t="n"/>
    </row>
    <row r="199" hidden="1" outlineLevel="1" ht="14.4" customFormat="1" customHeight="1" s="2082">
      <c r="A199" s="1595" t="inlineStr">
        <is>
          <t>Director 10 all other comp, 000s</t>
        </is>
      </c>
      <c r="B199" s="2091" t="n"/>
      <c r="C199" s="2092" t="n"/>
      <c r="D199" s="2092" t="n"/>
      <c r="E199" s="2092" t="n"/>
      <c r="F199" s="2092" t="n"/>
      <c r="G199" s="2093" t="n"/>
      <c r="H199" s="2093" t="n"/>
      <c r="I199" s="2093" t="n"/>
      <c r="J199" s="2093" t="n"/>
      <c r="K199" s="2092" t="n"/>
      <c r="L199" s="2093" t="n"/>
      <c r="M199" s="2093" t="n"/>
      <c r="N199" s="2093" t="n"/>
      <c r="O199" s="2093" t="n"/>
      <c r="P199" s="2092" t="n"/>
      <c r="Q199" s="2093" t="n"/>
      <c r="R199" s="2093" t="n"/>
      <c r="S199" s="2093" t="n"/>
      <c r="T199" s="2093" t="n"/>
      <c r="U199" s="2092" t="n"/>
      <c r="V199" s="2093" t="n"/>
      <c r="W199" s="2093" t="n"/>
      <c r="X199" s="2093" t="n"/>
      <c r="Y199" s="2093" t="n"/>
      <c r="Z199" s="2092" t="n"/>
      <c r="AA199" s="2093" t="n"/>
      <c r="AB199" s="2093" t="n"/>
      <c r="AC199" s="2093" t="n"/>
      <c r="AD199" s="2093" t="n"/>
      <c r="AE199" s="2092" t="n"/>
      <c r="AF199" s="2093" t="n"/>
      <c r="AG199" s="2093" t="n"/>
      <c r="AH199" s="2093" t="n"/>
      <c r="AI199" s="2093" t="n"/>
      <c r="AJ199" s="2092" t="n"/>
      <c r="AK199" s="2093" t="n"/>
      <c r="AL199" s="2093" t="n"/>
      <c r="AM199" s="2093" t="n"/>
      <c r="AN199" s="2093" t="n"/>
      <c r="AO199" s="2092" t="n"/>
      <c r="AP199" s="2093" t="n"/>
      <c r="AQ199" s="2093" t="n"/>
      <c r="AR199" s="2093" t="n"/>
      <c r="AS199" s="2093" t="n"/>
      <c r="AT199" s="2094" t="n">
        <v>0</v>
      </c>
      <c r="AU199" s="2093" t="n"/>
      <c r="AV199" s="2093" t="n"/>
      <c r="AW199" s="2093" t="n"/>
      <c r="AX199" s="2093" t="n"/>
      <c r="AY199" s="2104" t="n"/>
      <c r="AZ199" s="2093" t="n"/>
      <c r="BA199" s="2093" t="n"/>
      <c r="BB199" s="2093" t="n"/>
      <c r="BC199" s="2093" t="n"/>
      <c r="BD199" s="2104" t="n"/>
      <c r="BE199" s="2093" t="n"/>
      <c r="BF199" s="2093" t="n"/>
      <c r="BG199" s="2093" t="n"/>
      <c r="BH199" s="2093" t="n"/>
      <c r="BI199" s="2149" t="n">
        <v>427.143</v>
      </c>
      <c r="BJ199" s="2093" t="n"/>
      <c r="BK199" s="2093" t="n"/>
      <c r="BL199" s="2093" t="n"/>
      <c r="BM199" s="2093" t="n"/>
      <c r="BN199" s="2092" t="n"/>
      <c r="BO199" s="2093" t="n"/>
      <c r="BP199" s="2093" t="n"/>
      <c r="BQ199" s="2095" t="n"/>
      <c r="BR199" s="2096" t="n"/>
      <c r="BS199" s="2097" t="n"/>
      <c r="BT199" s="2096" t="n"/>
      <c r="BU199" s="2096" t="n"/>
      <c r="BV199" s="2096" t="n"/>
      <c r="BW199" s="2096" t="n"/>
      <c r="BX199" s="2097" t="n"/>
      <c r="BY199" s="2097" t="n"/>
      <c r="BZ199" s="2097" t="n"/>
      <c r="CA199" s="2097" t="n"/>
      <c r="CB199" s="2085" t="n"/>
    </row>
    <row r="200" collapsed="1" ht="14.4" customFormat="1" customHeight="1" s="2082">
      <c r="A200" s="1607" t="inlineStr">
        <is>
          <t>Total director all other comp, 000s</t>
        </is>
      </c>
      <c r="B200" s="2091" t="n"/>
      <c r="C200" s="2092" t="n"/>
      <c r="D200" s="2092" t="n"/>
      <c r="E200" s="2092" t="n"/>
      <c r="F200" s="2092" t="n"/>
      <c r="G200" s="2093" t="n"/>
      <c r="H200" s="2093" t="n"/>
      <c r="I200" s="2093" t="n"/>
      <c r="J200" s="2093" t="n"/>
      <c r="K200" s="2092" t="n"/>
      <c r="L200" s="2093" t="n"/>
      <c r="M200" s="2093" t="n"/>
      <c r="N200" s="2093" t="n"/>
      <c r="O200" s="2093" t="n"/>
      <c r="P200" s="2092" t="n"/>
      <c r="Q200" s="2093" t="n"/>
      <c r="R200" s="2093" t="n"/>
      <c r="S200" s="2093" t="n"/>
      <c r="T200" s="2093" t="n"/>
      <c r="U200" s="2092" t="n"/>
      <c r="V200" s="2093" t="n"/>
      <c r="W200" s="2093" t="n"/>
      <c r="X200" s="2093" t="n"/>
      <c r="Y200" s="2093" t="n"/>
      <c r="Z200" s="2092" t="n"/>
      <c r="AA200" s="2093" t="n"/>
      <c r="AB200" s="2093" t="n"/>
      <c r="AC200" s="2093" t="n"/>
      <c r="AD200" s="2093" t="n"/>
      <c r="AE200" s="2092" t="n"/>
      <c r="AF200" s="2093" t="n"/>
      <c r="AG200" s="2093" t="n"/>
      <c r="AH200" s="2093" t="n"/>
      <c r="AI200" s="2093" t="n"/>
      <c r="AJ200" s="2092" t="n"/>
      <c r="AK200" s="2093" t="n"/>
      <c r="AL200" s="2093" t="n"/>
      <c r="AM200" s="2093" t="n"/>
      <c r="AN200" s="2093" t="n"/>
      <c r="AO200" s="2092" t="n"/>
      <c r="AP200" s="2093" t="n"/>
      <c r="AQ200" s="2093" t="n"/>
      <c r="AR200" s="2093" t="n"/>
      <c r="AS200" s="2093" t="n"/>
      <c r="AT200" s="2104">
        <f>SUM(AT190:AT199)</f>
        <v/>
      </c>
      <c r="AU200" s="2093" t="n"/>
      <c r="AV200" s="2093" t="n"/>
      <c r="AW200" s="2093" t="n"/>
      <c r="AX200" s="2093" t="n"/>
      <c r="AY200" s="2104">
        <f>SUM(AY190:AY199)</f>
        <v/>
      </c>
      <c r="AZ200" s="2093" t="n"/>
      <c r="BA200" s="2093" t="n"/>
      <c r="BB200" s="2093" t="n"/>
      <c r="BC200" s="2093" t="n"/>
      <c r="BD200" s="2104">
        <f>SUM(BD190:BD199)</f>
        <v/>
      </c>
      <c r="BE200" s="2093" t="n"/>
      <c r="BF200" s="2093" t="n"/>
      <c r="BG200" s="2093" t="n"/>
      <c r="BH200" s="2093" t="n"/>
      <c r="BI200" s="2104">
        <f>SUM(BI190:BI199)</f>
        <v/>
      </c>
      <c r="BJ200" s="2093" t="n"/>
      <c r="BK200" s="2093" t="n"/>
      <c r="BL200" s="2093" t="n"/>
      <c r="BM200" s="2093" t="n"/>
      <c r="BN200" s="2104" t="n"/>
      <c r="BO200" s="2093" t="n"/>
      <c r="BP200" s="2093" t="n"/>
      <c r="BQ200" s="2095" t="n"/>
      <c r="BR200" s="2096" t="n"/>
      <c r="BS200" s="2097" t="n"/>
      <c r="BT200" s="2096" t="n"/>
      <c r="BU200" s="2096" t="n"/>
      <c r="BV200" s="2096" t="n"/>
      <c r="BW200" s="2096" t="n"/>
      <c r="BX200" s="2097" t="n"/>
      <c r="BY200" s="2097" t="n"/>
      <c r="BZ200" s="2097" t="n"/>
      <c r="CA200" s="2097" t="n"/>
      <c r="CB200" s="2085" t="n"/>
    </row>
    <row r="201" ht="14.4" customFormat="1" customHeight="1" s="2082">
      <c r="A201" s="1596" t="inlineStr">
        <is>
          <t>Total director compensation, 000s</t>
        </is>
      </c>
      <c r="B201" s="2098" t="n"/>
      <c r="C201" s="2090" t="n"/>
      <c r="D201" s="2090" t="n"/>
      <c r="E201" s="2090" t="n"/>
      <c r="F201" s="2090" t="n"/>
      <c r="G201" s="2089" t="n"/>
      <c r="H201" s="2089" t="n"/>
      <c r="I201" s="2089" t="n"/>
      <c r="J201" s="2089" t="n"/>
      <c r="K201" s="2090" t="n"/>
      <c r="L201" s="2089" t="n"/>
      <c r="M201" s="2089" t="n"/>
      <c r="N201" s="2089" t="n"/>
      <c r="O201" s="2089" t="n"/>
      <c r="P201" s="2090" t="n"/>
      <c r="Q201" s="2089" t="n"/>
      <c r="R201" s="2089" t="n"/>
      <c r="S201" s="2089" t="n"/>
      <c r="T201" s="2089" t="n"/>
      <c r="U201" s="2090" t="n"/>
      <c r="V201" s="2089" t="n"/>
      <c r="W201" s="2089" t="n"/>
      <c r="X201" s="2089" t="n"/>
      <c r="Y201" s="2089" t="n"/>
      <c r="Z201" s="2090" t="n"/>
      <c r="AA201" s="2089" t="n"/>
      <c r="AB201" s="2089" t="n"/>
      <c r="AC201" s="2089" t="n"/>
      <c r="AD201" s="2089" t="n"/>
      <c r="AE201" s="2090" t="n"/>
      <c r="AF201" s="2089" t="n"/>
      <c r="AG201" s="2089" t="n"/>
      <c r="AH201" s="2089" t="n"/>
      <c r="AI201" s="2089" t="n"/>
      <c r="AJ201" s="2090" t="n"/>
      <c r="AK201" s="2089" t="n"/>
      <c r="AL201" s="2089" t="n"/>
      <c r="AM201" s="2089" t="n"/>
      <c r="AN201" s="2089" t="n"/>
      <c r="AO201" s="2090" t="n"/>
      <c r="AP201" s="2089" t="n"/>
      <c r="AQ201" s="2089" t="n"/>
      <c r="AR201" s="2089" t="n"/>
      <c r="AS201" s="2089" t="n"/>
      <c r="AT201" s="2099">
        <f>AT178+AT189+AT200</f>
        <v/>
      </c>
      <c r="AU201" s="2089" t="n"/>
      <c r="AV201" s="2089" t="n"/>
      <c r="AW201" s="2089" t="n"/>
      <c r="AX201" s="2089" t="n"/>
      <c r="AY201" s="2099">
        <f>AY178+AY189+AY200</f>
        <v/>
      </c>
      <c r="AZ201" s="2089" t="n"/>
      <c r="BA201" s="2089" t="n"/>
      <c r="BB201" s="2089" t="n"/>
      <c r="BC201" s="2089" t="n"/>
      <c r="BD201" s="2099">
        <f>BD178+BD189+BD200</f>
        <v/>
      </c>
      <c r="BE201" s="2089" t="n"/>
      <c r="BF201" s="2089" t="n"/>
      <c r="BG201" s="2089" t="n"/>
      <c r="BH201" s="2089" t="n"/>
      <c r="BI201" s="2099">
        <f>BI178+BI189+BI200</f>
        <v/>
      </c>
      <c r="BJ201" s="2089" t="n"/>
      <c r="BK201" s="2089" t="n"/>
      <c r="BL201" s="2089" t="n"/>
      <c r="BM201" s="2089" t="n"/>
      <c r="BN201" s="2099" t="n"/>
      <c r="BO201" s="2089" t="n"/>
      <c r="BP201" s="2089" t="n"/>
      <c r="BQ201" s="2100" t="n"/>
      <c r="BR201" s="2089" t="n"/>
      <c r="BS201" s="2090" t="n"/>
      <c r="BT201" s="2089" t="n"/>
      <c r="BU201" s="2089" t="n"/>
      <c r="BV201" s="2089" t="n"/>
      <c r="BW201" s="2089" t="n"/>
      <c r="BX201" s="2090" t="n"/>
      <c r="BY201" s="2090" t="n"/>
      <c r="BZ201" s="2090" t="n"/>
      <c r="CA201" s="2090" t="n"/>
      <c r="CB201" s="2085" t="n"/>
    </row>
    <row r="202" ht="14.4" customFormat="1" customHeight="1" s="2101">
      <c r="A202" s="1593" t="inlineStr">
        <is>
          <t>Market Cap - EoP, mm</t>
        </is>
      </c>
      <c r="B202" s="2086" t="n"/>
      <c r="C202" s="2087" t="n"/>
      <c r="D202" s="2087" t="n"/>
      <c r="E202" s="2087" t="n"/>
      <c r="F202" s="2087" t="n"/>
      <c r="G202" s="2072" t="n"/>
      <c r="H202" s="2072" t="n"/>
      <c r="I202" s="2072" t="n"/>
      <c r="J202" s="2072" t="n"/>
      <c r="K202" s="2087" t="n"/>
      <c r="L202" s="2072" t="n"/>
      <c r="M202" s="2072" t="n"/>
      <c r="N202" s="2072" t="n"/>
      <c r="O202" s="2072" t="n"/>
      <c r="P202" s="2087" t="n"/>
      <c r="Q202" s="2072" t="n"/>
      <c r="R202" s="2072" t="n"/>
      <c r="S202" s="2072" t="n"/>
      <c r="T202" s="2072" t="n"/>
      <c r="U202" s="2087" t="n"/>
      <c r="V202" s="2072" t="n"/>
      <c r="W202" s="2072" t="n"/>
      <c r="X202" s="2072" t="n"/>
      <c r="Y202" s="2072" t="n"/>
      <c r="Z202" s="2087" t="n"/>
      <c r="AA202" s="2072" t="n"/>
      <c r="AB202" s="2072" t="n"/>
      <c r="AC202" s="2072" t="n"/>
      <c r="AD202" s="2072" t="n"/>
      <c r="AE202" s="2087" t="n"/>
      <c r="AF202" s="2072" t="n"/>
      <c r="AG202" s="2072" t="n"/>
      <c r="AH202" s="2072" t="n"/>
      <c r="AI202" s="2072" t="n"/>
      <c r="AJ202" s="2087" t="n"/>
      <c r="AK202" s="2072" t="n"/>
      <c r="AL202" s="2072" t="n"/>
      <c r="AM202" s="2072" t="n"/>
      <c r="AN202" s="2072" t="n"/>
      <c r="AO202" s="2087" t="n"/>
      <c r="AP202" s="2072" t="n"/>
      <c r="AQ202" s="2072" t="n"/>
      <c r="AR202" s="2072" t="n"/>
      <c r="AS202" s="2072" t="n"/>
      <c r="AT202" s="2087">
        <f>AT27</f>
        <v/>
      </c>
      <c r="AU202" s="2072">
        <f>AU27</f>
        <v/>
      </c>
      <c r="AV202" s="2072">
        <f>AV27</f>
        <v/>
      </c>
      <c r="AW202" s="2072">
        <f>AW27</f>
        <v/>
      </c>
      <c r="AX202" s="2072">
        <f>AX27</f>
        <v/>
      </c>
      <c r="AY202" s="2087">
        <f>AY27</f>
        <v/>
      </c>
      <c r="AZ202" s="2072">
        <f>AZ27</f>
        <v/>
      </c>
      <c r="BA202" s="2072">
        <f>BA27</f>
        <v/>
      </c>
      <c r="BB202" s="2072">
        <f>BB27</f>
        <v/>
      </c>
      <c r="BC202" s="2072">
        <f>BC27</f>
        <v/>
      </c>
      <c r="BD202" s="2087">
        <f>BD27</f>
        <v/>
      </c>
      <c r="BE202" s="2072">
        <f>BE27</f>
        <v/>
      </c>
      <c r="BF202" s="2072">
        <f>BF27</f>
        <v/>
      </c>
      <c r="BG202" s="2072">
        <f>BG27</f>
        <v/>
      </c>
      <c r="BH202" s="2072">
        <f>BH27</f>
        <v/>
      </c>
      <c r="BI202" s="2087">
        <f>BI27</f>
        <v/>
      </c>
      <c r="BJ202" s="2072">
        <f>BJ27</f>
        <v/>
      </c>
      <c r="BK202" s="2072">
        <f>BK27</f>
        <v/>
      </c>
      <c r="BL202" s="2072">
        <f>BL27</f>
        <v/>
      </c>
      <c r="BM202" s="2072">
        <f>BM27</f>
        <v/>
      </c>
      <c r="BN202" s="2087">
        <f>BN27</f>
        <v/>
      </c>
      <c r="BO202" s="2072">
        <f>BO27</f>
        <v/>
      </c>
      <c r="BP202" s="2072">
        <f>BP27</f>
        <v/>
      </c>
      <c r="BQ202" s="2073">
        <f>BQ27</f>
        <v/>
      </c>
      <c r="BR202" s="2072" t="n"/>
      <c r="BS202" s="2087" t="n"/>
      <c r="BT202" s="2072" t="n"/>
      <c r="BU202" s="2072" t="n"/>
      <c r="BV202" s="2072" t="n"/>
      <c r="BW202" s="2072" t="n"/>
      <c r="BX202" s="2087" t="n"/>
      <c r="BY202" s="2087" t="n"/>
      <c r="BZ202" s="2087" t="n"/>
      <c r="CA202" s="2087" t="n"/>
      <c r="CB202" s="2103" t="n"/>
    </row>
    <row r="203" ht="14.4" customFormat="1" customHeight="1" s="2082">
      <c r="A203" s="1596" t="n"/>
      <c r="B203" s="2098" t="n"/>
      <c r="C203" s="2090" t="n"/>
      <c r="D203" s="2090" t="n"/>
      <c r="E203" s="2090" t="n"/>
      <c r="F203" s="2090" t="n"/>
      <c r="G203" s="2089" t="n"/>
      <c r="H203" s="2089" t="n"/>
      <c r="I203" s="2089" t="n"/>
      <c r="J203" s="2089" t="n"/>
      <c r="K203" s="2090" t="n"/>
      <c r="L203" s="2089" t="n"/>
      <c r="M203" s="2089" t="n"/>
      <c r="N203" s="2089" t="n"/>
      <c r="O203" s="2089" t="n"/>
      <c r="P203" s="2090" t="n"/>
      <c r="Q203" s="2089" t="n"/>
      <c r="R203" s="2089" t="n"/>
      <c r="S203" s="2089" t="n"/>
      <c r="T203" s="2089" t="n"/>
      <c r="U203" s="2090" t="n"/>
      <c r="V203" s="2089" t="n"/>
      <c r="W203" s="2089" t="n"/>
      <c r="X203" s="2089" t="n"/>
      <c r="Y203" s="2089" t="n"/>
      <c r="Z203" s="2090" t="n"/>
      <c r="AA203" s="2089" t="n"/>
      <c r="AB203" s="2089" t="n"/>
      <c r="AC203" s="2089" t="n"/>
      <c r="AD203" s="2089" t="n"/>
      <c r="AE203" s="2090" t="n"/>
      <c r="AF203" s="2089" t="n"/>
      <c r="AG203" s="2089" t="n"/>
      <c r="AH203" s="2089" t="n"/>
      <c r="AI203" s="2089" t="n"/>
      <c r="AJ203" s="2090" t="n"/>
      <c r="AK203" s="2089" t="n"/>
      <c r="AL203" s="2089" t="n"/>
      <c r="AM203" s="2089" t="n"/>
      <c r="AN203" s="2089" t="n"/>
      <c r="AO203" s="2090" t="n"/>
      <c r="AP203" s="2089" t="n"/>
      <c r="AQ203" s="2089" t="n"/>
      <c r="AR203" s="2089" t="n"/>
      <c r="AS203" s="2089" t="n"/>
      <c r="AT203" s="2090" t="n"/>
      <c r="AU203" s="2089" t="n"/>
      <c r="AV203" s="2089" t="n"/>
      <c r="AW203" s="2089" t="n"/>
      <c r="AX203" s="2089" t="n"/>
      <c r="AY203" s="2090" t="n"/>
      <c r="AZ203" s="2089" t="n"/>
      <c r="BA203" s="2089" t="n"/>
      <c r="BB203" s="2089" t="n"/>
      <c r="BC203" s="2089" t="n"/>
      <c r="BD203" s="2090" t="n"/>
      <c r="BE203" s="2089" t="n"/>
      <c r="BF203" s="2089" t="n"/>
      <c r="BG203" s="2089" t="n"/>
      <c r="BH203" s="2089" t="n"/>
      <c r="BI203" s="2090" t="n"/>
      <c r="BJ203" s="2089" t="n"/>
      <c r="BK203" s="2089" t="n"/>
      <c r="BL203" s="2089" t="n"/>
      <c r="BM203" s="2089" t="n"/>
      <c r="BN203" s="2090" t="n"/>
      <c r="BO203" s="2089" t="n"/>
      <c r="BP203" s="2089" t="n"/>
      <c r="BQ203" s="2100" t="n"/>
      <c r="BR203" s="2089" t="n"/>
      <c r="BS203" s="2090" t="n"/>
      <c r="BT203" s="2089" t="n"/>
      <c r="BU203" s="2089" t="n"/>
      <c r="BV203" s="2089" t="n"/>
      <c r="BW203" s="2089" t="n"/>
      <c r="BX203" s="2090" t="n"/>
      <c r="BY203" s="2090" t="n"/>
      <c r="BZ203" s="2090" t="n"/>
      <c r="CA203" s="2090" t="n"/>
      <c r="CB203" s="2085" t="n"/>
    </row>
    <row r="204" ht="14.4" customFormat="1" customHeight="1" s="2082">
      <c r="A204" s="2083" t="inlineStr">
        <is>
          <t>Other Alignment Data Points</t>
        </is>
      </c>
      <c r="B204" s="2083" t="n"/>
      <c r="C204" s="2083" t="n"/>
      <c r="D204" s="2083" t="n"/>
      <c r="E204" s="2083" t="n"/>
      <c r="F204" s="2083" t="n"/>
      <c r="G204" s="2083" t="n"/>
      <c r="H204" s="2083" t="n"/>
      <c r="I204" s="2083" t="n"/>
      <c r="J204" s="2083" t="n"/>
      <c r="K204" s="2083" t="n"/>
      <c r="L204" s="2083" t="n"/>
      <c r="M204" s="2083" t="n"/>
      <c r="N204" s="2083" t="n"/>
      <c r="O204" s="2083" t="n"/>
      <c r="P204" s="2083" t="n"/>
      <c r="Q204" s="2083" t="n"/>
      <c r="R204" s="2083" t="n"/>
      <c r="S204" s="2083" t="n"/>
      <c r="T204" s="2083" t="n"/>
      <c r="U204" s="2083" t="n"/>
      <c r="V204" s="2083" t="n"/>
      <c r="W204" s="2083" t="n"/>
      <c r="X204" s="2083" t="n"/>
      <c r="Y204" s="2083" t="n"/>
      <c r="Z204" s="2083" t="n"/>
      <c r="AA204" s="2083" t="n"/>
      <c r="AB204" s="2083" t="n"/>
      <c r="AC204" s="2083" t="n"/>
      <c r="AD204" s="2083" t="n"/>
      <c r="AE204" s="2083" t="n"/>
      <c r="AF204" s="2083" t="n"/>
      <c r="AG204" s="2083" t="n"/>
      <c r="AH204" s="2083" t="n"/>
      <c r="AI204" s="2083" t="n"/>
      <c r="AJ204" s="2083" t="n"/>
      <c r="AK204" s="2083" t="n"/>
      <c r="AL204" s="2083" t="n"/>
      <c r="AM204" s="2083" t="n"/>
      <c r="AN204" s="2083" t="n"/>
      <c r="AO204" s="2083" t="n"/>
      <c r="AP204" s="2083" t="n"/>
      <c r="AQ204" s="2083" t="n"/>
      <c r="AR204" s="2083" t="n"/>
      <c r="AS204" s="2083" t="n"/>
      <c r="AT204" s="2083" t="n"/>
      <c r="AU204" s="2083" t="n"/>
      <c r="AV204" s="2083" t="n"/>
      <c r="AW204" s="2083" t="n"/>
      <c r="AX204" s="2083" t="n"/>
      <c r="AY204" s="2083" t="n"/>
      <c r="AZ204" s="2083" t="n"/>
      <c r="BA204" s="2083" t="n"/>
      <c r="BB204" s="2083" t="n"/>
      <c r="BC204" s="2083" t="n"/>
      <c r="BD204" s="2083" t="n"/>
      <c r="BE204" s="2083" t="n"/>
      <c r="BF204" s="2083" t="n"/>
      <c r="BG204" s="2083" t="n"/>
      <c r="BH204" s="2083" t="n"/>
      <c r="BI204" s="2083" t="n"/>
      <c r="BJ204" s="2083" t="n"/>
      <c r="BK204" s="2083" t="n"/>
      <c r="BL204" s="2083" t="n"/>
      <c r="BM204" s="2083" t="n"/>
      <c r="BN204" s="2083" t="n"/>
      <c r="BO204" s="2083" t="n"/>
      <c r="BP204" s="2083" t="n"/>
      <c r="BQ204" s="2084" t="n"/>
      <c r="BR204" s="2083" t="n"/>
      <c r="BS204" s="2083" t="n"/>
      <c r="BT204" s="2083" t="n"/>
      <c r="BU204" s="2083" t="n"/>
      <c r="BV204" s="2083" t="n"/>
      <c r="BW204" s="2083" t="n"/>
      <c r="BX204" s="2083" t="n"/>
      <c r="BY204" s="2083" t="n"/>
      <c r="BZ204" s="2083" t="n"/>
      <c r="CA204" s="2083" t="n"/>
      <c r="CB204" s="2085" t="n"/>
    </row>
    <row r="205" ht="14.4" customFormat="1" customHeight="1" s="2150">
      <c r="A205" s="2151" t="inlineStr">
        <is>
          <t>CEO - Stock Ownership Guidelines times base salary, x</t>
        </is>
      </c>
      <c r="B205" s="2152" t="n"/>
      <c r="C205" s="2153" t="n"/>
      <c r="D205" s="2153" t="n"/>
      <c r="E205" s="2153" t="n"/>
      <c r="F205" s="2153" t="n"/>
      <c r="G205" s="2154" t="n"/>
      <c r="H205" s="2154" t="n"/>
      <c r="I205" s="2154" t="n"/>
      <c r="J205" s="2154" t="n"/>
      <c r="K205" s="2153" t="n"/>
      <c r="L205" s="2154" t="n"/>
      <c r="M205" s="2154" t="n"/>
      <c r="N205" s="2154" t="n"/>
      <c r="O205" s="2154" t="n"/>
      <c r="P205" s="2153" t="n"/>
      <c r="Q205" s="2154" t="n"/>
      <c r="R205" s="2154" t="n"/>
      <c r="S205" s="2154" t="n"/>
      <c r="T205" s="2154" t="n"/>
      <c r="U205" s="2153" t="n"/>
      <c r="V205" s="2154" t="n"/>
      <c r="W205" s="2154" t="n"/>
      <c r="X205" s="2154" t="n"/>
      <c r="Y205" s="2154" t="n"/>
      <c r="Z205" s="2153" t="n"/>
      <c r="AA205" s="2154" t="n"/>
      <c r="AB205" s="2154" t="n"/>
      <c r="AC205" s="2154" t="n"/>
      <c r="AD205" s="2154" t="n"/>
      <c r="AE205" s="2153" t="n"/>
      <c r="AF205" s="2154" t="n"/>
      <c r="AG205" s="2154" t="n"/>
      <c r="AH205" s="2154" t="n"/>
      <c r="AI205" s="2154" t="n"/>
      <c r="AJ205" s="2153" t="n"/>
      <c r="AK205" s="2154" t="n"/>
      <c r="AL205" s="2154" t="n"/>
      <c r="AM205" s="2154" t="n"/>
      <c r="AN205" s="2154" t="n"/>
      <c r="AO205" s="2153" t="n"/>
      <c r="AP205" s="2154" t="n"/>
      <c r="AQ205" s="2154" t="n"/>
      <c r="AR205" s="2154" t="n"/>
      <c r="AS205" s="2154" t="n"/>
      <c r="AT205" s="2155" t="n">
        <v>3</v>
      </c>
      <c r="AU205" s="2154" t="n"/>
      <c r="AV205" s="2154" t="n"/>
      <c r="AW205" s="2154" t="n"/>
      <c r="AX205" s="2154" t="n"/>
      <c r="AY205" s="2155" t="n">
        <v>3</v>
      </c>
      <c r="AZ205" s="2154" t="n"/>
      <c r="BA205" s="2154" t="n"/>
      <c r="BB205" s="2154" t="n"/>
      <c r="BC205" s="2154" t="n"/>
      <c r="BD205" s="2155" t="n">
        <v>3</v>
      </c>
      <c r="BE205" s="2154" t="n"/>
      <c r="BF205" s="2154" t="n"/>
      <c r="BG205" s="2154" t="n"/>
      <c r="BH205" s="2154" t="n"/>
      <c r="BI205" s="2155" t="n">
        <v>3</v>
      </c>
      <c r="BJ205" s="2154" t="n"/>
      <c r="BK205" s="2154" t="n"/>
      <c r="BL205" s="2154" t="n"/>
      <c r="BM205" s="2154" t="n"/>
      <c r="BN205" s="2153" t="n"/>
      <c r="BO205" s="2154" t="n"/>
      <c r="BP205" s="2154" t="n"/>
      <c r="BQ205" s="2156" t="n"/>
      <c r="BR205" s="2157" t="n"/>
      <c r="BS205" s="2158" t="n"/>
      <c r="BT205" s="2157" t="n"/>
      <c r="BU205" s="2157" t="n"/>
      <c r="BV205" s="2157" t="n"/>
      <c r="BW205" s="2157" t="n"/>
      <c r="BX205" s="2158" t="n"/>
      <c r="BY205" s="2158" t="n"/>
      <c r="BZ205" s="2158" t="n"/>
      <c r="CA205" s="2158" t="n"/>
      <c r="CB205" s="2159" t="n"/>
    </row>
    <row r="206" ht="14.4" customFormat="1" customHeight="1" s="2150">
      <c r="A206" s="2151" t="inlineStr">
        <is>
          <t>Other Executive Officers reporting to CEO - Stock Ownership Guidelines, x</t>
        </is>
      </c>
      <c r="B206" s="2152" t="n"/>
      <c r="C206" s="2153" t="n"/>
      <c r="D206" s="2153" t="n"/>
      <c r="E206" s="2153" t="n"/>
      <c r="F206" s="2153" t="n"/>
      <c r="G206" s="2154" t="n"/>
      <c r="H206" s="2154" t="n"/>
      <c r="I206" s="2154" t="n"/>
      <c r="J206" s="2154" t="n"/>
      <c r="K206" s="2153" t="n"/>
      <c r="L206" s="2154" t="n"/>
      <c r="M206" s="2154" t="n"/>
      <c r="N206" s="2154" t="n"/>
      <c r="O206" s="2154" t="n"/>
      <c r="P206" s="2153" t="n"/>
      <c r="Q206" s="2154" t="n"/>
      <c r="R206" s="2154" t="n"/>
      <c r="S206" s="2154" t="n"/>
      <c r="T206" s="2154" t="n"/>
      <c r="U206" s="2153" t="n"/>
      <c r="V206" s="2154" t="n"/>
      <c r="W206" s="2154" t="n"/>
      <c r="X206" s="2154" t="n"/>
      <c r="Y206" s="2154" t="n"/>
      <c r="Z206" s="2153" t="n"/>
      <c r="AA206" s="2154" t="n"/>
      <c r="AB206" s="2154" t="n"/>
      <c r="AC206" s="2154" t="n"/>
      <c r="AD206" s="2154" t="n"/>
      <c r="AE206" s="2153" t="n"/>
      <c r="AF206" s="2154" t="n"/>
      <c r="AG206" s="2154" t="n"/>
      <c r="AH206" s="2154" t="n"/>
      <c r="AI206" s="2154" t="n"/>
      <c r="AJ206" s="2153" t="n"/>
      <c r="AK206" s="2154" t="n"/>
      <c r="AL206" s="2154" t="n"/>
      <c r="AM206" s="2154" t="n"/>
      <c r="AN206" s="2154" t="n"/>
      <c r="AO206" s="2153" t="n"/>
      <c r="AP206" s="2154" t="n"/>
      <c r="AQ206" s="2154" t="n"/>
      <c r="AR206" s="2154" t="n"/>
      <c r="AS206" s="2154" t="n"/>
      <c r="AT206" s="2155" t="n">
        <v>1</v>
      </c>
      <c r="AU206" s="2154" t="n"/>
      <c r="AV206" s="2154" t="n"/>
      <c r="AW206" s="2154" t="n"/>
      <c r="AX206" s="2154" t="n"/>
      <c r="AY206" s="2155" t="n">
        <v>1</v>
      </c>
      <c r="AZ206" s="2154" t="n"/>
      <c r="BA206" s="2154" t="n"/>
      <c r="BB206" s="2154" t="n"/>
      <c r="BC206" s="2154" t="n"/>
      <c r="BD206" s="2155" t="n">
        <v>1</v>
      </c>
      <c r="BE206" s="2154" t="n"/>
      <c r="BF206" s="2154" t="n"/>
      <c r="BG206" s="2154" t="n"/>
      <c r="BH206" s="2154" t="n"/>
      <c r="BI206" s="2155" t="n">
        <v>1</v>
      </c>
      <c r="BJ206" s="2154" t="n"/>
      <c r="BK206" s="2154" t="n"/>
      <c r="BL206" s="2154" t="n"/>
      <c r="BM206" s="2154" t="n"/>
      <c r="BN206" s="2153" t="n"/>
      <c r="BO206" s="2154" t="n"/>
      <c r="BP206" s="2154" t="n"/>
      <c r="BQ206" s="2156" t="n"/>
      <c r="BR206" s="2157" t="n"/>
      <c r="BS206" s="2158" t="n"/>
      <c r="BT206" s="2157" t="n"/>
      <c r="BU206" s="2157" t="n"/>
      <c r="BV206" s="2157" t="n"/>
      <c r="BW206" s="2157" t="n"/>
      <c r="BX206" s="2158" t="n"/>
      <c r="BY206" s="2158" t="n"/>
      <c r="BZ206" s="2158" t="n"/>
      <c r="CA206" s="2158" t="n"/>
      <c r="CB206" s="2159" t="n"/>
    </row>
    <row r="207" ht="14.4" customFormat="1" customHeight="1" s="2082">
      <c r="A207" s="1611" t="inlineStr">
        <is>
          <t>Directors - Stock Ownership Guidelines - shares equivalent value, 000s</t>
        </is>
      </c>
      <c r="B207" s="2086" t="n"/>
      <c r="C207" s="2087" t="n"/>
      <c r="D207" s="2087" t="n"/>
      <c r="E207" s="2087" t="n"/>
      <c r="F207" s="2087" t="n"/>
      <c r="G207" s="2072" t="n"/>
      <c r="H207" s="2072" t="n"/>
      <c r="I207" s="2072" t="n"/>
      <c r="J207" s="2072" t="n"/>
      <c r="K207" s="2087" t="n"/>
      <c r="L207" s="2072" t="n"/>
      <c r="M207" s="2072" t="n"/>
      <c r="N207" s="2072" t="n"/>
      <c r="O207" s="2072" t="n"/>
      <c r="P207" s="2087" t="n"/>
      <c r="Q207" s="2072" t="n"/>
      <c r="R207" s="2072" t="n"/>
      <c r="S207" s="2072" t="n"/>
      <c r="T207" s="2072" t="n"/>
      <c r="U207" s="2087" t="n"/>
      <c r="V207" s="2072" t="n"/>
      <c r="W207" s="2072" t="n"/>
      <c r="X207" s="2072" t="n"/>
      <c r="Y207" s="2072" t="n"/>
      <c r="Z207" s="2087" t="n"/>
      <c r="AA207" s="2072" t="n"/>
      <c r="AB207" s="2072" t="n"/>
      <c r="AC207" s="2072" t="n"/>
      <c r="AD207" s="2072" t="n"/>
      <c r="AE207" s="2087" t="n"/>
      <c r="AF207" s="2072" t="n"/>
      <c r="AG207" s="2072" t="n"/>
      <c r="AH207" s="2072" t="n"/>
      <c r="AI207" s="2072" t="n"/>
      <c r="AJ207" s="2087" t="n"/>
      <c r="AK207" s="2072" t="n"/>
      <c r="AL207" s="2072" t="n"/>
      <c r="AM207" s="2072" t="n"/>
      <c r="AN207" s="2072" t="n"/>
      <c r="AO207" s="2087" t="n"/>
      <c r="AP207" s="2072" t="n"/>
      <c r="AQ207" s="2072" t="n"/>
      <c r="AR207" s="2072" t="n"/>
      <c r="AS207" s="2072" t="n"/>
      <c r="AT207" s="2117" t="n">
        <v>320</v>
      </c>
      <c r="AU207" s="2072" t="n"/>
      <c r="AV207" s="2072" t="n"/>
      <c r="AW207" s="2072" t="n"/>
      <c r="AX207" s="2072" t="n"/>
      <c r="AY207" s="2117" t="n">
        <v>375</v>
      </c>
      <c r="AZ207" s="2072" t="n"/>
      <c r="BA207" s="2072" t="n"/>
      <c r="BB207" s="2072" t="n"/>
      <c r="BC207" s="2072" t="n"/>
      <c r="BD207" s="2117" t="n">
        <v>375</v>
      </c>
      <c r="BE207" s="2072" t="n"/>
      <c r="BF207" s="2072" t="n"/>
      <c r="BG207" s="2072" t="n"/>
      <c r="BH207" s="2072" t="n"/>
      <c r="BI207" s="2117" t="n">
        <v>375</v>
      </c>
      <c r="BJ207" s="2072" t="n"/>
      <c r="BK207" s="2072" t="n"/>
      <c r="BL207" s="2072" t="n"/>
      <c r="BM207" s="2072" t="n"/>
      <c r="BN207" s="2087" t="n"/>
      <c r="BO207" s="2072" t="n"/>
      <c r="BP207" s="2072" t="n"/>
      <c r="BQ207" s="2073" t="n"/>
      <c r="BR207" s="2089" t="n"/>
      <c r="BS207" s="2090" t="n"/>
      <c r="BT207" s="2089" t="n"/>
      <c r="BU207" s="2089" t="n"/>
      <c r="BV207" s="2089" t="n"/>
      <c r="BW207" s="2089" t="n"/>
      <c r="BX207" s="2090" t="n"/>
      <c r="BY207" s="2090" t="n"/>
      <c r="BZ207" s="2090" t="n"/>
      <c r="CA207" s="2090" t="n"/>
      <c r="CB207" s="2085" t="n"/>
    </row>
    <row r="208" ht="14.4" customFormat="1" customHeight="1" s="2082">
      <c r="A208" s="1596" t="n"/>
      <c r="B208" s="2098" t="n"/>
      <c r="C208" s="2090" t="n"/>
      <c r="D208" s="2090" t="n"/>
      <c r="E208" s="2090" t="n"/>
      <c r="F208" s="2090" t="n"/>
      <c r="G208" s="2089" t="n"/>
      <c r="H208" s="2089" t="n"/>
      <c r="I208" s="2089" t="n"/>
      <c r="J208" s="2089" t="n"/>
      <c r="K208" s="2090" t="n"/>
      <c r="L208" s="2089" t="n"/>
      <c r="M208" s="2089" t="n"/>
      <c r="N208" s="2089" t="n"/>
      <c r="O208" s="2089" t="n"/>
      <c r="P208" s="2090" t="n"/>
      <c r="Q208" s="2089" t="n"/>
      <c r="R208" s="2089" t="n"/>
      <c r="S208" s="2089" t="n"/>
      <c r="T208" s="2089" t="n"/>
      <c r="U208" s="2090" t="n"/>
      <c r="V208" s="2089" t="n"/>
      <c r="W208" s="2089" t="n"/>
      <c r="X208" s="2089" t="n"/>
      <c r="Y208" s="2089" t="n"/>
      <c r="Z208" s="2090" t="n"/>
      <c r="AA208" s="2089" t="n"/>
      <c r="AB208" s="2089" t="n"/>
      <c r="AC208" s="2089" t="n"/>
      <c r="AD208" s="2089" t="n"/>
      <c r="AE208" s="2090" t="n"/>
      <c r="AF208" s="2089" t="n"/>
      <c r="AG208" s="2089" t="n"/>
      <c r="AH208" s="2089" t="n"/>
      <c r="AI208" s="2089" t="n"/>
      <c r="AJ208" s="2090" t="n"/>
      <c r="AK208" s="2089" t="n"/>
      <c r="AL208" s="2089" t="n"/>
      <c r="AM208" s="2089" t="n"/>
      <c r="AN208" s="2089" t="n"/>
      <c r="AO208" s="2090" t="n"/>
      <c r="AP208" s="2089" t="n"/>
      <c r="AQ208" s="2089" t="n"/>
      <c r="AR208" s="2089" t="n"/>
      <c r="AS208" s="2089" t="n"/>
      <c r="AT208" s="2090" t="n"/>
      <c r="AU208" s="2089" t="n"/>
      <c r="AV208" s="2089" t="n"/>
      <c r="AW208" s="2089" t="n"/>
      <c r="AX208" s="2089" t="n"/>
      <c r="AY208" s="2090" t="n"/>
      <c r="AZ208" s="2089" t="n"/>
      <c r="BA208" s="2089" t="n"/>
      <c r="BB208" s="2089" t="n"/>
      <c r="BC208" s="2089" t="n"/>
      <c r="BD208" s="2090" t="n"/>
      <c r="BE208" s="2089" t="n"/>
      <c r="BF208" s="2089" t="n"/>
      <c r="BG208" s="2089" t="n"/>
      <c r="BH208" s="2089" t="n"/>
      <c r="BI208" s="2090" t="n"/>
      <c r="BJ208" s="2089" t="n"/>
      <c r="BK208" s="2089" t="n"/>
      <c r="BL208" s="2089" t="n"/>
      <c r="BM208" s="2089" t="n"/>
      <c r="BN208" s="2090" t="n"/>
      <c r="BO208" s="2089" t="n"/>
      <c r="BP208" s="2089" t="n"/>
      <c r="BQ208" s="2100" t="n"/>
      <c r="BR208" s="2089" t="n"/>
      <c r="BS208" s="2090" t="n"/>
      <c r="BT208" s="2089" t="n"/>
      <c r="BU208" s="2089" t="n"/>
      <c r="BV208" s="2089" t="n"/>
      <c r="BW208" s="2089" t="n"/>
      <c r="BX208" s="2090" t="n"/>
      <c r="BY208" s="2090" t="n"/>
      <c r="BZ208" s="2090" t="n"/>
      <c r="CA208" s="2090" t="n"/>
      <c r="CB208" s="2085" t="n"/>
    </row>
    <row r="209" ht="14.4" customFormat="1" customHeight="1" s="2082">
      <c r="A209" s="2083" t="inlineStr">
        <is>
          <t>Company Financial Goals</t>
        </is>
      </c>
      <c r="B209" s="2083" t="n"/>
      <c r="C209" s="2083" t="n"/>
      <c r="D209" s="2083" t="n"/>
      <c r="E209" s="2083" t="n"/>
      <c r="F209" s="2083" t="n"/>
      <c r="G209" s="2083" t="n"/>
      <c r="H209" s="2083" t="n"/>
      <c r="I209" s="2083" t="n"/>
      <c r="J209" s="2083" t="n"/>
      <c r="K209" s="2083" t="n"/>
      <c r="L209" s="2083" t="n"/>
      <c r="M209" s="2083" t="n"/>
      <c r="N209" s="2083" t="n"/>
      <c r="O209" s="2083" t="n"/>
      <c r="P209" s="2083" t="n"/>
      <c r="Q209" s="2083" t="n"/>
      <c r="R209" s="2083" t="n"/>
      <c r="S209" s="2083" t="n"/>
      <c r="T209" s="2083" t="n"/>
      <c r="U209" s="2083" t="n"/>
      <c r="V209" s="2083" t="n"/>
      <c r="W209" s="2083" t="n"/>
      <c r="X209" s="2083" t="n"/>
      <c r="Y209" s="2083" t="n"/>
      <c r="Z209" s="2083" t="n"/>
      <c r="AA209" s="2083" t="n"/>
      <c r="AB209" s="2083" t="n"/>
      <c r="AC209" s="2083" t="n"/>
      <c r="AD209" s="2083" t="n"/>
      <c r="AE209" s="2083" t="n"/>
      <c r="AF209" s="2083" t="n"/>
      <c r="AG209" s="2083" t="n"/>
      <c r="AH209" s="2083" t="n"/>
      <c r="AI209" s="2083" t="n"/>
      <c r="AJ209" s="2083" t="n"/>
      <c r="AK209" s="2083" t="n"/>
      <c r="AL209" s="2083" t="n"/>
      <c r="AM209" s="2083" t="n"/>
      <c r="AN209" s="2083" t="n"/>
      <c r="AO209" s="2083" t="n"/>
      <c r="AP209" s="2083" t="n"/>
      <c r="AQ209" s="2083" t="n"/>
      <c r="AR209" s="2083" t="n"/>
      <c r="AS209" s="2083" t="n"/>
      <c r="AT209" s="2083" t="n"/>
      <c r="AU209" s="2083" t="n"/>
      <c r="AV209" s="2083" t="n"/>
      <c r="AW209" s="2083" t="n"/>
      <c r="AX209" s="2083" t="n"/>
      <c r="AY209" s="2083" t="n"/>
      <c r="AZ209" s="2083" t="n"/>
      <c r="BA209" s="2083" t="n"/>
      <c r="BB209" s="2083" t="n"/>
      <c r="BC209" s="2083" t="n"/>
      <c r="BD209" s="2083" t="n"/>
      <c r="BE209" s="2083" t="n"/>
      <c r="BF209" s="2083" t="n"/>
      <c r="BG209" s="2083" t="n"/>
      <c r="BH209" s="2083" t="n"/>
      <c r="BI209" s="2083" t="n"/>
      <c r="BJ209" s="2083" t="n"/>
      <c r="BK209" s="2083" t="n"/>
      <c r="BL209" s="2083" t="n"/>
      <c r="BM209" s="2083" t="n"/>
      <c r="BN209" s="2083" t="n"/>
      <c r="BO209" s="2083" t="n"/>
      <c r="BP209" s="2083" t="n"/>
      <c r="BQ209" s="2084" t="n"/>
      <c r="BR209" s="2083" t="n"/>
      <c r="BS209" s="2083" t="n"/>
      <c r="BT209" s="2083" t="n"/>
      <c r="BU209" s="2083" t="n"/>
      <c r="BV209" s="2083" t="n"/>
      <c r="BW209" s="2083" t="n"/>
      <c r="BX209" s="2083" t="n"/>
      <c r="BY209" s="2083" t="n"/>
      <c r="BZ209" s="2083" t="n"/>
      <c r="CA209" s="2083" t="n"/>
      <c r="CB209" s="2085" t="n"/>
    </row>
    <row r="210" ht="14.4" customFormat="1" customHeight="1" s="2139">
      <c r="A210" s="2140" t="inlineStr">
        <is>
          <t>First Half Revenue goal, mm</t>
        </is>
      </c>
      <c r="B210" s="2141" t="n"/>
      <c r="C210" s="2142" t="n"/>
      <c r="D210" s="2142" t="n"/>
      <c r="E210" s="2142" t="n"/>
      <c r="F210" s="2142" t="n"/>
      <c r="G210" s="2143" t="n"/>
      <c r="H210" s="2143" t="n"/>
      <c r="I210" s="2143" t="n"/>
      <c r="J210" s="2143" t="n"/>
      <c r="K210" s="2142" t="n"/>
      <c r="L210" s="2143" t="n"/>
      <c r="M210" s="2143" t="n"/>
      <c r="N210" s="2143" t="n"/>
      <c r="O210" s="2143" t="n"/>
      <c r="P210" s="2142" t="n"/>
      <c r="Q210" s="2143" t="n"/>
      <c r="R210" s="2143" t="n"/>
      <c r="S210" s="2143" t="n"/>
      <c r="T210" s="2143" t="n"/>
      <c r="U210" s="2142" t="n"/>
      <c r="V210" s="2143" t="n"/>
      <c r="W210" s="2143" t="n"/>
      <c r="X210" s="2143" t="n"/>
      <c r="Y210" s="2143" t="n"/>
      <c r="Z210" s="2142" t="n"/>
      <c r="AA210" s="2143" t="n"/>
      <c r="AB210" s="2143" t="n"/>
      <c r="AC210" s="2143" t="n"/>
      <c r="AD210" s="2143" t="n"/>
      <c r="AE210" s="2142" t="n"/>
      <c r="AF210" s="2143" t="n"/>
      <c r="AG210" s="2143" t="n"/>
      <c r="AH210" s="2143" t="n"/>
      <c r="AI210" s="2143" t="n"/>
      <c r="AJ210" s="2142" t="n"/>
      <c r="AK210" s="2143" t="n"/>
      <c r="AL210" s="2143" t="n"/>
      <c r="AM210" s="2143" t="n"/>
      <c r="AN210" s="2143" t="n"/>
      <c r="AO210" s="2142" t="n"/>
      <c r="AP210" s="2143" t="n"/>
      <c r="AQ210" s="2143" t="n"/>
      <c r="AR210" s="2143" t="n"/>
      <c r="AS210" s="2143" t="n"/>
      <c r="AT210" s="2144" t="n">
        <v>1220</v>
      </c>
      <c r="AU210" s="2143" t="n"/>
      <c r="AV210" s="2143" t="n"/>
      <c r="AW210" s="2143" t="n"/>
      <c r="AX210" s="2143" t="n"/>
      <c r="AY210" s="2144" t="n">
        <v>1435</v>
      </c>
      <c r="AZ210" s="2143" t="n"/>
      <c r="BA210" s="2143" t="n"/>
      <c r="BB210" s="2143" t="n"/>
      <c r="BC210" s="2143" t="n"/>
      <c r="BD210" s="2144" t="n">
        <v>1675</v>
      </c>
      <c r="BE210" s="2143" t="n"/>
      <c r="BF210" s="2143" t="n"/>
      <c r="BG210" s="2143" t="n"/>
      <c r="BH210" s="2143" t="n"/>
      <c r="BI210" s="2144" t="n">
        <v>1990</v>
      </c>
      <c r="BJ210" s="2143" t="n"/>
      <c r="BK210" s="2143" t="n"/>
      <c r="BL210" s="2143" t="n"/>
      <c r="BM210" s="2143" t="n"/>
      <c r="BN210" s="2142" t="n"/>
      <c r="BO210" s="2143" t="n"/>
      <c r="BP210" s="2143" t="n"/>
      <c r="BQ210" s="2145" t="n"/>
      <c r="BR210" s="2146" t="n"/>
      <c r="BS210" s="2147" t="n"/>
      <c r="BT210" s="2146" t="n"/>
      <c r="BU210" s="2146" t="n"/>
      <c r="BV210" s="2146" t="n"/>
      <c r="BW210" s="2146" t="n"/>
      <c r="BX210" s="2147" t="n"/>
      <c r="BY210" s="2147" t="n"/>
      <c r="BZ210" s="2147" t="n"/>
      <c r="CA210" s="2147" t="n"/>
      <c r="CB210" s="2148" t="n"/>
    </row>
    <row r="211" ht="14.4" customFormat="1" customHeight="1" s="2139">
      <c r="A211" s="2140" t="inlineStr">
        <is>
          <t>First Half Revenue actual, mm</t>
        </is>
      </c>
      <c r="B211" s="2141" t="n"/>
      <c r="C211" s="2142" t="n"/>
      <c r="D211" s="2142" t="n"/>
      <c r="E211" s="2142" t="n"/>
      <c r="F211" s="2142" t="n"/>
      <c r="G211" s="2143" t="n"/>
      <c r="H211" s="2143" t="n"/>
      <c r="I211" s="2143" t="n"/>
      <c r="J211" s="2143" t="n"/>
      <c r="K211" s="2142" t="n"/>
      <c r="L211" s="2143" t="n"/>
      <c r="M211" s="2143" t="n"/>
      <c r="N211" s="2143" t="n"/>
      <c r="O211" s="2143" t="n"/>
      <c r="P211" s="2142" t="n"/>
      <c r="Q211" s="2143" t="n"/>
      <c r="R211" s="2143" t="n"/>
      <c r="S211" s="2143" t="n"/>
      <c r="T211" s="2143" t="n"/>
      <c r="U211" s="2142" t="n"/>
      <c r="V211" s="2143" t="n"/>
      <c r="W211" s="2143" t="n"/>
      <c r="X211" s="2143" t="n"/>
      <c r="Y211" s="2143" t="n"/>
      <c r="Z211" s="2142" t="n"/>
      <c r="AA211" s="2143" t="n"/>
      <c r="AB211" s="2143" t="n"/>
      <c r="AC211" s="2143" t="n"/>
      <c r="AD211" s="2143" t="n"/>
      <c r="AE211" s="2142" t="n"/>
      <c r="AF211" s="2143" t="n"/>
      <c r="AG211" s="2143" t="n"/>
      <c r="AH211" s="2143" t="n"/>
      <c r="AI211" s="2143" t="n"/>
      <c r="AJ211" s="2142" t="n"/>
      <c r="AK211" s="2143" t="n"/>
      <c r="AL211" s="2143" t="n"/>
      <c r="AM211" s="2143" t="n"/>
      <c r="AN211" s="2143" t="n"/>
      <c r="AO211" s="2142" t="n"/>
      <c r="AP211" s="2143" t="n"/>
      <c r="AQ211" s="2143" t="n"/>
      <c r="AR211" s="2143" t="n"/>
      <c r="AS211" s="2143" t="n"/>
      <c r="AT211" s="2144" t="n">
        <v>1256</v>
      </c>
      <c r="AU211" s="2143" t="n"/>
      <c r="AV211" s="2143" t="n"/>
      <c r="AW211" s="2143" t="n"/>
      <c r="AX211" s="2143" t="n"/>
      <c r="AY211" s="2144" t="n">
        <v>1464</v>
      </c>
      <c r="AZ211" s="2143" t="n"/>
      <c r="BA211" s="2143" t="n"/>
      <c r="BB211" s="2143" t="n"/>
      <c r="BC211" s="2143" t="n"/>
      <c r="BD211" s="2144" t="n">
        <v>1759</v>
      </c>
      <c r="BE211" s="2143" t="n"/>
      <c r="BF211" s="2143" t="n"/>
      <c r="BG211" s="2143" t="n"/>
      <c r="BH211" s="2143" t="n"/>
      <c r="BI211" s="2144" t="n">
        <v>1998</v>
      </c>
      <c r="BJ211" s="2143" t="n"/>
      <c r="BK211" s="2143" t="n"/>
      <c r="BL211" s="2143" t="n"/>
      <c r="BM211" s="2143" t="n"/>
      <c r="BN211" s="2142" t="n"/>
      <c r="BO211" s="2143" t="n"/>
      <c r="BP211" s="2143" t="n"/>
      <c r="BQ211" s="2145" t="n"/>
      <c r="BR211" s="2146" t="n"/>
      <c r="BS211" s="2147" t="n"/>
      <c r="BT211" s="2146" t="n"/>
      <c r="BU211" s="2146" t="n"/>
      <c r="BV211" s="2146" t="n"/>
      <c r="BW211" s="2146" t="n"/>
      <c r="BX211" s="2147" t="n"/>
      <c r="BY211" s="2147" t="n"/>
      <c r="BZ211" s="2147" t="n"/>
      <c r="CA211" s="2147" t="n"/>
      <c r="CB211" s="2148" t="n"/>
    </row>
    <row r="212" ht="14.4" customFormat="1" customHeight="1" s="2082">
      <c r="A212" s="1611" t="n"/>
      <c r="B212" s="2086" t="n"/>
      <c r="C212" s="2087" t="n"/>
      <c r="D212" s="2087" t="n"/>
      <c r="E212" s="2087" t="n"/>
      <c r="F212" s="2087" t="n"/>
      <c r="G212" s="2072" t="n"/>
      <c r="H212" s="2072" t="n"/>
      <c r="I212" s="2072" t="n"/>
      <c r="J212" s="2072" t="n"/>
      <c r="K212" s="2087" t="n"/>
      <c r="L212" s="2072" t="n"/>
      <c r="M212" s="2072" t="n"/>
      <c r="N212" s="2072" t="n"/>
      <c r="O212" s="2072" t="n"/>
      <c r="P212" s="2087" t="n"/>
      <c r="Q212" s="2072" t="n"/>
      <c r="R212" s="2072" t="n"/>
      <c r="S212" s="2072" t="n"/>
      <c r="T212" s="2072" t="n"/>
      <c r="U212" s="2087" t="n"/>
      <c r="V212" s="2072" t="n"/>
      <c r="W212" s="2072" t="n"/>
      <c r="X212" s="2072" t="n"/>
      <c r="Y212" s="2072" t="n"/>
      <c r="Z212" s="2087" t="n"/>
      <c r="AA212" s="2072" t="n"/>
      <c r="AB212" s="2072" t="n"/>
      <c r="AC212" s="2072" t="n"/>
      <c r="AD212" s="2072" t="n"/>
      <c r="AE212" s="2087" t="n"/>
      <c r="AF212" s="2072" t="n"/>
      <c r="AG212" s="2072" t="n"/>
      <c r="AH212" s="2072" t="n"/>
      <c r="AI212" s="2072" t="n"/>
      <c r="AJ212" s="2087" t="n"/>
      <c r="AK212" s="2072" t="n"/>
      <c r="AL212" s="2072" t="n"/>
      <c r="AM212" s="2072" t="n"/>
      <c r="AN212" s="2072" t="n"/>
      <c r="AO212" s="2087" t="n"/>
      <c r="AP212" s="2072" t="n"/>
      <c r="AQ212" s="2072" t="n"/>
      <c r="AR212" s="2072" t="n"/>
      <c r="AS212" s="2072" t="n"/>
      <c r="AT212" s="2087" t="n"/>
      <c r="AU212" s="2072" t="n"/>
      <c r="AV212" s="2072" t="n"/>
      <c r="AW212" s="2072" t="n"/>
      <c r="AX212" s="2072" t="n"/>
      <c r="AY212" s="2087" t="n"/>
      <c r="AZ212" s="2072" t="n"/>
      <c r="BA212" s="2072" t="n"/>
      <c r="BB212" s="2072" t="n"/>
      <c r="BC212" s="2072" t="n"/>
      <c r="BD212" s="2087" t="n"/>
      <c r="BE212" s="2072" t="n"/>
      <c r="BF212" s="2072" t="n"/>
      <c r="BG212" s="2072" t="n"/>
      <c r="BH212" s="2072" t="n"/>
      <c r="BI212" s="2087" t="n"/>
      <c r="BJ212" s="2072" t="n"/>
      <c r="BK212" s="2072" t="n"/>
      <c r="BL212" s="2072" t="n"/>
      <c r="BM212" s="2072" t="n"/>
      <c r="BN212" s="2087" t="n"/>
      <c r="BO212" s="2072" t="n"/>
      <c r="BP212" s="2072" t="n"/>
      <c r="BQ212" s="2073" t="n"/>
      <c r="BR212" s="2089" t="n"/>
      <c r="BS212" s="2090" t="n"/>
      <c r="BT212" s="2089" t="n"/>
      <c r="BU212" s="2089" t="n"/>
      <c r="BV212" s="2089" t="n"/>
      <c r="BW212" s="2089" t="n"/>
      <c r="BX212" s="2090" t="n"/>
      <c r="BY212" s="2090" t="n"/>
      <c r="BZ212" s="2090" t="n"/>
      <c r="CA212" s="2090" t="n"/>
      <c r="CB212" s="2085" t="n"/>
    </row>
    <row r="213" ht="14.4" customFormat="1" customHeight="1" s="2105">
      <c r="A213" s="2160" t="inlineStr">
        <is>
          <t>First Half Non-GAAP Operating Margin goal, %</t>
        </is>
      </c>
      <c r="B213" s="2107" t="n"/>
      <c r="C213" s="2108" t="n"/>
      <c r="D213" s="2108" t="n"/>
      <c r="E213" s="2108" t="n"/>
      <c r="F213" s="2108" t="n"/>
      <c r="G213" s="2109" t="n"/>
      <c r="H213" s="2109" t="n"/>
      <c r="I213" s="2109" t="n"/>
      <c r="J213" s="2109" t="n"/>
      <c r="K213" s="2108" t="n"/>
      <c r="L213" s="2109" t="n"/>
      <c r="M213" s="2109" t="n"/>
      <c r="N213" s="2109" t="n"/>
      <c r="O213" s="2109" t="n"/>
      <c r="P213" s="2108" t="n"/>
      <c r="Q213" s="2109" t="n"/>
      <c r="R213" s="2109" t="n"/>
      <c r="S213" s="2109" t="n"/>
      <c r="T213" s="2109" t="n"/>
      <c r="U213" s="2108" t="n"/>
      <c r="V213" s="2109" t="n"/>
      <c r="W213" s="2109" t="n"/>
      <c r="X213" s="2109" t="n"/>
      <c r="Y213" s="2109" t="n"/>
      <c r="Z213" s="2108" t="n"/>
      <c r="AA213" s="2109" t="n"/>
      <c r="AB213" s="2109" t="n"/>
      <c r="AC213" s="2109" t="n"/>
      <c r="AD213" s="2109" t="n"/>
      <c r="AE213" s="2108" t="n"/>
      <c r="AF213" s="2109" t="n"/>
      <c r="AG213" s="2109" t="n"/>
      <c r="AH213" s="2109" t="n"/>
      <c r="AI213" s="2109" t="n"/>
      <c r="AJ213" s="2108" t="n"/>
      <c r="AK213" s="2109" t="n"/>
      <c r="AL213" s="2109" t="n"/>
      <c r="AM213" s="2109" t="n"/>
      <c r="AN213" s="2109" t="n"/>
      <c r="AO213" s="2108" t="n"/>
      <c r="AP213" s="2109" t="n"/>
      <c r="AQ213" s="2109" t="n"/>
      <c r="AR213" s="2109" t="n"/>
      <c r="AS213" s="2109" t="n"/>
      <c r="AT213" s="2161" t="n">
        <v>0.3</v>
      </c>
      <c r="AU213" s="2109" t="n"/>
      <c r="AV213" s="2109" t="n"/>
      <c r="AW213" s="2109" t="n"/>
      <c r="AX213" s="2109" t="n"/>
      <c r="AY213" s="2161" t="n">
        <v>0.35</v>
      </c>
      <c r="AZ213" s="2109" t="n"/>
      <c r="BA213" s="2109" t="n"/>
      <c r="BB213" s="2109" t="n"/>
      <c r="BC213" s="2109" t="n"/>
      <c r="BD213" s="2161" t="n">
        <v>0.395</v>
      </c>
      <c r="BE213" s="2109" t="n"/>
      <c r="BF213" s="2109" t="n"/>
      <c r="BG213" s="2109" t="n"/>
      <c r="BH213" s="2109" t="n"/>
      <c r="BI213" s="2161" t="n">
        <v>0.415</v>
      </c>
      <c r="BJ213" s="2109" t="n"/>
      <c r="BK213" s="2109" t="n"/>
      <c r="BL213" s="2109" t="n"/>
      <c r="BM213" s="2109" t="n"/>
      <c r="BN213" s="2108" t="n"/>
      <c r="BO213" s="2109" t="n"/>
      <c r="BP213" s="2109" t="n"/>
      <c r="BQ213" s="2110" t="n"/>
      <c r="BR213" s="2111" t="n"/>
      <c r="BS213" s="2112" t="n"/>
      <c r="BT213" s="2111" t="n"/>
      <c r="BU213" s="2111" t="n"/>
      <c r="BV213" s="2111" t="n"/>
      <c r="BW213" s="2111" t="n"/>
      <c r="BX213" s="2112" t="n"/>
      <c r="BY213" s="2112" t="n"/>
      <c r="BZ213" s="2112" t="n"/>
      <c r="CA213" s="2112" t="n"/>
      <c r="CB213" s="2113" t="n"/>
    </row>
    <row r="214" ht="14.4" customFormat="1" customHeight="1" s="2105">
      <c r="A214" s="2160" t="inlineStr">
        <is>
          <t>First Half Non-GAAP Operating Margin actual, %</t>
        </is>
      </c>
      <c r="B214" s="2107" t="n"/>
      <c r="C214" s="2108" t="n"/>
      <c r="D214" s="2108" t="n"/>
      <c r="E214" s="2108" t="n"/>
      <c r="F214" s="2108" t="n"/>
      <c r="G214" s="2109" t="n"/>
      <c r="H214" s="2109" t="n"/>
      <c r="I214" s="2109" t="n"/>
      <c r="J214" s="2109" t="n"/>
      <c r="K214" s="2108" t="n"/>
      <c r="L214" s="2109" t="n"/>
      <c r="M214" s="2109" t="n"/>
      <c r="N214" s="2109" t="n"/>
      <c r="O214" s="2109" t="n"/>
      <c r="P214" s="2108" t="n"/>
      <c r="Q214" s="2109" t="n"/>
      <c r="R214" s="2109" t="n"/>
      <c r="S214" s="2109" t="n"/>
      <c r="T214" s="2109" t="n"/>
      <c r="U214" s="2108" t="n"/>
      <c r="V214" s="2109" t="n"/>
      <c r="W214" s="2109" t="n"/>
      <c r="X214" s="2109" t="n"/>
      <c r="Y214" s="2109" t="n"/>
      <c r="Z214" s="2108" t="n"/>
      <c r="AA214" s="2109" t="n"/>
      <c r="AB214" s="2109" t="n"/>
      <c r="AC214" s="2109" t="n"/>
      <c r="AD214" s="2109" t="n"/>
      <c r="AE214" s="2108" t="n"/>
      <c r="AF214" s="2109" t="n"/>
      <c r="AG214" s="2109" t="n"/>
      <c r="AH214" s="2109" t="n"/>
      <c r="AI214" s="2109" t="n"/>
      <c r="AJ214" s="2108" t="n"/>
      <c r="AK214" s="2109" t="n"/>
      <c r="AL214" s="2109" t="n"/>
      <c r="AM214" s="2109" t="n"/>
      <c r="AN214" s="2109" t="n"/>
      <c r="AO214" s="2108" t="n"/>
      <c r="AP214" s="2109" t="n"/>
      <c r="AQ214" s="2109" t="n"/>
      <c r="AR214" s="2109" t="n"/>
      <c r="AS214" s="2109" t="n"/>
      <c r="AT214" s="2161" t="n">
        <v>0.337</v>
      </c>
      <c r="AU214" s="2109" t="n"/>
      <c r="AV214" s="2109" t="n"/>
      <c r="AW214" s="2109" t="n"/>
      <c r="AX214" s="2109" t="n"/>
      <c r="AY214" s="2161" t="n">
        <v>0.388</v>
      </c>
      <c r="AZ214" s="2109" t="n"/>
      <c r="BA214" s="2109" t="n"/>
      <c r="BB214" s="2109" t="n"/>
      <c r="BC214" s="2109" t="n"/>
      <c r="BD214" s="2161" t="n">
        <v>0.432</v>
      </c>
      <c r="BE214" s="2109" t="n"/>
      <c r="BF214" s="2109" t="n"/>
      <c r="BG214" s="2109" t="n"/>
      <c r="BH214" s="2109" t="n"/>
      <c r="BI214" s="2161" t="n">
        <v>0.419</v>
      </c>
      <c r="BJ214" s="2109" t="n"/>
      <c r="BK214" s="2109" t="n"/>
      <c r="BL214" s="2109" t="n"/>
      <c r="BM214" s="2109" t="n"/>
      <c r="BN214" s="2108" t="n"/>
      <c r="BO214" s="2109" t="n"/>
      <c r="BP214" s="2109" t="n"/>
      <c r="BQ214" s="2110" t="n"/>
      <c r="BR214" s="2111" t="n"/>
      <c r="BS214" s="2112" t="n"/>
      <c r="BT214" s="2111" t="n"/>
      <c r="BU214" s="2111" t="n"/>
      <c r="BV214" s="2111" t="n"/>
      <c r="BW214" s="2111" t="n"/>
      <c r="BX214" s="2112" t="n"/>
      <c r="BY214" s="2112" t="n"/>
      <c r="BZ214" s="2112" t="n"/>
      <c r="CA214" s="2112" t="n"/>
      <c r="CB214" s="2113" t="n"/>
    </row>
    <row r="215" ht="14.4" customFormat="1" customHeight="1" s="2082">
      <c r="A215" s="1611" t="n"/>
      <c r="B215" s="2086" t="n"/>
      <c r="C215" s="2087" t="n"/>
      <c r="D215" s="2087" t="n"/>
      <c r="E215" s="2087" t="n"/>
      <c r="F215" s="2087" t="n"/>
      <c r="G215" s="2072" t="n"/>
      <c r="H215" s="2072" t="n"/>
      <c r="I215" s="2072" t="n"/>
      <c r="J215" s="2072" t="n"/>
      <c r="K215" s="2087" t="n"/>
      <c r="L215" s="2072" t="n"/>
      <c r="M215" s="2072" t="n"/>
      <c r="N215" s="2072" t="n"/>
      <c r="O215" s="2072" t="n"/>
      <c r="P215" s="2087" t="n"/>
      <c r="Q215" s="2072" t="n"/>
      <c r="R215" s="2072" t="n"/>
      <c r="S215" s="2072" t="n"/>
      <c r="T215" s="2072" t="n"/>
      <c r="U215" s="2087" t="n"/>
      <c r="V215" s="2072" t="n"/>
      <c r="W215" s="2072" t="n"/>
      <c r="X215" s="2072" t="n"/>
      <c r="Y215" s="2072" t="n"/>
      <c r="Z215" s="2087" t="n"/>
      <c r="AA215" s="2072" t="n"/>
      <c r="AB215" s="2072" t="n"/>
      <c r="AC215" s="2072" t="n"/>
      <c r="AD215" s="2072" t="n"/>
      <c r="AE215" s="2087" t="n"/>
      <c r="AF215" s="2072" t="n"/>
      <c r="AG215" s="2072" t="n"/>
      <c r="AH215" s="2072" t="n"/>
      <c r="AI215" s="2072" t="n"/>
      <c r="AJ215" s="2087" t="n"/>
      <c r="AK215" s="2072" t="n"/>
      <c r="AL215" s="2072" t="n"/>
      <c r="AM215" s="2072" t="n"/>
      <c r="AN215" s="2072" t="n"/>
      <c r="AO215" s="2087" t="n"/>
      <c r="AP215" s="2072" t="n"/>
      <c r="AQ215" s="2072" t="n"/>
      <c r="AR215" s="2072" t="n"/>
      <c r="AS215" s="2072" t="n"/>
      <c r="AT215" s="2087" t="n"/>
      <c r="AU215" s="2072" t="n"/>
      <c r="AV215" s="2072" t="n"/>
      <c r="AW215" s="2072" t="n"/>
      <c r="AX215" s="2072" t="n"/>
      <c r="AY215" s="2087" t="n"/>
      <c r="AZ215" s="2072" t="n"/>
      <c r="BA215" s="2072" t="n"/>
      <c r="BB215" s="2072" t="n"/>
      <c r="BC215" s="2072" t="n"/>
      <c r="BD215" s="2087" t="n"/>
      <c r="BE215" s="2072" t="n"/>
      <c r="BF215" s="2072" t="n"/>
      <c r="BG215" s="2072" t="n"/>
      <c r="BH215" s="2072" t="n"/>
      <c r="BI215" s="2087" t="n"/>
      <c r="BJ215" s="2072" t="n"/>
      <c r="BK215" s="2072" t="n"/>
      <c r="BL215" s="2072" t="n"/>
      <c r="BM215" s="2072" t="n"/>
      <c r="BN215" s="2087" t="n"/>
      <c r="BO215" s="2072" t="n"/>
      <c r="BP215" s="2072" t="n"/>
      <c r="BQ215" s="2073" t="n"/>
      <c r="BR215" s="2089" t="n"/>
      <c r="BS215" s="2090" t="n"/>
      <c r="BT215" s="2089" t="n"/>
      <c r="BU215" s="2089" t="n"/>
      <c r="BV215" s="2089" t="n"/>
      <c r="BW215" s="2089" t="n"/>
      <c r="BX215" s="2090" t="n"/>
      <c r="BY215" s="2090" t="n"/>
      <c r="BZ215" s="2090" t="n"/>
      <c r="CA215" s="2090" t="n"/>
      <c r="CB215" s="2085" t="n"/>
    </row>
    <row r="216" ht="14.4" customFormat="1" customHeight="1" s="2139">
      <c r="A216" s="2140" t="inlineStr">
        <is>
          <t>Second Half Revenue goal, mm</t>
        </is>
      </c>
      <c r="B216" s="2141" t="n"/>
      <c r="C216" s="2142" t="n"/>
      <c r="D216" s="2142" t="n"/>
      <c r="E216" s="2142" t="n"/>
      <c r="F216" s="2142" t="n"/>
      <c r="G216" s="2143" t="n"/>
      <c r="H216" s="2143" t="n"/>
      <c r="I216" s="2143" t="n"/>
      <c r="J216" s="2143" t="n"/>
      <c r="K216" s="2142" t="n"/>
      <c r="L216" s="2143" t="n"/>
      <c r="M216" s="2143" t="n"/>
      <c r="N216" s="2143" t="n"/>
      <c r="O216" s="2143" t="n"/>
      <c r="P216" s="2142" t="n"/>
      <c r="Q216" s="2143" t="n"/>
      <c r="R216" s="2143" t="n"/>
      <c r="S216" s="2143" t="n"/>
      <c r="T216" s="2143" t="n"/>
      <c r="U216" s="2142" t="n"/>
      <c r="V216" s="2143" t="n"/>
      <c r="W216" s="2143" t="n"/>
      <c r="X216" s="2143" t="n"/>
      <c r="Y216" s="2143" t="n"/>
      <c r="Z216" s="2142" t="n"/>
      <c r="AA216" s="2143" t="n"/>
      <c r="AB216" s="2143" t="n"/>
      <c r="AC216" s="2143" t="n"/>
      <c r="AD216" s="2143" t="n"/>
      <c r="AE216" s="2142" t="n"/>
      <c r="AF216" s="2143" t="n"/>
      <c r="AG216" s="2143" t="n"/>
      <c r="AH216" s="2143" t="n"/>
      <c r="AI216" s="2143" t="n"/>
      <c r="AJ216" s="2142" t="n"/>
      <c r="AK216" s="2143" t="n"/>
      <c r="AL216" s="2143" t="n"/>
      <c r="AM216" s="2143" t="n"/>
      <c r="AN216" s="2143" t="n"/>
      <c r="AO216" s="2142" t="n"/>
      <c r="AP216" s="2143" t="n"/>
      <c r="AQ216" s="2143" t="n"/>
      <c r="AR216" s="2143" t="n"/>
      <c r="AS216" s="2143" t="n"/>
      <c r="AT216" s="2144" t="n">
        <v>1344</v>
      </c>
      <c r="AU216" s="2143" t="n"/>
      <c r="AV216" s="2143" t="n"/>
      <c r="AW216" s="2143" t="n"/>
      <c r="AX216" s="2143" t="n"/>
      <c r="AY216" s="2144" t="n">
        <v>1481</v>
      </c>
      <c r="AZ216" s="2143" t="n"/>
      <c r="BA216" s="2143" t="n"/>
      <c r="BB216" s="2143" t="n"/>
      <c r="BC216" s="2143" t="n"/>
      <c r="BD216" s="2144" t="n">
        <v>1731</v>
      </c>
      <c r="BE216" s="2143" t="n"/>
      <c r="BF216" s="2143" t="n"/>
      <c r="BG216" s="2143" t="n"/>
      <c r="BH216" s="2143" t="n"/>
      <c r="BI216" s="2144" t="n">
        <v>2072</v>
      </c>
      <c r="BJ216" s="2143" t="n"/>
      <c r="BK216" s="2143" t="n"/>
      <c r="BL216" s="2143" t="n"/>
      <c r="BM216" s="2143" t="n"/>
      <c r="BN216" s="2142" t="n"/>
      <c r="BO216" s="2143" t="n"/>
      <c r="BP216" s="2143" t="n"/>
      <c r="BQ216" s="2145" t="n"/>
      <c r="BR216" s="2146" t="n"/>
      <c r="BS216" s="2147" t="n"/>
      <c r="BT216" s="2146" t="n"/>
      <c r="BU216" s="2146" t="n"/>
      <c r="BV216" s="2146" t="n"/>
      <c r="BW216" s="2146" t="n"/>
      <c r="BX216" s="2147" t="n"/>
      <c r="BY216" s="2147" t="n"/>
      <c r="BZ216" s="2147" t="n"/>
      <c r="CA216" s="2147" t="n"/>
      <c r="CB216" s="2148" t="n"/>
    </row>
    <row r="217" ht="14.4" customFormat="1" customHeight="1" s="2139">
      <c r="A217" s="2140" t="inlineStr">
        <is>
          <t>Second Half Revenue actual, mm</t>
        </is>
      </c>
      <c r="B217" s="2141" t="n"/>
      <c r="C217" s="2142" t="n"/>
      <c r="D217" s="2142" t="n"/>
      <c r="E217" s="2142" t="n"/>
      <c r="F217" s="2142" t="n"/>
      <c r="G217" s="2143" t="n"/>
      <c r="H217" s="2143" t="n"/>
      <c r="I217" s="2143" t="n"/>
      <c r="J217" s="2143" t="n"/>
      <c r="K217" s="2142" t="n"/>
      <c r="L217" s="2143" t="n"/>
      <c r="M217" s="2143" t="n"/>
      <c r="N217" s="2143" t="n"/>
      <c r="O217" s="2143" t="n"/>
      <c r="P217" s="2142" t="n"/>
      <c r="Q217" s="2143" t="n"/>
      <c r="R217" s="2143" t="n"/>
      <c r="S217" s="2143" t="n"/>
      <c r="T217" s="2143" t="n"/>
      <c r="U217" s="2142" t="n"/>
      <c r="V217" s="2143" t="n"/>
      <c r="W217" s="2143" t="n"/>
      <c r="X217" s="2143" t="n"/>
      <c r="Y217" s="2143" t="n"/>
      <c r="Z217" s="2142" t="n"/>
      <c r="AA217" s="2143" t="n"/>
      <c r="AB217" s="2143" t="n"/>
      <c r="AC217" s="2143" t="n"/>
      <c r="AD217" s="2143" t="n"/>
      <c r="AE217" s="2142" t="n"/>
      <c r="AF217" s="2143" t="n"/>
      <c r="AG217" s="2143" t="n"/>
      <c r="AH217" s="2143" t="n"/>
      <c r="AI217" s="2143" t="n"/>
      <c r="AJ217" s="2142" t="n"/>
      <c r="AK217" s="2143" t="n"/>
      <c r="AL217" s="2143" t="n"/>
      <c r="AM217" s="2143" t="n"/>
      <c r="AN217" s="2143" t="n"/>
      <c r="AO217" s="2142" t="n"/>
      <c r="AP217" s="2143" t="n"/>
      <c r="AQ217" s="2143" t="n"/>
      <c r="AR217" s="2143" t="n"/>
      <c r="AS217" s="2143" t="n"/>
      <c r="AT217" s="2144" t="n">
        <v>1427</v>
      </c>
      <c r="AU217" s="2143" t="n"/>
      <c r="AV217" s="2143" t="n"/>
      <c r="AW217" s="2143" t="n"/>
      <c r="AX217" s="2143" t="n"/>
      <c r="AY217" s="2144" t="n">
        <v>1524</v>
      </c>
      <c r="AZ217" s="2143" t="n"/>
      <c r="BA217" s="2143" t="n"/>
      <c r="BB217" s="2143" t="n"/>
      <c r="BC217" s="2143" t="n"/>
      <c r="BD217" s="2144" t="n">
        <v>1802</v>
      </c>
      <c r="BE217" s="2143" t="n"/>
      <c r="BF217" s="2143" t="n"/>
      <c r="BG217" s="2143" t="n"/>
      <c r="BH217" s="2143" t="n"/>
      <c r="BI217" s="2144" t="n">
        <v>2092</v>
      </c>
      <c r="BJ217" s="2143" t="n"/>
      <c r="BK217" s="2143" t="n"/>
      <c r="BL217" s="2143" t="n"/>
      <c r="BM217" s="2143" t="n"/>
      <c r="BN217" s="2142" t="n"/>
      <c r="BO217" s="2143" t="n"/>
      <c r="BP217" s="2143" t="n"/>
      <c r="BQ217" s="2145" t="n"/>
      <c r="BR217" s="2146" t="n"/>
      <c r="BS217" s="2147" t="n"/>
      <c r="BT217" s="2146" t="n"/>
      <c r="BU217" s="2146" t="n"/>
      <c r="BV217" s="2146" t="n"/>
      <c r="BW217" s="2146" t="n"/>
      <c r="BX217" s="2147" t="n"/>
      <c r="BY217" s="2147" t="n"/>
      <c r="BZ217" s="2147" t="n"/>
      <c r="CA217" s="2147" t="n"/>
      <c r="CB217" s="2148" t="n"/>
    </row>
    <row r="218" ht="14.4" customFormat="1" customHeight="1" s="2082">
      <c r="A218" s="1611" t="n"/>
      <c r="B218" s="2086" t="n"/>
      <c r="C218" s="2087" t="n"/>
      <c r="D218" s="2087" t="n"/>
      <c r="E218" s="2087" t="n"/>
      <c r="F218" s="2087" t="n"/>
      <c r="G218" s="2072" t="n"/>
      <c r="H218" s="2072" t="n"/>
      <c r="I218" s="2072" t="n"/>
      <c r="J218" s="2072" t="n"/>
      <c r="K218" s="2087" t="n"/>
      <c r="L218" s="2072" t="n"/>
      <c r="M218" s="2072" t="n"/>
      <c r="N218" s="2072" t="n"/>
      <c r="O218" s="2072" t="n"/>
      <c r="P218" s="2087" t="n"/>
      <c r="Q218" s="2072" t="n"/>
      <c r="R218" s="2072" t="n"/>
      <c r="S218" s="2072" t="n"/>
      <c r="T218" s="2072" t="n"/>
      <c r="U218" s="2087" t="n"/>
      <c r="V218" s="2072" t="n"/>
      <c r="W218" s="2072" t="n"/>
      <c r="X218" s="2072" t="n"/>
      <c r="Y218" s="2072" t="n"/>
      <c r="Z218" s="2087" t="n"/>
      <c r="AA218" s="2072" t="n"/>
      <c r="AB218" s="2072" t="n"/>
      <c r="AC218" s="2072" t="n"/>
      <c r="AD218" s="2072" t="n"/>
      <c r="AE218" s="2087" t="n"/>
      <c r="AF218" s="2072" t="n"/>
      <c r="AG218" s="2072" t="n"/>
      <c r="AH218" s="2072" t="n"/>
      <c r="AI218" s="2072" t="n"/>
      <c r="AJ218" s="2087" t="n"/>
      <c r="AK218" s="2072" t="n"/>
      <c r="AL218" s="2072" t="n"/>
      <c r="AM218" s="2072" t="n"/>
      <c r="AN218" s="2072" t="n"/>
      <c r="AO218" s="2087" t="n"/>
      <c r="AP218" s="2072" t="n"/>
      <c r="AQ218" s="2072" t="n"/>
      <c r="AR218" s="2072" t="n"/>
      <c r="AS218" s="2072" t="n"/>
      <c r="AT218" s="2087" t="n"/>
      <c r="AU218" s="2072" t="n"/>
      <c r="AV218" s="2072" t="n"/>
      <c r="AW218" s="2072" t="n"/>
      <c r="AX218" s="2072" t="n"/>
      <c r="AY218" s="2087" t="n"/>
      <c r="AZ218" s="2072" t="n"/>
      <c r="BA218" s="2072" t="n"/>
      <c r="BB218" s="2072" t="n"/>
      <c r="BC218" s="2072" t="n"/>
      <c r="BD218" s="2087" t="n"/>
      <c r="BE218" s="2072" t="n"/>
      <c r="BF218" s="2072" t="n"/>
      <c r="BG218" s="2072" t="n"/>
      <c r="BH218" s="2072" t="n"/>
      <c r="BI218" s="2087" t="n"/>
      <c r="BJ218" s="2072" t="n"/>
      <c r="BK218" s="2072" t="n"/>
      <c r="BL218" s="2072" t="n"/>
      <c r="BM218" s="2072" t="n"/>
      <c r="BN218" s="2087" t="n"/>
      <c r="BO218" s="2072" t="n"/>
      <c r="BP218" s="2072" t="n"/>
      <c r="BQ218" s="2073" t="n"/>
      <c r="BR218" s="2089" t="n"/>
      <c r="BS218" s="2090" t="n"/>
      <c r="BT218" s="2089" t="n"/>
      <c r="BU218" s="2089" t="n"/>
      <c r="BV218" s="2089" t="n"/>
      <c r="BW218" s="2089" t="n"/>
      <c r="BX218" s="2090" t="n"/>
      <c r="BY218" s="2090" t="n"/>
      <c r="BZ218" s="2090" t="n"/>
      <c r="CA218" s="2090" t="n"/>
      <c r="CB218" s="2085" t="n"/>
    </row>
    <row r="219" ht="14.4" customFormat="1" customHeight="1" s="2105">
      <c r="A219" s="2160" t="inlineStr">
        <is>
          <t>Second Half Non-GAAP Operating Margin goal, %</t>
        </is>
      </c>
      <c r="B219" s="2107" t="n"/>
      <c r="C219" s="2108" t="n"/>
      <c r="D219" s="2108" t="n"/>
      <c r="E219" s="2108" t="n"/>
      <c r="F219" s="2108" t="n"/>
      <c r="G219" s="2109" t="n"/>
      <c r="H219" s="2109" t="n"/>
      <c r="I219" s="2109" t="n"/>
      <c r="J219" s="2109" t="n"/>
      <c r="K219" s="2108" t="n"/>
      <c r="L219" s="2109" t="n"/>
      <c r="M219" s="2109" t="n"/>
      <c r="N219" s="2109" t="n"/>
      <c r="O219" s="2109" t="n"/>
      <c r="P219" s="2108" t="n"/>
      <c r="Q219" s="2109" t="n"/>
      <c r="R219" s="2109" t="n"/>
      <c r="S219" s="2109" t="n"/>
      <c r="T219" s="2109" t="n"/>
      <c r="U219" s="2108" t="n"/>
      <c r="V219" s="2109" t="n"/>
      <c r="W219" s="2109" t="n"/>
      <c r="X219" s="2109" t="n"/>
      <c r="Y219" s="2109" t="n"/>
      <c r="Z219" s="2108" t="n"/>
      <c r="AA219" s="2109" t="n"/>
      <c r="AB219" s="2109" t="n"/>
      <c r="AC219" s="2109" t="n"/>
      <c r="AD219" s="2109" t="n"/>
      <c r="AE219" s="2108" t="n"/>
      <c r="AF219" s="2109" t="n"/>
      <c r="AG219" s="2109" t="n"/>
      <c r="AH219" s="2109" t="n"/>
      <c r="AI219" s="2109" t="n"/>
      <c r="AJ219" s="2108" t="n"/>
      <c r="AK219" s="2109" t="n"/>
      <c r="AL219" s="2109" t="n"/>
      <c r="AM219" s="2109" t="n"/>
      <c r="AN219" s="2109" t="n"/>
      <c r="AO219" s="2108" t="n"/>
      <c r="AP219" s="2109" t="n"/>
      <c r="AQ219" s="2109" t="n"/>
      <c r="AR219" s="2109" t="n"/>
      <c r="AS219" s="2109" t="n"/>
      <c r="AT219" s="2161" t="n">
        <v>0.326</v>
      </c>
      <c r="AU219" s="2109" t="n"/>
      <c r="AV219" s="2109" t="n"/>
      <c r="AW219" s="2109" t="n"/>
      <c r="AX219" s="2109" t="n"/>
      <c r="AY219" s="2161" t="n">
        <v>0.34</v>
      </c>
      <c r="AZ219" s="2109" t="n"/>
      <c r="BA219" s="2109" t="n"/>
      <c r="BB219" s="2109" t="n"/>
      <c r="BC219" s="2109" t="n"/>
      <c r="BD219" s="2161" t="n">
        <v>0.362</v>
      </c>
      <c r="BE219" s="2109" t="n"/>
      <c r="BF219" s="2109" t="n"/>
      <c r="BG219" s="2109" t="n"/>
      <c r="BH219" s="2109" t="n"/>
      <c r="BI219" s="2161" t="n">
        <v>0.415</v>
      </c>
      <c r="BJ219" s="2109" t="n"/>
      <c r="BK219" s="2109" t="n"/>
      <c r="BL219" s="2109" t="n"/>
      <c r="BM219" s="2109" t="n"/>
      <c r="BN219" s="2108" t="n"/>
      <c r="BO219" s="2109" t="n"/>
      <c r="BP219" s="2109" t="n"/>
      <c r="BQ219" s="2110" t="n"/>
      <c r="BR219" s="2111" t="n"/>
      <c r="BS219" s="2112" t="n"/>
      <c r="BT219" s="2111" t="n"/>
      <c r="BU219" s="2111" t="n"/>
      <c r="BV219" s="2111" t="n"/>
      <c r="BW219" s="2111" t="n"/>
      <c r="BX219" s="2112" t="n"/>
      <c r="BY219" s="2112" t="n"/>
      <c r="BZ219" s="2112" t="n"/>
      <c r="CA219" s="2112" t="n"/>
      <c r="CB219" s="2113" t="n"/>
    </row>
    <row r="220" ht="14.4" customFormat="1" customHeight="1" s="2105">
      <c r="A220" s="2160" t="inlineStr">
        <is>
          <t>Second Half Non-GAAP Operating Margin actual, %</t>
        </is>
      </c>
      <c r="B220" s="2107" t="n"/>
      <c r="C220" s="2108" t="n"/>
      <c r="D220" s="2108" t="n"/>
      <c r="E220" s="2108" t="n"/>
      <c r="F220" s="2108" t="n"/>
      <c r="G220" s="2109" t="n"/>
      <c r="H220" s="2109" t="n"/>
      <c r="I220" s="2109" t="n"/>
      <c r="J220" s="2109" t="n"/>
      <c r="K220" s="2108" t="n"/>
      <c r="L220" s="2109" t="n"/>
      <c r="M220" s="2109" t="n"/>
      <c r="N220" s="2109" t="n"/>
      <c r="O220" s="2109" t="n"/>
      <c r="P220" s="2108" t="n"/>
      <c r="Q220" s="2109" t="n"/>
      <c r="R220" s="2109" t="n"/>
      <c r="S220" s="2109" t="n"/>
      <c r="T220" s="2109" t="n"/>
      <c r="U220" s="2108" t="n"/>
      <c r="V220" s="2109" t="n"/>
      <c r="W220" s="2109" t="n"/>
      <c r="X220" s="2109" t="n"/>
      <c r="Y220" s="2109" t="n"/>
      <c r="Z220" s="2108" t="n"/>
      <c r="AA220" s="2109" t="n"/>
      <c r="AB220" s="2109" t="n"/>
      <c r="AC220" s="2109" t="n"/>
      <c r="AD220" s="2109" t="n"/>
      <c r="AE220" s="2108" t="n"/>
      <c r="AF220" s="2109" t="n"/>
      <c r="AG220" s="2109" t="n"/>
      <c r="AH220" s="2109" t="n"/>
      <c r="AI220" s="2109" t="n"/>
      <c r="AJ220" s="2108" t="n"/>
      <c r="AK220" s="2109" t="n"/>
      <c r="AL220" s="2109" t="n"/>
      <c r="AM220" s="2109" t="n"/>
      <c r="AN220" s="2109" t="n"/>
      <c r="AO220" s="2108" t="n"/>
      <c r="AP220" s="2109" t="n"/>
      <c r="AQ220" s="2109" t="n"/>
      <c r="AR220" s="2109" t="n"/>
      <c r="AS220" s="2109" t="n"/>
      <c r="AT220" s="2161" t="n">
        <v>0.365</v>
      </c>
      <c r="AU220" s="2109" t="n"/>
      <c r="AV220" s="2109" t="n"/>
      <c r="AW220" s="2109" t="n"/>
      <c r="AX220" s="2109" t="n"/>
      <c r="AY220" s="2161" t="n">
        <v>0.361</v>
      </c>
      <c r="AZ220" s="2109" t="n"/>
      <c r="BA220" s="2109" t="n"/>
      <c r="BB220" s="2109" t="n"/>
      <c r="BC220" s="2109" t="n"/>
      <c r="BD220" s="2161" t="n">
        <v>0.391</v>
      </c>
      <c r="BE220" s="2109" t="n"/>
      <c r="BF220" s="2109" t="n"/>
      <c r="BG220" s="2109" t="n"/>
      <c r="BH220" s="2109" t="n"/>
      <c r="BI220" s="2161" t="n">
        <v>0.422</v>
      </c>
      <c r="BJ220" s="2109" t="n"/>
      <c r="BK220" s="2109" t="n"/>
      <c r="BL220" s="2109" t="n"/>
      <c r="BM220" s="2109" t="n"/>
      <c r="BN220" s="2108" t="n"/>
      <c r="BO220" s="2109" t="n"/>
      <c r="BP220" s="2109" t="n"/>
      <c r="BQ220" s="2110" t="n"/>
      <c r="BR220" s="2111" t="n"/>
      <c r="BS220" s="2112" t="n"/>
      <c r="BT220" s="2111" t="n"/>
      <c r="BU220" s="2111" t="n"/>
      <c r="BV220" s="2111" t="n"/>
      <c r="BW220" s="2111" t="n"/>
      <c r="BX220" s="2112" t="n"/>
      <c r="BY220" s="2112" t="n"/>
      <c r="BZ220" s="2112" t="n"/>
      <c r="CA220" s="2112" t="n"/>
      <c r="CB220" s="2113" t="n"/>
    </row>
    <row r="221" ht="14.4" customFormat="1" customHeight="1" s="2139">
      <c r="A221" s="2162" t="n"/>
      <c r="B221" s="2163" t="n"/>
      <c r="C221" s="2147" t="n"/>
      <c r="D221" s="2147" t="n"/>
      <c r="E221" s="2147" t="n"/>
      <c r="F221" s="2147" t="n"/>
      <c r="G221" s="2146" t="n"/>
      <c r="H221" s="2146" t="n"/>
      <c r="I221" s="2146" t="n"/>
      <c r="J221" s="2146" t="n"/>
      <c r="K221" s="2147" t="n"/>
      <c r="L221" s="2146" t="n"/>
      <c r="M221" s="2146" t="n"/>
      <c r="N221" s="2146" t="n"/>
      <c r="O221" s="2146" t="n"/>
      <c r="P221" s="2147" t="n"/>
      <c r="Q221" s="2146" t="n"/>
      <c r="R221" s="2146" t="n"/>
      <c r="S221" s="2146" t="n"/>
      <c r="T221" s="2146" t="n"/>
      <c r="U221" s="2147" t="n"/>
      <c r="V221" s="2146" t="n"/>
      <c r="W221" s="2146" t="n"/>
      <c r="X221" s="2146" t="n"/>
      <c r="Y221" s="2146" t="n"/>
      <c r="Z221" s="2147" t="n"/>
      <c r="AA221" s="2146" t="n"/>
      <c r="AB221" s="2146" t="n"/>
      <c r="AC221" s="2146" t="n"/>
      <c r="AD221" s="2146" t="n"/>
      <c r="AE221" s="2147" t="n"/>
      <c r="AF221" s="2146" t="n"/>
      <c r="AG221" s="2146" t="n"/>
      <c r="AH221" s="2146" t="n"/>
      <c r="AI221" s="2146" t="n"/>
      <c r="AJ221" s="2147" t="n"/>
      <c r="AK221" s="2146" t="n"/>
      <c r="AL221" s="2146" t="n"/>
      <c r="AM221" s="2146" t="n"/>
      <c r="AN221" s="2146" t="n"/>
      <c r="AO221" s="2147" t="n"/>
      <c r="AP221" s="2146" t="n"/>
      <c r="AQ221" s="2146" t="n"/>
      <c r="AR221" s="2146" t="n"/>
      <c r="AS221" s="2146" t="n"/>
      <c r="AT221" s="2147" t="n"/>
      <c r="AU221" s="2146" t="n"/>
      <c r="AV221" s="2146" t="n"/>
      <c r="AW221" s="2146" t="n"/>
      <c r="AX221" s="2146" t="n"/>
      <c r="AY221" s="2147" t="n"/>
      <c r="AZ221" s="2146" t="n"/>
      <c r="BA221" s="2146" t="n"/>
      <c r="BB221" s="2146" t="n"/>
      <c r="BC221" s="2146" t="n"/>
      <c r="BD221" s="2147" t="n"/>
      <c r="BE221" s="2146" t="n"/>
      <c r="BF221" s="2146" t="n"/>
      <c r="BG221" s="2146" t="n"/>
      <c r="BH221" s="2146" t="n"/>
      <c r="BI221" s="2147" t="n"/>
      <c r="BJ221" s="2146" t="n"/>
      <c r="BK221" s="2146" t="n"/>
      <c r="BL221" s="2146" t="n"/>
      <c r="BM221" s="2146" t="n"/>
      <c r="BN221" s="2147" t="n"/>
      <c r="BO221" s="2146" t="n"/>
      <c r="BP221" s="2146" t="n"/>
      <c r="BQ221" s="2164" t="n"/>
      <c r="BR221" s="2146" t="n"/>
      <c r="BS221" s="2147" t="n"/>
      <c r="BT221" s="2146" t="n"/>
      <c r="BU221" s="2146" t="n"/>
      <c r="BV221" s="2146" t="n"/>
      <c r="BW221" s="2146" t="n"/>
      <c r="BX221" s="2147" t="n"/>
      <c r="BY221" s="2147" t="n"/>
      <c r="BZ221" s="2147" t="n"/>
      <c r="CA221" s="2147" t="n"/>
      <c r="CB221" s="2148" t="n"/>
    </row>
    <row r="222" ht="14.4" customHeight="1" s="972">
      <c r="A222" s="2083" t="inlineStr">
        <is>
          <t>Tegus</t>
        </is>
      </c>
      <c r="B222" s="615" t="n"/>
      <c r="C222" s="615" t="n"/>
      <c r="D222" s="615" t="n"/>
      <c r="E222" s="615" t="n"/>
      <c r="F222" s="615" t="n"/>
      <c r="G222" s="615" t="n"/>
      <c r="H222" s="615" t="n"/>
      <c r="I222" s="615" t="n"/>
      <c r="J222" s="615" t="n"/>
      <c r="K222" s="615" t="n"/>
      <c r="L222" s="615" t="n"/>
      <c r="M222" s="615" t="n"/>
      <c r="N222" s="615" t="n"/>
      <c r="O222" s="615" t="n"/>
      <c r="P222" s="615" t="n"/>
      <c r="Q222" s="615" t="n"/>
      <c r="R222" s="615" t="n"/>
      <c r="S222" s="615" t="n"/>
      <c r="T222" s="615" t="n"/>
      <c r="U222" s="615" t="n"/>
      <c r="V222" s="615" t="n"/>
      <c r="W222" s="615" t="n"/>
      <c r="X222" s="615" t="n"/>
      <c r="Y222" s="615" t="n"/>
      <c r="Z222" s="615" t="n"/>
      <c r="AA222" s="615" t="n"/>
      <c r="AB222" s="615" t="n"/>
      <c r="AC222" s="615" t="n"/>
      <c r="AD222" s="615" t="n"/>
      <c r="AE222" s="615" t="n"/>
      <c r="AF222" s="615" t="n"/>
      <c r="AG222" s="615" t="n"/>
      <c r="AH222" s="615" t="n"/>
      <c r="AI222" s="615" t="n"/>
      <c r="AJ222" s="615" t="n"/>
      <c r="AK222" s="615" t="n"/>
      <c r="AL222" s="615" t="n"/>
      <c r="AM222" s="615" t="n"/>
      <c r="AN222" s="615" t="n"/>
      <c r="AO222" s="615" t="n"/>
      <c r="AP222" s="615" t="n"/>
      <c r="AQ222" s="615" t="n"/>
      <c r="AR222" s="615" t="n"/>
      <c r="AS222" s="615" t="n"/>
      <c r="AT222" s="615" t="n"/>
      <c r="AU222" s="615" t="n"/>
      <c r="AV222" s="615" t="n"/>
      <c r="AW222" s="615" t="n"/>
      <c r="AX222" s="615" t="n"/>
      <c r="AY222" s="615" t="n"/>
      <c r="AZ222" s="615" t="n"/>
      <c r="BA222" s="615" t="n"/>
      <c r="BB222" s="615" t="n"/>
      <c r="BC222" s="615" t="n"/>
      <c r="BD222" s="615" t="n"/>
      <c r="BE222" s="615" t="n"/>
      <c r="BF222" s="615" t="n"/>
      <c r="BG222" s="615" t="n"/>
      <c r="BH222" s="615" t="n"/>
      <c r="BI222" s="615" t="n"/>
      <c r="BJ222" s="615" t="n"/>
      <c r="BK222" s="615" t="n"/>
      <c r="BL222" s="615" t="n"/>
      <c r="BM222" s="615" t="n"/>
      <c r="BN222" s="615" t="n"/>
      <c r="BO222" s="615" t="n"/>
      <c r="BP222" s="615" t="n"/>
      <c r="BQ222" s="615" t="n"/>
      <c r="BR222" s="615" t="n"/>
      <c r="BS222" s="615" t="n"/>
      <c r="BT222" s="615" t="n"/>
      <c r="BU222" s="615" t="n"/>
      <c r="BV222" s="615" t="n"/>
      <c r="BW222" s="615" t="n"/>
      <c r="BX222" s="615" t="n"/>
      <c r="BY222" s="615" t="n"/>
      <c r="BZ222" s="615" t="n"/>
      <c r="CA222" s="615" t="n"/>
      <c r="CB222" s="611" t="n"/>
    </row>
    <row r="223" ht="14.4" customHeight="1" s="972">
      <c r="A223" s="611" t="n"/>
      <c r="B223" s="611" t="n"/>
      <c r="C223" s="611" t="n"/>
      <c r="D223" s="611" t="n"/>
      <c r="E223" s="611" t="n"/>
      <c r="F223" s="611" t="n"/>
      <c r="G223" s="177" t="n"/>
      <c r="H223" s="177" t="n"/>
      <c r="I223" s="177" t="n"/>
      <c r="J223" s="177" t="n"/>
      <c r="K223" s="611" t="n"/>
      <c r="L223" s="177" t="n"/>
      <c r="M223" s="177" t="n"/>
      <c r="N223" s="177" t="n"/>
      <c r="O223" s="177" t="n"/>
      <c r="P223" s="611" t="n"/>
      <c r="Q223" s="177" t="n"/>
      <c r="R223" s="177" t="n"/>
      <c r="S223" s="177" t="n"/>
      <c r="T223" s="177" t="n"/>
      <c r="U223" s="611" t="n"/>
      <c r="V223" s="177" t="n"/>
      <c r="W223" s="177" t="n"/>
      <c r="X223" s="177" t="n"/>
      <c r="Y223" s="177" t="n"/>
      <c r="Z223" s="611" t="n"/>
      <c r="AA223" s="177" t="n"/>
      <c r="AB223" s="177" t="n"/>
      <c r="AC223" s="177" t="n"/>
      <c r="AD223" s="177" t="n"/>
      <c r="AE223" s="611" t="n"/>
      <c r="AF223" s="177" t="n"/>
      <c r="AG223" s="177" t="n"/>
      <c r="AH223" s="177" t="n"/>
      <c r="AI223" s="177" t="n"/>
      <c r="AJ223" s="611" t="n"/>
      <c r="AK223" s="177" t="n"/>
      <c r="AL223" s="177" t="n"/>
      <c r="AM223" s="177" t="n"/>
      <c r="AN223" s="177" t="n"/>
      <c r="AO223" s="611" t="n"/>
      <c r="AP223" s="177" t="n"/>
      <c r="AQ223" s="177" t="n"/>
      <c r="AR223" s="177" t="n"/>
      <c r="AS223" s="177" t="n"/>
      <c r="AT223" s="611" t="n"/>
      <c r="AU223" s="177" t="n"/>
      <c r="AV223" s="177" t="n"/>
      <c r="AW223" s="177" t="n"/>
      <c r="AX223" s="177" t="n"/>
      <c r="AY223" s="611" t="n"/>
      <c r="AZ223" s="177" t="n"/>
      <c r="BA223" s="177" t="n"/>
      <c r="BB223" s="177" t="n"/>
      <c r="BC223" s="177" t="n"/>
      <c r="BD223" s="611" t="n"/>
      <c r="BE223" s="177" t="n"/>
      <c r="BF223" s="177" t="n"/>
      <c r="BG223" s="177" t="n"/>
      <c r="BH223" s="177" t="n"/>
      <c r="BI223" s="611" t="n"/>
      <c r="BJ223" s="177" t="n"/>
      <c r="BK223" s="177" t="n"/>
      <c r="BL223" s="177" t="n"/>
      <c r="BM223" s="177" t="n"/>
      <c r="BN223" s="611" t="n"/>
      <c r="BO223" s="177" t="n"/>
      <c r="BP223" s="177" t="n"/>
      <c r="BQ223" s="177" t="n"/>
      <c r="BR223" s="177" t="n"/>
      <c r="BS223" s="611" t="n"/>
      <c r="BT223" s="177" t="n"/>
      <c r="BU223" s="177" t="n"/>
      <c r="BV223" s="177" t="n"/>
      <c r="BW223" s="177" t="n"/>
      <c r="BX223" s="611" t="n"/>
      <c r="BY223" s="611" t="n"/>
      <c r="BZ223" s="611" t="n"/>
      <c r="CA223" s="611" t="n"/>
      <c r="CB223" s="611" t="n"/>
    </row>
  </sheetData>
  <pageMargins left="0.7" right="0.7" top="0.75" bottom="0.75" header="0.3" footer="0.3"/>
  <pageSetup orientation="portrait" paperSize="1"/>
  <legacyDrawing xmlns:r="http://schemas.openxmlformats.org/officeDocument/2006/relationships" r:id="anysvml"/>
</worksheet>
</file>

<file path=xl/worksheets/sheet5.xml><?xml version="1.0" encoding="utf-8"?>
<worksheet xmlns="http://schemas.openxmlformats.org/spreadsheetml/2006/main">
  <sheetPr codeName="Sheet1">
    <outlinePr summaryBelow="1" summaryRight="1"/>
    <pageSetUpPr/>
  </sheetPr>
  <dimension ref="A1:BM964"/>
  <sheetViews>
    <sheetView topLeftCell="A1" workbookViewId="0">
      <selection activeCell="A1" sqref="A1"/>
    </sheetView>
  </sheetViews>
  <sheetFormatPr baseColWidth="8" defaultColWidth="8.664285714285709" defaultRowHeight="14.4"/>
  <cols>
    <col width="3.28571428571429" customWidth="1" style="1005" min="1" max="1"/>
    <col width="9.28571428571429" bestFit="1" customWidth="1" style="1006" min="2" max="2"/>
    <col width="2.71428571428571" customWidth="1" style="1006" min="3" max="3"/>
    <col width="58.5714285714286" customWidth="1" style="1007" min="4" max="4"/>
    <col hidden="1" outlineLevel="1" width="20.5714285714286" customWidth="1" style="1008" min="5" max="5"/>
    <col collapsed="1" width="14.4285714285714" bestFit="1" customWidth="1" style="1006" min="6" max="6"/>
    <col hidden="1" outlineLevel="1" collapsed="1" width="14.4285714285714" customWidth="1" style="1006" min="7" max="7"/>
    <col collapsed="1" width="2.71428571428571" customWidth="1" style="1006" min="8" max="8"/>
    <col width="9.428571428571431" bestFit="1" customWidth="1" style="1006" min="9" max="11"/>
    <col width="2.71428571428571" customWidth="1" style="1006" min="12" max="12"/>
    <col width="8.71428571428571" bestFit="1" customWidth="1" style="1006" min="13" max="13"/>
    <col width="11.7142857142857" bestFit="1" customWidth="1" style="1007" min="14" max="14"/>
    <col width="2.71428571428571" customWidth="1" style="1006" min="15" max="15"/>
    <col width="13.4285714285714" bestFit="1" customWidth="1" style="1006" min="16" max="16"/>
    <col width="14.2857142857143" bestFit="1" customWidth="1" style="2165" min="17" max="17"/>
    <col width="2.71428571428571" customWidth="1" style="1006" min="18" max="18"/>
    <col width="10.7142857142857" bestFit="1" customWidth="1" style="1010" min="19" max="19"/>
    <col width="16.5714285714286" bestFit="1" customWidth="1" style="1011" min="20" max="20"/>
    <col width="8.71428571428571" customWidth="1" style="1006" min="21" max="26"/>
    <col width="8.71428571428571" customWidth="1" style="1006" min="27" max="16384"/>
  </cols>
  <sheetData>
    <row r="1" ht="28.5" customHeight="1" s="972">
      <c r="A1" s="64" t="n"/>
      <c r="B1" s="2166">
        <f>MO.CompanyName</f>
        <v/>
      </c>
      <c r="C1" s="67" t="n"/>
      <c r="D1" s="67" t="n"/>
      <c r="E1" s="69" t="n"/>
      <c r="F1" s="67" t="n"/>
      <c r="G1" s="67" t="n"/>
      <c r="H1" s="67" t="n"/>
      <c r="I1" s="67" t="n"/>
      <c r="J1" s="67" t="n"/>
      <c r="K1" s="67" t="n"/>
      <c r="L1" s="67" t="n"/>
      <c r="M1" s="67" t="n"/>
      <c r="N1" s="67" t="n"/>
      <c r="O1" s="67" t="n"/>
      <c r="P1" s="67" t="n"/>
      <c r="Q1" s="2109" t="n"/>
      <c r="R1" s="67" t="n"/>
      <c r="S1" s="70" t="n"/>
      <c r="T1" s="67" t="n"/>
      <c r="U1" s="67" t="n"/>
    </row>
    <row r="2" ht="14.4" customHeight="1" s="972">
      <c r="A2" s="64" t="n"/>
      <c r="B2" s="68" t="inlineStr">
        <is>
          <t>Most Recent Period:</t>
        </is>
      </c>
      <c r="C2" s="67" t="n"/>
      <c r="D2" s="67" t="n"/>
      <c r="E2" s="69" t="n"/>
      <c r="F2" s="67">
        <f>UL.MRQ</f>
        <v/>
      </c>
      <c r="G2" s="67" t="n"/>
      <c r="H2" s="67" t="n"/>
      <c r="I2" s="357" t="n"/>
      <c r="J2" s="67" t="n"/>
      <c r="K2" s="67" t="n"/>
      <c r="L2" s="67" t="n"/>
      <c r="M2" s="67" t="n"/>
      <c r="N2" s="67" t="n"/>
      <c r="O2" s="67" t="n"/>
      <c r="P2" s="67" t="n"/>
      <c r="Q2" s="2109" t="n"/>
      <c r="R2" s="67" t="n"/>
      <c r="S2" s="70" t="n"/>
      <c r="T2" s="67" t="n"/>
      <c r="U2" s="67" t="n"/>
    </row>
    <row r="3" ht="14.4" customHeight="1" s="972">
      <c r="A3" s="64" t="n"/>
      <c r="B3" s="67" t="n"/>
      <c r="C3" s="67" t="n"/>
      <c r="D3" s="67" t="n"/>
      <c r="E3" s="69" t="n"/>
      <c r="F3" s="67" t="n"/>
      <c r="G3" s="67" t="n"/>
      <c r="H3" s="67" t="n"/>
      <c r="I3" s="67" t="n"/>
      <c r="J3" s="67" t="n"/>
      <c r="K3" s="67" t="n"/>
      <c r="L3" s="67" t="n"/>
      <c r="M3" s="67" t="n"/>
      <c r="N3" s="67" t="n"/>
      <c r="O3" s="67" t="n"/>
      <c r="P3" s="67" t="n"/>
      <c r="Q3" s="2109" t="n"/>
      <c r="R3" s="67" t="n"/>
      <c r="S3" s="67" t="n"/>
      <c r="T3" s="67" t="n"/>
      <c r="U3" s="67" t="n"/>
    </row>
    <row r="4" ht="14.4" customFormat="1" customHeight="1" s="1012">
      <c r="A4" s="64" t="n"/>
      <c r="B4" s="75" t="n"/>
      <c r="C4" s="83" t="n"/>
      <c r="D4" s="75" t="n"/>
      <c r="E4" s="75" t="n"/>
      <c r="F4" s="75" t="n"/>
      <c r="G4" s="75" t="n"/>
      <c r="H4" s="83" t="n"/>
      <c r="I4" s="76" t="inlineStr">
        <is>
          <t>Guidance</t>
        </is>
      </c>
      <c r="J4" s="76" t="n"/>
      <c r="K4" s="76" t="n"/>
      <c r="L4" s="83" t="n"/>
      <c r="M4" s="76" t="inlineStr">
        <is>
          <t>Model</t>
        </is>
      </c>
      <c r="N4" s="76" t="n"/>
      <c r="O4" s="83" t="n"/>
      <c r="P4" s="76" t="inlineStr">
        <is>
          <t>Difference vs. Mid</t>
        </is>
      </c>
      <c r="Q4" s="76" t="n"/>
      <c r="R4" s="83" t="n"/>
      <c r="S4" s="76" t="inlineStr">
        <is>
          <t>Update Log</t>
        </is>
      </c>
      <c r="T4" s="76" t="n"/>
      <c r="U4" s="70" t="n"/>
    </row>
    <row r="5" ht="14.4" customFormat="1" customHeight="1" s="1013">
      <c r="A5" s="114" t="n"/>
      <c r="B5" s="115" t="inlineStr">
        <is>
          <t>Type</t>
        </is>
      </c>
      <c r="C5" s="118" t="n"/>
      <c r="D5" s="115" t="inlineStr">
        <is>
          <t>Item</t>
        </is>
      </c>
      <c r="E5" s="115" t="inlineStr">
        <is>
          <t>Item Name</t>
        </is>
      </c>
      <c r="F5" s="115" t="inlineStr">
        <is>
          <t>Fiscal Period</t>
        </is>
      </c>
      <c r="G5" s="115" t="inlineStr">
        <is>
          <t>Base Period</t>
        </is>
      </c>
      <c r="H5" s="118" t="n"/>
      <c r="I5" s="116" t="inlineStr">
        <is>
          <t>Low</t>
        </is>
      </c>
      <c r="J5" s="116" t="inlineStr">
        <is>
          <t>High</t>
        </is>
      </c>
      <c r="K5" s="116" t="inlineStr">
        <is>
          <t>Mid</t>
        </is>
      </c>
      <c r="L5" s="118" t="n"/>
      <c r="M5" s="115" t="inlineStr">
        <is>
          <t>Type</t>
        </is>
      </c>
      <c r="N5" s="116" t="inlineStr">
        <is>
          <t>Output</t>
        </is>
      </c>
      <c r="O5" s="118" t="n"/>
      <c r="P5" s="116" t="inlineStr">
        <is>
          <t>Absolute</t>
        </is>
      </c>
      <c r="Q5" s="2167" t="inlineStr">
        <is>
          <t>Relative</t>
        </is>
      </c>
      <c r="R5" s="118" t="n"/>
      <c r="S5" s="116" t="inlineStr">
        <is>
          <t>Date</t>
        </is>
      </c>
      <c r="T5" s="116" t="inlineStr">
        <is>
          <t>Link</t>
        </is>
      </c>
      <c r="U5" s="67" t="n"/>
    </row>
    <row r="6" ht="14.4" customFormat="1" customHeight="1" s="1013">
      <c r="A6" s="114" t="n">
        <v>958</v>
      </c>
      <c r="B6" s="77">
        <f>IF(INDEX(MO_SNA_IsHistoricalPeriod,,MATCH(F6,MO_Common_ColumnHeader,0)),"Historical","Forward")</f>
        <v/>
      </c>
      <c r="C6" s="67" t="n"/>
      <c r="D6" s="84" t="inlineStr">
        <is>
          <t>Recurring Revenue %</t>
        </is>
      </c>
      <c r="E6" s="78" t="n"/>
      <c r="F6" s="77" t="inlineStr">
        <is>
          <t>FY2025</t>
        </is>
      </c>
      <c r="G6" s="77" t="n"/>
      <c r="H6" s="67" t="n"/>
      <c r="I6" s="2108" t="n">
        <v>0.8</v>
      </c>
      <c r="J6" s="2108" t="n">
        <v>0.8</v>
      </c>
      <c r="K6" s="2108">
        <f>AVERAGE(I6:J6)</f>
        <v/>
      </c>
      <c r="L6" s="67" t="n"/>
      <c r="M6" s="77">
        <f>IF(INDEX(MO_SNA_IsHistoricalPeriod,,MATCH(F6,MO_Common_ColumnHeader,0)),"Actual","Estimate")</f>
        <v/>
      </c>
      <c r="N6" s="2108">
        <f>IFERROR(INDEX(INDIRECT(E6),0,MATCH(F6,MO_Common_ColumnHeader,0)),"N/A")</f>
        <v/>
      </c>
      <c r="O6" s="2072" t="n"/>
      <c r="P6" s="2168">
        <f>IF(ISNUMBER(N6),N6-K6,"N/A")</f>
        <v/>
      </c>
      <c r="Q6" s="2168">
        <f>IFERROR(IF(ISNUMBER(N6),(N6-K6)/ABS(K6),"N/A"),"N/A")</f>
        <v/>
      </c>
      <c r="R6" s="112" t="n"/>
      <c r="S6" s="80" t="n">
        <v>45957</v>
      </c>
      <c r="T6" s="88" t="inlineStr">
        <is>
          <t>CFO Commentary</t>
        </is>
      </c>
      <c r="U6" s="67" t="n"/>
    </row>
    <row r="7" ht="14.4" customFormat="1" customHeight="1" s="1013">
      <c r="A7" s="114" t="n">
        <v>957</v>
      </c>
      <c r="B7" s="77">
        <f>IF(INDEX(MO_SNA_IsHistoricalPeriod,,MATCH(F7,MO_Common_ColumnHeader,0)),"Historical","Forward")</f>
        <v/>
      </c>
      <c r="C7" s="67" t="n"/>
      <c r="D7" s="84" t="inlineStr">
        <is>
          <t>Revenue from Beginning Backlog %</t>
        </is>
      </c>
      <c r="E7" s="78" t="n"/>
      <c r="F7" s="77" t="inlineStr">
        <is>
          <t>FY2025</t>
        </is>
      </c>
      <c r="G7" s="77" t="n"/>
      <c r="H7" s="67" t="n"/>
      <c r="I7" s="2108" t="n">
        <v>0.7</v>
      </c>
      <c r="J7" s="2108" t="n">
        <v>0.7</v>
      </c>
      <c r="K7" s="2108">
        <f>AVERAGE(I7:J7)</f>
        <v/>
      </c>
      <c r="L7" s="67" t="n"/>
      <c r="M7" s="77">
        <f>IF(INDEX(MO_SNA_IsHistoricalPeriod,,MATCH(F7,MO_Common_ColumnHeader,0)),"Actual","Estimate")</f>
        <v/>
      </c>
      <c r="N7" s="2108">
        <f>IFERROR(INDEX(INDIRECT(E7),0,MATCH(F7,MO_Common_ColumnHeader,0)),"N/A")</f>
        <v/>
      </c>
      <c r="O7" s="2072" t="n"/>
      <c r="P7" s="2168">
        <f>IF(ISNUMBER(N7),N7-K7,"N/A")</f>
        <v/>
      </c>
      <c r="Q7" s="2168">
        <f>IFERROR(IF(ISNUMBER(N7),(N7-K7)/ABS(K7),"N/A"),"N/A")</f>
        <v/>
      </c>
      <c r="R7" s="112" t="n"/>
      <c r="S7" s="80" t="n">
        <v>45957</v>
      </c>
      <c r="T7" s="88" t="inlineStr">
        <is>
          <t>CFO Commentary</t>
        </is>
      </c>
      <c r="U7" s="67" t="n"/>
    </row>
    <row r="8" ht="14.4" customFormat="1" customHeight="1" s="1013">
      <c r="A8" s="114" t="n">
        <v>956</v>
      </c>
      <c r="B8" s="77">
        <f>IF(INDEX(MO_SNA_IsHistoricalPeriod,,MATCH(F8,MO_Common_ColumnHeader,0)),"Historical","Forward")</f>
        <v/>
      </c>
      <c r="C8" s="67" t="n"/>
      <c r="D8" s="84">
        <f>INDEX(INDIRECT(E8),0,COLUMN(MO_Common_Column_A))</f>
        <v/>
      </c>
      <c r="E8" s="78" t="inlineStr">
        <is>
          <t>MO_RIS_REV</t>
        </is>
      </c>
      <c r="F8" s="77" t="inlineStr">
        <is>
          <t>FY2025</t>
        </is>
      </c>
      <c r="G8" s="77" t="n"/>
      <c r="H8" s="67" t="n"/>
      <c r="I8" s="2087" t="n">
        <v>5262</v>
      </c>
      <c r="J8" s="2087" t="n">
        <v>5292</v>
      </c>
      <c r="K8" s="2087">
        <f>AVERAGE(I8:J8)</f>
        <v/>
      </c>
      <c r="L8" s="67" t="n"/>
      <c r="M8" s="77">
        <f>IF(INDEX(MO_SNA_IsHistoricalPeriod,,MATCH(F8,MO_Common_ColumnHeader,0)),"Actual","Estimate")</f>
        <v/>
      </c>
      <c r="N8" s="2087">
        <f>IFERROR(INDEX(INDIRECT(E8),0,MATCH(F8,MO_Common_ColumnHeader,0)),"N/A")</f>
        <v/>
      </c>
      <c r="O8" s="2072" t="n"/>
      <c r="P8" s="2169">
        <f>IF(ISNUMBER(N8),N8-K8,"N/A")</f>
        <v/>
      </c>
      <c r="Q8" s="2168">
        <f>IFERROR(IF(ISNUMBER(N8),(N8-K8)/ABS(K8),"N/A"),"N/A")</f>
        <v/>
      </c>
      <c r="R8" s="112" t="n"/>
      <c r="S8" s="80" t="n">
        <v>45957</v>
      </c>
      <c r="T8" s="88" t="inlineStr">
        <is>
          <t>CFO Commentary</t>
        </is>
      </c>
      <c r="U8" s="67" t="n"/>
    </row>
    <row r="9" ht="14.4" customFormat="1" customHeight="1" s="1013">
      <c r="A9" s="114" t="n">
        <v>955</v>
      </c>
      <c r="B9" s="77">
        <f>IF(INDEX(MO_SNA_IsHistoricalPeriod,,MATCH(F9,MO_Common_ColumnHeader,0)),"Historical","Forward")</f>
        <v/>
      </c>
      <c r="C9" s="67" t="n"/>
      <c r="D9" s="84" t="inlineStr">
        <is>
          <t>GAAP Operating Margin</t>
        </is>
      </c>
      <c r="E9" s="78" t="inlineStr">
        <is>
          <t>MO_MA_EBIT</t>
        </is>
      </c>
      <c r="F9" s="77" t="inlineStr">
        <is>
          <t>FY2025</t>
        </is>
      </c>
      <c r="G9" s="77" t="n"/>
      <c r="H9" s="67" t="n"/>
      <c r="I9" s="2108" t="n">
        <v>0.279</v>
      </c>
      <c r="J9" s="2108" t="n">
        <v>0.289</v>
      </c>
      <c r="K9" s="2108">
        <f>AVERAGE(I9:J9)</f>
        <v/>
      </c>
      <c r="L9" s="67" t="n"/>
      <c r="M9" s="77">
        <f>IF(INDEX(MO_SNA_IsHistoricalPeriod,,MATCH(F9,MO_Common_ColumnHeader,0)),"Actual","Estimate")</f>
        <v/>
      </c>
      <c r="N9" s="2108">
        <f>IFERROR(INDEX(INDIRECT(E9),0,MATCH(F9,MO_Common_ColumnHeader,0)),"N/A")</f>
        <v/>
      </c>
      <c r="O9" s="67" t="n"/>
      <c r="P9" s="2168">
        <f>IF(ISNUMBER(N9),N9-K9,"N/A")</f>
        <v/>
      </c>
      <c r="Q9" s="2168">
        <f>IFERROR(IF(ISNUMBER(N9),(N9-K9)/ABS(K9),"N/A"),"N/A")</f>
        <v/>
      </c>
      <c r="R9" s="112" t="n"/>
      <c r="S9" s="80" t="n">
        <v>45957</v>
      </c>
      <c r="T9" s="88" t="inlineStr">
        <is>
          <t>CFO Commentary</t>
        </is>
      </c>
      <c r="U9" s="67" t="n"/>
    </row>
    <row r="10" ht="14.4" customFormat="1" customHeight="1" s="1013">
      <c r="A10" s="114" t="n">
        <v>954</v>
      </c>
      <c r="B10" s="77">
        <f>IF(INDEX(MO_SNA_IsHistoricalPeriod,,MATCH(F10,MO_Common_ColumnHeader,0)),"Historical","Forward")</f>
        <v/>
      </c>
      <c r="C10" s="67" t="n"/>
      <c r="D10" s="84">
        <f>INDEX(INDIRECT(E10),0,COLUMN(MO_Common_Column_A))</f>
        <v/>
      </c>
      <c r="E10" s="78" t="inlineStr">
        <is>
          <t>MO_MA_OperatingIncome_NONGAAP</t>
        </is>
      </c>
      <c r="F10" s="77" t="inlineStr">
        <is>
          <t>FY2025</t>
        </is>
      </c>
      <c r="G10" s="77" t="n"/>
      <c r="H10" s="67" t="n"/>
      <c r="I10" s="2108" t="n">
        <v>0.439</v>
      </c>
      <c r="J10" s="2108" t="n">
        <v>0.449</v>
      </c>
      <c r="K10" s="2108">
        <f>AVERAGE(I10:J10)</f>
        <v/>
      </c>
      <c r="L10" s="67" t="n"/>
      <c r="M10" s="77">
        <f>IF(INDEX(MO_SNA_IsHistoricalPeriod,,MATCH(F10,MO_Common_ColumnHeader,0)),"Actual","Estimate")</f>
        <v/>
      </c>
      <c r="N10" s="2108">
        <f>IFERROR(INDEX(INDIRECT(E10),0,MATCH(F10,MO_Common_ColumnHeader,0)),"N/A")</f>
        <v/>
      </c>
      <c r="O10" s="67" t="n"/>
      <c r="P10" s="2168">
        <f>IF(ISNUMBER(N10),N10-K10,"N/A")</f>
        <v/>
      </c>
      <c r="Q10" s="2168">
        <f>IFERROR(IF(ISNUMBER(N10),(N10-K10)/ABS(K10),"N/A"),"N/A")</f>
        <v/>
      </c>
      <c r="R10" s="112" t="n"/>
      <c r="S10" s="80" t="n">
        <v>45957</v>
      </c>
      <c r="T10" s="88" t="inlineStr">
        <is>
          <t>CFO Commentary</t>
        </is>
      </c>
      <c r="U10" s="67" t="n"/>
    </row>
    <row r="11" ht="14.4" customFormat="1" customHeight="1" s="1013">
      <c r="A11" s="114" t="n">
        <v>953</v>
      </c>
      <c r="B11" s="77">
        <f>IF(INDEX(MO_SNA_IsHistoricalPeriod,,MATCH(F11,MO_Common_ColumnHeader,0)),"Historical","Forward")</f>
        <v/>
      </c>
      <c r="C11" s="67" t="n"/>
      <c r="D11" s="84">
        <f>INDEX(INDIRECT(E11),0,COLUMN(MO_Common_Column_A))</f>
        <v/>
      </c>
      <c r="E11" s="78" t="inlineStr">
        <is>
          <t>MO_RIS_EPS_WAD</t>
        </is>
      </c>
      <c r="F11" s="77" t="inlineStr">
        <is>
          <t>FY2025</t>
        </is>
      </c>
      <c r="G11" s="77" t="n"/>
      <c r="H11" s="67" t="n"/>
      <c r="I11" s="2170" t="n">
        <v>3.8</v>
      </c>
      <c r="J11" s="2170" t="n">
        <v>3.86</v>
      </c>
      <c r="K11" s="2170">
        <f>AVERAGE(I11:J11)</f>
        <v/>
      </c>
      <c r="L11" s="67" t="n"/>
      <c r="M11" s="77">
        <f>IF(INDEX(MO_SNA_IsHistoricalPeriod,,MATCH(F11,MO_Common_ColumnHeader,0)),"Actual","Estimate")</f>
        <v/>
      </c>
      <c r="N11" s="2170">
        <f>IFERROR(INDEX(INDIRECT(E11),0,MATCH(F11,MO_Common_ColumnHeader,0)),"N/A")</f>
        <v/>
      </c>
      <c r="O11" s="67" t="n"/>
      <c r="P11" s="2171">
        <f>IF(ISNUMBER(N11),N11-K11,"N/A")</f>
        <v/>
      </c>
      <c r="Q11" s="2168">
        <f>IFERROR(IF(ISNUMBER(N11),(N11-K11)/ABS(K11),"N/A"),"N/A")</f>
        <v/>
      </c>
      <c r="R11" s="112" t="n"/>
      <c r="S11" s="80" t="n">
        <v>45957</v>
      </c>
      <c r="T11" s="88" t="inlineStr">
        <is>
          <t>CFO Commentary</t>
        </is>
      </c>
      <c r="U11" s="67" t="n"/>
    </row>
    <row r="12" ht="14.4" customFormat="1" customHeight="1" s="1013">
      <c r="A12" s="114" t="n">
        <v>952</v>
      </c>
      <c r="B12" s="77">
        <f>IF(INDEX(MO_SNA_IsHistoricalPeriod,,MATCH(F12,MO_Common_ColumnHeader,0)),"Historical","Forward")</f>
        <v/>
      </c>
      <c r="C12" s="67" t="n"/>
      <c r="D12" s="84">
        <f>INDEX(INDIRECT(E12),0,COLUMN(MO_Common_Column_A))</f>
        <v/>
      </c>
      <c r="E12" s="78" t="inlineStr">
        <is>
          <t>MO_RIS_EPS_WAD_Adj</t>
        </is>
      </c>
      <c r="F12" s="77" t="inlineStr">
        <is>
          <t>FY2025</t>
        </is>
      </c>
      <c r="G12" s="77" t="n"/>
      <c r="H12" s="67" t="n"/>
      <c r="I12" s="2170" t="n">
        <v>7.02</v>
      </c>
      <c r="J12" s="2170" t="n">
        <v>7.08</v>
      </c>
      <c r="K12" s="2170">
        <f>AVERAGE(I12:J12)</f>
        <v/>
      </c>
      <c r="L12" s="67" t="n"/>
      <c r="M12" s="77">
        <f>IF(INDEX(MO_SNA_IsHistoricalPeriod,,MATCH(F12,MO_Common_ColumnHeader,0)),"Actual","Estimate")</f>
        <v/>
      </c>
      <c r="N12" s="2170">
        <f>IFERROR(INDEX(INDIRECT(E12),0,MATCH(F12,MO_Common_ColumnHeader,0)),"N/A")</f>
        <v/>
      </c>
      <c r="O12" s="67" t="n"/>
      <c r="P12" s="2171">
        <f>IF(ISNUMBER(N12),N12-K12,"N/A")</f>
        <v/>
      </c>
      <c r="Q12" s="2168">
        <f>IFERROR(IF(ISNUMBER(N12),(N12-K12)/ABS(K12),"N/A"),"N/A")</f>
        <v/>
      </c>
      <c r="R12" s="112" t="n"/>
      <c r="S12" s="80" t="n">
        <v>45957</v>
      </c>
      <c r="T12" s="88" t="inlineStr">
        <is>
          <t>CFO Commentary</t>
        </is>
      </c>
      <c r="U12" s="67" t="n"/>
    </row>
    <row r="13" ht="14.4" customFormat="1" customHeight="1" s="1013">
      <c r="A13" s="114" t="n">
        <v>951</v>
      </c>
      <c r="B13" s="77">
        <f>IF(INDEX(MO_SNA_IsHistoricalPeriod,,MATCH(F13,MO_Common_ColumnHeader,0)),"Historical","Forward")</f>
        <v/>
      </c>
      <c r="C13" s="67" t="n"/>
      <c r="D13" s="84">
        <f>INDEX(INDIRECT(E13),0,COLUMN(MO_Common_Column_A))</f>
        <v/>
      </c>
      <c r="E13" s="78" t="inlineStr">
        <is>
          <t>MO_CFS_CFO</t>
        </is>
      </c>
      <c r="F13" s="77" t="inlineStr">
        <is>
          <t>FY2025</t>
        </is>
      </c>
      <c r="G13" s="77" t="n"/>
      <c r="H13" s="67" t="n"/>
      <c r="I13" s="2087" t="n">
        <v>1650</v>
      </c>
      <c r="J13" s="2087" t="n">
        <v>1750</v>
      </c>
      <c r="K13" s="2087">
        <f>AVERAGE(I13:J13)</f>
        <v/>
      </c>
      <c r="L13" s="67" t="n"/>
      <c r="M13" s="77">
        <f>IF(INDEX(MO_SNA_IsHistoricalPeriod,,MATCH(F13,MO_Common_ColumnHeader,0)),"Actual","Estimate")</f>
        <v/>
      </c>
      <c r="N13" s="2087">
        <f>IFERROR(INDEX(INDIRECT(E13),0,MATCH(F13,MO_Common_ColumnHeader,0)),"N/A")</f>
        <v/>
      </c>
      <c r="O13" s="67" t="n"/>
      <c r="P13" s="2169">
        <f>IF(ISNUMBER(N13),N13-K13,"N/A")</f>
        <v/>
      </c>
      <c r="Q13" s="2168">
        <f>IFERROR(IF(ISNUMBER(N13),(N13-K13)/ABS(K13),"N/A"),"N/A")</f>
        <v/>
      </c>
      <c r="R13" s="112" t="n"/>
      <c r="S13" s="80" t="n">
        <v>45957</v>
      </c>
      <c r="T13" s="88" t="inlineStr">
        <is>
          <t>CFO Commentary</t>
        </is>
      </c>
      <c r="U13" s="67" t="n"/>
    </row>
    <row r="14" ht="14.4" customFormat="1" customHeight="1" s="1013">
      <c r="A14" s="114" t="n">
        <v>950</v>
      </c>
      <c r="B14" s="77">
        <f>IF(INDEX(MO_SNA_IsHistoricalPeriod,,MATCH(F14,MO_Common_ColumnHeader,0)),"Historical","Forward")</f>
        <v/>
      </c>
      <c r="C14" s="67" t="n"/>
      <c r="D14" s="84" t="inlineStr">
        <is>
          <t>GAAP Other Income &amp; Expense</t>
        </is>
      </c>
      <c r="E14" s="78" t="n"/>
      <c r="F14" s="77" t="inlineStr">
        <is>
          <t>FY2025</t>
        </is>
      </c>
      <c r="G14" s="77" t="n"/>
      <c r="H14" s="67" t="n"/>
      <c r="I14" s="2087" t="n">
        <v>-18</v>
      </c>
      <c r="J14" s="2087" t="n">
        <v>-10</v>
      </c>
      <c r="K14" s="2087">
        <f>AVERAGE(I14:J14)</f>
        <v/>
      </c>
      <c r="L14" s="67" t="n"/>
      <c r="M14" s="77">
        <f>IF(INDEX(MO_SNA_IsHistoricalPeriod,,MATCH(F14,MO_Common_ColumnHeader,0)),"Actual","Estimate")</f>
        <v/>
      </c>
      <c r="N14" s="2087">
        <f>-IFERROR(INDEX(MO_RIS_IE_Net,0,MATCH(F14,MO_Common_ColumnHeader,0)),"N/A")-IFERROR(INDEX(MO_RIS_OI,0,MATCH(F14,MO_Common_ColumnHeader,0)),"N/A")</f>
        <v/>
      </c>
      <c r="O14" s="67" t="n"/>
      <c r="P14" s="2169">
        <f>IF(ISNUMBER(N14),N14-K14,"N/A")</f>
        <v/>
      </c>
      <c r="Q14" s="2168">
        <f>IFERROR(IF(ISNUMBER(N14),(N14-K14)/ABS(K14),"N/A"),"N/A")</f>
        <v/>
      </c>
      <c r="R14" s="112" t="n"/>
      <c r="S14" s="80" t="n">
        <v>45957</v>
      </c>
      <c r="T14" s="88" t="inlineStr">
        <is>
          <t>CFO Commentary</t>
        </is>
      </c>
      <c r="U14" s="67" t="n"/>
    </row>
    <row r="15" ht="14.4" customFormat="1" customHeight="1" s="1013">
      <c r="A15" s="114" t="n">
        <v>949</v>
      </c>
      <c r="B15" s="77">
        <f>IF(INDEX(MO_SNA_IsHistoricalPeriod,,MATCH(F15,MO_Common_ColumnHeader,0)),"Historical","Forward")</f>
        <v/>
      </c>
      <c r="C15" s="67" t="n"/>
      <c r="D15" s="84" t="inlineStr">
        <is>
          <t>Non-GAAP Other Income &amp; Expense</t>
        </is>
      </c>
      <c r="E15" s="78" t="n"/>
      <c r="F15" s="77" t="inlineStr">
        <is>
          <t>FY2025</t>
        </is>
      </c>
      <c r="G15" s="77" t="n"/>
      <c r="H15" s="67" t="n"/>
      <c r="I15" s="2087" t="n">
        <v>-33</v>
      </c>
      <c r="J15" s="2087" t="n">
        <v>-25</v>
      </c>
      <c r="K15" s="2087">
        <f>AVERAGE(I15:J15)</f>
        <v/>
      </c>
      <c r="L15" s="67" t="n"/>
      <c r="M15" s="77">
        <f>IF(INDEX(MO_SNA_IsHistoricalPeriod,,MATCH(F15,MO_Common_ColumnHeader,0)),"Actual","Estimate")</f>
        <v/>
      </c>
      <c r="N15" s="2087">
        <f>-IFERROR(INDEX(MO_RIS_IE_Net_NONGAAP,0,MATCH(F15,MO_Common_ColumnHeader,0)),"N/A")-IFERROR(INDEX(MO_RIS_OI_NONGAAP,0,MATCH(F15,MO_Common_ColumnHeader,0)),"N/A")</f>
        <v/>
      </c>
      <c r="O15" s="67" t="n"/>
      <c r="P15" s="2169">
        <f>IF(ISNUMBER(N15),N15-K15,"N/A")</f>
        <v/>
      </c>
      <c r="Q15" s="2168">
        <f>IFERROR(IF(ISNUMBER(N15),(N15-K15)/ABS(K15),"N/A"),"N/A")</f>
        <v/>
      </c>
      <c r="R15" s="112" t="n"/>
      <c r="S15" s="80" t="n">
        <v>45957</v>
      </c>
      <c r="T15" s="88" t="inlineStr">
        <is>
          <t>CFO Commentary</t>
        </is>
      </c>
      <c r="U15" s="67" t="n"/>
    </row>
    <row r="16" ht="14.4" customFormat="1" customHeight="1" s="1013">
      <c r="A16" s="114" t="n">
        <v>948</v>
      </c>
      <c r="B16" s="77">
        <f>IF(INDEX(MO_SNA_IsHistoricalPeriod,,MATCH(F16,MO_Common_ColumnHeader,0)),"Historical","Forward")</f>
        <v/>
      </c>
      <c r="C16" s="67" t="n"/>
      <c r="D16" s="84" t="inlineStr">
        <is>
          <t>GAAP Tax Rate</t>
        </is>
      </c>
      <c r="E16" s="78" t="inlineStr">
        <is>
          <t>MO_RIS_TaxRate</t>
        </is>
      </c>
      <c r="F16" s="77" t="inlineStr">
        <is>
          <t>FY2025</t>
        </is>
      </c>
      <c r="G16" s="77" t="n"/>
      <c r="H16" s="67" t="n"/>
      <c r="I16" s="2108" t="n">
        <v>0.29</v>
      </c>
      <c r="J16" s="2108" t="n">
        <v>0.29</v>
      </c>
      <c r="K16" s="2108">
        <f>AVERAGE(I16:J16)</f>
        <v/>
      </c>
      <c r="L16" s="67" t="n"/>
      <c r="M16" s="77">
        <f>IF(INDEX(MO_SNA_IsHistoricalPeriod,,MATCH(F16,MO_Common_ColumnHeader,0)),"Actual","Estimate")</f>
        <v/>
      </c>
      <c r="N16" s="2108">
        <f>IFERROR(INDEX(INDIRECT(E16),0,MATCH(F16,MO_Common_ColumnHeader,0)),"N/A")</f>
        <v/>
      </c>
      <c r="O16" s="67" t="n"/>
      <c r="P16" s="2168">
        <f>IF(ISNUMBER(N16),N16-K16,"N/A")</f>
        <v/>
      </c>
      <c r="Q16" s="2168">
        <f>IFERROR(IF(ISNUMBER(N16),(N16-K16)/ABS(K16),"N/A"),"N/A")</f>
        <v/>
      </c>
      <c r="R16" s="112" t="n"/>
      <c r="S16" s="80" t="n">
        <v>45957</v>
      </c>
      <c r="T16" s="88" t="inlineStr">
        <is>
          <t>CFO Commentary</t>
        </is>
      </c>
      <c r="U16" s="67" t="n"/>
    </row>
    <row r="17" ht="14.4" customFormat="1" customHeight="1" s="1013">
      <c r="A17" s="114" t="n">
        <v>947</v>
      </c>
      <c r="B17" s="77">
        <f>IF(INDEX(MO_SNA_IsHistoricalPeriod,,MATCH(F17,MO_Common_ColumnHeader,0)),"Historical","Forward")</f>
        <v/>
      </c>
      <c r="C17" s="67" t="n"/>
      <c r="D17" s="84">
        <f>INDEX(INDIRECT(E17),0,COLUMN(MO_Common_Column_A))</f>
        <v/>
      </c>
      <c r="E17" s="78" t="inlineStr">
        <is>
          <t>MO_RIS_TaxRate_NONGAAP</t>
        </is>
      </c>
      <c r="F17" s="77" t="inlineStr">
        <is>
          <t>FY2025</t>
        </is>
      </c>
      <c r="G17" s="77" t="n"/>
      <c r="H17" s="67" t="n"/>
      <c r="I17" s="2108" t="n">
        <v>0.165</v>
      </c>
      <c r="J17" s="2108" t="n">
        <v>0.165</v>
      </c>
      <c r="K17" s="2108">
        <f>AVERAGE(I17:J17)</f>
        <v/>
      </c>
      <c r="L17" s="67" t="n"/>
      <c r="M17" s="77">
        <f>IF(INDEX(MO_SNA_IsHistoricalPeriod,,MATCH(F17,MO_Common_ColumnHeader,0)),"Actual","Estimate")</f>
        <v/>
      </c>
      <c r="N17" s="2108">
        <f>IFERROR(INDEX(INDIRECT(E17),0,MATCH(F17,MO_Common_ColumnHeader,0)),"N/A")</f>
        <v/>
      </c>
      <c r="O17" s="67" t="n"/>
      <c r="P17" s="2168">
        <f>IF(ISNUMBER(N17),N17-K17,"N/A")</f>
        <v/>
      </c>
      <c r="Q17" s="2168">
        <f>IFERROR(IF(ISNUMBER(N17),(N17-K17)/ABS(K17),"N/A"),"N/A")</f>
        <v/>
      </c>
      <c r="R17" s="112" t="n"/>
      <c r="S17" s="80" t="n">
        <v>45957</v>
      </c>
      <c r="T17" s="88" t="inlineStr">
        <is>
          <t>CFO Commentary</t>
        </is>
      </c>
      <c r="U17" s="67" t="n"/>
    </row>
    <row r="18" ht="14.4" customFormat="1" customHeight="1" s="1013">
      <c r="A18" s="114" t="n">
        <v>946</v>
      </c>
      <c r="B18" s="77">
        <f>IF(INDEX(MO_SNA_IsHistoricalPeriod,,MATCH(F18,MO_Common_ColumnHeader,0)),"Historical","Forward")</f>
        <v/>
      </c>
      <c r="C18" s="67" t="n"/>
      <c r="D18" s="84">
        <f>INDEX(INDIRECT(E18),0,COLUMN(MO_Common_Column_A))</f>
        <v/>
      </c>
      <c r="E18" s="78" t="inlineStr">
        <is>
          <t>MO_RIS_ShareCount_WAD</t>
        </is>
      </c>
      <c r="F18" s="77" t="inlineStr">
        <is>
          <t>FY2025</t>
        </is>
      </c>
      <c r="G18" s="77" t="n"/>
      <c r="H18" s="67" t="n"/>
      <c r="I18" s="2087" t="n">
        <v>273</v>
      </c>
      <c r="J18" s="2087" t="n">
        <v>275</v>
      </c>
      <c r="K18" s="2087">
        <f>AVERAGE(I18:J18)</f>
        <v/>
      </c>
      <c r="L18" s="67" t="n"/>
      <c r="M18" s="77">
        <f>IF(INDEX(MO_SNA_IsHistoricalPeriod,,MATCH(F18,MO_Common_ColumnHeader,0)),"Actual","Estimate")</f>
        <v/>
      </c>
      <c r="N18" s="2087">
        <f>IFERROR(INDEX(INDIRECT(E18),0,MATCH(F18,MO_Common_ColumnHeader,0)),"N/A")</f>
        <v/>
      </c>
      <c r="O18" s="67" t="n"/>
      <c r="P18" s="2169">
        <f>IF(ISNUMBER(N18),N18-K18,"N/A")</f>
        <v/>
      </c>
      <c r="Q18" s="2168">
        <f>IFERROR(IF(ISNUMBER(N18),(N18-K18)/ABS(K18),"N/A"),"N/A")</f>
        <v/>
      </c>
      <c r="R18" s="112" t="n"/>
      <c r="S18" s="80" t="n">
        <v>45957</v>
      </c>
      <c r="T18" s="88" t="inlineStr">
        <is>
          <t>CFO Commentary</t>
        </is>
      </c>
      <c r="U18" s="67" t="n"/>
    </row>
    <row r="19" ht="14.4" customFormat="1" customHeight="1" s="1013">
      <c r="A19" s="114" t="n">
        <v>945</v>
      </c>
      <c r="B19" s="77">
        <f>IF(INDEX(MO_SNA_IsHistoricalPeriod,,MATCH(F19,MO_Common_ColumnHeader,0)),"Historical","Forward")</f>
        <v/>
      </c>
      <c r="C19" s="67" t="n"/>
      <c r="D19" s="84" t="inlineStr">
        <is>
          <t>DSO</t>
        </is>
      </c>
      <c r="E19" s="78" t="n"/>
      <c r="F19" s="77" t="inlineStr">
        <is>
          <t>FY2025</t>
        </is>
      </c>
      <c r="G19" s="77" t="n"/>
      <c r="H19" s="67" t="n"/>
      <c r="I19" s="2087" t="n">
        <v>50</v>
      </c>
      <c r="J19" s="2087" t="n">
        <v>50</v>
      </c>
      <c r="K19" s="2087">
        <f>AVERAGE(I19:J19)</f>
        <v/>
      </c>
      <c r="L19" s="67" t="n"/>
      <c r="M19" s="77">
        <f>IF(INDEX(MO_SNA_IsHistoricalPeriod,,MATCH(F19,MO_Common_ColumnHeader,0)),"Actual","Estimate")</f>
        <v/>
      </c>
      <c r="N19" s="2087">
        <f>IFERROR(INDEX(INDIRECT(E19),0,MATCH(F19,MO_Common_ColumnHeader,0)),"N/A")</f>
        <v/>
      </c>
      <c r="O19" s="67" t="n"/>
      <c r="P19" s="2169">
        <f>IF(ISNUMBER(N19),N19-K19,"N/A")</f>
        <v/>
      </c>
      <c r="Q19" s="2168">
        <f>IFERROR(IF(ISNUMBER(N19),(N19-K19)/ABS(K19),"N/A"),"N/A")</f>
        <v/>
      </c>
      <c r="R19" s="112" t="n"/>
      <c r="S19" s="80" t="n">
        <v>45957</v>
      </c>
      <c r="T19" s="88" t="inlineStr">
        <is>
          <t>CFO Commentary</t>
        </is>
      </c>
      <c r="U19" s="67" t="n"/>
    </row>
    <row r="20" ht="14.4" customFormat="1" customHeight="1" s="1013">
      <c r="A20" s="114" t="n">
        <v>944</v>
      </c>
      <c r="B20" s="77">
        <f>IF(INDEX(MO_SNA_IsHistoricalPeriod,,MATCH(F20,MO_Common_ColumnHeader,0)),"Historical","Forward")</f>
        <v/>
      </c>
      <c r="C20" s="67" t="n"/>
      <c r="D20" s="84">
        <f>INDEX(INDIRECT(E20),0,COLUMN(MO_Common_Column_A))</f>
        <v/>
      </c>
      <c r="E20" s="78" t="inlineStr">
        <is>
          <t>MO_CFSum_Capex</t>
        </is>
      </c>
      <c r="F20" s="77" t="inlineStr">
        <is>
          <t>FY2025</t>
        </is>
      </c>
      <c r="G20" s="77" t="n"/>
      <c r="H20" s="67" t="n"/>
      <c r="I20" s="2087" t="n">
        <v>-150</v>
      </c>
      <c r="J20" s="2087" t="n">
        <v>-150</v>
      </c>
      <c r="K20" s="2087">
        <f>AVERAGE(I20:J20)</f>
        <v/>
      </c>
      <c r="L20" s="67" t="n"/>
      <c r="M20" s="77">
        <f>IF(INDEX(MO_SNA_IsHistoricalPeriod,,MATCH(F20,MO_Common_ColumnHeader,0)),"Actual","Estimate")</f>
        <v/>
      </c>
      <c r="N20" s="2087">
        <f>IFERROR(INDEX(INDIRECT(E20),0,MATCH(F20,MO_Common_ColumnHeader,0)),"N/A")</f>
        <v/>
      </c>
      <c r="O20" s="67" t="n"/>
      <c r="P20" s="2169">
        <f>IF(ISNUMBER(N20),N20-K20,"N/A")</f>
        <v/>
      </c>
      <c r="Q20" s="2168">
        <f>IFERROR(IF(ISNUMBER(N20),(N20-K20)/ABS(K20),"N/A"),"N/A")</f>
        <v/>
      </c>
      <c r="R20" s="112" t="n"/>
      <c r="S20" s="80" t="n">
        <v>45957</v>
      </c>
      <c r="T20" s="88" t="inlineStr">
        <is>
          <t>CFO Commentary</t>
        </is>
      </c>
      <c r="U20" s="67" t="n"/>
    </row>
    <row r="21" ht="14.4" customFormat="1" customHeight="1" s="1013">
      <c r="A21" s="114" t="n">
        <v>943</v>
      </c>
      <c r="B21" s="77">
        <f>IF(INDEX(MO_SNA_IsHistoricalPeriod,,MATCH(F21,MO_Common_ColumnHeader,0)),"Historical","Forward")</f>
        <v/>
      </c>
      <c r="C21" s="67" t="n"/>
      <c r="D21" s="84">
        <f>INDEX(INDIRECT(E21),0,COLUMN(MO_Common_Column_A))</f>
        <v/>
      </c>
      <c r="E21" s="78" t="inlineStr">
        <is>
          <t>MO_RIS_SBC</t>
        </is>
      </c>
      <c r="F21" s="77" t="inlineStr">
        <is>
          <t>FY2025</t>
        </is>
      </c>
      <c r="G21" s="77" t="n"/>
      <c r="H21" s="67" t="n"/>
      <c r="I21" s="2087" t="n">
        <v>455</v>
      </c>
      <c r="J21" s="2087" t="n">
        <v>455</v>
      </c>
      <c r="K21" s="2087">
        <f>AVERAGE(I21:J21)</f>
        <v/>
      </c>
      <c r="L21" s="67" t="n"/>
      <c r="M21" s="77">
        <f>IF(INDEX(MO_SNA_IsHistoricalPeriod,,MATCH(F21,MO_Common_ColumnHeader,0)),"Actual","Estimate")</f>
        <v/>
      </c>
      <c r="N21" s="2087">
        <f>IFERROR(INDEX(INDIRECT(E21),0,MATCH(F21,MO_Common_ColumnHeader,0)),"N/A")</f>
        <v/>
      </c>
      <c r="O21" s="67" t="n"/>
      <c r="P21" s="2169">
        <f>IF(ISNUMBER(N21),N21-K21,"N/A")</f>
        <v/>
      </c>
      <c r="Q21" s="2168">
        <f>IFERROR(IF(ISNUMBER(N21),(N21-K21)/ABS(K21),"N/A"),"N/A")</f>
        <v/>
      </c>
      <c r="R21" s="112" t="n"/>
      <c r="S21" s="80" t="n">
        <v>45957</v>
      </c>
      <c r="T21" s="88" t="inlineStr">
        <is>
          <t>CFO Commentary</t>
        </is>
      </c>
      <c r="U21" s="67" t="n"/>
    </row>
    <row r="22" ht="14.4" customFormat="1" customHeight="1" s="1013">
      <c r="A22" s="114" t="n">
        <v>942</v>
      </c>
      <c r="B22" s="77">
        <f>IF(INDEX(MO_SNA_IsHistoricalPeriod,,MATCH(F22,MO_Common_ColumnHeader,0)),"Historical","Forward")</f>
        <v/>
      </c>
      <c r="C22" s="67" t="n"/>
      <c r="D22" s="84">
        <f>INDEX(INDIRECT(E22),0,COLUMN(MO_Common_Column_A))</f>
        <v/>
      </c>
      <c r="E22" s="78" t="inlineStr">
        <is>
          <t>MO_RIS_Daintangibles</t>
        </is>
      </c>
      <c r="F22" s="77" t="inlineStr">
        <is>
          <t>FY2025</t>
        </is>
      </c>
      <c r="G22" s="77" t="n"/>
      <c r="H22" s="67" t="n"/>
      <c r="I22" s="2087" t="n">
        <v>103</v>
      </c>
      <c r="J22" s="2087" t="n">
        <v>103</v>
      </c>
      <c r="K22" s="2087">
        <f>AVERAGE(I22:J22)</f>
        <v/>
      </c>
      <c r="L22" s="67" t="n"/>
      <c r="M22" s="77">
        <f>IF(INDEX(MO_SNA_IsHistoricalPeriod,,MATCH(F22,MO_Common_ColumnHeader,0)),"Actual","Estimate")</f>
        <v/>
      </c>
      <c r="N22" s="2087">
        <f>IFERROR(INDEX(INDIRECT(E22),0,MATCH(F22,MO_Common_ColumnHeader,0)),"N/A")</f>
        <v/>
      </c>
      <c r="O22" s="67" t="n"/>
      <c r="P22" s="2169">
        <f>IF(ISNUMBER(N22),N22-K22,"N/A")</f>
        <v/>
      </c>
      <c r="Q22" s="2168">
        <f>IFERROR(IF(ISNUMBER(N22),(N22-K22)/ABS(K22),"N/A"),"N/A")</f>
        <v/>
      </c>
      <c r="R22" s="112" t="n"/>
      <c r="S22" s="80" t="n">
        <v>45957</v>
      </c>
      <c r="T22" s="88" t="inlineStr">
        <is>
          <t>CFO Commentary</t>
        </is>
      </c>
      <c r="U22" s="67" t="n"/>
    </row>
    <row r="23" ht="14.4" customFormat="1" customHeight="1" s="1013">
      <c r="A23" s="114" t="n">
        <v>941</v>
      </c>
      <c r="B23" s="77">
        <f>IF(INDEX(MO_SNA_IsHistoricalPeriod,,MATCH(F23,MO_Common_ColumnHeader,0)),"Historical","Forward")</f>
        <v/>
      </c>
      <c r="C23" s="67" t="n"/>
      <c r="D23" s="84" t="inlineStr">
        <is>
          <t>Acquisition and integration-related costs</t>
        </is>
      </c>
      <c r="E23" s="78" t="n"/>
      <c r="F23" s="77" t="inlineStr">
        <is>
          <t>FY2025</t>
        </is>
      </c>
      <c r="G23" s="77" t="n"/>
      <c r="H23" s="67" t="n"/>
      <c r="I23" s="2087" t="n">
        <v>115</v>
      </c>
      <c r="J23" s="2087" t="n">
        <v>115</v>
      </c>
      <c r="K23" s="2087">
        <f>AVERAGE(I23:J23)</f>
        <v/>
      </c>
      <c r="L23" s="67" t="n"/>
      <c r="M23" s="77">
        <f>IF(INDEX(MO_SNA_IsHistoricalPeriod,,MATCH(F23,MO_Common_ColumnHeader,0)),"Actual","Estimate")</f>
        <v/>
      </c>
      <c r="N23" s="2087">
        <f>IFERROR(INDEX(INDIRECT(E23),0,MATCH(F23,MO_Common_ColumnHeader,0)),"N/A")</f>
        <v/>
      </c>
      <c r="O23" s="67" t="n"/>
      <c r="P23" s="2169">
        <f>IF(ISNUMBER(N23),N23-K23,"N/A")</f>
        <v/>
      </c>
      <c r="Q23" s="2168">
        <f>IFERROR(IF(ISNUMBER(N23),(N23-K23)/ABS(K23),"N/A"),"N/A")</f>
        <v/>
      </c>
      <c r="R23" s="112" t="n"/>
      <c r="S23" s="80" t="n">
        <v>45957</v>
      </c>
      <c r="T23" s="88" t="inlineStr">
        <is>
          <t>CFO Commentary</t>
        </is>
      </c>
      <c r="U23" s="67" t="n"/>
    </row>
    <row r="24" ht="14.4" customFormat="1" customHeight="1" s="1013">
      <c r="A24" s="114" t="n">
        <v>940</v>
      </c>
      <c r="B24" s="77">
        <f>IF(INDEX(MO_SNA_IsHistoricalPeriod,,MATCH(F24,MO_Common_ColumnHeader,0)),"Historical","Forward")</f>
        <v/>
      </c>
      <c r="C24" s="67" t="n"/>
      <c r="D24" s="84" t="inlineStr">
        <is>
          <t>Restructuring and other credits</t>
        </is>
      </c>
      <c r="E24" s="78" t="n"/>
      <c r="F24" s="77" t="inlineStr">
        <is>
          <t>FY2025</t>
        </is>
      </c>
      <c r="G24" s="77" t="n"/>
      <c r="H24" s="67" t="n"/>
      <c r="I24" s="2087" t="n">
        <v>27</v>
      </c>
      <c r="J24" s="2087" t="n">
        <v>27</v>
      </c>
      <c r="K24" s="2087">
        <f>AVERAGE(I24:J24)</f>
        <v/>
      </c>
      <c r="L24" s="67" t="n"/>
      <c r="M24" s="77">
        <f>IF(INDEX(MO_SNA_IsHistoricalPeriod,,MATCH(F24,MO_Common_ColumnHeader,0)),"Actual","Estimate")</f>
        <v/>
      </c>
      <c r="N24" s="2087">
        <f>IFERROR(INDEX(INDIRECT(E24),0,MATCH(F24,MO_Common_ColumnHeader,0)),"N/A")</f>
        <v/>
      </c>
      <c r="O24" s="67" t="n"/>
      <c r="P24" s="2169">
        <f>IF(ISNUMBER(N24),N24-K24,"N/A")</f>
        <v/>
      </c>
      <c r="Q24" s="2168">
        <f>IFERROR(IF(ISNUMBER(N24),(N24-K24)/ABS(K24),"N/A"),"N/A")</f>
        <v/>
      </c>
      <c r="R24" s="112" t="n"/>
      <c r="S24" s="80" t="n">
        <v>45957</v>
      </c>
      <c r="T24" s="88" t="inlineStr">
        <is>
          <t>CFO Commentary</t>
        </is>
      </c>
      <c r="U24" s="67" t="n"/>
    </row>
    <row r="25" ht="14.4" customFormat="1" customHeight="1" s="1013">
      <c r="A25" s="114" t="n">
        <v>939</v>
      </c>
      <c r="B25" s="77">
        <f>IF(INDEX(MO_SNA_IsHistoricalPeriod,,MATCH(F25,MO_Common_ColumnHeader,0)),"Historical","Forward")</f>
        <v/>
      </c>
      <c r="C25" s="67" t="n"/>
      <c r="D25" s="84" t="inlineStr">
        <is>
          <t>Non-Qualified deferred compensation expenses</t>
        </is>
      </c>
      <c r="E25" s="78" t="n"/>
      <c r="F25" s="77" t="inlineStr">
        <is>
          <t>FY2025</t>
        </is>
      </c>
      <c r="G25" s="77" t="n"/>
      <c r="H25" s="67" t="n"/>
      <c r="I25" s="2087" t="n">
        <v>12</v>
      </c>
      <c r="J25" s="2087" t="n">
        <v>12</v>
      </c>
      <c r="K25" s="2087">
        <f>AVERAGE(I25:J25)</f>
        <v/>
      </c>
      <c r="L25" s="67" t="n"/>
      <c r="M25" s="77">
        <f>IF(INDEX(MO_SNA_IsHistoricalPeriod,,MATCH(F25,MO_Common_ColumnHeader,0)),"Actual","Estimate")</f>
        <v/>
      </c>
      <c r="N25" s="2087">
        <f>IFERROR(INDEX(INDIRECT(E25),0,MATCH(F25,MO_Common_ColumnHeader,0)),"N/A")</f>
        <v/>
      </c>
      <c r="O25" s="67" t="n"/>
      <c r="P25" s="2169">
        <f>IF(ISNUMBER(N25),N25-K25,"N/A")</f>
        <v/>
      </c>
      <c r="Q25" s="2168">
        <f>IFERROR(IF(ISNUMBER(N25),(N25-K25)/ABS(K25),"N/A"),"N/A")</f>
        <v/>
      </c>
      <c r="R25" s="112" t="n"/>
      <c r="S25" s="80" t="n">
        <v>45957</v>
      </c>
      <c r="T25" s="88" t="inlineStr">
        <is>
          <t>CFO Commentary</t>
        </is>
      </c>
      <c r="U25" s="67" t="n"/>
    </row>
    <row r="26" ht="14.4" customFormat="1" customHeight="1" s="1013">
      <c r="A26" s="114" t="n">
        <v>938</v>
      </c>
      <c r="B26" s="77">
        <f>IF(INDEX(MO_SNA_IsHistoricalPeriod,,MATCH(F26,MO_Common_ColumnHeader,0)),"Historical","Forward")</f>
        <v/>
      </c>
      <c r="C26" s="67" t="n"/>
      <c r="D26" s="84" t="inlineStr">
        <is>
          <t>Special charges</t>
        </is>
      </c>
      <c r="E26" s="78" t="n"/>
      <c r="F26" s="77" t="inlineStr">
        <is>
          <t>FY2025</t>
        </is>
      </c>
      <c r="G26" s="77" t="n"/>
      <c r="H26" s="67" t="n"/>
      <c r="I26" s="2087" t="n">
        <v>2</v>
      </c>
      <c r="J26" s="2087" t="n">
        <v>2</v>
      </c>
      <c r="K26" s="2087">
        <f>AVERAGE(I26:J26)</f>
        <v/>
      </c>
      <c r="L26" s="67" t="n"/>
      <c r="M26" s="77">
        <f>IF(INDEX(MO_SNA_IsHistoricalPeriod,,MATCH(F26,MO_Common_ColumnHeader,0)),"Actual","Estimate")</f>
        <v/>
      </c>
      <c r="N26" s="2087">
        <f>IFERROR(INDEX(INDIRECT(E26),0,MATCH(F26,MO_Common_ColumnHeader,0)),"N/A")</f>
        <v/>
      </c>
      <c r="O26" s="67" t="n"/>
      <c r="P26" s="2169">
        <f>IF(ISNUMBER(N26),N26-K26,"N/A")</f>
        <v/>
      </c>
      <c r="Q26" s="2168">
        <f>IFERROR(IF(ISNUMBER(N26),(N26-K26)/ABS(K26),"N/A"),"N/A")</f>
        <v/>
      </c>
      <c r="R26" s="112" t="n"/>
      <c r="S26" s="80" t="n">
        <v>45957</v>
      </c>
      <c r="T26" s="88" t="inlineStr">
        <is>
          <t>CFO Commentary</t>
        </is>
      </c>
      <c r="U26" s="67" t="n"/>
    </row>
    <row r="27" ht="14.4" customFormat="1" customHeight="1" s="1013">
      <c r="A27" s="114" t="n">
        <v>937</v>
      </c>
      <c r="B27" s="77">
        <f>IF(INDEX(MO_SNA_IsHistoricalPeriod,,MATCH(F27,MO_Common_ColumnHeader,0)),"Historical","Forward")</f>
        <v/>
      </c>
      <c r="C27" s="67" t="n"/>
      <c r="D27" s="84" t="inlineStr">
        <is>
          <t>Loss related to contingent liability</t>
        </is>
      </c>
      <c r="E27" s="78" t="n"/>
      <c r="F27" s="77" t="inlineStr">
        <is>
          <t>FY2025</t>
        </is>
      </c>
      <c r="G27" s="77" t="n"/>
      <c r="H27" s="67" t="n"/>
      <c r="I27" s="2087" t="n">
        <v>129</v>
      </c>
      <c r="J27" s="2087" t="n">
        <v>129</v>
      </c>
      <c r="K27" s="2087">
        <f>AVERAGE(I27:J27)</f>
        <v/>
      </c>
      <c r="L27" s="67" t="n"/>
      <c r="M27" s="77">
        <f>IF(INDEX(MO_SNA_IsHistoricalPeriod,,MATCH(F27,MO_Common_ColumnHeader,0)),"Actual","Estimate")</f>
        <v/>
      </c>
      <c r="N27" s="2087">
        <f>IFERROR(INDEX(INDIRECT(E27),0,MATCH(F27,MO_Common_ColumnHeader,0)),"N/A")</f>
        <v/>
      </c>
      <c r="O27" s="67" t="n"/>
      <c r="P27" s="2169">
        <f>IF(ISNUMBER(N27),N27-K27,"N/A")</f>
        <v/>
      </c>
      <c r="Q27" s="2168">
        <f>IFERROR(IF(ISNUMBER(N27),(N27-K27)/ABS(K27),"N/A"),"N/A")</f>
        <v/>
      </c>
      <c r="R27" s="112" t="n"/>
      <c r="S27" s="80" t="n">
        <v>45957</v>
      </c>
      <c r="T27" s="88" t="inlineStr">
        <is>
          <t>CFO Commentary</t>
        </is>
      </c>
      <c r="U27" s="67" t="n"/>
    </row>
    <row r="28" ht="14.4" customFormat="1" customHeight="1" s="1013">
      <c r="A28" s="114" t="n">
        <v>936</v>
      </c>
      <c r="B28" s="77">
        <f>IF(INDEX(MO_SNA_IsHistoricalPeriod,,MATCH(F28,MO_Common_ColumnHeader,0)),"Historical","Forward")</f>
        <v/>
      </c>
      <c r="C28" s="67" t="n"/>
      <c r="D28" s="84" t="inlineStr">
        <is>
          <t>GAAP Operating Expenses</t>
        </is>
      </c>
      <c r="E28" s="78" t="n"/>
      <c r="F28" s="77" t="inlineStr">
        <is>
          <t>FY2025</t>
        </is>
      </c>
      <c r="G28" s="77" t="n"/>
      <c r="H28" s="67" t="n"/>
      <c r="I28" s="2087" t="n">
        <v>3778</v>
      </c>
      <c r="J28" s="2087" t="n">
        <v>3778</v>
      </c>
      <c r="K28" s="2087">
        <f>AVERAGE(I28:J28)</f>
        <v/>
      </c>
      <c r="L28" s="67" t="n"/>
      <c r="M28" s="77">
        <f>IF(INDEX(MO_SNA_IsHistoricalPeriod,,MATCH(F28,MO_Common_ColumnHeader,0)),"Actual","Estimate")</f>
        <v/>
      </c>
      <c r="N28" s="2087">
        <f>IFERROR(INDEX(MO_RIS_COGS,0,MATCH(Guidance!F28,MO_Common_ColumnHeader,0))+INDEX(MO_RIS_RD,0,MATCH(Guidance!F28,MO_Common_ColumnHeader,0))+INDEX(MO_RIS_GA,0,MATCH(Guidance!F28,MO_Common_ColumnHeader,0))+INDEX(MO_RIS_SM,0,MATCH(Guidance!F28,MO_Common_ColumnHeader,0)),"N/A")</f>
        <v/>
      </c>
      <c r="O28" s="2072" t="n"/>
      <c r="P28" s="2169">
        <f>IF(ISNUMBER(N28),N28-K28,"N/A")</f>
        <v/>
      </c>
      <c r="Q28" s="2168">
        <f>IFERROR(IF(ISNUMBER(N28),(N28-K28)/ABS(K28),"N/A"),"N/A")</f>
        <v/>
      </c>
      <c r="R28" s="112" t="n"/>
      <c r="S28" s="80" t="n">
        <v>45957</v>
      </c>
      <c r="T28" s="88" t="inlineStr">
        <is>
          <t>CFO Commentary</t>
        </is>
      </c>
      <c r="U28" s="67" t="n"/>
    </row>
    <row r="29" ht="14.4" customFormat="1" customHeight="1" s="1013">
      <c r="A29" s="114" t="n">
        <v>935</v>
      </c>
      <c r="B29" s="77">
        <f>IF(INDEX(MO_SNA_IsHistoricalPeriod,,MATCH(F29,MO_Common_ColumnHeader,0)),"Historical","Forward")</f>
        <v/>
      </c>
      <c r="C29" s="67" t="n"/>
      <c r="D29" s="84" t="inlineStr">
        <is>
          <t>Non-GAAP Operating Expenses</t>
        </is>
      </c>
      <c r="E29" s="78" t="n"/>
      <c r="F29" s="77" t="inlineStr">
        <is>
          <t>FY2025</t>
        </is>
      </c>
      <c r="G29" s="77" t="n"/>
      <c r="H29" s="67" t="n"/>
      <c r="I29" s="2087" t="n">
        <v>2935</v>
      </c>
      <c r="J29" s="2087" t="n">
        <v>2935</v>
      </c>
      <c r="K29" s="2087">
        <f>AVERAGE(I29:J29)</f>
        <v/>
      </c>
      <c r="L29" s="67" t="n"/>
      <c r="M29" s="77">
        <f>IF(INDEX(MO_SNA_IsHistoricalPeriod,,MATCH(F29,MO_Common_ColumnHeader,0)),"Actual","Estimate")</f>
        <v/>
      </c>
      <c r="N29" s="2087">
        <f>IFERROR(INDEX(MO_RIS_REV,0,MATCH(Guidance!F29,MO_Common_ColumnHeader,0))+INDEX(MO_RIS_RD_NONGAAP,0,MATCH(Guidance!F29,MO_Common_ColumnHeader,0))+INDEX(MO_RIS_GA_NONGAAP,0,MATCH(Guidance!F29,MO_Common_ColumnHeader,0))+INDEX(MO_RIS_SM_NONGAAP,0,MATCH(Guidance!F29,MO_Common_ColumnHeader,0))-INDEX(MO_RIS_GP_NONGAAP,0,MATCH(Guidance!F29,MO_Common_ColumnHeader,0)),"N/A")</f>
        <v/>
      </c>
      <c r="O29" s="2072" t="n"/>
      <c r="P29" s="2169">
        <f>IF(ISNUMBER(N29),N29-K29,"N/A")</f>
        <v/>
      </c>
      <c r="Q29" s="2168">
        <f>IFERROR(IF(ISNUMBER(N29),(N29-K29)/ABS(K29),"N/A"),"N/A")</f>
        <v/>
      </c>
      <c r="R29" s="112" t="n"/>
      <c r="S29" s="80" t="n">
        <v>45957</v>
      </c>
      <c r="T29" s="88" t="inlineStr">
        <is>
          <t>CFO Commentary</t>
        </is>
      </c>
      <c r="U29" s="67" t="n"/>
    </row>
    <row r="30" ht="14.4" customFormat="1" customHeight="1" s="1013">
      <c r="A30" s="114" t="n">
        <v>934</v>
      </c>
      <c r="B30" s="67" t="n"/>
      <c r="C30" s="67" t="n"/>
      <c r="D30" s="68" t="n"/>
      <c r="E30" s="69" t="n"/>
      <c r="F30" s="67" t="n"/>
      <c r="G30" s="67" t="n"/>
      <c r="H30" s="67" t="n"/>
      <c r="I30" s="2072" t="n"/>
      <c r="J30" s="2072" t="n"/>
      <c r="K30" s="2072" t="n"/>
      <c r="L30" s="67" t="n"/>
      <c r="M30" s="67" t="n"/>
      <c r="N30" s="2072" t="n"/>
      <c r="O30" s="67" t="n"/>
      <c r="P30" s="2172" t="n"/>
      <c r="Q30" s="2173" t="n"/>
      <c r="R30" s="112" t="n"/>
      <c r="S30" s="112" t="n"/>
      <c r="T30" s="344" t="n"/>
      <c r="U30" s="67" t="n"/>
    </row>
    <row r="31" ht="14.4" customFormat="1" customHeight="1" s="1013">
      <c r="A31" s="114" t="n">
        <v>933</v>
      </c>
      <c r="B31" s="77">
        <f>IF(INDEX(MO_SNA_IsHistoricalPeriod,,MATCH(F31,MO_Common_ColumnHeader,0)),"Historical","Forward")</f>
        <v/>
      </c>
      <c r="C31" s="67" t="n"/>
      <c r="D31" s="84">
        <f>INDEX(INDIRECT(E31),0,COLUMN(MO_Common_Column_A))</f>
        <v/>
      </c>
      <c r="E31" s="78" t="inlineStr">
        <is>
          <t>MO_RIS_REV</t>
        </is>
      </c>
      <c r="F31" s="77" t="inlineStr">
        <is>
          <t>Q4-2025</t>
        </is>
      </c>
      <c r="G31" s="77" t="n"/>
      <c r="H31" s="67" t="n"/>
      <c r="I31" s="2087" t="n">
        <v>1405</v>
      </c>
      <c r="J31" s="2087" t="n">
        <v>1435</v>
      </c>
      <c r="K31" s="2087">
        <f>AVERAGE(I31:J31)</f>
        <v/>
      </c>
      <c r="L31" s="67" t="n"/>
      <c r="M31" s="77">
        <f>IF(INDEX(MO_SNA_IsHistoricalPeriod,,MATCH(F31,MO_Common_ColumnHeader,0)),"Actual","Estimate")</f>
        <v/>
      </c>
      <c r="N31" s="2087">
        <f>IFERROR(INDEX(INDIRECT(E31),0,MATCH(F31,MO_Common_ColumnHeader,0)),"N/A")</f>
        <v/>
      </c>
      <c r="O31" s="67" t="n"/>
      <c r="P31" s="2169">
        <f>IF(ISNUMBER(N31),N31-K31,"N/A")</f>
        <v/>
      </c>
      <c r="Q31" s="2168">
        <f>IFERROR(IF(ISNUMBER(N31),(N31-K31)/ABS(K31),"N/A"),"N/A")</f>
        <v/>
      </c>
      <c r="R31" s="112" t="n"/>
      <c r="S31" s="80" t="n">
        <v>45957</v>
      </c>
      <c r="T31" s="88" t="inlineStr">
        <is>
          <t>CFO Commentary</t>
        </is>
      </c>
      <c r="U31" s="67" t="n"/>
    </row>
    <row r="32" ht="14.4" customFormat="1" customHeight="1" s="1013">
      <c r="A32" s="114" t="n">
        <v>932</v>
      </c>
      <c r="B32" s="77">
        <f>IF(INDEX(MO_SNA_IsHistoricalPeriod,,MATCH(F32,MO_Common_ColumnHeader,0)),"Historical","Forward")</f>
        <v/>
      </c>
      <c r="C32" s="67" t="n"/>
      <c r="D32" s="84" t="inlineStr">
        <is>
          <t>GAAP Operating Margin</t>
        </is>
      </c>
      <c r="E32" s="78" t="inlineStr">
        <is>
          <t>MO_MA_EBIT</t>
        </is>
      </c>
      <c r="F32" s="77" t="inlineStr">
        <is>
          <t>Q4-2025</t>
        </is>
      </c>
      <c r="G32" s="77" t="n"/>
      <c r="H32" s="67" t="n"/>
      <c r="I32" s="2108" t="n">
        <v>0.325</v>
      </c>
      <c r="J32" s="2108" t="n">
        <v>0.335</v>
      </c>
      <c r="K32" s="2108">
        <f>AVERAGE(I32:J32)</f>
        <v/>
      </c>
      <c r="L32" s="67" t="n"/>
      <c r="M32" s="77">
        <f>IF(INDEX(MO_SNA_IsHistoricalPeriod,,MATCH(F32,MO_Common_ColumnHeader,0)),"Actual","Estimate")</f>
        <v/>
      </c>
      <c r="N32" s="2108">
        <f>IFERROR(INDEX(INDIRECT(E32),0,MATCH(F32,MO_Common_ColumnHeader,0)),"N/A")</f>
        <v/>
      </c>
      <c r="O32" s="67" t="n"/>
      <c r="P32" s="2168">
        <f>IF(ISNUMBER(N32),N32-K32,"N/A")</f>
        <v/>
      </c>
      <c r="Q32" s="2168">
        <f>IFERROR(IF(ISNUMBER(N32),(N32-K32)/ABS(K32),"N/A"),"N/A")</f>
        <v/>
      </c>
      <c r="R32" s="112" t="n"/>
      <c r="S32" s="80" t="n">
        <v>45957</v>
      </c>
      <c r="T32" s="88" t="inlineStr">
        <is>
          <t>CFO Commentary</t>
        </is>
      </c>
      <c r="U32" s="67" t="n"/>
    </row>
    <row r="33" ht="14.4" customFormat="1" customHeight="1" s="1013">
      <c r="A33" s="114" t="n">
        <v>931</v>
      </c>
      <c r="B33" s="77">
        <f>IF(INDEX(MO_SNA_IsHistoricalPeriod,,MATCH(F33,MO_Common_ColumnHeader,0)),"Historical","Forward")</f>
        <v/>
      </c>
      <c r="C33" s="67" t="n"/>
      <c r="D33" s="84">
        <f>INDEX(INDIRECT(E33),0,COLUMN(MO_Common_Column_A))</f>
        <v/>
      </c>
      <c r="E33" s="78" t="inlineStr">
        <is>
          <t>MO_MA_OperatingIncome_NONGAAP</t>
        </is>
      </c>
      <c r="F33" s="77" t="inlineStr">
        <is>
          <t>Q4-2025</t>
        </is>
      </c>
      <c r="G33" s="77" t="n"/>
      <c r="H33" s="67" t="n"/>
      <c r="I33" s="2108" t="n">
        <v>0.445</v>
      </c>
      <c r="J33" s="2108" t="n">
        <v>0.455</v>
      </c>
      <c r="K33" s="2108">
        <f>AVERAGE(I33:J33)</f>
        <v/>
      </c>
      <c r="L33" s="67" t="n"/>
      <c r="M33" s="77">
        <f>IF(INDEX(MO_SNA_IsHistoricalPeriod,,MATCH(F33,MO_Common_ColumnHeader,0)),"Actual","Estimate")</f>
        <v/>
      </c>
      <c r="N33" s="2108">
        <f>IFERROR(INDEX(INDIRECT(E33),0,MATCH(F33,MO_Common_ColumnHeader,0)),"N/A")</f>
        <v/>
      </c>
      <c r="O33" s="67" t="n"/>
      <c r="P33" s="2168">
        <f>IF(ISNUMBER(N33),N33-K33,"N/A")</f>
        <v/>
      </c>
      <c r="Q33" s="2168">
        <f>IFERROR(IF(ISNUMBER(N33),(N33-K33)/ABS(K33),"N/A"),"N/A")</f>
        <v/>
      </c>
      <c r="R33" s="112" t="n"/>
      <c r="S33" s="80" t="n">
        <v>45957</v>
      </c>
      <c r="T33" s="88" t="inlineStr">
        <is>
          <t>CFO Commentary</t>
        </is>
      </c>
      <c r="U33" s="67" t="n"/>
    </row>
    <row r="34" ht="14.4" customFormat="1" customHeight="1" s="1013">
      <c r="A34" s="114" t="n">
        <v>930</v>
      </c>
      <c r="B34" s="77">
        <f>IF(INDEX(MO_SNA_IsHistoricalPeriod,,MATCH(F34,MO_Common_ColumnHeader,0)),"Historical","Forward")</f>
        <v/>
      </c>
      <c r="C34" s="67" t="n"/>
      <c r="D34" s="84">
        <f>INDEX(INDIRECT(E34),0,COLUMN(MO_Common_Column_A))</f>
        <v/>
      </c>
      <c r="E34" s="78" t="inlineStr">
        <is>
          <t>MO_RIS_EPS_WAD</t>
        </is>
      </c>
      <c r="F34" s="77" t="inlineStr">
        <is>
          <t>Q4-2025</t>
        </is>
      </c>
      <c r="G34" s="77" t="n"/>
      <c r="H34" s="67" t="n"/>
      <c r="I34" s="2170" t="n">
        <v>1.17</v>
      </c>
      <c r="J34" s="2170" t="n">
        <v>1.23</v>
      </c>
      <c r="K34" s="2170">
        <f>AVERAGE(I34:J34)</f>
        <v/>
      </c>
      <c r="L34" s="67" t="n"/>
      <c r="M34" s="77">
        <f>IF(INDEX(MO_SNA_IsHistoricalPeriod,,MATCH(F34,MO_Common_ColumnHeader,0)),"Actual","Estimate")</f>
        <v/>
      </c>
      <c r="N34" s="2170">
        <f>IFERROR(INDEX(INDIRECT(E34),0,MATCH(F34,MO_Common_ColumnHeader,0)),"N/A")</f>
        <v/>
      </c>
      <c r="O34" s="67" t="n"/>
      <c r="P34" s="2171">
        <f>IF(ISNUMBER(N34),N34-K34,"N/A")</f>
        <v/>
      </c>
      <c r="Q34" s="2168">
        <f>IFERROR(IF(ISNUMBER(N34),(N34-K34)/ABS(K34),"N/A"),"N/A")</f>
        <v/>
      </c>
      <c r="R34" s="112" t="n"/>
      <c r="S34" s="80" t="n">
        <v>45957</v>
      </c>
      <c r="T34" s="88" t="inlineStr">
        <is>
          <t>CFO Commentary</t>
        </is>
      </c>
      <c r="U34" s="67" t="n"/>
    </row>
    <row r="35" ht="14.4" customFormat="1" customHeight="1" s="1013">
      <c r="A35" s="114" t="n">
        <v>929</v>
      </c>
      <c r="B35" s="77">
        <f>IF(INDEX(MO_SNA_IsHistoricalPeriod,,MATCH(F35,MO_Common_ColumnHeader,0)),"Historical","Forward")</f>
        <v/>
      </c>
      <c r="C35" s="67" t="n"/>
      <c r="D35" s="84">
        <f>INDEX(INDIRECT(E35),0,COLUMN(MO_Common_Column_A))</f>
        <v/>
      </c>
      <c r="E35" s="78" t="inlineStr">
        <is>
          <t>MO_RIS_EPS_WAD_Adj</t>
        </is>
      </c>
      <c r="F35" s="77" t="inlineStr">
        <is>
          <t>Q4-2025</t>
        </is>
      </c>
      <c r="G35" s="77" t="n"/>
      <c r="H35" s="67" t="n"/>
      <c r="I35" s="2170" t="n">
        <v>1.88</v>
      </c>
      <c r="J35" s="2170" t="n">
        <v>1.94</v>
      </c>
      <c r="K35" s="2170">
        <f>AVERAGE(I35:J35)</f>
        <v/>
      </c>
      <c r="L35" s="67" t="n"/>
      <c r="M35" s="77">
        <f>IF(INDEX(MO_SNA_IsHistoricalPeriod,,MATCH(F35,MO_Common_ColumnHeader,0)),"Actual","Estimate")</f>
        <v/>
      </c>
      <c r="N35" s="2170">
        <f>IFERROR(INDEX(INDIRECT(E35),0,MATCH(F35,MO_Common_ColumnHeader,0)),"N/A")</f>
        <v/>
      </c>
      <c r="O35" s="67" t="n"/>
      <c r="P35" s="2171">
        <f>IF(ISNUMBER(N35),N35-K35,"N/A")</f>
        <v/>
      </c>
      <c r="Q35" s="2168">
        <f>IFERROR(IF(ISNUMBER(N35),(N35-K35)/ABS(K35),"N/A"),"N/A")</f>
        <v/>
      </c>
      <c r="R35" s="112" t="n"/>
      <c r="S35" s="80" t="n">
        <v>45957</v>
      </c>
      <c r="T35" s="88" t="inlineStr">
        <is>
          <t>CFO Commentary</t>
        </is>
      </c>
      <c r="U35" s="67" t="n"/>
    </row>
    <row r="36" ht="14.4" customFormat="1" customHeight="1" s="1013">
      <c r="A36" s="114" t="n">
        <v>928</v>
      </c>
      <c r="B36" s="77">
        <f>IF(INDEX(MO_SNA_IsHistoricalPeriod,,MATCH(F36,MO_Common_ColumnHeader,0)),"Historical","Forward")</f>
        <v/>
      </c>
      <c r="C36" s="67" t="n"/>
      <c r="D36" s="84">
        <f>INDEX(INDIRECT(E36),0,COLUMN(MO_Common_Column_A))</f>
        <v/>
      </c>
      <c r="E36" s="78" t="inlineStr">
        <is>
          <t>MO_CFSum_NetShares</t>
        </is>
      </c>
      <c r="F36" s="77" t="inlineStr">
        <is>
          <t>Q4-2025</t>
        </is>
      </c>
      <c r="G36" s="77" t="n"/>
      <c r="H36" s="67" t="n"/>
      <c r="I36" s="2087" t="n">
        <v>-200</v>
      </c>
      <c r="J36" s="2087" t="n">
        <v>-200</v>
      </c>
      <c r="K36" s="2087">
        <f>AVERAGE(I36:J36)</f>
        <v/>
      </c>
      <c r="L36" s="67" t="n"/>
      <c r="M36" s="77">
        <f>IF(INDEX(MO_SNA_IsHistoricalPeriod,,MATCH(F36,MO_Common_ColumnHeader,0)),"Actual","Estimate")</f>
        <v/>
      </c>
      <c r="N36" s="2087">
        <f>IFERROR(INDEX(INDIRECT(E36),0,MATCH(F36,MO_Common_ColumnHeader,0)),"N/A")</f>
        <v/>
      </c>
      <c r="O36" s="67" t="n"/>
      <c r="P36" s="2169">
        <f>IF(ISNUMBER(N36),N36-K36,"N/A")</f>
        <v/>
      </c>
      <c r="Q36" s="2168">
        <f>IFERROR(IF(ISNUMBER(N36),(N36-K36)/ABS(K36),"N/A"),"N/A")</f>
        <v/>
      </c>
      <c r="R36" s="112" t="n"/>
      <c r="S36" s="80" t="n">
        <v>45957</v>
      </c>
      <c r="T36" s="88" t="inlineStr">
        <is>
          <t>CFO Commentary</t>
        </is>
      </c>
      <c r="U36" s="67" t="n"/>
    </row>
    <row r="37" ht="14.4" customFormat="1" customHeight="1" s="1013">
      <c r="A37" s="114" t="n">
        <v>927</v>
      </c>
      <c r="B37" s="67" t="n"/>
      <c r="C37" s="67" t="n"/>
      <c r="D37" s="68" t="n"/>
      <c r="E37" s="69" t="n"/>
      <c r="F37" s="67" t="n"/>
      <c r="G37" s="67" t="n"/>
      <c r="H37" s="67" t="n"/>
      <c r="I37" s="2072" t="n"/>
      <c r="J37" s="2072" t="n"/>
      <c r="K37" s="2072" t="n"/>
      <c r="L37" s="67" t="n"/>
      <c r="M37" s="67" t="n"/>
      <c r="N37" s="2072" t="n"/>
      <c r="O37" s="67" t="n"/>
      <c r="P37" s="2172" t="n"/>
      <c r="Q37" s="2173" t="n"/>
      <c r="R37" s="112" t="n"/>
      <c r="S37" s="112" t="n"/>
      <c r="T37" s="344" t="n"/>
      <c r="U37" s="67" t="n"/>
    </row>
    <row r="38" ht="14.4" customFormat="1" customHeight="1" s="1013">
      <c r="A38" s="114" t="n">
        <v>926</v>
      </c>
      <c r="B38" s="77">
        <f>IF(INDEX(MO_SNA_IsHistoricalPeriod,,MATCH(F38,MO_Common_ColumnHeader,0)),"Historical","Forward")</f>
        <v/>
      </c>
      <c r="C38" s="67" t="n"/>
      <c r="D38" s="84" t="inlineStr">
        <is>
          <t>Recurring Revenue %</t>
        </is>
      </c>
      <c r="E38" s="78" t="n"/>
      <c r="F38" s="77" t="inlineStr">
        <is>
          <t>FY2025</t>
        </is>
      </c>
      <c r="G38" s="77" t="n"/>
      <c r="H38" s="67" t="n"/>
      <c r="I38" s="2108" t="n">
        <v>0.8</v>
      </c>
      <c r="J38" s="2108" t="n">
        <v>0.8</v>
      </c>
      <c r="K38" s="2108">
        <f>AVERAGE(I38:J38)</f>
        <v/>
      </c>
      <c r="L38" s="67" t="n"/>
      <c r="M38" s="77">
        <f>IF(INDEX(MO_SNA_IsHistoricalPeriod,,MATCH(F38,MO_Common_ColumnHeader,0)),"Actual","Estimate")</f>
        <v/>
      </c>
      <c r="N38" s="2108">
        <f>IFERROR(INDEX(INDIRECT(E38),0,MATCH(F38,MO_Common_ColumnHeader,0)),"N/A")</f>
        <v/>
      </c>
      <c r="O38" s="2072" t="n"/>
      <c r="P38" s="2168">
        <f>IF(ISNUMBER(N38),N38-K38,"N/A")</f>
        <v/>
      </c>
      <c r="Q38" s="2168">
        <f>IFERROR(IF(ISNUMBER(N38),(N38-K38)/ABS(K38),"N/A"),"N/A")</f>
        <v/>
      </c>
      <c r="R38" s="112" t="n"/>
      <c r="S38" s="80" t="n">
        <v>45866</v>
      </c>
      <c r="T38" s="88" t="inlineStr">
        <is>
          <t>CFO Commentary</t>
        </is>
      </c>
      <c r="U38" s="67" t="n"/>
    </row>
    <row r="39" ht="14.4" customFormat="1" customHeight="1" s="1013">
      <c r="A39" s="114" t="n">
        <v>925</v>
      </c>
      <c r="B39" s="77">
        <f>IF(INDEX(MO_SNA_IsHistoricalPeriod,,MATCH(F39,MO_Common_ColumnHeader,0)),"Historical","Forward")</f>
        <v/>
      </c>
      <c r="C39" s="67" t="n"/>
      <c r="D39" s="84" t="inlineStr">
        <is>
          <t>Revenue from Beginning Backlog %</t>
        </is>
      </c>
      <c r="E39" s="78" t="n"/>
      <c r="F39" s="77" t="inlineStr">
        <is>
          <t>FY2025</t>
        </is>
      </c>
      <c r="G39" s="77" t="n"/>
      <c r="H39" s="67" t="n"/>
      <c r="I39" s="2108" t="n">
        <v>0.7</v>
      </c>
      <c r="J39" s="2108" t="n">
        <v>0.7</v>
      </c>
      <c r="K39" s="2108">
        <f>AVERAGE(I39:J39)</f>
        <v/>
      </c>
      <c r="L39" s="67" t="n"/>
      <c r="M39" s="77">
        <f>IF(INDEX(MO_SNA_IsHistoricalPeriod,,MATCH(F39,MO_Common_ColumnHeader,0)),"Actual","Estimate")</f>
        <v/>
      </c>
      <c r="N39" s="2108">
        <f>IFERROR(INDEX(INDIRECT(E39),0,MATCH(F39,MO_Common_ColumnHeader,0)),"N/A")</f>
        <v/>
      </c>
      <c r="O39" s="2072" t="n"/>
      <c r="P39" s="2168">
        <f>IF(ISNUMBER(N39),N39-K39,"N/A")</f>
        <v/>
      </c>
      <c r="Q39" s="2168">
        <f>IFERROR(IF(ISNUMBER(N39),(N39-K39)/ABS(K39),"N/A"),"N/A")</f>
        <v/>
      </c>
      <c r="R39" s="112" t="n"/>
      <c r="S39" s="80" t="n">
        <v>45866</v>
      </c>
      <c r="T39" s="88" t="inlineStr">
        <is>
          <t>CFO Commentary</t>
        </is>
      </c>
      <c r="U39" s="67" t="n"/>
    </row>
    <row r="40" ht="14.4" customFormat="1" customHeight="1" s="1013">
      <c r="A40" s="114" t="n">
        <v>924</v>
      </c>
      <c r="B40" s="77">
        <f>IF(INDEX(MO_SNA_IsHistoricalPeriod,,MATCH(F40,MO_Common_ColumnHeader,0)),"Historical","Forward")</f>
        <v/>
      </c>
      <c r="C40" s="67" t="n"/>
      <c r="D40" s="84">
        <f>INDEX(INDIRECT(E40),0,COLUMN(MO_Common_Column_A))</f>
        <v/>
      </c>
      <c r="E40" s="78" t="inlineStr">
        <is>
          <t>MO_RIS_REV</t>
        </is>
      </c>
      <c r="F40" s="77" t="inlineStr">
        <is>
          <t>FY2025</t>
        </is>
      </c>
      <c r="G40" s="77" t="n"/>
      <c r="H40" s="67" t="n"/>
      <c r="I40" s="2087" t="n">
        <v>5210</v>
      </c>
      <c r="J40" s="2087" t="n">
        <v>5270</v>
      </c>
      <c r="K40" s="2087">
        <f>AVERAGE(I40:J40)</f>
        <v/>
      </c>
      <c r="L40" s="67" t="n"/>
      <c r="M40" s="77">
        <f>IF(INDEX(MO_SNA_IsHistoricalPeriod,,MATCH(F40,MO_Common_ColumnHeader,0)),"Actual","Estimate")</f>
        <v/>
      </c>
      <c r="N40" s="2087">
        <f>IFERROR(INDEX(INDIRECT(E40),0,MATCH(F40,MO_Common_ColumnHeader,0)),"N/A")</f>
        <v/>
      </c>
      <c r="O40" s="2072" t="n"/>
      <c r="P40" s="2169">
        <f>IF(ISNUMBER(N40),N40-K40,"N/A")</f>
        <v/>
      </c>
      <c r="Q40" s="2168">
        <f>IFERROR(IF(ISNUMBER(N40),(N40-K40)/ABS(K40),"N/A"),"N/A")</f>
        <v/>
      </c>
      <c r="R40" s="112" t="n"/>
      <c r="S40" s="80" t="n">
        <v>45866</v>
      </c>
      <c r="T40" s="88" t="inlineStr">
        <is>
          <t>CFO Commentary</t>
        </is>
      </c>
      <c r="U40" s="67" t="n"/>
    </row>
    <row r="41" ht="14.4" customFormat="1" customHeight="1" s="1013">
      <c r="A41" s="114" t="n">
        <v>923</v>
      </c>
      <c r="B41" s="77">
        <f>IF(INDEX(MO_SNA_IsHistoricalPeriod,,MATCH(F41,MO_Common_ColumnHeader,0)),"Historical","Forward")</f>
        <v/>
      </c>
      <c r="C41" s="67" t="n"/>
      <c r="D41" s="84" t="inlineStr">
        <is>
          <t>GAAP Operating Margin</t>
        </is>
      </c>
      <c r="E41" s="78" t="inlineStr">
        <is>
          <t>MO_MA_EBIT</t>
        </is>
      </c>
      <c r="F41" s="77" t="inlineStr">
        <is>
          <t>FY2025</t>
        </is>
      </c>
      <c r="G41" s="77" t="n"/>
      <c r="H41" s="67" t="n"/>
      <c r="I41" s="2108" t="n">
        <v>0.285</v>
      </c>
      <c r="J41" s="2108" t="n">
        <v>0.295</v>
      </c>
      <c r="K41" s="2108">
        <f>AVERAGE(I41:J41)</f>
        <v/>
      </c>
      <c r="L41" s="67" t="n"/>
      <c r="M41" s="77">
        <f>IF(INDEX(MO_SNA_IsHistoricalPeriod,,MATCH(F41,MO_Common_ColumnHeader,0)),"Actual","Estimate")</f>
        <v/>
      </c>
      <c r="N41" s="2108">
        <f>IFERROR(INDEX(INDIRECT(E41),0,MATCH(F41,MO_Common_ColumnHeader,0)),"N/A")</f>
        <v/>
      </c>
      <c r="O41" s="67" t="n"/>
      <c r="P41" s="2168">
        <f>IF(ISNUMBER(N41),N41-K41,"N/A")</f>
        <v/>
      </c>
      <c r="Q41" s="2168">
        <f>IFERROR(IF(ISNUMBER(N41),(N41-K41)/ABS(K41),"N/A"),"N/A")</f>
        <v/>
      </c>
      <c r="R41" s="112" t="n"/>
      <c r="S41" s="80" t="n">
        <v>45866</v>
      </c>
      <c r="T41" s="88" t="inlineStr">
        <is>
          <t>CFO Commentary</t>
        </is>
      </c>
      <c r="U41" s="67" t="n"/>
    </row>
    <row r="42" ht="14.4" customFormat="1" customHeight="1" s="1013">
      <c r="A42" s="114" t="n">
        <v>922</v>
      </c>
      <c r="B42" s="77">
        <f>IF(INDEX(MO_SNA_IsHistoricalPeriod,,MATCH(F42,MO_Common_ColumnHeader,0)),"Historical","Forward")</f>
        <v/>
      </c>
      <c r="C42" s="67" t="n"/>
      <c r="D42" s="84">
        <f>INDEX(INDIRECT(E42),0,COLUMN(MO_Common_Column_A))</f>
        <v/>
      </c>
      <c r="E42" s="78" t="inlineStr">
        <is>
          <t>MO_MA_OperatingIncome_NONGAAP</t>
        </is>
      </c>
      <c r="F42" s="77" t="inlineStr">
        <is>
          <t>FY2025</t>
        </is>
      </c>
      <c r="G42" s="77" t="n"/>
      <c r="H42" s="67" t="n"/>
      <c r="I42" s="2108" t="n">
        <v>0.435</v>
      </c>
      <c r="J42" s="2108" t="n">
        <v>0.445</v>
      </c>
      <c r="K42" s="2108">
        <f>AVERAGE(I42:J42)</f>
        <v/>
      </c>
      <c r="L42" s="67" t="n"/>
      <c r="M42" s="77">
        <f>IF(INDEX(MO_SNA_IsHistoricalPeriod,,MATCH(F42,MO_Common_ColumnHeader,0)),"Actual","Estimate")</f>
        <v/>
      </c>
      <c r="N42" s="2108">
        <f>IFERROR(INDEX(INDIRECT(E42),0,MATCH(F42,MO_Common_ColumnHeader,0)),"N/A")</f>
        <v/>
      </c>
      <c r="O42" s="67" t="n"/>
      <c r="P42" s="2168">
        <f>IF(ISNUMBER(N42),N42-K42,"N/A")</f>
        <v/>
      </c>
      <c r="Q42" s="2168">
        <f>IFERROR(IF(ISNUMBER(N42),(N42-K42)/ABS(K42),"N/A"),"N/A")</f>
        <v/>
      </c>
      <c r="R42" s="112" t="n"/>
      <c r="S42" s="80" t="n">
        <v>45866</v>
      </c>
      <c r="T42" s="88" t="inlineStr">
        <is>
          <t>CFO Commentary</t>
        </is>
      </c>
      <c r="U42" s="67" t="n"/>
    </row>
    <row r="43" ht="14.4" customFormat="1" customHeight="1" s="1013">
      <c r="A43" s="114" t="n">
        <v>921</v>
      </c>
      <c r="B43" s="77">
        <f>IF(INDEX(MO_SNA_IsHistoricalPeriod,,MATCH(F43,MO_Common_ColumnHeader,0)),"Historical","Forward")</f>
        <v/>
      </c>
      <c r="C43" s="67" t="n"/>
      <c r="D43" s="84">
        <f>INDEX(INDIRECT(E43),0,COLUMN(MO_Common_Column_A))</f>
        <v/>
      </c>
      <c r="E43" s="78" t="inlineStr">
        <is>
          <t>MO_RIS_EPS_WAD</t>
        </is>
      </c>
      <c r="F43" s="77" t="inlineStr">
        <is>
          <t>FY2025</t>
        </is>
      </c>
      <c r="G43" s="77" t="n"/>
      <c r="H43" s="67" t="n"/>
      <c r="I43" s="2170" t="n">
        <v>3.97</v>
      </c>
      <c r="J43" s="2170" t="n">
        <v>4.07</v>
      </c>
      <c r="K43" s="2170">
        <f>AVERAGE(I43:J43)</f>
        <v/>
      </c>
      <c r="L43" s="67" t="n"/>
      <c r="M43" s="77">
        <f>IF(INDEX(MO_SNA_IsHistoricalPeriod,,MATCH(F43,MO_Common_ColumnHeader,0)),"Actual","Estimate")</f>
        <v/>
      </c>
      <c r="N43" s="2170">
        <f>IFERROR(INDEX(INDIRECT(E43),0,MATCH(F43,MO_Common_ColumnHeader,0)),"N/A")</f>
        <v/>
      </c>
      <c r="O43" s="67" t="n"/>
      <c r="P43" s="2171">
        <f>IF(ISNUMBER(N43),N43-K43,"N/A")</f>
        <v/>
      </c>
      <c r="Q43" s="2168">
        <f>IFERROR(IF(ISNUMBER(N43),(N43-K43)/ABS(K43),"N/A"),"N/A")</f>
        <v/>
      </c>
      <c r="R43" s="112" t="n"/>
      <c r="S43" s="80" t="n">
        <v>45866</v>
      </c>
      <c r="T43" s="88" t="inlineStr">
        <is>
          <t>CFO Commentary</t>
        </is>
      </c>
      <c r="U43" s="67" t="n"/>
    </row>
    <row r="44" ht="14.4" customFormat="1" customHeight="1" s="1013">
      <c r="A44" s="114" t="n">
        <v>920</v>
      </c>
      <c r="B44" s="77">
        <f>IF(INDEX(MO_SNA_IsHistoricalPeriod,,MATCH(F44,MO_Common_ColumnHeader,0)),"Historical","Forward")</f>
        <v/>
      </c>
      <c r="C44" s="67" t="n"/>
      <c r="D44" s="84">
        <f>INDEX(INDIRECT(E44),0,COLUMN(MO_Common_Column_A))</f>
        <v/>
      </c>
      <c r="E44" s="78" t="inlineStr">
        <is>
          <t>MO_RIS_EPS_WAD_Adj</t>
        </is>
      </c>
      <c r="F44" s="77" t="inlineStr">
        <is>
          <t>FY2025</t>
        </is>
      </c>
      <c r="G44" s="77" t="n"/>
      <c r="H44" s="67" t="n"/>
      <c r="I44" s="2170" t="n">
        <v>6.85</v>
      </c>
      <c r="J44" s="2170" t="n">
        <v>6.95</v>
      </c>
      <c r="K44" s="2170">
        <f>AVERAGE(I44:J44)</f>
        <v/>
      </c>
      <c r="L44" s="67" t="n"/>
      <c r="M44" s="77">
        <f>IF(INDEX(MO_SNA_IsHistoricalPeriod,,MATCH(F44,MO_Common_ColumnHeader,0)),"Actual","Estimate")</f>
        <v/>
      </c>
      <c r="N44" s="2170">
        <f>IFERROR(INDEX(INDIRECT(E44),0,MATCH(F44,MO_Common_ColumnHeader,0)),"N/A")</f>
        <v/>
      </c>
      <c r="O44" s="67" t="n"/>
      <c r="P44" s="2171">
        <f>IF(ISNUMBER(N44),N44-K44,"N/A")</f>
        <v/>
      </c>
      <c r="Q44" s="2168">
        <f>IFERROR(IF(ISNUMBER(N44),(N44-K44)/ABS(K44),"N/A"),"N/A")</f>
        <v/>
      </c>
      <c r="R44" s="112" t="n"/>
      <c r="S44" s="80" t="n">
        <v>45866</v>
      </c>
      <c r="T44" s="88" t="inlineStr">
        <is>
          <t>CFO Commentary</t>
        </is>
      </c>
      <c r="U44" s="67" t="n"/>
    </row>
    <row r="45" ht="14.4" customFormat="1" customHeight="1" s="1013">
      <c r="A45" s="114" t="n">
        <v>919</v>
      </c>
      <c r="B45" s="77">
        <f>IF(INDEX(MO_SNA_IsHistoricalPeriod,,MATCH(F45,MO_Common_ColumnHeader,0)),"Historical","Forward")</f>
        <v/>
      </c>
      <c r="C45" s="67" t="n"/>
      <c r="D45" s="84">
        <f>INDEX(INDIRECT(E45),0,COLUMN(MO_Common_Column_A))</f>
        <v/>
      </c>
      <c r="E45" s="78" t="inlineStr">
        <is>
          <t>MO_CFS_CFO</t>
        </is>
      </c>
      <c r="F45" s="77" t="inlineStr">
        <is>
          <t>FY2025</t>
        </is>
      </c>
      <c r="G45" s="77" t="n"/>
      <c r="H45" s="67" t="n"/>
      <c r="I45" s="2087" t="n">
        <v>1650</v>
      </c>
      <c r="J45" s="2087" t="n">
        <v>1750</v>
      </c>
      <c r="K45" s="2087">
        <f>AVERAGE(I45:J45)</f>
        <v/>
      </c>
      <c r="L45" s="67" t="n"/>
      <c r="M45" s="77">
        <f>IF(INDEX(MO_SNA_IsHistoricalPeriod,,MATCH(F45,MO_Common_ColumnHeader,0)),"Actual","Estimate")</f>
        <v/>
      </c>
      <c r="N45" s="2087">
        <f>IFERROR(INDEX(INDIRECT(E45),0,MATCH(F45,MO_Common_ColumnHeader,0)),"N/A")</f>
        <v/>
      </c>
      <c r="O45" s="67" t="n"/>
      <c r="P45" s="2169">
        <f>IF(ISNUMBER(N45),N45-K45,"N/A")</f>
        <v/>
      </c>
      <c r="Q45" s="2168">
        <f>IFERROR(IF(ISNUMBER(N45),(N45-K45)/ABS(K45),"N/A"),"N/A")</f>
        <v/>
      </c>
      <c r="R45" s="112" t="n"/>
      <c r="S45" s="80" t="n">
        <v>45866</v>
      </c>
      <c r="T45" s="88" t="inlineStr">
        <is>
          <t>CFO Commentary</t>
        </is>
      </c>
      <c r="U45" s="67" t="n"/>
    </row>
    <row r="46" ht="14.4" customFormat="1" customHeight="1" s="1013">
      <c r="A46" s="114" t="n">
        <v>918</v>
      </c>
      <c r="B46" s="77">
        <f>IF(INDEX(MO_SNA_IsHistoricalPeriod,,MATCH(F46,MO_Common_ColumnHeader,0)),"Historical","Forward")</f>
        <v/>
      </c>
      <c r="C46" s="67" t="n"/>
      <c r="D46" s="84" t="inlineStr">
        <is>
          <t>GAAP Other Income &amp; Expense</t>
        </is>
      </c>
      <c r="E46" s="78" t="n"/>
      <c r="F46" s="77" t="inlineStr">
        <is>
          <t>FY2025</t>
        </is>
      </c>
      <c r="G46" s="77" t="n"/>
      <c r="H46" s="67" t="n"/>
      <c r="I46" s="2087" t="n">
        <v>-9</v>
      </c>
      <c r="J46" s="2087" t="n">
        <v>11</v>
      </c>
      <c r="K46" s="2087">
        <f>AVERAGE(I46:J46)</f>
        <v/>
      </c>
      <c r="L46" s="67" t="n"/>
      <c r="M46" s="77">
        <f>IF(INDEX(MO_SNA_IsHistoricalPeriod,,MATCH(F46,MO_Common_ColumnHeader,0)),"Actual","Estimate")</f>
        <v/>
      </c>
      <c r="N46" s="2087">
        <f>-IFERROR(INDEX(MO_RIS_IE_Net,0,MATCH(F46,MO_Common_ColumnHeader,0)),"N/A")-IFERROR(INDEX(MO_RIS_OI,0,MATCH(F46,MO_Common_ColumnHeader,0)),"N/A")</f>
        <v/>
      </c>
      <c r="O46" s="67" t="n"/>
      <c r="P46" s="2169">
        <f>IF(ISNUMBER(N46),N46-K46,"N/A")</f>
        <v/>
      </c>
      <c r="Q46" s="2168">
        <f>IFERROR(IF(ISNUMBER(N46),(N46-K46)/ABS(K46),"N/A"),"N/A")</f>
        <v/>
      </c>
      <c r="R46" s="112" t="n"/>
      <c r="S46" s="80" t="n">
        <v>45866</v>
      </c>
      <c r="T46" s="88" t="inlineStr">
        <is>
          <t>CFO Commentary</t>
        </is>
      </c>
      <c r="U46" s="67" t="n"/>
    </row>
    <row r="47" ht="14.4" customFormat="1" customHeight="1" s="1013">
      <c r="A47" s="114" t="n">
        <v>917</v>
      </c>
      <c r="B47" s="77">
        <f>IF(INDEX(MO_SNA_IsHistoricalPeriod,,MATCH(F47,MO_Common_ColumnHeader,0)),"Historical","Forward")</f>
        <v/>
      </c>
      <c r="C47" s="67" t="n"/>
      <c r="D47" s="84" t="inlineStr">
        <is>
          <t>Non-GAAP Other Income &amp; Expense</t>
        </is>
      </c>
      <c r="E47" s="78" t="n"/>
      <c r="F47" s="77" t="inlineStr">
        <is>
          <t>FY2025</t>
        </is>
      </c>
      <c r="G47" s="77" t="n"/>
      <c r="H47" s="67" t="n"/>
      <c r="I47" s="2087" t="n">
        <v>-52</v>
      </c>
      <c r="J47" s="2087" t="n">
        <v>-32</v>
      </c>
      <c r="K47" s="2087">
        <f>AVERAGE(I47:J47)</f>
        <v/>
      </c>
      <c r="L47" s="67" t="n"/>
      <c r="M47" s="77">
        <f>IF(INDEX(MO_SNA_IsHistoricalPeriod,,MATCH(F47,MO_Common_ColumnHeader,0)),"Actual","Estimate")</f>
        <v/>
      </c>
      <c r="N47" s="2087">
        <f>-IFERROR(INDEX(MO_RIS_IE_Net_NONGAAP,0,MATCH(F47,MO_Common_ColumnHeader,0)),"N/A")-IFERROR(INDEX(MO_RIS_OI_NONGAAP,0,MATCH(F47,MO_Common_ColumnHeader,0)),"N/A")</f>
        <v/>
      </c>
      <c r="O47" s="67" t="n"/>
      <c r="P47" s="2169">
        <f>IF(ISNUMBER(N47),N47-K47,"N/A")</f>
        <v/>
      </c>
      <c r="Q47" s="2168">
        <f>IFERROR(IF(ISNUMBER(N47),(N47-K47)/ABS(K47),"N/A"),"N/A")</f>
        <v/>
      </c>
      <c r="R47" s="112" t="n"/>
      <c r="S47" s="80" t="n">
        <v>45866</v>
      </c>
      <c r="T47" s="88" t="inlineStr">
        <is>
          <t>CFO Commentary</t>
        </is>
      </c>
      <c r="U47" s="67" t="n"/>
    </row>
    <row r="48" ht="14.4" customFormat="1" customHeight="1" s="1013">
      <c r="A48" s="114" t="n">
        <v>916</v>
      </c>
      <c r="B48" s="77">
        <f>IF(INDEX(MO_SNA_IsHistoricalPeriod,,MATCH(F48,MO_Common_ColumnHeader,0)),"Historical","Forward")</f>
        <v/>
      </c>
      <c r="C48" s="67" t="n"/>
      <c r="D48" s="84" t="inlineStr">
        <is>
          <t>GAAP Tax Rate</t>
        </is>
      </c>
      <c r="E48" s="78" t="inlineStr">
        <is>
          <t>MO_RIS_TaxRate</t>
        </is>
      </c>
      <c r="F48" s="77" t="inlineStr">
        <is>
          <t>FY2025</t>
        </is>
      </c>
      <c r="G48" s="77" t="n"/>
      <c r="H48" s="67" t="n"/>
      <c r="I48" s="2108" t="n">
        <v>0.28</v>
      </c>
      <c r="J48" s="2108" t="n">
        <v>0.28</v>
      </c>
      <c r="K48" s="2108">
        <f>AVERAGE(I48:J48)</f>
        <v/>
      </c>
      <c r="L48" s="67" t="n"/>
      <c r="M48" s="77">
        <f>IF(INDEX(MO_SNA_IsHistoricalPeriod,,MATCH(F48,MO_Common_ColumnHeader,0)),"Actual","Estimate")</f>
        <v/>
      </c>
      <c r="N48" s="2108">
        <f>IFERROR(INDEX(INDIRECT(E48),0,MATCH(F48,MO_Common_ColumnHeader,0)),"N/A")</f>
        <v/>
      </c>
      <c r="O48" s="67" t="n"/>
      <c r="P48" s="2168">
        <f>IF(ISNUMBER(N48),N48-K48,"N/A")</f>
        <v/>
      </c>
      <c r="Q48" s="2168">
        <f>IFERROR(IF(ISNUMBER(N48),(N48-K48)/ABS(K48),"N/A"),"N/A")</f>
        <v/>
      </c>
      <c r="R48" s="112" t="n"/>
      <c r="S48" s="80" t="n">
        <v>45866</v>
      </c>
      <c r="T48" s="88" t="inlineStr">
        <is>
          <t>CFO Commentary</t>
        </is>
      </c>
      <c r="U48" s="67" t="n"/>
    </row>
    <row r="49" ht="14.4" customFormat="1" customHeight="1" s="1013">
      <c r="A49" s="114" t="n">
        <v>915</v>
      </c>
      <c r="B49" s="77">
        <f>IF(INDEX(MO_SNA_IsHistoricalPeriod,,MATCH(F49,MO_Common_ColumnHeader,0)),"Historical","Forward")</f>
        <v/>
      </c>
      <c r="C49" s="67" t="n"/>
      <c r="D49" s="84">
        <f>INDEX(INDIRECT(E49),0,COLUMN(MO_Common_Column_A))</f>
        <v/>
      </c>
      <c r="E49" s="78" t="inlineStr">
        <is>
          <t>MO_RIS_TaxRate_NONGAAP</t>
        </is>
      </c>
      <c r="F49" s="77" t="inlineStr">
        <is>
          <t>FY2025</t>
        </is>
      </c>
      <c r="G49" s="77" t="n"/>
      <c r="H49" s="67" t="n"/>
      <c r="I49" s="2108" t="n">
        <v>0.165</v>
      </c>
      <c r="J49" s="2108" t="n">
        <v>0.165</v>
      </c>
      <c r="K49" s="2108">
        <f>AVERAGE(I49:J49)</f>
        <v/>
      </c>
      <c r="L49" s="67" t="n"/>
      <c r="M49" s="77">
        <f>IF(INDEX(MO_SNA_IsHistoricalPeriod,,MATCH(F49,MO_Common_ColumnHeader,0)),"Actual","Estimate")</f>
        <v/>
      </c>
      <c r="N49" s="2108">
        <f>IFERROR(INDEX(INDIRECT(E49),0,MATCH(F49,MO_Common_ColumnHeader,0)),"N/A")</f>
        <v/>
      </c>
      <c r="O49" s="67" t="n"/>
      <c r="P49" s="2168">
        <f>IF(ISNUMBER(N49),N49-K49,"N/A")</f>
        <v/>
      </c>
      <c r="Q49" s="2168">
        <f>IFERROR(IF(ISNUMBER(N49),(N49-K49)/ABS(K49),"N/A"),"N/A")</f>
        <v/>
      </c>
      <c r="R49" s="112" t="n"/>
      <c r="S49" s="80" t="n">
        <v>45866</v>
      </c>
      <c r="T49" s="88" t="inlineStr">
        <is>
          <t>CFO Commentary</t>
        </is>
      </c>
      <c r="U49" s="67" t="n"/>
    </row>
    <row r="50" ht="14.4" customFormat="1" customHeight="1" s="1013">
      <c r="A50" s="114" t="n">
        <v>914</v>
      </c>
      <c r="B50" s="77">
        <f>IF(INDEX(MO_SNA_IsHistoricalPeriod,,MATCH(F50,MO_Common_ColumnHeader,0)),"Historical","Forward")</f>
        <v/>
      </c>
      <c r="C50" s="67" t="n"/>
      <c r="D50" s="84">
        <f>INDEX(INDIRECT(E50),0,COLUMN(MO_Common_Column_A))</f>
        <v/>
      </c>
      <c r="E50" s="78" t="inlineStr">
        <is>
          <t>MO_RIS_ShareCount_WAD</t>
        </is>
      </c>
      <c r="F50" s="77" t="inlineStr">
        <is>
          <t>FY2025</t>
        </is>
      </c>
      <c r="G50" s="77" t="n"/>
      <c r="H50" s="67" t="n"/>
      <c r="I50" s="2087" t="n">
        <v>273</v>
      </c>
      <c r="J50" s="2087" t="n">
        <v>275</v>
      </c>
      <c r="K50" s="2087">
        <f>AVERAGE(I50:J50)</f>
        <v/>
      </c>
      <c r="L50" s="67" t="n"/>
      <c r="M50" s="77">
        <f>IF(INDEX(MO_SNA_IsHistoricalPeriod,,MATCH(F50,MO_Common_ColumnHeader,0)),"Actual","Estimate")</f>
        <v/>
      </c>
      <c r="N50" s="2087">
        <f>IFERROR(INDEX(INDIRECT(E50),0,MATCH(F50,MO_Common_ColumnHeader,0)),"N/A")</f>
        <v/>
      </c>
      <c r="O50" s="67" t="n"/>
      <c r="P50" s="2169">
        <f>IF(ISNUMBER(N50),N50-K50,"N/A")</f>
        <v/>
      </c>
      <c r="Q50" s="2168">
        <f>IFERROR(IF(ISNUMBER(N50),(N50-K50)/ABS(K50),"N/A"),"N/A")</f>
        <v/>
      </c>
      <c r="R50" s="112" t="n"/>
      <c r="S50" s="80" t="n">
        <v>45866</v>
      </c>
      <c r="T50" s="88" t="inlineStr">
        <is>
          <t>CFO Commentary</t>
        </is>
      </c>
      <c r="U50" s="67" t="n"/>
    </row>
    <row r="51" ht="14.4" customFormat="1" customHeight="1" s="1013">
      <c r="A51" s="114" t="n">
        <v>913</v>
      </c>
      <c r="B51" s="77">
        <f>IF(INDEX(MO_SNA_IsHistoricalPeriod,,MATCH(F51,MO_Common_ColumnHeader,0)),"Historical","Forward")</f>
        <v/>
      </c>
      <c r="C51" s="67" t="n"/>
      <c r="D51" s="84" t="inlineStr">
        <is>
          <t>DSO</t>
        </is>
      </c>
      <c r="E51" s="78" t="n"/>
      <c r="F51" s="77" t="inlineStr">
        <is>
          <t>FY2025</t>
        </is>
      </c>
      <c r="G51" s="77" t="n"/>
      <c r="H51" s="67" t="n"/>
      <c r="I51" s="2087" t="n">
        <v>50</v>
      </c>
      <c r="J51" s="2087" t="n">
        <v>50</v>
      </c>
      <c r="K51" s="2087">
        <f>AVERAGE(I51:J51)</f>
        <v/>
      </c>
      <c r="L51" s="67" t="n"/>
      <c r="M51" s="77">
        <f>IF(INDEX(MO_SNA_IsHistoricalPeriod,,MATCH(F51,MO_Common_ColumnHeader,0)),"Actual","Estimate")</f>
        <v/>
      </c>
      <c r="N51" s="2087">
        <f>IFERROR(INDEX(INDIRECT(E51),0,MATCH(F51,MO_Common_ColumnHeader,0)),"N/A")</f>
        <v/>
      </c>
      <c r="O51" s="67" t="n"/>
      <c r="P51" s="2169">
        <f>IF(ISNUMBER(N51),N51-K51,"N/A")</f>
        <v/>
      </c>
      <c r="Q51" s="2168">
        <f>IFERROR(IF(ISNUMBER(N51),(N51-K51)/ABS(K51),"N/A"),"N/A")</f>
        <v/>
      </c>
      <c r="R51" s="112" t="n"/>
      <c r="S51" s="80" t="n">
        <v>45866</v>
      </c>
      <c r="T51" s="88" t="inlineStr">
        <is>
          <t>CFO Commentary</t>
        </is>
      </c>
      <c r="U51" s="67" t="n"/>
    </row>
    <row r="52" ht="14.4" customFormat="1" customHeight="1" s="1013">
      <c r="A52" s="114" t="n">
        <v>912</v>
      </c>
      <c r="B52" s="77">
        <f>IF(INDEX(MO_SNA_IsHistoricalPeriod,,MATCH(F52,MO_Common_ColumnHeader,0)),"Historical","Forward")</f>
        <v/>
      </c>
      <c r="C52" s="67" t="n"/>
      <c r="D52" s="84">
        <f>INDEX(INDIRECT(E52),0,COLUMN(MO_Common_Column_A))</f>
        <v/>
      </c>
      <c r="E52" s="78" t="inlineStr">
        <is>
          <t>MO_CFSum_Capex</t>
        </is>
      </c>
      <c r="F52" s="77" t="inlineStr">
        <is>
          <t>FY2025</t>
        </is>
      </c>
      <c r="G52" s="77" t="n"/>
      <c r="H52" s="67" t="n"/>
      <c r="I52" s="2087" t="n">
        <v>-160</v>
      </c>
      <c r="J52" s="2087" t="n">
        <v>-160</v>
      </c>
      <c r="K52" s="2087">
        <f>AVERAGE(I52:J52)</f>
        <v/>
      </c>
      <c r="L52" s="67" t="n"/>
      <c r="M52" s="77">
        <f>IF(INDEX(MO_SNA_IsHistoricalPeriod,,MATCH(F52,MO_Common_ColumnHeader,0)),"Actual","Estimate")</f>
        <v/>
      </c>
      <c r="N52" s="2087">
        <f>IFERROR(INDEX(INDIRECT(E52),0,MATCH(F52,MO_Common_ColumnHeader,0)),"N/A")</f>
        <v/>
      </c>
      <c r="O52" s="67" t="n"/>
      <c r="P52" s="2169">
        <f>IF(ISNUMBER(N52),N52-K52,"N/A")</f>
        <v/>
      </c>
      <c r="Q52" s="2168">
        <f>IFERROR(IF(ISNUMBER(N52),(N52-K52)/ABS(K52),"N/A"),"N/A")</f>
        <v/>
      </c>
      <c r="R52" s="112" t="n"/>
      <c r="S52" s="80" t="n">
        <v>45866</v>
      </c>
      <c r="T52" s="88" t="inlineStr">
        <is>
          <t>CFO Commentary</t>
        </is>
      </c>
      <c r="U52" s="67" t="n"/>
    </row>
    <row r="53" ht="14.4" customFormat="1" customHeight="1" s="1013">
      <c r="A53" s="114" t="n">
        <v>911</v>
      </c>
      <c r="B53" s="77">
        <f>IF(INDEX(MO_SNA_IsHistoricalPeriod,,MATCH(F53,MO_Common_ColumnHeader,0)),"Historical","Forward")</f>
        <v/>
      </c>
      <c r="C53" s="67" t="n"/>
      <c r="D53" s="84">
        <f>INDEX(INDIRECT(E53),0,COLUMN(MO_Common_Column_A))</f>
        <v/>
      </c>
      <c r="E53" s="78" t="inlineStr">
        <is>
          <t>MO_RIS_SBC</t>
        </is>
      </c>
      <c r="F53" s="77" t="inlineStr">
        <is>
          <t>FY2025</t>
        </is>
      </c>
      <c r="G53" s="77" t="n"/>
      <c r="H53" s="67" t="n"/>
      <c r="I53" s="2087" t="n">
        <v>462</v>
      </c>
      <c r="J53" s="2087" t="n">
        <v>462</v>
      </c>
      <c r="K53" s="2087">
        <f>AVERAGE(I53:J53)</f>
        <v/>
      </c>
      <c r="L53" s="67" t="n"/>
      <c r="M53" s="77">
        <f>IF(INDEX(MO_SNA_IsHistoricalPeriod,,MATCH(F53,MO_Common_ColumnHeader,0)),"Actual","Estimate")</f>
        <v/>
      </c>
      <c r="N53" s="2087">
        <f>IFERROR(INDEX(INDIRECT(E53),0,MATCH(F53,MO_Common_ColumnHeader,0)),"N/A")</f>
        <v/>
      </c>
      <c r="O53" s="67" t="n"/>
      <c r="P53" s="2169">
        <f>IF(ISNUMBER(N53),N53-K53,"N/A")</f>
        <v/>
      </c>
      <c r="Q53" s="2168">
        <f>IFERROR(IF(ISNUMBER(N53),(N53-K53)/ABS(K53),"N/A"),"N/A")</f>
        <v/>
      </c>
      <c r="R53" s="112" t="n"/>
      <c r="S53" s="80" t="n">
        <v>45866</v>
      </c>
      <c r="T53" s="88" t="inlineStr">
        <is>
          <t>CFO Commentary</t>
        </is>
      </c>
      <c r="U53" s="67" t="n"/>
    </row>
    <row r="54" ht="14.4" customFormat="1" customHeight="1" s="1013">
      <c r="A54" s="114" t="n">
        <v>910</v>
      </c>
      <c r="B54" s="77">
        <f>IF(INDEX(MO_SNA_IsHistoricalPeriod,,MATCH(F54,MO_Common_ColumnHeader,0)),"Historical","Forward")</f>
        <v/>
      </c>
      <c r="C54" s="67" t="n"/>
      <c r="D54" s="84">
        <f>INDEX(INDIRECT(E54),0,COLUMN(MO_Common_Column_A))</f>
        <v/>
      </c>
      <c r="E54" s="78" t="inlineStr">
        <is>
          <t>MO_RIS_Daintangibles</t>
        </is>
      </c>
      <c r="F54" s="77" t="inlineStr">
        <is>
          <t>FY2025</t>
        </is>
      </c>
      <c r="G54" s="77" t="n"/>
      <c r="H54" s="67" t="n"/>
      <c r="I54" s="2087" t="n">
        <v>101</v>
      </c>
      <c r="J54" s="2087" t="n">
        <v>101</v>
      </c>
      <c r="K54" s="2087">
        <f>AVERAGE(I54:J54)</f>
        <v/>
      </c>
      <c r="L54" s="67" t="n"/>
      <c r="M54" s="77">
        <f>IF(INDEX(MO_SNA_IsHistoricalPeriod,,MATCH(F54,MO_Common_ColumnHeader,0)),"Actual","Estimate")</f>
        <v/>
      </c>
      <c r="N54" s="2087">
        <f>IFERROR(INDEX(INDIRECT(E54),0,MATCH(F54,MO_Common_ColumnHeader,0)),"N/A")</f>
        <v/>
      </c>
      <c r="O54" s="67" t="n"/>
      <c r="P54" s="2169">
        <f>IF(ISNUMBER(N54),N54-K54,"N/A")</f>
        <v/>
      </c>
      <c r="Q54" s="2168">
        <f>IFERROR(IF(ISNUMBER(N54),(N54-K54)/ABS(K54),"N/A"),"N/A")</f>
        <v/>
      </c>
      <c r="R54" s="112" t="n"/>
      <c r="S54" s="80" t="n">
        <v>45866</v>
      </c>
      <c r="T54" s="88" t="inlineStr">
        <is>
          <t>CFO Commentary</t>
        </is>
      </c>
      <c r="U54" s="67" t="n"/>
    </row>
    <row r="55" ht="14.4" customFormat="1" customHeight="1" s="1013">
      <c r="A55" s="114" t="n">
        <v>909</v>
      </c>
      <c r="B55" s="77">
        <f>IF(INDEX(MO_SNA_IsHistoricalPeriod,,MATCH(F55,MO_Common_ColumnHeader,0)),"Historical","Forward")</f>
        <v/>
      </c>
      <c r="C55" s="67" t="n"/>
      <c r="D55" s="84" t="inlineStr">
        <is>
          <t>Acquisition and integration-related costs</t>
        </is>
      </c>
      <c r="E55" s="78" t="n"/>
      <c r="F55" s="77" t="inlineStr">
        <is>
          <t>FY2025</t>
        </is>
      </c>
      <c r="G55" s="77" t="n"/>
      <c r="H55" s="67" t="n"/>
      <c r="I55" s="2087" t="n">
        <v>86</v>
      </c>
      <c r="J55" s="2087" t="n">
        <v>86</v>
      </c>
      <c r="K55" s="2087">
        <f>AVERAGE(I55:J55)</f>
        <v/>
      </c>
      <c r="L55" s="67" t="n"/>
      <c r="M55" s="77">
        <f>IF(INDEX(MO_SNA_IsHistoricalPeriod,,MATCH(F55,MO_Common_ColumnHeader,0)),"Actual","Estimate")</f>
        <v/>
      </c>
      <c r="N55" s="2087">
        <f>IFERROR(INDEX(INDIRECT(E55),0,MATCH(F55,MO_Common_ColumnHeader,0)),"N/A")</f>
        <v/>
      </c>
      <c r="O55" s="67" t="n"/>
      <c r="P55" s="2169">
        <f>IF(ISNUMBER(N55),N55-K55,"N/A")</f>
        <v/>
      </c>
      <c r="Q55" s="2168">
        <f>IFERROR(IF(ISNUMBER(N55),(N55-K55)/ABS(K55),"N/A"),"N/A")</f>
        <v/>
      </c>
      <c r="R55" s="112" t="n"/>
      <c r="S55" s="80" t="n">
        <v>45866</v>
      </c>
      <c r="T55" s="88" t="inlineStr">
        <is>
          <t>CFO Commentary</t>
        </is>
      </c>
      <c r="U55" s="67" t="n"/>
    </row>
    <row r="56" ht="14.4" customFormat="1" customHeight="1" s="1013">
      <c r="A56" s="114" t="n">
        <v>908</v>
      </c>
      <c r="B56" s="77">
        <f>IF(INDEX(MO_SNA_IsHistoricalPeriod,,MATCH(F56,MO_Common_ColumnHeader,0)),"Historical","Forward")</f>
        <v/>
      </c>
      <c r="C56" s="67" t="n"/>
      <c r="D56" s="84" t="inlineStr">
        <is>
          <t>Restructuring and other credits</t>
        </is>
      </c>
      <c r="E56" s="78" t="n"/>
      <c r="F56" s="77" t="inlineStr">
        <is>
          <t>FY2025</t>
        </is>
      </c>
      <c r="G56" s="77" t="n"/>
      <c r="H56" s="67" t="n"/>
      <c r="I56" s="2087" t="n">
        <v>0</v>
      </c>
      <c r="J56" s="2087" t="n">
        <v>0</v>
      </c>
      <c r="K56" s="2087">
        <f>AVERAGE(I56:J56)</f>
        <v/>
      </c>
      <c r="L56" s="67" t="n"/>
      <c r="M56" s="77">
        <f>IF(INDEX(MO_SNA_IsHistoricalPeriod,,MATCH(F56,MO_Common_ColumnHeader,0)),"Actual","Estimate")</f>
        <v/>
      </c>
      <c r="N56" s="2087">
        <f>IFERROR(INDEX(INDIRECT(E56),0,MATCH(F56,MO_Common_ColumnHeader,0)),"N/A")</f>
        <v/>
      </c>
      <c r="O56" s="67" t="n"/>
      <c r="P56" s="2169">
        <f>IF(ISNUMBER(N56),N56-K56,"N/A")</f>
        <v/>
      </c>
      <c r="Q56" s="2168">
        <f>IFERROR(IF(ISNUMBER(N56),(N56-K56)/ABS(K56),"N/A"),"N/A")</f>
        <v/>
      </c>
      <c r="R56" s="112" t="n"/>
      <c r="S56" s="80" t="n">
        <v>45866</v>
      </c>
      <c r="T56" s="88" t="inlineStr">
        <is>
          <t>CFO Commentary</t>
        </is>
      </c>
      <c r="U56" s="67" t="n"/>
    </row>
    <row r="57" ht="14.4" customFormat="1" customHeight="1" s="1013">
      <c r="A57" s="114" t="n">
        <v>907</v>
      </c>
      <c r="B57" s="77">
        <f>IF(INDEX(MO_SNA_IsHistoricalPeriod,,MATCH(F57,MO_Common_ColumnHeader,0)),"Historical","Forward")</f>
        <v/>
      </c>
      <c r="C57" s="67" t="n"/>
      <c r="D57" s="84" t="inlineStr">
        <is>
          <t>Non-Qualified deferred compensation expenses</t>
        </is>
      </c>
      <c r="E57" s="78" t="n"/>
      <c r="F57" s="77" t="inlineStr">
        <is>
          <t>FY2025</t>
        </is>
      </c>
      <c r="G57" s="77" t="n"/>
      <c r="H57" s="67" t="n"/>
      <c r="I57" s="2087" t="n">
        <v>6</v>
      </c>
      <c r="J57" s="2087" t="n">
        <v>6</v>
      </c>
      <c r="K57" s="2087">
        <f>AVERAGE(I57:J57)</f>
        <v/>
      </c>
      <c r="L57" s="67" t="n"/>
      <c r="M57" s="77">
        <f>IF(INDEX(MO_SNA_IsHistoricalPeriod,,MATCH(F57,MO_Common_ColumnHeader,0)),"Actual","Estimate")</f>
        <v/>
      </c>
      <c r="N57" s="2087">
        <f>IFERROR(INDEX(INDIRECT(E57),0,MATCH(F57,MO_Common_ColumnHeader,0)),"N/A")</f>
        <v/>
      </c>
      <c r="O57" s="67" t="n"/>
      <c r="P57" s="2169">
        <f>IF(ISNUMBER(N57),N57-K57,"N/A")</f>
        <v/>
      </c>
      <c r="Q57" s="2168">
        <f>IFERROR(IF(ISNUMBER(N57),(N57-K57)/ABS(K57),"N/A"),"N/A")</f>
        <v/>
      </c>
      <c r="R57" s="112" t="n"/>
      <c r="S57" s="80" t="n">
        <v>45866</v>
      </c>
      <c r="T57" s="88" t="inlineStr">
        <is>
          <t>CFO Commentary</t>
        </is>
      </c>
      <c r="U57" s="67" t="n"/>
    </row>
    <row r="58" ht="14.4" customFormat="1" customHeight="1" s="1013">
      <c r="A58" s="114" t="n">
        <v>906</v>
      </c>
      <c r="B58" s="77">
        <f>IF(INDEX(MO_SNA_IsHistoricalPeriod,,MATCH(F58,MO_Common_ColumnHeader,0)),"Historical","Forward")</f>
        <v/>
      </c>
      <c r="C58" s="67" t="n"/>
      <c r="D58" s="84" t="inlineStr">
        <is>
          <t>Special charges</t>
        </is>
      </c>
      <c r="E58" s="78" t="n"/>
      <c r="F58" s="77" t="inlineStr">
        <is>
          <t>FY2025</t>
        </is>
      </c>
      <c r="G58" s="77" t="n"/>
      <c r="H58" s="67" t="n"/>
      <c r="I58" s="2087" t="n">
        <v>2</v>
      </c>
      <c r="J58" s="2087" t="n">
        <v>2</v>
      </c>
      <c r="K58" s="2087">
        <f>AVERAGE(I58:J58)</f>
        <v/>
      </c>
      <c r="L58" s="67" t="n"/>
      <c r="M58" s="77">
        <f>IF(INDEX(MO_SNA_IsHistoricalPeriod,,MATCH(F58,MO_Common_ColumnHeader,0)),"Actual","Estimate")</f>
        <v/>
      </c>
      <c r="N58" s="2087">
        <f>IFERROR(INDEX(INDIRECT(E58),0,MATCH(F58,MO_Common_ColumnHeader,0)),"N/A")</f>
        <v/>
      </c>
      <c r="O58" s="67" t="n"/>
      <c r="P58" s="2169">
        <f>IF(ISNUMBER(N58),N58-K58,"N/A")</f>
        <v/>
      </c>
      <c r="Q58" s="2168">
        <f>IFERROR(IF(ISNUMBER(N58),(N58-K58)/ABS(K58),"N/A"),"N/A")</f>
        <v/>
      </c>
      <c r="R58" s="112" t="n"/>
      <c r="S58" s="80" t="n">
        <v>45866</v>
      </c>
      <c r="T58" s="88" t="inlineStr">
        <is>
          <t>CFO Commentary</t>
        </is>
      </c>
      <c r="U58" s="67" t="n"/>
    </row>
    <row r="59" ht="14.4" customFormat="1" customHeight="1" s="1013">
      <c r="A59" s="114" t="n">
        <v>905</v>
      </c>
      <c r="B59" s="77">
        <f>IF(INDEX(MO_SNA_IsHistoricalPeriod,,MATCH(F59,MO_Common_ColumnHeader,0)),"Historical","Forward")</f>
        <v/>
      </c>
      <c r="C59" s="67" t="n"/>
      <c r="D59" s="84" t="inlineStr">
        <is>
          <t>GAAP Operating Expenses</t>
        </is>
      </c>
      <c r="E59" s="78" t="n"/>
      <c r="F59" s="77" t="inlineStr">
        <is>
          <t>FY2025</t>
        </is>
      </c>
      <c r="G59" s="77" t="n"/>
      <c r="H59" s="67" t="n"/>
      <c r="I59" s="2087" t="n">
        <v>3720</v>
      </c>
      <c r="J59" s="2087" t="n">
        <v>3720</v>
      </c>
      <c r="K59" s="2087">
        <f>AVERAGE(I59:J59)</f>
        <v/>
      </c>
      <c r="L59" s="67" t="n"/>
      <c r="M59" s="77">
        <f>IF(INDEX(MO_SNA_IsHistoricalPeriod,,MATCH(F59,MO_Common_ColumnHeader,0)),"Actual","Estimate")</f>
        <v/>
      </c>
      <c r="N59" s="2087">
        <f>IFERROR(INDEX(MO_RIS_COGS,0,MATCH(Guidance!F59,MO_Common_ColumnHeader,0))+INDEX(MO_RIS_RD,0,MATCH(Guidance!F59,MO_Common_ColumnHeader,0))+INDEX(MO_RIS_GA,0,MATCH(Guidance!F59,MO_Common_ColumnHeader,0))+INDEX(MO_RIS_SM,0,MATCH(Guidance!F59,MO_Common_ColumnHeader,0)),"N/A")</f>
        <v/>
      </c>
      <c r="O59" s="2072" t="n"/>
      <c r="P59" s="2169">
        <f>IF(ISNUMBER(N59),N59-K59,"N/A")</f>
        <v/>
      </c>
      <c r="Q59" s="2168">
        <f>IFERROR(IF(ISNUMBER(N59),(N59-K59)/ABS(K59),"N/A"),"N/A")</f>
        <v/>
      </c>
      <c r="R59" s="112" t="n"/>
      <c r="S59" s="80" t="n">
        <v>45866</v>
      </c>
      <c r="T59" s="88" t="inlineStr">
        <is>
          <t>CFO Commentary</t>
        </is>
      </c>
      <c r="U59" s="67" t="n"/>
    </row>
    <row r="60" ht="14.4" customFormat="1" customHeight="1" s="1013">
      <c r="A60" s="114" t="n">
        <v>904</v>
      </c>
      <c r="B60" s="77">
        <f>IF(INDEX(MO_SNA_IsHistoricalPeriod,,MATCH(F60,MO_Common_ColumnHeader,0)),"Historical","Forward")</f>
        <v/>
      </c>
      <c r="C60" s="67" t="n"/>
      <c r="D60" s="84" t="inlineStr">
        <is>
          <t>Non-GAAP Operating Expenses</t>
        </is>
      </c>
      <c r="E60" s="78" t="n"/>
      <c r="F60" s="77" t="inlineStr">
        <is>
          <t>FY2025</t>
        </is>
      </c>
      <c r="G60" s="77" t="n"/>
      <c r="H60" s="67" t="n"/>
      <c r="I60" s="2087" t="n">
        <v>2934</v>
      </c>
      <c r="J60" s="2087" t="n">
        <v>2934</v>
      </c>
      <c r="K60" s="2087">
        <f>AVERAGE(I60:J60)</f>
        <v/>
      </c>
      <c r="L60" s="67" t="n"/>
      <c r="M60" s="77">
        <f>IF(INDEX(MO_SNA_IsHistoricalPeriod,,MATCH(F60,MO_Common_ColumnHeader,0)),"Actual","Estimate")</f>
        <v/>
      </c>
      <c r="N60" s="2087">
        <f>IFERROR(INDEX(MO_RIS_REV,0,MATCH(Guidance!F60,MO_Common_ColumnHeader,0))+INDEX(MO_RIS_RD_NONGAAP,0,MATCH(Guidance!F60,MO_Common_ColumnHeader,0))+INDEX(MO_RIS_GA_NONGAAP,0,MATCH(Guidance!F60,MO_Common_ColumnHeader,0))+INDEX(MO_RIS_SM_NONGAAP,0,MATCH(Guidance!F60,MO_Common_ColumnHeader,0))-INDEX(MO_RIS_GP_NONGAAP,0,MATCH(Guidance!F60,MO_Common_ColumnHeader,0)),"N/A")</f>
        <v/>
      </c>
      <c r="O60" s="2072" t="n"/>
      <c r="P60" s="2169">
        <f>IF(ISNUMBER(N60),N60-K60,"N/A")</f>
        <v/>
      </c>
      <c r="Q60" s="2168">
        <f>IFERROR(IF(ISNUMBER(N60),(N60-K60)/ABS(K60),"N/A"),"N/A")</f>
        <v/>
      </c>
      <c r="R60" s="112" t="n"/>
      <c r="S60" s="80" t="n">
        <v>45866</v>
      </c>
      <c r="T60" s="88" t="inlineStr">
        <is>
          <t>CFO Commentary</t>
        </is>
      </c>
      <c r="U60" s="67" t="n"/>
    </row>
    <row r="61" ht="14.4" customFormat="1" customHeight="1" s="1013">
      <c r="A61" s="114" t="n">
        <v>903</v>
      </c>
      <c r="B61" s="67" t="n"/>
      <c r="C61" s="67" t="n"/>
      <c r="D61" s="68" t="n"/>
      <c r="E61" s="69" t="n"/>
      <c r="F61" s="67" t="n"/>
      <c r="G61" s="67" t="n"/>
      <c r="H61" s="67" t="n"/>
      <c r="I61" s="2072" t="n"/>
      <c r="J61" s="2072" t="n"/>
      <c r="K61" s="2072" t="n"/>
      <c r="L61" s="67" t="n"/>
      <c r="M61" s="67" t="n"/>
      <c r="N61" s="2072" t="n"/>
      <c r="O61" s="67" t="n"/>
      <c r="P61" s="2172" t="n"/>
      <c r="Q61" s="2173" t="n"/>
      <c r="R61" s="112" t="n"/>
      <c r="S61" s="112" t="n"/>
      <c r="T61" s="344" t="n"/>
      <c r="U61" s="67" t="n"/>
    </row>
    <row r="62" ht="14.4" customFormat="1" customHeight="1" s="1013">
      <c r="A62" s="114" t="n">
        <v>902</v>
      </c>
      <c r="B62" s="77">
        <f>IF(INDEX(MO_SNA_IsHistoricalPeriod,,MATCH(F62,MO_Common_ColumnHeader,0)),"Historical","Forward")</f>
        <v/>
      </c>
      <c r="C62" s="67" t="n"/>
      <c r="D62" s="84">
        <f>INDEX(INDIRECT(E62),0,COLUMN(MO_Common_Column_A))</f>
        <v/>
      </c>
      <c r="E62" s="78" t="inlineStr">
        <is>
          <t>MO_RIS_REV</t>
        </is>
      </c>
      <c r="F62" s="77" t="inlineStr">
        <is>
          <t>Q3-2025</t>
        </is>
      </c>
      <c r="G62" s="77" t="n"/>
      <c r="H62" s="67" t="n"/>
      <c r="I62" s="2087" t="n">
        <v>1305</v>
      </c>
      <c r="J62" s="2087" t="n">
        <v>1335</v>
      </c>
      <c r="K62" s="2087">
        <f>AVERAGE(I62:J62)</f>
        <v/>
      </c>
      <c r="L62" s="67" t="n"/>
      <c r="M62" s="77">
        <f>IF(INDEX(MO_SNA_IsHistoricalPeriod,,MATCH(F62,MO_Common_ColumnHeader,0)),"Actual","Estimate")</f>
        <v/>
      </c>
      <c r="N62" s="2087">
        <f>IFERROR(INDEX(INDIRECT(E62),0,MATCH(F62,MO_Common_ColumnHeader,0)),"N/A")</f>
        <v/>
      </c>
      <c r="O62" s="67" t="n"/>
      <c r="P62" s="2169">
        <f>IF(ISNUMBER(N62),N62-K62,"N/A")</f>
        <v/>
      </c>
      <c r="Q62" s="2168">
        <f>IFERROR(IF(ISNUMBER(N62),(N62-K62)/ABS(K62),"N/A"),"N/A")</f>
        <v/>
      </c>
      <c r="R62" s="112" t="n"/>
      <c r="S62" s="80" t="n">
        <v>45866</v>
      </c>
      <c r="T62" s="88" t="inlineStr">
        <is>
          <t>CFO Commentary</t>
        </is>
      </c>
      <c r="U62" s="67" t="n"/>
    </row>
    <row r="63" ht="14.4" customFormat="1" customHeight="1" s="1013">
      <c r="A63" s="114" t="n">
        <v>901</v>
      </c>
      <c r="B63" s="77">
        <f>IF(INDEX(MO_SNA_IsHistoricalPeriod,,MATCH(F63,MO_Common_ColumnHeader,0)),"Historical","Forward")</f>
        <v/>
      </c>
      <c r="C63" s="67" t="n"/>
      <c r="D63" s="84" t="inlineStr">
        <is>
          <t>GAAP Operating Margin</t>
        </is>
      </c>
      <c r="E63" s="78" t="inlineStr">
        <is>
          <t>MO_MA_EBIT</t>
        </is>
      </c>
      <c r="F63" s="77" t="inlineStr">
        <is>
          <t>Q3-2025</t>
        </is>
      </c>
      <c r="G63" s="77" t="n"/>
      <c r="H63" s="67" t="n"/>
      <c r="I63" s="2108" t="n">
        <v>0.32</v>
      </c>
      <c r="J63" s="2108" t="n">
        <v>0.33</v>
      </c>
      <c r="K63" s="2108">
        <f>AVERAGE(I63:J63)</f>
        <v/>
      </c>
      <c r="L63" s="67" t="n"/>
      <c r="M63" s="77">
        <f>IF(INDEX(MO_SNA_IsHistoricalPeriod,,MATCH(F63,MO_Common_ColumnHeader,0)),"Actual","Estimate")</f>
        <v/>
      </c>
      <c r="N63" s="2108">
        <f>IFERROR(INDEX(INDIRECT(E63),0,MATCH(F63,MO_Common_ColumnHeader,0)),"N/A")</f>
        <v/>
      </c>
      <c r="O63" s="67" t="n"/>
      <c r="P63" s="2168">
        <f>IF(ISNUMBER(N63),N63-K63,"N/A")</f>
        <v/>
      </c>
      <c r="Q63" s="2168">
        <f>IFERROR(IF(ISNUMBER(N63),(N63-K63)/ABS(K63),"N/A"),"N/A")</f>
        <v/>
      </c>
      <c r="R63" s="112" t="n"/>
      <c r="S63" s="80" t="n">
        <v>45866</v>
      </c>
      <c r="T63" s="88" t="inlineStr">
        <is>
          <t>CFO Commentary</t>
        </is>
      </c>
      <c r="U63" s="67" t="n"/>
    </row>
    <row r="64" ht="14.4" customFormat="1" customHeight="1" s="1013">
      <c r="A64" s="114" t="n">
        <v>900</v>
      </c>
      <c r="B64" s="77">
        <f>IF(INDEX(MO_SNA_IsHistoricalPeriod,,MATCH(F64,MO_Common_ColumnHeader,0)),"Historical","Forward")</f>
        <v/>
      </c>
      <c r="C64" s="67" t="n"/>
      <c r="D64" s="84">
        <f>INDEX(INDIRECT(E64),0,COLUMN(MO_Common_Column_A))</f>
        <v/>
      </c>
      <c r="E64" s="78" t="inlineStr">
        <is>
          <t>MO_MA_OperatingIncome_NONGAAP</t>
        </is>
      </c>
      <c r="F64" s="77" t="inlineStr">
        <is>
          <t>Q3-2025</t>
        </is>
      </c>
      <c r="G64" s="77" t="n"/>
      <c r="H64" s="67" t="n"/>
      <c r="I64" s="2108" t="n">
        <v>0.45</v>
      </c>
      <c r="J64" s="2108" t="n">
        <v>0.46</v>
      </c>
      <c r="K64" s="2108">
        <f>AVERAGE(I64:J64)</f>
        <v/>
      </c>
      <c r="L64" s="67" t="n"/>
      <c r="M64" s="77">
        <f>IF(INDEX(MO_SNA_IsHistoricalPeriod,,MATCH(F64,MO_Common_ColumnHeader,0)),"Actual","Estimate")</f>
        <v/>
      </c>
      <c r="N64" s="2108">
        <f>IFERROR(INDEX(INDIRECT(E64),0,MATCH(F64,MO_Common_ColumnHeader,0)),"N/A")</f>
        <v/>
      </c>
      <c r="O64" s="67" t="n"/>
      <c r="P64" s="2168">
        <f>IF(ISNUMBER(N64),N64-K64,"N/A")</f>
        <v/>
      </c>
      <c r="Q64" s="2168">
        <f>IFERROR(IF(ISNUMBER(N64),(N64-K64)/ABS(K64),"N/A"),"N/A")</f>
        <v/>
      </c>
      <c r="R64" s="112" t="n"/>
      <c r="S64" s="80" t="n">
        <v>45866</v>
      </c>
      <c r="T64" s="88" t="inlineStr">
        <is>
          <t>CFO Commentary</t>
        </is>
      </c>
      <c r="U64" s="67" t="n"/>
    </row>
    <row r="65" ht="14.4" customFormat="1" customHeight="1" s="1013">
      <c r="A65" s="114" t="n">
        <v>899</v>
      </c>
      <c r="B65" s="77">
        <f>IF(INDEX(MO_SNA_IsHistoricalPeriod,,MATCH(F65,MO_Common_ColumnHeader,0)),"Historical","Forward")</f>
        <v/>
      </c>
      <c r="C65" s="67" t="n"/>
      <c r="D65" s="84">
        <f>INDEX(INDIRECT(E65),0,COLUMN(MO_Common_Column_A))</f>
        <v/>
      </c>
      <c r="E65" s="78" t="inlineStr">
        <is>
          <t>MO_RIS_EPS_WAD</t>
        </is>
      </c>
      <c r="F65" s="77" t="inlineStr">
        <is>
          <t>Q3-2025</t>
        </is>
      </c>
      <c r="G65" s="77" t="n"/>
      <c r="H65" s="67" t="n"/>
      <c r="I65" s="2170" t="n">
        <v>1.14</v>
      </c>
      <c r="J65" s="2170" t="n">
        <v>1.2</v>
      </c>
      <c r="K65" s="2170">
        <f>AVERAGE(I65:J65)</f>
        <v/>
      </c>
      <c r="L65" s="67" t="n"/>
      <c r="M65" s="77">
        <f>IF(INDEX(MO_SNA_IsHistoricalPeriod,,MATCH(F65,MO_Common_ColumnHeader,0)),"Actual","Estimate")</f>
        <v/>
      </c>
      <c r="N65" s="2170">
        <f>IFERROR(INDEX(INDIRECT(E65),0,MATCH(F65,MO_Common_ColumnHeader,0)),"N/A")</f>
        <v/>
      </c>
      <c r="O65" s="67" t="n"/>
      <c r="P65" s="2171">
        <f>IF(ISNUMBER(N65),N65-K65,"N/A")</f>
        <v/>
      </c>
      <c r="Q65" s="2168">
        <f>IFERROR(IF(ISNUMBER(N65),(N65-K65)/ABS(K65),"N/A"),"N/A")</f>
        <v/>
      </c>
      <c r="R65" s="112" t="n"/>
      <c r="S65" s="80" t="n">
        <v>45866</v>
      </c>
      <c r="T65" s="88" t="inlineStr">
        <is>
          <t>CFO Commentary</t>
        </is>
      </c>
      <c r="U65" s="67" t="n"/>
    </row>
    <row r="66" ht="14.4" customFormat="1" customHeight="1" s="1013">
      <c r="A66" s="114" t="n">
        <v>898</v>
      </c>
      <c r="B66" s="77">
        <f>IF(INDEX(MO_SNA_IsHistoricalPeriod,,MATCH(F66,MO_Common_ColumnHeader,0)),"Historical","Forward")</f>
        <v/>
      </c>
      <c r="C66" s="67" t="n"/>
      <c r="D66" s="84">
        <f>INDEX(INDIRECT(E66),0,COLUMN(MO_Common_Column_A))</f>
        <v/>
      </c>
      <c r="E66" s="78" t="inlineStr">
        <is>
          <t>MO_RIS_EPS_WAD_Adj</t>
        </is>
      </c>
      <c r="F66" s="77" t="inlineStr">
        <is>
          <t>Q3-2025</t>
        </is>
      </c>
      <c r="G66" s="77" t="n"/>
      <c r="H66" s="67" t="n"/>
      <c r="I66" s="2170" t="n">
        <v>1.75</v>
      </c>
      <c r="J66" s="2170" t="n">
        <v>1.81</v>
      </c>
      <c r="K66" s="2170">
        <f>AVERAGE(I66:J66)</f>
        <v/>
      </c>
      <c r="L66" s="67" t="n"/>
      <c r="M66" s="77">
        <f>IF(INDEX(MO_SNA_IsHistoricalPeriod,,MATCH(F66,MO_Common_ColumnHeader,0)),"Actual","Estimate")</f>
        <v/>
      </c>
      <c r="N66" s="2170">
        <f>IFERROR(INDEX(INDIRECT(E66),0,MATCH(F66,MO_Common_ColumnHeader,0)),"N/A")</f>
        <v/>
      </c>
      <c r="O66" s="67" t="n"/>
      <c r="P66" s="2171">
        <f>IF(ISNUMBER(N66),N66-K66,"N/A")</f>
        <v/>
      </c>
      <c r="Q66" s="2168">
        <f>IFERROR(IF(ISNUMBER(N66),(N66-K66)/ABS(K66),"N/A"),"N/A")</f>
        <v/>
      </c>
      <c r="R66" s="112" t="n"/>
      <c r="S66" s="80" t="n">
        <v>45866</v>
      </c>
      <c r="T66" s="88" t="inlineStr">
        <is>
          <t>CFO Commentary</t>
        </is>
      </c>
      <c r="U66" s="67" t="n"/>
    </row>
    <row r="67" ht="14.4" customFormat="1" customHeight="1" s="1013">
      <c r="A67" s="114" t="n">
        <v>897</v>
      </c>
      <c r="B67" s="77">
        <f>IF(INDEX(MO_SNA_IsHistoricalPeriod,,MATCH(F67,MO_Common_ColumnHeader,0)),"Historical","Forward")</f>
        <v/>
      </c>
      <c r="C67" s="67" t="n"/>
      <c r="D67" s="84">
        <f>INDEX(INDIRECT(E67),0,COLUMN(MO_Common_Column_A))</f>
        <v/>
      </c>
      <c r="E67" s="78" t="inlineStr">
        <is>
          <t>MO_CFSum_NetShares</t>
        </is>
      </c>
      <c r="F67" s="77" t="inlineStr">
        <is>
          <t>Q3-2025</t>
        </is>
      </c>
      <c r="G67" s="77" t="n"/>
      <c r="H67" s="67" t="n"/>
      <c r="I67" s="2087" t="n">
        <v>-200</v>
      </c>
      <c r="J67" s="2087" t="n">
        <v>-200</v>
      </c>
      <c r="K67" s="2087">
        <f>AVERAGE(I67:J67)</f>
        <v/>
      </c>
      <c r="L67" s="67" t="n"/>
      <c r="M67" s="77">
        <f>IF(INDEX(MO_SNA_IsHistoricalPeriod,,MATCH(F67,MO_Common_ColumnHeader,0)),"Actual","Estimate")</f>
        <v/>
      </c>
      <c r="N67" s="2087">
        <f>IFERROR(INDEX(INDIRECT(E67),0,MATCH(F67,MO_Common_ColumnHeader,0)),"N/A")</f>
        <v/>
      </c>
      <c r="O67" s="67" t="n"/>
      <c r="P67" s="2169">
        <f>IF(ISNUMBER(N67),N67-K67,"N/A")</f>
        <v/>
      </c>
      <c r="Q67" s="2168">
        <f>IFERROR(IF(ISNUMBER(N67),(N67-K67)/ABS(K67),"N/A"),"N/A")</f>
        <v/>
      </c>
      <c r="R67" s="112" t="n"/>
      <c r="S67" s="80" t="n">
        <v>45866</v>
      </c>
      <c r="T67" s="88" t="inlineStr">
        <is>
          <t>CFO Commentary</t>
        </is>
      </c>
      <c r="U67" s="67" t="n"/>
    </row>
    <row r="68" ht="14.4" customFormat="1" customHeight="1" s="1013">
      <c r="A68" s="114" t="n">
        <v>896</v>
      </c>
      <c r="B68" s="67" t="n"/>
      <c r="C68" s="67" t="n"/>
      <c r="D68" s="68" t="n"/>
      <c r="E68" s="69" t="n"/>
      <c r="F68" s="67" t="n"/>
      <c r="G68" s="67" t="n"/>
      <c r="H68" s="67" t="n"/>
      <c r="I68" s="2072" t="n"/>
      <c r="J68" s="2072" t="n"/>
      <c r="K68" s="2072" t="n"/>
      <c r="L68" s="67" t="n"/>
      <c r="M68" s="67" t="n"/>
      <c r="N68" s="2072" t="n"/>
      <c r="O68" s="67" t="n"/>
      <c r="P68" s="2172" t="n"/>
      <c r="Q68" s="2173" t="n"/>
      <c r="R68" s="112" t="n"/>
      <c r="S68" s="112" t="n"/>
      <c r="T68" s="344" t="n"/>
      <c r="U68" s="67" t="n"/>
    </row>
    <row r="69" ht="14.4" customFormat="1" customHeight="1" s="1013">
      <c r="A69" s="114" t="n">
        <v>895</v>
      </c>
      <c r="B69" s="77">
        <f>IF(INDEX(MO_SNA_IsHistoricalPeriod,,MATCH(F69,MO_Common_ColumnHeader,0)),"Historical","Forward")</f>
        <v/>
      </c>
      <c r="C69" s="67" t="n"/>
      <c r="D69" s="84" t="inlineStr">
        <is>
          <t>Recurring Revenue %</t>
        </is>
      </c>
      <c r="E69" s="78" t="n"/>
      <c r="F69" s="77" t="inlineStr">
        <is>
          <t>FY2025</t>
        </is>
      </c>
      <c r="G69" s="77" t="n"/>
      <c r="H69" s="67" t="n"/>
      <c r="I69" s="2108" t="n">
        <v>0.8</v>
      </c>
      <c r="J69" s="2108" t="n">
        <v>0.8</v>
      </c>
      <c r="K69" s="2108">
        <f>AVERAGE(I69:J69)</f>
        <v/>
      </c>
      <c r="L69" s="67" t="n"/>
      <c r="M69" s="77">
        <f>IF(INDEX(MO_SNA_IsHistoricalPeriod,,MATCH(F69,MO_Common_ColumnHeader,0)),"Actual","Estimate")</f>
        <v/>
      </c>
      <c r="N69" s="2108">
        <f>IFERROR(INDEX(INDIRECT(E69),0,MATCH(F69,MO_Common_ColumnHeader,0)),"N/A")</f>
        <v/>
      </c>
      <c r="O69" s="2072" t="n"/>
      <c r="P69" s="2168">
        <f>IF(ISNUMBER(N69),N69-K69,"N/A")</f>
        <v/>
      </c>
      <c r="Q69" s="2168">
        <f>IFERROR(IF(ISNUMBER(N69),(N69-K69)/ABS(K69),"N/A"),"N/A")</f>
        <v/>
      </c>
      <c r="R69" s="112" t="n"/>
      <c r="S69" s="80" t="n">
        <v>45775</v>
      </c>
      <c r="T69" s="88" t="inlineStr">
        <is>
          <t>CFO Commentary</t>
        </is>
      </c>
      <c r="U69" s="67" t="n"/>
    </row>
    <row r="70" ht="14.4" customFormat="1" customHeight="1" s="1013">
      <c r="A70" s="114" t="n">
        <v>894</v>
      </c>
      <c r="B70" s="77">
        <f>IF(INDEX(MO_SNA_IsHistoricalPeriod,,MATCH(F70,MO_Common_ColumnHeader,0)),"Historical","Forward")</f>
        <v/>
      </c>
      <c r="C70" s="67" t="n"/>
      <c r="D70" s="84" t="inlineStr">
        <is>
          <t>Revenue from Beginning Backlog %</t>
        </is>
      </c>
      <c r="E70" s="78" t="n"/>
      <c r="F70" s="77" t="inlineStr">
        <is>
          <t>FY2025</t>
        </is>
      </c>
      <c r="G70" s="77" t="n"/>
      <c r="H70" s="67" t="n"/>
      <c r="I70" s="2108" t="n">
        <v>0.7</v>
      </c>
      <c r="J70" s="2108" t="n">
        <v>0.7</v>
      </c>
      <c r="K70" s="2108">
        <f>AVERAGE(I70:J70)</f>
        <v/>
      </c>
      <c r="L70" s="67" t="n"/>
      <c r="M70" s="77">
        <f>IF(INDEX(MO_SNA_IsHistoricalPeriod,,MATCH(F70,MO_Common_ColumnHeader,0)),"Actual","Estimate")</f>
        <v/>
      </c>
      <c r="N70" s="2108">
        <f>IFERROR(INDEX(INDIRECT(E70),0,MATCH(F70,MO_Common_ColumnHeader,0)),"N/A")</f>
        <v/>
      </c>
      <c r="O70" s="2072" t="n"/>
      <c r="P70" s="2168">
        <f>IF(ISNUMBER(N70),N70-K70,"N/A")</f>
        <v/>
      </c>
      <c r="Q70" s="2168">
        <f>IFERROR(IF(ISNUMBER(N70),(N70-K70)/ABS(K70),"N/A"),"N/A")</f>
        <v/>
      </c>
      <c r="R70" s="112" t="n"/>
      <c r="S70" s="80" t="n">
        <v>45775</v>
      </c>
      <c r="T70" s="88" t="inlineStr">
        <is>
          <t>CFO Commentary</t>
        </is>
      </c>
      <c r="U70" s="67" t="n"/>
    </row>
    <row r="71" ht="14.4" customFormat="1" customHeight="1" s="1013">
      <c r="A71" s="114" t="n">
        <v>893</v>
      </c>
      <c r="B71" s="77">
        <f>IF(INDEX(MO_SNA_IsHistoricalPeriod,,MATCH(F71,MO_Common_ColumnHeader,0)),"Historical","Forward")</f>
        <v/>
      </c>
      <c r="C71" s="67" t="n"/>
      <c r="D71" s="84">
        <f>INDEX(INDIRECT(E71),0,COLUMN(MO_Common_Column_A))</f>
        <v/>
      </c>
      <c r="E71" s="78" t="inlineStr">
        <is>
          <t>MO_RIS_REV</t>
        </is>
      </c>
      <c r="F71" s="77" t="inlineStr">
        <is>
          <t>FY2025</t>
        </is>
      </c>
      <c r="G71" s="77" t="n"/>
      <c r="H71" s="67" t="n"/>
      <c r="I71" s="2087" t="n">
        <v>5150</v>
      </c>
      <c r="J71" s="2087" t="n">
        <v>5230</v>
      </c>
      <c r="K71" s="2087">
        <f>AVERAGE(I71:J71)</f>
        <v/>
      </c>
      <c r="L71" s="67" t="n"/>
      <c r="M71" s="77">
        <f>IF(INDEX(MO_SNA_IsHistoricalPeriod,,MATCH(F71,MO_Common_ColumnHeader,0)),"Actual","Estimate")</f>
        <v/>
      </c>
      <c r="N71" s="2087">
        <f>IFERROR(INDEX(INDIRECT(E71),0,MATCH(F71,MO_Common_ColumnHeader,0)),"N/A")</f>
        <v/>
      </c>
      <c r="O71" s="2072" t="n"/>
      <c r="P71" s="2169">
        <f>IF(ISNUMBER(N71),N71-K71,"N/A")</f>
        <v/>
      </c>
      <c r="Q71" s="2168">
        <f>IFERROR(IF(ISNUMBER(N71),(N71-K71)/ABS(K71),"N/A"),"N/A")</f>
        <v/>
      </c>
      <c r="R71" s="112" t="n"/>
      <c r="S71" s="80" t="n">
        <v>45775</v>
      </c>
      <c r="T71" s="88" t="inlineStr">
        <is>
          <t>CFO Commentary</t>
        </is>
      </c>
      <c r="U71" s="67" t="n"/>
    </row>
    <row r="72" ht="14.4" customFormat="1" customHeight="1" s="1013">
      <c r="A72" s="114" t="n">
        <v>892</v>
      </c>
      <c r="B72" s="77">
        <f>IF(INDEX(MO_SNA_IsHistoricalPeriod,,MATCH(F72,MO_Common_ColumnHeader,0)),"Historical","Forward")</f>
        <v/>
      </c>
      <c r="C72" s="67" t="n"/>
      <c r="D72" s="84" t="inlineStr">
        <is>
          <t>GAAP Operating Margin</t>
        </is>
      </c>
      <c r="E72" s="78" t="inlineStr">
        <is>
          <t>MO_MA_EBIT</t>
        </is>
      </c>
      <c r="F72" s="77" t="inlineStr">
        <is>
          <t>FY2025</t>
        </is>
      </c>
      <c r="G72" s="77" t="n"/>
      <c r="H72" s="67" t="n"/>
      <c r="I72" s="2108" t="n">
        <v>0.3025</v>
      </c>
      <c r="J72" s="2108" t="n">
        <v>0.3125</v>
      </c>
      <c r="K72" s="2108">
        <f>AVERAGE(I72:J72)</f>
        <v/>
      </c>
      <c r="L72" s="67" t="n"/>
      <c r="M72" s="77">
        <f>IF(INDEX(MO_SNA_IsHistoricalPeriod,,MATCH(F72,MO_Common_ColumnHeader,0)),"Actual","Estimate")</f>
        <v/>
      </c>
      <c r="N72" s="2108">
        <f>IFERROR(INDEX(INDIRECT(E72),0,MATCH(F72,MO_Common_ColumnHeader,0)),"N/A")</f>
        <v/>
      </c>
      <c r="O72" s="67" t="n"/>
      <c r="P72" s="2168">
        <f>IF(ISNUMBER(N72),N72-K72,"N/A")</f>
        <v/>
      </c>
      <c r="Q72" s="2168">
        <f>IFERROR(IF(ISNUMBER(N72),(N72-K72)/ABS(K72),"N/A"),"N/A")</f>
        <v/>
      </c>
      <c r="R72" s="112" t="n"/>
      <c r="S72" s="80" t="n">
        <v>45775</v>
      </c>
      <c r="T72" s="88" t="inlineStr">
        <is>
          <t>CFO Commentary</t>
        </is>
      </c>
      <c r="U72" s="67" t="n"/>
    </row>
    <row r="73" ht="14.4" customFormat="1" customHeight="1" s="1013">
      <c r="A73" s="114" t="n">
        <v>891</v>
      </c>
      <c r="B73" s="77">
        <f>IF(INDEX(MO_SNA_IsHistoricalPeriod,,MATCH(F73,MO_Common_ColumnHeader,0)),"Historical","Forward")</f>
        <v/>
      </c>
      <c r="C73" s="67" t="n"/>
      <c r="D73" s="84">
        <f>INDEX(INDIRECT(E73),0,COLUMN(MO_Common_Column_A))</f>
        <v/>
      </c>
      <c r="E73" s="78" t="inlineStr">
        <is>
          <t>MO_MA_OperatingIncome_NONGAAP</t>
        </is>
      </c>
      <c r="F73" s="77" t="inlineStr">
        <is>
          <t>FY2025</t>
        </is>
      </c>
      <c r="G73" s="77" t="n"/>
      <c r="H73" s="67" t="n"/>
      <c r="I73" s="2108" t="n">
        <v>0.4325</v>
      </c>
      <c r="J73" s="2108" t="n">
        <v>0.4425</v>
      </c>
      <c r="K73" s="2108">
        <f>AVERAGE(I73:J73)</f>
        <v/>
      </c>
      <c r="L73" s="67" t="n"/>
      <c r="M73" s="77">
        <f>IF(INDEX(MO_SNA_IsHistoricalPeriod,,MATCH(F73,MO_Common_ColumnHeader,0)),"Actual","Estimate")</f>
        <v/>
      </c>
      <c r="N73" s="2108">
        <f>IFERROR(INDEX(INDIRECT(E73),0,MATCH(F73,MO_Common_ColumnHeader,0)),"N/A")</f>
        <v/>
      </c>
      <c r="O73" s="67" t="n"/>
      <c r="P73" s="2168">
        <f>IF(ISNUMBER(N73),N73-K73,"N/A")</f>
        <v/>
      </c>
      <c r="Q73" s="2168">
        <f>IFERROR(IF(ISNUMBER(N73),(N73-K73)/ABS(K73),"N/A"),"N/A")</f>
        <v/>
      </c>
      <c r="R73" s="112" t="n"/>
      <c r="S73" s="80" t="n">
        <v>45775</v>
      </c>
      <c r="T73" s="88" t="inlineStr">
        <is>
          <t>CFO Commentary</t>
        </is>
      </c>
      <c r="U73" s="67" t="n"/>
    </row>
    <row r="74" ht="14.4" customFormat="1" customHeight="1" s="1013">
      <c r="A74" s="114" t="n">
        <v>890</v>
      </c>
      <c r="B74" s="77">
        <f>IF(INDEX(MO_SNA_IsHistoricalPeriod,,MATCH(F74,MO_Common_ColumnHeader,0)),"Historical","Forward")</f>
        <v/>
      </c>
      <c r="C74" s="67" t="n"/>
      <c r="D74" s="84">
        <f>INDEX(INDIRECT(E74),0,COLUMN(MO_Common_Column_A))</f>
        <v/>
      </c>
      <c r="E74" s="78" t="inlineStr">
        <is>
          <t>MO_RIS_EPS_WAD</t>
        </is>
      </c>
      <c r="F74" s="77" t="inlineStr">
        <is>
          <t>FY2025</t>
        </is>
      </c>
      <c r="G74" s="77" t="n"/>
      <c r="H74" s="67" t="n"/>
      <c r="I74" s="2170" t="n">
        <v>4.21</v>
      </c>
      <c r="J74" s="2170" t="n">
        <v>4.31</v>
      </c>
      <c r="K74" s="2170">
        <f>AVERAGE(I74:J74)</f>
        <v/>
      </c>
      <c r="L74" s="67" t="n"/>
      <c r="M74" s="77">
        <f>IF(INDEX(MO_SNA_IsHistoricalPeriod,,MATCH(F74,MO_Common_ColumnHeader,0)),"Actual","Estimate")</f>
        <v/>
      </c>
      <c r="N74" s="2170">
        <f>IFERROR(INDEX(INDIRECT(E74),0,MATCH(F74,MO_Common_ColumnHeader,0)),"N/A")</f>
        <v/>
      </c>
      <c r="O74" s="67" t="n"/>
      <c r="P74" s="2171">
        <f>IF(ISNUMBER(N74),N74-K74,"N/A")</f>
        <v/>
      </c>
      <c r="Q74" s="2168">
        <f>IFERROR(IF(ISNUMBER(N74),(N74-K74)/ABS(K74),"N/A"),"N/A")</f>
        <v/>
      </c>
      <c r="R74" s="112" t="n"/>
      <c r="S74" s="80" t="n">
        <v>45775</v>
      </c>
      <c r="T74" s="88" t="inlineStr">
        <is>
          <t>CFO Commentary</t>
        </is>
      </c>
      <c r="U74" s="67" t="n"/>
    </row>
    <row r="75" ht="14.4" customFormat="1" customHeight="1" s="1013">
      <c r="A75" s="114" t="n">
        <v>889</v>
      </c>
      <c r="B75" s="77">
        <f>IF(INDEX(MO_SNA_IsHistoricalPeriod,,MATCH(F75,MO_Common_ColumnHeader,0)),"Historical","Forward")</f>
        <v/>
      </c>
      <c r="C75" s="67" t="n"/>
      <c r="D75" s="84">
        <f>INDEX(INDIRECT(E75),0,COLUMN(MO_Common_Column_A))</f>
        <v/>
      </c>
      <c r="E75" s="78" t="inlineStr">
        <is>
          <t>MO_RIS_EPS_WAD_Adj</t>
        </is>
      </c>
      <c r="F75" s="77" t="inlineStr">
        <is>
          <t>FY2025</t>
        </is>
      </c>
      <c r="G75" s="77" t="n"/>
      <c r="H75" s="67" t="n"/>
      <c r="I75" s="2170" t="n">
        <v>6.73</v>
      </c>
      <c r="J75" s="2170" t="n">
        <v>6.83</v>
      </c>
      <c r="K75" s="2170">
        <f>AVERAGE(I75:J75)</f>
        <v/>
      </c>
      <c r="L75" s="67" t="n"/>
      <c r="M75" s="77">
        <f>IF(INDEX(MO_SNA_IsHistoricalPeriod,,MATCH(F75,MO_Common_ColumnHeader,0)),"Actual","Estimate")</f>
        <v/>
      </c>
      <c r="N75" s="2170">
        <f>IFERROR(INDEX(INDIRECT(E75),0,MATCH(F75,MO_Common_ColumnHeader,0)),"N/A")</f>
        <v/>
      </c>
      <c r="O75" s="67" t="n"/>
      <c r="P75" s="2171">
        <f>IF(ISNUMBER(N75),N75-K75,"N/A")</f>
        <v/>
      </c>
      <c r="Q75" s="2168">
        <f>IFERROR(IF(ISNUMBER(N75),(N75-K75)/ABS(K75),"N/A"),"N/A")</f>
        <v/>
      </c>
      <c r="R75" s="112" t="n"/>
      <c r="S75" s="80" t="n">
        <v>45775</v>
      </c>
      <c r="T75" s="88" t="inlineStr">
        <is>
          <t>CFO Commentary</t>
        </is>
      </c>
      <c r="U75" s="67" t="n"/>
    </row>
    <row r="76" ht="14.4" customFormat="1" customHeight="1" s="1013">
      <c r="A76" s="114" t="n">
        <v>888</v>
      </c>
      <c r="B76" s="77">
        <f>IF(INDEX(MO_SNA_IsHistoricalPeriod,,MATCH(F76,MO_Common_ColumnHeader,0)),"Historical","Forward")</f>
        <v/>
      </c>
      <c r="C76" s="67" t="n"/>
      <c r="D76" s="84">
        <f>INDEX(INDIRECT(E76),0,COLUMN(MO_Common_Column_A))</f>
        <v/>
      </c>
      <c r="E76" s="78" t="inlineStr">
        <is>
          <t>MO_CFS_CFO</t>
        </is>
      </c>
      <c r="F76" s="77" t="inlineStr">
        <is>
          <t>FY2025</t>
        </is>
      </c>
      <c r="G76" s="77" t="n"/>
      <c r="H76" s="67" t="n"/>
      <c r="I76" s="2087" t="n">
        <v>1600</v>
      </c>
      <c r="J76" s="2087" t="n">
        <v>1700</v>
      </c>
      <c r="K76" s="2087">
        <f>AVERAGE(I76:J76)</f>
        <v/>
      </c>
      <c r="L76" s="67" t="n"/>
      <c r="M76" s="77">
        <f>IF(INDEX(MO_SNA_IsHistoricalPeriod,,MATCH(F76,MO_Common_ColumnHeader,0)),"Actual","Estimate")</f>
        <v/>
      </c>
      <c r="N76" s="2087">
        <f>IFERROR(INDEX(INDIRECT(E76),0,MATCH(F76,MO_Common_ColumnHeader,0)),"N/A")</f>
        <v/>
      </c>
      <c r="O76" s="67" t="n"/>
      <c r="P76" s="2169">
        <f>IF(ISNUMBER(N76),N76-K76,"N/A")</f>
        <v/>
      </c>
      <c r="Q76" s="2168">
        <f>IFERROR(IF(ISNUMBER(N76),(N76-K76)/ABS(K76),"N/A"),"N/A")</f>
        <v/>
      </c>
      <c r="R76" s="112" t="n"/>
      <c r="S76" s="80" t="n">
        <v>45775</v>
      </c>
      <c r="T76" s="88" t="inlineStr">
        <is>
          <t>CFO Commentary</t>
        </is>
      </c>
      <c r="U76" s="67" t="n"/>
    </row>
    <row r="77" ht="14.4" customFormat="1" customHeight="1" s="1013">
      <c r="A77" s="114" t="n">
        <v>887</v>
      </c>
      <c r="B77" s="77">
        <f>IF(INDEX(MO_SNA_IsHistoricalPeriod,,MATCH(F77,MO_Common_ColumnHeader,0)),"Historical","Forward")</f>
        <v/>
      </c>
      <c r="C77" s="67" t="n"/>
      <c r="D77" s="84" t="inlineStr">
        <is>
          <t>GAAP Other Income &amp; Expense</t>
        </is>
      </c>
      <c r="E77" s="78" t="n"/>
      <c r="F77" s="77" t="inlineStr">
        <is>
          <t>FY2025</t>
        </is>
      </c>
      <c r="G77" s="77" t="n"/>
      <c r="H77" s="67" t="n"/>
      <c r="I77" s="2087" t="n">
        <v>-43</v>
      </c>
      <c r="J77" s="2087" t="n">
        <v>-57</v>
      </c>
      <c r="K77" s="2087">
        <f>AVERAGE(I77:J77)</f>
        <v/>
      </c>
      <c r="L77" s="67" t="n"/>
      <c r="M77" s="77">
        <f>IF(INDEX(MO_SNA_IsHistoricalPeriod,,MATCH(F77,MO_Common_ColumnHeader,0)),"Actual","Estimate")</f>
        <v/>
      </c>
      <c r="N77" s="2087">
        <f>-IFERROR(INDEX(MO_RIS_IE_Net,0,MATCH(F77,MO_Common_ColumnHeader,0)),"N/A")-IFERROR(INDEX(MO_RIS_OI,0,MATCH(F77,MO_Common_ColumnHeader,0)),"N/A")</f>
        <v/>
      </c>
      <c r="O77" s="67" t="n"/>
      <c r="P77" s="2169">
        <f>IF(ISNUMBER(N77),N77-K77,"N/A")</f>
        <v/>
      </c>
      <c r="Q77" s="2168">
        <f>IFERROR(IF(ISNUMBER(N77),(N77-K77)/ABS(K77),"N/A"),"N/A")</f>
        <v/>
      </c>
      <c r="R77" s="112" t="n"/>
      <c r="S77" s="80" t="n">
        <v>45775</v>
      </c>
      <c r="T77" s="88" t="inlineStr">
        <is>
          <t>CFO Commentary</t>
        </is>
      </c>
      <c r="U77" s="67" t="n"/>
    </row>
    <row r="78" ht="14.4" customFormat="1" customHeight="1" s="1013">
      <c r="A78" s="114" t="n">
        <v>886</v>
      </c>
      <c r="B78" s="77">
        <f>IF(INDEX(MO_SNA_IsHistoricalPeriod,,MATCH(F78,MO_Common_ColumnHeader,0)),"Historical","Forward")</f>
        <v/>
      </c>
      <c r="C78" s="67" t="n"/>
      <c r="D78" s="84" t="inlineStr">
        <is>
          <t>Non-GAAP Other Income &amp; Expense</t>
        </is>
      </c>
      <c r="E78" s="78" t="n"/>
      <c r="F78" s="77" t="inlineStr">
        <is>
          <t>FY2025</t>
        </is>
      </c>
      <c r="G78" s="77" t="n"/>
      <c r="H78" s="67" t="n"/>
      <c r="I78" s="2087" t="n">
        <v>-40</v>
      </c>
      <c r="J78" s="2087" t="n">
        <v>-54</v>
      </c>
      <c r="K78" s="2087">
        <f>AVERAGE(I78:J78)</f>
        <v/>
      </c>
      <c r="L78" s="67" t="n"/>
      <c r="M78" s="77">
        <f>IF(INDEX(MO_SNA_IsHistoricalPeriod,,MATCH(F78,MO_Common_ColumnHeader,0)),"Actual","Estimate")</f>
        <v/>
      </c>
      <c r="N78" s="2087">
        <f>-IFERROR(INDEX(MO_RIS_IE_Net_NONGAAP,0,MATCH(F78,MO_Common_ColumnHeader,0)),"N/A")-IFERROR(INDEX(MO_RIS_OI_NONGAAP,0,MATCH(F78,MO_Common_ColumnHeader,0)),"N/A")</f>
        <v/>
      </c>
      <c r="O78" s="67" t="n"/>
      <c r="P78" s="2169">
        <f>IF(ISNUMBER(N78),N78-K78,"N/A")</f>
        <v/>
      </c>
      <c r="Q78" s="2168">
        <f>IFERROR(IF(ISNUMBER(N78),(N78-K78)/ABS(K78),"N/A"),"N/A")</f>
        <v/>
      </c>
      <c r="R78" s="112" t="n"/>
      <c r="S78" s="80" t="n">
        <v>45775</v>
      </c>
      <c r="T78" s="88" t="inlineStr">
        <is>
          <t>CFO Commentary</t>
        </is>
      </c>
      <c r="U78" s="67" t="n"/>
    </row>
    <row r="79" ht="14.4" customFormat="1" customHeight="1" s="1013">
      <c r="A79" s="114" t="n">
        <v>885</v>
      </c>
      <c r="B79" s="77">
        <f>IF(INDEX(MO_SNA_IsHistoricalPeriod,,MATCH(F79,MO_Common_ColumnHeader,0)),"Historical","Forward")</f>
        <v/>
      </c>
      <c r="C79" s="67" t="n"/>
      <c r="D79" s="84" t="inlineStr">
        <is>
          <t>GAAP Tax Rate</t>
        </is>
      </c>
      <c r="E79" s="78" t="inlineStr">
        <is>
          <t>MO_RIS_TaxRate</t>
        </is>
      </c>
      <c r="F79" s="77" t="inlineStr">
        <is>
          <t>FY2025</t>
        </is>
      </c>
      <c r="G79" s="77" t="n"/>
      <c r="H79" s="67" t="n"/>
      <c r="I79" s="2108" t="n">
        <v>0.26</v>
      </c>
      <c r="J79" s="2108" t="n">
        <v>0.26</v>
      </c>
      <c r="K79" s="2108">
        <f>AVERAGE(I79:J79)</f>
        <v/>
      </c>
      <c r="L79" s="67" t="n"/>
      <c r="M79" s="77">
        <f>IF(INDEX(MO_SNA_IsHistoricalPeriod,,MATCH(F79,MO_Common_ColumnHeader,0)),"Actual","Estimate")</f>
        <v/>
      </c>
      <c r="N79" s="2108">
        <f>IFERROR(INDEX(INDIRECT(E79),0,MATCH(F79,MO_Common_ColumnHeader,0)),"N/A")</f>
        <v/>
      </c>
      <c r="O79" s="67" t="n"/>
      <c r="P79" s="2168">
        <f>IF(ISNUMBER(N79),N79-K79,"N/A")</f>
        <v/>
      </c>
      <c r="Q79" s="2168">
        <f>IFERROR(IF(ISNUMBER(N79),(N79-K79)/ABS(K79),"N/A"),"N/A")</f>
        <v/>
      </c>
      <c r="R79" s="112" t="n"/>
      <c r="S79" s="80" t="n">
        <v>45775</v>
      </c>
      <c r="T79" s="88" t="inlineStr">
        <is>
          <t>CFO Commentary</t>
        </is>
      </c>
      <c r="U79" s="67" t="n"/>
    </row>
    <row r="80" ht="14.4" customFormat="1" customHeight="1" s="1013">
      <c r="A80" s="114" t="n">
        <v>884</v>
      </c>
      <c r="B80" s="77">
        <f>IF(INDEX(MO_SNA_IsHistoricalPeriod,,MATCH(F80,MO_Common_ColumnHeader,0)),"Historical","Forward")</f>
        <v/>
      </c>
      <c r="C80" s="67" t="n"/>
      <c r="D80" s="84">
        <f>INDEX(INDIRECT(E80),0,COLUMN(MO_Common_Column_A))</f>
        <v/>
      </c>
      <c r="E80" s="78" t="inlineStr">
        <is>
          <t>MO_RIS_TaxRate_NONGAAP</t>
        </is>
      </c>
      <c r="F80" s="77" t="inlineStr">
        <is>
          <t>FY2025</t>
        </is>
      </c>
      <c r="G80" s="77" t="n"/>
      <c r="H80" s="67" t="n"/>
      <c r="I80" s="2108" t="n">
        <v>0.165</v>
      </c>
      <c r="J80" s="2108" t="n">
        <v>0.165</v>
      </c>
      <c r="K80" s="2108">
        <f>AVERAGE(I80:J80)</f>
        <v/>
      </c>
      <c r="L80" s="67" t="n"/>
      <c r="M80" s="77">
        <f>IF(INDEX(MO_SNA_IsHistoricalPeriod,,MATCH(F80,MO_Common_ColumnHeader,0)),"Actual","Estimate")</f>
        <v/>
      </c>
      <c r="N80" s="2108">
        <f>IFERROR(INDEX(INDIRECT(E80),0,MATCH(F80,MO_Common_ColumnHeader,0)),"N/A")</f>
        <v/>
      </c>
      <c r="O80" s="67" t="n"/>
      <c r="P80" s="2168">
        <f>IF(ISNUMBER(N80),N80-K80,"N/A")</f>
        <v/>
      </c>
      <c r="Q80" s="2168">
        <f>IFERROR(IF(ISNUMBER(N80),(N80-K80)/ABS(K80),"N/A"),"N/A")</f>
        <v/>
      </c>
      <c r="R80" s="112" t="n"/>
      <c r="S80" s="80" t="n">
        <v>45775</v>
      </c>
      <c r="T80" s="88" t="inlineStr">
        <is>
          <t>CFO Commentary</t>
        </is>
      </c>
      <c r="U80" s="67" t="n"/>
    </row>
    <row r="81" ht="14.4" customFormat="1" customHeight="1" s="1013">
      <c r="A81" s="114" t="n">
        <v>883</v>
      </c>
      <c r="B81" s="77">
        <f>IF(INDEX(MO_SNA_IsHistoricalPeriod,,MATCH(F81,MO_Common_ColumnHeader,0)),"Historical","Forward")</f>
        <v/>
      </c>
      <c r="C81" s="67" t="n"/>
      <c r="D81" s="84">
        <f>INDEX(INDIRECT(E81),0,COLUMN(MO_Common_Column_A))</f>
        <v/>
      </c>
      <c r="E81" s="78" t="inlineStr">
        <is>
          <t>MO_RIS_ShareCount_WAD</t>
        </is>
      </c>
      <c r="F81" s="77" t="inlineStr">
        <is>
          <t>FY2025</t>
        </is>
      </c>
      <c r="G81" s="77" t="n"/>
      <c r="H81" s="67" t="n"/>
      <c r="I81" s="2087" t="n">
        <v>273</v>
      </c>
      <c r="J81" s="2087" t="n">
        <v>275</v>
      </c>
      <c r="K81" s="2087">
        <f>AVERAGE(I81:J81)</f>
        <v/>
      </c>
      <c r="L81" s="67" t="n"/>
      <c r="M81" s="77">
        <f>IF(INDEX(MO_SNA_IsHistoricalPeriod,,MATCH(F81,MO_Common_ColumnHeader,0)),"Actual","Estimate")</f>
        <v/>
      </c>
      <c r="N81" s="2087">
        <f>IFERROR(INDEX(INDIRECT(E81),0,MATCH(F81,MO_Common_ColumnHeader,0)),"N/A")</f>
        <v/>
      </c>
      <c r="O81" s="67" t="n"/>
      <c r="P81" s="2169">
        <f>IF(ISNUMBER(N81),N81-K81,"N/A")</f>
        <v/>
      </c>
      <c r="Q81" s="2168">
        <f>IFERROR(IF(ISNUMBER(N81),(N81-K81)/ABS(K81),"N/A"),"N/A")</f>
        <v/>
      </c>
      <c r="R81" s="112" t="n"/>
      <c r="S81" s="80" t="n">
        <v>45775</v>
      </c>
      <c r="T81" s="88" t="inlineStr">
        <is>
          <t>CFO Commentary</t>
        </is>
      </c>
      <c r="U81" s="67" t="n"/>
    </row>
    <row r="82" ht="14.4" customFormat="1" customHeight="1" s="1013">
      <c r="A82" s="114" t="n">
        <v>882</v>
      </c>
      <c r="B82" s="77">
        <f>IF(INDEX(MO_SNA_IsHistoricalPeriod,,MATCH(F82,MO_Common_ColumnHeader,0)),"Historical","Forward")</f>
        <v/>
      </c>
      <c r="C82" s="67" t="n"/>
      <c r="D82" s="84" t="inlineStr">
        <is>
          <t>DSO</t>
        </is>
      </c>
      <c r="E82" s="78" t="n"/>
      <c r="F82" s="77" t="inlineStr">
        <is>
          <t>FY2025</t>
        </is>
      </c>
      <c r="G82" s="77" t="n"/>
      <c r="H82" s="67" t="n"/>
      <c r="I82" s="2087" t="n">
        <v>50</v>
      </c>
      <c r="J82" s="2087" t="n">
        <v>50</v>
      </c>
      <c r="K82" s="2087">
        <f>AVERAGE(I82:J82)</f>
        <v/>
      </c>
      <c r="L82" s="67" t="n"/>
      <c r="M82" s="77">
        <f>IF(INDEX(MO_SNA_IsHistoricalPeriod,,MATCH(F82,MO_Common_ColumnHeader,0)),"Actual","Estimate")</f>
        <v/>
      </c>
      <c r="N82" s="2087">
        <f>IFERROR(INDEX(INDIRECT(E82),0,MATCH(F82,MO_Common_ColumnHeader,0)),"N/A")</f>
        <v/>
      </c>
      <c r="O82" s="67" t="n"/>
      <c r="P82" s="2169">
        <f>IF(ISNUMBER(N82),N82-K82,"N/A")</f>
        <v/>
      </c>
      <c r="Q82" s="2168">
        <f>IFERROR(IF(ISNUMBER(N82),(N82-K82)/ABS(K82),"N/A"),"N/A")</f>
        <v/>
      </c>
      <c r="R82" s="112" t="n"/>
      <c r="S82" s="80" t="n">
        <v>45775</v>
      </c>
      <c r="T82" s="88" t="inlineStr">
        <is>
          <t>CFO Commentary</t>
        </is>
      </c>
      <c r="U82" s="67" t="n"/>
    </row>
    <row r="83" ht="14.4" customFormat="1" customHeight="1" s="1013">
      <c r="A83" s="114" t="n">
        <v>881</v>
      </c>
      <c r="B83" s="77">
        <f>IF(INDEX(MO_SNA_IsHistoricalPeriod,,MATCH(F83,MO_Common_ColumnHeader,0)),"Historical","Forward")</f>
        <v/>
      </c>
      <c r="C83" s="67" t="n"/>
      <c r="D83" s="84">
        <f>INDEX(INDIRECT(E83),0,COLUMN(MO_Common_Column_A))</f>
        <v/>
      </c>
      <c r="E83" s="78" t="inlineStr">
        <is>
          <t>MO_CFSum_Capex</t>
        </is>
      </c>
      <c r="F83" s="77" t="inlineStr">
        <is>
          <t>FY2025</t>
        </is>
      </c>
      <c r="G83" s="77" t="n"/>
      <c r="H83" s="67" t="n"/>
      <c r="I83" s="2087" t="n">
        <v>-150</v>
      </c>
      <c r="J83" s="2087" t="n">
        <v>-150</v>
      </c>
      <c r="K83" s="2087">
        <f>AVERAGE(I83:J83)</f>
        <v/>
      </c>
      <c r="L83" s="67" t="n"/>
      <c r="M83" s="77">
        <f>IF(INDEX(MO_SNA_IsHistoricalPeriod,,MATCH(F83,MO_Common_ColumnHeader,0)),"Actual","Estimate")</f>
        <v/>
      </c>
      <c r="N83" s="2087">
        <f>IFERROR(INDEX(INDIRECT(E83),0,MATCH(F83,MO_Common_ColumnHeader,0)),"N/A")</f>
        <v/>
      </c>
      <c r="O83" s="67" t="n"/>
      <c r="P83" s="2169">
        <f>IF(ISNUMBER(N83),N83-K83,"N/A")</f>
        <v/>
      </c>
      <c r="Q83" s="2168">
        <f>IFERROR(IF(ISNUMBER(N83),(N83-K83)/ABS(K83),"N/A"),"N/A")</f>
        <v/>
      </c>
      <c r="R83" s="112" t="n"/>
      <c r="S83" s="80" t="n">
        <v>45775</v>
      </c>
      <c r="T83" s="88" t="inlineStr">
        <is>
          <t>CFO Commentary</t>
        </is>
      </c>
      <c r="U83" s="67" t="n"/>
    </row>
    <row r="84" ht="14.4" customFormat="1" customHeight="1" s="1013">
      <c r="A84" s="114" t="n">
        <v>880</v>
      </c>
      <c r="B84" s="77">
        <f>IF(INDEX(MO_SNA_IsHistoricalPeriod,,MATCH(F84,MO_Common_ColumnHeader,0)),"Historical","Forward")</f>
        <v/>
      </c>
      <c r="C84" s="67" t="n"/>
      <c r="D84" s="84">
        <f>INDEX(INDIRECT(E84),0,COLUMN(MO_Common_Column_A))</f>
        <v/>
      </c>
      <c r="E84" s="78" t="inlineStr">
        <is>
          <t>MO_RIS_SBC</t>
        </is>
      </c>
      <c r="F84" s="77" t="inlineStr">
        <is>
          <t>FY2025</t>
        </is>
      </c>
      <c r="G84" s="77" t="n"/>
      <c r="H84" s="67" t="n"/>
      <c r="I84" s="2087" t="n">
        <v>466</v>
      </c>
      <c r="J84" s="2087" t="n">
        <v>466</v>
      </c>
      <c r="K84" s="2087">
        <f>AVERAGE(I84:J84)</f>
        <v/>
      </c>
      <c r="L84" s="67" t="n"/>
      <c r="M84" s="77">
        <f>IF(INDEX(MO_SNA_IsHistoricalPeriod,,MATCH(F84,MO_Common_ColumnHeader,0)),"Actual","Estimate")</f>
        <v/>
      </c>
      <c r="N84" s="2087">
        <f>IFERROR(INDEX(INDIRECT(E84),0,MATCH(F84,MO_Common_ColumnHeader,0)),"N/A")</f>
        <v/>
      </c>
      <c r="O84" s="67" t="n"/>
      <c r="P84" s="2169">
        <f>IF(ISNUMBER(N84),N84-K84,"N/A")</f>
        <v/>
      </c>
      <c r="Q84" s="2168">
        <f>IFERROR(IF(ISNUMBER(N84),(N84-K84)/ABS(K84),"N/A"),"N/A")</f>
        <v/>
      </c>
      <c r="R84" s="112" t="n"/>
      <c r="S84" s="80" t="n">
        <v>45775</v>
      </c>
      <c r="T84" s="88" t="inlineStr">
        <is>
          <t>CFO Commentary</t>
        </is>
      </c>
      <c r="U84" s="67" t="n"/>
    </row>
    <row r="85" ht="14.4" customFormat="1" customHeight="1" s="1013">
      <c r="A85" s="114" t="n">
        <v>879</v>
      </c>
      <c r="B85" s="77">
        <f>IF(INDEX(MO_SNA_IsHistoricalPeriod,,MATCH(F85,MO_Common_ColumnHeader,0)),"Historical","Forward")</f>
        <v/>
      </c>
      <c r="C85" s="67" t="n"/>
      <c r="D85" s="84">
        <f>INDEX(INDIRECT(E85),0,COLUMN(MO_Common_Column_A))</f>
        <v/>
      </c>
      <c r="E85" s="78" t="inlineStr">
        <is>
          <t>MO_RIS_Daintangibles</t>
        </is>
      </c>
      <c r="F85" s="77" t="inlineStr">
        <is>
          <t>FY2025</t>
        </is>
      </c>
      <c r="G85" s="77" t="n"/>
      <c r="H85" s="67" t="n"/>
      <c r="I85" s="2087" t="n">
        <v>98</v>
      </c>
      <c r="J85" s="2087" t="n">
        <v>98</v>
      </c>
      <c r="K85" s="2087">
        <f>AVERAGE(I85:J85)</f>
        <v/>
      </c>
      <c r="L85" s="67" t="n"/>
      <c r="M85" s="77">
        <f>IF(INDEX(MO_SNA_IsHistoricalPeriod,,MATCH(F85,MO_Common_ColumnHeader,0)),"Actual","Estimate")</f>
        <v/>
      </c>
      <c r="N85" s="2087">
        <f>IFERROR(INDEX(INDIRECT(E85),0,MATCH(F85,MO_Common_ColumnHeader,0)),"N/A")</f>
        <v/>
      </c>
      <c r="O85" s="67" t="n"/>
      <c r="P85" s="2169">
        <f>IF(ISNUMBER(N85),N85-K85,"N/A")</f>
        <v/>
      </c>
      <c r="Q85" s="2168">
        <f>IFERROR(IF(ISNUMBER(N85),(N85-K85)/ABS(K85),"N/A"),"N/A")</f>
        <v/>
      </c>
      <c r="R85" s="112" t="n"/>
      <c r="S85" s="80" t="n">
        <v>45775</v>
      </c>
      <c r="T85" s="88" t="inlineStr">
        <is>
          <t>CFO Commentary</t>
        </is>
      </c>
      <c r="U85" s="67" t="n"/>
    </row>
    <row r="86" ht="14.4" customFormat="1" customHeight="1" s="1013">
      <c r="A86" s="114" t="n">
        <v>878</v>
      </c>
      <c r="B86" s="77">
        <f>IF(INDEX(MO_SNA_IsHistoricalPeriod,,MATCH(F86,MO_Common_ColumnHeader,0)),"Historical","Forward")</f>
        <v/>
      </c>
      <c r="C86" s="67" t="n"/>
      <c r="D86" s="84" t="inlineStr">
        <is>
          <t>Acquisition and integration-related costs</t>
        </is>
      </c>
      <c r="E86" s="78" t="n"/>
      <c r="F86" s="77" t="inlineStr">
        <is>
          <t>FY2025</t>
        </is>
      </c>
      <c r="G86" s="77" t="n"/>
      <c r="H86" s="67" t="n"/>
      <c r="I86" s="2087" t="n">
        <v>86</v>
      </c>
      <c r="J86" s="2087" t="n">
        <v>86</v>
      </c>
      <c r="K86" s="2087">
        <f>AVERAGE(I86:J86)</f>
        <v/>
      </c>
      <c r="L86" s="67" t="n"/>
      <c r="M86" s="77">
        <f>IF(INDEX(MO_SNA_IsHistoricalPeriod,,MATCH(F86,MO_Common_ColumnHeader,0)),"Actual","Estimate")</f>
        <v/>
      </c>
      <c r="N86" s="2087">
        <f>IFERROR(INDEX(INDIRECT(E86),0,MATCH(F86,MO_Common_ColumnHeader,0)),"N/A")</f>
        <v/>
      </c>
      <c r="O86" s="67" t="n"/>
      <c r="P86" s="2169">
        <f>IF(ISNUMBER(N86),N86-K86,"N/A")</f>
        <v/>
      </c>
      <c r="Q86" s="2168">
        <f>IFERROR(IF(ISNUMBER(N86),(N86-K86)/ABS(K86),"N/A"),"N/A")</f>
        <v/>
      </c>
      <c r="R86" s="112" t="n"/>
      <c r="S86" s="80" t="n">
        <v>45775</v>
      </c>
      <c r="T86" s="88" t="inlineStr">
        <is>
          <t>CFO Commentary</t>
        </is>
      </c>
      <c r="U86" s="67" t="n"/>
    </row>
    <row r="87" ht="14.4" customFormat="1" customHeight="1" s="1013">
      <c r="A87" s="114" t="n">
        <v>877</v>
      </c>
      <c r="B87" s="77">
        <f>IF(INDEX(MO_SNA_IsHistoricalPeriod,,MATCH(F87,MO_Common_ColumnHeader,0)),"Historical","Forward")</f>
        <v/>
      </c>
      <c r="C87" s="67" t="n"/>
      <c r="D87" s="84" t="inlineStr">
        <is>
          <t>Restructuring and other credits</t>
        </is>
      </c>
      <c r="E87" s="78" t="n"/>
      <c r="F87" s="77" t="inlineStr">
        <is>
          <t>FY2025</t>
        </is>
      </c>
      <c r="G87" s="77" t="n"/>
      <c r="H87" s="67" t="n"/>
      <c r="I87" s="2087" t="n">
        <v>0</v>
      </c>
      <c r="J87" s="2087" t="n">
        <v>0</v>
      </c>
      <c r="K87" s="2087">
        <f>AVERAGE(I87:J87)</f>
        <v/>
      </c>
      <c r="L87" s="67" t="n"/>
      <c r="M87" s="77">
        <f>IF(INDEX(MO_SNA_IsHistoricalPeriod,,MATCH(F87,MO_Common_ColumnHeader,0)),"Actual","Estimate")</f>
        <v/>
      </c>
      <c r="N87" s="2087">
        <f>IFERROR(INDEX(INDIRECT(E87),0,MATCH(F87,MO_Common_ColumnHeader,0)),"N/A")</f>
        <v/>
      </c>
      <c r="O87" s="67" t="n"/>
      <c r="P87" s="2169">
        <f>IF(ISNUMBER(N87),N87-K87,"N/A")</f>
        <v/>
      </c>
      <c r="Q87" s="2168">
        <f>IFERROR(IF(ISNUMBER(N87),(N87-K87)/ABS(K87),"N/A"),"N/A")</f>
        <v/>
      </c>
      <c r="R87" s="112" t="n"/>
      <c r="S87" s="80" t="n">
        <v>45775</v>
      </c>
      <c r="T87" s="88" t="inlineStr">
        <is>
          <t>CFO Commentary</t>
        </is>
      </c>
      <c r="U87" s="67" t="n"/>
    </row>
    <row r="88" ht="14.4" customFormat="1" customHeight="1" s="1013">
      <c r="A88" s="114" t="n">
        <v>876</v>
      </c>
      <c r="B88" s="77">
        <f>IF(INDEX(MO_SNA_IsHistoricalPeriod,,MATCH(F88,MO_Common_ColumnHeader,0)),"Historical","Forward")</f>
        <v/>
      </c>
      <c r="C88" s="67" t="n"/>
      <c r="D88" s="84" t="inlineStr">
        <is>
          <t>Non-Qualified deferred compensation expenses</t>
        </is>
      </c>
      <c r="E88" s="78" t="n"/>
      <c r="F88" s="77" t="inlineStr">
        <is>
          <t>FY2025</t>
        </is>
      </c>
      <c r="G88" s="77" t="n"/>
      <c r="H88" s="67" t="n"/>
      <c r="I88" s="2087" t="n">
        <v>2</v>
      </c>
      <c r="J88" s="2087" t="n">
        <v>2</v>
      </c>
      <c r="K88" s="2087">
        <f>AVERAGE(I88:J88)</f>
        <v/>
      </c>
      <c r="L88" s="67" t="n"/>
      <c r="M88" s="77">
        <f>IF(INDEX(MO_SNA_IsHistoricalPeriod,,MATCH(F88,MO_Common_ColumnHeader,0)),"Actual","Estimate")</f>
        <v/>
      </c>
      <c r="N88" s="2087">
        <f>IFERROR(INDEX(INDIRECT(E88),0,MATCH(F88,MO_Common_ColumnHeader,0)),"N/A")</f>
        <v/>
      </c>
      <c r="O88" s="67" t="n"/>
      <c r="P88" s="2169">
        <f>IF(ISNUMBER(N88),N88-K88,"N/A")</f>
        <v/>
      </c>
      <c r="Q88" s="2168">
        <f>IFERROR(IF(ISNUMBER(N88),(N88-K88)/ABS(K88),"N/A"),"N/A")</f>
        <v/>
      </c>
      <c r="R88" s="112" t="n"/>
      <c r="S88" s="80" t="n">
        <v>45775</v>
      </c>
      <c r="T88" s="88" t="inlineStr">
        <is>
          <t>CFO Commentary</t>
        </is>
      </c>
      <c r="U88" s="67" t="n"/>
    </row>
    <row r="89" ht="14.4" customFormat="1" customHeight="1" s="1013">
      <c r="A89" s="114" t="n">
        <v>875</v>
      </c>
      <c r="B89" s="77">
        <f>IF(INDEX(MO_SNA_IsHistoricalPeriod,,MATCH(F89,MO_Common_ColumnHeader,0)),"Historical","Forward")</f>
        <v/>
      </c>
      <c r="C89" s="67" t="n"/>
      <c r="D89" s="84" t="inlineStr">
        <is>
          <t>Special charges</t>
        </is>
      </c>
      <c r="E89" s="78" t="n"/>
      <c r="F89" s="77" t="inlineStr">
        <is>
          <t>FY2025</t>
        </is>
      </c>
      <c r="G89" s="77" t="n"/>
      <c r="H89" s="67" t="n"/>
      <c r="I89" s="2087" t="n">
        <v>-2</v>
      </c>
      <c r="J89" s="2087" t="n">
        <v>-2</v>
      </c>
      <c r="K89" s="2087">
        <f>AVERAGE(I89:J89)</f>
        <v/>
      </c>
      <c r="L89" s="67" t="n"/>
      <c r="M89" s="77">
        <f>IF(INDEX(MO_SNA_IsHistoricalPeriod,,MATCH(F89,MO_Common_ColumnHeader,0)),"Actual","Estimate")</f>
        <v/>
      </c>
      <c r="N89" s="2087">
        <f>IFERROR(INDEX(INDIRECT(E89),0,MATCH(F89,MO_Common_ColumnHeader,0)),"N/A")</f>
        <v/>
      </c>
      <c r="O89" s="67" t="n"/>
      <c r="P89" s="2169">
        <f>IF(ISNUMBER(N89),N89-K89,"N/A")</f>
        <v/>
      </c>
      <c r="Q89" s="2168">
        <f>IFERROR(IF(ISNUMBER(N89),(N89-K89)/ABS(K89),"N/A"),"N/A")</f>
        <v/>
      </c>
      <c r="R89" s="112" t="n"/>
      <c r="S89" s="80" t="n">
        <v>45775</v>
      </c>
      <c r="T89" s="88" t="inlineStr">
        <is>
          <t>CFO Commentary</t>
        </is>
      </c>
      <c r="U89" s="67" t="n"/>
    </row>
    <row r="90" ht="14.4" customFormat="1" customHeight="1" s="1013">
      <c r="A90" s="114" t="n">
        <v>874</v>
      </c>
      <c r="B90" s="77">
        <f>IF(INDEX(MO_SNA_IsHistoricalPeriod,,MATCH(F90,MO_Common_ColumnHeader,0)),"Historical","Forward")</f>
        <v/>
      </c>
      <c r="C90" s="67" t="n"/>
      <c r="D90" s="84" t="inlineStr">
        <is>
          <t>GAAP Operating Expenses</t>
        </is>
      </c>
      <c r="E90" s="78" t="n"/>
      <c r="F90" s="77" t="inlineStr">
        <is>
          <t>FY2025</t>
        </is>
      </c>
      <c r="G90" s="77" t="n"/>
      <c r="H90" s="67" t="n"/>
      <c r="I90" s="2087" t="n">
        <v>3569</v>
      </c>
      <c r="J90" s="2087" t="n">
        <v>3569</v>
      </c>
      <c r="K90" s="2087">
        <f>AVERAGE(I90:J90)</f>
        <v/>
      </c>
      <c r="L90" s="67" t="n"/>
      <c r="M90" s="77">
        <f>IF(INDEX(MO_SNA_IsHistoricalPeriod,,MATCH(F90,MO_Common_ColumnHeader,0)),"Actual","Estimate")</f>
        <v/>
      </c>
      <c r="N90" s="2087">
        <f>IFERROR(INDEX(MO_RIS_COGS,0,MATCH(Guidance!F90,MO_Common_ColumnHeader,0))+INDEX(MO_RIS_RD,0,MATCH(Guidance!F90,MO_Common_ColumnHeader,0))+INDEX(MO_RIS_GA,0,MATCH(Guidance!F90,MO_Common_ColumnHeader,0))+INDEX(MO_RIS_SM,0,MATCH(Guidance!F90,MO_Common_ColumnHeader,0)),"N/A")</f>
        <v/>
      </c>
      <c r="O90" s="2072" t="n"/>
      <c r="P90" s="2169">
        <f>IF(ISNUMBER(N90),N90-K90,"N/A")</f>
        <v/>
      </c>
      <c r="Q90" s="2168">
        <f>IFERROR(IF(ISNUMBER(N90),(N90-K90)/ABS(K90),"N/A"),"N/A")</f>
        <v/>
      </c>
      <c r="R90" s="112" t="n"/>
      <c r="S90" s="80" t="n">
        <v>45775</v>
      </c>
      <c r="T90" s="88" t="inlineStr">
        <is>
          <t>CFO Commentary</t>
        </is>
      </c>
      <c r="U90" s="67" t="n"/>
    </row>
    <row r="91" ht="14.4" customFormat="1" customHeight="1" s="1013">
      <c r="A91" s="114" t="n">
        <v>873</v>
      </c>
      <c r="B91" s="77">
        <f>IF(INDEX(MO_SNA_IsHistoricalPeriod,,MATCH(F91,MO_Common_ColumnHeader,0)),"Historical","Forward")</f>
        <v/>
      </c>
      <c r="C91" s="67" t="n"/>
      <c r="D91" s="84" t="inlineStr">
        <is>
          <t>Non-GAAP Operating Expenses</t>
        </is>
      </c>
      <c r="E91" s="78" t="n"/>
      <c r="F91" s="77" t="inlineStr">
        <is>
          <t>FY2025</t>
        </is>
      </c>
      <c r="G91" s="77" t="n"/>
      <c r="H91" s="67" t="n"/>
      <c r="I91" s="2087" t="n">
        <v>2919</v>
      </c>
      <c r="J91" s="2087" t="n">
        <v>2919</v>
      </c>
      <c r="K91" s="2087">
        <f>AVERAGE(I91:J91)</f>
        <v/>
      </c>
      <c r="L91" s="67" t="n"/>
      <c r="M91" s="77">
        <f>IF(INDEX(MO_SNA_IsHistoricalPeriod,,MATCH(F91,MO_Common_ColumnHeader,0)),"Actual","Estimate")</f>
        <v/>
      </c>
      <c r="N91" s="2087">
        <f>IFERROR(INDEX(MO_RIS_REV,0,MATCH(Guidance!F91,MO_Common_ColumnHeader,0))+INDEX(MO_RIS_RD_NONGAAP,0,MATCH(Guidance!F91,MO_Common_ColumnHeader,0))+INDEX(MO_RIS_GA_NONGAAP,0,MATCH(Guidance!F91,MO_Common_ColumnHeader,0))+INDEX(MO_RIS_SM_NONGAAP,0,MATCH(Guidance!F91,MO_Common_ColumnHeader,0))-INDEX(MO_RIS_GP_NONGAAP,0,MATCH(Guidance!F91,MO_Common_ColumnHeader,0)),"N/A")</f>
        <v/>
      </c>
      <c r="O91" s="2072" t="n"/>
      <c r="P91" s="2169">
        <f>IF(ISNUMBER(N91),N91-K91,"N/A")</f>
        <v/>
      </c>
      <c r="Q91" s="2168">
        <f>IFERROR(IF(ISNUMBER(N91),(N91-K91)/ABS(K91),"N/A"),"N/A")</f>
        <v/>
      </c>
      <c r="R91" s="112" t="n"/>
      <c r="S91" s="80" t="n">
        <v>45775</v>
      </c>
      <c r="T91" s="88" t="inlineStr">
        <is>
          <t>CFO Commentary</t>
        </is>
      </c>
      <c r="U91" s="67" t="n"/>
    </row>
    <row r="92" ht="14.4" customFormat="1" customHeight="1" s="1013">
      <c r="A92" s="114" t="n">
        <v>872</v>
      </c>
      <c r="B92" s="67" t="n"/>
      <c r="C92" s="67" t="n"/>
      <c r="D92" s="68" t="n"/>
      <c r="E92" s="69" t="n"/>
      <c r="F92" s="67" t="n"/>
      <c r="G92" s="67" t="n"/>
      <c r="H92" s="67" t="n"/>
      <c r="I92" s="2072" t="n"/>
      <c r="J92" s="2072" t="n"/>
      <c r="K92" s="2072" t="n"/>
      <c r="L92" s="67" t="n"/>
      <c r="M92" s="67" t="n"/>
      <c r="N92" s="2072" t="n"/>
      <c r="O92" s="67" t="n"/>
      <c r="P92" s="2172" t="n"/>
      <c r="Q92" s="2173" t="n"/>
      <c r="R92" s="112" t="n"/>
      <c r="S92" s="112" t="n"/>
      <c r="T92" s="344" t="n"/>
      <c r="U92" s="67" t="n"/>
    </row>
    <row r="93" ht="14.4" customFormat="1" customHeight="1" s="1013">
      <c r="A93" s="114" t="n">
        <v>871</v>
      </c>
      <c r="B93" s="77">
        <f>IF(INDEX(MO_SNA_IsHistoricalPeriod,,MATCH(F93,MO_Common_ColumnHeader,0)),"Historical","Forward")</f>
        <v/>
      </c>
      <c r="C93" s="67" t="n"/>
      <c r="D93" s="84">
        <f>INDEX(INDIRECT(E93),0,COLUMN(MO_Common_Column_A))</f>
        <v/>
      </c>
      <c r="E93" s="78" t="inlineStr">
        <is>
          <t>MO_RIS_REV</t>
        </is>
      </c>
      <c r="F93" s="77" t="inlineStr">
        <is>
          <t>Q2-2025</t>
        </is>
      </c>
      <c r="G93" s="77" t="n"/>
      <c r="H93" s="67" t="n"/>
      <c r="I93" s="2087" t="n">
        <v>1250</v>
      </c>
      <c r="J93" s="2087" t="n">
        <v>1270</v>
      </c>
      <c r="K93" s="2087">
        <f>AVERAGE(I93:J93)</f>
        <v/>
      </c>
      <c r="L93" s="67" t="n"/>
      <c r="M93" s="77">
        <f>IF(INDEX(MO_SNA_IsHistoricalPeriod,,MATCH(F93,MO_Common_ColumnHeader,0)),"Actual","Estimate")</f>
        <v/>
      </c>
      <c r="N93" s="2087">
        <f>IFERROR(INDEX(INDIRECT(E93),0,MATCH(F93,MO_Common_ColumnHeader,0)),"N/A")</f>
        <v/>
      </c>
      <c r="O93" s="67" t="n"/>
      <c r="P93" s="2169">
        <f>IF(ISNUMBER(N93),N93-K93,"N/A")</f>
        <v/>
      </c>
      <c r="Q93" s="2168">
        <f>IFERROR(IF(ISNUMBER(N93),(N93-K93)/ABS(K93),"N/A"),"N/A")</f>
        <v/>
      </c>
      <c r="R93" s="112" t="n"/>
      <c r="S93" s="80" t="n">
        <v>45775</v>
      </c>
      <c r="T93" s="88" t="inlineStr">
        <is>
          <t>CFO Commentary</t>
        </is>
      </c>
      <c r="U93" s="67" t="n"/>
    </row>
    <row r="94" ht="14.4" customFormat="1" customHeight="1" s="1013">
      <c r="A94" s="114" t="n">
        <v>870</v>
      </c>
      <c r="B94" s="77">
        <f>IF(INDEX(MO_SNA_IsHistoricalPeriod,,MATCH(F94,MO_Common_ColumnHeader,0)),"Historical","Forward")</f>
        <v/>
      </c>
      <c r="C94" s="67" t="n"/>
      <c r="D94" s="84" t="inlineStr">
        <is>
          <t>GAAP Operating Margin</t>
        </is>
      </c>
      <c r="E94" s="78" t="inlineStr">
        <is>
          <t>MO_MA_EBIT</t>
        </is>
      </c>
      <c r="F94" s="77" t="inlineStr">
        <is>
          <t>Q2-2025</t>
        </is>
      </c>
      <c r="G94" s="77" t="n"/>
      <c r="H94" s="67" t="n"/>
      <c r="I94" s="2108" t="n">
        <v>0.275</v>
      </c>
      <c r="J94" s="2108" t="n">
        <v>0.285</v>
      </c>
      <c r="K94" s="2108">
        <f>AVERAGE(I94:J94)</f>
        <v/>
      </c>
      <c r="L94" s="67" t="n"/>
      <c r="M94" s="77">
        <f>IF(INDEX(MO_SNA_IsHistoricalPeriod,,MATCH(F94,MO_Common_ColumnHeader,0)),"Actual","Estimate")</f>
        <v/>
      </c>
      <c r="N94" s="2108">
        <f>IFERROR(INDEX(INDIRECT(E94),0,MATCH(F94,MO_Common_ColumnHeader,0)),"N/A")</f>
        <v/>
      </c>
      <c r="O94" s="67" t="n"/>
      <c r="P94" s="2168">
        <f>IF(ISNUMBER(N94),N94-K94,"N/A")</f>
        <v/>
      </c>
      <c r="Q94" s="2168">
        <f>IFERROR(IF(ISNUMBER(N94),(N94-K94)/ABS(K94),"N/A"),"N/A")</f>
        <v/>
      </c>
      <c r="R94" s="112" t="n"/>
      <c r="S94" s="80" t="n">
        <v>45775</v>
      </c>
      <c r="T94" s="88" t="inlineStr">
        <is>
          <t>CFO Commentary</t>
        </is>
      </c>
      <c r="U94" s="67" t="n"/>
    </row>
    <row r="95" ht="14.4" customFormat="1" customHeight="1" s="1013">
      <c r="A95" s="114" t="n">
        <v>869</v>
      </c>
      <c r="B95" s="77">
        <f>IF(INDEX(MO_SNA_IsHistoricalPeriod,,MATCH(F95,MO_Common_ColumnHeader,0)),"Historical","Forward")</f>
        <v/>
      </c>
      <c r="C95" s="67" t="n"/>
      <c r="D95" s="84">
        <f>INDEX(INDIRECT(E95),0,COLUMN(MO_Common_Column_A))</f>
        <v/>
      </c>
      <c r="E95" s="78" t="inlineStr">
        <is>
          <t>MO_MA_OperatingIncome_NONGAAP</t>
        </is>
      </c>
      <c r="F95" s="77" t="inlineStr">
        <is>
          <t>Q2-2025</t>
        </is>
      </c>
      <c r="G95" s="77" t="n"/>
      <c r="H95" s="67" t="n"/>
      <c r="I95" s="2108" t="n">
        <v>0.415</v>
      </c>
      <c r="J95" s="2108" t="n">
        <v>0.425</v>
      </c>
      <c r="K95" s="2108">
        <f>AVERAGE(I95:J95)</f>
        <v/>
      </c>
      <c r="L95" s="67" t="n"/>
      <c r="M95" s="77">
        <f>IF(INDEX(MO_SNA_IsHistoricalPeriod,,MATCH(F95,MO_Common_ColumnHeader,0)),"Actual","Estimate")</f>
        <v/>
      </c>
      <c r="N95" s="2108">
        <f>IFERROR(INDEX(INDIRECT(E95),0,MATCH(F95,MO_Common_ColumnHeader,0)),"N/A")</f>
        <v/>
      </c>
      <c r="O95" s="67" t="n"/>
      <c r="P95" s="2168">
        <f>IF(ISNUMBER(N95),N95-K95,"N/A")</f>
        <v/>
      </c>
      <c r="Q95" s="2168">
        <f>IFERROR(IF(ISNUMBER(N95),(N95-K95)/ABS(K95),"N/A"),"N/A")</f>
        <v/>
      </c>
      <c r="R95" s="112" t="n"/>
      <c r="S95" s="80" t="n">
        <v>45775</v>
      </c>
      <c r="T95" s="88" t="inlineStr">
        <is>
          <t>CFO Commentary</t>
        </is>
      </c>
      <c r="U95" s="67" t="n"/>
    </row>
    <row r="96" ht="14.4" customFormat="1" customHeight="1" s="1013">
      <c r="A96" s="114" t="n">
        <v>868</v>
      </c>
      <c r="B96" s="77">
        <f>IF(INDEX(MO_SNA_IsHistoricalPeriod,,MATCH(F96,MO_Common_ColumnHeader,0)),"Historical","Forward")</f>
        <v/>
      </c>
      <c r="C96" s="67" t="n"/>
      <c r="D96" s="84">
        <f>INDEX(INDIRECT(E96),0,COLUMN(MO_Common_Column_A))</f>
        <v/>
      </c>
      <c r="E96" s="78" t="inlineStr">
        <is>
          <t>MO_RIS_EPS_WAD</t>
        </is>
      </c>
      <c r="F96" s="77" t="inlineStr">
        <is>
          <t>Q2-2025</t>
        </is>
      </c>
      <c r="G96" s="77" t="n"/>
      <c r="H96" s="67" t="n"/>
      <c r="I96" s="2170" t="n">
        <v>0.89</v>
      </c>
      <c r="J96" s="2170" t="n">
        <v>0.95</v>
      </c>
      <c r="K96" s="2170">
        <f>AVERAGE(I96:J96)</f>
        <v/>
      </c>
      <c r="L96" s="67" t="n"/>
      <c r="M96" s="77">
        <f>IF(INDEX(MO_SNA_IsHistoricalPeriod,,MATCH(F96,MO_Common_ColumnHeader,0)),"Actual","Estimate")</f>
        <v/>
      </c>
      <c r="N96" s="2170">
        <f>IFERROR(INDEX(INDIRECT(E96),0,MATCH(F96,MO_Common_ColumnHeader,0)),"N/A")</f>
        <v/>
      </c>
      <c r="O96" s="67" t="n"/>
      <c r="P96" s="2171">
        <f>IF(ISNUMBER(N96),N96-K96,"N/A")</f>
        <v/>
      </c>
      <c r="Q96" s="2168">
        <f>IFERROR(IF(ISNUMBER(N96),(N96-K96)/ABS(K96),"N/A"),"N/A")</f>
        <v/>
      </c>
      <c r="R96" s="112" t="n"/>
      <c r="S96" s="80" t="n">
        <v>45775</v>
      </c>
      <c r="T96" s="88" t="inlineStr">
        <is>
          <t>CFO Commentary</t>
        </is>
      </c>
      <c r="U96" s="67" t="n"/>
    </row>
    <row r="97" ht="14.4" customFormat="1" customHeight="1" s="1013">
      <c r="A97" s="114" t="n">
        <v>867</v>
      </c>
      <c r="B97" s="77">
        <f>IF(INDEX(MO_SNA_IsHistoricalPeriod,,MATCH(F97,MO_Common_ColumnHeader,0)),"Historical","Forward")</f>
        <v/>
      </c>
      <c r="C97" s="67" t="n"/>
      <c r="D97" s="84">
        <f>INDEX(INDIRECT(E97),0,COLUMN(MO_Common_Column_A))</f>
        <v/>
      </c>
      <c r="E97" s="78" t="inlineStr">
        <is>
          <t>MO_RIS_EPS_WAD_Adj</t>
        </is>
      </c>
      <c r="F97" s="77" t="inlineStr">
        <is>
          <t>Q2-2025</t>
        </is>
      </c>
      <c r="G97" s="77" t="n"/>
      <c r="H97" s="67" t="n"/>
      <c r="I97" s="2170" t="n">
        <v>1.55</v>
      </c>
      <c r="J97" s="2170" t="n">
        <v>1.61</v>
      </c>
      <c r="K97" s="2170">
        <f>AVERAGE(I97:J97)</f>
        <v/>
      </c>
      <c r="L97" s="67" t="n"/>
      <c r="M97" s="77">
        <f>IF(INDEX(MO_SNA_IsHistoricalPeriod,,MATCH(F97,MO_Common_ColumnHeader,0)),"Actual","Estimate")</f>
        <v/>
      </c>
      <c r="N97" s="2170">
        <f>IFERROR(INDEX(INDIRECT(E97),0,MATCH(F97,MO_Common_ColumnHeader,0)),"N/A")</f>
        <v/>
      </c>
      <c r="O97" s="67" t="n"/>
      <c r="P97" s="2171">
        <f>IF(ISNUMBER(N97),N97-K97,"N/A")</f>
        <v/>
      </c>
      <c r="Q97" s="2168">
        <f>IFERROR(IF(ISNUMBER(N97),(N97-K97)/ABS(K97),"N/A"),"N/A")</f>
        <v/>
      </c>
      <c r="R97" s="112" t="n"/>
      <c r="S97" s="80" t="n">
        <v>45775</v>
      </c>
      <c r="T97" s="88" t="inlineStr">
        <is>
          <t>CFO Commentary</t>
        </is>
      </c>
      <c r="U97" s="67" t="n"/>
    </row>
    <row r="98" ht="14.4" customFormat="1" customHeight="1" s="1013">
      <c r="A98" s="114" t="n">
        <v>866</v>
      </c>
      <c r="B98" s="77">
        <f>IF(INDEX(MO_SNA_IsHistoricalPeriod,,MATCH(F98,MO_Common_ColumnHeader,0)),"Historical","Forward")</f>
        <v/>
      </c>
      <c r="C98" s="67" t="n"/>
      <c r="D98" s="84">
        <f>INDEX(INDIRECT(E98),0,COLUMN(MO_Common_Column_A))</f>
        <v/>
      </c>
      <c r="E98" s="78" t="inlineStr">
        <is>
          <t>MO_CFSum_NetShares</t>
        </is>
      </c>
      <c r="F98" s="77" t="inlineStr">
        <is>
          <t>Q2-2025</t>
        </is>
      </c>
      <c r="G98" s="77" t="n"/>
      <c r="H98" s="67" t="n"/>
      <c r="I98" s="2087" t="n">
        <v>-175</v>
      </c>
      <c r="J98" s="2087" t="n">
        <v>-175</v>
      </c>
      <c r="K98" s="2087">
        <f>AVERAGE(I98:J98)</f>
        <v/>
      </c>
      <c r="L98" s="67" t="n"/>
      <c r="M98" s="77">
        <f>IF(INDEX(MO_SNA_IsHistoricalPeriod,,MATCH(F98,MO_Common_ColumnHeader,0)),"Actual","Estimate")</f>
        <v/>
      </c>
      <c r="N98" s="2087">
        <f>IFERROR(INDEX(INDIRECT(E98),0,MATCH(F98,MO_Common_ColumnHeader,0)),"N/A")</f>
        <v/>
      </c>
      <c r="O98" s="67" t="n"/>
      <c r="P98" s="2169">
        <f>IF(ISNUMBER(N98),N98-K98,"N/A")</f>
        <v/>
      </c>
      <c r="Q98" s="2168">
        <f>IFERROR(IF(ISNUMBER(N98),(N98-K98)/ABS(K98),"N/A"),"N/A")</f>
        <v/>
      </c>
      <c r="R98" s="112" t="n"/>
      <c r="S98" s="80" t="n">
        <v>45775</v>
      </c>
      <c r="T98" s="88" t="inlineStr">
        <is>
          <t>CFO Commentary</t>
        </is>
      </c>
      <c r="U98" s="67" t="n"/>
    </row>
    <row r="99" ht="14.4" customFormat="1" customHeight="1" s="1013">
      <c r="A99" s="114" t="n">
        <v>865</v>
      </c>
      <c r="B99" s="67" t="n"/>
      <c r="C99" s="67" t="n"/>
      <c r="D99" s="68" t="n"/>
      <c r="E99" s="69" t="n"/>
      <c r="F99" s="67" t="n"/>
      <c r="G99" s="67" t="n"/>
      <c r="H99" s="67" t="n"/>
      <c r="I99" s="2072" t="n"/>
      <c r="J99" s="2072" t="n"/>
      <c r="K99" s="2072" t="n"/>
      <c r="L99" s="67" t="n"/>
      <c r="M99" s="67" t="n"/>
      <c r="N99" s="2072" t="n"/>
      <c r="O99" s="67" t="n"/>
      <c r="P99" s="2172" t="n"/>
      <c r="Q99" s="2173" t="n"/>
      <c r="R99" s="112" t="n"/>
      <c r="S99" s="112" t="n"/>
      <c r="T99" s="344" t="n"/>
      <c r="U99" s="67" t="n"/>
    </row>
    <row r="100" ht="14.4" customFormat="1" customHeight="1" s="1013">
      <c r="A100" s="114" t="n">
        <v>864</v>
      </c>
      <c r="B100" s="77">
        <f>IF(INDEX(MO_SNA_IsHistoricalPeriod,,MATCH(F100,MO_Common_ColumnHeader,0)),"Historical","Forward")</f>
        <v/>
      </c>
      <c r="C100" s="67" t="n"/>
      <c r="D100" s="84" t="inlineStr">
        <is>
          <t>Recurring Revenue %</t>
        </is>
      </c>
      <c r="E100" s="78" t="n"/>
      <c r="F100" s="77" t="inlineStr">
        <is>
          <t>FY2025</t>
        </is>
      </c>
      <c r="G100" s="77" t="n"/>
      <c r="H100" s="67" t="n"/>
      <c r="I100" s="2108" t="n">
        <v>0.8</v>
      </c>
      <c r="J100" s="2108" t="n">
        <v>0.8</v>
      </c>
      <c r="K100" s="2108">
        <f>AVERAGE(I100:J100)</f>
        <v/>
      </c>
      <c r="L100" s="67" t="n"/>
      <c r="M100" s="77">
        <f>IF(INDEX(MO_SNA_IsHistoricalPeriod,,MATCH(F100,MO_Common_ColumnHeader,0)),"Actual","Estimate")</f>
        <v/>
      </c>
      <c r="N100" s="2108">
        <f>IFERROR(INDEX(INDIRECT(E100),0,MATCH(F100,MO_Common_ColumnHeader,0)),"N/A")</f>
        <v/>
      </c>
      <c r="O100" s="2072" t="n"/>
      <c r="P100" s="2168">
        <f>IF(ISNUMBER(N100),N100-K100,"N/A")</f>
        <v/>
      </c>
      <c r="Q100" s="2168">
        <f>IFERROR(IF(ISNUMBER(N100),(N100-K100)/ABS(K100),"N/A"),"N/A")</f>
        <v/>
      </c>
      <c r="R100" s="112" t="n"/>
      <c r="S100" s="80" t="n">
        <v>45706</v>
      </c>
      <c r="T100" s="88" t="inlineStr">
        <is>
          <t>CFO Commentary</t>
        </is>
      </c>
      <c r="U100" s="67" t="n"/>
    </row>
    <row r="101" ht="14.4" customFormat="1" customHeight="1" s="1013">
      <c r="A101" s="114" t="n">
        <v>863</v>
      </c>
      <c r="B101" s="77">
        <f>IF(INDEX(MO_SNA_IsHistoricalPeriod,,MATCH(F101,MO_Common_ColumnHeader,0)),"Historical","Forward")</f>
        <v/>
      </c>
      <c r="C101" s="67" t="n"/>
      <c r="D101" s="84" t="inlineStr">
        <is>
          <t>Revenue from Beginning Backlog %</t>
        </is>
      </c>
      <c r="E101" s="78" t="n"/>
      <c r="F101" s="77" t="inlineStr">
        <is>
          <t>FY2025</t>
        </is>
      </c>
      <c r="G101" s="77" t="n"/>
      <c r="H101" s="67" t="n"/>
      <c r="I101" s="2108" t="n">
        <v>0.7</v>
      </c>
      <c r="J101" s="2108" t="n">
        <v>0.7</v>
      </c>
      <c r="K101" s="2108">
        <f>AVERAGE(I101:J101)</f>
        <v/>
      </c>
      <c r="L101" s="67" t="n"/>
      <c r="M101" s="77">
        <f>IF(INDEX(MO_SNA_IsHistoricalPeriod,,MATCH(F101,MO_Common_ColumnHeader,0)),"Actual","Estimate")</f>
        <v/>
      </c>
      <c r="N101" s="2108">
        <f>IFERROR(INDEX(INDIRECT(E101),0,MATCH(F101,MO_Common_ColumnHeader,0)),"N/A")</f>
        <v/>
      </c>
      <c r="O101" s="2072" t="n"/>
      <c r="P101" s="2168">
        <f>IF(ISNUMBER(N101),N101-K101,"N/A")</f>
        <v/>
      </c>
      <c r="Q101" s="2168">
        <f>IFERROR(IF(ISNUMBER(N101),(N101-K101)/ABS(K101),"N/A"),"N/A")</f>
        <v/>
      </c>
      <c r="R101" s="112" t="n"/>
      <c r="S101" s="80" t="n">
        <v>45706</v>
      </c>
      <c r="T101" s="88" t="inlineStr">
        <is>
          <t>CFO Commentary</t>
        </is>
      </c>
      <c r="U101" s="67" t="n"/>
    </row>
    <row r="102" ht="14.4" customFormat="1" customHeight="1" s="1013">
      <c r="A102" s="114" t="n">
        <v>862</v>
      </c>
      <c r="B102" s="77">
        <f>IF(INDEX(MO_SNA_IsHistoricalPeriod,,MATCH(F102,MO_Common_ColumnHeader,0)),"Historical","Forward")</f>
        <v/>
      </c>
      <c r="C102" s="67" t="n"/>
      <c r="D102" s="84">
        <f>INDEX(INDIRECT(E102),0,COLUMN(MO_Common_Column_A))</f>
        <v/>
      </c>
      <c r="E102" s="78" t="inlineStr">
        <is>
          <t>MO_RIS_REV</t>
        </is>
      </c>
      <c r="F102" s="77" t="inlineStr">
        <is>
          <t>FY2025</t>
        </is>
      </c>
      <c r="G102" s="77" t="n"/>
      <c r="H102" s="67" t="n"/>
      <c r="I102" s="2087" t="n">
        <v>5140</v>
      </c>
      <c r="J102" s="2087" t="n">
        <v>5220</v>
      </c>
      <c r="K102" s="2087">
        <f>AVERAGE(I102:J102)</f>
        <v/>
      </c>
      <c r="L102" s="67" t="n"/>
      <c r="M102" s="77">
        <f>IF(INDEX(MO_SNA_IsHistoricalPeriod,,MATCH(F102,MO_Common_ColumnHeader,0)),"Actual","Estimate")</f>
        <v/>
      </c>
      <c r="N102" s="2087">
        <f>IFERROR(INDEX(INDIRECT(E102),0,MATCH(F102,MO_Common_ColumnHeader,0)),"N/A")</f>
        <v/>
      </c>
      <c r="O102" s="2072" t="n"/>
      <c r="P102" s="2169">
        <f>IF(ISNUMBER(N102),N102-K102,"N/A")</f>
        <v/>
      </c>
      <c r="Q102" s="2168">
        <f>IFERROR(IF(ISNUMBER(N102),(N102-K102)/ABS(K102),"N/A"),"N/A")</f>
        <v/>
      </c>
      <c r="R102" s="112" t="n"/>
      <c r="S102" s="80" t="n">
        <v>45706</v>
      </c>
      <c r="T102" s="88" t="inlineStr">
        <is>
          <t>CFO Commentary</t>
        </is>
      </c>
      <c r="U102" s="67" t="n"/>
    </row>
    <row r="103" ht="14.4" customFormat="1" customHeight="1" s="1013">
      <c r="A103" s="114" t="n">
        <v>861</v>
      </c>
      <c r="B103" s="77">
        <f>IF(INDEX(MO_SNA_IsHistoricalPeriod,,MATCH(F103,MO_Common_ColumnHeader,0)),"Historical","Forward")</f>
        <v/>
      </c>
      <c r="C103" s="67" t="n"/>
      <c r="D103" s="84" t="inlineStr">
        <is>
          <t>GAAP Operating Margin</t>
        </is>
      </c>
      <c r="E103" s="78" t="inlineStr">
        <is>
          <t>MO_MA_EBIT</t>
        </is>
      </c>
      <c r="F103" s="77" t="inlineStr">
        <is>
          <t>FY2025</t>
        </is>
      </c>
      <c r="G103" s="77" t="n"/>
      <c r="H103" s="67" t="n"/>
      <c r="I103" s="2108" t="n">
        <v>0.3025</v>
      </c>
      <c r="J103" s="2108" t="n">
        <v>0.3125</v>
      </c>
      <c r="K103" s="2108">
        <f>AVERAGE(I103:J103)</f>
        <v/>
      </c>
      <c r="L103" s="67" t="n"/>
      <c r="M103" s="77">
        <f>IF(INDEX(MO_SNA_IsHistoricalPeriod,,MATCH(F103,MO_Common_ColumnHeader,0)),"Actual","Estimate")</f>
        <v/>
      </c>
      <c r="N103" s="2108">
        <f>IFERROR(INDEX(INDIRECT(E103),0,MATCH(F103,MO_Common_ColumnHeader,0)),"N/A")</f>
        <v/>
      </c>
      <c r="O103" s="67" t="n"/>
      <c r="P103" s="2168">
        <f>IF(ISNUMBER(N103),N103-K103,"N/A")</f>
        <v/>
      </c>
      <c r="Q103" s="2168">
        <f>IFERROR(IF(ISNUMBER(N103),(N103-K103)/ABS(K103),"N/A"),"N/A")</f>
        <v/>
      </c>
      <c r="R103" s="112" t="n"/>
      <c r="S103" s="80" t="n">
        <v>45706</v>
      </c>
      <c r="T103" s="88" t="inlineStr">
        <is>
          <t>CFO Commentary</t>
        </is>
      </c>
      <c r="U103" s="67" t="n"/>
    </row>
    <row r="104" ht="14.4" customFormat="1" customHeight="1" s="1013">
      <c r="A104" s="114" t="n">
        <v>860</v>
      </c>
      <c r="B104" s="77">
        <f>IF(INDEX(MO_SNA_IsHistoricalPeriod,,MATCH(F104,MO_Common_ColumnHeader,0)),"Historical","Forward")</f>
        <v/>
      </c>
      <c r="C104" s="67" t="n"/>
      <c r="D104" s="84">
        <f>INDEX(INDIRECT(E104),0,COLUMN(MO_Common_Column_A))</f>
        <v/>
      </c>
      <c r="E104" s="78" t="inlineStr">
        <is>
          <t>MO_MA_OperatingIncome_NONGAAP</t>
        </is>
      </c>
      <c r="F104" s="77" t="inlineStr">
        <is>
          <t>FY2025</t>
        </is>
      </c>
      <c r="G104" s="77" t="n"/>
      <c r="H104" s="67" t="n"/>
      <c r="I104" s="2108" t="n">
        <v>0.4325</v>
      </c>
      <c r="J104" s="2108" t="n">
        <v>0.4425</v>
      </c>
      <c r="K104" s="2108">
        <f>AVERAGE(I104:J104)</f>
        <v/>
      </c>
      <c r="L104" s="67" t="n"/>
      <c r="M104" s="77">
        <f>IF(INDEX(MO_SNA_IsHistoricalPeriod,,MATCH(F104,MO_Common_ColumnHeader,0)),"Actual","Estimate")</f>
        <v/>
      </c>
      <c r="N104" s="2108">
        <f>IFERROR(INDEX(INDIRECT(E104),0,MATCH(F104,MO_Common_ColumnHeader,0)),"N/A")</f>
        <v/>
      </c>
      <c r="O104" s="67" t="n"/>
      <c r="P104" s="2168">
        <f>IF(ISNUMBER(N104),N104-K104,"N/A")</f>
        <v/>
      </c>
      <c r="Q104" s="2168">
        <f>IFERROR(IF(ISNUMBER(N104),(N104-K104)/ABS(K104),"N/A"),"N/A")</f>
        <v/>
      </c>
      <c r="R104" s="112" t="n"/>
      <c r="S104" s="80" t="n">
        <v>45706</v>
      </c>
      <c r="T104" s="88" t="inlineStr">
        <is>
          <t>CFO Commentary</t>
        </is>
      </c>
      <c r="U104" s="67" t="n"/>
    </row>
    <row r="105" ht="14.4" customFormat="1" customHeight="1" s="1013">
      <c r="A105" s="114" t="n">
        <v>859</v>
      </c>
      <c r="B105" s="77">
        <f>IF(INDEX(MO_SNA_IsHistoricalPeriod,,MATCH(F105,MO_Common_ColumnHeader,0)),"Historical","Forward")</f>
        <v/>
      </c>
      <c r="C105" s="67" t="n"/>
      <c r="D105" s="84">
        <f>INDEX(INDIRECT(E105),0,COLUMN(MO_Common_Column_A))</f>
        <v/>
      </c>
      <c r="E105" s="78" t="inlineStr">
        <is>
          <t>MO_RIS_EPS_WAD</t>
        </is>
      </c>
      <c r="F105" s="77" t="inlineStr">
        <is>
          <t>FY2025</t>
        </is>
      </c>
      <c r="G105" s="77" t="n"/>
      <c r="H105" s="67" t="n"/>
      <c r="I105" s="2170" t="n">
        <v>4.19</v>
      </c>
      <c r="J105" s="2170" t="n">
        <v>4.29</v>
      </c>
      <c r="K105" s="2170">
        <f>AVERAGE(I105:J105)</f>
        <v/>
      </c>
      <c r="L105" s="67" t="n"/>
      <c r="M105" s="77">
        <f>IF(INDEX(MO_SNA_IsHistoricalPeriod,,MATCH(F105,MO_Common_ColumnHeader,0)),"Actual","Estimate")</f>
        <v/>
      </c>
      <c r="N105" s="2170">
        <f>IFERROR(INDEX(INDIRECT(E105),0,MATCH(F105,MO_Common_ColumnHeader,0)),"N/A")</f>
        <v/>
      </c>
      <c r="O105" s="67" t="n"/>
      <c r="P105" s="2171">
        <f>IF(ISNUMBER(N105),N105-K105,"N/A")</f>
        <v/>
      </c>
      <c r="Q105" s="2168">
        <f>IFERROR(IF(ISNUMBER(N105),(N105-K105)/ABS(K105),"N/A"),"N/A")</f>
        <v/>
      </c>
      <c r="R105" s="112" t="n"/>
      <c r="S105" s="80" t="n">
        <v>45706</v>
      </c>
      <c r="T105" s="88" t="inlineStr">
        <is>
          <t>CFO Commentary</t>
        </is>
      </c>
      <c r="U105" s="67" t="n"/>
    </row>
    <row r="106" ht="14.4" customFormat="1" customHeight="1" s="1013">
      <c r="A106" s="114" t="n">
        <v>858</v>
      </c>
      <c r="B106" s="77">
        <f>IF(INDEX(MO_SNA_IsHistoricalPeriod,,MATCH(F106,MO_Common_ColumnHeader,0)),"Historical","Forward")</f>
        <v/>
      </c>
      <c r="C106" s="67" t="n"/>
      <c r="D106" s="84">
        <f>INDEX(INDIRECT(E106),0,COLUMN(MO_Common_Column_A))</f>
        <v/>
      </c>
      <c r="E106" s="78" t="inlineStr">
        <is>
          <t>MO_RIS_EPS_WAD_Adj</t>
        </is>
      </c>
      <c r="F106" s="77" t="inlineStr">
        <is>
          <t>FY2025</t>
        </is>
      </c>
      <c r="G106" s="77" t="n"/>
      <c r="H106" s="67" t="n"/>
      <c r="I106" s="2170" t="n">
        <v>6.65</v>
      </c>
      <c r="J106" s="2170" t="n">
        <v>6.75</v>
      </c>
      <c r="K106" s="2170">
        <f>AVERAGE(I106:J106)</f>
        <v/>
      </c>
      <c r="L106" s="67" t="n"/>
      <c r="M106" s="77">
        <f>IF(INDEX(MO_SNA_IsHistoricalPeriod,,MATCH(F106,MO_Common_ColumnHeader,0)),"Actual","Estimate")</f>
        <v/>
      </c>
      <c r="N106" s="2170">
        <f>IFERROR(INDEX(INDIRECT(E106),0,MATCH(F106,MO_Common_ColumnHeader,0)),"N/A")</f>
        <v/>
      </c>
      <c r="O106" s="67" t="n"/>
      <c r="P106" s="2171">
        <f>IF(ISNUMBER(N106),N106-K106,"N/A")</f>
        <v/>
      </c>
      <c r="Q106" s="2168">
        <f>IFERROR(IF(ISNUMBER(N106),(N106-K106)/ABS(K106),"N/A"),"N/A")</f>
        <v/>
      </c>
      <c r="R106" s="112" t="n"/>
      <c r="S106" s="80" t="n">
        <v>45706</v>
      </c>
      <c r="T106" s="88" t="inlineStr">
        <is>
          <t>CFO Commentary</t>
        </is>
      </c>
      <c r="U106" s="67" t="n"/>
    </row>
    <row r="107" ht="14.4" customFormat="1" customHeight="1" s="1013">
      <c r="A107" s="114" t="n">
        <v>857</v>
      </c>
      <c r="B107" s="77">
        <f>IF(INDEX(MO_SNA_IsHistoricalPeriod,,MATCH(F107,MO_Common_ColumnHeader,0)),"Historical","Forward")</f>
        <v/>
      </c>
      <c r="C107" s="67" t="n"/>
      <c r="D107" s="84">
        <f>INDEX(INDIRECT(E107),0,COLUMN(MO_Common_Column_A))</f>
        <v/>
      </c>
      <c r="E107" s="78" t="inlineStr">
        <is>
          <t>MO_CFS_CFO</t>
        </is>
      </c>
      <c r="F107" s="77" t="inlineStr">
        <is>
          <t>FY2025</t>
        </is>
      </c>
      <c r="G107" s="77" t="n"/>
      <c r="H107" s="67" t="n"/>
      <c r="I107" s="2087" t="n">
        <v>1600</v>
      </c>
      <c r="J107" s="2087" t="n">
        <v>1700</v>
      </c>
      <c r="K107" s="2087">
        <f>AVERAGE(I107:J107)</f>
        <v/>
      </c>
      <c r="L107" s="67" t="n"/>
      <c r="M107" s="77">
        <f>IF(INDEX(MO_SNA_IsHistoricalPeriod,,MATCH(F107,MO_Common_ColumnHeader,0)),"Actual","Estimate")</f>
        <v/>
      </c>
      <c r="N107" s="2087">
        <f>IFERROR(INDEX(INDIRECT(E107),0,MATCH(F107,MO_Common_ColumnHeader,0)),"N/A")</f>
        <v/>
      </c>
      <c r="O107" s="67" t="n"/>
      <c r="P107" s="2169">
        <f>IF(ISNUMBER(N107),N107-K107,"N/A")</f>
        <v/>
      </c>
      <c r="Q107" s="2168">
        <f>IFERROR(IF(ISNUMBER(N107),(N107-K107)/ABS(K107),"N/A"),"N/A")</f>
        <v/>
      </c>
      <c r="R107" s="112" t="n"/>
      <c r="S107" s="80" t="n">
        <v>45706</v>
      </c>
      <c r="T107" s="88" t="inlineStr">
        <is>
          <t>CFO Commentary</t>
        </is>
      </c>
      <c r="U107" s="67" t="n"/>
    </row>
    <row r="108" ht="14.4" customFormat="1" customHeight="1" s="1013">
      <c r="A108" s="114" t="n">
        <v>856</v>
      </c>
      <c r="B108" s="77">
        <f>IF(INDEX(MO_SNA_IsHistoricalPeriod,,MATCH(F108,MO_Common_ColumnHeader,0)),"Historical","Forward")</f>
        <v/>
      </c>
      <c r="C108" s="67" t="n"/>
      <c r="D108" s="84" t="inlineStr">
        <is>
          <t>GAAP Other Income &amp; Expense</t>
        </is>
      </c>
      <c r="E108" s="78" t="n"/>
      <c r="F108" s="77" t="inlineStr">
        <is>
          <t>FY2025</t>
        </is>
      </c>
      <c r="G108" s="77" t="n"/>
      <c r="H108" s="67" t="n"/>
      <c r="I108" s="2087" t="n">
        <v>-53</v>
      </c>
      <c r="J108" s="2087" t="n">
        <v>-67</v>
      </c>
      <c r="K108" s="2087">
        <f>AVERAGE(I108:J108)</f>
        <v/>
      </c>
      <c r="L108" s="67" t="n"/>
      <c r="M108" s="77">
        <f>IF(INDEX(MO_SNA_IsHistoricalPeriod,,MATCH(F108,MO_Common_ColumnHeader,0)),"Actual","Estimate")</f>
        <v/>
      </c>
      <c r="N108" s="2087">
        <f>-IFERROR(INDEX(MO_RIS_IE_Net,0,MATCH(F108,MO_Common_ColumnHeader,0)),"N/A")-IFERROR(INDEX(MO_RIS_OI,0,MATCH(F108,MO_Common_ColumnHeader,0)),"N/A")</f>
        <v/>
      </c>
      <c r="O108" s="67" t="n"/>
      <c r="P108" s="2169">
        <f>IF(ISNUMBER(N108),N108-K108,"N/A")</f>
        <v/>
      </c>
      <c r="Q108" s="2168">
        <f>IFERROR(IF(ISNUMBER(N108),(N108-K108)/ABS(K108),"N/A"),"N/A")</f>
        <v/>
      </c>
      <c r="R108" s="112" t="n"/>
      <c r="S108" s="80" t="n">
        <v>45706</v>
      </c>
      <c r="T108" s="88" t="inlineStr">
        <is>
          <t>CFO Commentary</t>
        </is>
      </c>
      <c r="U108" s="67" t="n"/>
    </row>
    <row r="109" ht="14.4" customFormat="1" customHeight="1" s="1013">
      <c r="A109" s="114" t="n">
        <v>855</v>
      </c>
      <c r="B109" s="77">
        <f>IF(INDEX(MO_SNA_IsHistoricalPeriod,,MATCH(F109,MO_Common_ColumnHeader,0)),"Historical","Forward")</f>
        <v/>
      </c>
      <c r="C109" s="67" t="n"/>
      <c r="D109" s="84" t="inlineStr">
        <is>
          <t>Non-GAAP Other Income &amp; Expense</t>
        </is>
      </c>
      <c r="E109" s="78" t="n"/>
      <c r="F109" s="77" t="inlineStr">
        <is>
          <t>FY2025</t>
        </is>
      </c>
      <c r="G109" s="77" t="n"/>
      <c r="H109" s="67" t="n"/>
      <c r="I109" s="2087" t="n">
        <v>-53</v>
      </c>
      <c r="J109" s="2087" t="n">
        <v>-67</v>
      </c>
      <c r="K109" s="2087">
        <f>AVERAGE(I109:J109)</f>
        <v/>
      </c>
      <c r="L109" s="67" t="n"/>
      <c r="M109" s="77">
        <f>IF(INDEX(MO_SNA_IsHistoricalPeriod,,MATCH(F109,MO_Common_ColumnHeader,0)),"Actual","Estimate")</f>
        <v/>
      </c>
      <c r="N109" s="2087">
        <f>-IFERROR(INDEX(MO_RIS_IE_Net_NONGAAP,0,MATCH(F109,MO_Common_ColumnHeader,0)),"N/A")-IFERROR(INDEX(MO_RIS_OI_NONGAAP,0,MATCH(F109,MO_Common_ColumnHeader,0)),"N/A")</f>
        <v/>
      </c>
      <c r="O109" s="67" t="n"/>
      <c r="P109" s="2169">
        <f>IF(ISNUMBER(N109),N109-K109,"N/A")</f>
        <v/>
      </c>
      <c r="Q109" s="2168">
        <f>IFERROR(IF(ISNUMBER(N109),(N109-K109)/ABS(K109),"N/A"),"N/A")</f>
        <v/>
      </c>
      <c r="R109" s="112" t="n"/>
      <c r="S109" s="80" t="n">
        <v>45706</v>
      </c>
      <c r="T109" s="88" t="inlineStr">
        <is>
          <t>CFO Commentary</t>
        </is>
      </c>
      <c r="U109" s="67" t="n"/>
    </row>
    <row r="110" ht="14.4" customFormat="1" customHeight="1" s="1013">
      <c r="A110" s="114" t="n">
        <v>854</v>
      </c>
      <c r="B110" s="77">
        <f>IF(INDEX(MO_SNA_IsHistoricalPeriod,,MATCH(F110,MO_Common_ColumnHeader,0)),"Historical","Forward")</f>
        <v/>
      </c>
      <c r="C110" s="67" t="n"/>
      <c r="D110" s="84" t="inlineStr">
        <is>
          <t>GAAP Tax Rate</t>
        </is>
      </c>
      <c r="E110" s="78" t="inlineStr">
        <is>
          <t>MO_RIS_TaxRate</t>
        </is>
      </c>
      <c r="F110" s="77" t="inlineStr">
        <is>
          <t>FY2025</t>
        </is>
      </c>
      <c r="G110" s="77" t="n"/>
      <c r="H110" s="67" t="n"/>
      <c r="I110" s="2108" t="n">
        <v>0.25</v>
      </c>
      <c r="J110" s="2108" t="n">
        <v>0.25</v>
      </c>
      <c r="K110" s="2108">
        <f>AVERAGE(I110:J110)</f>
        <v/>
      </c>
      <c r="L110" s="67" t="n"/>
      <c r="M110" s="77">
        <f>IF(INDEX(MO_SNA_IsHistoricalPeriod,,MATCH(F110,MO_Common_ColumnHeader,0)),"Actual","Estimate")</f>
        <v/>
      </c>
      <c r="N110" s="2108">
        <f>IFERROR(INDEX(INDIRECT(E110),0,MATCH(F110,MO_Common_ColumnHeader,0)),"N/A")</f>
        <v/>
      </c>
      <c r="O110" s="67" t="n"/>
      <c r="P110" s="2168">
        <f>IF(ISNUMBER(N110),N110-K110,"N/A")</f>
        <v/>
      </c>
      <c r="Q110" s="2168">
        <f>IFERROR(IF(ISNUMBER(N110),(N110-K110)/ABS(K110),"N/A"),"N/A")</f>
        <v/>
      </c>
      <c r="R110" s="112" t="n"/>
      <c r="S110" s="80" t="n">
        <v>45706</v>
      </c>
      <c r="T110" s="88" t="inlineStr">
        <is>
          <t>CFO Commentary</t>
        </is>
      </c>
      <c r="U110" s="67" t="n"/>
    </row>
    <row r="111" ht="14.4" customFormat="1" customHeight="1" s="1013">
      <c r="A111" s="114" t="n">
        <v>853</v>
      </c>
      <c r="B111" s="77">
        <f>IF(INDEX(MO_SNA_IsHistoricalPeriod,,MATCH(F111,MO_Common_ColumnHeader,0)),"Historical","Forward")</f>
        <v/>
      </c>
      <c r="C111" s="67" t="n"/>
      <c r="D111" s="84">
        <f>INDEX(INDIRECT(E111),0,COLUMN(MO_Common_Column_A))</f>
        <v/>
      </c>
      <c r="E111" s="78" t="inlineStr">
        <is>
          <t>MO_RIS_TaxRate_NONGAAP</t>
        </is>
      </c>
      <c r="F111" s="77" t="inlineStr">
        <is>
          <t>FY2025</t>
        </is>
      </c>
      <c r="G111" s="77" t="n"/>
      <c r="H111" s="67" t="n"/>
      <c r="I111" s="2108" t="n">
        <v>0.165</v>
      </c>
      <c r="J111" s="2108" t="n">
        <v>0.165</v>
      </c>
      <c r="K111" s="2108">
        <f>AVERAGE(I111:J111)</f>
        <v/>
      </c>
      <c r="L111" s="67" t="n"/>
      <c r="M111" s="77">
        <f>IF(INDEX(MO_SNA_IsHistoricalPeriod,,MATCH(F111,MO_Common_ColumnHeader,0)),"Actual","Estimate")</f>
        <v/>
      </c>
      <c r="N111" s="2108">
        <f>IFERROR(INDEX(INDIRECT(E111),0,MATCH(F111,MO_Common_ColumnHeader,0)),"N/A")</f>
        <v/>
      </c>
      <c r="O111" s="67" t="n"/>
      <c r="P111" s="2168">
        <f>IF(ISNUMBER(N111),N111-K111,"N/A")</f>
        <v/>
      </c>
      <c r="Q111" s="2168">
        <f>IFERROR(IF(ISNUMBER(N111),(N111-K111)/ABS(K111),"N/A"),"N/A")</f>
        <v/>
      </c>
      <c r="R111" s="112" t="n"/>
      <c r="S111" s="80" t="n">
        <v>45706</v>
      </c>
      <c r="T111" s="88" t="inlineStr">
        <is>
          <t>CFO Commentary</t>
        </is>
      </c>
      <c r="U111" s="67" t="n"/>
    </row>
    <row r="112" ht="14.4" customFormat="1" customHeight="1" s="1013">
      <c r="A112" s="114" t="n">
        <v>852</v>
      </c>
      <c r="B112" s="77">
        <f>IF(INDEX(MO_SNA_IsHistoricalPeriod,,MATCH(F112,MO_Common_ColumnHeader,0)),"Historical","Forward")</f>
        <v/>
      </c>
      <c r="C112" s="67" t="n"/>
      <c r="D112" s="84">
        <f>INDEX(INDIRECT(E112),0,COLUMN(MO_Common_Column_A))</f>
        <v/>
      </c>
      <c r="E112" s="78" t="inlineStr">
        <is>
          <t>MO_RIS_ShareCount_WAD</t>
        </is>
      </c>
      <c r="F112" s="77" t="inlineStr">
        <is>
          <t>FY2025</t>
        </is>
      </c>
      <c r="G112" s="77" t="n"/>
      <c r="H112" s="67" t="n"/>
      <c r="I112" s="2087" t="n">
        <v>274</v>
      </c>
      <c r="J112" s="2087" t="n">
        <v>276</v>
      </c>
      <c r="K112" s="2087">
        <f>AVERAGE(I112:J112)</f>
        <v/>
      </c>
      <c r="L112" s="67" t="n"/>
      <c r="M112" s="77">
        <f>IF(INDEX(MO_SNA_IsHistoricalPeriod,,MATCH(F112,MO_Common_ColumnHeader,0)),"Actual","Estimate")</f>
        <v/>
      </c>
      <c r="N112" s="2087">
        <f>IFERROR(INDEX(INDIRECT(E112),0,MATCH(F112,MO_Common_ColumnHeader,0)),"N/A")</f>
        <v/>
      </c>
      <c r="O112" s="67" t="n"/>
      <c r="P112" s="2169">
        <f>IF(ISNUMBER(N112),N112-K112,"N/A")</f>
        <v/>
      </c>
      <c r="Q112" s="2168">
        <f>IFERROR(IF(ISNUMBER(N112),(N112-K112)/ABS(K112),"N/A"),"N/A")</f>
        <v/>
      </c>
      <c r="R112" s="112" t="n"/>
      <c r="S112" s="80" t="n">
        <v>45706</v>
      </c>
      <c r="T112" s="88" t="inlineStr">
        <is>
          <t>CFO Commentary</t>
        </is>
      </c>
      <c r="U112" s="67" t="n"/>
    </row>
    <row r="113" ht="14.4" customFormat="1" customHeight="1" s="1013">
      <c r="A113" s="114" t="n">
        <v>851</v>
      </c>
      <c r="B113" s="77">
        <f>IF(INDEX(MO_SNA_IsHistoricalPeriod,,MATCH(F113,MO_Common_ColumnHeader,0)),"Historical","Forward")</f>
        <v/>
      </c>
      <c r="C113" s="67" t="n"/>
      <c r="D113" s="84" t="inlineStr">
        <is>
          <t>DSO</t>
        </is>
      </c>
      <c r="E113" s="78" t="n"/>
      <c r="F113" s="77" t="inlineStr">
        <is>
          <t>FY2025</t>
        </is>
      </c>
      <c r="G113" s="77" t="n"/>
      <c r="H113" s="67" t="n"/>
      <c r="I113" s="2087" t="n">
        <v>50</v>
      </c>
      <c r="J113" s="2087" t="n">
        <v>50</v>
      </c>
      <c r="K113" s="2087">
        <f>AVERAGE(I113:J113)</f>
        <v/>
      </c>
      <c r="L113" s="67" t="n"/>
      <c r="M113" s="77">
        <f>IF(INDEX(MO_SNA_IsHistoricalPeriod,,MATCH(F113,MO_Common_ColumnHeader,0)),"Actual","Estimate")</f>
        <v/>
      </c>
      <c r="N113" s="2087">
        <f>IFERROR(INDEX(INDIRECT(E113),0,MATCH(F113,MO_Common_ColumnHeader,0)),"N/A")</f>
        <v/>
      </c>
      <c r="O113" s="67" t="n"/>
      <c r="P113" s="2169">
        <f>IF(ISNUMBER(N113),N113-K113,"N/A")</f>
        <v/>
      </c>
      <c r="Q113" s="2168">
        <f>IFERROR(IF(ISNUMBER(N113),(N113-K113)/ABS(K113),"N/A"),"N/A")</f>
        <v/>
      </c>
      <c r="R113" s="112" t="n"/>
      <c r="S113" s="80" t="n">
        <v>45706</v>
      </c>
      <c r="T113" s="88" t="inlineStr">
        <is>
          <t>CFO Commentary</t>
        </is>
      </c>
      <c r="U113" s="67" t="n"/>
    </row>
    <row r="114" ht="14.4" customFormat="1" customHeight="1" s="1013">
      <c r="A114" s="114" t="n">
        <v>850</v>
      </c>
      <c r="B114" s="77">
        <f>IF(INDEX(MO_SNA_IsHistoricalPeriod,,MATCH(F114,MO_Common_ColumnHeader,0)),"Historical","Forward")</f>
        <v/>
      </c>
      <c r="C114" s="67" t="n"/>
      <c r="D114" s="84">
        <f>INDEX(INDIRECT(E114),0,COLUMN(MO_Common_Column_A))</f>
        <v/>
      </c>
      <c r="E114" s="78" t="inlineStr">
        <is>
          <t>MO_CFSum_Capex</t>
        </is>
      </c>
      <c r="F114" s="77" t="inlineStr">
        <is>
          <t>FY2025</t>
        </is>
      </c>
      <c r="G114" s="77" t="n"/>
      <c r="H114" s="67" t="n"/>
      <c r="I114" s="2087" t="n">
        <v>-150</v>
      </c>
      <c r="J114" s="2087" t="n">
        <v>-150</v>
      </c>
      <c r="K114" s="2087">
        <f>AVERAGE(I114:J114)</f>
        <v/>
      </c>
      <c r="L114" s="67" t="n"/>
      <c r="M114" s="77">
        <f>IF(INDEX(MO_SNA_IsHistoricalPeriod,,MATCH(F114,MO_Common_ColumnHeader,0)),"Actual","Estimate")</f>
        <v/>
      </c>
      <c r="N114" s="2087">
        <f>IFERROR(INDEX(INDIRECT(E114),0,MATCH(F114,MO_Common_ColumnHeader,0)),"N/A")</f>
        <v/>
      </c>
      <c r="O114" s="67" t="n"/>
      <c r="P114" s="2169">
        <f>IF(ISNUMBER(N114),N114-K114,"N/A")</f>
        <v/>
      </c>
      <c r="Q114" s="2168">
        <f>IFERROR(IF(ISNUMBER(N114),(N114-K114)/ABS(K114),"N/A"),"N/A")</f>
        <v/>
      </c>
      <c r="R114" s="112" t="n"/>
      <c r="S114" s="80" t="n">
        <v>45706</v>
      </c>
      <c r="T114" s="88" t="inlineStr">
        <is>
          <t>CFO Commentary</t>
        </is>
      </c>
      <c r="U114" s="67" t="n"/>
    </row>
    <row r="115" ht="14.4" customFormat="1" customHeight="1" s="1013">
      <c r="A115" s="114" t="n">
        <v>849</v>
      </c>
      <c r="B115" s="77">
        <f>IF(INDEX(MO_SNA_IsHistoricalPeriod,,MATCH(F115,MO_Common_ColumnHeader,0)),"Historical","Forward")</f>
        <v/>
      </c>
      <c r="C115" s="67" t="n"/>
      <c r="D115" s="84">
        <f>INDEX(INDIRECT(E115),0,COLUMN(MO_Common_Column_A))</f>
        <v/>
      </c>
      <c r="E115" s="78" t="inlineStr">
        <is>
          <t>MO_RIS_SBC</t>
        </is>
      </c>
      <c r="F115" s="77" t="inlineStr">
        <is>
          <t>FY2025</t>
        </is>
      </c>
      <c r="G115" s="77" t="n"/>
      <c r="H115" s="67" t="n"/>
      <c r="I115" s="2087" t="n">
        <v>466</v>
      </c>
      <c r="J115" s="2087" t="n">
        <v>466</v>
      </c>
      <c r="K115" s="2087">
        <f>AVERAGE(I115:J115)</f>
        <v/>
      </c>
      <c r="L115" s="67" t="n"/>
      <c r="M115" s="77">
        <f>IF(INDEX(MO_SNA_IsHistoricalPeriod,,MATCH(F115,MO_Common_ColumnHeader,0)),"Actual","Estimate")</f>
        <v/>
      </c>
      <c r="N115" s="2087">
        <f>IFERROR(INDEX(INDIRECT(E115),0,MATCH(F115,MO_Common_ColumnHeader,0)),"N/A")</f>
        <v/>
      </c>
      <c r="O115" s="67" t="n"/>
      <c r="P115" s="2169">
        <f>IF(ISNUMBER(N115),N115-K115,"N/A")</f>
        <v/>
      </c>
      <c r="Q115" s="2168">
        <f>IFERROR(IF(ISNUMBER(N115),(N115-K115)/ABS(K115),"N/A"),"N/A")</f>
        <v/>
      </c>
      <c r="R115" s="112" t="n"/>
      <c r="S115" s="80" t="n">
        <v>45706</v>
      </c>
      <c r="T115" s="88" t="inlineStr">
        <is>
          <t>CFO Commentary</t>
        </is>
      </c>
      <c r="U115" s="67" t="n"/>
    </row>
    <row r="116" ht="14.4" customFormat="1" customHeight="1" s="1013">
      <c r="A116" s="114" t="n">
        <v>848</v>
      </c>
      <c r="B116" s="77">
        <f>IF(INDEX(MO_SNA_IsHistoricalPeriod,,MATCH(F116,MO_Common_ColumnHeader,0)),"Historical","Forward")</f>
        <v/>
      </c>
      <c r="C116" s="67" t="n"/>
      <c r="D116" s="84">
        <f>INDEX(INDIRECT(E116),0,COLUMN(MO_Common_Column_A))</f>
        <v/>
      </c>
      <c r="E116" s="78" t="inlineStr">
        <is>
          <t>MO_RIS_Daintangibles</t>
        </is>
      </c>
      <c r="F116" s="77" t="inlineStr">
        <is>
          <t>FY2025</t>
        </is>
      </c>
      <c r="G116" s="77" t="n"/>
      <c r="H116" s="67" t="n"/>
      <c r="I116" s="2087" t="n">
        <v>98</v>
      </c>
      <c r="J116" s="2087" t="n">
        <v>98</v>
      </c>
      <c r="K116" s="2087">
        <f>AVERAGE(I116:J116)</f>
        <v/>
      </c>
      <c r="L116" s="67" t="n"/>
      <c r="M116" s="77">
        <f>IF(INDEX(MO_SNA_IsHistoricalPeriod,,MATCH(F116,MO_Common_ColumnHeader,0)),"Actual","Estimate")</f>
        <v/>
      </c>
      <c r="N116" s="2087">
        <f>IFERROR(INDEX(INDIRECT(E116),0,MATCH(F116,MO_Common_ColumnHeader,0)),"N/A")</f>
        <v/>
      </c>
      <c r="O116" s="67" t="n"/>
      <c r="P116" s="2169">
        <f>IF(ISNUMBER(N116),N116-K116,"N/A")</f>
        <v/>
      </c>
      <c r="Q116" s="2168">
        <f>IFERROR(IF(ISNUMBER(N116),(N116-K116)/ABS(K116),"N/A"),"N/A")</f>
        <v/>
      </c>
      <c r="R116" s="112" t="n"/>
      <c r="S116" s="80" t="n">
        <v>45706</v>
      </c>
      <c r="T116" s="88" t="inlineStr">
        <is>
          <t>CFO Commentary</t>
        </is>
      </c>
      <c r="U116" s="67" t="n"/>
    </row>
    <row r="117" ht="14.4" customFormat="1" customHeight="1" s="1013">
      <c r="A117" s="114" t="n">
        <v>847</v>
      </c>
      <c r="B117" s="77">
        <f>IF(INDEX(MO_SNA_IsHistoricalPeriod,,MATCH(F117,MO_Common_ColumnHeader,0)),"Historical","Forward")</f>
        <v/>
      </c>
      <c r="C117" s="67" t="n"/>
      <c r="D117" s="84" t="inlineStr">
        <is>
          <t>Acquisition and integration-related costs</t>
        </is>
      </c>
      <c r="E117" s="78" t="n"/>
      <c r="F117" s="77" t="inlineStr">
        <is>
          <t>FY2025</t>
        </is>
      </c>
      <c r="G117" s="77" t="n"/>
      <c r="H117" s="67" t="n"/>
      <c r="I117" s="2087" t="n">
        <v>85</v>
      </c>
      <c r="J117" s="2087" t="n">
        <v>85</v>
      </c>
      <c r="K117" s="2087">
        <f>AVERAGE(I117:J117)</f>
        <v/>
      </c>
      <c r="L117" s="67" t="n"/>
      <c r="M117" s="77">
        <f>IF(INDEX(MO_SNA_IsHistoricalPeriod,,MATCH(F117,MO_Common_ColumnHeader,0)),"Actual","Estimate")</f>
        <v/>
      </c>
      <c r="N117" s="2087">
        <f>IFERROR(INDEX(INDIRECT(E117),0,MATCH(F117,MO_Common_ColumnHeader,0)),"N/A")</f>
        <v/>
      </c>
      <c r="O117" s="67" t="n"/>
      <c r="P117" s="2169">
        <f>IF(ISNUMBER(N117),N117-K117,"N/A")</f>
        <v/>
      </c>
      <c r="Q117" s="2168">
        <f>IFERROR(IF(ISNUMBER(N117),(N117-K117)/ABS(K117),"N/A"),"N/A")</f>
        <v/>
      </c>
      <c r="R117" s="112" t="n"/>
      <c r="S117" s="80" t="n">
        <v>45706</v>
      </c>
      <c r="T117" s="88" t="inlineStr">
        <is>
          <t>CFO Commentary</t>
        </is>
      </c>
      <c r="U117" s="67" t="n"/>
    </row>
    <row r="118" ht="14.4" customFormat="1" customHeight="1" s="1013">
      <c r="A118" s="114" t="n">
        <v>846</v>
      </c>
      <c r="B118" s="77">
        <f>IF(INDEX(MO_SNA_IsHistoricalPeriod,,MATCH(F118,MO_Common_ColumnHeader,0)),"Historical","Forward")</f>
        <v/>
      </c>
      <c r="C118" s="67" t="n"/>
      <c r="D118" s="84" t="inlineStr">
        <is>
          <t>Restructuring and other credits</t>
        </is>
      </c>
      <c r="E118" s="78" t="n"/>
      <c r="F118" s="77" t="inlineStr">
        <is>
          <t>FY2025</t>
        </is>
      </c>
      <c r="G118" s="77" t="n"/>
      <c r="H118" s="67" t="n"/>
      <c r="I118" s="2087" t="n">
        <v>0</v>
      </c>
      <c r="J118" s="2087" t="n">
        <v>0</v>
      </c>
      <c r="K118" s="2087">
        <f>AVERAGE(I118:J118)</f>
        <v/>
      </c>
      <c r="L118" s="67" t="n"/>
      <c r="M118" s="77">
        <f>IF(INDEX(MO_SNA_IsHistoricalPeriod,,MATCH(F118,MO_Common_ColumnHeader,0)),"Actual","Estimate")</f>
        <v/>
      </c>
      <c r="N118" s="2087">
        <f>IFERROR(INDEX(INDIRECT(E118),0,MATCH(F118,MO_Common_ColumnHeader,0)),"N/A")</f>
        <v/>
      </c>
      <c r="O118" s="67" t="n"/>
      <c r="P118" s="2169">
        <f>IF(ISNUMBER(N118),N118-K118,"N/A")</f>
        <v/>
      </c>
      <c r="Q118" s="2168">
        <f>IFERROR(IF(ISNUMBER(N118),(N118-K118)/ABS(K118),"N/A"),"N/A")</f>
        <v/>
      </c>
      <c r="R118" s="112" t="n"/>
      <c r="S118" s="80" t="n">
        <v>45706</v>
      </c>
      <c r="T118" s="88" t="inlineStr">
        <is>
          <t>CFO Commentary</t>
        </is>
      </c>
      <c r="U118" s="67" t="n"/>
    </row>
    <row r="119" ht="14.4" customFormat="1" customHeight="1" s="1013">
      <c r="A119" s="114" t="n">
        <v>845</v>
      </c>
      <c r="B119" s="77">
        <f>IF(INDEX(MO_SNA_IsHistoricalPeriod,,MATCH(F119,MO_Common_ColumnHeader,0)),"Historical","Forward")</f>
        <v/>
      </c>
      <c r="C119" s="67" t="n"/>
      <c r="D119" s="84" t="inlineStr">
        <is>
          <t>Non-Qualified deferred compensation expenses</t>
        </is>
      </c>
      <c r="E119" s="78" t="n"/>
      <c r="F119" s="77" t="inlineStr">
        <is>
          <t>FY2025</t>
        </is>
      </c>
      <c r="G119" s="77" t="n"/>
      <c r="H119" s="67" t="n"/>
      <c r="I119" s="2087" t="n">
        <v>0</v>
      </c>
      <c r="J119" s="2087" t="n">
        <v>0</v>
      </c>
      <c r="K119" s="2087">
        <f>AVERAGE(I119:J119)</f>
        <v/>
      </c>
      <c r="L119" s="67" t="n"/>
      <c r="M119" s="77">
        <f>IF(INDEX(MO_SNA_IsHistoricalPeriod,,MATCH(F119,MO_Common_ColumnHeader,0)),"Actual","Estimate")</f>
        <v/>
      </c>
      <c r="N119" s="2087">
        <f>IFERROR(INDEX(INDIRECT(E119),0,MATCH(F119,MO_Common_ColumnHeader,0)),"N/A")</f>
        <v/>
      </c>
      <c r="O119" s="67" t="n"/>
      <c r="P119" s="2169">
        <f>IF(ISNUMBER(N119),N119-K119,"N/A")</f>
        <v/>
      </c>
      <c r="Q119" s="2168">
        <f>IFERROR(IF(ISNUMBER(N119),(N119-K119)/ABS(K119),"N/A"),"N/A")</f>
        <v/>
      </c>
      <c r="R119" s="112" t="n"/>
      <c r="S119" s="80" t="n">
        <v>45706</v>
      </c>
      <c r="T119" s="88" t="inlineStr">
        <is>
          <t>CFO Commentary</t>
        </is>
      </c>
      <c r="U119" s="67" t="n"/>
    </row>
    <row r="120" ht="14.4" customFormat="1" customHeight="1" s="1013">
      <c r="A120" s="114" t="n">
        <v>844</v>
      </c>
      <c r="B120" s="77">
        <f>IF(INDEX(MO_SNA_IsHistoricalPeriod,,MATCH(F120,MO_Common_ColumnHeader,0)),"Historical","Forward")</f>
        <v/>
      </c>
      <c r="C120" s="67" t="n"/>
      <c r="D120" s="84" t="inlineStr">
        <is>
          <t>Special charges</t>
        </is>
      </c>
      <c r="E120" s="78" t="n"/>
      <c r="F120" s="77" t="inlineStr">
        <is>
          <t>FY2025</t>
        </is>
      </c>
      <c r="G120" s="77" t="n"/>
      <c r="H120" s="67" t="n"/>
      <c r="I120" s="2087" t="n">
        <v>0</v>
      </c>
      <c r="J120" s="2087" t="n">
        <v>0</v>
      </c>
      <c r="K120" s="2087">
        <f>AVERAGE(I120:J120)</f>
        <v/>
      </c>
      <c r="L120" s="67" t="n"/>
      <c r="M120" s="77">
        <f>IF(INDEX(MO_SNA_IsHistoricalPeriod,,MATCH(F120,MO_Common_ColumnHeader,0)),"Actual","Estimate")</f>
        <v/>
      </c>
      <c r="N120" s="2087">
        <f>IFERROR(INDEX(INDIRECT(E120),0,MATCH(F120,MO_Common_ColumnHeader,0)),"N/A")</f>
        <v/>
      </c>
      <c r="O120" s="67" t="n"/>
      <c r="P120" s="2169">
        <f>IF(ISNUMBER(N120),N120-K120,"N/A")</f>
        <v/>
      </c>
      <c r="Q120" s="2168">
        <f>IFERROR(IF(ISNUMBER(N120),(N120-K120)/ABS(K120),"N/A"),"N/A")</f>
        <v/>
      </c>
      <c r="R120" s="112" t="n"/>
      <c r="S120" s="80" t="n">
        <v>45706</v>
      </c>
      <c r="T120" s="88" t="inlineStr">
        <is>
          <t>CFO Commentary</t>
        </is>
      </c>
      <c r="U120" s="67" t="n"/>
    </row>
    <row r="121" ht="14.4" customFormat="1" customHeight="1" s="1013">
      <c r="A121" s="114" t="n">
        <v>843</v>
      </c>
      <c r="B121" s="77">
        <f>IF(INDEX(MO_SNA_IsHistoricalPeriod,,MATCH(F121,MO_Common_ColumnHeader,0)),"Historical","Forward")</f>
        <v/>
      </c>
      <c r="C121" s="67" t="n"/>
      <c r="D121" s="84" t="inlineStr">
        <is>
          <t>GAAP Operating Expenses</t>
        </is>
      </c>
      <c r="E121" s="78" t="n"/>
      <c r="F121" s="77" t="inlineStr">
        <is>
          <t>FY2025</t>
        </is>
      </c>
      <c r="G121" s="77" t="n"/>
      <c r="H121" s="67" t="n"/>
      <c r="I121" s="2087" t="n">
        <v>3563</v>
      </c>
      <c r="J121" s="2087" t="n">
        <v>3563</v>
      </c>
      <c r="K121" s="2087">
        <f>AVERAGE(I121:J121)</f>
        <v/>
      </c>
      <c r="L121" s="67" t="n"/>
      <c r="M121" s="77">
        <f>IF(INDEX(MO_SNA_IsHistoricalPeriod,,MATCH(F121,MO_Common_ColumnHeader,0)),"Actual","Estimate")</f>
        <v/>
      </c>
      <c r="N121" s="2087">
        <f>IFERROR(INDEX(MO_RIS_COGS,0,MATCH(Guidance!F121,MO_Common_ColumnHeader,0))+INDEX(MO_RIS_RD,0,MATCH(Guidance!F121,MO_Common_ColumnHeader,0))+INDEX(MO_RIS_GA,0,MATCH(Guidance!F121,MO_Common_ColumnHeader,0))+INDEX(MO_RIS_SM,0,MATCH(Guidance!F121,MO_Common_ColumnHeader,0)),"N/A")</f>
        <v/>
      </c>
      <c r="O121" s="2072" t="n"/>
      <c r="P121" s="2169">
        <f>IF(ISNUMBER(N121),N121-K121,"N/A")</f>
        <v/>
      </c>
      <c r="Q121" s="2168">
        <f>IFERROR(IF(ISNUMBER(N121),(N121-K121)/ABS(K121),"N/A"),"N/A")</f>
        <v/>
      </c>
      <c r="R121" s="112" t="n"/>
      <c r="S121" s="80" t="n">
        <v>45706</v>
      </c>
      <c r="T121" s="88" t="inlineStr">
        <is>
          <t>CFO Commentary</t>
        </is>
      </c>
      <c r="U121" s="67" t="n"/>
    </row>
    <row r="122" ht="14.4" customFormat="1" customHeight="1" s="1013">
      <c r="A122" s="114" t="n">
        <v>842</v>
      </c>
      <c r="B122" s="77">
        <f>IF(INDEX(MO_SNA_IsHistoricalPeriod,,MATCH(F122,MO_Common_ColumnHeader,0)),"Historical","Forward")</f>
        <v/>
      </c>
      <c r="C122" s="67" t="n"/>
      <c r="D122" s="84" t="inlineStr">
        <is>
          <t>Non-GAAP Operating Expenses</t>
        </is>
      </c>
      <c r="E122" s="78" t="n"/>
      <c r="F122" s="77" t="inlineStr">
        <is>
          <t>FY2025</t>
        </is>
      </c>
      <c r="G122" s="77" t="n"/>
      <c r="H122" s="67" t="n"/>
      <c r="I122" s="2087" t="n">
        <v>2914</v>
      </c>
      <c r="J122" s="2087" t="n">
        <v>2914</v>
      </c>
      <c r="K122" s="2087">
        <f>AVERAGE(I122:J122)</f>
        <v/>
      </c>
      <c r="L122" s="67" t="n"/>
      <c r="M122" s="77">
        <f>IF(INDEX(MO_SNA_IsHistoricalPeriod,,MATCH(F122,MO_Common_ColumnHeader,0)),"Actual","Estimate")</f>
        <v/>
      </c>
      <c r="N122" s="2087">
        <f>IFERROR(INDEX(MO_RIS_REV,0,MATCH(Guidance!F122,MO_Common_ColumnHeader,0))+INDEX(MO_RIS_RD_NONGAAP,0,MATCH(Guidance!F122,MO_Common_ColumnHeader,0))+INDEX(MO_RIS_GA_NONGAAP,0,MATCH(Guidance!F122,MO_Common_ColumnHeader,0))+INDEX(MO_RIS_SM_NONGAAP,0,MATCH(Guidance!F122,MO_Common_ColumnHeader,0))-INDEX(MO_RIS_GP_NONGAAP,0,MATCH(Guidance!F122,MO_Common_ColumnHeader,0)),"N/A")</f>
        <v/>
      </c>
      <c r="O122" s="2072" t="n"/>
      <c r="P122" s="2169">
        <f>IF(ISNUMBER(N122),N122-K122,"N/A")</f>
        <v/>
      </c>
      <c r="Q122" s="2168">
        <f>IFERROR(IF(ISNUMBER(N122),(N122-K122)/ABS(K122),"N/A"),"N/A")</f>
        <v/>
      </c>
      <c r="R122" s="112" t="n"/>
      <c r="S122" s="80" t="n">
        <v>45706</v>
      </c>
      <c r="T122" s="88" t="inlineStr">
        <is>
          <t>CFO Commentary</t>
        </is>
      </c>
      <c r="U122" s="67" t="n"/>
    </row>
    <row r="123" ht="14.4" customFormat="1" customHeight="1" s="1013">
      <c r="A123" s="114" t="n">
        <v>841</v>
      </c>
      <c r="B123" s="67" t="n"/>
      <c r="C123" s="67" t="n"/>
      <c r="D123" s="68" t="n"/>
      <c r="E123" s="69" t="n"/>
      <c r="F123" s="67" t="n"/>
      <c r="G123" s="67" t="n"/>
      <c r="H123" s="67" t="n"/>
      <c r="I123" s="2072" t="n"/>
      <c r="J123" s="2072" t="n"/>
      <c r="K123" s="2072" t="n"/>
      <c r="L123" s="67" t="n"/>
      <c r="M123" s="67" t="n"/>
      <c r="N123" s="2072" t="n"/>
      <c r="O123" s="67" t="n"/>
      <c r="P123" s="2172" t="n"/>
      <c r="Q123" s="2173" t="n"/>
      <c r="R123" s="112" t="n"/>
      <c r="S123" s="112" t="n"/>
      <c r="T123" s="344" t="n"/>
      <c r="U123" s="67" t="n"/>
    </row>
    <row r="124" ht="14.4" customFormat="1" customHeight="1" s="1013">
      <c r="A124" s="114" t="n">
        <v>840</v>
      </c>
      <c r="B124" s="77">
        <f>IF(INDEX(MO_SNA_IsHistoricalPeriod,,MATCH(F124,MO_Common_ColumnHeader,0)),"Historical","Forward")</f>
        <v/>
      </c>
      <c r="C124" s="67" t="n"/>
      <c r="D124" s="84">
        <f>INDEX(INDIRECT(E124),0,COLUMN(MO_Common_Column_A))</f>
        <v/>
      </c>
      <c r="E124" s="78" t="inlineStr">
        <is>
          <t>MO_RIS_REV</t>
        </is>
      </c>
      <c r="F124" s="77" t="inlineStr">
        <is>
          <t>Q1-2025</t>
        </is>
      </c>
      <c r="G124" s="77" t="n"/>
      <c r="H124" s="67" t="n"/>
      <c r="I124" s="2087" t="n">
        <v>1230</v>
      </c>
      <c r="J124" s="2087" t="n">
        <v>1250</v>
      </c>
      <c r="K124" s="2087">
        <f>AVERAGE(I124:J124)</f>
        <v/>
      </c>
      <c r="L124" s="67" t="n"/>
      <c r="M124" s="77">
        <f>IF(INDEX(MO_SNA_IsHistoricalPeriod,,MATCH(F124,MO_Common_ColumnHeader,0)),"Actual","Estimate")</f>
        <v/>
      </c>
      <c r="N124" s="2087">
        <f>IFERROR(INDEX(INDIRECT(E124),0,MATCH(F124,MO_Common_ColumnHeader,0)),"N/A")</f>
        <v/>
      </c>
      <c r="O124" s="67" t="n"/>
      <c r="P124" s="2169">
        <f>IF(ISNUMBER(N124),N124-K124,"N/A")</f>
        <v/>
      </c>
      <c r="Q124" s="2168">
        <f>IFERROR(IF(ISNUMBER(N124),(N124-K124)/ABS(K124),"N/A"),"N/A")</f>
        <v/>
      </c>
      <c r="R124" s="112" t="n"/>
      <c r="S124" s="80" t="n">
        <v>45706</v>
      </c>
      <c r="T124" s="88" t="inlineStr">
        <is>
          <t>CFO Commentary</t>
        </is>
      </c>
      <c r="U124" s="67" t="n"/>
    </row>
    <row r="125" ht="14.4" customFormat="1" customHeight="1" s="1013">
      <c r="A125" s="114" t="n">
        <v>839</v>
      </c>
      <c r="B125" s="77">
        <f>IF(INDEX(MO_SNA_IsHistoricalPeriod,,MATCH(F125,MO_Common_ColumnHeader,0)),"Historical","Forward")</f>
        <v/>
      </c>
      <c r="C125" s="67" t="n"/>
      <c r="D125" s="84" t="inlineStr">
        <is>
          <t>GAAP Operating Margin</t>
        </is>
      </c>
      <c r="E125" s="78" t="inlineStr">
        <is>
          <t>MO_MA_EBIT</t>
        </is>
      </c>
      <c r="F125" s="77" t="inlineStr">
        <is>
          <t>Q1-2025</t>
        </is>
      </c>
      <c r="G125" s="77" t="n"/>
      <c r="H125" s="67" t="n"/>
      <c r="I125" s="2108" t="n">
        <v>0.27</v>
      </c>
      <c r="J125" s="2108" t="n">
        <v>0.28</v>
      </c>
      <c r="K125" s="2108">
        <f>AVERAGE(I125:J125)</f>
        <v/>
      </c>
      <c r="L125" s="67" t="n"/>
      <c r="M125" s="77">
        <f>IF(INDEX(MO_SNA_IsHistoricalPeriod,,MATCH(F125,MO_Common_ColumnHeader,0)),"Actual","Estimate")</f>
        <v/>
      </c>
      <c r="N125" s="2108">
        <f>IFERROR(INDEX(INDIRECT(E125),0,MATCH(F125,MO_Common_ColumnHeader,0)),"N/A")</f>
        <v/>
      </c>
      <c r="O125" s="67" t="n"/>
      <c r="P125" s="2168">
        <f>IF(ISNUMBER(N125),N125-K125,"N/A")</f>
        <v/>
      </c>
      <c r="Q125" s="2168">
        <f>IFERROR(IF(ISNUMBER(N125),(N125-K125)/ABS(K125),"N/A"),"N/A")</f>
        <v/>
      </c>
      <c r="R125" s="112" t="n"/>
      <c r="S125" s="80" t="n">
        <v>45706</v>
      </c>
      <c r="T125" s="88" t="inlineStr">
        <is>
          <t>CFO Commentary</t>
        </is>
      </c>
      <c r="U125" s="67" t="n"/>
    </row>
    <row r="126" ht="14.4" customFormat="1" customHeight="1" s="1013">
      <c r="A126" s="114" t="n">
        <v>838</v>
      </c>
      <c r="B126" s="77">
        <f>IF(INDEX(MO_SNA_IsHistoricalPeriod,,MATCH(F126,MO_Common_ColumnHeader,0)),"Historical","Forward")</f>
        <v/>
      </c>
      <c r="C126" s="67" t="n"/>
      <c r="D126" s="84">
        <f>INDEX(INDIRECT(E126),0,COLUMN(MO_Common_Column_A))</f>
        <v/>
      </c>
      <c r="E126" s="78" t="inlineStr">
        <is>
          <t>MO_MA_OperatingIncome_NONGAAP</t>
        </is>
      </c>
      <c r="F126" s="77" t="inlineStr">
        <is>
          <t>Q1-2025</t>
        </is>
      </c>
      <c r="G126" s="77" t="n"/>
      <c r="H126" s="67" t="n"/>
      <c r="I126" s="2108" t="n">
        <v>0.4</v>
      </c>
      <c r="J126" s="2108" t="n">
        <v>0.41</v>
      </c>
      <c r="K126" s="2108">
        <f>AVERAGE(I126:J126)</f>
        <v/>
      </c>
      <c r="L126" s="67" t="n"/>
      <c r="M126" s="77">
        <f>IF(INDEX(MO_SNA_IsHistoricalPeriod,,MATCH(F126,MO_Common_ColumnHeader,0)),"Actual","Estimate")</f>
        <v/>
      </c>
      <c r="N126" s="2108">
        <f>IFERROR(INDEX(INDIRECT(E126),0,MATCH(F126,MO_Common_ColumnHeader,0)),"N/A")</f>
        <v/>
      </c>
      <c r="O126" s="67" t="n"/>
      <c r="P126" s="2168">
        <f>IF(ISNUMBER(N126),N126-K126,"N/A")</f>
        <v/>
      </c>
      <c r="Q126" s="2168">
        <f>IFERROR(IF(ISNUMBER(N126),(N126-K126)/ABS(K126),"N/A"),"N/A")</f>
        <v/>
      </c>
      <c r="R126" s="112" t="n"/>
      <c r="S126" s="80" t="n">
        <v>45706</v>
      </c>
      <c r="T126" s="88" t="inlineStr">
        <is>
          <t>CFO Commentary</t>
        </is>
      </c>
      <c r="U126" s="67" t="n"/>
    </row>
    <row r="127" ht="14.4" customFormat="1" customHeight="1" s="1013">
      <c r="A127" s="114" t="n">
        <v>837</v>
      </c>
      <c r="B127" s="77">
        <f>IF(INDEX(MO_SNA_IsHistoricalPeriod,,MATCH(F127,MO_Common_ColumnHeader,0)),"Historical","Forward")</f>
        <v/>
      </c>
      <c r="C127" s="67" t="n"/>
      <c r="D127" s="84">
        <f>INDEX(INDIRECT(E127),0,COLUMN(MO_Common_Column_A))</f>
        <v/>
      </c>
      <c r="E127" s="78" t="inlineStr">
        <is>
          <t>MO_RIS_EPS_WAD</t>
        </is>
      </c>
      <c r="F127" s="77" t="inlineStr">
        <is>
          <t>Q1-2025</t>
        </is>
      </c>
      <c r="G127" s="77" t="n"/>
      <c r="H127" s="67" t="n"/>
      <c r="I127" s="2170" t="n">
        <v>0.93</v>
      </c>
      <c r="J127" s="2170" t="n">
        <v>0.99</v>
      </c>
      <c r="K127" s="2170">
        <f>AVERAGE(I127:J127)</f>
        <v/>
      </c>
      <c r="L127" s="67" t="n"/>
      <c r="M127" s="77">
        <f>IF(INDEX(MO_SNA_IsHistoricalPeriod,,MATCH(F127,MO_Common_ColumnHeader,0)),"Actual","Estimate")</f>
        <v/>
      </c>
      <c r="N127" s="2170">
        <f>IFERROR(INDEX(INDIRECT(E127),0,MATCH(F127,MO_Common_ColumnHeader,0)),"N/A")</f>
        <v/>
      </c>
      <c r="O127" s="67" t="n"/>
      <c r="P127" s="2171">
        <f>IF(ISNUMBER(N127),N127-K127,"N/A")</f>
        <v/>
      </c>
      <c r="Q127" s="2168">
        <f>IFERROR(IF(ISNUMBER(N127),(N127-K127)/ABS(K127),"N/A"),"N/A")</f>
        <v/>
      </c>
      <c r="R127" s="112" t="n"/>
      <c r="S127" s="80" t="n">
        <v>45706</v>
      </c>
      <c r="T127" s="88" t="inlineStr">
        <is>
          <t>CFO Commentary</t>
        </is>
      </c>
      <c r="U127" s="67" t="n"/>
    </row>
    <row r="128" ht="14.4" customFormat="1" customHeight="1" s="1013">
      <c r="A128" s="114" t="n">
        <v>836</v>
      </c>
      <c r="B128" s="77">
        <f>IF(INDEX(MO_SNA_IsHistoricalPeriod,,MATCH(F128,MO_Common_ColumnHeader,0)),"Historical","Forward")</f>
        <v/>
      </c>
      <c r="C128" s="67" t="n"/>
      <c r="D128" s="84">
        <f>INDEX(INDIRECT(E128),0,COLUMN(MO_Common_Column_A))</f>
        <v/>
      </c>
      <c r="E128" s="78" t="inlineStr">
        <is>
          <t>MO_RIS_EPS_WAD_Adj</t>
        </is>
      </c>
      <c r="F128" s="77" t="inlineStr">
        <is>
          <t>Q1-2025</t>
        </is>
      </c>
      <c r="G128" s="77" t="n"/>
      <c r="H128" s="67" t="n"/>
      <c r="I128" s="2170" t="n">
        <v>1.46</v>
      </c>
      <c r="J128" s="2170" t="n">
        <v>1.52</v>
      </c>
      <c r="K128" s="2170">
        <f>AVERAGE(I128:J128)</f>
        <v/>
      </c>
      <c r="L128" s="67" t="n"/>
      <c r="M128" s="77">
        <f>IF(INDEX(MO_SNA_IsHistoricalPeriod,,MATCH(F128,MO_Common_ColumnHeader,0)),"Actual","Estimate")</f>
        <v/>
      </c>
      <c r="N128" s="2170">
        <f>IFERROR(INDEX(INDIRECT(E128),0,MATCH(F128,MO_Common_ColumnHeader,0)),"N/A")</f>
        <v/>
      </c>
      <c r="O128" s="67" t="n"/>
      <c r="P128" s="2171">
        <f>IF(ISNUMBER(N128),N128-K128,"N/A")</f>
        <v/>
      </c>
      <c r="Q128" s="2168">
        <f>IFERROR(IF(ISNUMBER(N128),(N128-K128)/ABS(K128),"N/A"),"N/A")</f>
        <v/>
      </c>
      <c r="R128" s="112" t="n"/>
      <c r="S128" s="80" t="n">
        <v>45706</v>
      </c>
      <c r="T128" s="88" t="inlineStr">
        <is>
          <t>CFO Commentary</t>
        </is>
      </c>
      <c r="U128" s="67" t="n"/>
    </row>
    <row r="129" ht="14.4" customFormat="1" customHeight="1" s="1013">
      <c r="A129" s="114" t="n">
        <v>835</v>
      </c>
      <c r="B129" s="77">
        <f>IF(INDEX(MO_SNA_IsHistoricalPeriod,,MATCH(F129,MO_Common_ColumnHeader,0)),"Historical","Forward")</f>
        <v/>
      </c>
      <c r="C129" s="67" t="n"/>
      <c r="D129" s="84">
        <f>INDEX(INDIRECT(E129),0,COLUMN(MO_Common_Column_A))</f>
        <v/>
      </c>
      <c r="E129" s="78" t="inlineStr">
        <is>
          <t>MO_CFSum_NetShares</t>
        </is>
      </c>
      <c r="F129" s="77" t="inlineStr">
        <is>
          <t>Q1-2025</t>
        </is>
      </c>
      <c r="G129" s="77" t="n"/>
      <c r="H129" s="67" t="n"/>
      <c r="I129" s="2087" t="n">
        <v>-175</v>
      </c>
      <c r="J129" s="2087" t="n">
        <v>-175</v>
      </c>
      <c r="K129" s="2087">
        <f>AVERAGE(I129:J129)</f>
        <v/>
      </c>
      <c r="L129" s="67" t="n"/>
      <c r="M129" s="77">
        <f>IF(INDEX(MO_SNA_IsHistoricalPeriod,,MATCH(F129,MO_Common_ColumnHeader,0)),"Actual","Estimate")</f>
        <v/>
      </c>
      <c r="N129" s="2087">
        <f>IFERROR(INDEX(INDIRECT(E129),0,MATCH(F129,MO_Common_ColumnHeader,0)),"N/A")</f>
        <v/>
      </c>
      <c r="O129" s="67" t="n"/>
      <c r="P129" s="2169">
        <f>IF(ISNUMBER(N129),N129-K129,"N/A")</f>
        <v/>
      </c>
      <c r="Q129" s="2168">
        <f>IFERROR(IF(ISNUMBER(N129),(N129-K129)/ABS(K129),"N/A"),"N/A")</f>
        <v/>
      </c>
      <c r="R129" s="112" t="n"/>
      <c r="S129" s="80" t="n">
        <v>45706</v>
      </c>
      <c r="T129" s="88" t="inlineStr">
        <is>
          <t>CFO Commentary</t>
        </is>
      </c>
      <c r="U129" s="67" t="n"/>
    </row>
    <row r="130" ht="14.4" customFormat="1" customHeight="1" s="1013">
      <c r="A130" s="114" t="n">
        <v>834</v>
      </c>
      <c r="B130" s="67" t="n"/>
      <c r="C130" s="67" t="n"/>
      <c r="D130" s="68" t="n"/>
      <c r="E130" s="69" t="n"/>
      <c r="F130" s="67" t="n"/>
      <c r="G130" s="67" t="n"/>
      <c r="H130" s="67" t="n"/>
      <c r="I130" s="2072" t="n"/>
      <c r="J130" s="2072" t="n"/>
      <c r="K130" s="2072" t="n"/>
      <c r="L130" s="67" t="n"/>
      <c r="M130" s="67" t="n"/>
      <c r="N130" s="2072" t="n"/>
      <c r="O130" s="67" t="n"/>
      <c r="P130" s="2172" t="n"/>
      <c r="Q130" s="2173" t="n"/>
      <c r="R130" s="112" t="n"/>
      <c r="S130" s="112" t="n"/>
      <c r="T130" s="344" t="n"/>
      <c r="U130" s="67" t="n"/>
    </row>
    <row r="131" ht="14.4" customFormat="1" customHeight="1" s="1013">
      <c r="A131" s="114" t="n">
        <v>833</v>
      </c>
      <c r="B131" s="77">
        <f>IF(INDEX(MO_SNA_IsHistoricalPeriod,,MATCH(F131,MO_Common_ColumnHeader,0)),"Historical","Forward")</f>
        <v/>
      </c>
      <c r="C131" s="67" t="n"/>
      <c r="D131" s="84" t="inlineStr">
        <is>
          <t>Recurring Revenue %</t>
        </is>
      </c>
      <c r="E131" s="78" t="n"/>
      <c r="F131" s="77" t="inlineStr">
        <is>
          <t>FY2024</t>
        </is>
      </c>
      <c r="G131" s="77" t="n"/>
      <c r="H131" s="67" t="n"/>
      <c r="I131" s="2108" t="n">
        <v>0.8</v>
      </c>
      <c r="J131" s="2108" t="n">
        <v>0.85</v>
      </c>
      <c r="K131" s="2108">
        <f>AVERAGE(I131:J131)</f>
        <v/>
      </c>
      <c r="L131" s="67" t="n"/>
      <c r="M131" s="77">
        <f>IF(INDEX(MO_SNA_IsHistoricalPeriod,,MATCH(F131,MO_Common_ColumnHeader,0)),"Actual","Estimate")</f>
        <v/>
      </c>
      <c r="N131" s="2108">
        <f>IFERROR(INDEX(INDIRECT(E131),0,MATCH(F131,MO_Common_ColumnHeader,0)),"N/A")</f>
        <v/>
      </c>
      <c r="O131" s="2072" t="n"/>
      <c r="P131" s="2168">
        <f>IF(ISNUMBER(N131),N131-K131,"N/A")</f>
        <v/>
      </c>
      <c r="Q131" s="2168">
        <f>IFERROR(IF(ISNUMBER(N131),(N131-K131)/ABS(K131),"N/A"),"N/A")</f>
        <v/>
      </c>
      <c r="R131" s="112" t="n"/>
      <c r="S131" s="80" t="n">
        <v>45593</v>
      </c>
      <c r="T131" s="88" t="inlineStr">
        <is>
          <t>CFO Commentary</t>
        </is>
      </c>
      <c r="U131" s="67" t="n"/>
    </row>
    <row r="132" ht="14.4" customFormat="1" customHeight="1" s="1013">
      <c r="A132" s="114" t="n">
        <v>832</v>
      </c>
      <c r="B132" s="77">
        <f>IF(INDEX(MO_SNA_IsHistoricalPeriod,,MATCH(F132,MO_Common_ColumnHeader,0)),"Historical","Forward")</f>
        <v/>
      </c>
      <c r="C132" s="67" t="n"/>
      <c r="D132" s="84" t="inlineStr">
        <is>
          <t>Revenue from Beginning Backlog %</t>
        </is>
      </c>
      <c r="E132" s="78" t="n"/>
      <c r="F132" s="77" t="inlineStr">
        <is>
          <t>FY2024</t>
        </is>
      </c>
      <c r="G132" s="77" t="n"/>
      <c r="H132" s="67" t="n"/>
      <c r="I132" s="2108" t="n">
        <v>0.7</v>
      </c>
      <c r="J132" s="2108" t="n">
        <v>0.7</v>
      </c>
      <c r="K132" s="2108">
        <f>AVERAGE(I132:J132)</f>
        <v/>
      </c>
      <c r="L132" s="67" t="n"/>
      <c r="M132" s="77">
        <f>IF(INDEX(MO_SNA_IsHistoricalPeriod,,MATCH(F132,MO_Common_ColumnHeader,0)),"Actual","Estimate")</f>
        <v/>
      </c>
      <c r="N132" s="2108">
        <f>IFERROR(INDEX(INDIRECT(E132),0,MATCH(F132,MO_Common_ColumnHeader,0)),"N/A")</f>
        <v/>
      </c>
      <c r="O132" s="2072" t="n"/>
      <c r="P132" s="2168">
        <f>IF(ISNUMBER(N132),N132-K132,"N/A")</f>
        <v/>
      </c>
      <c r="Q132" s="2168">
        <f>IFERROR(IF(ISNUMBER(N132),(N132-K132)/ABS(K132),"N/A"),"N/A")</f>
        <v/>
      </c>
      <c r="R132" s="112" t="n"/>
      <c r="S132" s="80" t="n">
        <v>45593</v>
      </c>
      <c r="T132" s="88" t="inlineStr">
        <is>
          <t>CFO Commentary</t>
        </is>
      </c>
      <c r="U132" s="67" t="n"/>
    </row>
    <row r="133" ht="14.4" customFormat="1" customHeight="1" s="1013">
      <c r="A133" s="114" t="n">
        <v>831</v>
      </c>
      <c r="B133" s="77">
        <f>IF(INDEX(MO_SNA_IsHistoricalPeriod,,MATCH(F133,MO_Common_ColumnHeader,0)),"Historical","Forward")</f>
        <v/>
      </c>
      <c r="C133" s="67" t="n"/>
      <c r="D133" s="84">
        <f>INDEX(INDIRECT(E133),0,COLUMN(MO_Common_Column_A))</f>
        <v/>
      </c>
      <c r="E133" s="78" t="inlineStr">
        <is>
          <t>MO_RIS_REV</t>
        </is>
      </c>
      <c r="F133" s="77" t="inlineStr">
        <is>
          <t>FY2024</t>
        </is>
      </c>
      <c r="G133" s="77" t="n"/>
      <c r="H133" s="67" t="n"/>
      <c r="I133" s="2087" t="n">
        <v>4610</v>
      </c>
      <c r="J133" s="2087" t="n">
        <v>4650</v>
      </c>
      <c r="K133" s="2087">
        <f>AVERAGE(I133:J133)</f>
        <v/>
      </c>
      <c r="L133" s="67" t="n"/>
      <c r="M133" s="77">
        <f>IF(INDEX(MO_SNA_IsHistoricalPeriod,,MATCH(F133,MO_Common_ColumnHeader,0)),"Actual","Estimate")</f>
        <v/>
      </c>
      <c r="N133" s="2087">
        <f>IFERROR(INDEX(INDIRECT(E133),0,MATCH(F133,MO_Common_ColumnHeader,0)),"N/A")</f>
        <v/>
      </c>
      <c r="O133" s="2072" t="n"/>
      <c r="P133" s="2169">
        <f>IF(ISNUMBER(N133),N133-K133,"N/A")</f>
        <v/>
      </c>
      <c r="Q133" s="2168">
        <f>IFERROR(IF(ISNUMBER(N133),(N133-K133)/ABS(K133),"N/A"),"N/A")</f>
        <v/>
      </c>
      <c r="R133" s="112" t="n"/>
      <c r="S133" s="80" t="n">
        <v>45593</v>
      </c>
      <c r="T133" s="88" t="inlineStr">
        <is>
          <t>CFO Commentary</t>
        </is>
      </c>
      <c r="U133" s="67" t="n"/>
    </row>
    <row r="134" ht="14.4" customFormat="1" customHeight="1" s="1013">
      <c r="A134" s="114" t="n">
        <v>830</v>
      </c>
      <c r="B134" s="77">
        <f>IF(INDEX(MO_SNA_IsHistoricalPeriod,,MATCH(F134,MO_Common_ColumnHeader,0)),"Historical","Forward")</f>
        <v/>
      </c>
      <c r="C134" s="67" t="n"/>
      <c r="D134" s="84" t="inlineStr">
        <is>
          <t>GAAP Operating Margin</t>
        </is>
      </c>
      <c r="E134" s="78" t="inlineStr">
        <is>
          <t>MO_MA_EBIT</t>
        </is>
      </c>
      <c r="F134" s="77" t="inlineStr">
        <is>
          <t>FY2024</t>
        </is>
      </c>
      <c r="G134" s="77" t="n"/>
      <c r="H134" s="67" t="n"/>
      <c r="I134" s="2108" t="n">
        <v>0.29</v>
      </c>
      <c r="J134" s="2108" t="n">
        <v>0.3</v>
      </c>
      <c r="K134" s="2108">
        <f>AVERAGE(I134:J134)</f>
        <v/>
      </c>
      <c r="L134" s="67" t="n"/>
      <c r="M134" s="77">
        <f>IF(INDEX(MO_SNA_IsHistoricalPeriod,,MATCH(F134,MO_Common_ColumnHeader,0)),"Actual","Estimate")</f>
        <v/>
      </c>
      <c r="N134" s="2108">
        <f>IFERROR(INDEX(INDIRECT(E134),0,MATCH(F134,MO_Common_ColumnHeader,0)),"N/A")</f>
        <v/>
      </c>
      <c r="O134" s="67" t="n"/>
      <c r="P134" s="2168">
        <f>IF(ISNUMBER(N134),N134-K134,"N/A")</f>
        <v/>
      </c>
      <c r="Q134" s="2168">
        <f>IFERROR(IF(ISNUMBER(N134),(N134-K134)/ABS(K134),"N/A"),"N/A")</f>
        <v/>
      </c>
      <c r="R134" s="112" t="n"/>
      <c r="S134" s="80" t="n">
        <v>45593</v>
      </c>
      <c r="T134" s="88" t="inlineStr">
        <is>
          <t>CFO Commentary</t>
        </is>
      </c>
      <c r="U134" s="67" t="n"/>
    </row>
    <row r="135" ht="14.4" customFormat="1" customHeight="1" s="1013">
      <c r="A135" s="114" t="n">
        <v>829</v>
      </c>
      <c r="B135" s="77">
        <f>IF(INDEX(MO_SNA_IsHistoricalPeriod,,MATCH(F135,MO_Common_ColumnHeader,0)),"Historical","Forward")</f>
        <v/>
      </c>
      <c r="C135" s="67" t="n"/>
      <c r="D135" s="84">
        <f>INDEX(INDIRECT(E135),0,COLUMN(MO_Common_Column_A))</f>
        <v/>
      </c>
      <c r="E135" s="78" t="inlineStr">
        <is>
          <t>MO_MA_OperatingIncome_NONGAAP</t>
        </is>
      </c>
      <c r="F135" s="77" t="inlineStr">
        <is>
          <t>FY2024</t>
        </is>
      </c>
      <c r="G135" s="77" t="n"/>
      <c r="H135" s="67" t="n"/>
      <c r="I135" s="2108" t="n">
        <v>0.42</v>
      </c>
      <c r="J135" s="2108" t="n">
        <v>0.43</v>
      </c>
      <c r="K135" s="2108">
        <f>AVERAGE(I135:J135)</f>
        <v/>
      </c>
      <c r="L135" s="67" t="n"/>
      <c r="M135" s="77">
        <f>IF(INDEX(MO_SNA_IsHistoricalPeriod,,MATCH(F135,MO_Common_ColumnHeader,0)),"Actual","Estimate")</f>
        <v/>
      </c>
      <c r="N135" s="2108">
        <f>IFERROR(INDEX(INDIRECT(E135),0,MATCH(F135,MO_Common_ColumnHeader,0)),"N/A")</f>
        <v/>
      </c>
      <c r="O135" s="67" t="n"/>
      <c r="P135" s="2168">
        <f>IF(ISNUMBER(N135),N135-K135,"N/A")</f>
        <v/>
      </c>
      <c r="Q135" s="2168">
        <f>IFERROR(IF(ISNUMBER(N135),(N135-K135)/ABS(K135),"N/A"),"N/A")</f>
        <v/>
      </c>
      <c r="R135" s="112" t="n"/>
      <c r="S135" s="80" t="n">
        <v>45593</v>
      </c>
      <c r="T135" s="88" t="inlineStr">
        <is>
          <t>CFO Commentary</t>
        </is>
      </c>
      <c r="U135" s="67" t="n"/>
    </row>
    <row r="136" ht="14.4" customFormat="1" customHeight="1" s="1013">
      <c r="A136" s="114" t="n">
        <v>828</v>
      </c>
      <c r="B136" s="77">
        <f>IF(INDEX(MO_SNA_IsHistoricalPeriod,,MATCH(F136,MO_Common_ColumnHeader,0)),"Historical","Forward")</f>
        <v/>
      </c>
      <c r="C136" s="67" t="n"/>
      <c r="D136" s="84">
        <f>INDEX(INDIRECT(E136),0,COLUMN(MO_Common_Column_A))</f>
        <v/>
      </c>
      <c r="E136" s="78" t="inlineStr">
        <is>
          <t>MO_RIS_EPS_WAD</t>
        </is>
      </c>
      <c r="F136" s="77" t="inlineStr">
        <is>
          <t>FY2024</t>
        </is>
      </c>
      <c r="G136" s="77" t="n"/>
      <c r="H136" s="67" t="n"/>
      <c r="I136" s="2170" t="n">
        <v>3.7</v>
      </c>
      <c r="J136" s="2170" t="n">
        <v>3.76</v>
      </c>
      <c r="K136" s="2170">
        <f>AVERAGE(I136:J136)</f>
        <v/>
      </c>
      <c r="L136" s="67" t="n"/>
      <c r="M136" s="77">
        <f>IF(INDEX(MO_SNA_IsHistoricalPeriod,,MATCH(F136,MO_Common_ColumnHeader,0)),"Actual","Estimate")</f>
        <v/>
      </c>
      <c r="N136" s="2170">
        <f>IFERROR(INDEX(INDIRECT(E136),0,MATCH(F136,MO_Common_ColumnHeader,0)),"N/A")</f>
        <v/>
      </c>
      <c r="O136" s="67" t="n"/>
      <c r="P136" s="2171">
        <f>IF(ISNUMBER(N136),N136-K136,"N/A")</f>
        <v/>
      </c>
      <c r="Q136" s="2168">
        <f>IFERROR(IF(ISNUMBER(N136),(N136-K136)/ABS(K136),"N/A"),"N/A")</f>
        <v/>
      </c>
      <c r="R136" s="112" t="n"/>
      <c r="S136" s="80" t="n">
        <v>45593</v>
      </c>
      <c r="T136" s="88" t="inlineStr">
        <is>
          <t>CFO Commentary</t>
        </is>
      </c>
      <c r="U136" s="67" t="n"/>
    </row>
    <row r="137" ht="14.4" customFormat="1" customHeight="1" s="1013">
      <c r="A137" s="114" t="n">
        <v>827</v>
      </c>
      <c r="B137" s="77">
        <f>IF(INDEX(MO_SNA_IsHistoricalPeriod,,MATCH(F137,MO_Common_ColumnHeader,0)),"Historical","Forward")</f>
        <v/>
      </c>
      <c r="C137" s="67" t="n"/>
      <c r="D137" s="84">
        <f>INDEX(INDIRECT(E137),0,COLUMN(MO_Common_Column_A))</f>
        <v/>
      </c>
      <c r="E137" s="78" t="inlineStr">
        <is>
          <t>MO_RIS_EPS_WAD_Adj</t>
        </is>
      </c>
      <c r="F137" s="77" t="inlineStr">
        <is>
          <t>FY2024</t>
        </is>
      </c>
      <c r="G137" s="77" t="n"/>
      <c r="H137" s="67" t="n"/>
      <c r="I137" s="2170" t="n">
        <v>5.87</v>
      </c>
      <c r="J137" s="2170" t="n">
        <v>5.93</v>
      </c>
      <c r="K137" s="2170">
        <f>AVERAGE(I137:J137)</f>
        <v/>
      </c>
      <c r="L137" s="67" t="n"/>
      <c r="M137" s="77">
        <f>IF(INDEX(MO_SNA_IsHistoricalPeriod,,MATCH(F137,MO_Common_ColumnHeader,0)),"Actual","Estimate")</f>
        <v/>
      </c>
      <c r="N137" s="2170">
        <f>IFERROR(INDEX(INDIRECT(E137),0,MATCH(F137,MO_Common_ColumnHeader,0)),"N/A")</f>
        <v/>
      </c>
      <c r="O137" s="67" t="n"/>
      <c r="P137" s="2171">
        <f>IF(ISNUMBER(N137),N137-K137,"N/A")</f>
        <v/>
      </c>
      <c r="Q137" s="2168">
        <f>IFERROR(IF(ISNUMBER(N137),(N137-K137)/ABS(K137),"N/A"),"N/A")</f>
        <v/>
      </c>
      <c r="R137" s="112" t="n"/>
      <c r="S137" s="80" t="n">
        <v>45593</v>
      </c>
      <c r="T137" s="88" t="inlineStr">
        <is>
          <t>CFO Commentary</t>
        </is>
      </c>
      <c r="U137" s="67" t="n"/>
    </row>
    <row r="138" ht="14.4" customFormat="1" customHeight="1" s="1013">
      <c r="A138" s="114" t="n">
        <v>826</v>
      </c>
      <c r="B138" s="77">
        <f>IF(INDEX(MO_SNA_IsHistoricalPeriod,,MATCH(F138,MO_Common_ColumnHeader,0)),"Historical","Forward")</f>
        <v/>
      </c>
      <c r="C138" s="67" t="n"/>
      <c r="D138" s="84">
        <f>INDEX(INDIRECT(E138),0,COLUMN(MO_Common_Column_A))</f>
        <v/>
      </c>
      <c r="E138" s="78" t="inlineStr">
        <is>
          <t>MO_CFS_CFO</t>
        </is>
      </c>
      <c r="F138" s="77" t="inlineStr">
        <is>
          <t>FY2024</t>
        </is>
      </c>
      <c r="G138" s="77" t="n"/>
      <c r="H138" s="67" t="n"/>
      <c r="I138" s="2087" t="n">
        <v>1000</v>
      </c>
      <c r="J138" s="2087" t="n">
        <v>1200</v>
      </c>
      <c r="K138" s="2087">
        <f>AVERAGE(I138:J138)</f>
        <v/>
      </c>
      <c r="L138" s="67" t="n"/>
      <c r="M138" s="77">
        <f>IF(INDEX(MO_SNA_IsHistoricalPeriod,,MATCH(F138,MO_Common_ColumnHeader,0)),"Actual","Estimate")</f>
        <v/>
      </c>
      <c r="N138" s="2087">
        <f>IFERROR(INDEX(INDIRECT(E138),0,MATCH(F138,MO_Common_ColumnHeader,0)),"N/A")</f>
        <v/>
      </c>
      <c r="O138" s="67" t="n"/>
      <c r="P138" s="2169">
        <f>IF(ISNUMBER(N138),N138-K138,"N/A")</f>
        <v/>
      </c>
      <c r="Q138" s="2168">
        <f>IFERROR(IF(ISNUMBER(N138),(N138-K138)/ABS(K138),"N/A"),"N/A")</f>
        <v/>
      </c>
      <c r="R138" s="112" t="n"/>
      <c r="S138" s="80" t="n">
        <v>45593</v>
      </c>
      <c r="T138" s="88" t="inlineStr">
        <is>
          <t>CFO Commentary</t>
        </is>
      </c>
      <c r="U138" s="67" t="n"/>
    </row>
    <row r="139" ht="14.4" customFormat="1" customHeight="1" s="1013">
      <c r="A139" s="114" t="n">
        <v>825</v>
      </c>
      <c r="B139" s="77">
        <f>IF(INDEX(MO_SNA_IsHistoricalPeriod,,MATCH(F139,MO_Common_ColumnHeader,0)),"Historical","Forward")</f>
        <v/>
      </c>
      <c r="C139" s="67" t="n"/>
      <c r="D139" s="84" t="inlineStr">
        <is>
          <t>GAAP Other Income &amp; Expense</t>
        </is>
      </c>
      <c r="E139" s="78" t="n"/>
      <c r="F139" s="77" t="inlineStr">
        <is>
          <t>FY2024</t>
        </is>
      </c>
      <c r="G139" s="77" t="n"/>
      <c r="H139" s="67" t="n"/>
      <c r="I139" s="2087" t="n">
        <v>40</v>
      </c>
      <c r="J139" s="2087" t="n">
        <v>50</v>
      </c>
      <c r="K139" s="2087">
        <f>AVERAGE(I139:J139)</f>
        <v/>
      </c>
      <c r="L139" s="67" t="n"/>
      <c r="M139" s="77">
        <f>IF(INDEX(MO_SNA_IsHistoricalPeriod,,MATCH(F139,MO_Common_ColumnHeader,0)),"Actual","Estimate")</f>
        <v/>
      </c>
      <c r="N139" s="2087">
        <f>-IFERROR(INDEX(MO_RIS_IE_Net,0,MATCH(F139,MO_Common_ColumnHeader,0)),"N/A")-IFERROR(INDEX(MO_RIS_OI,0,MATCH(F139,MO_Common_ColumnHeader,0)),"N/A")</f>
        <v/>
      </c>
      <c r="O139" s="67" t="n"/>
      <c r="P139" s="2169">
        <f>IF(ISNUMBER(N139),N139-K139,"N/A")</f>
        <v/>
      </c>
      <c r="Q139" s="2168">
        <f>IFERROR(IF(ISNUMBER(N139),(N139-K139)/ABS(K139),"N/A"),"N/A")</f>
        <v/>
      </c>
      <c r="R139" s="112" t="n"/>
      <c r="S139" s="80" t="n">
        <v>45593</v>
      </c>
      <c r="T139" s="88" t="inlineStr">
        <is>
          <t>CFO Commentary</t>
        </is>
      </c>
      <c r="U139" s="67" t="n"/>
    </row>
    <row r="140" ht="14.4" customFormat="1" customHeight="1" s="1013">
      <c r="A140" s="114" t="n">
        <v>824</v>
      </c>
      <c r="B140" s="77">
        <f>IF(INDEX(MO_SNA_IsHistoricalPeriod,,MATCH(F140,MO_Common_ColumnHeader,0)),"Historical","Forward")</f>
        <v/>
      </c>
      <c r="C140" s="67" t="n"/>
      <c r="D140" s="84" t="inlineStr">
        <is>
          <t>Non-GAAP Other Income &amp; Expense</t>
        </is>
      </c>
      <c r="E140" s="78" t="n"/>
      <c r="F140" s="77" t="inlineStr">
        <is>
          <t>FY2024</t>
        </is>
      </c>
      <c r="G140" s="77" t="n"/>
      <c r="H140" s="67" t="n"/>
      <c r="I140" s="2087" t="n">
        <v>25</v>
      </c>
      <c r="J140" s="2087" t="n">
        <v>35</v>
      </c>
      <c r="K140" s="2087">
        <f>AVERAGE(I140:J140)</f>
        <v/>
      </c>
      <c r="L140" s="67" t="n"/>
      <c r="M140" s="77">
        <f>IF(INDEX(MO_SNA_IsHistoricalPeriod,,MATCH(F140,MO_Common_ColumnHeader,0)),"Actual","Estimate")</f>
        <v/>
      </c>
      <c r="N140" s="2087">
        <f>-IFERROR(INDEX(MO_RIS_IE_Net_NONGAAP,0,MATCH(F140,MO_Common_ColumnHeader,0)),"N/A")-IFERROR(INDEX(MO_RIS_OI_NONGAAP,0,MATCH(F140,MO_Common_ColumnHeader,0)),"N/A")</f>
        <v/>
      </c>
      <c r="O140" s="67" t="n"/>
      <c r="P140" s="2169">
        <f>IF(ISNUMBER(N140),N140-K140,"N/A")</f>
        <v/>
      </c>
      <c r="Q140" s="2168">
        <f>IFERROR(IF(ISNUMBER(N140),(N140-K140)/ABS(K140),"N/A"),"N/A")</f>
        <v/>
      </c>
      <c r="R140" s="112" t="n"/>
      <c r="S140" s="80" t="n">
        <v>45593</v>
      </c>
      <c r="T140" s="88" t="inlineStr">
        <is>
          <t>CFO Commentary</t>
        </is>
      </c>
      <c r="U140" s="67" t="n"/>
    </row>
    <row r="141" ht="14.4" customFormat="1" customHeight="1" s="1013">
      <c r="A141" s="114" t="n">
        <v>823</v>
      </c>
      <c r="B141" s="77">
        <f>IF(INDEX(MO_SNA_IsHistoricalPeriod,,MATCH(F141,MO_Common_ColumnHeader,0)),"Historical","Forward")</f>
        <v/>
      </c>
      <c r="C141" s="67" t="n"/>
      <c r="D141" s="84" t="inlineStr">
        <is>
          <t>GAAP Tax Rate</t>
        </is>
      </c>
      <c r="E141" s="78" t="inlineStr">
        <is>
          <t>MO_RIS_TaxRate</t>
        </is>
      </c>
      <c r="F141" s="77" t="inlineStr">
        <is>
          <t>FY2024</t>
        </is>
      </c>
      <c r="G141" s="77" t="n"/>
      <c r="H141" s="67" t="n"/>
      <c r="I141" s="2108" t="n">
        <v>0.27</v>
      </c>
      <c r="J141" s="2108" t="n">
        <v>0.27</v>
      </c>
      <c r="K141" s="2108">
        <f>AVERAGE(I141:J141)</f>
        <v/>
      </c>
      <c r="L141" s="67" t="n"/>
      <c r="M141" s="77">
        <f>IF(INDEX(MO_SNA_IsHistoricalPeriod,,MATCH(F141,MO_Common_ColumnHeader,0)),"Actual","Estimate")</f>
        <v/>
      </c>
      <c r="N141" s="2108">
        <f>IFERROR(INDEX(INDIRECT(E141),0,MATCH(F141,MO_Common_ColumnHeader,0)),"N/A")</f>
        <v/>
      </c>
      <c r="O141" s="67" t="n"/>
      <c r="P141" s="2168">
        <f>IF(ISNUMBER(N141),N141-K141,"N/A")</f>
        <v/>
      </c>
      <c r="Q141" s="2168">
        <f>IFERROR(IF(ISNUMBER(N141),(N141-K141)/ABS(K141),"N/A"),"N/A")</f>
        <v/>
      </c>
      <c r="R141" s="112" t="n"/>
      <c r="S141" s="80" t="n">
        <v>45593</v>
      </c>
      <c r="T141" s="88" t="inlineStr">
        <is>
          <t>CFO Commentary</t>
        </is>
      </c>
      <c r="U141" s="67" t="n"/>
    </row>
    <row r="142" ht="14.4" customFormat="1" customHeight="1" s="1013">
      <c r="A142" s="114" t="n">
        <v>822</v>
      </c>
      <c r="B142" s="77">
        <f>IF(INDEX(MO_SNA_IsHistoricalPeriod,,MATCH(F142,MO_Common_ColumnHeader,0)),"Historical","Forward")</f>
        <v/>
      </c>
      <c r="C142" s="67" t="n"/>
      <c r="D142" s="84">
        <f>INDEX(INDIRECT(E142),0,COLUMN(MO_Common_Column_A))</f>
        <v/>
      </c>
      <c r="E142" s="78" t="inlineStr">
        <is>
          <t>MO_RIS_TaxRate_NONGAAP</t>
        </is>
      </c>
      <c r="F142" s="77" t="inlineStr">
        <is>
          <t>FY2024</t>
        </is>
      </c>
      <c r="G142" s="77" t="n"/>
      <c r="H142" s="67" t="n"/>
      <c r="I142" s="2108" t="n">
        <v>0.165</v>
      </c>
      <c r="J142" s="2108" t="n">
        <v>0.165</v>
      </c>
      <c r="K142" s="2108">
        <f>AVERAGE(I142:J142)</f>
        <v/>
      </c>
      <c r="L142" s="67" t="n"/>
      <c r="M142" s="77">
        <f>IF(INDEX(MO_SNA_IsHistoricalPeriod,,MATCH(F142,MO_Common_ColumnHeader,0)),"Actual","Estimate")</f>
        <v/>
      </c>
      <c r="N142" s="2108">
        <f>IFERROR(INDEX(INDIRECT(E142),0,MATCH(F142,MO_Common_ColumnHeader,0)),"N/A")</f>
        <v/>
      </c>
      <c r="O142" s="67" t="n"/>
      <c r="P142" s="2168">
        <f>IF(ISNUMBER(N142),N142-K142,"N/A")</f>
        <v/>
      </c>
      <c r="Q142" s="2168">
        <f>IFERROR(IF(ISNUMBER(N142),(N142-K142)/ABS(K142),"N/A"),"N/A")</f>
        <v/>
      </c>
      <c r="R142" s="112" t="n"/>
      <c r="S142" s="80" t="n">
        <v>45593</v>
      </c>
      <c r="T142" s="88" t="inlineStr">
        <is>
          <t>CFO Commentary</t>
        </is>
      </c>
      <c r="U142" s="67" t="n"/>
    </row>
    <row r="143" ht="14.4" customFormat="1" customHeight="1" s="1013">
      <c r="A143" s="114" t="n">
        <v>821</v>
      </c>
      <c r="B143" s="77">
        <f>IF(INDEX(MO_SNA_IsHistoricalPeriod,,MATCH(F143,MO_Common_ColumnHeader,0)),"Historical","Forward")</f>
        <v/>
      </c>
      <c r="C143" s="67" t="n"/>
      <c r="D143" s="84">
        <f>INDEX(INDIRECT(E143),0,COLUMN(MO_Common_Column_A))</f>
        <v/>
      </c>
      <c r="E143" s="78" t="inlineStr">
        <is>
          <t>MO_RIS_ShareCount_WAD</t>
        </is>
      </c>
      <c r="F143" s="77" t="inlineStr">
        <is>
          <t>FY2024</t>
        </is>
      </c>
      <c r="G143" s="77" t="n"/>
      <c r="H143" s="67" t="n"/>
      <c r="I143" s="2087" t="n">
        <v>273</v>
      </c>
      <c r="J143" s="2087" t="n">
        <v>275</v>
      </c>
      <c r="K143" s="2087">
        <f>AVERAGE(I143:J143)</f>
        <v/>
      </c>
      <c r="L143" s="67" t="n"/>
      <c r="M143" s="77">
        <f>IF(INDEX(MO_SNA_IsHistoricalPeriod,,MATCH(F143,MO_Common_ColumnHeader,0)),"Actual","Estimate")</f>
        <v/>
      </c>
      <c r="N143" s="2087">
        <f>IFERROR(INDEX(INDIRECT(E143),0,MATCH(F143,MO_Common_ColumnHeader,0)),"N/A")</f>
        <v/>
      </c>
      <c r="O143" s="67" t="n"/>
      <c r="P143" s="2169">
        <f>IF(ISNUMBER(N143),N143-K143,"N/A")</f>
        <v/>
      </c>
      <c r="Q143" s="2168">
        <f>IFERROR(IF(ISNUMBER(N143),(N143-K143)/ABS(K143),"N/A"),"N/A")</f>
        <v/>
      </c>
      <c r="R143" s="112" t="n"/>
      <c r="S143" s="80" t="n">
        <v>45593</v>
      </c>
      <c r="T143" s="88" t="inlineStr">
        <is>
          <t>CFO Commentary</t>
        </is>
      </c>
      <c r="U143" s="67" t="n"/>
    </row>
    <row r="144" ht="14.4" customFormat="1" customHeight="1" s="1013">
      <c r="A144" s="114" t="n">
        <v>820</v>
      </c>
      <c r="B144" s="77">
        <f>IF(INDEX(MO_SNA_IsHistoricalPeriod,,MATCH(F144,MO_Common_ColumnHeader,0)),"Historical","Forward")</f>
        <v/>
      </c>
      <c r="C144" s="67" t="n"/>
      <c r="D144" s="84" t="inlineStr">
        <is>
          <t>DSO</t>
        </is>
      </c>
      <c r="E144" s="78" t="n"/>
      <c r="F144" s="77" t="inlineStr">
        <is>
          <t>FY2024</t>
        </is>
      </c>
      <c r="G144" s="77" t="n"/>
      <c r="H144" s="67" t="n"/>
      <c r="I144" s="2087" t="n">
        <v>45</v>
      </c>
      <c r="J144" s="2087" t="n">
        <v>45</v>
      </c>
      <c r="K144" s="2087">
        <f>AVERAGE(I144:J144)</f>
        <v/>
      </c>
      <c r="L144" s="67" t="n"/>
      <c r="M144" s="77">
        <f>IF(INDEX(MO_SNA_IsHistoricalPeriod,,MATCH(F144,MO_Common_ColumnHeader,0)),"Actual","Estimate")</f>
        <v/>
      </c>
      <c r="N144" s="2087">
        <f>IFERROR(INDEX(INDIRECT(E144),0,MATCH(F144,MO_Common_ColumnHeader,0)),"N/A")</f>
        <v/>
      </c>
      <c r="O144" s="67" t="n"/>
      <c r="P144" s="2169">
        <f>IF(ISNUMBER(N144),N144-K144,"N/A")</f>
        <v/>
      </c>
      <c r="Q144" s="2168">
        <f>IFERROR(IF(ISNUMBER(N144),(N144-K144)/ABS(K144),"N/A"),"N/A")</f>
        <v/>
      </c>
      <c r="R144" s="112" t="n"/>
      <c r="S144" s="80" t="n">
        <v>45593</v>
      </c>
      <c r="T144" s="88" t="inlineStr">
        <is>
          <t>CFO Commentary</t>
        </is>
      </c>
      <c r="U144" s="67" t="n"/>
    </row>
    <row r="145" ht="14.4" customFormat="1" customHeight="1" s="1013">
      <c r="A145" s="114" t="n">
        <v>819</v>
      </c>
      <c r="B145" s="77">
        <f>IF(INDEX(MO_SNA_IsHistoricalPeriod,,MATCH(F145,MO_Common_ColumnHeader,0)),"Historical","Forward")</f>
        <v/>
      </c>
      <c r="C145" s="67" t="n"/>
      <c r="D145" s="84">
        <f>INDEX(INDIRECT(E145),0,COLUMN(MO_Common_Column_A))</f>
        <v/>
      </c>
      <c r="E145" s="78" t="inlineStr">
        <is>
          <t>MO_CFSum_Capex</t>
        </is>
      </c>
      <c r="F145" s="77" t="inlineStr">
        <is>
          <t>FY2024</t>
        </is>
      </c>
      <c r="G145" s="77" t="n"/>
      <c r="H145" s="67" t="n"/>
      <c r="I145" s="2087" t="n">
        <v>-130</v>
      </c>
      <c r="J145" s="2087" t="n">
        <v>-130</v>
      </c>
      <c r="K145" s="2087">
        <f>AVERAGE(I145:J145)</f>
        <v/>
      </c>
      <c r="L145" s="67" t="n"/>
      <c r="M145" s="77">
        <f>IF(INDEX(MO_SNA_IsHistoricalPeriod,,MATCH(F145,MO_Common_ColumnHeader,0)),"Actual","Estimate")</f>
        <v/>
      </c>
      <c r="N145" s="2087">
        <f>IFERROR(INDEX(INDIRECT(E145),0,MATCH(F145,MO_Common_ColumnHeader,0)),"N/A")</f>
        <v/>
      </c>
      <c r="O145" s="67" t="n"/>
      <c r="P145" s="2169">
        <f>IF(ISNUMBER(N145),N145-K145,"N/A")</f>
        <v/>
      </c>
      <c r="Q145" s="2168">
        <f>IFERROR(IF(ISNUMBER(N145),(N145-K145)/ABS(K145),"N/A"),"N/A")</f>
        <v/>
      </c>
      <c r="R145" s="112" t="n"/>
      <c r="S145" s="80" t="n">
        <v>45593</v>
      </c>
      <c r="T145" s="88" t="inlineStr">
        <is>
          <t>CFO Commentary</t>
        </is>
      </c>
      <c r="U145" s="67" t="n"/>
    </row>
    <row r="146" ht="14.4" customFormat="1" customHeight="1" s="1013">
      <c r="A146" s="114" t="n">
        <v>818</v>
      </c>
      <c r="B146" s="77">
        <f>IF(INDEX(MO_SNA_IsHistoricalPeriod,,MATCH(F146,MO_Common_ColumnHeader,0)),"Historical","Forward")</f>
        <v/>
      </c>
      <c r="C146" s="67" t="n"/>
      <c r="D146" s="84">
        <f>INDEX(INDIRECT(E146),0,COLUMN(MO_Common_Column_A))</f>
        <v/>
      </c>
      <c r="E146" s="78" t="inlineStr">
        <is>
          <t>MO_RIS_SBC</t>
        </is>
      </c>
      <c r="F146" s="77" t="inlineStr">
        <is>
          <t>FY2024</t>
        </is>
      </c>
      <c r="G146" s="77" t="n"/>
      <c r="H146" s="67" t="n"/>
      <c r="I146" s="2087" t="n">
        <v>393</v>
      </c>
      <c r="J146" s="2087" t="n">
        <v>393</v>
      </c>
      <c r="K146" s="2087">
        <f>AVERAGE(I146:J146)</f>
        <v/>
      </c>
      <c r="L146" s="67" t="n"/>
      <c r="M146" s="77">
        <f>IF(INDEX(MO_SNA_IsHistoricalPeriod,,MATCH(F146,MO_Common_ColumnHeader,0)),"Actual","Estimate")</f>
        <v/>
      </c>
      <c r="N146" s="2087">
        <f>IFERROR(INDEX(INDIRECT(E146),0,MATCH(F146,MO_Common_ColumnHeader,0)),"N/A")</f>
        <v/>
      </c>
      <c r="O146" s="67" t="n"/>
      <c r="P146" s="2169">
        <f>IF(ISNUMBER(N146),N146-K146,"N/A")</f>
        <v/>
      </c>
      <c r="Q146" s="2168">
        <f>IFERROR(IF(ISNUMBER(N146),(N146-K146)/ABS(K146),"N/A"),"N/A")</f>
        <v/>
      </c>
      <c r="R146" s="112" t="n"/>
      <c r="S146" s="80" t="n">
        <v>45593</v>
      </c>
      <c r="T146" s="88" t="inlineStr">
        <is>
          <t>CFO Commentary</t>
        </is>
      </c>
      <c r="U146" s="67" t="n"/>
    </row>
    <row r="147" ht="14.4" customFormat="1" customHeight="1" s="1013">
      <c r="A147" s="114" t="n">
        <v>817</v>
      </c>
      <c r="B147" s="77">
        <f>IF(INDEX(MO_SNA_IsHistoricalPeriod,,MATCH(F147,MO_Common_ColumnHeader,0)),"Historical","Forward")</f>
        <v/>
      </c>
      <c r="C147" s="67" t="n"/>
      <c r="D147" s="84">
        <f>INDEX(INDIRECT(E147),0,COLUMN(MO_Common_Column_A))</f>
        <v/>
      </c>
      <c r="E147" s="78" t="inlineStr">
        <is>
          <t>MO_RIS_Daintangibles</t>
        </is>
      </c>
      <c r="F147" s="77" t="inlineStr">
        <is>
          <t>FY2024</t>
        </is>
      </c>
      <c r="G147" s="77" t="n"/>
      <c r="H147" s="67" t="n"/>
      <c r="I147" s="2087" t="n">
        <v>91</v>
      </c>
      <c r="J147" s="2087" t="n">
        <v>91</v>
      </c>
      <c r="K147" s="2087">
        <f>AVERAGE(I147:J147)</f>
        <v/>
      </c>
      <c r="L147" s="67" t="n"/>
      <c r="M147" s="77">
        <f>IF(INDEX(MO_SNA_IsHistoricalPeriod,,MATCH(F147,MO_Common_ColumnHeader,0)),"Actual","Estimate")</f>
        <v/>
      </c>
      <c r="N147" s="2087">
        <f>IFERROR(INDEX(INDIRECT(E147),0,MATCH(F147,MO_Common_ColumnHeader,0)),"N/A")</f>
        <v/>
      </c>
      <c r="O147" s="67" t="n"/>
      <c r="P147" s="2169">
        <f>IF(ISNUMBER(N147),N147-K147,"N/A")</f>
        <v/>
      </c>
      <c r="Q147" s="2168">
        <f>IFERROR(IF(ISNUMBER(N147),(N147-K147)/ABS(K147),"N/A"),"N/A")</f>
        <v/>
      </c>
      <c r="R147" s="112" t="n"/>
      <c r="S147" s="80" t="n">
        <v>45593</v>
      </c>
      <c r="T147" s="88" t="inlineStr">
        <is>
          <t>CFO Commentary</t>
        </is>
      </c>
      <c r="U147" s="67" t="n"/>
    </row>
    <row r="148" ht="14.4" customFormat="1" customHeight="1" s="1013">
      <c r="A148" s="114" t="n">
        <v>816</v>
      </c>
      <c r="B148" s="77">
        <f>IF(INDEX(MO_SNA_IsHistoricalPeriod,,MATCH(F148,MO_Common_ColumnHeader,0)),"Historical","Forward")</f>
        <v/>
      </c>
      <c r="C148" s="67" t="n"/>
      <c r="D148" s="84" t="inlineStr">
        <is>
          <t>Acquisition and integration-related costs</t>
        </is>
      </c>
      <c r="E148" s="78" t="n"/>
      <c r="F148" s="77" t="inlineStr">
        <is>
          <t>FY2024</t>
        </is>
      </c>
      <c r="G148" s="77" t="n"/>
      <c r="H148" s="67" t="n"/>
      <c r="I148" s="2087" t="n">
        <v>96</v>
      </c>
      <c r="J148" s="2087" t="n">
        <v>96</v>
      </c>
      <c r="K148" s="2087">
        <f>AVERAGE(I148:J148)</f>
        <v/>
      </c>
      <c r="L148" s="67" t="n"/>
      <c r="M148" s="77">
        <f>IF(INDEX(MO_SNA_IsHistoricalPeriod,,MATCH(F148,MO_Common_ColumnHeader,0)),"Actual","Estimate")</f>
        <v/>
      </c>
      <c r="N148" s="2087">
        <f>IFERROR(INDEX(INDIRECT(E148),0,MATCH(F148,MO_Common_ColumnHeader,0)),"N/A")</f>
        <v/>
      </c>
      <c r="O148" s="67" t="n"/>
      <c r="P148" s="2169">
        <f>IF(ISNUMBER(N148),N148-K148,"N/A")</f>
        <v/>
      </c>
      <c r="Q148" s="2168">
        <f>IFERROR(IF(ISNUMBER(N148),(N148-K148)/ABS(K148),"N/A"),"N/A")</f>
        <v/>
      </c>
      <c r="R148" s="112" t="n"/>
      <c r="S148" s="80" t="n">
        <v>45593</v>
      </c>
      <c r="T148" s="88" t="inlineStr">
        <is>
          <t>CFO Commentary</t>
        </is>
      </c>
      <c r="U148" s="67" t="n"/>
    </row>
    <row r="149" ht="14.4" customFormat="1" customHeight="1" s="1013">
      <c r="A149" s="114" t="n">
        <v>815</v>
      </c>
      <c r="B149" s="77">
        <f>IF(INDEX(MO_SNA_IsHistoricalPeriod,,MATCH(F149,MO_Common_ColumnHeader,0)),"Historical","Forward")</f>
        <v/>
      </c>
      <c r="C149" s="67" t="n"/>
      <c r="D149" s="84" t="inlineStr">
        <is>
          <t>Restructuring and other credits</t>
        </is>
      </c>
      <c r="E149" s="78" t="n"/>
      <c r="F149" s="77" t="inlineStr">
        <is>
          <t>FY2024</t>
        </is>
      </c>
      <c r="G149" s="77" t="n"/>
      <c r="H149" s="67" t="n"/>
      <c r="I149" s="2087" t="n">
        <v>25</v>
      </c>
      <c r="J149" s="2087" t="n">
        <v>25</v>
      </c>
      <c r="K149" s="2087">
        <f>AVERAGE(I149:J149)</f>
        <v/>
      </c>
      <c r="L149" s="67" t="n"/>
      <c r="M149" s="77">
        <f>IF(INDEX(MO_SNA_IsHistoricalPeriod,,MATCH(F149,MO_Common_ColumnHeader,0)),"Actual","Estimate")</f>
        <v/>
      </c>
      <c r="N149" s="2087">
        <f>IFERROR(INDEX(INDIRECT(E149),0,MATCH(F149,MO_Common_ColumnHeader,0)),"N/A")</f>
        <v/>
      </c>
      <c r="O149" s="67" t="n"/>
      <c r="P149" s="2169">
        <f>IF(ISNUMBER(N149),N149-K149,"N/A")</f>
        <v/>
      </c>
      <c r="Q149" s="2168">
        <f>IFERROR(IF(ISNUMBER(N149),(N149-K149)/ABS(K149),"N/A"),"N/A")</f>
        <v/>
      </c>
      <c r="R149" s="112" t="n"/>
      <c r="S149" s="80" t="n">
        <v>45593</v>
      </c>
      <c r="T149" s="88" t="inlineStr">
        <is>
          <t>CFO Commentary</t>
        </is>
      </c>
      <c r="U149" s="67" t="n"/>
    </row>
    <row r="150" ht="14.4" customFormat="1" customHeight="1" s="1013">
      <c r="A150" s="114" t="n">
        <v>814</v>
      </c>
      <c r="B150" s="77">
        <f>IF(INDEX(MO_SNA_IsHistoricalPeriod,,MATCH(F150,MO_Common_ColumnHeader,0)),"Historical","Forward")</f>
        <v/>
      </c>
      <c r="C150" s="67" t="n"/>
      <c r="D150" s="84" t="inlineStr">
        <is>
          <t>Non-Qualified deferred compensation expenses</t>
        </is>
      </c>
      <c r="E150" s="78" t="n"/>
      <c r="F150" s="77" t="inlineStr">
        <is>
          <t>FY2024</t>
        </is>
      </c>
      <c r="G150" s="77" t="n"/>
      <c r="H150" s="67" t="n"/>
      <c r="I150" s="2087" t="n">
        <v>11</v>
      </c>
      <c r="J150" s="2087" t="n">
        <v>11</v>
      </c>
      <c r="K150" s="2087">
        <f>AVERAGE(I150:J150)</f>
        <v/>
      </c>
      <c r="L150" s="67" t="n"/>
      <c r="M150" s="77">
        <f>IF(INDEX(MO_SNA_IsHistoricalPeriod,,MATCH(F150,MO_Common_ColumnHeader,0)),"Actual","Estimate")</f>
        <v/>
      </c>
      <c r="N150" s="2087">
        <f>IFERROR(INDEX(INDIRECT(E150),0,MATCH(F150,MO_Common_ColumnHeader,0)),"N/A")</f>
        <v/>
      </c>
      <c r="O150" s="67" t="n"/>
      <c r="P150" s="2169">
        <f>IF(ISNUMBER(N150),N150-K150,"N/A")</f>
        <v/>
      </c>
      <c r="Q150" s="2168">
        <f>IFERROR(IF(ISNUMBER(N150),(N150-K150)/ABS(K150),"N/A"),"N/A")</f>
        <v/>
      </c>
      <c r="R150" s="112" t="n"/>
      <c r="S150" s="80" t="n">
        <v>45593</v>
      </c>
      <c r="T150" s="88" t="inlineStr">
        <is>
          <t>CFO Commentary</t>
        </is>
      </c>
      <c r="U150" s="67" t="n"/>
    </row>
    <row r="151" ht="14.4" customFormat="1" customHeight="1" s="1013">
      <c r="A151" s="114" t="n">
        <v>813</v>
      </c>
      <c r="B151" s="77">
        <f>IF(INDEX(MO_SNA_IsHistoricalPeriod,,MATCH(F151,MO_Common_ColumnHeader,0)),"Historical","Forward")</f>
        <v/>
      </c>
      <c r="C151" s="67" t="n"/>
      <c r="D151" s="84" t="inlineStr">
        <is>
          <t>Special charges</t>
        </is>
      </c>
      <c r="E151" s="78" t="n"/>
      <c r="F151" s="77" t="inlineStr">
        <is>
          <t>FY2024</t>
        </is>
      </c>
      <c r="G151" s="77" t="n"/>
      <c r="H151" s="67" t="n"/>
      <c r="I151" s="2087" t="n">
        <v>1</v>
      </c>
      <c r="J151" s="2087" t="n">
        <v>1</v>
      </c>
      <c r="K151" s="2087">
        <f>AVERAGE(I151:J151)</f>
        <v/>
      </c>
      <c r="L151" s="67" t="n"/>
      <c r="M151" s="77">
        <f>IF(INDEX(MO_SNA_IsHistoricalPeriod,,MATCH(F151,MO_Common_ColumnHeader,0)),"Actual","Estimate")</f>
        <v/>
      </c>
      <c r="N151" s="2087">
        <f>IFERROR(INDEX(INDIRECT(E151),0,MATCH(F151,MO_Common_ColumnHeader,0)),"N/A")</f>
        <v/>
      </c>
      <c r="O151" s="67" t="n"/>
      <c r="P151" s="2169">
        <f>IF(ISNUMBER(N151),N151-K151,"N/A")</f>
        <v/>
      </c>
      <c r="Q151" s="2168">
        <f>IFERROR(IF(ISNUMBER(N151),(N151-K151)/ABS(K151),"N/A"),"N/A")</f>
        <v/>
      </c>
      <c r="R151" s="112" t="n"/>
      <c r="S151" s="80" t="n">
        <v>45593</v>
      </c>
      <c r="T151" s="88" t="inlineStr">
        <is>
          <t>CFO Commentary</t>
        </is>
      </c>
      <c r="U151" s="67" t="n"/>
    </row>
    <row r="152" ht="14.4" customFormat="1" customHeight="1" s="1013">
      <c r="A152" s="114" t="n">
        <v>812</v>
      </c>
      <c r="B152" s="77">
        <f>IF(INDEX(MO_SNA_IsHistoricalPeriod,,MATCH(F152,MO_Common_ColumnHeader,0)),"Historical","Forward")</f>
        <v/>
      </c>
      <c r="C152" s="67" t="n"/>
      <c r="D152" s="84" t="inlineStr">
        <is>
          <t>GAAP Operating Expenses</t>
        </is>
      </c>
      <c r="E152" s="78" t="n"/>
      <c r="F152" s="77" t="inlineStr">
        <is>
          <t>FY2024</t>
        </is>
      </c>
      <c r="G152" s="77" t="n"/>
      <c r="H152" s="67" t="n"/>
      <c r="I152" s="2087" t="n">
        <v>3279</v>
      </c>
      <c r="J152" s="2087" t="n">
        <v>3279</v>
      </c>
      <c r="K152" s="2087">
        <f>AVERAGE(I152:J152)</f>
        <v/>
      </c>
      <c r="L152" s="67" t="n"/>
      <c r="M152" s="77">
        <f>IF(INDEX(MO_SNA_IsHistoricalPeriod,,MATCH(F152,MO_Common_ColumnHeader,0)),"Actual","Estimate")</f>
        <v/>
      </c>
      <c r="N152" s="2087">
        <f>IFERROR(INDEX(MO_RIS_COGS,0,MATCH(Guidance!F152,MO_Common_ColumnHeader,0))+INDEX(MO_RIS_RD,0,MATCH(Guidance!F152,MO_Common_ColumnHeader,0))+INDEX(MO_RIS_GA,0,MATCH(Guidance!F152,MO_Common_ColumnHeader,0))+INDEX(MO_RIS_SM,0,MATCH(Guidance!F152,MO_Common_ColumnHeader,0)),"N/A")</f>
        <v/>
      </c>
      <c r="O152" s="2072" t="n"/>
      <c r="P152" s="2169">
        <f>IF(ISNUMBER(N152),N152-K152,"N/A")</f>
        <v/>
      </c>
      <c r="Q152" s="2168">
        <f>IFERROR(IF(ISNUMBER(N152),(N152-K152)/ABS(K152),"N/A"),"N/A")</f>
        <v/>
      </c>
      <c r="R152" s="112" t="n"/>
      <c r="S152" s="80" t="n">
        <v>45593</v>
      </c>
      <c r="T152" s="88" t="inlineStr">
        <is>
          <t>CFO Commentary</t>
        </is>
      </c>
      <c r="U152" s="67" t="n"/>
    </row>
    <row r="153" ht="14.4" customFormat="1" customHeight="1" s="1013">
      <c r="A153" s="114" t="n">
        <v>811</v>
      </c>
      <c r="B153" s="77">
        <f>IF(INDEX(MO_SNA_IsHistoricalPeriod,,MATCH(F153,MO_Common_ColumnHeader,0)),"Historical","Forward")</f>
        <v/>
      </c>
      <c r="C153" s="67" t="n"/>
      <c r="D153" s="84" t="inlineStr">
        <is>
          <t>Non-GAAP Operating Expenses</t>
        </is>
      </c>
      <c r="E153" s="78" t="n"/>
      <c r="F153" s="77" t="inlineStr">
        <is>
          <t>FY2024</t>
        </is>
      </c>
      <c r="G153" s="77" t="n"/>
      <c r="H153" s="67" t="n"/>
      <c r="I153" s="2087" t="n">
        <v>2662</v>
      </c>
      <c r="J153" s="2087" t="n">
        <v>2662</v>
      </c>
      <c r="K153" s="2087">
        <f>AVERAGE(I153:J153)</f>
        <v/>
      </c>
      <c r="L153" s="67" t="n"/>
      <c r="M153" s="77">
        <f>IF(INDEX(MO_SNA_IsHistoricalPeriod,,MATCH(F153,MO_Common_ColumnHeader,0)),"Actual","Estimate")</f>
        <v/>
      </c>
      <c r="N153" s="2087">
        <f>IFERROR(INDEX(MO_RIS_REV,0,MATCH(Guidance!F153,MO_Common_ColumnHeader,0))+INDEX(MO_RIS_RD_NONGAAP,0,MATCH(Guidance!F153,MO_Common_ColumnHeader,0))+INDEX(MO_RIS_GA_NONGAAP,0,MATCH(Guidance!F153,MO_Common_ColumnHeader,0))+INDEX(MO_RIS_SM_NONGAAP,0,MATCH(Guidance!F153,MO_Common_ColumnHeader,0))-INDEX(MO_RIS_GP_NONGAAP,0,MATCH(Guidance!F153,MO_Common_ColumnHeader,0)),"N/A")</f>
        <v/>
      </c>
      <c r="O153" s="2072" t="n"/>
      <c r="P153" s="2169">
        <f>IF(ISNUMBER(N153),N153-K153,"N/A")</f>
        <v/>
      </c>
      <c r="Q153" s="2168">
        <f>IFERROR(IF(ISNUMBER(N153),(N153-K153)/ABS(K153),"N/A"),"N/A")</f>
        <v/>
      </c>
      <c r="R153" s="112" t="n"/>
      <c r="S153" s="80" t="n">
        <v>45593</v>
      </c>
      <c r="T153" s="88" t="inlineStr">
        <is>
          <t>CFO Commentary</t>
        </is>
      </c>
      <c r="U153" s="67" t="n"/>
    </row>
    <row r="154" ht="14.4" customFormat="1" customHeight="1" s="1013">
      <c r="A154" s="114" t="n">
        <v>810</v>
      </c>
      <c r="B154" s="67" t="n"/>
      <c r="C154" s="67" t="n"/>
      <c r="D154" s="68" t="n"/>
      <c r="E154" s="69" t="n"/>
      <c r="F154" s="67" t="n"/>
      <c r="G154" s="67" t="n"/>
      <c r="H154" s="67" t="n"/>
      <c r="I154" s="2072" t="n"/>
      <c r="J154" s="2072" t="n"/>
      <c r="K154" s="2072" t="n"/>
      <c r="L154" s="67" t="n"/>
      <c r="M154" s="67" t="n"/>
      <c r="N154" s="2072" t="n"/>
      <c r="O154" s="67" t="n"/>
      <c r="P154" s="2172" t="n"/>
      <c r="Q154" s="2173" t="n"/>
      <c r="R154" s="112" t="n"/>
      <c r="S154" s="112" t="n"/>
      <c r="T154" s="344" t="n"/>
      <c r="U154" s="67" t="n"/>
    </row>
    <row r="155" ht="14.4" customFormat="1" customHeight="1" s="1013">
      <c r="A155" s="114" t="n">
        <v>809</v>
      </c>
      <c r="B155" s="77">
        <f>IF(INDEX(MO_SNA_IsHistoricalPeriod,,MATCH(F155,MO_Common_ColumnHeader,0)),"Historical","Forward")</f>
        <v/>
      </c>
      <c r="C155" s="67" t="n"/>
      <c r="D155" s="84">
        <f>INDEX(INDIRECT(E155),0,COLUMN(MO_Common_Column_A))</f>
        <v/>
      </c>
      <c r="E155" s="78" t="inlineStr">
        <is>
          <t>MO_RIS_REV</t>
        </is>
      </c>
      <c r="F155" s="77" t="inlineStr">
        <is>
          <t>Q4-2024</t>
        </is>
      </c>
      <c r="G155" s="77" t="n"/>
      <c r="H155" s="67" t="n"/>
      <c r="I155" s="2087" t="n">
        <v>1325</v>
      </c>
      <c r="J155" s="2087" t="n">
        <v>1365</v>
      </c>
      <c r="K155" s="2087">
        <f>AVERAGE(I155:J155)</f>
        <v/>
      </c>
      <c r="L155" s="67" t="n"/>
      <c r="M155" s="77">
        <f>IF(INDEX(MO_SNA_IsHistoricalPeriod,,MATCH(F155,MO_Common_ColumnHeader,0)),"Actual","Estimate")</f>
        <v/>
      </c>
      <c r="N155" s="2087">
        <f>IFERROR(INDEX(INDIRECT(E155),0,MATCH(F155,MO_Common_ColumnHeader,0)),"N/A")</f>
        <v/>
      </c>
      <c r="O155" s="67" t="n"/>
      <c r="P155" s="2169">
        <f>IF(ISNUMBER(N155),N155-K155,"N/A")</f>
        <v/>
      </c>
      <c r="Q155" s="2168">
        <f>IFERROR(IF(ISNUMBER(N155),(N155-K155)/ABS(K155),"N/A"),"N/A")</f>
        <v/>
      </c>
      <c r="R155" s="112" t="n"/>
      <c r="S155" s="80" t="n">
        <v>45593</v>
      </c>
      <c r="T155" s="88" t="inlineStr">
        <is>
          <t>CFO Commentary</t>
        </is>
      </c>
      <c r="U155" s="67" t="n"/>
    </row>
    <row r="156" ht="14.4" customFormat="1" customHeight="1" s="1013">
      <c r="A156" s="114" t="n">
        <v>808</v>
      </c>
      <c r="B156" s="77">
        <f>IF(INDEX(MO_SNA_IsHistoricalPeriod,,MATCH(F156,MO_Common_ColumnHeader,0)),"Historical","Forward")</f>
        <v/>
      </c>
      <c r="C156" s="67" t="n"/>
      <c r="D156" s="84" t="inlineStr">
        <is>
          <t>GAAP Operating Margin</t>
        </is>
      </c>
      <c r="E156" s="78" t="inlineStr">
        <is>
          <t>MO_MA_EBIT</t>
        </is>
      </c>
      <c r="F156" s="77" t="inlineStr">
        <is>
          <t>Q4-2024</t>
        </is>
      </c>
      <c r="G156" s="77" t="n"/>
      <c r="H156" s="67" t="n"/>
      <c r="I156" s="2108" t="n">
        <v>0.332</v>
      </c>
      <c r="J156" s="2108" t="n">
        <v>0.342</v>
      </c>
      <c r="K156" s="2108">
        <f>AVERAGE(I156:J156)</f>
        <v/>
      </c>
      <c r="L156" s="67" t="n"/>
      <c r="M156" s="77">
        <f>IF(INDEX(MO_SNA_IsHistoricalPeriod,,MATCH(F156,MO_Common_ColumnHeader,0)),"Actual","Estimate")</f>
        <v/>
      </c>
      <c r="N156" s="2108">
        <f>IFERROR(INDEX(INDIRECT(E156),0,MATCH(F156,MO_Common_ColumnHeader,0)),"N/A")</f>
        <v/>
      </c>
      <c r="O156" s="67" t="n"/>
      <c r="P156" s="2168">
        <f>IF(ISNUMBER(N156),N156-K156,"N/A")</f>
        <v/>
      </c>
      <c r="Q156" s="2168">
        <f>IFERROR(IF(ISNUMBER(N156),(N156-K156)/ABS(K156),"N/A"),"N/A")</f>
        <v/>
      </c>
      <c r="R156" s="112" t="n"/>
      <c r="S156" s="80" t="n">
        <v>45593</v>
      </c>
      <c r="T156" s="88" t="inlineStr">
        <is>
          <t>CFO Commentary</t>
        </is>
      </c>
      <c r="U156" s="67" t="n"/>
    </row>
    <row r="157" ht="14.4" customFormat="1" customHeight="1" s="1013">
      <c r="A157" s="114" t="n">
        <v>807</v>
      </c>
      <c r="B157" s="77">
        <f>IF(INDEX(MO_SNA_IsHistoricalPeriod,,MATCH(F157,MO_Common_ColumnHeader,0)),"Historical","Forward")</f>
        <v/>
      </c>
      <c r="C157" s="67" t="n"/>
      <c r="D157" s="84">
        <f>INDEX(INDIRECT(E157),0,COLUMN(MO_Common_Column_A))</f>
        <v/>
      </c>
      <c r="E157" s="78" t="inlineStr">
        <is>
          <t>MO_MA_OperatingIncome_NONGAAP</t>
        </is>
      </c>
      <c r="F157" s="77" t="inlineStr">
        <is>
          <t>Q4-2024</t>
        </is>
      </c>
      <c r="G157" s="77" t="n"/>
      <c r="H157" s="67" t="n"/>
      <c r="I157" s="2108" t="n">
        <v>0.452</v>
      </c>
      <c r="J157" s="2108" t="n">
        <v>0.462</v>
      </c>
      <c r="K157" s="2108">
        <f>AVERAGE(I157:J157)</f>
        <v/>
      </c>
      <c r="L157" s="67" t="n"/>
      <c r="M157" s="77">
        <f>IF(INDEX(MO_SNA_IsHistoricalPeriod,,MATCH(F157,MO_Common_ColumnHeader,0)),"Actual","Estimate")</f>
        <v/>
      </c>
      <c r="N157" s="2108">
        <f>IFERROR(INDEX(INDIRECT(E157),0,MATCH(F157,MO_Common_ColumnHeader,0)),"N/A")</f>
        <v/>
      </c>
      <c r="O157" s="67" t="n"/>
      <c r="P157" s="2168">
        <f>IF(ISNUMBER(N157),N157-K157,"N/A")</f>
        <v/>
      </c>
      <c r="Q157" s="2168">
        <f>IFERROR(IF(ISNUMBER(N157),(N157-K157)/ABS(K157),"N/A"),"N/A")</f>
        <v/>
      </c>
      <c r="R157" s="112" t="n"/>
      <c r="S157" s="80" t="n">
        <v>45593</v>
      </c>
      <c r="T157" s="88" t="inlineStr">
        <is>
          <t>CFO Commentary</t>
        </is>
      </c>
      <c r="U157" s="67" t="n"/>
    </row>
    <row r="158" ht="14.4" customFormat="1" customHeight="1" s="1013">
      <c r="A158" s="114" t="n">
        <v>806</v>
      </c>
      <c r="B158" s="77">
        <f>IF(INDEX(MO_SNA_IsHistoricalPeriod,,MATCH(F158,MO_Common_ColumnHeader,0)),"Historical","Forward")</f>
        <v/>
      </c>
      <c r="C158" s="67" t="n"/>
      <c r="D158" s="84">
        <f>INDEX(INDIRECT(E158),0,COLUMN(MO_Common_Column_A))</f>
        <v/>
      </c>
      <c r="E158" s="78" t="inlineStr">
        <is>
          <t>MO_RIS_EPS_WAD</t>
        </is>
      </c>
      <c r="F158" s="77" t="inlineStr">
        <is>
          <t>Q4-2024</t>
        </is>
      </c>
      <c r="G158" s="77" t="n"/>
      <c r="H158" s="67" t="n"/>
      <c r="I158" s="2170" t="n">
        <v>1.09</v>
      </c>
      <c r="J158" s="2170" t="n">
        <v>1.15</v>
      </c>
      <c r="K158" s="2170">
        <f>AVERAGE(I158:J158)</f>
        <v/>
      </c>
      <c r="L158" s="67" t="n"/>
      <c r="M158" s="77">
        <f>IF(INDEX(MO_SNA_IsHistoricalPeriod,,MATCH(F158,MO_Common_ColumnHeader,0)),"Actual","Estimate")</f>
        <v/>
      </c>
      <c r="N158" s="2170">
        <f>IFERROR(INDEX(INDIRECT(E158),0,MATCH(F158,MO_Common_ColumnHeader,0)),"N/A")</f>
        <v/>
      </c>
      <c r="O158" s="67" t="n"/>
      <c r="P158" s="2171">
        <f>IF(ISNUMBER(N158),N158-K158,"N/A")</f>
        <v/>
      </c>
      <c r="Q158" s="2168">
        <f>IFERROR(IF(ISNUMBER(N158),(N158-K158)/ABS(K158),"N/A"),"N/A")</f>
        <v/>
      </c>
      <c r="R158" s="112" t="n"/>
      <c r="S158" s="80" t="n">
        <v>45593</v>
      </c>
      <c r="T158" s="88" t="inlineStr">
        <is>
          <t>CFO Commentary</t>
        </is>
      </c>
      <c r="U158" s="67" t="n"/>
    </row>
    <row r="159" ht="14.4" customFormat="1" customHeight="1" s="1013">
      <c r="A159" s="114" t="n">
        <v>805</v>
      </c>
      <c r="B159" s="77">
        <f>IF(INDEX(MO_SNA_IsHistoricalPeriod,,MATCH(F159,MO_Common_ColumnHeader,0)),"Historical","Forward")</f>
        <v/>
      </c>
      <c r="C159" s="67" t="n"/>
      <c r="D159" s="84">
        <f>INDEX(INDIRECT(E159),0,COLUMN(MO_Common_Column_A))</f>
        <v/>
      </c>
      <c r="E159" s="78" t="inlineStr">
        <is>
          <t>MO_RIS_EPS_WAD_Adj</t>
        </is>
      </c>
      <c r="F159" s="77" t="inlineStr">
        <is>
          <t>Q4-2024</t>
        </is>
      </c>
      <c r="G159" s="77" t="n"/>
      <c r="H159" s="67" t="n"/>
      <c r="I159" s="2170" t="n">
        <v>1.78</v>
      </c>
      <c r="J159" s="2170" t="n">
        <v>1.84</v>
      </c>
      <c r="K159" s="2170">
        <f>AVERAGE(I159:J159)</f>
        <v/>
      </c>
      <c r="L159" s="67" t="n"/>
      <c r="M159" s="77">
        <f>IF(INDEX(MO_SNA_IsHistoricalPeriod,,MATCH(F159,MO_Common_ColumnHeader,0)),"Actual","Estimate")</f>
        <v/>
      </c>
      <c r="N159" s="2170">
        <f>IFERROR(INDEX(INDIRECT(E159),0,MATCH(F159,MO_Common_ColumnHeader,0)),"N/A")</f>
        <v/>
      </c>
      <c r="O159" s="67" t="n"/>
      <c r="P159" s="2171">
        <f>IF(ISNUMBER(N159),N159-K159,"N/A")</f>
        <v/>
      </c>
      <c r="Q159" s="2168">
        <f>IFERROR(IF(ISNUMBER(N159),(N159-K159)/ABS(K159),"N/A"),"N/A")</f>
        <v/>
      </c>
      <c r="R159" s="112" t="n"/>
      <c r="S159" s="80" t="n">
        <v>45593</v>
      </c>
      <c r="T159" s="88" t="inlineStr">
        <is>
          <t>CFO Commentary</t>
        </is>
      </c>
      <c r="U159" s="67" t="n"/>
    </row>
    <row r="160" ht="14.4" customFormat="1" customHeight="1" s="1013">
      <c r="A160" s="114" t="n">
        <v>804</v>
      </c>
      <c r="B160" s="77">
        <f>IF(INDEX(MO_SNA_IsHistoricalPeriod,,MATCH(F160,MO_Common_ColumnHeader,0)),"Historical","Forward")</f>
        <v/>
      </c>
      <c r="C160" s="67" t="n"/>
      <c r="D160" s="84">
        <f>INDEX(INDIRECT(E160),0,COLUMN(MO_Common_Column_A))</f>
        <v/>
      </c>
      <c r="E160" s="78" t="inlineStr">
        <is>
          <t>MO_CFSum_NetShares</t>
        </is>
      </c>
      <c r="F160" s="77" t="inlineStr">
        <is>
          <t>Q4-2024</t>
        </is>
      </c>
      <c r="G160" s="77" t="n"/>
      <c r="H160" s="67" t="n"/>
      <c r="I160" s="2087" t="n">
        <v>-150</v>
      </c>
      <c r="J160" s="2087" t="n">
        <v>-150</v>
      </c>
      <c r="K160" s="2087">
        <f>AVERAGE(I160:J160)</f>
        <v/>
      </c>
      <c r="L160" s="67" t="n"/>
      <c r="M160" s="77">
        <f>IF(INDEX(MO_SNA_IsHistoricalPeriod,,MATCH(F160,MO_Common_ColumnHeader,0)),"Actual","Estimate")</f>
        <v/>
      </c>
      <c r="N160" s="2087">
        <f>IFERROR(INDEX(INDIRECT(E160),0,MATCH(F160,MO_Common_ColumnHeader,0)),"N/A")</f>
        <v/>
      </c>
      <c r="O160" s="67" t="n"/>
      <c r="P160" s="2169">
        <f>IF(ISNUMBER(N160),N160-K160,"N/A")</f>
        <v/>
      </c>
      <c r="Q160" s="2168">
        <f>IFERROR(IF(ISNUMBER(N160),(N160-K160)/ABS(K160),"N/A"),"N/A")</f>
        <v/>
      </c>
      <c r="R160" s="112" t="n"/>
      <c r="S160" s="80" t="n">
        <v>45593</v>
      </c>
      <c r="T160" s="88" t="inlineStr">
        <is>
          <t>CFO Commentary</t>
        </is>
      </c>
      <c r="U160" s="67" t="n"/>
    </row>
    <row r="161" ht="14.4" customFormat="1" customHeight="1" s="1013">
      <c r="A161" s="114" t="n">
        <v>803</v>
      </c>
      <c r="B161" s="67" t="n"/>
      <c r="C161" s="67" t="n"/>
      <c r="D161" s="68" t="n"/>
      <c r="E161" s="69" t="n"/>
      <c r="F161" s="67" t="n"/>
      <c r="G161" s="67" t="n"/>
      <c r="H161" s="67" t="n"/>
      <c r="I161" s="2072" t="n"/>
      <c r="J161" s="2072" t="n"/>
      <c r="K161" s="2072" t="n"/>
      <c r="L161" s="67" t="n"/>
      <c r="M161" s="67" t="n"/>
      <c r="N161" s="2072" t="n"/>
      <c r="O161" s="67" t="n"/>
      <c r="P161" s="2172" t="n"/>
      <c r="Q161" s="2173" t="n"/>
      <c r="R161" s="112" t="n"/>
      <c r="S161" s="112" t="n"/>
      <c r="T161" s="344" t="n"/>
      <c r="U161" s="67" t="n"/>
    </row>
    <row r="162" ht="14.4" customFormat="1" customHeight="1" s="1013">
      <c r="A162" s="114" t="n">
        <v>802</v>
      </c>
      <c r="B162" s="77">
        <f>IF(INDEX(MO_SNA_IsHistoricalPeriod,,MATCH(F162,MO_Common_ColumnHeader,0)),"Historical","Forward")</f>
        <v/>
      </c>
      <c r="C162" s="67" t="n"/>
      <c r="D162" s="84" t="inlineStr">
        <is>
          <t>Recurring Revenue %</t>
        </is>
      </c>
      <c r="E162" s="78" t="n"/>
      <c r="F162" s="77" t="inlineStr">
        <is>
          <t>FY2024</t>
        </is>
      </c>
      <c r="G162" s="77" t="n"/>
      <c r="H162" s="67" t="n"/>
      <c r="I162" s="2108" t="n">
        <v>0.8</v>
      </c>
      <c r="J162" s="2108" t="n">
        <v>0.85</v>
      </c>
      <c r="K162" s="2108">
        <f>AVERAGE(I162:J162)</f>
        <v/>
      </c>
      <c r="L162" s="67" t="n"/>
      <c r="M162" s="77">
        <f>IF(INDEX(MO_SNA_IsHistoricalPeriod,,MATCH(F162,MO_Common_ColumnHeader,0)),"Actual","Estimate")</f>
        <v/>
      </c>
      <c r="N162" s="2108">
        <f>IFERROR(INDEX(INDIRECT(E162),0,MATCH(F162,MO_Common_ColumnHeader,0)),"N/A")</f>
        <v/>
      </c>
      <c r="O162" s="2072" t="n"/>
      <c r="P162" s="2168">
        <f>IF(ISNUMBER(N162),N162-K162,"N/A")</f>
        <v/>
      </c>
      <c r="Q162" s="2168">
        <f>IFERROR(IF(ISNUMBER(N162),(N162-K162)/ABS(K162),"N/A"),"N/A")</f>
        <v/>
      </c>
      <c r="R162" s="112" t="n"/>
      <c r="S162" s="80" t="n">
        <v>45495</v>
      </c>
      <c r="T162" s="88" t="inlineStr">
        <is>
          <t>CFO Commentary</t>
        </is>
      </c>
      <c r="U162" s="67" t="n"/>
    </row>
    <row r="163" ht="14.4" customFormat="1" customHeight="1" s="1013">
      <c r="A163" s="114" t="n">
        <v>801</v>
      </c>
      <c r="B163" s="77">
        <f>IF(INDEX(MO_SNA_IsHistoricalPeriod,,MATCH(F163,MO_Common_ColumnHeader,0)),"Historical","Forward")</f>
        <v/>
      </c>
      <c r="C163" s="67" t="n"/>
      <c r="D163" s="84" t="inlineStr">
        <is>
          <t>Revenue from Beginning Backlog %</t>
        </is>
      </c>
      <c r="E163" s="78" t="n"/>
      <c r="F163" s="77" t="inlineStr">
        <is>
          <t>FY2024</t>
        </is>
      </c>
      <c r="G163" s="77" t="n"/>
      <c r="H163" s="67" t="n"/>
      <c r="I163" s="2108" t="n">
        <v>0.7</v>
      </c>
      <c r="J163" s="2108" t="n">
        <v>0.7</v>
      </c>
      <c r="K163" s="2108">
        <f>AVERAGE(I163:J163)</f>
        <v/>
      </c>
      <c r="L163" s="67" t="n"/>
      <c r="M163" s="77">
        <f>IF(INDEX(MO_SNA_IsHistoricalPeriod,,MATCH(F163,MO_Common_ColumnHeader,0)),"Actual","Estimate")</f>
        <v/>
      </c>
      <c r="N163" s="2108">
        <f>IFERROR(INDEX(INDIRECT(E163),0,MATCH(F163,MO_Common_ColumnHeader,0)),"N/A")</f>
        <v/>
      </c>
      <c r="O163" s="2072" t="n"/>
      <c r="P163" s="2168">
        <f>IF(ISNUMBER(N163),N163-K163,"N/A")</f>
        <v/>
      </c>
      <c r="Q163" s="2168">
        <f>IFERROR(IF(ISNUMBER(N163),(N163-K163)/ABS(K163),"N/A"),"N/A")</f>
        <v/>
      </c>
      <c r="R163" s="112" t="n"/>
      <c r="S163" s="80" t="n">
        <v>45495</v>
      </c>
      <c r="T163" s="88" t="inlineStr">
        <is>
          <t>CFO Commentary</t>
        </is>
      </c>
      <c r="U163" s="67" t="n"/>
    </row>
    <row r="164" ht="14.4" customFormat="1" customHeight="1" s="1013">
      <c r="A164" s="114" t="n">
        <v>800</v>
      </c>
      <c r="B164" s="77">
        <f>IF(INDEX(MO_SNA_IsHistoricalPeriod,,MATCH(F164,MO_Common_ColumnHeader,0)),"Historical","Forward")</f>
        <v/>
      </c>
      <c r="C164" s="67" t="n"/>
      <c r="D164" s="84">
        <f>INDEX(INDIRECT(E164),0,COLUMN(MO_Common_Column_A))</f>
        <v/>
      </c>
      <c r="E164" s="78" t="inlineStr">
        <is>
          <t>MO_RIS_REV</t>
        </is>
      </c>
      <c r="F164" s="77" t="inlineStr">
        <is>
          <t>FY2024</t>
        </is>
      </c>
      <c r="G164" s="77" t="n"/>
      <c r="H164" s="67" t="n"/>
      <c r="I164" s="2087" t="n">
        <v>4600</v>
      </c>
      <c r="J164" s="2087" t="n">
        <v>4660</v>
      </c>
      <c r="K164" s="2087">
        <f>AVERAGE(I164:J164)</f>
        <v/>
      </c>
      <c r="L164" s="67" t="n"/>
      <c r="M164" s="77">
        <f>IF(INDEX(MO_SNA_IsHistoricalPeriod,,MATCH(F164,MO_Common_ColumnHeader,0)),"Actual","Estimate")</f>
        <v/>
      </c>
      <c r="N164" s="2087">
        <f>IFERROR(INDEX(INDIRECT(E164),0,MATCH(F164,MO_Common_ColumnHeader,0)),"N/A")</f>
        <v/>
      </c>
      <c r="O164" s="2072" t="n"/>
      <c r="P164" s="2169">
        <f>IF(ISNUMBER(N164),N164-K164,"N/A")</f>
        <v/>
      </c>
      <c r="Q164" s="2168">
        <f>IFERROR(IF(ISNUMBER(N164),(N164-K164)/ABS(K164),"N/A"),"N/A")</f>
        <v/>
      </c>
      <c r="R164" s="112" t="n"/>
      <c r="S164" s="80" t="n">
        <v>45495</v>
      </c>
      <c r="T164" s="88" t="inlineStr">
        <is>
          <t>CFO Commentary</t>
        </is>
      </c>
      <c r="U164" s="67" t="n"/>
    </row>
    <row r="165" ht="14.4" customFormat="1" customHeight="1" s="1013">
      <c r="A165" s="114" t="n">
        <v>799</v>
      </c>
      <c r="B165" s="77">
        <f>IF(INDEX(MO_SNA_IsHistoricalPeriod,,MATCH(F165,MO_Common_ColumnHeader,0)),"Historical","Forward")</f>
        <v/>
      </c>
      <c r="C165" s="67" t="n"/>
      <c r="D165" s="84" t="inlineStr">
        <is>
          <t>GAAP Operating Margin</t>
        </is>
      </c>
      <c r="E165" s="78" t="inlineStr">
        <is>
          <t>MO_MA_EBIT</t>
        </is>
      </c>
      <c r="F165" s="77" t="inlineStr">
        <is>
          <t>FY2024</t>
        </is>
      </c>
      <c r="G165" s="77" t="n"/>
      <c r="H165" s="67" t="n"/>
      <c r="I165" s="2108" t="n">
        <v>0.297</v>
      </c>
      <c r="J165" s="2108" t="n">
        <v>0.313</v>
      </c>
      <c r="K165" s="2108">
        <f>AVERAGE(I165:J165)</f>
        <v/>
      </c>
      <c r="L165" s="67" t="n"/>
      <c r="M165" s="77">
        <f>IF(INDEX(MO_SNA_IsHistoricalPeriod,,MATCH(F165,MO_Common_ColumnHeader,0)),"Actual","Estimate")</f>
        <v/>
      </c>
      <c r="N165" s="2108">
        <f>IFERROR(INDEX(INDIRECT(E165),0,MATCH(F165,MO_Common_ColumnHeader,0)),"N/A")</f>
        <v/>
      </c>
      <c r="O165" s="67" t="n"/>
      <c r="P165" s="2168">
        <f>IF(ISNUMBER(N165),N165-K165,"N/A")</f>
        <v/>
      </c>
      <c r="Q165" s="2168">
        <f>IFERROR(IF(ISNUMBER(N165),(N165-K165)/ABS(K165),"N/A"),"N/A")</f>
        <v/>
      </c>
      <c r="R165" s="112" t="n"/>
      <c r="S165" s="80" t="n">
        <v>45495</v>
      </c>
      <c r="T165" s="88" t="inlineStr">
        <is>
          <t>CFO Commentary</t>
        </is>
      </c>
      <c r="U165" s="67" t="n"/>
    </row>
    <row r="166" ht="14.4" customFormat="1" customHeight="1" s="1013">
      <c r="A166" s="114" t="n">
        <v>798</v>
      </c>
      <c r="B166" s="77">
        <f>IF(INDEX(MO_SNA_IsHistoricalPeriod,,MATCH(F166,MO_Common_ColumnHeader,0)),"Historical","Forward")</f>
        <v/>
      </c>
      <c r="C166" s="67" t="n"/>
      <c r="D166" s="84">
        <f>INDEX(INDIRECT(E166),0,COLUMN(MO_Common_Column_A))</f>
        <v/>
      </c>
      <c r="E166" s="78" t="inlineStr">
        <is>
          <t>MO_MA_OperatingIncome_NONGAAP</t>
        </is>
      </c>
      <c r="F166" s="77" t="inlineStr">
        <is>
          <t>FY2024</t>
        </is>
      </c>
      <c r="G166" s="77" t="n"/>
      <c r="H166" s="67" t="n"/>
      <c r="I166" s="2108" t="n">
        <v>0.417</v>
      </c>
      <c r="J166" s="2108" t="n">
        <v>0.433</v>
      </c>
      <c r="K166" s="2108">
        <f>AVERAGE(I166:J166)</f>
        <v/>
      </c>
      <c r="L166" s="67" t="n"/>
      <c r="M166" s="77">
        <f>IF(INDEX(MO_SNA_IsHistoricalPeriod,,MATCH(F166,MO_Common_ColumnHeader,0)),"Actual","Estimate")</f>
        <v/>
      </c>
      <c r="N166" s="2108">
        <f>IFERROR(INDEX(INDIRECT(E166),0,MATCH(F166,MO_Common_ColumnHeader,0)),"N/A")</f>
        <v/>
      </c>
      <c r="O166" s="67" t="n"/>
      <c r="P166" s="2168">
        <f>IF(ISNUMBER(N166),N166-K166,"N/A")</f>
        <v/>
      </c>
      <c r="Q166" s="2168">
        <f>IFERROR(IF(ISNUMBER(N166),(N166-K166)/ABS(K166),"N/A"),"N/A")</f>
        <v/>
      </c>
      <c r="R166" s="112" t="n"/>
      <c r="S166" s="80" t="n">
        <v>45495</v>
      </c>
      <c r="T166" s="88" t="inlineStr">
        <is>
          <t>CFO Commentary</t>
        </is>
      </c>
      <c r="U166" s="67" t="n"/>
    </row>
    <row r="167" ht="14.4" customFormat="1" customHeight="1" s="1013">
      <c r="A167" s="114" t="n">
        <v>797</v>
      </c>
      <c r="B167" s="77">
        <f>IF(INDEX(MO_SNA_IsHistoricalPeriod,,MATCH(F167,MO_Common_ColumnHeader,0)),"Historical","Forward")</f>
        <v/>
      </c>
      <c r="C167" s="67" t="n"/>
      <c r="D167" s="84">
        <f>INDEX(INDIRECT(E167),0,COLUMN(MO_Common_Column_A))</f>
        <v/>
      </c>
      <c r="E167" s="78" t="inlineStr">
        <is>
          <t>MO_RIS_EPS_WAD</t>
        </is>
      </c>
      <c r="F167" s="77" t="inlineStr">
        <is>
          <t>FY2024</t>
        </is>
      </c>
      <c r="G167" s="77" t="n"/>
      <c r="H167" s="67" t="n"/>
      <c r="I167" s="2170" t="n">
        <v>3.82</v>
      </c>
      <c r="J167" s="2170" t="n">
        <v>4.02</v>
      </c>
      <c r="K167" s="2170">
        <f>AVERAGE(I167:J167)</f>
        <v/>
      </c>
      <c r="L167" s="67" t="n"/>
      <c r="M167" s="77">
        <f>IF(INDEX(MO_SNA_IsHistoricalPeriod,,MATCH(F167,MO_Common_ColumnHeader,0)),"Actual","Estimate")</f>
        <v/>
      </c>
      <c r="N167" s="2170">
        <f>IFERROR(INDEX(INDIRECT(E167),0,MATCH(F167,MO_Common_ColumnHeader,0)),"N/A")</f>
        <v/>
      </c>
      <c r="O167" s="67" t="n"/>
      <c r="P167" s="2171">
        <f>IF(ISNUMBER(N167),N167-K167,"N/A")</f>
        <v/>
      </c>
      <c r="Q167" s="2168">
        <f>IFERROR(IF(ISNUMBER(N167),(N167-K167)/ABS(K167),"N/A"),"N/A")</f>
        <v/>
      </c>
      <c r="R167" s="112" t="n"/>
      <c r="S167" s="80" t="n">
        <v>45495</v>
      </c>
      <c r="T167" s="88" t="inlineStr">
        <is>
          <t>CFO Commentary</t>
        </is>
      </c>
      <c r="U167" s="67" t="n"/>
    </row>
    <row r="168" ht="14.4" customFormat="1" customHeight="1" s="1013">
      <c r="A168" s="114" t="n">
        <v>796</v>
      </c>
      <c r="B168" s="77">
        <f>IF(INDEX(MO_SNA_IsHistoricalPeriod,,MATCH(F168,MO_Common_ColumnHeader,0)),"Historical","Forward")</f>
        <v/>
      </c>
      <c r="C168" s="67" t="n"/>
      <c r="D168" s="84">
        <f>INDEX(INDIRECT(E168),0,COLUMN(MO_Common_Column_A))</f>
        <v/>
      </c>
      <c r="E168" s="78" t="inlineStr">
        <is>
          <t>MO_RIS_EPS_WAD_Adj</t>
        </is>
      </c>
      <c r="F168" s="77" t="inlineStr">
        <is>
          <t>FY2024</t>
        </is>
      </c>
      <c r="G168" s="77" t="n"/>
      <c r="H168" s="67" t="n"/>
      <c r="I168" s="2170" t="n">
        <v>5.77</v>
      </c>
      <c r="J168" s="2170" t="n">
        <v>5.97</v>
      </c>
      <c r="K168" s="2170">
        <f>AVERAGE(I168:J168)</f>
        <v/>
      </c>
      <c r="L168" s="67" t="n"/>
      <c r="M168" s="77">
        <f>IF(INDEX(MO_SNA_IsHistoricalPeriod,,MATCH(F168,MO_Common_ColumnHeader,0)),"Actual","Estimate")</f>
        <v/>
      </c>
      <c r="N168" s="2170">
        <f>IFERROR(INDEX(INDIRECT(E168),0,MATCH(F168,MO_Common_ColumnHeader,0)),"N/A")</f>
        <v/>
      </c>
      <c r="O168" s="67" t="n"/>
      <c r="P168" s="2171">
        <f>IF(ISNUMBER(N168),N168-K168,"N/A")</f>
        <v/>
      </c>
      <c r="Q168" s="2168">
        <f>IFERROR(IF(ISNUMBER(N168),(N168-K168)/ABS(K168),"N/A"),"N/A")</f>
        <v/>
      </c>
      <c r="R168" s="112" t="n"/>
      <c r="S168" s="80" t="n">
        <v>45495</v>
      </c>
      <c r="T168" s="88" t="inlineStr">
        <is>
          <t>CFO Commentary</t>
        </is>
      </c>
      <c r="U168" s="67" t="n"/>
    </row>
    <row r="169" ht="14.4" customFormat="1" customHeight="1" s="1013">
      <c r="A169" s="114" t="n">
        <v>795</v>
      </c>
      <c r="B169" s="77">
        <f>IF(INDEX(MO_SNA_IsHistoricalPeriod,,MATCH(F169,MO_Common_ColumnHeader,0)),"Historical","Forward")</f>
        <v/>
      </c>
      <c r="C169" s="67" t="n"/>
      <c r="D169" s="84">
        <f>INDEX(INDIRECT(E169),0,COLUMN(MO_Common_Column_A))</f>
        <v/>
      </c>
      <c r="E169" s="78" t="inlineStr">
        <is>
          <t>MO_CFS_CFO</t>
        </is>
      </c>
      <c r="F169" s="77" t="inlineStr">
        <is>
          <t>FY2024</t>
        </is>
      </c>
      <c r="G169" s="77" t="n"/>
      <c r="H169" s="67" t="n"/>
      <c r="I169" s="2087" t="n">
        <v>1000</v>
      </c>
      <c r="J169" s="2087" t="n">
        <v>1200</v>
      </c>
      <c r="K169" s="2087">
        <f>AVERAGE(I169:J169)</f>
        <v/>
      </c>
      <c r="L169" s="67" t="n"/>
      <c r="M169" s="77">
        <f>IF(INDEX(MO_SNA_IsHistoricalPeriod,,MATCH(F169,MO_Common_ColumnHeader,0)),"Actual","Estimate")</f>
        <v/>
      </c>
      <c r="N169" s="2087">
        <f>IFERROR(INDEX(INDIRECT(E169),0,MATCH(F169,MO_Common_ColumnHeader,0)),"N/A")</f>
        <v/>
      </c>
      <c r="O169" s="67" t="n"/>
      <c r="P169" s="2169">
        <f>IF(ISNUMBER(N169),N169-K169,"N/A")</f>
        <v/>
      </c>
      <c r="Q169" s="2168">
        <f>IFERROR(IF(ISNUMBER(N169),(N169-K169)/ABS(K169),"N/A"),"N/A")</f>
        <v/>
      </c>
      <c r="R169" s="112" t="n"/>
      <c r="S169" s="80" t="n">
        <v>45495</v>
      </c>
      <c r="T169" s="88" t="inlineStr">
        <is>
          <t>CFO Commentary</t>
        </is>
      </c>
      <c r="U169" s="67" t="n"/>
    </row>
    <row r="170" ht="14.4" customFormat="1" customHeight="1" s="1013">
      <c r="A170" s="114" t="n">
        <v>794</v>
      </c>
      <c r="B170" s="77">
        <f>IF(INDEX(MO_SNA_IsHistoricalPeriod,,MATCH(F170,MO_Common_ColumnHeader,0)),"Historical","Forward")</f>
        <v/>
      </c>
      <c r="C170" s="67" t="n"/>
      <c r="D170" s="84" t="inlineStr">
        <is>
          <t>GAAP Other Income &amp; Expense</t>
        </is>
      </c>
      <c r="E170" s="78" t="n"/>
      <c r="F170" s="77" t="inlineStr">
        <is>
          <t>FY2024</t>
        </is>
      </c>
      <c r="G170" s="77" t="n"/>
      <c r="H170" s="67" t="n"/>
      <c r="I170" s="2087" t="n">
        <v>-56</v>
      </c>
      <c r="J170" s="2087" t="n">
        <v>-42</v>
      </c>
      <c r="K170" s="2087">
        <f>AVERAGE(I170:J170)</f>
        <v/>
      </c>
      <c r="L170" s="67" t="n"/>
      <c r="M170" s="77">
        <f>IF(INDEX(MO_SNA_IsHistoricalPeriod,,MATCH(F170,MO_Common_ColumnHeader,0)),"Actual","Estimate")</f>
        <v/>
      </c>
      <c r="N170" s="2087">
        <f>-IFERROR(INDEX(MO_RIS_IE_Net,0,MATCH(F170,MO_Common_ColumnHeader,0)),"N/A")-IFERROR(INDEX(MO_RIS_OI,0,MATCH(F170,MO_Common_ColumnHeader,0)),"N/A")</f>
        <v/>
      </c>
      <c r="O170" s="67" t="n"/>
      <c r="P170" s="2169">
        <f>IF(ISNUMBER(N170),N170-K170,"N/A")</f>
        <v/>
      </c>
      <c r="Q170" s="2168">
        <f>IFERROR(IF(ISNUMBER(N170),(N170-K170)/ABS(K170),"N/A"),"N/A")</f>
        <v/>
      </c>
      <c r="R170" s="112" t="n"/>
      <c r="S170" s="80" t="n">
        <v>45495</v>
      </c>
      <c r="T170" s="88" t="inlineStr">
        <is>
          <t>CFO Commentary</t>
        </is>
      </c>
      <c r="U170" s="67" t="n"/>
    </row>
    <row r="171" ht="14.4" customFormat="1" customHeight="1" s="1013">
      <c r="A171" s="114" t="n">
        <v>793</v>
      </c>
      <c r="B171" s="77">
        <f>IF(INDEX(MO_SNA_IsHistoricalPeriod,,MATCH(F171,MO_Common_ColumnHeader,0)),"Historical","Forward")</f>
        <v/>
      </c>
      <c r="C171" s="67" t="n"/>
      <c r="D171" s="84" t="inlineStr">
        <is>
          <t>Non-GAAP Other Income &amp; Expense</t>
        </is>
      </c>
      <c r="E171" s="78" t="n"/>
      <c r="F171" s="77" t="inlineStr">
        <is>
          <t>FY2024</t>
        </is>
      </c>
      <c r="G171" s="77" t="n"/>
      <c r="H171" s="67" t="n"/>
      <c r="I171" s="2087" t="n">
        <v>-45</v>
      </c>
      <c r="J171" s="2087" t="n">
        <v>-31</v>
      </c>
      <c r="K171" s="2087">
        <f>AVERAGE(I171:J171)</f>
        <v/>
      </c>
      <c r="L171" s="67" t="n"/>
      <c r="M171" s="77">
        <f>IF(INDEX(MO_SNA_IsHistoricalPeriod,,MATCH(F171,MO_Common_ColumnHeader,0)),"Actual","Estimate")</f>
        <v/>
      </c>
      <c r="N171" s="2087">
        <f>-IFERROR(INDEX(MO_RIS_IE_Net_NONGAAP,0,MATCH(F171,MO_Common_ColumnHeader,0)),"N/A")-IFERROR(INDEX(MO_RIS_OI_NONGAAP,0,MATCH(F171,MO_Common_ColumnHeader,0)),"N/A")</f>
        <v/>
      </c>
      <c r="O171" s="67" t="n"/>
      <c r="P171" s="2169">
        <f>IF(ISNUMBER(N171),N171-K171,"N/A")</f>
        <v/>
      </c>
      <c r="Q171" s="2168">
        <f>IFERROR(IF(ISNUMBER(N171),(N171-K171)/ABS(K171),"N/A"),"N/A")</f>
        <v/>
      </c>
      <c r="R171" s="112" t="n"/>
      <c r="S171" s="80" t="n">
        <v>45495</v>
      </c>
      <c r="T171" s="88" t="inlineStr">
        <is>
          <t>CFO Commentary</t>
        </is>
      </c>
      <c r="U171" s="67" t="n"/>
    </row>
    <row r="172" ht="14.4" customFormat="1" customHeight="1" s="1013">
      <c r="A172" s="114" t="n">
        <v>792</v>
      </c>
      <c r="B172" s="77">
        <f>IF(INDEX(MO_SNA_IsHistoricalPeriod,,MATCH(F172,MO_Common_ColumnHeader,0)),"Historical","Forward")</f>
        <v/>
      </c>
      <c r="C172" s="67" t="n"/>
      <c r="D172" s="84" t="inlineStr">
        <is>
          <t>GAAP Tax Rate</t>
        </is>
      </c>
      <c r="E172" s="78" t="inlineStr">
        <is>
          <t>MO_RIS_TaxRate</t>
        </is>
      </c>
      <c r="F172" s="77" t="inlineStr">
        <is>
          <t>FY2024</t>
        </is>
      </c>
      <c r="G172" s="77" t="n"/>
      <c r="H172" s="67" t="n"/>
      <c r="I172" s="2108" t="n">
        <v>0.25</v>
      </c>
      <c r="J172" s="2108" t="n">
        <v>0.25</v>
      </c>
      <c r="K172" s="2108">
        <f>AVERAGE(I172:J172)</f>
        <v/>
      </c>
      <c r="L172" s="67" t="n"/>
      <c r="M172" s="77">
        <f>IF(INDEX(MO_SNA_IsHistoricalPeriod,,MATCH(F172,MO_Common_ColumnHeader,0)),"Actual","Estimate")</f>
        <v/>
      </c>
      <c r="N172" s="2108">
        <f>IFERROR(INDEX(INDIRECT(E172),0,MATCH(F172,MO_Common_ColumnHeader,0)),"N/A")</f>
        <v/>
      </c>
      <c r="O172" s="67" t="n"/>
      <c r="P172" s="2168">
        <f>IF(ISNUMBER(N172),N172-K172,"N/A")</f>
        <v/>
      </c>
      <c r="Q172" s="2168">
        <f>IFERROR(IF(ISNUMBER(N172),(N172-K172)/ABS(K172),"N/A"),"N/A")</f>
        <v/>
      </c>
      <c r="R172" s="112" t="n"/>
      <c r="S172" s="80" t="n">
        <v>45495</v>
      </c>
      <c r="T172" s="88" t="inlineStr">
        <is>
          <t>CFO Commentary</t>
        </is>
      </c>
      <c r="U172" s="67" t="n"/>
    </row>
    <row r="173" ht="14.4" customFormat="1" customHeight="1" s="1013">
      <c r="A173" s="114" t="n">
        <v>791</v>
      </c>
      <c r="B173" s="77">
        <f>IF(INDEX(MO_SNA_IsHistoricalPeriod,,MATCH(F173,MO_Common_ColumnHeader,0)),"Historical","Forward")</f>
        <v/>
      </c>
      <c r="C173" s="67" t="n"/>
      <c r="D173" s="84">
        <f>INDEX(INDIRECT(E173),0,COLUMN(MO_Common_Column_A))</f>
        <v/>
      </c>
      <c r="E173" s="78" t="inlineStr">
        <is>
          <t>MO_RIS_TaxRate_NONGAAP</t>
        </is>
      </c>
      <c r="F173" s="77" t="inlineStr">
        <is>
          <t>FY2024</t>
        </is>
      </c>
      <c r="G173" s="77" t="n"/>
      <c r="H173" s="67" t="n"/>
      <c r="I173" s="2108" t="n">
        <v>0.165</v>
      </c>
      <c r="J173" s="2108" t="n">
        <v>0.165</v>
      </c>
      <c r="K173" s="2108">
        <f>AVERAGE(I173:J173)</f>
        <v/>
      </c>
      <c r="L173" s="67" t="n"/>
      <c r="M173" s="77">
        <f>IF(INDEX(MO_SNA_IsHistoricalPeriod,,MATCH(F173,MO_Common_ColumnHeader,0)),"Actual","Estimate")</f>
        <v/>
      </c>
      <c r="N173" s="2108">
        <f>IFERROR(INDEX(INDIRECT(E173),0,MATCH(F173,MO_Common_ColumnHeader,0)),"N/A")</f>
        <v/>
      </c>
      <c r="O173" s="67" t="n"/>
      <c r="P173" s="2168">
        <f>IF(ISNUMBER(N173),N173-K173,"N/A")</f>
        <v/>
      </c>
      <c r="Q173" s="2168">
        <f>IFERROR(IF(ISNUMBER(N173),(N173-K173)/ABS(K173),"N/A"),"N/A")</f>
        <v/>
      </c>
      <c r="R173" s="112" t="n"/>
      <c r="S173" s="80" t="n">
        <v>45495</v>
      </c>
      <c r="T173" s="88" t="inlineStr">
        <is>
          <t>CFO Commentary</t>
        </is>
      </c>
      <c r="U173" s="67" t="n"/>
    </row>
    <row r="174" ht="14.4" customFormat="1" customHeight="1" s="1013">
      <c r="A174" s="114" t="n">
        <v>790</v>
      </c>
      <c r="B174" s="77">
        <f>IF(INDEX(MO_SNA_IsHistoricalPeriod,,MATCH(F174,MO_Common_ColumnHeader,0)),"Historical","Forward")</f>
        <v/>
      </c>
      <c r="C174" s="67" t="n"/>
      <c r="D174" s="84">
        <f>INDEX(INDIRECT(E174),0,COLUMN(MO_Common_Column_A))</f>
        <v/>
      </c>
      <c r="E174" s="78" t="inlineStr">
        <is>
          <t>MO_RIS_ShareCount_WAD</t>
        </is>
      </c>
      <c r="F174" s="77" t="inlineStr">
        <is>
          <t>FY2024</t>
        </is>
      </c>
      <c r="G174" s="77" t="n"/>
      <c r="H174" s="67" t="n"/>
      <c r="I174" s="2087" t="n">
        <v>273.5</v>
      </c>
      <c r="J174" s="2087" t="n">
        <v>275.5</v>
      </c>
      <c r="K174" s="2087">
        <f>AVERAGE(I174:J174)</f>
        <v/>
      </c>
      <c r="L174" s="67" t="n"/>
      <c r="M174" s="77">
        <f>IF(INDEX(MO_SNA_IsHistoricalPeriod,,MATCH(F174,MO_Common_ColumnHeader,0)),"Actual","Estimate")</f>
        <v/>
      </c>
      <c r="N174" s="2087">
        <f>IFERROR(INDEX(INDIRECT(E174),0,MATCH(F174,MO_Common_ColumnHeader,0)),"N/A")</f>
        <v/>
      </c>
      <c r="O174" s="67" t="n"/>
      <c r="P174" s="2169">
        <f>IF(ISNUMBER(N174),N174-K174,"N/A")</f>
        <v/>
      </c>
      <c r="Q174" s="2168">
        <f>IFERROR(IF(ISNUMBER(N174),(N174-K174)/ABS(K174),"N/A"),"N/A")</f>
        <v/>
      </c>
      <c r="R174" s="112" t="n"/>
      <c r="S174" s="80" t="n">
        <v>45495</v>
      </c>
      <c r="T174" s="88" t="inlineStr">
        <is>
          <t>CFO Commentary</t>
        </is>
      </c>
      <c r="U174" s="67" t="n"/>
    </row>
    <row r="175" ht="14.4" customFormat="1" customHeight="1" s="1013">
      <c r="A175" s="114" t="n">
        <v>789</v>
      </c>
      <c r="B175" s="77">
        <f>IF(INDEX(MO_SNA_IsHistoricalPeriod,,MATCH(F175,MO_Common_ColumnHeader,0)),"Historical","Forward")</f>
        <v/>
      </c>
      <c r="C175" s="67" t="n"/>
      <c r="D175" s="84" t="inlineStr">
        <is>
          <t>DSO</t>
        </is>
      </c>
      <c r="E175" s="78" t="n"/>
      <c r="F175" s="77" t="inlineStr">
        <is>
          <t>FY2024</t>
        </is>
      </c>
      <c r="G175" s="77" t="n"/>
      <c r="H175" s="67" t="n"/>
      <c r="I175" s="2087" t="n">
        <v>45</v>
      </c>
      <c r="J175" s="2087" t="n">
        <v>45</v>
      </c>
      <c r="K175" s="2087">
        <f>AVERAGE(I175:J175)</f>
        <v/>
      </c>
      <c r="L175" s="67" t="n"/>
      <c r="M175" s="77">
        <f>IF(INDEX(MO_SNA_IsHistoricalPeriod,,MATCH(F175,MO_Common_ColumnHeader,0)),"Actual","Estimate")</f>
        <v/>
      </c>
      <c r="N175" s="2087">
        <f>IFERROR(INDEX(INDIRECT(E175),0,MATCH(F175,MO_Common_ColumnHeader,0)),"N/A")</f>
        <v/>
      </c>
      <c r="O175" s="67" t="n"/>
      <c r="P175" s="2169">
        <f>IF(ISNUMBER(N175),N175-K175,"N/A")</f>
        <v/>
      </c>
      <c r="Q175" s="2168">
        <f>IFERROR(IF(ISNUMBER(N175),(N175-K175)/ABS(K175),"N/A"),"N/A")</f>
        <v/>
      </c>
      <c r="R175" s="112" t="n"/>
      <c r="S175" s="80" t="n">
        <v>45495</v>
      </c>
      <c r="T175" s="88" t="inlineStr">
        <is>
          <t>CFO Commentary</t>
        </is>
      </c>
      <c r="U175" s="67" t="n"/>
    </row>
    <row r="176" ht="14.4" customFormat="1" customHeight="1" s="1013">
      <c r="A176" s="114" t="n">
        <v>788</v>
      </c>
      <c r="B176" s="77">
        <f>IF(INDEX(MO_SNA_IsHistoricalPeriod,,MATCH(F176,MO_Common_ColumnHeader,0)),"Historical","Forward")</f>
        <v/>
      </c>
      <c r="C176" s="67" t="n"/>
      <c r="D176" s="84">
        <f>INDEX(INDIRECT(E176),0,COLUMN(MO_Common_Column_A))</f>
        <v/>
      </c>
      <c r="E176" s="78" t="inlineStr">
        <is>
          <t>MO_CFSum_Capex</t>
        </is>
      </c>
      <c r="F176" s="77" t="inlineStr">
        <is>
          <t>FY2024</t>
        </is>
      </c>
      <c r="G176" s="77" t="n"/>
      <c r="H176" s="67" t="n"/>
      <c r="I176" s="2087" t="n">
        <v>-130</v>
      </c>
      <c r="J176" s="2087" t="n">
        <v>-130</v>
      </c>
      <c r="K176" s="2087">
        <f>AVERAGE(I176:J176)</f>
        <v/>
      </c>
      <c r="L176" s="67" t="n"/>
      <c r="M176" s="77">
        <f>IF(INDEX(MO_SNA_IsHistoricalPeriod,,MATCH(F176,MO_Common_ColumnHeader,0)),"Actual","Estimate")</f>
        <v/>
      </c>
      <c r="N176" s="2087">
        <f>IFERROR(INDEX(INDIRECT(E176),0,MATCH(F176,MO_Common_ColumnHeader,0)),"N/A")</f>
        <v/>
      </c>
      <c r="O176" s="67" t="n"/>
      <c r="P176" s="2169">
        <f>IF(ISNUMBER(N176),N176-K176,"N/A")</f>
        <v/>
      </c>
      <c r="Q176" s="2168">
        <f>IFERROR(IF(ISNUMBER(N176),(N176-K176)/ABS(K176),"N/A"),"N/A")</f>
        <v/>
      </c>
      <c r="R176" s="112" t="n"/>
      <c r="S176" s="80" t="n">
        <v>45495</v>
      </c>
      <c r="T176" s="88" t="inlineStr">
        <is>
          <t>CFO Commentary</t>
        </is>
      </c>
      <c r="U176" s="67" t="n"/>
    </row>
    <row r="177" ht="14.4" customFormat="1" customHeight="1" s="1013">
      <c r="A177" s="114" t="n">
        <v>787</v>
      </c>
      <c r="B177" s="77">
        <f>IF(INDEX(MO_SNA_IsHistoricalPeriod,,MATCH(F177,MO_Common_ColumnHeader,0)),"Historical","Forward")</f>
        <v/>
      </c>
      <c r="C177" s="67" t="n"/>
      <c r="D177" s="84">
        <f>INDEX(INDIRECT(E177),0,COLUMN(MO_Common_Column_A))</f>
        <v/>
      </c>
      <c r="E177" s="78" t="inlineStr">
        <is>
          <t>MO_RIS_SBC</t>
        </is>
      </c>
      <c r="F177" s="77" t="inlineStr">
        <is>
          <t>FY2024</t>
        </is>
      </c>
      <c r="G177" s="77" t="n"/>
      <c r="H177" s="67" t="n"/>
      <c r="I177" s="2087" t="n">
        <v>391</v>
      </c>
      <c r="J177" s="2087" t="n">
        <v>391</v>
      </c>
      <c r="K177" s="2087">
        <f>AVERAGE(I177:J177)</f>
        <v/>
      </c>
      <c r="L177" s="67" t="n"/>
      <c r="M177" s="77">
        <f>IF(INDEX(MO_SNA_IsHistoricalPeriod,,MATCH(F177,MO_Common_ColumnHeader,0)),"Actual","Estimate")</f>
        <v/>
      </c>
      <c r="N177" s="2087">
        <f>IFERROR(INDEX(INDIRECT(E177),0,MATCH(F177,MO_Common_ColumnHeader,0)),"N/A")</f>
        <v/>
      </c>
      <c r="O177" s="67" t="n"/>
      <c r="P177" s="2169">
        <f>IF(ISNUMBER(N177),N177-K177,"N/A")</f>
        <v/>
      </c>
      <c r="Q177" s="2168">
        <f>IFERROR(IF(ISNUMBER(N177),(N177-K177)/ABS(K177),"N/A"),"N/A")</f>
        <v/>
      </c>
      <c r="R177" s="112" t="n"/>
      <c r="S177" s="80" t="n">
        <v>45495</v>
      </c>
      <c r="T177" s="88" t="inlineStr">
        <is>
          <t>CFO Commentary</t>
        </is>
      </c>
      <c r="U177" s="67" t="n"/>
    </row>
    <row r="178" ht="14.4" customFormat="1" customHeight="1" s="1013">
      <c r="A178" s="114" t="n">
        <v>786</v>
      </c>
      <c r="B178" s="77">
        <f>IF(INDEX(MO_SNA_IsHistoricalPeriod,,MATCH(F178,MO_Common_ColumnHeader,0)),"Historical","Forward")</f>
        <v/>
      </c>
      <c r="C178" s="67" t="n"/>
      <c r="D178" s="84">
        <f>INDEX(INDIRECT(E178),0,COLUMN(MO_Common_Column_A))</f>
        <v/>
      </c>
      <c r="E178" s="78" t="inlineStr">
        <is>
          <t>MO_RIS_Daintangibles</t>
        </is>
      </c>
      <c r="F178" s="77" t="inlineStr">
        <is>
          <t>FY2024</t>
        </is>
      </c>
      <c r="G178" s="77" t="n"/>
      <c r="H178" s="67" t="n"/>
      <c r="I178" s="2087" t="n">
        <v>90</v>
      </c>
      <c r="J178" s="2087" t="n">
        <v>90</v>
      </c>
      <c r="K178" s="2087">
        <f>AVERAGE(I178:J178)</f>
        <v/>
      </c>
      <c r="L178" s="67" t="n"/>
      <c r="M178" s="77">
        <f>IF(INDEX(MO_SNA_IsHistoricalPeriod,,MATCH(F178,MO_Common_ColumnHeader,0)),"Actual","Estimate")</f>
        <v/>
      </c>
      <c r="N178" s="2087">
        <f>IFERROR(INDEX(INDIRECT(E178),0,MATCH(F178,MO_Common_ColumnHeader,0)),"N/A")</f>
        <v/>
      </c>
      <c r="O178" s="67" t="n"/>
      <c r="P178" s="2169">
        <f>IF(ISNUMBER(N178),N178-K178,"N/A")</f>
        <v/>
      </c>
      <c r="Q178" s="2168">
        <f>IFERROR(IF(ISNUMBER(N178),(N178-K178)/ABS(K178),"N/A"),"N/A")</f>
        <v/>
      </c>
      <c r="R178" s="112" t="n"/>
      <c r="S178" s="80" t="n">
        <v>45495</v>
      </c>
      <c r="T178" s="88" t="inlineStr">
        <is>
          <t>CFO Commentary</t>
        </is>
      </c>
      <c r="U178" s="67" t="n"/>
    </row>
    <row r="179" ht="14.4" customFormat="1" customHeight="1" s="1013">
      <c r="A179" s="114" t="n">
        <v>785</v>
      </c>
      <c r="B179" s="77">
        <f>IF(INDEX(MO_SNA_IsHistoricalPeriod,,MATCH(F179,MO_Common_ColumnHeader,0)),"Historical","Forward")</f>
        <v/>
      </c>
      <c r="C179" s="67" t="n"/>
      <c r="D179" s="84" t="inlineStr">
        <is>
          <t>Acquisition and integration-related costs</t>
        </is>
      </c>
      <c r="E179" s="78" t="n"/>
      <c r="F179" s="77" t="inlineStr">
        <is>
          <t>FY2024</t>
        </is>
      </c>
      <c r="G179" s="77" t="n"/>
      <c r="H179" s="67" t="n"/>
      <c r="I179" s="2087" t="n">
        <v>93</v>
      </c>
      <c r="J179" s="2087" t="n">
        <v>93</v>
      </c>
      <c r="K179" s="2087">
        <f>AVERAGE(I179:J179)</f>
        <v/>
      </c>
      <c r="L179" s="67" t="n"/>
      <c r="M179" s="77">
        <f>IF(INDEX(MO_SNA_IsHistoricalPeriod,,MATCH(F179,MO_Common_ColumnHeader,0)),"Actual","Estimate")</f>
        <v/>
      </c>
      <c r="N179" s="2087">
        <f>IFERROR(INDEX(INDIRECT(E179),0,MATCH(F179,MO_Common_ColumnHeader,0)),"N/A")</f>
        <v/>
      </c>
      <c r="O179" s="67" t="n"/>
      <c r="P179" s="2169">
        <f>IF(ISNUMBER(N179),N179-K179,"N/A")</f>
        <v/>
      </c>
      <c r="Q179" s="2168">
        <f>IFERROR(IF(ISNUMBER(N179),(N179-K179)/ABS(K179),"N/A"),"N/A")</f>
        <v/>
      </c>
      <c r="R179" s="112" t="n"/>
      <c r="S179" s="80" t="n">
        <v>45495</v>
      </c>
      <c r="T179" s="88" t="inlineStr">
        <is>
          <t>CFO Commentary</t>
        </is>
      </c>
      <c r="U179" s="67" t="n"/>
    </row>
    <row r="180" ht="14.4" customFormat="1" customHeight="1" s="1013">
      <c r="A180" s="114" t="n">
        <v>784</v>
      </c>
      <c r="B180" s="77">
        <f>IF(INDEX(MO_SNA_IsHistoricalPeriod,,MATCH(F180,MO_Common_ColumnHeader,0)),"Historical","Forward")</f>
        <v/>
      </c>
      <c r="C180" s="67" t="n"/>
      <c r="D180" s="84" t="inlineStr">
        <is>
          <t>Restructuring and other credits</t>
        </is>
      </c>
      <c r="E180" s="78" t="n"/>
      <c r="F180" s="77" t="inlineStr">
        <is>
          <t>FY2024</t>
        </is>
      </c>
      <c r="G180" s="77" t="n"/>
      <c r="H180" s="67" t="n"/>
      <c r="I180" s="2087" t="n">
        <v>0</v>
      </c>
      <c r="J180" s="2087" t="n">
        <v>0</v>
      </c>
      <c r="K180" s="2087">
        <f>AVERAGE(I180:J180)</f>
        <v/>
      </c>
      <c r="L180" s="67" t="n"/>
      <c r="M180" s="77">
        <f>IF(INDEX(MO_SNA_IsHistoricalPeriod,,MATCH(F180,MO_Common_ColumnHeader,0)),"Actual","Estimate")</f>
        <v/>
      </c>
      <c r="N180" s="2087">
        <f>IFERROR(INDEX(INDIRECT(E180),0,MATCH(F180,MO_Common_ColumnHeader,0)),"N/A")</f>
        <v/>
      </c>
      <c r="O180" s="67" t="n"/>
      <c r="P180" s="2169">
        <f>IF(ISNUMBER(N180),N180-K180,"N/A")</f>
        <v/>
      </c>
      <c r="Q180" s="2168">
        <f>IFERROR(IF(ISNUMBER(N180),(N180-K180)/ABS(K180),"N/A"),"N/A")</f>
        <v/>
      </c>
      <c r="R180" s="112" t="n"/>
      <c r="S180" s="80" t="n">
        <v>45495</v>
      </c>
      <c r="T180" s="88" t="inlineStr">
        <is>
          <t>CFO Commentary</t>
        </is>
      </c>
      <c r="U180" s="67" t="n"/>
    </row>
    <row r="181" ht="14.4" customFormat="1" customHeight="1" s="1013">
      <c r="A181" s="114" t="n">
        <v>783</v>
      </c>
      <c r="B181" s="77">
        <f>IF(INDEX(MO_SNA_IsHistoricalPeriod,,MATCH(F181,MO_Common_ColumnHeader,0)),"Historical","Forward")</f>
        <v/>
      </c>
      <c r="C181" s="67" t="n"/>
      <c r="D181" s="84" t="inlineStr">
        <is>
          <t>Non-Qualified deferred compensation expenses</t>
        </is>
      </c>
      <c r="E181" s="78" t="n"/>
      <c r="F181" s="77" t="inlineStr">
        <is>
          <t>FY2024</t>
        </is>
      </c>
      <c r="G181" s="77" t="n"/>
      <c r="H181" s="67" t="n"/>
      <c r="I181" s="2087" t="n">
        <v>6</v>
      </c>
      <c r="J181" s="2087" t="n">
        <v>6</v>
      </c>
      <c r="K181" s="2087">
        <f>AVERAGE(I181:J181)</f>
        <v/>
      </c>
      <c r="L181" s="67" t="n"/>
      <c r="M181" s="77">
        <f>IF(INDEX(MO_SNA_IsHistoricalPeriod,,MATCH(F181,MO_Common_ColumnHeader,0)),"Actual","Estimate")</f>
        <v/>
      </c>
      <c r="N181" s="2087">
        <f>IFERROR(INDEX(INDIRECT(E181),0,MATCH(F181,MO_Common_ColumnHeader,0)),"N/A")</f>
        <v/>
      </c>
      <c r="O181" s="67" t="n"/>
      <c r="P181" s="2169">
        <f>IF(ISNUMBER(N181),N181-K181,"N/A")</f>
        <v/>
      </c>
      <c r="Q181" s="2168">
        <f>IFERROR(IF(ISNUMBER(N181),(N181-K181)/ABS(K181),"N/A"),"N/A")</f>
        <v/>
      </c>
      <c r="R181" s="112" t="n"/>
      <c r="S181" s="80" t="n">
        <v>45495</v>
      </c>
      <c r="T181" s="88" t="inlineStr">
        <is>
          <t>CFO Commentary</t>
        </is>
      </c>
      <c r="U181" s="67" t="n"/>
    </row>
    <row r="182" ht="14.4" customFormat="1" customHeight="1" s="1013">
      <c r="A182" s="114" t="n">
        <v>782</v>
      </c>
      <c r="B182" s="77">
        <f>IF(INDEX(MO_SNA_IsHistoricalPeriod,,MATCH(F182,MO_Common_ColumnHeader,0)),"Historical","Forward")</f>
        <v/>
      </c>
      <c r="C182" s="67" t="n"/>
      <c r="D182" s="84" t="inlineStr">
        <is>
          <t>Special charges</t>
        </is>
      </c>
      <c r="E182" s="78" t="n"/>
      <c r="F182" s="77" t="inlineStr">
        <is>
          <t>FY2024</t>
        </is>
      </c>
      <c r="G182" s="77" t="n"/>
      <c r="H182" s="67" t="n"/>
      <c r="I182" s="2087" t="n">
        <v>1</v>
      </c>
      <c r="J182" s="2087" t="n">
        <v>1</v>
      </c>
      <c r="K182" s="2087">
        <f>AVERAGE(I182:J182)</f>
        <v/>
      </c>
      <c r="L182" s="67" t="n"/>
      <c r="M182" s="77">
        <f>IF(INDEX(MO_SNA_IsHistoricalPeriod,,MATCH(F182,MO_Common_ColumnHeader,0)),"Actual","Estimate")</f>
        <v/>
      </c>
      <c r="N182" s="2087">
        <f>IFERROR(INDEX(INDIRECT(E182),0,MATCH(F182,MO_Common_ColumnHeader,0)),"N/A")</f>
        <v/>
      </c>
      <c r="O182" s="67" t="n"/>
      <c r="P182" s="2169">
        <f>IF(ISNUMBER(N182),N182-K182,"N/A")</f>
        <v/>
      </c>
      <c r="Q182" s="2168">
        <f>IFERROR(IF(ISNUMBER(N182),(N182-K182)/ABS(K182),"N/A"),"N/A")</f>
        <v/>
      </c>
      <c r="R182" s="112" t="n"/>
      <c r="S182" s="80" t="n">
        <v>45495</v>
      </c>
      <c r="T182" s="88" t="inlineStr">
        <is>
          <t>CFO Commentary</t>
        </is>
      </c>
      <c r="U182" s="67" t="n"/>
    </row>
    <row r="183" ht="14.4" customFormat="1" customHeight="1" s="1013">
      <c r="A183" s="114" t="n">
        <v>781</v>
      </c>
      <c r="B183" s="77">
        <f>IF(INDEX(MO_SNA_IsHistoricalPeriod,,MATCH(F183,MO_Common_ColumnHeader,0)),"Historical","Forward")</f>
        <v/>
      </c>
      <c r="C183" s="67" t="n"/>
      <c r="D183" s="84" t="inlineStr">
        <is>
          <t>GAAP Operating Expenses</t>
        </is>
      </c>
      <c r="E183" s="78" t="n"/>
      <c r="F183" s="77" t="inlineStr">
        <is>
          <t>FY2024</t>
        </is>
      </c>
      <c r="G183" s="77" t="n"/>
      <c r="H183" s="67" t="n"/>
      <c r="I183" s="2087" t="n">
        <v>3244</v>
      </c>
      <c r="J183" s="2087" t="n">
        <v>3244</v>
      </c>
      <c r="K183" s="2087">
        <f>AVERAGE(I183:J183)</f>
        <v/>
      </c>
      <c r="L183" s="67" t="n"/>
      <c r="M183" s="77">
        <f>IF(INDEX(MO_SNA_IsHistoricalPeriod,,MATCH(F183,MO_Common_ColumnHeader,0)),"Actual","Estimate")</f>
        <v/>
      </c>
      <c r="N183" s="2087">
        <f>IFERROR(INDEX(MO_RIS_COGS,0,MATCH(Guidance!F183,MO_Common_ColumnHeader,0))+INDEX(MO_RIS_RD,0,MATCH(Guidance!F183,MO_Common_ColumnHeader,0))+INDEX(MO_RIS_GA,0,MATCH(Guidance!F183,MO_Common_ColumnHeader,0))+INDEX(MO_RIS_SM,0,MATCH(Guidance!F183,MO_Common_ColumnHeader,0)),"N/A")</f>
        <v/>
      </c>
      <c r="O183" s="2072" t="n"/>
      <c r="P183" s="2169">
        <f>IF(ISNUMBER(N183),N183-K183,"N/A")</f>
        <v/>
      </c>
      <c r="Q183" s="2168">
        <f>IFERROR(IF(ISNUMBER(N183),(N183-K183)/ABS(K183),"N/A"),"N/A")</f>
        <v/>
      </c>
      <c r="R183" s="112" t="n"/>
      <c r="S183" s="80" t="n">
        <v>45495</v>
      </c>
      <c r="T183" s="88" t="inlineStr">
        <is>
          <t>CFO Commentary</t>
        </is>
      </c>
      <c r="U183" s="67" t="n"/>
    </row>
    <row r="184" ht="14.4" customFormat="1" customHeight="1" s="1013">
      <c r="A184" s="114" t="n">
        <v>780</v>
      </c>
      <c r="B184" s="77">
        <f>IF(INDEX(MO_SNA_IsHistoricalPeriod,,MATCH(F184,MO_Common_ColumnHeader,0)),"Historical","Forward")</f>
        <v/>
      </c>
      <c r="C184" s="67" t="n"/>
      <c r="D184" s="84" t="inlineStr">
        <is>
          <t>Non-GAAP Operating Expenses</t>
        </is>
      </c>
      <c r="E184" s="78" t="n"/>
      <c r="F184" s="77" t="inlineStr">
        <is>
          <t>FY2024</t>
        </is>
      </c>
      <c r="G184" s="77" t="n"/>
      <c r="H184" s="67" t="n"/>
      <c r="I184" s="2087" t="n">
        <v>2663</v>
      </c>
      <c r="J184" s="2087" t="n">
        <v>2663</v>
      </c>
      <c r="K184" s="2087">
        <f>AVERAGE(I184:J184)</f>
        <v/>
      </c>
      <c r="L184" s="67" t="n"/>
      <c r="M184" s="77">
        <f>IF(INDEX(MO_SNA_IsHistoricalPeriod,,MATCH(F184,MO_Common_ColumnHeader,0)),"Actual","Estimate")</f>
        <v/>
      </c>
      <c r="N184" s="2087">
        <f>IFERROR(INDEX(MO_RIS_REV,0,MATCH(Guidance!F184,MO_Common_ColumnHeader,0))+INDEX(MO_RIS_RD_NONGAAP,0,MATCH(Guidance!F184,MO_Common_ColumnHeader,0))+INDEX(MO_RIS_GA_NONGAAP,0,MATCH(Guidance!F184,MO_Common_ColumnHeader,0))+INDEX(MO_RIS_SM_NONGAAP,0,MATCH(Guidance!F184,MO_Common_ColumnHeader,0))-INDEX(MO_RIS_GP_NONGAAP,0,MATCH(Guidance!F184,MO_Common_ColumnHeader,0)),"N/A")</f>
        <v/>
      </c>
      <c r="O184" s="2072" t="n"/>
      <c r="P184" s="2169">
        <f>IF(ISNUMBER(N184),N184-K184,"N/A")</f>
        <v/>
      </c>
      <c r="Q184" s="2168">
        <f>IFERROR(IF(ISNUMBER(N184),(N184-K184)/ABS(K184),"N/A"),"N/A")</f>
        <v/>
      </c>
      <c r="R184" s="112" t="n"/>
      <c r="S184" s="80" t="n">
        <v>45495</v>
      </c>
      <c r="T184" s="88" t="inlineStr">
        <is>
          <t>CFO Commentary</t>
        </is>
      </c>
      <c r="U184" s="67" t="n"/>
    </row>
    <row r="185" ht="14.4" customFormat="1" customHeight="1" s="1013">
      <c r="A185" s="114" t="n">
        <v>779</v>
      </c>
      <c r="B185" s="67" t="n"/>
      <c r="C185" s="67" t="n"/>
      <c r="D185" s="68" t="n"/>
      <c r="E185" s="69" t="n"/>
      <c r="F185" s="67" t="n"/>
      <c r="G185" s="67" t="n"/>
      <c r="H185" s="67" t="n"/>
      <c r="I185" s="2072" t="n"/>
      <c r="J185" s="2072" t="n"/>
      <c r="K185" s="2072" t="n"/>
      <c r="L185" s="67" t="n"/>
      <c r="M185" s="67" t="n"/>
      <c r="N185" s="2072" t="n"/>
      <c r="O185" s="67" t="n"/>
      <c r="P185" s="2172" t="n"/>
      <c r="Q185" s="2173" t="n"/>
      <c r="R185" s="112" t="n"/>
      <c r="S185" s="112" t="n"/>
      <c r="T185" s="344" t="n"/>
      <c r="U185" s="67" t="n"/>
    </row>
    <row r="186" ht="14.4" customFormat="1" customHeight="1" s="1013">
      <c r="A186" s="114" t="n">
        <v>778</v>
      </c>
      <c r="B186" s="77">
        <f>IF(INDEX(MO_SNA_IsHistoricalPeriod,,MATCH(F186,MO_Common_ColumnHeader,0)),"Historical","Forward")</f>
        <v/>
      </c>
      <c r="C186" s="67" t="n"/>
      <c r="D186" s="84">
        <f>INDEX(INDIRECT(E186),0,COLUMN(MO_Common_Column_A))</f>
        <v/>
      </c>
      <c r="E186" s="78" t="inlineStr">
        <is>
          <t>MO_RIS_REV</t>
        </is>
      </c>
      <c r="F186" s="77" t="inlineStr">
        <is>
          <t>Q3-2024</t>
        </is>
      </c>
      <c r="G186" s="77" t="n"/>
      <c r="H186" s="67" t="n"/>
      <c r="I186" s="2087" t="n">
        <v>1165</v>
      </c>
      <c r="J186" s="2087" t="n">
        <v>1195</v>
      </c>
      <c r="K186" s="2087">
        <f>AVERAGE(I186:J186)</f>
        <v/>
      </c>
      <c r="L186" s="67" t="n"/>
      <c r="M186" s="77">
        <f>IF(INDEX(MO_SNA_IsHistoricalPeriod,,MATCH(F186,MO_Common_ColumnHeader,0)),"Actual","Estimate")</f>
        <v/>
      </c>
      <c r="N186" s="2087">
        <f>IFERROR(INDEX(INDIRECT(E186),0,MATCH(F186,MO_Common_ColumnHeader,0)),"N/A")</f>
        <v/>
      </c>
      <c r="O186" s="67" t="n"/>
      <c r="P186" s="2169">
        <f>IF(ISNUMBER(N186),N186-K186,"N/A")</f>
        <v/>
      </c>
      <c r="Q186" s="2168">
        <f>IFERROR(IF(ISNUMBER(N186),(N186-K186)/ABS(K186),"N/A"),"N/A")</f>
        <v/>
      </c>
      <c r="R186" s="112" t="n"/>
      <c r="S186" s="80" t="n">
        <v>45495</v>
      </c>
      <c r="T186" s="88" t="inlineStr">
        <is>
          <t>CFO Commentary</t>
        </is>
      </c>
      <c r="U186" s="67" t="n"/>
    </row>
    <row r="187" ht="14.4" customFormat="1" customHeight="1" s="1013">
      <c r="A187" s="114" t="n">
        <v>777</v>
      </c>
      <c r="B187" s="77">
        <f>IF(INDEX(MO_SNA_IsHistoricalPeriod,,MATCH(F187,MO_Common_ColumnHeader,0)),"Historical","Forward")</f>
        <v/>
      </c>
      <c r="C187" s="67" t="n"/>
      <c r="D187" s="84" t="inlineStr">
        <is>
          <t>GAAP Operating Margin</t>
        </is>
      </c>
      <c r="E187" s="78" t="inlineStr">
        <is>
          <t>MO_MA_EBIT</t>
        </is>
      </c>
      <c r="F187" s="77" t="inlineStr">
        <is>
          <t>Q3-2024</t>
        </is>
      </c>
      <c r="G187" s="77" t="n"/>
      <c r="H187" s="67" t="n"/>
      <c r="I187" s="2108" t="n">
        <v>0.277</v>
      </c>
      <c r="J187" s="2108" t="n">
        <v>0.293</v>
      </c>
      <c r="K187" s="2108">
        <f>AVERAGE(I187:J187)</f>
        <v/>
      </c>
      <c r="L187" s="67" t="n"/>
      <c r="M187" s="77">
        <f>IF(INDEX(MO_SNA_IsHistoricalPeriod,,MATCH(F187,MO_Common_ColumnHeader,0)),"Actual","Estimate")</f>
        <v/>
      </c>
      <c r="N187" s="2108">
        <f>IFERROR(INDEX(INDIRECT(E187),0,MATCH(F187,MO_Common_ColumnHeader,0)),"N/A")</f>
        <v/>
      </c>
      <c r="O187" s="67" t="n"/>
      <c r="P187" s="2168">
        <f>IF(ISNUMBER(N187),N187-K187,"N/A")</f>
        <v/>
      </c>
      <c r="Q187" s="2168">
        <f>IFERROR(IF(ISNUMBER(N187),(N187-K187)/ABS(K187),"N/A"),"N/A")</f>
        <v/>
      </c>
      <c r="R187" s="112" t="n"/>
      <c r="S187" s="80" t="n">
        <v>45495</v>
      </c>
      <c r="T187" s="88" t="inlineStr">
        <is>
          <t>CFO Commentary</t>
        </is>
      </c>
      <c r="U187" s="67" t="n"/>
    </row>
    <row r="188" ht="14.4" customFormat="1" customHeight="1" s="1013">
      <c r="A188" s="114" t="n">
        <v>776</v>
      </c>
      <c r="B188" s="77">
        <f>IF(INDEX(MO_SNA_IsHistoricalPeriod,,MATCH(F188,MO_Common_ColumnHeader,0)),"Historical","Forward")</f>
        <v/>
      </c>
      <c r="C188" s="67" t="n"/>
      <c r="D188" s="84">
        <f>INDEX(INDIRECT(E188),0,COLUMN(MO_Common_Column_A))</f>
        <v/>
      </c>
      <c r="E188" s="78" t="inlineStr">
        <is>
          <t>MO_MA_OperatingIncome_NONGAAP</t>
        </is>
      </c>
      <c r="F188" s="77" t="inlineStr">
        <is>
          <t>Q3-2024</t>
        </is>
      </c>
      <c r="G188" s="77" t="n"/>
      <c r="H188" s="67" t="n"/>
      <c r="I188" s="2108" t="n">
        <v>0.407</v>
      </c>
      <c r="J188" s="2108" t="n">
        <v>0.423</v>
      </c>
      <c r="K188" s="2108">
        <f>AVERAGE(I188:J188)</f>
        <v/>
      </c>
      <c r="L188" s="67" t="n"/>
      <c r="M188" s="77">
        <f>IF(INDEX(MO_SNA_IsHistoricalPeriod,,MATCH(F188,MO_Common_ColumnHeader,0)),"Actual","Estimate")</f>
        <v/>
      </c>
      <c r="N188" s="2108">
        <f>IFERROR(INDEX(INDIRECT(E188),0,MATCH(F188,MO_Common_ColumnHeader,0)),"N/A")</f>
        <v/>
      </c>
      <c r="O188" s="67" t="n"/>
      <c r="P188" s="2168">
        <f>IF(ISNUMBER(N188),N188-K188,"N/A")</f>
        <v/>
      </c>
      <c r="Q188" s="2168">
        <f>IFERROR(IF(ISNUMBER(N188),(N188-K188)/ABS(K188),"N/A"),"N/A")</f>
        <v/>
      </c>
      <c r="R188" s="112" t="n"/>
      <c r="S188" s="80" t="n">
        <v>45495</v>
      </c>
      <c r="T188" s="88" t="inlineStr">
        <is>
          <t>CFO Commentary</t>
        </is>
      </c>
      <c r="U188" s="67" t="n"/>
    </row>
    <row r="189" ht="14.4" customFormat="1" customHeight="1" s="1013">
      <c r="A189" s="114" t="n">
        <v>775</v>
      </c>
      <c r="B189" s="77">
        <f>IF(INDEX(MO_SNA_IsHistoricalPeriod,,MATCH(F189,MO_Common_ColumnHeader,0)),"Historical","Forward")</f>
        <v/>
      </c>
      <c r="C189" s="67" t="n"/>
      <c r="D189" s="84">
        <f>INDEX(INDIRECT(E189),0,COLUMN(MO_Common_Column_A))</f>
        <v/>
      </c>
      <c r="E189" s="78" t="inlineStr">
        <is>
          <t>MO_RIS_EPS_WAD</t>
        </is>
      </c>
      <c r="F189" s="77" t="inlineStr">
        <is>
          <t>Q3-2024</t>
        </is>
      </c>
      <c r="G189" s="77" t="n"/>
      <c r="H189" s="67" t="n"/>
      <c r="I189" s="2170" t="n">
        <v>0.83</v>
      </c>
      <c r="J189" s="2170" t="n">
        <v>0.93</v>
      </c>
      <c r="K189" s="2170">
        <f>AVERAGE(I189:J189)</f>
        <v/>
      </c>
      <c r="L189" s="67" t="n"/>
      <c r="M189" s="77">
        <f>IF(INDEX(MO_SNA_IsHistoricalPeriod,,MATCH(F189,MO_Common_ColumnHeader,0)),"Actual","Estimate")</f>
        <v/>
      </c>
      <c r="N189" s="2170">
        <f>IFERROR(INDEX(INDIRECT(E189),0,MATCH(F189,MO_Common_ColumnHeader,0)),"N/A")</f>
        <v/>
      </c>
      <c r="O189" s="67" t="n"/>
      <c r="P189" s="2171">
        <f>IF(ISNUMBER(N189),N189-K189,"N/A")</f>
        <v/>
      </c>
      <c r="Q189" s="2168">
        <f>IFERROR(IF(ISNUMBER(N189),(N189-K189)/ABS(K189),"N/A"),"N/A")</f>
        <v/>
      </c>
      <c r="R189" s="112" t="n"/>
      <c r="S189" s="80" t="n">
        <v>45495</v>
      </c>
      <c r="T189" s="88" t="inlineStr">
        <is>
          <t>CFO Commentary</t>
        </is>
      </c>
      <c r="U189" s="67" t="n"/>
    </row>
    <row r="190" ht="14.4" customFormat="1" customHeight="1" s="1013">
      <c r="A190" s="114" t="n">
        <v>774</v>
      </c>
      <c r="B190" s="77">
        <f>IF(INDEX(MO_SNA_IsHistoricalPeriod,,MATCH(F190,MO_Common_ColumnHeader,0)),"Historical","Forward")</f>
        <v/>
      </c>
      <c r="C190" s="67" t="n"/>
      <c r="D190" s="84">
        <f>INDEX(INDIRECT(E190),0,COLUMN(MO_Common_Column_A))</f>
        <v/>
      </c>
      <c r="E190" s="78" t="inlineStr">
        <is>
          <t>MO_RIS_EPS_WAD_Adj</t>
        </is>
      </c>
      <c r="F190" s="77" t="inlineStr">
        <is>
          <t>Q3-2024</t>
        </is>
      </c>
      <c r="G190" s="77" t="n"/>
      <c r="H190" s="67" t="n"/>
      <c r="I190" s="2170" t="n">
        <v>1.39</v>
      </c>
      <c r="J190" s="2170" t="n">
        <v>1.49</v>
      </c>
      <c r="K190" s="2170">
        <f>AVERAGE(I190:J190)</f>
        <v/>
      </c>
      <c r="L190" s="67" t="n"/>
      <c r="M190" s="77">
        <f>IF(INDEX(MO_SNA_IsHistoricalPeriod,,MATCH(F190,MO_Common_ColumnHeader,0)),"Actual","Estimate")</f>
        <v/>
      </c>
      <c r="N190" s="2170">
        <f>IFERROR(INDEX(INDIRECT(E190),0,MATCH(F190,MO_Common_ColumnHeader,0)),"N/A")</f>
        <v/>
      </c>
      <c r="O190" s="67" t="n"/>
      <c r="P190" s="2171">
        <f>IF(ISNUMBER(N190),N190-K190,"N/A")</f>
        <v/>
      </c>
      <c r="Q190" s="2168">
        <f>IFERROR(IF(ISNUMBER(N190),(N190-K190)/ABS(K190),"N/A"),"N/A")</f>
        <v/>
      </c>
      <c r="R190" s="112" t="n"/>
      <c r="S190" s="80" t="n">
        <v>45495</v>
      </c>
      <c r="T190" s="88" t="inlineStr">
        <is>
          <t>CFO Commentary</t>
        </is>
      </c>
      <c r="U190" s="67" t="n"/>
    </row>
    <row r="191" ht="14.4" customFormat="1" customHeight="1" s="1013">
      <c r="A191" s="114" t="n">
        <v>773</v>
      </c>
      <c r="B191" s="77">
        <f>IF(INDEX(MO_SNA_IsHistoricalPeriod,,MATCH(F191,MO_Common_ColumnHeader,0)),"Historical","Forward")</f>
        <v/>
      </c>
      <c r="C191" s="67" t="n"/>
      <c r="D191" s="84">
        <f>INDEX(INDIRECT(E191),0,COLUMN(MO_Common_Column_A))</f>
        <v/>
      </c>
      <c r="E191" s="78" t="inlineStr">
        <is>
          <t>MO_CFSum_NetShares</t>
        </is>
      </c>
      <c r="F191" s="77" t="inlineStr">
        <is>
          <t>Q3-2024</t>
        </is>
      </c>
      <c r="G191" s="77" t="n"/>
      <c r="H191" s="67" t="n"/>
      <c r="I191" s="2087" t="n">
        <v>-150</v>
      </c>
      <c r="J191" s="2087" t="n">
        <v>-150</v>
      </c>
      <c r="K191" s="2087">
        <f>AVERAGE(I191:J191)</f>
        <v/>
      </c>
      <c r="L191" s="67" t="n"/>
      <c r="M191" s="77">
        <f>IF(INDEX(MO_SNA_IsHistoricalPeriod,,MATCH(F191,MO_Common_ColumnHeader,0)),"Actual","Estimate")</f>
        <v/>
      </c>
      <c r="N191" s="2087">
        <f>IFERROR(INDEX(INDIRECT(E191),0,MATCH(F191,MO_Common_ColumnHeader,0)),"N/A")</f>
        <v/>
      </c>
      <c r="O191" s="67" t="n"/>
      <c r="P191" s="2169">
        <f>IF(ISNUMBER(N191),N191-K191,"N/A")</f>
        <v/>
      </c>
      <c r="Q191" s="2168">
        <f>IFERROR(IF(ISNUMBER(N191),(N191-K191)/ABS(K191),"N/A"),"N/A")</f>
        <v/>
      </c>
      <c r="R191" s="112" t="n"/>
      <c r="S191" s="80" t="n">
        <v>45495</v>
      </c>
      <c r="T191" s="88" t="inlineStr">
        <is>
          <t>CFO Commentary</t>
        </is>
      </c>
      <c r="U191" s="67" t="n"/>
    </row>
    <row r="192" ht="14.4" customFormat="1" customHeight="1" s="1013">
      <c r="A192" s="114" t="n">
        <v>772</v>
      </c>
      <c r="B192" s="67" t="n"/>
      <c r="C192" s="67" t="n"/>
      <c r="D192" s="68" t="n"/>
      <c r="E192" s="69" t="n"/>
      <c r="F192" s="67" t="n"/>
      <c r="G192" s="67" t="n"/>
      <c r="H192" s="67" t="n"/>
      <c r="I192" s="2072" t="n"/>
      <c r="J192" s="2072" t="n"/>
      <c r="K192" s="2072" t="n"/>
      <c r="L192" s="67" t="n"/>
      <c r="M192" s="67" t="n"/>
      <c r="N192" s="2072" t="n"/>
      <c r="O192" s="67" t="n"/>
      <c r="P192" s="2172" t="n"/>
      <c r="Q192" s="2173" t="n"/>
      <c r="R192" s="112" t="n"/>
      <c r="S192" s="112" t="n"/>
      <c r="T192" s="344" t="n"/>
      <c r="U192" s="67" t="n"/>
    </row>
    <row r="193" ht="14.4" customFormat="1" customHeight="1" s="1013">
      <c r="A193" s="114" t="n">
        <v>771</v>
      </c>
      <c r="B193" s="77">
        <f>IF(INDEX(MO_SNA_IsHistoricalPeriod,,MATCH(F193,MO_Common_ColumnHeader,0)),"Historical","Forward")</f>
        <v/>
      </c>
      <c r="C193" s="67" t="n"/>
      <c r="D193" s="84" t="inlineStr">
        <is>
          <t>Recurring Revenue %</t>
        </is>
      </c>
      <c r="E193" s="78" t="n"/>
      <c r="F193" s="77" t="inlineStr">
        <is>
          <t>FY2024</t>
        </is>
      </c>
      <c r="G193" s="77" t="n"/>
      <c r="H193" s="67" t="n"/>
      <c r="I193" s="2108" t="n">
        <v>0.8</v>
      </c>
      <c r="J193" s="2108" t="n">
        <v>0.85</v>
      </c>
      <c r="K193" s="2108">
        <f>AVERAGE(I193:J193)</f>
        <v/>
      </c>
      <c r="L193" s="67" t="n"/>
      <c r="M193" s="77">
        <f>IF(INDEX(MO_SNA_IsHistoricalPeriod,,MATCH(F193,MO_Common_ColumnHeader,0)),"Actual","Estimate")</f>
        <v/>
      </c>
      <c r="N193" s="2108">
        <f>IFERROR(INDEX(INDIRECT(E193),0,MATCH(F193,MO_Common_ColumnHeader,0)),"N/A")</f>
        <v/>
      </c>
      <c r="O193" s="2072" t="n"/>
      <c r="P193" s="2168">
        <f>IF(ISNUMBER(N193),N193-K193,"N/A")</f>
        <v/>
      </c>
      <c r="Q193" s="2168">
        <f>IFERROR(IF(ISNUMBER(N193),(N193-K193)/ABS(K193),"N/A"),"N/A")</f>
        <v/>
      </c>
      <c r="R193" s="112" t="n"/>
      <c r="S193" s="80" t="n">
        <v>45404</v>
      </c>
      <c r="T193" s="88" t="inlineStr">
        <is>
          <t>CFO Commentary</t>
        </is>
      </c>
      <c r="U193" s="67" t="n"/>
    </row>
    <row r="194" ht="14.4" customFormat="1" customHeight="1" s="1013">
      <c r="A194" s="114" t="n">
        <v>770</v>
      </c>
      <c r="B194" s="77">
        <f>IF(INDEX(MO_SNA_IsHistoricalPeriod,,MATCH(F194,MO_Common_ColumnHeader,0)),"Historical","Forward")</f>
        <v/>
      </c>
      <c r="C194" s="67" t="n"/>
      <c r="D194" s="84" t="inlineStr">
        <is>
          <t>Revenue from Beginning Backlog %</t>
        </is>
      </c>
      <c r="E194" s="78" t="n"/>
      <c r="F194" s="77" t="inlineStr">
        <is>
          <t>FY2024</t>
        </is>
      </c>
      <c r="G194" s="77" t="n"/>
      <c r="H194" s="67" t="n"/>
      <c r="I194" s="2108" t="n">
        <v>0.7</v>
      </c>
      <c r="J194" s="2108" t="n">
        <v>0.7</v>
      </c>
      <c r="K194" s="2108">
        <f>AVERAGE(I194:J194)</f>
        <v/>
      </c>
      <c r="L194" s="67" t="n"/>
      <c r="M194" s="77">
        <f>IF(INDEX(MO_SNA_IsHistoricalPeriod,,MATCH(F194,MO_Common_ColumnHeader,0)),"Actual","Estimate")</f>
        <v/>
      </c>
      <c r="N194" s="2108">
        <f>IFERROR(INDEX(INDIRECT(E194),0,MATCH(F194,MO_Common_ColumnHeader,0)),"N/A")</f>
        <v/>
      </c>
      <c r="O194" s="2072" t="n"/>
      <c r="P194" s="2168">
        <f>IF(ISNUMBER(N194),N194-K194,"N/A")</f>
        <v/>
      </c>
      <c r="Q194" s="2168">
        <f>IFERROR(IF(ISNUMBER(N194),(N194-K194)/ABS(K194),"N/A"),"N/A")</f>
        <v/>
      </c>
      <c r="R194" s="112" t="n"/>
      <c r="S194" s="80" t="n">
        <v>45404</v>
      </c>
      <c r="T194" s="88" t="inlineStr">
        <is>
          <t>CFO Commentary</t>
        </is>
      </c>
      <c r="U194" s="67" t="n"/>
    </row>
    <row r="195" ht="14.4" customFormat="1" customHeight="1" s="1013">
      <c r="A195" s="114" t="n">
        <v>769</v>
      </c>
      <c r="B195" s="77">
        <f>IF(INDEX(MO_SNA_IsHistoricalPeriod,,MATCH(F195,MO_Common_ColumnHeader,0)),"Historical","Forward")</f>
        <v/>
      </c>
      <c r="C195" s="67" t="n"/>
      <c r="D195" s="84">
        <f>INDEX(INDIRECT(E195),0,COLUMN(MO_Common_Column_A))</f>
        <v/>
      </c>
      <c r="E195" s="78" t="inlineStr">
        <is>
          <t>MO_RIS_REV</t>
        </is>
      </c>
      <c r="F195" s="77" t="inlineStr">
        <is>
          <t>FY2024</t>
        </is>
      </c>
      <c r="G195" s="77" t="n"/>
      <c r="H195" s="67" t="n"/>
      <c r="I195" s="2087" t="n">
        <v>4560</v>
      </c>
      <c r="J195" s="2087" t="n">
        <v>4620</v>
      </c>
      <c r="K195" s="2087">
        <f>AVERAGE(I195:J195)</f>
        <v/>
      </c>
      <c r="L195" s="67" t="n"/>
      <c r="M195" s="77">
        <f>IF(INDEX(MO_SNA_IsHistoricalPeriod,,MATCH(F195,MO_Common_ColumnHeader,0)),"Actual","Estimate")</f>
        <v/>
      </c>
      <c r="N195" s="2087">
        <f>IFERROR(INDEX(INDIRECT(E195),0,MATCH(F195,MO_Common_ColumnHeader,0)),"N/A")</f>
        <v/>
      </c>
      <c r="O195" s="2072" t="n"/>
      <c r="P195" s="2169">
        <f>IF(ISNUMBER(N195),N195-K195,"N/A")</f>
        <v/>
      </c>
      <c r="Q195" s="2168">
        <f>IFERROR(IF(ISNUMBER(N195),(N195-K195)/ABS(K195),"N/A"),"N/A")</f>
        <v/>
      </c>
      <c r="R195" s="112" t="n"/>
      <c r="S195" s="80" t="n">
        <v>45404</v>
      </c>
      <c r="T195" s="88" t="inlineStr">
        <is>
          <t>CFO Commentary</t>
        </is>
      </c>
      <c r="U195" s="67" t="n"/>
    </row>
    <row r="196" ht="14.4" customFormat="1" customHeight="1" s="1013">
      <c r="A196" s="114" t="n">
        <v>768</v>
      </c>
      <c r="B196" s="77">
        <f>IF(INDEX(MO_SNA_IsHistoricalPeriod,,MATCH(F196,MO_Common_ColumnHeader,0)),"Historical","Forward")</f>
        <v/>
      </c>
      <c r="C196" s="67" t="n"/>
      <c r="D196" s="84" t="inlineStr">
        <is>
          <t>GAAP Operating Margin</t>
        </is>
      </c>
      <c r="E196" s="78" t="inlineStr">
        <is>
          <t>MO_MA_EBIT</t>
        </is>
      </c>
      <c r="F196" s="77" t="inlineStr">
        <is>
          <t>FY2024</t>
        </is>
      </c>
      <c r="G196" s="77" t="n"/>
      <c r="H196" s="67" t="n"/>
      <c r="I196" s="2108" t="n">
        <v>0.31</v>
      </c>
      <c r="J196" s="2108" t="n">
        <v>0.32</v>
      </c>
      <c r="K196" s="2108">
        <f>AVERAGE(I196:J196)</f>
        <v/>
      </c>
      <c r="L196" s="67" t="n"/>
      <c r="M196" s="77">
        <f>IF(INDEX(MO_SNA_IsHistoricalPeriod,,MATCH(F196,MO_Common_ColumnHeader,0)),"Actual","Estimate")</f>
        <v/>
      </c>
      <c r="N196" s="2108">
        <f>IFERROR(INDEX(INDIRECT(E196),0,MATCH(F196,MO_Common_ColumnHeader,0)),"N/A")</f>
        <v/>
      </c>
      <c r="O196" s="67" t="n"/>
      <c r="P196" s="2168">
        <f>IF(ISNUMBER(N196),N196-K196,"N/A")</f>
        <v/>
      </c>
      <c r="Q196" s="2168">
        <f>IFERROR(IF(ISNUMBER(N196),(N196-K196)/ABS(K196),"N/A"),"N/A")</f>
        <v/>
      </c>
      <c r="R196" s="112" t="n"/>
      <c r="S196" s="80" t="n">
        <v>45404</v>
      </c>
      <c r="T196" s="88" t="inlineStr">
        <is>
          <t>CFO Commentary</t>
        </is>
      </c>
      <c r="U196" s="67" t="n"/>
    </row>
    <row r="197" ht="14.4" customFormat="1" customHeight="1" s="1013">
      <c r="A197" s="114" t="n">
        <v>767</v>
      </c>
      <c r="B197" s="77">
        <f>IF(INDEX(MO_SNA_IsHistoricalPeriod,,MATCH(F197,MO_Common_ColumnHeader,0)),"Historical","Forward")</f>
        <v/>
      </c>
      <c r="C197" s="67" t="n"/>
      <c r="D197" s="84">
        <f>INDEX(INDIRECT(E197),0,COLUMN(MO_Common_Column_A))</f>
        <v/>
      </c>
      <c r="E197" s="78" t="inlineStr">
        <is>
          <t>MO_MA_OperatingIncome_NONGAAP</t>
        </is>
      </c>
      <c r="F197" s="77" t="inlineStr">
        <is>
          <t>FY2024</t>
        </is>
      </c>
      <c r="G197" s="77" t="n"/>
      <c r="H197" s="67" t="n"/>
      <c r="I197" s="2108" t="n">
        <v>0.42</v>
      </c>
      <c r="J197" s="2108" t="n">
        <v>0.43</v>
      </c>
      <c r="K197" s="2108">
        <f>AVERAGE(I197:J197)</f>
        <v/>
      </c>
      <c r="L197" s="67" t="n"/>
      <c r="M197" s="77">
        <f>IF(INDEX(MO_SNA_IsHistoricalPeriod,,MATCH(F197,MO_Common_ColumnHeader,0)),"Actual","Estimate")</f>
        <v/>
      </c>
      <c r="N197" s="2108">
        <f>IFERROR(INDEX(INDIRECT(E197),0,MATCH(F197,MO_Common_ColumnHeader,0)),"N/A")</f>
        <v/>
      </c>
      <c r="O197" s="67" t="n"/>
      <c r="P197" s="2168">
        <f>IF(ISNUMBER(N197),N197-K197,"N/A")</f>
        <v/>
      </c>
      <c r="Q197" s="2168">
        <f>IFERROR(IF(ISNUMBER(N197),(N197-K197)/ABS(K197),"N/A"),"N/A")</f>
        <v/>
      </c>
      <c r="R197" s="112" t="n"/>
      <c r="S197" s="80" t="n">
        <v>45404</v>
      </c>
      <c r="T197" s="88" t="inlineStr">
        <is>
          <t>CFO Commentary</t>
        </is>
      </c>
      <c r="U197" s="67" t="n"/>
    </row>
    <row r="198" ht="14.4" customFormat="1" customHeight="1" s="1013">
      <c r="A198" s="114" t="n">
        <v>766</v>
      </c>
      <c r="B198" s="77">
        <f>IF(INDEX(MO_SNA_IsHistoricalPeriod,,MATCH(F198,MO_Common_ColumnHeader,0)),"Historical","Forward")</f>
        <v/>
      </c>
      <c r="C198" s="67" t="n"/>
      <c r="D198" s="84">
        <f>INDEX(INDIRECT(E198),0,COLUMN(MO_Common_Column_A))</f>
        <v/>
      </c>
      <c r="E198" s="78" t="inlineStr">
        <is>
          <t>MO_RIS_EPS_WAD</t>
        </is>
      </c>
      <c r="F198" s="77" t="inlineStr">
        <is>
          <t>FY2024</t>
        </is>
      </c>
      <c r="G198" s="77" t="n"/>
      <c r="H198" s="67" t="n"/>
      <c r="I198" s="2170" t="n">
        <v>4.04</v>
      </c>
      <c r="J198" s="2170" t="n">
        <v>4.14</v>
      </c>
      <c r="K198" s="2170">
        <f>AVERAGE(I198:J198)</f>
        <v/>
      </c>
      <c r="L198" s="67" t="n"/>
      <c r="M198" s="77">
        <f>IF(INDEX(MO_SNA_IsHistoricalPeriod,,MATCH(F198,MO_Common_ColumnHeader,0)),"Actual","Estimate")</f>
        <v/>
      </c>
      <c r="N198" s="2170">
        <f>IFERROR(INDEX(INDIRECT(E198),0,MATCH(F198,MO_Common_ColumnHeader,0)),"N/A")</f>
        <v/>
      </c>
      <c r="O198" s="67" t="n"/>
      <c r="P198" s="2171">
        <f>IF(ISNUMBER(N198),N198-K198,"N/A")</f>
        <v/>
      </c>
      <c r="Q198" s="2168">
        <f>IFERROR(IF(ISNUMBER(N198),(N198-K198)/ABS(K198),"N/A"),"N/A")</f>
        <v/>
      </c>
      <c r="R198" s="112" t="n"/>
      <c r="S198" s="80" t="n">
        <v>45404</v>
      </c>
      <c r="T198" s="88" t="inlineStr">
        <is>
          <t>CFO Commentary</t>
        </is>
      </c>
      <c r="U198" s="67" t="n"/>
    </row>
    <row r="199" ht="14.4" customFormat="1" customHeight="1" s="1013">
      <c r="A199" s="114" t="n">
        <v>765</v>
      </c>
      <c r="B199" s="77">
        <f>IF(INDEX(MO_SNA_IsHistoricalPeriod,,MATCH(F199,MO_Common_ColumnHeader,0)),"Historical","Forward")</f>
        <v/>
      </c>
      <c r="C199" s="67" t="n"/>
      <c r="D199" s="84">
        <f>INDEX(INDIRECT(E199),0,COLUMN(MO_Common_Column_A))</f>
        <v/>
      </c>
      <c r="E199" s="78" t="inlineStr">
        <is>
          <t>MO_RIS_EPS_WAD_Adj</t>
        </is>
      </c>
      <c r="F199" s="77" t="inlineStr">
        <is>
          <t>FY2024</t>
        </is>
      </c>
      <c r="G199" s="77" t="n"/>
      <c r="H199" s="67" t="n"/>
      <c r="I199" s="2170" t="n">
        <v>5.88</v>
      </c>
      <c r="J199" s="2170" t="n">
        <v>5.98</v>
      </c>
      <c r="K199" s="2170">
        <f>AVERAGE(I199:J199)</f>
        <v/>
      </c>
      <c r="L199" s="67" t="n"/>
      <c r="M199" s="77">
        <f>IF(INDEX(MO_SNA_IsHistoricalPeriod,,MATCH(F199,MO_Common_ColumnHeader,0)),"Actual","Estimate")</f>
        <v/>
      </c>
      <c r="N199" s="2170">
        <f>IFERROR(INDEX(INDIRECT(E199),0,MATCH(F199,MO_Common_ColumnHeader,0)),"N/A")</f>
        <v/>
      </c>
      <c r="O199" s="67" t="n"/>
      <c r="P199" s="2171">
        <f>IF(ISNUMBER(N199),N199-K199,"N/A")</f>
        <v/>
      </c>
      <c r="Q199" s="2168">
        <f>IFERROR(IF(ISNUMBER(N199),(N199-K199)/ABS(K199),"N/A"),"N/A")</f>
        <v/>
      </c>
      <c r="R199" s="112" t="n"/>
      <c r="S199" s="80" t="n">
        <v>45404</v>
      </c>
      <c r="T199" s="88" t="inlineStr">
        <is>
          <t>CFO Commentary</t>
        </is>
      </c>
      <c r="U199" s="67" t="n"/>
    </row>
    <row r="200" ht="14.4" customFormat="1" customHeight="1" s="1013">
      <c r="A200" s="114" t="n">
        <v>764</v>
      </c>
      <c r="B200" s="77">
        <f>IF(INDEX(MO_SNA_IsHistoricalPeriod,,MATCH(F200,MO_Common_ColumnHeader,0)),"Historical","Forward")</f>
        <v/>
      </c>
      <c r="C200" s="67" t="n"/>
      <c r="D200" s="84">
        <f>INDEX(INDIRECT(E200),0,COLUMN(MO_Common_Column_A))</f>
        <v/>
      </c>
      <c r="E200" s="78" t="inlineStr">
        <is>
          <t>MO_CFS_CFO</t>
        </is>
      </c>
      <c r="F200" s="77" t="inlineStr">
        <is>
          <t>FY2024</t>
        </is>
      </c>
      <c r="G200" s="77" t="n"/>
      <c r="H200" s="67" t="n"/>
      <c r="I200" s="2087" t="n">
        <v>1350</v>
      </c>
      <c r="J200" s="2087" t="n">
        <v>1450</v>
      </c>
      <c r="K200" s="2087">
        <f>AVERAGE(I200:J200)</f>
        <v/>
      </c>
      <c r="L200" s="67" t="n"/>
      <c r="M200" s="77">
        <f>IF(INDEX(MO_SNA_IsHistoricalPeriod,,MATCH(F200,MO_Common_ColumnHeader,0)),"Actual","Estimate")</f>
        <v/>
      </c>
      <c r="N200" s="2087">
        <f>IFERROR(INDEX(INDIRECT(E200),0,MATCH(F200,MO_Common_ColumnHeader,0)),"N/A")</f>
        <v/>
      </c>
      <c r="O200" s="67" t="n"/>
      <c r="P200" s="2169">
        <f>IF(ISNUMBER(N200),N200-K200,"N/A")</f>
        <v/>
      </c>
      <c r="Q200" s="2168">
        <f>IFERROR(IF(ISNUMBER(N200),(N200-K200)/ABS(K200),"N/A"),"N/A")</f>
        <v/>
      </c>
      <c r="R200" s="112" t="n"/>
      <c r="S200" s="80" t="n">
        <v>45404</v>
      </c>
      <c r="T200" s="88" t="inlineStr">
        <is>
          <t>CFO Commentary</t>
        </is>
      </c>
      <c r="U200" s="67" t="n"/>
    </row>
    <row r="201" ht="14.4" customFormat="1" customHeight="1" s="1013">
      <c r="A201" s="114" t="n">
        <v>763</v>
      </c>
      <c r="B201" s="77">
        <f>IF(INDEX(MO_SNA_IsHistoricalPeriod,,MATCH(F201,MO_Common_ColumnHeader,0)),"Historical","Forward")</f>
        <v/>
      </c>
      <c r="C201" s="67" t="n"/>
      <c r="D201" s="84" t="inlineStr">
        <is>
          <t>GAAP Other Income &amp; Expense</t>
        </is>
      </c>
      <c r="E201" s="78" t="n"/>
      <c r="F201" s="77" t="inlineStr">
        <is>
          <t>FY2024</t>
        </is>
      </c>
      <c r="G201" s="77" t="n"/>
      <c r="H201" s="67" t="n"/>
      <c r="I201" s="2087" t="n">
        <v>-55</v>
      </c>
      <c r="J201" s="2087" t="n">
        <v>-49</v>
      </c>
      <c r="K201" s="2087">
        <f>AVERAGE(I201:J201)</f>
        <v/>
      </c>
      <c r="L201" s="67" t="n"/>
      <c r="M201" s="77">
        <f>IF(INDEX(MO_SNA_IsHistoricalPeriod,,MATCH(F201,MO_Common_ColumnHeader,0)),"Actual","Estimate")</f>
        <v/>
      </c>
      <c r="N201" s="2087">
        <f>-IFERROR(INDEX(MO_RIS_IE_Net,0,MATCH(F201,MO_Common_ColumnHeader,0)),"N/A")-IFERROR(INDEX(MO_RIS_OI,0,MATCH(F201,MO_Common_ColumnHeader,0)),"N/A")</f>
        <v/>
      </c>
      <c r="O201" s="67" t="n"/>
      <c r="P201" s="2169">
        <f>IF(ISNUMBER(N201),N201-K201,"N/A")</f>
        <v/>
      </c>
      <c r="Q201" s="2168">
        <f>IFERROR(IF(ISNUMBER(N201),(N201-K201)/ABS(K201),"N/A"),"N/A")</f>
        <v/>
      </c>
      <c r="R201" s="112" t="n"/>
      <c r="S201" s="80" t="n">
        <v>45404</v>
      </c>
      <c r="T201" s="88" t="inlineStr">
        <is>
          <t>CFO Commentary</t>
        </is>
      </c>
      <c r="U201" s="67" t="n"/>
    </row>
    <row r="202" ht="14.4" customFormat="1" customHeight="1" s="1013">
      <c r="A202" s="114" t="n">
        <v>762</v>
      </c>
      <c r="B202" s="77">
        <f>IF(INDEX(MO_SNA_IsHistoricalPeriod,,MATCH(F202,MO_Common_ColumnHeader,0)),"Historical","Forward")</f>
        <v/>
      </c>
      <c r="C202" s="67" t="n"/>
      <c r="D202" s="84" t="inlineStr">
        <is>
          <t>Non-GAAP Other Income &amp; Expense</t>
        </is>
      </c>
      <c r="E202" s="78" t="n"/>
      <c r="F202" s="77" t="inlineStr">
        <is>
          <t>FY2024</t>
        </is>
      </c>
      <c r="G202" s="77" t="n"/>
      <c r="H202" s="67" t="n"/>
      <c r="I202" s="2087" t="n">
        <v>-11</v>
      </c>
      <c r="J202" s="2087" t="n">
        <v>-5</v>
      </c>
      <c r="K202" s="2087">
        <f>AVERAGE(I202:J202)</f>
        <v/>
      </c>
      <c r="L202" s="67" t="n"/>
      <c r="M202" s="77">
        <f>IF(INDEX(MO_SNA_IsHistoricalPeriod,,MATCH(F202,MO_Common_ColumnHeader,0)),"Actual","Estimate")</f>
        <v/>
      </c>
      <c r="N202" s="2087">
        <f>-IFERROR(INDEX(MO_RIS_IE_Net_NONGAAP,0,MATCH(F202,MO_Common_ColumnHeader,0)),"N/A")-IFERROR(INDEX(MO_RIS_OI_NONGAAP,0,MATCH(F202,MO_Common_ColumnHeader,0)),"N/A")</f>
        <v/>
      </c>
      <c r="O202" s="67" t="n"/>
      <c r="P202" s="2169">
        <f>IF(ISNUMBER(N202),N202-K202,"N/A")</f>
        <v/>
      </c>
      <c r="Q202" s="2168">
        <f>IFERROR(IF(ISNUMBER(N202),(N202-K202)/ABS(K202),"N/A"),"N/A")</f>
        <v/>
      </c>
      <c r="R202" s="112" t="n"/>
      <c r="S202" s="80" t="n">
        <v>45404</v>
      </c>
      <c r="T202" s="88" t="inlineStr">
        <is>
          <t>CFO Commentary</t>
        </is>
      </c>
      <c r="U202" s="67" t="n"/>
    </row>
    <row r="203" ht="14.4" customFormat="1" customHeight="1" s="1013">
      <c r="A203" s="114" t="n">
        <v>761</v>
      </c>
      <c r="B203" s="77">
        <f>IF(INDEX(MO_SNA_IsHistoricalPeriod,,MATCH(F203,MO_Common_ColumnHeader,0)),"Historical","Forward")</f>
        <v/>
      </c>
      <c r="C203" s="67" t="n"/>
      <c r="D203" s="84" t="inlineStr">
        <is>
          <t>GAAP Tax Rate</t>
        </is>
      </c>
      <c r="E203" s="78" t="inlineStr">
        <is>
          <t>MO_RIS_TaxRate</t>
        </is>
      </c>
      <c r="F203" s="77" t="inlineStr">
        <is>
          <t>FY2024</t>
        </is>
      </c>
      <c r="G203" s="77" t="n"/>
      <c r="H203" s="67" t="n"/>
      <c r="I203" s="2108" t="n">
        <v>0.25</v>
      </c>
      <c r="J203" s="2108" t="n">
        <v>0.25</v>
      </c>
      <c r="K203" s="2108">
        <f>AVERAGE(I203:J203)</f>
        <v/>
      </c>
      <c r="L203" s="67" t="n"/>
      <c r="M203" s="77">
        <f>IF(INDEX(MO_SNA_IsHistoricalPeriod,,MATCH(F203,MO_Common_ColumnHeader,0)),"Actual","Estimate")</f>
        <v/>
      </c>
      <c r="N203" s="2108">
        <f>IFERROR(INDEX(INDIRECT(E203),0,MATCH(F203,MO_Common_ColumnHeader,0)),"N/A")</f>
        <v/>
      </c>
      <c r="O203" s="67" t="n"/>
      <c r="P203" s="2168">
        <f>IF(ISNUMBER(N203),N203-K203,"N/A")</f>
        <v/>
      </c>
      <c r="Q203" s="2168">
        <f>IFERROR(IF(ISNUMBER(N203),(N203-K203)/ABS(K203),"N/A"),"N/A")</f>
        <v/>
      </c>
      <c r="R203" s="112" t="n"/>
      <c r="S203" s="80" t="n">
        <v>45404</v>
      </c>
      <c r="T203" s="88" t="inlineStr">
        <is>
          <t>CFO Commentary</t>
        </is>
      </c>
      <c r="U203" s="67" t="n"/>
    </row>
    <row r="204" ht="14.4" customFormat="1" customHeight="1" s="1013">
      <c r="A204" s="114" t="n">
        <v>760</v>
      </c>
      <c r="B204" s="77">
        <f>IF(INDEX(MO_SNA_IsHistoricalPeriod,,MATCH(F204,MO_Common_ColumnHeader,0)),"Historical","Forward")</f>
        <v/>
      </c>
      <c r="C204" s="67" t="n"/>
      <c r="D204" s="84">
        <f>INDEX(INDIRECT(E204),0,COLUMN(MO_Common_Column_A))</f>
        <v/>
      </c>
      <c r="E204" s="78" t="inlineStr">
        <is>
          <t>MO_RIS_TaxRate_NONGAAP</t>
        </is>
      </c>
      <c r="F204" s="77" t="inlineStr">
        <is>
          <t>FY2024</t>
        </is>
      </c>
      <c r="G204" s="77" t="n"/>
      <c r="H204" s="67" t="n"/>
      <c r="I204" s="2108" t="n">
        <v>0.165</v>
      </c>
      <c r="J204" s="2108" t="n">
        <v>0.165</v>
      </c>
      <c r="K204" s="2108">
        <f>AVERAGE(I204:J204)</f>
        <v/>
      </c>
      <c r="L204" s="67" t="n"/>
      <c r="M204" s="77">
        <f>IF(INDEX(MO_SNA_IsHistoricalPeriod,,MATCH(F204,MO_Common_ColumnHeader,0)),"Actual","Estimate")</f>
        <v/>
      </c>
      <c r="N204" s="2108">
        <f>IFERROR(INDEX(INDIRECT(E204),0,MATCH(F204,MO_Common_ColumnHeader,0)),"N/A")</f>
        <v/>
      </c>
      <c r="O204" s="67" t="n"/>
      <c r="P204" s="2168">
        <f>IF(ISNUMBER(N204),N204-K204,"N/A")</f>
        <v/>
      </c>
      <c r="Q204" s="2168">
        <f>IFERROR(IF(ISNUMBER(N204),(N204-K204)/ABS(K204),"N/A"),"N/A")</f>
        <v/>
      </c>
      <c r="R204" s="112" t="n"/>
      <c r="S204" s="80" t="n">
        <v>45404</v>
      </c>
      <c r="T204" s="88" t="inlineStr">
        <is>
          <t>CFO Commentary</t>
        </is>
      </c>
      <c r="U204" s="67" t="n"/>
    </row>
    <row r="205" ht="14.4" customFormat="1" customHeight="1" s="1013">
      <c r="A205" s="114" t="n">
        <v>759</v>
      </c>
      <c r="B205" s="77">
        <f>IF(INDEX(MO_SNA_IsHistoricalPeriod,,MATCH(F205,MO_Common_ColumnHeader,0)),"Historical","Forward")</f>
        <v/>
      </c>
      <c r="C205" s="67" t="n"/>
      <c r="D205" s="84">
        <f>INDEX(INDIRECT(E205),0,COLUMN(MO_Common_Column_A))</f>
        <v/>
      </c>
      <c r="E205" s="78" t="inlineStr">
        <is>
          <t>MO_RIS_ShareCount_WAD</t>
        </is>
      </c>
      <c r="F205" s="77" t="inlineStr">
        <is>
          <t>FY2024</t>
        </is>
      </c>
      <c r="G205" s="77" t="n"/>
      <c r="H205" s="67" t="n"/>
      <c r="I205" s="2087" t="n">
        <v>272.5</v>
      </c>
      <c r="J205" s="2087" t="n">
        <v>274.5</v>
      </c>
      <c r="K205" s="2087">
        <f>AVERAGE(I205:J205)</f>
        <v/>
      </c>
      <c r="L205" s="67" t="n"/>
      <c r="M205" s="77">
        <f>IF(INDEX(MO_SNA_IsHistoricalPeriod,,MATCH(F205,MO_Common_ColumnHeader,0)),"Actual","Estimate")</f>
        <v/>
      </c>
      <c r="N205" s="2087">
        <f>IFERROR(INDEX(INDIRECT(E205),0,MATCH(F205,MO_Common_ColumnHeader,0)),"N/A")</f>
        <v/>
      </c>
      <c r="O205" s="67" t="n"/>
      <c r="P205" s="2169">
        <f>IF(ISNUMBER(N205),N205-K205,"N/A")</f>
        <v/>
      </c>
      <c r="Q205" s="2168">
        <f>IFERROR(IF(ISNUMBER(N205),(N205-K205)/ABS(K205),"N/A"),"N/A")</f>
        <v/>
      </c>
      <c r="R205" s="112" t="n"/>
      <c r="S205" s="80" t="n">
        <v>45404</v>
      </c>
      <c r="T205" s="88" t="inlineStr">
        <is>
          <t>CFO Commentary</t>
        </is>
      </c>
      <c r="U205" s="67" t="n"/>
    </row>
    <row r="206" ht="14.4" customFormat="1" customHeight="1" s="1013">
      <c r="A206" s="114" t="n">
        <v>758</v>
      </c>
      <c r="B206" s="77">
        <f>IF(INDEX(MO_SNA_IsHistoricalPeriod,,MATCH(F206,MO_Common_ColumnHeader,0)),"Historical","Forward")</f>
        <v/>
      </c>
      <c r="C206" s="67" t="n"/>
      <c r="D206" s="84" t="inlineStr">
        <is>
          <t>DSO</t>
        </is>
      </c>
      <c r="E206" s="78" t="n"/>
      <c r="F206" s="77" t="inlineStr">
        <is>
          <t>FY2024</t>
        </is>
      </c>
      <c r="G206" s="77" t="n"/>
      <c r="H206" s="67" t="n"/>
      <c r="I206" s="2087" t="n">
        <v>45</v>
      </c>
      <c r="J206" s="2087" t="n">
        <v>45</v>
      </c>
      <c r="K206" s="2087">
        <f>AVERAGE(I206:J206)</f>
        <v/>
      </c>
      <c r="L206" s="67" t="n"/>
      <c r="M206" s="77">
        <f>IF(INDEX(MO_SNA_IsHistoricalPeriod,,MATCH(F206,MO_Common_ColumnHeader,0)),"Actual","Estimate")</f>
        <v/>
      </c>
      <c r="N206" s="2087">
        <f>IFERROR(INDEX(INDIRECT(E206),0,MATCH(F206,MO_Common_ColumnHeader,0)),"N/A")</f>
        <v/>
      </c>
      <c r="O206" s="67" t="n"/>
      <c r="P206" s="2169">
        <f>IF(ISNUMBER(N206),N206-K206,"N/A")</f>
        <v/>
      </c>
      <c r="Q206" s="2168">
        <f>IFERROR(IF(ISNUMBER(N206),(N206-K206)/ABS(K206),"N/A"),"N/A")</f>
        <v/>
      </c>
      <c r="R206" s="112" t="n"/>
      <c r="S206" s="80" t="n">
        <v>45404</v>
      </c>
      <c r="T206" s="88" t="inlineStr">
        <is>
          <t>CFO Commentary</t>
        </is>
      </c>
      <c r="U206" s="67" t="n"/>
    </row>
    <row r="207" ht="14.4" customFormat="1" customHeight="1" s="1013">
      <c r="A207" s="114" t="n">
        <v>757</v>
      </c>
      <c r="B207" s="77">
        <f>IF(INDEX(MO_SNA_IsHistoricalPeriod,,MATCH(F207,MO_Common_ColumnHeader,0)),"Historical","Forward")</f>
        <v/>
      </c>
      <c r="C207" s="67" t="n"/>
      <c r="D207" s="84">
        <f>INDEX(INDIRECT(E207),0,COLUMN(MO_Common_Column_A))</f>
        <v/>
      </c>
      <c r="E207" s="78" t="inlineStr">
        <is>
          <t>MO_CFSum_Capex</t>
        </is>
      </c>
      <c r="F207" s="77" t="inlineStr">
        <is>
          <t>FY2024</t>
        </is>
      </c>
      <c r="G207" s="77" t="n"/>
      <c r="H207" s="67" t="n"/>
      <c r="I207" s="2087" t="n">
        <v>-120</v>
      </c>
      <c r="J207" s="2087" t="n">
        <v>-120</v>
      </c>
      <c r="K207" s="2087">
        <f>AVERAGE(I207:J207)</f>
        <v/>
      </c>
      <c r="L207" s="67" t="n"/>
      <c r="M207" s="77">
        <f>IF(INDEX(MO_SNA_IsHistoricalPeriod,,MATCH(F207,MO_Common_ColumnHeader,0)),"Actual","Estimate")</f>
        <v/>
      </c>
      <c r="N207" s="2087">
        <f>IFERROR(INDEX(INDIRECT(E207),0,MATCH(F207,MO_Common_ColumnHeader,0)),"N/A")</f>
        <v/>
      </c>
      <c r="O207" s="67" t="n"/>
      <c r="P207" s="2169">
        <f>IF(ISNUMBER(N207),N207-K207,"N/A")</f>
        <v/>
      </c>
      <c r="Q207" s="2168">
        <f>IFERROR(IF(ISNUMBER(N207),(N207-K207)/ABS(K207),"N/A"),"N/A")</f>
        <v/>
      </c>
      <c r="R207" s="112" t="n"/>
      <c r="S207" s="80" t="n">
        <v>45404</v>
      </c>
      <c r="T207" s="88" t="inlineStr">
        <is>
          <t>CFO Commentary</t>
        </is>
      </c>
      <c r="U207" s="67" t="n"/>
    </row>
    <row r="208" ht="14.4" customFormat="1" customHeight="1" s="1013">
      <c r="A208" s="114" t="n">
        <v>756</v>
      </c>
      <c r="B208" s="77">
        <f>IF(INDEX(MO_SNA_IsHistoricalPeriod,,MATCH(F208,MO_Common_ColumnHeader,0)),"Historical","Forward")</f>
        <v/>
      </c>
      <c r="C208" s="67" t="n"/>
      <c r="D208" s="84">
        <f>INDEX(INDIRECT(E208),0,COLUMN(MO_Common_Column_A))</f>
        <v/>
      </c>
      <c r="E208" s="78" t="inlineStr">
        <is>
          <t>MO_RIS_SBC</t>
        </is>
      </c>
      <c r="F208" s="77" t="inlineStr">
        <is>
          <t>FY2024</t>
        </is>
      </c>
      <c r="G208" s="77" t="n"/>
      <c r="H208" s="67" t="n"/>
      <c r="I208" s="2087" t="n">
        <v>386</v>
      </c>
      <c r="J208" s="2087" t="n">
        <v>386</v>
      </c>
      <c r="K208" s="2087">
        <f>AVERAGE(I208:J208)</f>
        <v/>
      </c>
      <c r="L208" s="67" t="n"/>
      <c r="M208" s="77">
        <f>IF(INDEX(MO_SNA_IsHistoricalPeriod,,MATCH(F208,MO_Common_ColumnHeader,0)),"Actual","Estimate")</f>
        <v/>
      </c>
      <c r="N208" s="2087">
        <f>IFERROR(INDEX(INDIRECT(E208),0,MATCH(F208,MO_Common_ColumnHeader,0)),"N/A")</f>
        <v/>
      </c>
      <c r="O208" s="67" t="n"/>
      <c r="P208" s="2169">
        <f>IF(ISNUMBER(N208),N208-K208,"N/A")</f>
        <v/>
      </c>
      <c r="Q208" s="2168">
        <f>IFERROR(IF(ISNUMBER(N208),(N208-K208)/ABS(K208),"N/A"),"N/A")</f>
        <v/>
      </c>
      <c r="R208" s="112" t="n"/>
      <c r="S208" s="80" t="n">
        <v>45404</v>
      </c>
      <c r="T208" s="88" t="inlineStr">
        <is>
          <t>CFO Commentary</t>
        </is>
      </c>
      <c r="U208" s="67" t="n"/>
    </row>
    <row r="209" ht="14.4" customFormat="1" customHeight="1" s="1013">
      <c r="A209" s="114" t="n">
        <v>755</v>
      </c>
      <c r="B209" s="77">
        <f>IF(INDEX(MO_SNA_IsHistoricalPeriod,,MATCH(F209,MO_Common_ColumnHeader,0)),"Historical","Forward")</f>
        <v/>
      </c>
      <c r="C209" s="67" t="n"/>
      <c r="D209" s="84">
        <f>INDEX(INDIRECT(E209),0,COLUMN(MO_Common_Column_A))</f>
        <v/>
      </c>
      <c r="E209" s="78" t="inlineStr">
        <is>
          <t>MO_RIS_Daintangibles</t>
        </is>
      </c>
      <c r="F209" s="77" t="inlineStr">
        <is>
          <t>FY2024</t>
        </is>
      </c>
      <c r="G209" s="77" t="n"/>
      <c r="H209" s="67" t="n"/>
      <c r="I209" s="2087" t="n">
        <v>68</v>
      </c>
      <c r="J209" s="2087" t="n">
        <v>68</v>
      </c>
      <c r="K209" s="2087">
        <f>AVERAGE(I209:J209)</f>
        <v/>
      </c>
      <c r="L209" s="67" t="n"/>
      <c r="M209" s="77">
        <f>IF(INDEX(MO_SNA_IsHistoricalPeriod,,MATCH(F209,MO_Common_ColumnHeader,0)),"Actual","Estimate")</f>
        <v/>
      </c>
      <c r="N209" s="2087">
        <f>IFERROR(INDEX(INDIRECT(E209),0,MATCH(F209,MO_Common_ColumnHeader,0)),"N/A")</f>
        <v/>
      </c>
      <c r="O209" s="67" t="n"/>
      <c r="P209" s="2169">
        <f>IF(ISNUMBER(N209),N209-K209,"N/A")</f>
        <v/>
      </c>
      <c r="Q209" s="2168">
        <f>IFERROR(IF(ISNUMBER(N209),(N209-K209)/ABS(K209),"N/A"),"N/A")</f>
        <v/>
      </c>
      <c r="R209" s="112" t="n"/>
      <c r="S209" s="80" t="n">
        <v>45404</v>
      </c>
      <c r="T209" s="88" t="inlineStr">
        <is>
          <t>CFO Commentary</t>
        </is>
      </c>
      <c r="U209" s="67" t="n"/>
    </row>
    <row r="210" ht="14.4" customFormat="1" customHeight="1" s="1013">
      <c r="A210" s="114" t="n">
        <v>754</v>
      </c>
      <c r="B210" s="77">
        <f>IF(INDEX(MO_SNA_IsHistoricalPeriod,,MATCH(F210,MO_Common_ColumnHeader,0)),"Historical","Forward")</f>
        <v/>
      </c>
      <c r="C210" s="67" t="n"/>
      <c r="D210" s="84" t="inlineStr">
        <is>
          <t>Acquisition and integration-related costs</t>
        </is>
      </c>
      <c r="E210" s="78" t="n"/>
      <c r="F210" s="77" t="inlineStr">
        <is>
          <t>FY2024</t>
        </is>
      </c>
      <c r="G210" s="77" t="n"/>
      <c r="H210" s="67" t="n"/>
      <c r="I210" s="2087" t="n">
        <v>56</v>
      </c>
      <c r="J210" s="2087" t="n">
        <v>56</v>
      </c>
      <c r="K210" s="2087">
        <f>AVERAGE(I210:J210)</f>
        <v/>
      </c>
      <c r="L210" s="67" t="n"/>
      <c r="M210" s="77">
        <f>IF(INDEX(MO_SNA_IsHistoricalPeriod,,MATCH(F210,MO_Common_ColumnHeader,0)),"Actual","Estimate")</f>
        <v/>
      </c>
      <c r="N210" s="2087">
        <f>IFERROR(INDEX(INDIRECT(E210),0,MATCH(F210,MO_Common_ColumnHeader,0)),"N/A")</f>
        <v/>
      </c>
      <c r="O210" s="67" t="n"/>
      <c r="P210" s="2169">
        <f>IF(ISNUMBER(N210),N210-K210,"N/A")</f>
        <v/>
      </c>
      <c r="Q210" s="2168">
        <f>IFERROR(IF(ISNUMBER(N210),(N210-K210)/ABS(K210),"N/A"),"N/A")</f>
        <v/>
      </c>
      <c r="R210" s="112" t="n"/>
      <c r="S210" s="80" t="n">
        <v>45404</v>
      </c>
      <c r="T210" s="88" t="inlineStr">
        <is>
          <t>CFO Commentary</t>
        </is>
      </c>
      <c r="U210" s="67" t="n"/>
    </row>
    <row r="211" ht="14.4" customFormat="1" customHeight="1" s="1013">
      <c r="A211" s="114" t="n">
        <v>753</v>
      </c>
      <c r="B211" s="77">
        <f>IF(INDEX(MO_SNA_IsHistoricalPeriod,,MATCH(F211,MO_Common_ColumnHeader,0)),"Historical","Forward")</f>
        <v/>
      </c>
      <c r="C211" s="67" t="n"/>
      <c r="D211" s="84" t="inlineStr">
        <is>
          <t>Restructuring and other credits</t>
        </is>
      </c>
      <c r="E211" s="78" t="n"/>
      <c r="F211" s="77" t="inlineStr">
        <is>
          <t>FY2024</t>
        </is>
      </c>
      <c r="G211" s="77" t="n"/>
      <c r="H211" s="67" t="n"/>
      <c r="I211" s="2087" t="n">
        <v>0</v>
      </c>
      <c r="J211" s="2087" t="n">
        <v>0</v>
      </c>
      <c r="K211" s="2087">
        <f>AVERAGE(I211:J211)</f>
        <v/>
      </c>
      <c r="L211" s="67" t="n"/>
      <c r="M211" s="77">
        <f>IF(INDEX(MO_SNA_IsHistoricalPeriod,,MATCH(F211,MO_Common_ColumnHeader,0)),"Actual","Estimate")</f>
        <v/>
      </c>
      <c r="N211" s="2087">
        <f>IFERROR(INDEX(INDIRECT(E211),0,MATCH(F211,MO_Common_ColumnHeader,0)),"N/A")</f>
        <v/>
      </c>
      <c r="O211" s="67" t="n"/>
      <c r="P211" s="2169">
        <f>IF(ISNUMBER(N211),N211-K211,"N/A")</f>
        <v/>
      </c>
      <c r="Q211" s="2168">
        <f>IFERROR(IF(ISNUMBER(N211),(N211-K211)/ABS(K211),"N/A"),"N/A")</f>
        <v/>
      </c>
      <c r="R211" s="112" t="n"/>
      <c r="S211" s="80" t="n">
        <v>45404</v>
      </c>
      <c r="T211" s="88" t="inlineStr">
        <is>
          <t>CFO Commentary</t>
        </is>
      </c>
      <c r="U211" s="67" t="n"/>
    </row>
    <row r="212" ht="14.4" customFormat="1" customHeight="1" s="1013">
      <c r="A212" s="114" t="n">
        <v>752</v>
      </c>
      <c r="B212" s="77">
        <f>IF(INDEX(MO_SNA_IsHistoricalPeriod,,MATCH(F212,MO_Common_ColumnHeader,0)),"Historical","Forward")</f>
        <v/>
      </c>
      <c r="C212" s="67" t="n"/>
      <c r="D212" s="84" t="inlineStr">
        <is>
          <t>Non-Qualified deferred compensation expenses</t>
        </is>
      </c>
      <c r="E212" s="78" t="n"/>
      <c r="F212" s="77" t="inlineStr">
        <is>
          <t>FY2024</t>
        </is>
      </c>
      <c r="G212" s="77" t="n"/>
      <c r="H212" s="67" t="n"/>
      <c r="I212" s="2087" t="n">
        <v>5</v>
      </c>
      <c r="J212" s="2087" t="n">
        <v>5</v>
      </c>
      <c r="K212" s="2087">
        <f>AVERAGE(I212:J212)</f>
        <v/>
      </c>
      <c r="L212" s="67" t="n"/>
      <c r="M212" s="77">
        <f>IF(INDEX(MO_SNA_IsHistoricalPeriod,,MATCH(F212,MO_Common_ColumnHeader,0)),"Actual","Estimate")</f>
        <v/>
      </c>
      <c r="N212" s="2087">
        <f>IFERROR(INDEX(INDIRECT(E212),0,MATCH(F212,MO_Common_ColumnHeader,0)),"N/A")</f>
        <v/>
      </c>
      <c r="O212" s="67" t="n"/>
      <c r="P212" s="2169">
        <f>IF(ISNUMBER(N212),N212-K212,"N/A")</f>
        <v/>
      </c>
      <c r="Q212" s="2168">
        <f>IFERROR(IF(ISNUMBER(N212),(N212-K212)/ABS(K212),"N/A"),"N/A")</f>
        <v/>
      </c>
      <c r="R212" s="112" t="n"/>
      <c r="S212" s="80" t="n">
        <v>45404</v>
      </c>
      <c r="T212" s="88" t="inlineStr">
        <is>
          <t>CFO Commentary</t>
        </is>
      </c>
      <c r="U212" s="67" t="n"/>
    </row>
    <row r="213" ht="14.4" customFormat="1" customHeight="1" s="1013">
      <c r="A213" s="114" t="n">
        <v>751</v>
      </c>
      <c r="B213" s="77">
        <f>IF(INDEX(MO_SNA_IsHistoricalPeriod,,MATCH(F213,MO_Common_ColumnHeader,0)),"Historical","Forward")</f>
        <v/>
      </c>
      <c r="C213" s="67" t="n"/>
      <c r="D213" s="84" t="inlineStr">
        <is>
          <t>Special charges</t>
        </is>
      </c>
      <c r="E213" s="78" t="n"/>
      <c r="F213" s="77" t="inlineStr">
        <is>
          <t>FY2024</t>
        </is>
      </c>
      <c r="G213" s="77" t="n"/>
      <c r="H213" s="67" t="n"/>
      <c r="I213" s="2087" t="n">
        <v>0</v>
      </c>
      <c r="J213" s="2087" t="n">
        <v>0</v>
      </c>
      <c r="K213" s="2087">
        <f>AVERAGE(I213:J213)</f>
        <v/>
      </c>
      <c r="L213" s="67" t="n"/>
      <c r="M213" s="77">
        <f>IF(INDEX(MO_SNA_IsHistoricalPeriod,,MATCH(F213,MO_Common_ColumnHeader,0)),"Actual","Estimate")</f>
        <v/>
      </c>
      <c r="N213" s="2087">
        <f>IFERROR(INDEX(INDIRECT(E213),0,MATCH(F213,MO_Common_ColumnHeader,0)),"N/A")</f>
        <v/>
      </c>
      <c r="O213" s="67" t="n"/>
      <c r="P213" s="2169">
        <f>IF(ISNUMBER(N213),N213-K213,"N/A")</f>
        <v/>
      </c>
      <c r="Q213" s="2168">
        <f>IFERROR(IF(ISNUMBER(N213),(N213-K213)/ABS(K213),"N/A"),"N/A")</f>
        <v/>
      </c>
      <c r="R213" s="112" t="n"/>
      <c r="S213" s="80" t="n">
        <v>45404</v>
      </c>
      <c r="T213" s="88" t="inlineStr">
        <is>
          <t>CFO Commentary</t>
        </is>
      </c>
      <c r="U213" s="67" t="n"/>
    </row>
    <row r="214" ht="14.4" customFormat="1" customHeight="1" s="1013">
      <c r="A214" s="114" t="n">
        <v>750</v>
      </c>
      <c r="B214" s="77">
        <f>IF(INDEX(MO_SNA_IsHistoricalPeriod,,MATCH(F214,MO_Common_ColumnHeader,0)),"Historical","Forward")</f>
        <v/>
      </c>
      <c r="C214" s="67" t="n"/>
      <c r="D214" s="84" t="inlineStr">
        <is>
          <t>GAAP Operating Expenses</t>
        </is>
      </c>
      <c r="E214" s="78" t="n"/>
      <c r="F214" s="77" t="inlineStr">
        <is>
          <t>FY2024</t>
        </is>
      </c>
      <c r="G214" s="77" t="n"/>
      <c r="H214" s="67" t="n"/>
      <c r="I214" s="2087" t="n">
        <v>3154</v>
      </c>
      <c r="J214" s="2087" t="n">
        <v>3154</v>
      </c>
      <c r="K214" s="2087">
        <f>AVERAGE(I214:J214)</f>
        <v/>
      </c>
      <c r="L214" s="67" t="n"/>
      <c r="M214" s="77">
        <f>IF(INDEX(MO_SNA_IsHistoricalPeriod,,MATCH(F214,MO_Common_ColumnHeader,0)),"Actual","Estimate")</f>
        <v/>
      </c>
      <c r="N214" s="2087">
        <f>IFERROR(INDEX(MO_RIS_COGS,0,MATCH(Guidance!F214,MO_Common_ColumnHeader,0))+INDEX(MO_RIS_RD,0,MATCH(Guidance!F214,MO_Common_ColumnHeader,0))+INDEX(MO_RIS_GA,0,MATCH(Guidance!F214,MO_Common_ColumnHeader,0))+INDEX(MO_RIS_SM,0,MATCH(Guidance!F214,MO_Common_ColumnHeader,0)),"N/A")</f>
        <v/>
      </c>
      <c r="O214" s="2072" t="n"/>
      <c r="P214" s="2169">
        <f>IF(ISNUMBER(N214),N214-K214,"N/A")</f>
        <v/>
      </c>
      <c r="Q214" s="2168">
        <f>IFERROR(IF(ISNUMBER(N214),(N214-K214)/ABS(K214),"N/A"),"N/A")</f>
        <v/>
      </c>
      <c r="R214" s="112" t="n"/>
      <c r="S214" s="80" t="n">
        <v>45404</v>
      </c>
      <c r="T214" s="88" t="inlineStr">
        <is>
          <t>CFO Commentary</t>
        </is>
      </c>
      <c r="U214" s="67" t="n"/>
    </row>
    <row r="215" ht="14.4" customFormat="1" customHeight="1" s="1013">
      <c r="A215" s="114" t="n">
        <v>749</v>
      </c>
      <c r="B215" s="77">
        <f>IF(INDEX(MO_SNA_IsHistoricalPeriod,,MATCH(F215,MO_Common_ColumnHeader,0)),"Historical","Forward")</f>
        <v/>
      </c>
      <c r="C215" s="67" t="n"/>
      <c r="D215" s="84" t="inlineStr">
        <is>
          <t>Non-GAAP Operating Expenses</t>
        </is>
      </c>
      <c r="E215" s="78" t="n"/>
      <c r="F215" s="77" t="inlineStr">
        <is>
          <t>FY2024</t>
        </is>
      </c>
      <c r="G215" s="77" t="n"/>
      <c r="H215" s="67" t="n"/>
      <c r="I215" s="2087" t="n">
        <v>2639</v>
      </c>
      <c r="J215" s="2087" t="n">
        <v>2639</v>
      </c>
      <c r="K215" s="2087">
        <f>AVERAGE(I215:J215)</f>
        <v/>
      </c>
      <c r="L215" s="67" t="n"/>
      <c r="M215" s="77">
        <f>IF(INDEX(MO_SNA_IsHistoricalPeriod,,MATCH(F215,MO_Common_ColumnHeader,0)),"Actual","Estimate")</f>
        <v/>
      </c>
      <c r="N215" s="2087">
        <f>IFERROR(INDEX(MO_RIS_REV,0,MATCH(Guidance!F215,MO_Common_ColumnHeader,0))+INDEX(MO_RIS_RD_NONGAAP,0,MATCH(Guidance!F215,MO_Common_ColumnHeader,0))+INDEX(MO_RIS_GA_NONGAAP,0,MATCH(Guidance!F215,MO_Common_ColumnHeader,0))+INDEX(MO_RIS_SM_NONGAAP,0,MATCH(Guidance!F215,MO_Common_ColumnHeader,0))-INDEX(MO_RIS_GP_NONGAAP,0,MATCH(Guidance!F215,MO_Common_ColumnHeader,0)),"N/A")</f>
        <v/>
      </c>
      <c r="O215" s="2072" t="n"/>
      <c r="P215" s="2169">
        <f>IF(ISNUMBER(N215),N215-K215,"N/A")</f>
        <v/>
      </c>
      <c r="Q215" s="2168">
        <f>IFERROR(IF(ISNUMBER(N215),(N215-K215)/ABS(K215),"N/A"),"N/A")</f>
        <v/>
      </c>
      <c r="R215" s="112" t="n"/>
      <c r="S215" s="80" t="n">
        <v>45404</v>
      </c>
      <c r="T215" s="88" t="inlineStr">
        <is>
          <t>CFO Commentary</t>
        </is>
      </c>
      <c r="U215" s="67" t="n"/>
    </row>
    <row r="216" ht="14.4" customFormat="1" customHeight="1" s="1013">
      <c r="A216" s="114" t="n">
        <v>748</v>
      </c>
      <c r="B216" s="67" t="n"/>
      <c r="C216" s="67" t="n"/>
      <c r="D216" s="68" t="n"/>
      <c r="E216" s="69" t="n"/>
      <c r="F216" s="67" t="n"/>
      <c r="G216" s="67" t="n"/>
      <c r="H216" s="67" t="n"/>
      <c r="I216" s="2072" t="n"/>
      <c r="J216" s="2072" t="n"/>
      <c r="K216" s="2072" t="n"/>
      <c r="L216" s="67" t="n"/>
      <c r="M216" s="67" t="n"/>
      <c r="N216" s="2072" t="n"/>
      <c r="O216" s="67" t="n"/>
      <c r="P216" s="2172" t="n"/>
      <c r="Q216" s="2173" t="n"/>
      <c r="R216" s="112" t="n"/>
      <c r="S216" s="112" t="n"/>
      <c r="T216" s="344" t="n"/>
      <c r="U216" s="67" t="n"/>
    </row>
    <row r="217" ht="14.4" customFormat="1" customHeight="1" s="1013">
      <c r="A217" s="114" t="n">
        <v>747</v>
      </c>
      <c r="B217" s="77">
        <f>IF(INDEX(MO_SNA_IsHistoricalPeriod,,MATCH(F217,MO_Common_ColumnHeader,0)),"Historical","Forward")</f>
        <v/>
      </c>
      <c r="C217" s="67" t="n"/>
      <c r="D217" s="84">
        <f>INDEX(INDIRECT(E217),0,COLUMN(MO_Common_Column_A))</f>
        <v/>
      </c>
      <c r="E217" s="78" t="inlineStr">
        <is>
          <t>MO_RIS_REV</t>
        </is>
      </c>
      <c r="F217" s="77" t="inlineStr">
        <is>
          <t>Q2-2024</t>
        </is>
      </c>
      <c r="G217" s="77" t="n"/>
      <c r="H217" s="67" t="n"/>
      <c r="I217" s="2087" t="n">
        <v>1030</v>
      </c>
      <c r="J217" s="2087" t="n">
        <v>1050</v>
      </c>
      <c r="K217" s="2087">
        <f>AVERAGE(I217:J217)</f>
        <v/>
      </c>
      <c r="L217" s="67" t="n"/>
      <c r="M217" s="77">
        <f>IF(INDEX(MO_SNA_IsHistoricalPeriod,,MATCH(F217,MO_Common_ColumnHeader,0)),"Actual","Estimate")</f>
        <v/>
      </c>
      <c r="N217" s="2087">
        <f>IFERROR(INDEX(INDIRECT(E217),0,MATCH(F217,MO_Common_ColumnHeader,0)),"N/A")</f>
        <v/>
      </c>
      <c r="O217" s="67" t="n"/>
      <c r="P217" s="2169">
        <f>IF(ISNUMBER(N217),N217-K217,"N/A")</f>
        <v/>
      </c>
      <c r="Q217" s="2168">
        <f>IFERROR(IF(ISNUMBER(N217),(N217-K217)/ABS(K217),"N/A"),"N/A")</f>
        <v/>
      </c>
      <c r="R217" s="112" t="n"/>
      <c r="S217" s="80" t="n">
        <v>45404</v>
      </c>
      <c r="T217" s="88" t="inlineStr">
        <is>
          <t>CFO Commentary</t>
        </is>
      </c>
      <c r="U217" s="67" t="n"/>
    </row>
    <row r="218" ht="14.4" customFormat="1" customHeight="1" s="1013">
      <c r="A218" s="114" t="n">
        <v>746</v>
      </c>
      <c r="B218" s="77">
        <f>IF(INDEX(MO_SNA_IsHistoricalPeriod,,MATCH(F218,MO_Common_ColumnHeader,0)),"Historical","Forward")</f>
        <v/>
      </c>
      <c r="C218" s="67" t="n"/>
      <c r="D218" s="84" t="inlineStr">
        <is>
          <t>GAAP Operating Margin</t>
        </is>
      </c>
      <c r="E218" s="78" t="inlineStr">
        <is>
          <t>MO_MA_EBIT</t>
        </is>
      </c>
      <c r="F218" s="77" t="inlineStr">
        <is>
          <t>Q2-2024</t>
        </is>
      </c>
      <c r="G218" s="77" t="n"/>
      <c r="H218" s="67" t="n"/>
      <c r="I218" s="2108" t="n">
        <v>0.265</v>
      </c>
      <c r="J218" s="2108" t="n">
        <v>0.275</v>
      </c>
      <c r="K218" s="2108">
        <f>AVERAGE(I218:J218)</f>
        <v/>
      </c>
      <c r="L218" s="67" t="n"/>
      <c r="M218" s="77">
        <f>IF(INDEX(MO_SNA_IsHistoricalPeriod,,MATCH(F218,MO_Common_ColumnHeader,0)),"Actual","Estimate")</f>
        <v/>
      </c>
      <c r="N218" s="2108">
        <f>IFERROR(INDEX(INDIRECT(E218),0,MATCH(F218,MO_Common_ColumnHeader,0)),"N/A")</f>
        <v/>
      </c>
      <c r="O218" s="67" t="n"/>
      <c r="P218" s="2168">
        <f>IF(ISNUMBER(N218),N218-K218,"N/A")</f>
        <v/>
      </c>
      <c r="Q218" s="2168">
        <f>IFERROR(IF(ISNUMBER(N218),(N218-K218)/ABS(K218),"N/A"),"N/A")</f>
        <v/>
      </c>
      <c r="R218" s="112" t="n"/>
      <c r="S218" s="80" t="n">
        <v>45404</v>
      </c>
      <c r="T218" s="88" t="inlineStr">
        <is>
          <t>CFO Commentary</t>
        </is>
      </c>
      <c r="U218" s="67" t="n"/>
    </row>
    <row r="219" ht="14.4" customFormat="1" customHeight="1" s="1013">
      <c r="A219" s="114" t="n">
        <v>745</v>
      </c>
      <c r="B219" s="77">
        <f>IF(INDEX(MO_SNA_IsHistoricalPeriod,,MATCH(F219,MO_Common_ColumnHeader,0)),"Historical","Forward")</f>
        <v/>
      </c>
      <c r="C219" s="67" t="n"/>
      <c r="D219" s="84">
        <f>INDEX(INDIRECT(E219),0,COLUMN(MO_Common_Column_A))</f>
        <v/>
      </c>
      <c r="E219" s="78" t="inlineStr">
        <is>
          <t>MO_MA_OperatingIncome_NONGAAP</t>
        </is>
      </c>
      <c r="F219" s="77" t="inlineStr">
        <is>
          <t>Q2-2024</t>
        </is>
      </c>
      <c r="G219" s="77" t="n"/>
      <c r="H219" s="67" t="n"/>
      <c r="I219" s="2108" t="n">
        <v>0.385</v>
      </c>
      <c r="J219" s="2108" t="n">
        <v>0.395</v>
      </c>
      <c r="K219" s="2108">
        <f>AVERAGE(I219:J219)</f>
        <v/>
      </c>
      <c r="L219" s="67" t="n"/>
      <c r="M219" s="77">
        <f>IF(INDEX(MO_SNA_IsHistoricalPeriod,,MATCH(F219,MO_Common_ColumnHeader,0)),"Actual","Estimate")</f>
        <v/>
      </c>
      <c r="N219" s="2108">
        <f>IFERROR(INDEX(INDIRECT(E219),0,MATCH(F219,MO_Common_ColumnHeader,0)),"N/A")</f>
        <v/>
      </c>
      <c r="O219" s="67" t="n"/>
      <c r="P219" s="2168">
        <f>IF(ISNUMBER(N219),N219-K219,"N/A")</f>
        <v/>
      </c>
      <c r="Q219" s="2168">
        <f>IFERROR(IF(ISNUMBER(N219),(N219-K219)/ABS(K219),"N/A"),"N/A")</f>
        <v/>
      </c>
      <c r="R219" s="112" t="n"/>
      <c r="S219" s="80" t="n">
        <v>45404</v>
      </c>
      <c r="T219" s="88" t="inlineStr">
        <is>
          <t>CFO Commentary</t>
        </is>
      </c>
      <c r="U219" s="67" t="n"/>
    </row>
    <row r="220" ht="14.4" customFormat="1" customHeight="1" s="1013">
      <c r="A220" s="114" t="n">
        <v>744</v>
      </c>
      <c r="B220" s="77">
        <f>IF(INDEX(MO_SNA_IsHistoricalPeriod,,MATCH(F220,MO_Common_ColumnHeader,0)),"Historical","Forward")</f>
        <v/>
      </c>
      <c r="C220" s="67" t="n"/>
      <c r="D220" s="84">
        <f>INDEX(INDIRECT(E220),0,COLUMN(MO_Common_Column_A))</f>
        <v/>
      </c>
      <c r="E220" s="78" t="inlineStr">
        <is>
          <t>MO_RIS_EPS_WAD</t>
        </is>
      </c>
      <c r="F220" s="77" t="inlineStr">
        <is>
          <t>Q2-2024</t>
        </is>
      </c>
      <c r="G220" s="77" t="n"/>
      <c r="H220" s="67" t="n"/>
      <c r="I220" s="2170" t="n">
        <v>0.73</v>
      </c>
      <c r="J220" s="2170" t="n">
        <v>0.77</v>
      </c>
      <c r="K220" s="2170">
        <f>AVERAGE(I220:J220)</f>
        <v/>
      </c>
      <c r="L220" s="67" t="n"/>
      <c r="M220" s="77">
        <f>IF(INDEX(MO_SNA_IsHistoricalPeriod,,MATCH(F220,MO_Common_ColumnHeader,0)),"Actual","Estimate")</f>
        <v/>
      </c>
      <c r="N220" s="2170">
        <f>IFERROR(INDEX(INDIRECT(E220),0,MATCH(F220,MO_Common_ColumnHeader,0)),"N/A")</f>
        <v/>
      </c>
      <c r="O220" s="67" t="n"/>
      <c r="P220" s="2171">
        <f>IF(ISNUMBER(N220),N220-K220,"N/A")</f>
        <v/>
      </c>
      <c r="Q220" s="2168">
        <f>IFERROR(IF(ISNUMBER(N220),(N220-K220)/ABS(K220),"N/A"),"N/A")</f>
        <v/>
      </c>
      <c r="R220" s="112" t="n"/>
      <c r="S220" s="80" t="n">
        <v>45404</v>
      </c>
      <c r="T220" s="88" t="inlineStr">
        <is>
          <t>CFO Commentary</t>
        </is>
      </c>
      <c r="U220" s="67" t="n"/>
    </row>
    <row r="221" ht="14.4" customFormat="1" customHeight="1" s="1013">
      <c r="A221" s="114" t="n">
        <v>743</v>
      </c>
      <c r="B221" s="77">
        <f>IF(INDEX(MO_SNA_IsHistoricalPeriod,,MATCH(F221,MO_Common_ColumnHeader,0)),"Historical","Forward")</f>
        <v/>
      </c>
      <c r="C221" s="67" t="n"/>
      <c r="D221" s="84">
        <f>INDEX(INDIRECT(E221),0,COLUMN(MO_Common_Column_A))</f>
        <v/>
      </c>
      <c r="E221" s="78" t="inlineStr">
        <is>
          <t>MO_RIS_EPS_WAD_Adj</t>
        </is>
      </c>
      <c r="F221" s="77" t="inlineStr">
        <is>
          <t>Q2-2024</t>
        </is>
      </c>
      <c r="G221" s="77" t="n"/>
      <c r="H221" s="67" t="n"/>
      <c r="I221" s="2170" t="n">
        <v>1.2</v>
      </c>
      <c r="J221" s="2170" t="n">
        <v>1.24</v>
      </c>
      <c r="K221" s="2170">
        <f>AVERAGE(I221:J221)</f>
        <v/>
      </c>
      <c r="L221" s="67" t="n"/>
      <c r="M221" s="77">
        <f>IF(INDEX(MO_SNA_IsHistoricalPeriod,,MATCH(F221,MO_Common_ColumnHeader,0)),"Actual","Estimate")</f>
        <v/>
      </c>
      <c r="N221" s="2170">
        <f>IFERROR(INDEX(INDIRECT(E221),0,MATCH(F221,MO_Common_ColumnHeader,0)),"N/A")</f>
        <v/>
      </c>
      <c r="O221" s="67" t="n"/>
      <c r="P221" s="2171">
        <f>IF(ISNUMBER(N221),N221-K221,"N/A")</f>
        <v/>
      </c>
      <c r="Q221" s="2168">
        <f>IFERROR(IF(ISNUMBER(N221),(N221-K221)/ABS(K221),"N/A"),"N/A")</f>
        <v/>
      </c>
      <c r="R221" s="112" t="n"/>
      <c r="S221" s="80" t="n">
        <v>45404</v>
      </c>
      <c r="T221" s="88" t="inlineStr">
        <is>
          <t>CFO Commentary</t>
        </is>
      </c>
      <c r="U221" s="67" t="n"/>
    </row>
    <row r="222" ht="14.4" customFormat="1" customHeight="1" s="1013">
      <c r="A222" s="114" t="n">
        <v>742</v>
      </c>
      <c r="B222" s="77">
        <f>IF(INDEX(MO_SNA_IsHistoricalPeriod,,MATCH(F222,MO_Common_ColumnHeader,0)),"Historical","Forward")</f>
        <v/>
      </c>
      <c r="C222" s="67" t="n"/>
      <c r="D222" s="84">
        <f>INDEX(INDIRECT(E222),0,COLUMN(MO_Common_Column_A))</f>
        <v/>
      </c>
      <c r="E222" s="78" t="inlineStr">
        <is>
          <t>MO_CFSum_NetShares</t>
        </is>
      </c>
      <c r="F222" s="77" t="inlineStr">
        <is>
          <t>Q2-2024</t>
        </is>
      </c>
      <c r="G222" s="77" t="n"/>
      <c r="H222" s="67" t="n"/>
      <c r="I222" s="2087" t="n">
        <v>-125</v>
      </c>
      <c r="J222" s="2087" t="n">
        <v>-125</v>
      </c>
      <c r="K222" s="2087">
        <f>AVERAGE(I222:J222)</f>
        <v/>
      </c>
      <c r="L222" s="67" t="n"/>
      <c r="M222" s="77">
        <f>IF(INDEX(MO_SNA_IsHistoricalPeriod,,MATCH(F222,MO_Common_ColumnHeader,0)),"Actual","Estimate")</f>
        <v/>
      </c>
      <c r="N222" s="2087">
        <f>IFERROR(INDEX(INDIRECT(E222),0,MATCH(F222,MO_Common_ColumnHeader,0)),"N/A")</f>
        <v/>
      </c>
      <c r="O222" s="67" t="n"/>
      <c r="P222" s="2169">
        <f>IF(ISNUMBER(N222),N222-K222,"N/A")</f>
        <v/>
      </c>
      <c r="Q222" s="2168">
        <f>IFERROR(IF(ISNUMBER(N222),(N222-K222)/ABS(K222),"N/A"),"N/A")</f>
        <v/>
      </c>
      <c r="R222" s="112" t="n"/>
      <c r="S222" s="80" t="n">
        <v>45404</v>
      </c>
      <c r="T222" s="88" t="inlineStr">
        <is>
          <t>CFO Commentary</t>
        </is>
      </c>
      <c r="U222" s="67" t="n"/>
    </row>
    <row r="223" ht="14.4" customFormat="1" customHeight="1" s="1013">
      <c r="A223" s="114" t="n">
        <v>741</v>
      </c>
      <c r="B223" s="67" t="n"/>
      <c r="C223" s="67" t="n"/>
      <c r="D223" s="68" t="n"/>
      <c r="E223" s="69" t="n"/>
      <c r="F223" s="67" t="n"/>
      <c r="G223" s="67" t="n"/>
      <c r="H223" s="67" t="n"/>
      <c r="I223" s="2072" t="n"/>
      <c r="J223" s="2072" t="n"/>
      <c r="K223" s="2072" t="n"/>
      <c r="L223" s="67" t="n"/>
      <c r="M223" s="67" t="n"/>
      <c r="N223" s="2072" t="n"/>
      <c r="O223" s="67" t="n"/>
      <c r="P223" s="2172" t="n"/>
      <c r="Q223" s="2173" t="n"/>
      <c r="R223" s="112" t="n"/>
      <c r="S223" s="112" t="n"/>
      <c r="T223" s="344" t="n"/>
      <c r="U223" s="67" t="n"/>
    </row>
    <row r="224" ht="14.4" customFormat="1" customHeight="1" s="1013">
      <c r="A224" s="114" t="n">
        <v>740</v>
      </c>
      <c r="B224" s="77">
        <f>IF(INDEX(MO_SNA_IsHistoricalPeriod,,MATCH(F224,MO_Common_ColumnHeader,0)),"Historical","Forward")</f>
        <v/>
      </c>
      <c r="C224" s="67" t="n"/>
      <c r="D224" s="84" t="inlineStr">
        <is>
          <t>Recurring Revenue %</t>
        </is>
      </c>
      <c r="E224" s="78" t="n"/>
      <c r="F224" s="77" t="inlineStr">
        <is>
          <t>FY2024</t>
        </is>
      </c>
      <c r="G224" s="77" t="n"/>
      <c r="H224" s="67" t="n"/>
      <c r="I224" s="2108" t="n">
        <v>0.8</v>
      </c>
      <c r="J224" s="2108" t="n">
        <v>0.85</v>
      </c>
      <c r="K224" s="2108">
        <f>AVERAGE(I224:J224)</f>
        <v/>
      </c>
      <c r="L224" s="67" t="n"/>
      <c r="M224" s="77">
        <f>IF(INDEX(MO_SNA_IsHistoricalPeriod,,MATCH(F224,MO_Common_ColumnHeader,0)),"Actual","Estimate")</f>
        <v/>
      </c>
      <c r="N224" s="2108">
        <f>IFERROR(INDEX(INDIRECT(E224),0,MATCH(F224,MO_Common_ColumnHeader,0)),"N/A")</f>
        <v/>
      </c>
      <c r="O224" s="2072" t="n"/>
      <c r="P224" s="2168">
        <f>IF(ISNUMBER(N224),N224-K224,"N/A")</f>
        <v/>
      </c>
      <c r="Q224" s="2168">
        <f>IFERROR(IF(ISNUMBER(N224),(N224-K224)/ABS(K224),"N/A"),"N/A")</f>
        <v/>
      </c>
      <c r="R224" s="112" t="n"/>
      <c r="S224" s="80" t="n">
        <v>45334</v>
      </c>
      <c r="T224" s="88" t="inlineStr">
        <is>
          <t>CFO Commentary</t>
        </is>
      </c>
      <c r="U224" s="67" t="n"/>
    </row>
    <row r="225" ht="14.4" customFormat="1" customHeight="1" s="1013">
      <c r="A225" s="114" t="n">
        <v>739</v>
      </c>
      <c r="B225" s="77">
        <f>IF(INDEX(MO_SNA_IsHistoricalPeriod,,MATCH(F225,MO_Common_ColumnHeader,0)),"Historical","Forward")</f>
        <v/>
      </c>
      <c r="C225" s="67" t="n"/>
      <c r="D225" s="84" t="inlineStr">
        <is>
          <t>Revenue from Beginning Backlog %</t>
        </is>
      </c>
      <c r="E225" s="78" t="n"/>
      <c r="F225" s="77" t="inlineStr">
        <is>
          <t>FY2024</t>
        </is>
      </c>
      <c r="G225" s="77" t="n"/>
      <c r="H225" s="67" t="n"/>
      <c r="I225" s="2108" t="n">
        <v>0.7</v>
      </c>
      <c r="J225" s="2108" t="n">
        <v>0.7</v>
      </c>
      <c r="K225" s="2108">
        <f>AVERAGE(I225:J225)</f>
        <v/>
      </c>
      <c r="L225" s="67" t="n"/>
      <c r="M225" s="77">
        <f>IF(INDEX(MO_SNA_IsHistoricalPeriod,,MATCH(F225,MO_Common_ColumnHeader,0)),"Actual","Estimate")</f>
        <v/>
      </c>
      <c r="N225" s="2108">
        <f>IFERROR(INDEX(INDIRECT(E225),0,MATCH(F225,MO_Common_ColumnHeader,0)),"N/A")</f>
        <v/>
      </c>
      <c r="O225" s="2072" t="n"/>
      <c r="P225" s="2168">
        <f>IF(ISNUMBER(N225),N225-K225,"N/A")</f>
        <v/>
      </c>
      <c r="Q225" s="2168">
        <f>IFERROR(IF(ISNUMBER(N225),(N225-K225)/ABS(K225),"N/A"),"N/A")</f>
        <v/>
      </c>
      <c r="R225" s="112" t="n"/>
      <c r="S225" s="80" t="n">
        <v>45334</v>
      </c>
      <c r="T225" s="88" t="inlineStr">
        <is>
          <t>CFO Commentary</t>
        </is>
      </c>
      <c r="U225" s="67" t="n"/>
    </row>
    <row r="226" ht="14.4" customFormat="1" customHeight="1" s="1013">
      <c r="A226" s="114" t="n">
        <v>738</v>
      </c>
      <c r="B226" s="77">
        <f>IF(INDEX(MO_SNA_IsHistoricalPeriod,,MATCH(F226,MO_Common_ColumnHeader,0)),"Historical","Forward")</f>
        <v/>
      </c>
      <c r="C226" s="67" t="n"/>
      <c r="D226" s="84">
        <f>INDEX(INDIRECT(E226),0,COLUMN(MO_Common_Column_A))</f>
        <v/>
      </c>
      <c r="E226" s="78" t="inlineStr">
        <is>
          <t>MO_RIS_REV</t>
        </is>
      </c>
      <c r="F226" s="77" t="inlineStr">
        <is>
          <t>FY2024</t>
        </is>
      </c>
      <c r="G226" s="77" t="n"/>
      <c r="H226" s="67" t="n"/>
      <c r="I226" s="2087" t="n">
        <v>4550</v>
      </c>
      <c r="J226" s="2087" t="n">
        <v>4610</v>
      </c>
      <c r="K226" s="2087">
        <f>AVERAGE(I226:J226)</f>
        <v/>
      </c>
      <c r="L226" s="67" t="n"/>
      <c r="M226" s="77">
        <f>IF(INDEX(MO_SNA_IsHistoricalPeriod,,MATCH(F226,MO_Common_ColumnHeader,0)),"Actual","Estimate")</f>
        <v/>
      </c>
      <c r="N226" s="2087">
        <f>IFERROR(INDEX(INDIRECT(E226),0,MATCH(F226,MO_Common_ColumnHeader,0)),"N/A")</f>
        <v/>
      </c>
      <c r="O226" s="2072" t="n"/>
      <c r="P226" s="2169">
        <f>IF(ISNUMBER(N226),N226-K226,"N/A")</f>
        <v/>
      </c>
      <c r="Q226" s="2168">
        <f>IFERROR(IF(ISNUMBER(N226),(N226-K226)/ABS(K226),"N/A"),"N/A")</f>
        <v/>
      </c>
      <c r="R226" s="112" t="n"/>
      <c r="S226" s="80" t="n">
        <v>45334</v>
      </c>
      <c r="T226" s="88" t="inlineStr">
        <is>
          <t>CFO Commentary</t>
        </is>
      </c>
      <c r="U226" s="67" t="n"/>
    </row>
    <row r="227" ht="14.4" customFormat="1" customHeight="1" s="1013">
      <c r="A227" s="114" t="n">
        <v>737</v>
      </c>
      <c r="B227" s="77">
        <f>IF(INDEX(MO_SNA_IsHistoricalPeriod,,MATCH(F227,MO_Common_ColumnHeader,0)),"Historical","Forward")</f>
        <v/>
      </c>
      <c r="C227" s="67" t="n"/>
      <c r="D227" s="84" t="inlineStr">
        <is>
          <t>GAAP Operating Margin</t>
        </is>
      </c>
      <c r="E227" s="78" t="inlineStr">
        <is>
          <t>MO_MA_EBIT</t>
        </is>
      </c>
      <c r="F227" s="77" t="inlineStr">
        <is>
          <t>FY2024</t>
        </is>
      </c>
      <c r="G227" s="77" t="n"/>
      <c r="H227" s="67" t="n"/>
      <c r="I227" s="2108" t="n">
        <v>0.32</v>
      </c>
      <c r="J227" s="2108" t="n">
        <v>0.33</v>
      </c>
      <c r="K227" s="2108">
        <f>AVERAGE(I227:J227)</f>
        <v/>
      </c>
      <c r="L227" s="67" t="n"/>
      <c r="M227" s="77">
        <f>IF(INDEX(MO_SNA_IsHistoricalPeriod,,MATCH(F227,MO_Common_ColumnHeader,0)),"Actual","Estimate")</f>
        <v/>
      </c>
      <c r="N227" s="2108">
        <f>IFERROR(INDEX(INDIRECT(E227),0,MATCH(F227,MO_Common_ColumnHeader,0)),"N/A")</f>
        <v/>
      </c>
      <c r="O227" s="67" t="n"/>
      <c r="P227" s="2168">
        <f>IF(ISNUMBER(N227),N227-K227,"N/A")</f>
        <v/>
      </c>
      <c r="Q227" s="2168">
        <f>IFERROR(IF(ISNUMBER(N227),(N227-K227)/ABS(K227),"N/A"),"N/A")</f>
        <v/>
      </c>
      <c r="R227" s="112" t="n"/>
      <c r="S227" s="80" t="n">
        <v>45334</v>
      </c>
      <c r="T227" s="88" t="inlineStr">
        <is>
          <t>CFO Commentary</t>
        </is>
      </c>
      <c r="U227" s="67" t="n"/>
    </row>
    <row r="228" ht="14.4" customFormat="1" customHeight="1" s="1013">
      <c r="A228" s="114" t="n">
        <v>736</v>
      </c>
      <c r="B228" s="77">
        <f>IF(INDEX(MO_SNA_IsHistoricalPeriod,,MATCH(F228,MO_Common_ColumnHeader,0)),"Historical","Forward")</f>
        <v/>
      </c>
      <c r="C228" s="67" t="n"/>
      <c r="D228" s="84">
        <f>INDEX(INDIRECT(E228),0,COLUMN(MO_Common_Column_A))</f>
        <v/>
      </c>
      <c r="E228" s="78" t="inlineStr">
        <is>
          <t>MO_MA_OperatingIncome_NONGAAP</t>
        </is>
      </c>
      <c r="F228" s="77" t="inlineStr">
        <is>
          <t>FY2024</t>
        </is>
      </c>
      <c r="G228" s="77" t="n"/>
      <c r="H228" s="67" t="n"/>
      <c r="I228" s="2108" t="n">
        <v>0.42</v>
      </c>
      <c r="J228" s="2108" t="n">
        <v>0.43</v>
      </c>
      <c r="K228" s="2108">
        <f>AVERAGE(I228:J228)</f>
        <v/>
      </c>
      <c r="L228" s="67" t="n"/>
      <c r="M228" s="77">
        <f>IF(INDEX(MO_SNA_IsHistoricalPeriod,,MATCH(F228,MO_Common_ColumnHeader,0)),"Actual","Estimate")</f>
        <v/>
      </c>
      <c r="N228" s="2108">
        <f>IFERROR(INDEX(INDIRECT(E228),0,MATCH(F228,MO_Common_ColumnHeader,0)),"N/A")</f>
        <v/>
      </c>
      <c r="O228" s="67" t="n"/>
      <c r="P228" s="2168">
        <f>IF(ISNUMBER(N228),N228-K228,"N/A")</f>
        <v/>
      </c>
      <c r="Q228" s="2168">
        <f>IFERROR(IF(ISNUMBER(N228),(N228-K228)/ABS(K228),"N/A"),"N/A")</f>
        <v/>
      </c>
      <c r="R228" s="112" t="n"/>
      <c r="S228" s="80" t="n">
        <v>45334</v>
      </c>
      <c r="T228" s="88" t="inlineStr">
        <is>
          <t>CFO Commentary</t>
        </is>
      </c>
      <c r="U228" s="67" t="n"/>
    </row>
    <row r="229" ht="14.4" customFormat="1" customHeight="1" s="1013">
      <c r="A229" s="114" t="n">
        <v>735</v>
      </c>
      <c r="B229" s="77">
        <f>IF(INDEX(MO_SNA_IsHistoricalPeriod,,MATCH(F229,MO_Common_ColumnHeader,0)),"Historical","Forward")</f>
        <v/>
      </c>
      <c r="C229" s="67" t="n"/>
      <c r="D229" s="84">
        <f>INDEX(INDIRECT(E229),0,COLUMN(MO_Common_Column_A))</f>
        <v/>
      </c>
      <c r="E229" s="78" t="inlineStr">
        <is>
          <t>MO_RIS_EPS_WAD</t>
        </is>
      </c>
      <c r="F229" s="77" t="inlineStr">
        <is>
          <t>FY2024</t>
        </is>
      </c>
      <c r="G229" s="77" t="n"/>
      <c r="H229" s="67" t="n"/>
      <c r="I229" s="2170" t="n">
        <v>4.08</v>
      </c>
      <c r="J229" s="2170" t="n">
        <v>4.18</v>
      </c>
      <c r="K229" s="2170">
        <f>AVERAGE(I229:J229)</f>
        <v/>
      </c>
      <c r="L229" s="67" t="n"/>
      <c r="M229" s="77">
        <f>IF(INDEX(MO_SNA_IsHistoricalPeriod,,MATCH(F229,MO_Common_ColumnHeader,0)),"Actual","Estimate")</f>
        <v/>
      </c>
      <c r="N229" s="2170">
        <f>IFERROR(INDEX(INDIRECT(E229),0,MATCH(F229,MO_Common_ColumnHeader,0)),"N/A")</f>
        <v/>
      </c>
      <c r="O229" s="67" t="n"/>
      <c r="P229" s="2171">
        <f>IF(ISNUMBER(N229),N229-K229,"N/A")</f>
        <v/>
      </c>
      <c r="Q229" s="2168">
        <f>IFERROR(IF(ISNUMBER(N229),(N229-K229)/ABS(K229),"N/A"),"N/A")</f>
        <v/>
      </c>
      <c r="R229" s="112" t="n"/>
      <c r="S229" s="80" t="n">
        <v>45334</v>
      </c>
      <c r="T229" s="88" t="inlineStr">
        <is>
          <t>CFO Commentary</t>
        </is>
      </c>
      <c r="U229" s="67" t="n"/>
    </row>
    <row r="230" ht="14.4" customFormat="1" customHeight="1" s="1013">
      <c r="A230" s="114" t="n">
        <v>734</v>
      </c>
      <c r="B230" s="77">
        <f>IF(INDEX(MO_SNA_IsHistoricalPeriod,,MATCH(F230,MO_Common_ColumnHeader,0)),"Historical","Forward")</f>
        <v/>
      </c>
      <c r="C230" s="67" t="n"/>
      <c r="D230" s="84">
        <f>INDEX(INDIRECT(E230),0,COLUMN(MO_Common_Column_A))</f>
        <v/>
      </c>
      <c r="E230" s="78" t="inlineStr">
        <is>
          <t>MO_RIS_EPS_WAD_Adj</t>
        </is>
      </c>
      <c r="F230" s="77" t="inlineStr">
        <is>
          <t>FY2024</t>
        </is>
      </c>
      <c r="G230" s="77" t="n"/>
      <c r="H230" s="67" t="n"/>
      <c r="I230" s="2170" t="n">
        <v>5.87</v>
      </c>
      <c r="J230" s="2170" t="n">
        <v>5.97</v>
      </c>
      <c r="K230" s="2170">
        <f>AVERAGE(I230:J230)</f>
        <v/>
      </c>
      <c r="L230" s="67" t="n"/>
      <c r="M230" s="77">
        <f>IF(INDEX(MO_SNA_IsHistoricalPeriod,,MATCH(F230,MO_Common_ColumnHeader,0)),"Actual","Estimate")</f>
        <v/>
      </c>
      <c r="N230" s="2170">
        <f>IFERROR(INDEX(INDIRECT(E230),0,MATCH(F230,MO_Common_ColumnHeader,0)),"N/A")</f>
        <v/>
      </c>
      <c r="O230" s="67" t="n"/>
      <c r="P230" s="2171">
        <f>IF(ISNUMBER(N230),N230-K230,"N/A")</f>
        <v/>
      </c>
      <c r="Q230" s="2168">
        <f>IFERROR(IF(ISNUMBER(N230),(N230-K230)/ABS(K230),"N/A"),"N/A")</f>
        <v/>
      </c>
      <c r="R230" s="112" t="n"/>
      <c r="S230" s="80" t="n">
        <v>45334</v>
      </c>
      <c r="T230" s="88" t="inlineStr">
        <is>
          <t>CFO Commentary</t>
        </is>
      </c>
      <c r="U230" s="67" t="n"/>
    </row>
    <row r="231" ht="14.4" customFormat="1" customHeight="1" s="1013">
      <c r="A231" s="114" t="n">
        <v>733</v>
      </c>
      <c r="B231" s="77">
        <f>IF(INDEX(MO_SNA_IsHistoricalPeriod,,MATCH(F231,MO_Common_ColumnHeader,0)),"Historical","Forward")</f>
        <v/>
      </c>
      <c r="C231" s="67" t="n"/>
      <c r="D231" s="84">
        <f>INDEX(INDIRECT(E231),0,COLUMN(MO_Common_Column_A))</f>
        <v/>
      </c>
      <c r="E231" s="78" t="inlineStr">
        <is>
          <t>MO_CFS_CFO</t>
        </is>
      </c>
      <c r="F231" s="77" t="inlineStr">
        <is>
          <t>FY2024</t>
        </is>
      </c>
      <c r="G231" s="77" t="n"/>
      <c r="H231" s="67" t="n"/>
      <c r="I231" s="2087" t="n">
        <v>1350</v>
      </c>
      <c r="J231" s="2087" t="n">
        <v>1450</v>
      </c>
      <c r="K231" s="2087">
        <f>AVERAGE(I231:J231)</f>
        <v/>
      </c>
      <c r="L231" s="67" t="n"/>
      <c r="M231" s="77">
        <f>IF(INDEX(MO_SNA_IsHistoricalPeriod,,MATCH(F231,MO_Common_ColumnHeader,0)),"Actual","Estimate")</f>
        <v/>
      </c>
      <c r="N231" s="2087">
        <f>IFERROR(INDEX(INDIRECT(E231),0,MATCH(F231,MO_Common_ColumnHeader,0)),"N/A")</f>
        <v/>
      </c>
      <c r="O231" s="67" t="n"/>
      <c r="P231" s="2169">
        <f>IF(ISNUMBER(N231),N231-K231,"N/A")</f>
        <v/>
      </c>
      <c r="Q231" s="2168">
        <f>IFERROR(IF(ISNUMBER(N231),(N231-K231)/ABS(K231),"N/A"),"N/A")</f>
        <v/>
      </c>
      <c r="R231" s="112" t="n"/>
      <c r="S231" s="80" t="n">
        <v>45334</v>
      </c>
      <c r="T231" s="88" t="inlineStr">
        <is>
          <t>CFO Commentary</t>
        </is>
      </c>
      <c r="U231" s="67" t="n"/>
    </row>
    <row r="232" ht="14.4" customFormat="1" customHeight="1" s="1013">
      <c r="A232" s="114" t="n">
        <v>732</v>
      </c>
      <c r="B232" s="77">
        <f>IF(INDEX(MO_SNA_IsHistoricalPeriod,,MATCH(F232,MO_Common_ColumnHeader,0)),"Historical","Forward")</f>
        <v/>
      </c>
      <c r="C232" s="67" t="n"/>
      <c r="D232" s="84" t="inlineStr">
        <is>
          <t>GAAP Other Income &amp; Expense</t>
        </is>
      </c>
      <c r="E232" s="78" t="n"/>
      <c r="F232" s="77" t="inlineStr">
        <is>
          <t>FY2024</t>
        </is>
      </c>
      <c r="G232" s="77" t="n"/>
      <c r="H232" s="67" t="n"/>
      <c r="I232" s="2087" t="n">
        <v>-10</v>
      </c>
      <c r="J232" s="2087" t="n">
        <v>-18</v>
      </c>
      <c r="K232" s="2087">
        <f>AVERAGE(I232:J232)</f>
        <v/>
      </c>
      <c r="L232" s="67" t="n"/>
      <c r="M232" s="77">
        <f>IF(INDEX(MO_SNA_IsHistoricalPeriod,,MATCH(F232,MO_Common_ColumnHeader,0)),"Actual","Estimate")</f>
        <v/>
      </c>
      <c r="N232" s="2087">
        <f>-IFERROR(INDEX(MO_RIS_IE_Net,0,MATCH(F232,MO_Common_ColumnHeader,0)),"N/A")-IFERROR(INDEX(MO_RIS_OI,0,MATCH(F232,MO_Common_ColumnHeader,0)),"N/A")</f>
        <v/>
      </c>
      <c r="O232" s="67" t="n"/>
      <c r="P232" s="2169">
        <f>IF(ISNUMBER(N232),N232-K232,"N/A")</f>
        <v/>
      </c>
      <c r="Q232" s="2168">
        <f>IFERROR(IF(ISNUMBER(N232),(N232-K232)/ABS(K232),"N/A"),"N/A")</f>
        <v/>
      </c>
      <c r="R232" s="112" t="n"/>
      <c r="S232" s="80" t="n">
        <v>45334</v>
      </c>
      <c r="T232" s="88" t="inlineStr">
        <is>
          <t>CFO Commentary</t>
        </is>
      </c>
      <c r="U232" s="67" t="n"/>
    </row>
    <row r="233" ht="14.4" customFormat="1" customHeight="1" s="1013">
      <c r="A233" s="114" t="n">
        <v>731</v>
      </c>
      <c r="B233" s="77">
        <f>IF(INDEX(MO_SNA_IsHistoricalPeriod,,MATCH(F233,MO_Common_ColumnHeader,0)),"Historical","Forward")</f>
        <v/>
      </c>
      <c r="C233" s="67" t="n"/>
      <c r="D233" s="84" t="inlineStr">
        <is>
          <t>Non-GAAP Other Income &amp; Expense</t>
        </is>
      </c>
      <c r="E233" s="78" t="n"/>
      <c r="F233" s="77" t="inlineStr">
        <is>
          <t>FY2024</t>
        </is>
      </c>
      <c r="G233" s="77" t="n"/>
      <c r="H233" s="67" t="n"/>
      <c r="I233" s="2087" t="n">
        <v>-10</v>
      </c>
      <c r="J233" s="2087" t="n">
        <v>-18</v>
      </c>
      <c r="K233" s="2087">
        <f>AVERAGE(I233:J233)</f>
        <v/>
      </c>
      <c r="L233" s="67" t="n"/>
      <c r="M233" s="77">
        <f>IF(INDEX(MO_SNA_IsHistoricalPeriod,,MATCH(F233,MO_Common_ColumnHeader,0)),"Actual","Estimate")</f>
        <v/>
      </c>
      <c r="N233" s="2087">
        <f>-IFERROR(INDEX(MO_RIS_IE_Net_NONGAAP,0,MATCH(F233,MO_Common_ColumnHeader,0)),"N/A")-IFERROR(INDEX(MO_RIS_OI_NONGAAP,0,MATCH(F233,MO_Common_ColumnHeader,0)),"N/A")</f>
        <v/>
      </c>
      <c r="O233" s="67" t="n"/>
      <c r="P233" s="2169">
        <f>IF(ISNUMBER(N233),N233-K233,"N/A")</f>
        <v/>
      </c>
      <c r="Q233" s="2168">
        <f>IFERROR(IF(ISNUMBER(N233),(N233-K233)/ABS(K233),"N/A"),"N/A")</f>
        <v/>
      </c>
      <c r="R233" s="112" t="n"/>
      <c r="S233" s="80" t="n">
        <v>45334</v>
      </c>
      <c r="T233" s="88" t="inlineStr">
        <is>
          <t>CFO Commentary</t>
        </is>
      </c>
      <c r="U233" s="67" t="n"/>
    </row>
    <row r="234" ht="14.4" customFormat="1" customHeight="1" s="1013">
      <c r="A234" s="114" t="n">
        <v>730</v>
      </c>
      <c r="B234" s="77">
        <f>IF(INDEX(MO_SNA_IsHistoricalPeriod,,MATCH(F234,MO_Common_ColumnHeader,0)),"Historical","Forward")</f>
        <v/>
      </c>
      <c r="C234" s="67" t="n"/>
      <c r="D234" s="84" t="inlineStr">
        <is>
          <t>GAAP Tax Rate</t>
        </is>
      </c>
      <c r="E234" s="78" t="inlineStr">
        <is>
          <t>MO_RIS_TaxRate</t>
        </is>
      </c>
      <c r="F234" s="77" t="inlineStr">
        <is>
          <t>FY2024</t>
        </is>
      </c>
      <c r="G234" s="77" t="n"/>
      <c r="H234" s="67" t="n"/>
      <c r="I234" s="2108" t="n">
        <v>0.23</v>
      </c>
      <c r="J234" s="2108" t="n">
        <v>0.23</v>
      </c>
      <c r="K234" s="2108">
        <f>AVERAGE(I234:J234)</f>
        <v/>
      </c>
      <c r="L234" s="67" t="n"/>
      <c r="M234" s="77">
        <f>IF(INDEX(MO_SNA_IsHistoricalPeriod,,MATCH(F234,MO_Common_ColumnHeader,0)),"Actual","Estimate")</f>
        <v/>
      </c>
      <c r="N234" s="2108">
        <f>IFERROR(INDEX(INDIRECT(E234),0,MATCH(F234,MO_Common_ColumnHeader,0)),"N/A")</f>
        <v/>
      </c>
      <c r="O234" s="67" t="n"/>
      <c r="P234" s="2168">
        <f>IF(ISNUMBER(N234),N234-K234,"N/A")</f>
        <v/>
      </c>
      <c r="Q234" s="2168">
        <f>IFERROR(IF(ISNUMBER(N234),(N234-K234)/ABS(K234),"N/A"),"N/A")</f>
        <v/>
      </c>
      <c r="R234" s="112" t="n"/>
      <c r="S234" s="80" t="n">
        <v>45334</v>
      </c>
      <c r="T234" s="88" t="inlineStr">
        <is>
          <t>CFO Commentary</t>
        </is>
      </c>
      <c r="U234" s="67" t="n"/>
    </row>
    <row r="235" ht="14.4" customFormat="1" customHeight="1" s="1013">
      <c r="A235" s="114" t="n">
        <v>729</v>
      </c>
      <c r="B235" s="77">
        <f>IF(INDEX(MO_SNA_IsHistoricalPeriod,,MATCH(F235,MO_Common_ColumnHeader,0)),"Historical","Forward")</f>
        <v/>
      </c>
      <c r="C235" s="67" t="n"/>
      <c r="D235" s="84">
        <f>INDEX(INDIRECT(E235),0,COLUMN(MO_Common_Column_A))</f>
        <v/>
      </c>
      <c r="E235" s="78" t="inlineStr">
        <is>
          <t>MO_RIS_TaxRate_NONGAAP</t>
        </is>
      </c>
      <c r="F235" s="77" t="inlineStr">
        <is>
          <t>FY2024</t>
        </is>
      </c>
      <c r="G235" s="77" t="n"/>
      <c r="H235" s="67" t="n"/>
      <c r="I235" s="2108" t="n">
        <v>0.165</v>
      </c>
      <c r="J235" s="2108" t="n">
        <v>0.165</v>
      </c>
      <c r="K235" s="2108">
        <f>AVERAGE(I235:J235)</f>
        <v/>
      </c>
      <c r="L235" s="67" t="n"/>
      <c r="M235" s="77">
        <f>IF(INDEX(MO_SNA_IsHistoricalPeriod,,MATCH(F235,MO_Common_ColumnHeader,0)),"Actual","Estimate")</f>
        <v/>
      </c>
      <c r="N235" s="2108">
        <f>IFERROR(INDEX(INDIRECT(E235),0,MATCH(F235,MO_Common_ColumnHeader,0)),"N/A")</f>
        <v/>
      </c>
      <c r="O235" s="67" t="n"/>
      <c r="P235" s="2168">
        <f>IF(ISNUMBER(N235),N235-K235,"N/A")</f>
        <v/>
      </c>
      <c r="Q235" s="2168">
        <f>IFERROR(IF(ISNUMBER(N235),(N235-K235)/ABS(K235),"N/A"),"N/A")</f>
        <v/>
      </c>
      <c r="R235" s="112" t="n"/>
      <c r="S235" s="80" t="n">
        <v>45334</v>
      </c>
      <c r="T235" s="88" t="inlineStr">
        <is>
          <t>CFO Commentary</t>
        </is>
      </c>
      <c r="U235" s="67" t="n"/>
    </row>
    <row r="236" ht="14.4" customFormat="1" customHeight="1" s="1013">
      <c r="A236" s="114" t="n">
        <v>728</v>
      </c>
      <c r="B236" s="77">
        <f>IF(INDEX(MO_SNA_IsHistoricalPeriod,,MATCH(F236,MO_Common_ColumnHeader,0)),"Historical","Forward")</f>
        <v/>
      </c>
      <c r="C236" s="67" t="n"/>
      <c r="D236" s="84">
        <f>INDEX(INDIRECT(E236),0,COLUMN(MO_Common_Column_A))</f>
        <v/>
      </c>
      <c r="E236" s="78" t="inlineStr">
        <is>
          <t>MO_RIS_ShareCount_WAD</t>
        </is>
      </c>
      <c r="F236" s="77" t="inlineStr">
        <is>
          <t>FY2024</t>
        </is>
      </c>
      <c r="G236" s="77" t="n"/>
      <c r="H236" s="67" t="n"/>
      <c r="I236" s="2087" t="n">
        <v>271.5</v>
      </c>
      <c r="J236" s="2087" t="n">
        <v>273.5</v>
      </c>
      <c r="K236" s="2087">
        <f>AVERAGE(I236:J236)</f>
        <v/>
      </c>
      <c r="L236" s="67" t="n"/>
      <c r="M236" s="77">
        <f>IF(INDEX(MO_SNA_IsHistoricalPeriod,,MATCH(F236,MO_Common_ColumnHeader,0)),"Actual","Estimate")</f>
        <v/>
      </c>
      <c r="N236" s="2087">
        <f>IFERROR(INDEX(INDIRECT(E236),0,MATCH(F236,MO_Common_ColumnHeader,0)),"N/A")</f>
        <v/>
      </c>
      <c r="O236" s="67" t="n"/>
      <c r="P236" s="2169">
        <f>IF(ISNUMBER(N236),N236-K236,"N/A")</f>
        <v/>
      </c>
      <c r="Q236" s="2168">
        <f>IFERROR(IF(ISNUMBER(N236),(N236-K236)/ABS(K236),"N/A"),"N/A")</f>
        <v/>
      </c>
      <c r="R236" s="112" t="n"/>
      <c r="S236" s="80" t="n">
        <v>45334</v>
      </c>
      <c r="T236" s="88" t="inlineStr">
        <is>
          <t>CFO Commentary</t>
        </is>
      </c>
      <c r="U236" s="67" t="n"/>
    </row>
    <row r="237" ht="14.4" customFormat="1" customHeight="1" s="1013">
      <c r="A237" s="114" t="n">
        <v>727</v>
      </c>
      <c r="B237" s="77">
        <f>IF(INDEX(MO_SNA_IsHistoricalPeriod,,MATCH(F237,MO_Common_ColumnHeader,0)),"Historical","Forward")</f>
        <v/>
      </c>
      <c r="C237" s="67" t="n"/>
      <c r="D237" s="84" t="inlineStr">
        <is>
          <t>DSO</t>
        </is>
      </c>
      <c r="E237" s="78" t="n"/>
      <c r="F237" s="77" t="inlineStr">
        <is>
          <t>FY2024</t>
        </is>
      </c>
      <c r="G237" s="77" t="n"/>
      <c r="H237" s="67" t="n"/>
      <c r="I237" s="2087" t="n">
        <v>45</v>
      </c>
      <c r="J237" s="2087" t="n">
        <v>45</v>
      </c>
      <c r="K237" s="2087">
        <f>AVERAGE(I237:J237)</f>
        <v/>
      </c>
      <c r="L237" s="67" t="n"/>
      <c r="M237" s="77">
        <f>IF(INDEX(MO_SNA_IsHistoricalPeriod,,MATCH(F237,MO_Common_ColumnHeader,0)),"Actual","Estimate")</f>
        <v/>
      </c>
      <c r="N237" s="2087">
        <f>IFERROR(INDEX(INDIRECT(E237),0,MATCH(F237,MO_Common_ColumnHeader,0)),"N/A")</f>
        <v/>
      </c>
      <c r="O237" s="67" t="n"/>
      <c r="P237" s="2169">
        <f>IF(ISNUMBER(N237),N237-K237,"N/A")</f>
        <v/>
      </c>
      <c r="Q237" s="2168">
        <f>IFERROR(IF(ISNUMBER(N237),(N237-K237)/ABS(K237),"N/A"),"N/A")</f>
        <v/>
      </c>
      <c r="R237" s="112" t="n"/>
      <c r="S237" s="80" t="n">
        <v>45334</v>
      </c>
      <c r="T237" s="88" t="inlineStr">
        <is>
          <t>CFO Commentary</t>
        </is>
      </c>
      <c r="U237" s="67" t="n"/>
    </row>
    <row r="238" ht="14.4" customFormat="1" customHeight="1" s="1013">
      <c r="A238" s="114" t="n">
        <v>726</v>
      </c>
      <c r="B238" s="77">
        <f>IF(INDEX(MO_SNA_IsHistoricalPeriod,,MATCH(F238,MO_Common_ColumnHeader,0)),"Historical","Forward")</f>
        <v/>
      </c>
      <c r="C238" s="67" t="n"/>
      <c r="D238" s="84">
        <f>INDEX(INDIRECT(E238),0,COLUMN(MO_Common_Column_A))</f>
        <v/>
      </c>
      <c r="E238" s="78" t="inlineStr">
        <is>
          <t>MO_CFSum_Capex</t>
        </is>
      </c>
      <c r="F238" s="77" t="inlineStr">
        <is>
          <t>FY2024</t>
        </is>
      </c>
      <c r="G238" s="77" t="n"/>
      <c r="H238" s="67" t="n"/>
      <c r="I238" s="2087" t="n">
        <v>-120</v>
      </c>
      <c r="J238" s="2087" t="n">
        <v>-120</v>
      </c>
      <c r="K238" s="2087">
        <f>AVERAGE(I238:J238)</f>
        <v/>
      </c>
      <c r="L238" s="67" t="n"/>
      <c r="M238" s="77">
        <f>IF(INDEX(MO_SNA_IsHistoricalPeriod,,MATCH(F238,MO_Common_ColumnHeader,0)),"Actual","Estimate")</f>
        <v/>
      </c>
      <c r="N238" s="2087">
        <f>IFERROR(INDEX(INDIRECT(E238),0,MATCH(F238,MO_Common_ColumnHeader,0)),"N/A")</f>
        <v/>
      </c>
      <c r="O238" s="67" t="n"/>
      <c r="P238" s="2169">
        <f>IF(ISNUMBER(N238),N238-K238,"N/A")</f>
        <v/>
      </c>
      <c r="Q238" s="2168">
        <f>IFERROR(IF(ISNUMBER(N238),(N238-K238)/ABS(K238),"N/A"),"N/A")</f>
        <v/>
      </c>
      <c r="R238" s="112" t="n"/>
      <c r="S238" s="80" t="n">
        <v>45334</v>
      </c>
      <c r="T238" s="88" t="inlineStr">
        <is>
          <t>CFO Commentary</t>
        </is>
      </c>
      <c r="U238" s="67" t="n"/>
    </row>
    <row r="239" ht="14.4" customFormat="1" customHeight="1" s="1013">
      <c r="A239" s="114" t="n">
        <v>725</v>
      </c>
      <c r="B239" s="77">
        <f>IF(INDEX(MO_SNA_IsHistoricalPeriod,,MATCH(F239,MO_Common_ColumnHeader,0)),"Historical","Forward")</f>
        <v/>
      </c>
      <c r="C239" s="67" t="n"/>
      <c r="D239" s="84">
        <f>INDEX(INDIRECT(E239),0,COLUMN(MO_Common_Column_A))</f>
        <v/>
      </c>
      <c r="E239" s="78" t="inlineStr">
        <is>
          <t>MO_RIS_SBC</t>
        </is>
      </c>
      <c r="F239" s="77" t="inlineStr">
        <is>
          <t>FY2024</t>
        </is>
      </c>
      <c r="G239" s="77" t="n"/>
      <c r="H239" s="67" t="n"/>
      <c r="I239" s="2087" t="n">
        <v>370</v>
      </c>
      <c r="J239" s="2087" t="n">
        <v>370</v>
      </c>
      <c r="K239" s="2087">
        <f>AVERAGE(I239:J239)</f>
        <v/>
      </c>
      <c r="L239" s="67" t="n"/>
      <c r="M239" s="77">
        <f>IF(INDEX(MO_SNA_IsHistoricalPeriod,,MATCH(F239,MO_Common_ColumnHeader,0)),"Actual","Estimate")</f>
        <v/>
      </c>
      <c r="N239" s="2087">
        <f>IFERROR(INDEX(INDIRECT(E239),0,MATCH(F239,MO_Common_ColumnHeader,0)),"N/A")</f>
        <v/>
      </c>
      <c r="O239" s="67" t="n"/>
      <c r="P239" s="2169">
        <f>IF(ISNUMBER(N239),N239-K239,"N/A")</f>
        <v/>
      </c>
      <c r="Q239" s="2168">
        <f>IFERROR(IF(ISNUMBER(N239),(N239-K239)/ABS(K239),"N/A"),"N/A")</f>
        <v/>
      </c>
      <c r="R239" s="112" t="n"/>
      <c r="S239" s="80" t="n">
        <v>45334</v>
      </c>
      <c r="T239" s="88" t="inlineStr">
        <is>
          <t>CFO Commentary</t>
        </is>
      </c>
      <c r="U239" s="67" t="n"/>
    </row>
    <row r="240" ht="14.4" customFormat="1" customHeight="1" s="1013">
      <c r="A240" s="114" t="n">
        <v>724</v>
      </c>
      <c r="B240" s="77">
        <f>IF(INDEX(MO_SNA_IsHistoricalPeriod,,MATCH(F240,MO_Common_ColumnHeader,0)),"Historical","Forward")</f>
        <v/>
      </c>
      <c r="C240" s="67" t="n"/>
      <c r="D240" s="84">
        <f>INDEX(INDIRECT(E240),0,COLUMN(MO_Common_Column_A))</f>
        <v/>
      </c>
      <c r="E240" s="78" t="inlineStr">
        <is>
          <t>MO_RIS_Daintangibles</t>
        </is>
      </c>
      <c r="F240" s="77" t="inlineStr">
        <is>
          <t>FY2024</t>
        </is>
      </c>
      <c r="G240" s="77" t="n"/>
      <c r="H240" s="67" t="n"/>
      <c r="I240" s="2087" t="n">
        <v>66</v>
      </c>
      <c r="J240" s="2087" t="n">
        <v>66</v>
      </c>
      <c r="K240" s="2087">
        <f>AVERAGE(I240:J240)</f>
        <v/>
      </c>
      <c r="L240" s="67" t="n"/>
      <c r="M240" s="77">
        <f>IF(INDEX(MO_SNA_IsHistoricalPeriod,,MATCH(F240,MO_Common_ColumnHeader,0)),"Actual","Estimate")</f>
        <v/>
      </c>
      <c r="N240" s="2087">
        <f>IFERROR(INDEX(INDIRECT(E240),0,MATCH(F240,MO_Common_ColumnHeader,0)),"N/A")</f>
        <v/>
      </c>
      <c r="O240" s="67" t="n"/>
      <c r="P240" s="2169">
        <f>IF(ISNUMBER(N240),N240-K240,"N/A")</f>
        <v/>
      </c>
      <c r="Q240" s="2168">
        <f>IFERROR(IF(ISNUMBER(N240),(N240-K240)/ABS(K240),"N/A"),"N/A")</f>
        <v/>
      </c>
      <c r="R240" s="112" t="n"/>
      <c r="S240" s="80" t="n">
        <v>45334</v>
      </c>
      <c r="T240" s="88" t="inlineStr">
        <is>
          <t>CFO Commentary</t>
        </is>
      </c>
      <c r="U240" s="67" t="n"/>
    </row>
    <row r="241" ht="14.4" customFormat="1" customHeight="1" s="1013">
      <c r="A241" s="114" t="n">
        <v>723</v>
      </c>
      <c r="B241" s="77">
        <f>IF(INDEX(MO_SNA_IsHistoricalPeriod,,MATCH(F241,MO_Common_ColumnHeader,0)),"Historical","Forward")</f>
        <v/>
      </c>
      <c r="C241" s="67" t="n"/>
      <c r="D241" s="84" t="inlineStr">
        <is>
          <t>Acquisition and integration-related costs</t>
        </is>
      </c>
      <c r="E241" s="78" t="n"/>
      <c r="F241" s="77" t="inlineStr">
        <is>
          <t>FY2024</t>
        </is>
      </c>
      <c r="G241" s="77" t="n"/>
      <c r="H241" s="67" t="n"/>
      <c r="I241" s="2087" t="n">
        <v>39</v>
      </c>
      <c r="J241" s="2087" t="n">
        <v>39</v>
      </c>
      <c r="K241" s="2087">
        <f>AVERAGE(I241:J241)</f>
        <v/>
      </c>
      <c r="L241" s="67" t="n"/>
      <c r="M241" s="77">
        <f>IF(INDEX(MO_SNA_IsHistoricalPeriod,,MATCH(F241,MO_Common_ColumnHeader,0)),"Actual","Estimate")</f>
        <v/>
      </c>
      <c r="N241" s="2087">
        <f>IFERROR(INDEX(INDIRECT(E241),0,MATCH(F241,MO_Common_ColumnHeader,0)),"N/A")</f>
        <v/>
      </c>
      <c r="O241" s="67" t="n"/>
      <c r="P241" s="2169">
        <f>IF(ISNUMBER(N241),N241-K241,"N/A")</f>
        <v/>
      </c>
      <c r="Q241" s="2168">
        <f>IFERROR(IF(ISNUMBER(N241),(N241-K241)/ABS(K241),"N/A"),"N/A")</f>
        <v/>
      </c>
      <c r="R241" s="112" t="n"/>
      <c r="S241" s="80" t="n">
        <v>45334</v>
      </c>
      <c r="T241" s="88" t="inlineStr">
        <is>
          <t>CFO Commentary</t>
        </is>
      </c>
      <c r="U241" s="67" t="n"/>
    </row>
    <row r="242" ht="14.4" customFormat="1" customHeight="1" s="1013">
      <c r="A242" s="114" t="n">
        <v>722</v>
      </c>
      <c r="B242" s="77">
        <f>IF(INDEX(MO_SNA_IsHistoricalPeriod,,MATCH(F242,MO_Common_ColumnHeader,0)),"Historical","Forward")</f>
        <v/>
      </c>
      <c r="C242" s="67" t="n"/>
      <c r="D242" s="84" t="inlineStr">
        <is>
          <t>Restructuring and other credits</t>
        </is>
      </c>
      <c r="E242" s="78" t="n"/>
      <c r="F242" s="77" t="inlineStr">
        <is>
          <t>FY2024</t>
        </is>
      </c>
      <c r="G242" s="77" t="n"/>
      <c r="H242" s="67" t="n"/>
      <c r="I242" s="2087" t="n">
        <v>0</v>
      </c>
      <c r="J242" s="2087" t="n">
        <v>0</v>
      </c>
      <c r="K242" s="2087">
        <f>AVERAGE(I242:J242)</f>
        <v/>
      </c>
      <c r="L242" s="67" t="n"/>
      <c r="M242" s="77">
        <f>IF(INDEX(MO_SNA_IsHistoricalPeriod,,MATCH(F242,MO_Common_ColumnHeader,0)),"Actual","Estimate")</f>
        <v/>
      </c>
      <c r="N242" s="2087">
        <f>IFERROR(INDEX(INDIRECT(E242),0,MATCH(F242,MO_Common_ColumnHeader,0)),"N/A")</f>
        <v/>
      </c>
      <c r="O242" s="67" t="n"/>
      <c r="P242" s="2169">
        <f>IF(ISNUMBER(N242),N242-K242,"N/A")</f>
        <v/>
      </c>
      <c r="Q242" s="2168">
        <f>IFERROR(IF(ISNUMBER(N242),(N242-K242)/ABS(K242),"N/A"),"N/A")</f>
        <v/>
      </c>
      <c r="R242" s="112" t="n"/>
      <c r="S242" s="80" t="n">
        <v>45334</v>
      </c>
      <c r="T242" s="88" t="inlineStr">
        <is>
          <t>CFO Commentary</t>
        </is>
      </c>
      <c r="U242" s="67" t="n"/>
    </row>
    <row r="243" ht="14.4" customFormat="1" customHeight="1" s="1013">
      <c r="A243" s="114" t="n">
        <v>721</v>
      </c>
      <c r="B243" s="77">
        <f>IF(INDEX(MO_SNA_IsHistoricalPeriod,,MATCH(F243,MO_Common_ColumnHeader,0)),"Historical","Forward")</f>
        <v/>
      </c>
      <c r="C243" s="67" t="n"/>
      <c r="D243" s="84" t="inlineStr">
        <is>
          <t>Non-Qualified deferred compensation expenses</t>
        </is>
      </c>
      <c r="E243" s="78" t="n"/>
      <c r="F243" s="77" t="inlineStr">
        <is>
          <t>FY2024</t>
        </is>
      </c>
      <c r="G243" s="77" t="n"/>
      <c r="H243" s="67" t="n"/>
      <c r="I243" s="2087" t="n">
        <v>0</v>
      </c>
      <c r="J243" s="2087" t="n">
        <v>0</v>
      </c>
      <c r="K243" s="2087">
        <f>AVERAGE(I243:J243)</f>
        <v/>
      </c>
      <c r="L243" s="67" t="n"/>
      <c r="M243" s="77">
        <f>IF(INDEX(MO_SNA_IsHistoricalPeriod,,MATCH(F243,MO_Common_ColumnHeader,0)),"Actual","Estimate")</f>
        <v/>
      </c>
      <c r="N243" s="2087">
        <f>IFERROR(INDEX(INDIRECT(E243),0,MATCH(F243,MO_Common_ColumnHeader,0)),"N/A")</f>
        <v/>
      </c>
      <c r="O243" s="67" t="n"/>
      <c r="P243" s="2169">
        <f>IF(ISNUMBER(N243),N243-K243,"N/A")</f>
        <v/>
      </c>
      <c r="Q243" s="2168">
        <f>IFERROR(IF(ISNUMBER(N243),(N243-K243)/ABS(K243),"N/A"),"N/A")</f>
        <v/>
      </c>
      <c r="R243" s="112" t="n"/>
      <c r="S243" s="80" t="n">
        <v>45334</v>
      </c>
      <c r="T243" s="88" t="inlineStr">
        <is>
          <t>CFO Commentary</t>
        </is>
      </c>
      <c r="U243" s="67" t="n"/>
    </row>
    <row r="244" ht="14.4" customFormat="1" customHeight="1" s="1013">
      <c r="A244" s="114" t="n">
        <v>720</v>
      </c>
      <c r="B244" s="77">
        <f>IF(INDEX(MO_SNA_IsHistoricalPeriod,,MATCH(F244,MO_Common_ColumnHeader,0)),"Historical","Forward")</f>
        <v/>
      </c>
      <c r="C244" s="67" t="n"/>
      <c r="D244" s="84" t="inlineStr">
        <is>
          <t>Special charges</t>
        </is>
      </c>
      <c r="E244" s="78" t="n"/>
      <c r="F244" s="77" t="inlineStr">
        <is>
          <t>FY2024</t>
        </is>
      </c>
      <c r="G244" s="77" t="n"/>
      <c r="H244" s="67" t="n"/>
      <c r="I244" s="2087" t="n">
        <v>0</v>
      </c>
      <c r="J244" s="2087" t="n">
        <v>0</v>
      </c>
      <c r="K244" s="2087">
        <f>AVERAGE(I244:J244)</f>
        <v/>
      </c>
      <c r="L244" s="67" t="n"/>
      <c r="M244" s="77">
        <f>IF(INDEX(MO_SNA_IsHistoricalPeriod,,MATCH(F244,MO_Common_ColumnHeader,0)),"Actual","Estimate")</f>
        <v/>
      </c>
      <c r="N244" s="2087">
        <f>IFERROR(INDEX(INDIRECT(E244),0,MATCH(F244,MO_Common_ColumnHeader,0)),"N/A")</f>
        <v/>
      </c>
      <c r="O244" s="67" t="n"/>
      <c r="P244" s="2169">
        <f>IF(ISNUMBER(N244),N244-K244,"N/A")</f>
        <v/>
      </c>
      <c r="Q244" s="2168">
        <f>IFERROR(IF(ISNUMBER(N244),(N244-K244)/ABS(K244),"N/A"),"N/A")</f>
        <v/>
      </c>
      <c r="R244" s="112" t="n"/>
      <c r="S244" s="80" t="n">
        <v>45334</v>
      </c>
      <c r="T244" s="88" t="inlineStr">
        <is>
          <t>CFO Commentary</t>
        </is>
      </c>
      <c r="U244" s="67" t="n"/>
    </row>
    <row r="245" ht="14.4" customFormat="1" customHeight="1" s="1013">
      <c r="A245" s="114" t="n">
        <v>719</v>
      </c>
      <c r="B245" s="77">
        <f>IF(INDEX(MO_SNA_IsHistoricalPeriod,,MATCH(F245,MO_Common_ColumnHeader,0)),"Historical","Forward")</f>
        <v/>
      </c>
      <c r="C245" s="67" t="n"/>
      <c r="D245" s="84" t="inlineStr">
        <is>
          <t>GAAP Operating Expenses</t>
        </is>
      </c>
      <c r="E245" s="78" t="n"/>
      <c r="F245" s="77" t="inlineStr">
        <is>
          <t>FY2024</t>
        </is>
      </c>
      <c r="G245" s="77" t="n"/>
      <c r="H245" s="67" t="n"/>
      <c r="I245" s="2087" t="n">
        <v>3109</v>
      </c>
      <c r="J245" s="2087" t="n">
        <v>3109</v>
      </c>
      <c r="K245" s="2087">
        <f>AVERAGE(I245:J245)</f>
        <v/>
      </c>
      <c r="L245" s="67" t="n"/>
      <c r="M245" s="77">
        <f>IF(INDEX(MO_SNA_IsHistoricalPeriod,,MATCH(F245,MO_Common_ColumnHeader,0)),"Actual","Estimate")</f>
        <v/>
      </c>
      <c r="N245" s="2087">
        <f>IFERROR(INDEX(MO_RIS_COGS,0,MATCH(Guidance!F245,MO_Common_ColumnHeader,0))+INDEX(MO_RIS_RD,0,MATCH(Guidance!F245,MO_Common_ColumnHeader,0))+INDEX(MO_RIS_GA,0,MATCH(Guidance!F245,MO_Common_ColumnHeader,0))+INDEX(MO_RIS_SM,0,MATCH(Guidance!F245,MO_Common_ColumnHeader,0)),"N/A")</f>
        <v/>
      </c>
      <c r="O245" s="2072" t="n"/>
      <c r="P245" s="2169">
        <f>IF(ISNUMBER(N245),N245-K245,"N/A")</f>
        <v/>
      </c>
      <c r="Q245" s="2168">
        <f>IFERROR(IF(ISNUMBER(N245),(N245-K245)/ABS(K245),"N/A"),"N/A")</f>
        <v/>
      </c>
      <c r="R245" s="112" t="n"/>
      <c r="S245" s="80" t="n">
        <v>45334</v>
      </c>
      <c r="T245" s="88" t="inlineStr">
        <is>
          <t>CFO Commentary</t>
        </is>
      </c>
      <c r="U245" s="67" t="n"/>
    </row>
    <row r="246" ht="14.4" customFormat="1" customHeight="1" s="1013">
      <c r="A246" s="114" t="n">
        <v>718</v>
      </c>
      <c r="B246" s="77">
        <f>IF(INDEX(MO_SNA_IsHistoricalPeriod,,MATCH(F246,MO_Common_ColumnHeader,0)),"Historical","Forward")</f>
        <v/>
      </c>
      <c r="C246" s="67" t="n"/>
      <c r="D246" s="84" t="inlineStr">
        <is>
          <t>Non-GAAP Operating Expenses</t>
        </is>
      </c>
      <c r="E246" s="78" t="n"/>
      <c r="F246" s="77" t="inlineStr">
        <is>
          <t>FY2024</t>
        </is>
      </c>
      <c r="G246" s="77" t="n"/>
      <c r="H246" s="67" t="n"/>
      <c r="I246" s="2087" t="n">
        <v>2634</v>
      </c>
      <c r="J246" s="2087" t="n">
        <v>2634</v>
      </c>
      <c r="K246" s="2087">
        <f>AVERAGE(I246:J246)</f>
        <v/>
      </c>
      <c r="L246" s="67" t="n"/>
      <c r="M246" s="77">
        <f>IF(INDEX(MO_SNA_IsHistoricalPeriod,,MATCH(F246,MO_Common_ColumnHeader,0)),"Actual","Estimate")</f>
        <v/>
      </c>
      <c r="N246" s="2087">
        <f>IFERROR(INDEX(MO_RIS_REV,0,MATCH(Guidance!F246,MO_Common_ColumnHeader,0))+INDEX(MO_RIS_RD_NONGAAP,0,MATCH(Guidance!F246,MO_Common_ColumnHeader,0))+INDEX(MO_RIS_GA_NONGAAP,0,MATCH(Guidance!F246,MO_Common_ColumnHeader,0))+INDEX(MO_RIS_SM_NONGAAP,0,MATCH(Guidance!F246,MO_Common_ColumnHeader,0))-INDEX(MO_RIS_GP_NONGAAP,0,MATCH(Guidance!F246,MO_Common_ColumnHeader,0)),"N/A")</f>
        <v/>
      </c>
      <c r="O246" s="2072" t="n"/>
      <c r="P246" s="2169">
        <f>IF(ISNUMBER(N246),N246-K246,"N/A")</f>
        <v/>
      </c>
      <c r="Q246" s="2168">
        <f>IFERROR(IF(ISNUMBER(N246),(N246-K246)/ABS(K246),"N/A"),"N/A")</f>
        <v/>
      </c>
      <c r="R246" s="112" t="n"/>
      <c r="S246" s="80" t="n">
        <v>45334</v>
      </c>
      <c r="T246" s="88" t="inlineStr">
        <is>
          <t>CFO Commentary</t>
        </is>
      </c>
      <c r="U246" s="67" t="n"/>
    </row>
    <row r="247" ht="14.4" customFormat="1" customHeight="1" s="1013">
      <c r="A247" s="114" t="n">
        <v>717</v>
      </c>
      <c r="B247" s="67" t="n"/>
      <c r="C247" s="67" t="n"/>
      <c r="D247" s="68" t="n"/>
      <c r="E247" s="69" t="n"/>
      <c r="F247" s="67" t="n"/>
      <c r="G247" s="67" t="n"/>
      <c r="H247" s="67" t="n"/>
      <c r="I247" s="2072" t="n"/>
      <c r="J247" s="2072" t="n"/>
      <c r="K247" s="2072" t="n"/>
      <c r="L247" s="67" t="n"/>
      <c r="M247" s="67" t="n"/>
      <c r="N247" s="2072" t="n"/>
      <c r="O247" s="67" t="n"/>
      <c r="P247" s="2172" t="n"/>
      <c r="Q247" s="2173" t="n"/>
      <c r="R247" s="112" t="n"/>
      <c r="S247" s="112" t="n"/>
      <c r="T247" s="344" t="n"/>
      <c r="U247" s="67" t="n"/>
    </row>
    <row r="248" ht="14.4" customFormat="1" customHeight="1" s="1013">
      <c r="A248" s="114" t="n">
        <v>716</v>
      </c>
      <c r="B248" s="77">
        <f>IF(INDEX(MO_SNA_IsHistoricalPeriod,,MATCH(F248,MO_Common_ColumnHeader,0)),"Historical","Forward")</f>
        <v/>
      </c>
      <c r="C248" s="67" t="n"/>
      <c r="D248" s="84">
        <f>INDEX(INDIRECT(E248),0,COLUMN(MO_Common_Column_A))</f>
        <v/>
      </c>
      <c r="E248" s="78" t="inlineStr">
        <is>
          <t>MO_RIS_REV</t>
        </is>
      </c>
      <c r="F248" s="77" t="inlineStr">
        <is>
          <t>Q1-2024</t>
        </is>
      </c>
      <c r="G248" s="77" t="n"/>
      <c r="H248" s="67" t="n"/>
      <c r="I248" s="2087" t="n">
        <v>990</v>
      </c>
      <c r="J248" s="2087" t="n">
        <v>1010</v>
      </c>
      <c r="K248" s="2087">
        <f>AVERAGE(I248:J248)</f>
        <v/>
      </c>
      <c r="L248" s="67" t="n"/>
      <c r="M248" s="77">
        <f>IF(INDEX(MO_SNA_IsHistoricalPeriod,,MATCH(F248,MO_Common_ColumnHeader,0)),"Actual","Estimate")</f>
        <v/>
      </c>
      <c r="N248" s="2087">
        <f>IFERROR(INDEX(INDIRECT(E248),0,MATCH(F248,MO_Common_ColumnHeader,0)),"N/A")</f>
        <v/>
      </c>
      <c r="O248" s="67" t="n"/>
      <c r="P248" s="2169">
        <f>IF(ISNUMBER(N248),N248-K248,"N/A")</f>
        <v/>
      </c>
      <c r="Q248" s="2168">
        <f>IFERROR(IF(ISNUMBER(N248),(N248-K248)/ABS(K248),"N/A"),"N/A")</f>
        <v/>
      </c>
      <c r="R248" s="112" t="n"/>
      <c r="S248" s="80" t="n">
        <v>45334</v>
      </c>
      <c r="T248" s="88" t="inlineStr">
        <is>
          <t>CFO Commentary</t>
        </is>
      </c>
      <c r="U248" s="67" t="n"/>
    </row>
    <row r="249" ht="14.4" customFormat="1" customHeight="1" s="1013">
      <c r="A249" s="114" t="n">
        <v>715</v>
      </c>
      <c r="B249" s="77">
        <f>IF(INDEX(MO_SNA_IsHistoricalPeriod,,MATCH(F249,MO_Common_ColumnHeader,0)),"Historical","Forward")</f>
        <v/>
      </c>
      <c r="C249" s="67" t="n"/>
      <c r="D249" s="84" t="inlineStr">
        <is>
          <t>GAAP Operating Margin</t>
        </is>
      </c>
      <c r="E249" s="78" t="inlineStr">
        <is>
          <t>MO_MA_EBIT</t>
        </is>
      </c>
      <c r="F249" s="77" t="inlineStr">
        <is>
          <t>Q1-2024</t>
        </is>
      </c>
      <c r="G249" s="77" t="n"/>
      <c r="H249" s="67" t="n"/>
      <c r="I249" s="2108" t="n">
        <v>0.245</v>
      </c>
      <c r="J249" s="2108" t="n">
        <v>0.255</v>
      </c>
      <c r="K249" s="2108">
        <f>AVERAGE(I249:J249)</f>
        <v/>
      </c>
      <c r="L249" s="67" t="n"/>
      <c r="M249" s="77">
        <f>IF(INDEX(MO_SNA_IsHistoricalPeriod,,MATCH(F249,MO_Common_ColumnHeader,0)),"Actual","Estimate")</f>
        <v/>
      </c>
      <c r="N249" s="2108">
        <f>IFERROR(INDEX(INDIRECT(E249),0,MATCH(F249,MO_Common_ColumnHeader,0)),"N/A")</f>
        <v/>
      </c>
      <c r="O249" s="67" t="n"/>
      <c r="P249" s="2168">
        <f>IF(ISNUMBER(N249),N249-K249,"N/A")</f>
        <v/>
      </c>
      <c r="Q249" s="2168">
        <f>IFERROR(IF(ISNUMBER(N249),(N249-K249)/ABS(K249),"N/A"),"N/A")</f>
        <v/>
      </c>
      <c r="R249" s="112" t="n"/>
      <c r="S249" s="80" t="n">
        <v>45334</v>
      </c>
      <c r="T249" s="88" t="inlineStr">
        <is>
          <t>CFO Commentary</t>
        </is>
      </c>
      <c r="U249" s="67" t="n"/>
    </row>
    <row r="250" ht="14.4" customFormat="1" customHeight="1" s="1013">
      <c r="A250" s="114" t="n">
        <v>714</v>
      </c>
      <c r="B250" s="77">
        <f>IF(INDEX(MO_SNA_IsHistoricalPeriod,,MATCH(F250,MO_Common_ColumnHeader,0)),"Historical","Forward")</f>
        <v/>
      </c>
      <c r="C250" s="67" t="n"/>
      <c r="D250" s="84">
        <f>INDEX(INDIRECT(E250),0,COLUMN(MO_Common_Column_A))</f>
        <v/>
      </c>
      <c r="E250" s="78" t="inlineStr">
        <is>
          <t>MO_MA_OperatingIncome_NONGAAP</t>
        </is>
      </c>
      <c r="F250" s="77" t="inlineStr">
        <is>
          <t>Q1-2024</t>
        </is>
      </c>
      <c r="G250" s="77" t="n"/>
      <c r="H250" s="67" t="n"/>
      <c r="I250" s="2108" t="n">
        <v>0.365</v>
      </c>
      <c r="J250" s="2108" t="n">
        <v>0.375</v>
      </c>
      <c r="K250" s="2108">
        <f>AVERAGE(I250:J250)</f>
        <v/>
      </c>
      <c r="L250" s="67" t="n"/>
      <c r="M250" s="77">
        <f>IF(INDEX(MO_SNA_IsHistoricalPeriod,,MATCH(F250,MO_Common_ColumnHeader,0)),"Actual","Estimate")</f>
        <v/>
      </c>
      <c r="N250" s="2108">
        <f>IFERROR(INDEX(INDIRECT(E250),0,MATCH(F250,MO_Common_ColumnHeader,0)),"N/A")</f>
        <v/>
      </c>
      <c r="O250" s="67" t="n"/>
      <c r="P250" s="2168">
        <f>IF(ISNUMBER(N250),N250-K250,"N/A")</f>
        <v/>
      </c>
      <c r="Q250" s="2168">
        <f>IFERROR(IF(ISNUMBER(N250),(N250-K250)/ABS(K250),"N/A"),"N/A")</f>
        <v/>
      </c>
      <c r="R250" s="112" t="n"/>
      <c r="S250" s="80" t="n">
        <v>45334</v>
      </c>
      <c r="T250" s="88" t="inlineStr">
        <is>
          <t>CFO Commentary</t>
        </is>
      </c>
      <c r="U250" s="67" t="n"/>
    </row>
    <row r="251" ht="14.4" customFormat="1" customHeight="1" s="1013">
      <c r="A251" s="114" t="n">
        <v>713</v>
      </c>
      <c r="B251" s="77">
        <f>IF(INDEX(MO_SNA_IsHistoricalPeriod,,MATCH(F251,MO_Common_ColumnHeader,0)),"Historical","Forward")</f>
        <v/>
      </c>
      <c r="C251" s="67" t="n"/>
      <c r="D251" s="84">
        <f>INDEX(INDIRECT(E251),0,COLUMN(MO_Common_Column_A))</f>
        <v/>
      </c>
      <c r="E251" s="78" t="inlineStr">
        <is>
          <t>MO_RIS_EPS_WAD</t>
        </is>
      </c>
      <c r="F251" s="77" t="inlineStr">
        <is>
          <t>Q1-2024</t>
        </is>
      </c>
      <c r="G251" s="77" t="n"/>
      <c r="H251" s="67" t="n"/>
      <c r="I251" s="2170" t="n">
        <v>0.74</v>
      </c>
      <c r="J251" s="2170" t="n">
        <v>0.78</v>
      </c>
      <c r="K251" s="2170">
        <f>AVERAGE(I251:J251)</f>
        <v/>
      </c>
      <c r="L251" s="67" t="n"/>
      <c r="M251" s="77">
        <f>IF(INDEX(MO_SNA_IsHistoricalPeriod,,MATCH(F251,MO_Common_ColumnHeader,0)),"Actual","Estimate")</f>
        <v/>
      </c>
      <c r="N251" s="2170">
        <f>IFERROR(INDEX(INDIRECT(E251),0,MATCH(F251,MO_Common_ColumnHeader,0)),"N/A")</f>
        <v/>
      </c>
      <c r="O251" s="67" t="n"/>
      <c r="P251" s="2171">
        <f>IF(ISNUMBER(N251),N251-K251,"N/A")</f>
        <v/>
      </c>
      <c r="Q251" s="2168">
        <f>IFERROR(IF(ISNUMBER(N251),(N251-K251)/ABS(K251),"N/A"),"N/A")</f>
        <v/>
      </c>
      <c r="R251" s="112" t="n"/>
      <c r="S251" s="80" t="n">
        <v>45334</v>
      </c>
      <c r="T251" s="88" t="inlineStr">
        <is>
          <t>CFO Commentary</t>
        </is>
      </c>
      <c r="U251" s="67" t="n"/>
    </row>
    <row r="252" ht="14.4" customFormat="1" customHeight="1" s="1013">
      <c r="A252" s="114" t="n">
        <v>712</v>
      </c>
      <c r="B252" s="77">
        <f>IF(INDEX(MO_SNA_IsHistoricalPeriod,,MATCH(F252,MO_Common_ColumnHeader,0)),"Historical","Forward")</f>
        <v/>
      </c>
      <c r="C252" s="67" t="n"/>
      <c r="D252" s="84">
        <f>INDEX(INDIRECT(E252),0,COLUMN(MO_Common_Column_A))</f>
        <v/>
      </c>
      <c r="E252" s="78" t="inlineStr">
        <is>
          <t>MO_RIS_EPS_WAD_Adj</t>
        </is>
      </c>
      <c r="F252" s="77" t="inlineStr">
        <is>
          <t>Q1-2024</t>
        </is>
      </c>
      <c r="G252" s="77" t="n"/>
      <c r="H252" s="67" t="n"/>
      <c r="I252" s="2170" t="n">
        <v>1.1</v>
      </c>
      <c r="J252" s="2170" t="n">
        <v>1.14</v>
      </c>
      <c r="K252" s="2170">
        <f>AVERAGE(I252:J252)</f>
        <v/>
      </c>
      <c r="L252" s="67" t="n"/>
      <c r="M252" s="77">
        <f>IF(INDEX(MO_SNA_IsHistoricalPeriod,,MATCH(F252,MO_Common_ColumnHeader,0)),"Actual","Estimate")</f>
        <v/>
      </c>
      <c r="N252" s="2170">
        <f>IFERROR(INDEX(INDIRECT(E252),0,MATCH(F252,MO_Common_ColumnHeader,0)),"N/A")</f>
        <v/>
      </c>
      <c r="O252" s="67" t="n"/>
      <c r="P252" s="2171">
        <f>IF(ISNUMBER(N252),N252-K252,"N/A")</f>
        <v/>
      </c>
      <c r="Q252" s="2168">
        <f>IFERROR(IF(ISNUMBER(N252),(N252-K252)/ABS(K252),"N/A"),"N/A")</f>
        <v/>
      </c>
      <c r="R252" s="112" t="n"/>
      <c r="S252" s="80" t="n">
        <v>45334</v>
      </c>
      <c r="T252" s="88" t="inlineStr">
        <is>
          <t>CFO Commentary</t>
        </is>
      </c>
      <c r="U252" s="67" t="n"/>
    </row>
    <row r="253" ht="14.4" customFormat="1" customHeight="1" s="1013">
      <c r="A253" s="114" t="n">
        <v>711</v>
      </c>
      <c r="B253" s="77">
        <f>IF(INDEX(MO_SNA_IsHistoricalPeriod,,MATCH(F253,MO_Common_ColumnHeader,0)),"Historical","Forward")</f>
        <v/>
      </c>
      <c r="C253" s="67" t="n"/>
      <c r="D253" s="84">
        <f>INDEX(INDIRECT(E253),0,COLUMN(MO_Common_Column_A))</f>
        <v/>
      </c>
      <c r="E253" s="78" t="inlineStr">
        <is>
          <t>MO_CFSum_NetShares</t>
        </is>
      </c>
      <c r="F253" s="77" t="inlineStr">
        <is>
          <t>Q1-2024</t>
        </is>
      </c>
      <c r="G253" s="77" t="n"/>
      <c r="H253" s="67" t="n"/>
      <c r="I253" s="2087" t="n">
        <v>-125</v>
      </c>
      <c r="J253" s="2087" t="n">
        <v>-125</v>
      </c>
      <c r="K253" s="2087">
        <f>AVERAGE(I253:J253)</f>
        <v/>
      </c>
      <c r="L253" s="67" t="n"/>
      <c r="M253" s="77">
        <f>IF(INDEX(MO_SNA_IsHistoricalPeriod,,MATCH(F253,MO_Common_ColumnHeader,0)),"Actual","Estimate")</f>
        <v/>
      </c>
      <c r="N253" s="2087">
        <f>IFERROR(INDEX(INDIRECT(E253),0,MATCH(F253,MO_Common_ColumnHeader,0)),"N/A")</f>
        <v/>
      </c>
      <c r="O253" s="67" t="n"/>
      <c r="P253" s="2169">
        <f>IF(ISNUMBER(N253),N253-K253,"N/A")</f>
        <v/>
      </c>
      <c r="Q253" s="2168">
        <f>IFERROR(IF(ISNUMBER(N253),(N253-K253)/ABS(K253),"N/A"),"N/A")</f>
        <v/>
      </c>
      <c r="R253" s="112" t="n"/>
      <c r="S253" s="80" t="n">
        <v>45334</v>
      </c>
      <c r="T253" s="88" t="inlineStr">
        <is>
          <t>CFO Commentary</t>
        </is>
      </c>
      <c r="U253" s="67" t="n"/>
    </row>
    <row r="254" ht="14.4" customFormat="1" customHeight="1" s="1013">
      <c r="A254" s="114" t="n">
        <v>710</v>
      </c>
      <c r="B254" s="67" t="n"/>
      <c r="C254" s="67" t="n"/>
      <c r="D254" s="68" t="n"/>
      <c r="E254" s="69" t="n"/>
      <c r="F254" s="67" t="n"/>
      <c r="G254" s="67" t="n"/>
      <c r="H254" s="67" t="n"/>
      <c r="I254" s="2072" t="n"/>
      <c r="J254" s="2072" t="n"/>
      <c r="K254" s="2072" t="n"/>
      <c r="L254" s="67" t="n"/>
      <c r="M254" s="67" t="n"/>
      <c r="N254" s="2072" t="n"/>
      <c r="O254" s="67" t="n"/>
      <c r="P254" s="2172" t="n"/>
      <c r="Q254" s="2173" t="n"/>
      <c r="R254" s="112" t="n"/>
      <c r="S254" s="112" t="n"/>
      <c r="T254" s="344" t="n"/>
      <c r="U254" s="67" t="n"/>
    </row>
    <row r="255" ht="14.4" customFormat="1" customHeight="1" s="1013">
      <c r="A255" s="114" t="n">
        <v>709</v>
      </c>
      <c r="B255" s="77">
        <f>IF(INDEX(MO_SNA_IsHistoricalPeriod,,MATCH(F255,MO_Common_ColumnHeader,0)),"Historical","Forward")</f>
        <v/>
      </c>
      <c r="C255" s="67" t="n"/>
      <c r="D255" s="84" t="inlineStr">
        <is>
          <t>Recurring Revenue %</t>
        </is>
      </c>
      <c r="E255" s="78" t="n"/>
      <c r="F255" s="77" t="inlineStr">
        <is>
          <t>FY2023</t>
        </is>
      </c>
      <c r="G255" s="77" t="n"/>
      <c r="H255" s="67" t="n"/>
      <c r="I255" s="2108" t="n">
        <v>0.85</v>
      </c>
      <c r="J255" s="2108" t="n">
        <v>0.85</v>
      </c>
      <c r="K255" s="2108">
        <f>AVERAGE(I255:J255)</f>
        <v/>
      </c>
      <c r="L255" s="67" t="n"/>
      <c r="M255" s="77">
        <f>IF(INDEX(MO_SNA_IsHistoricalPeriod,,MATCH(F255,MO_Common_ColumnHeader,0)),"Actual","Estimate")</f>
        <v/>
      </c>
      <c r="N255" s="2108">
        <f>IFERROR(INDEX(INDIRECT(E255),0,MATCH(F255,MO_Common_ColumnHeader,0)),"N/A")</f>
        <v/>
      </c>
      <c r="O255" s="2072" t="n"/>
      <c r="P255" s="2168">
        <f>IF(ISNUMBER(N255),N255-K255,"N/A")</f>
        <v/>
      </c>
      <c r="Q255" s="2168">
        <f>IFERROR(IF(ISNUMBER(N255),(N255-K255)/ABS(K255),"N/A"),"N/A")</f>
        <v/>
      </c>
      <c r="R255" s="112" t="n"/>
      <c r="S255" s="80" t="n">
        <v>45222</v>
      </c>
      <c r="T255" s="88" t="inlineStr">
        <is>
          <t>CFO Commentary</t>
        </is>
      </c>
      <c r="U255" s="67" t="n"/>
    </row>
    <row r="256" ht="14.4" customFormat="1" customHeight="1" s="1013">
      <c r="A256" s="114" t="n">
        <v>708</v>
      </c>
      <c r="B256" s="77">
        <f>IF(INDEX(MO_SNA_IsHistoricalPeriod,,MATCH(F256,MO_Common_ColumnHeader,0)),"Historical","Forward")</f>
        <v/>
      </c>
      <c r="C256" s="67" t="n"/>
      <c r="D256" s="84" t="inlineStr">
        <is>
          <t>Revenue from Beginning Backlog %</t>
        </is>
      </c>
      <c r="E256" s="78" t="n"/>
      <c r="F256" s="77" t="inlineStr">
        <is>
          <t>FY2023</t>
        </is>
      </c>
      <c r="G256" s="77" t="n"/>
      <c r="H256" s="67" t="n"/>
      <c r="I256" s="2108" t="n">
        <v>0.75</v>
      </c>
      <c r="J256" s="2108" t="n">
        <v>0.75</v>
      </c>
      <c r="K256" s="2108">
        <f>AVERAGE(I256:J256)</f>
        <v/>
      </c>
      <c r="L256" s="67" t="n"/>
      <c r="M256" s="77">
        <f>IF(INDEX(MO_SNA_IsHistoricalPeriod,,MATCH(F256,MO_Common_ColumnHeader,0)),"Actual","Estimate")</f>
        <v/>
      </c>
      <c r="N256" s="2108">
        <f>IFERROR(INDEX(INDIRECT(E256),0,MATCH(F256,MO_Common_ColumnHeader,0)),"N/A")</f>
        <v/>
      </c>
      <c r="O256" s="2072" t="n"/>
      <c r="P256" s="2168">
        <f>IF(ISNUMBER(N256),N256-K256,"N/A")</f>
        <v/>
      </c>
      <c r="Q256" s="2168">
        <f>IFERROR(IF(ISNUMBER(N256),(N256-K256)/ABS(K256),"N/A"),"N/A")</f>
        <v/>
      </c>
      <c r="R256" s="112" t="n"/>
      <c r="S256" s="80" t="n">
        <v>45222</v>
      </c>
      <c r="T256" s="88" t="inlineStr">
        <is>
          <t>CFO Commentary</t>
        </is>
      </c>
      <c r="U256" s="67" t="n"/>
    </row>
    <row r="257" ht="14.4" customFormat="1" customHeight="1" s="1013">
      <c r="A257" s="114" t="n">
        <v>707</v>
      </c>
      <c r="B257" s="77">
        <f>IF(INDEX(MO_SNA_IsHistoricalPeriod,,MATCH(F257,MO_Common_ColumnHeader,0)),"Historical","Forward")</f>
        <v/>
      </c>
      <c r="C257" s="67" t="n"/>
      <c r="D257" s="84">
        <f>INDEX(INDIRECT(E257),0,COLUMN(MO_Common_Column_A))</f>
        <v/>
      </c>
      <c r="E257" s="78" t="inlineStr">
        <is>
          <t>MO_RIS_REV</t>
        </is>
      </c>
      <c r="F257" s="77" t="inlineStr">
        <is>
          <t>FY2023</t>
        </is>
      </c>
      <c r="G257" s="77" t="n"/>
      <c r="H257" s="67" t="n"/>
      <c r="I257" s="2087" t="n">
        <v>4060</v>
      </c>
      <c r="J257" s="2087" t="n">
        <v>4100</v>
      </c>
      <c r="K257" s="2087">
        <f>AVERAGE(I257:J257)</f>
        <v/>
      </c>
      <c r="L257" s="67" t="n"/>
      <c r="M257" s="77">
        <f>IF(INDEX(MO_SNA_IsHistoricalPeriod,,MATCH(F257,MO_Common_ColumnHeader,0)),"Actual","Estimate")</f>
        <v/>
      </c>
      <c r="N257" s="2087">
        <f>IFERROR(INDEX(INDIRECT(E257),0,MATCH(F257,MO_Common_ColumnHeader,0)),"N/A")</f>
        <v/>
      </c>
      <c r="O257" s="2072" t="n"/>
      <c r="P257" s="2169">
        <f>IF(ISNUMBER(N257),N257-K257,"N/A")</f>
        <v/>
      </c>
      <c r="Q257" s="2168">
        <f>IFERROR(IF(ISNUMBER(N257),(N257-K257)/ABS(K257),"N/A"),"N/A")</f>
        <v/>
      </c>
      <c r="R257" s="112" t="n"/>
      <c r="S257" s="80" t="n">
        <v>45222</v>
      </c>
      <c r="T257" s="88" t="inlineStr">
        <is>
          <t>CFO Commentary</t>
        </is>
      </c>
      <c r="U257" s="67" t="n"/>
    </row>
    <row r="258" ht="14.4" customFormat="1" customHeight="1" s="1013">
      <c r="A258" s="114" t="n">
        <v>706</v>
      </c>
      <c r="B258" s="77">
        <f>IF(INDEX(MO_SNA_IsHistoricalPeriod,,MATCH(F258,MO_Common_ColumnHeader,0)),"Historical","Forward")</f>
        <v/>
      </c>
      <c r="C258" s="67" t="n"/>
      <c r="D258" s="84" t="inlineStr">
        <is>
          <t>GAAP Operating Margin</t>
        </is>
      </c>
      <c r="E258" s="78" t="inlineStr">
        <is>
          <t>MO_MA_EBIT</t>
        </is>
      </c>
      <c r="F258" s="77" t="inlineStr">
        <is>
          <t>FY2023</t>
        </is>
      </c>
      <c r="G258" s="77" t="n"/>
      <c r="H258" s="67" t="n"/>
      <c r="I258" s="2108" t="n">
        <v>0.305</v>
      </c>
      <c r="J258" s="2108" t="n">
        <v>0.31</v>
      </c>
      <c r="K258" s="2108">
        <f>AVERAGE(I258:J258)</f>
        <v/>
      </c>
      <c r="L258" s="67" t="n"/>
      <c r="M258" s="77">
        <f>IF(INDEX(MO_SNA_IsHistoricalPeriod,,MATCH(F258,MO_Common_ColumnHeader,0)),"Actual","Estimate")</f>
        <v/>
      </c>
      <c r="N258" s="2108">
        <f>IFERROR(INDEX(INDIRECT(E258),0,MATCH(F258,MO_Common_ColumnHeader,0)),"N/A")</f>
        <v/>
      </c>
      <c r="O258" s="67" t="n"/>
      <c r="P258" s="2168">
        <f>IF(ISNUMBER(N258),N258-K258,"N/A")</f>
        <v/>
      </c>
      <c r="Q258" s="2168">
        <f>IFERROR(IF(ISNUMBER(N258),(N258-K258)/ABS(K258),"N/A"),"N/A")</f>
        <v/>
      </c>
      <c r="R258" s="112" t="n"/>
      <c r="S258" s="80" t="n">
        <v>45222</v>
      </c>
      <c r="T258" s="88" t="inlineStr">
        <is>
          <t>CFO Commentary</t>
        </is>
      </c>
      <c r="U258" s="67" t="n"/>
    </row>
    <row r="259" ht="14.4" customFormat="1" customHeight="1" s="1013">
      <c r="A259" s="114" t="n">
        <v>705</v>
      </c>
      <c r="B259" s="77">
        <f>IF(INDEX(MO_SNA_IsHistoricalPeriod,,MATCH(F259,MO_Common_ColumnHeader,0)),"Historical","Forward")</f>
        <v/>
      </c>
      <c r="C259" s="67" t="n"/>
      <c r="D259" s="84">
        <f>INDEX(INDIRECT(E259),0,COLUMN(MO_Common_Column_A))</f>
        <v/>
      </c>
      <c r="E259" s="78" t="inlineStr">
        <is>
          <t>MO_MA_OperatingIncome_NONGAAP</t>
        </is>
      </c>
      <c r="F259" s="77" t="inlineStr">
        <is>
          <t>FY2023</t>
        </is>
      </c>
      <c r="G259" s="77" t="n"/>
      <c r="H259" s="67" t="n"/>
      <c r="I259" s="2108" t="n">
        <v>0.415</v>
      </c>
      <c r="J259" s="2108" t="n">
        <v>0.42</v>
      </c>
      <c r="K259" s="2108">
        <f>AVERAGE(I259:J259)</f>
        <v/>
      </c>
      <c r="L259" s="67" t="n"/>
      <c r="M259" s="77">
        <f>IF(INDEX(MO_SNA_IsHistoricalPeriod,,MATCH(F259,MO_Common_ColumnHeader,0)),"Actual","Estimate")</f>
        <v/>
      </c>
      <c r="N259" s="2108">
        <f>IFERROR(INDEX(INDIRECT(E259),0,MATCH(F259,MO_Common_ColumnHeader,0)),"N/A")</f>
        <v/>
      </c>
      <c r="O259" s="67" t="n"/>
      <c r="P259" s="2168">
        <f>IF(ISNUMBER(N259),N259-K259,"N/A")</f>
        <v/>
      </c>
      <c r="Q259" s="2168">
        <f>IFERROR(IF(ISNUMBER(N259),(N259-K259)/ABS(K259),"N/A"),"N/A")</f>
        <v/>
      </c>
      <c r="R259" s="112" t="n"/>
      <c r="S259" s="80" t="n">
        <v>45222</v>
      </c>
      <c r="T259" s="88" t="inlineStr">
        <is>
          <t>CFO Commentary</t>
        </is>
      </c>
      <c r="U259" s="67" t="n"/>
    </row>
    <row r="260" ht="14.4" customFormat="1" customHeight="1" s="1013">
      <c r="A260" s="114" t="n">
        <v>704</v>
      </c>
      <c r="B260" s="77">
        <f>IF(INDEX(MO_SNA_IsHistoricalPeriod,,MATCH(F260,MO_Common_ColumnHeader,0)),"Historical","Forward")</f>
        <v/>
      </c>
      <c r="C260" s="67" t="n"/>
      <c r="D260" s="84">
        <f>INDEX(INDIRECT(E260),0,COLUMN(MO_Common_Column_A))</f>
        <v/>
      </c>
      <c r="E260" s="78" t="inlineStr">
        <is>
          <t>MO_RIS_EPS_WAD</t>
        </is>
      </c>
      <c r="F260" s="77" t="inlineStr">
        <is>
          <t>FY2023</t>
        </is>
      </c>
      <c r="G260" s="77" t="n"/>
      <c r="H260" s="67" t="n"/>
      <c r="I260" s="2170" t="n">
        <v>3.48</v>
      </c>
      <c r="J260" s="2170" t="n">
        <v>3.54</v>
      </c>
      <c r="K260" s="2170">
        <f>AVERAGE(I260:J260)</f>
        <v/>
      </c>
      <c r="L260" s="67" t="n"/>
      <c r="M260" s="77">
        <f>IF(INDEX(MO_SNA_IsHistoricalPeriod,,MATCH(F260,MO_Common_ColumnHeader,0)),"Actual","Estimate")</f>
        <v/>
      </c>
      <c r="N260" s="2170">
        <f>IFERROR(INDEX(INDIRECT(E260),0,MATCH(F260,MO_Common_ColumnHeader,0)),"N/A")</f>
        <v/>
      </c>
      <c r="O260" s="67" t="n"/>
      <c r="P260" s="2171">
        <f>IF(ISNUMBER(N260),N260-K260,"N/A")</f>
        <v/>
      </c>
      <c r="Q260" s="2168">
        <f>IFERROR(IF(ISNUMBER(N260),(N260-K260)/ABS(K260),"N/A"),"N/A")</f>
        <v/>
      </c>
      <c r="R260" s="112" t="n"/>
      <c r="S260" s="80" t="n">
        <v>45222</v>
      </c>
      <c r="T260" s="88" t="inlineStr">
        <is>
          <t>CFO Commentary</t>
        </is>
      </c>
      <c r="U260" s="67" t="n"/>
    </row>
    <row r="261" ht="14.4" customFormat="1" customHeight="1" s="1013">
      <c r="A261" s="114" t="n">
        <v>703</v>
      </c>
      <c r="B261" s="77">
        <f>IF(INDEX(MO_SNA_IsHistoricalPeriod,,MATCH(F261,MO_Common_ColumnHeader,0)),"Historical","Forward")</f>
        <v/>
      </c>
      <c r="C261" s="67" t="n"/>
      <c r="D261" s="84">
        <f>INDEX(INDIRECT(E261),0,COLUMN(MO_Common_Column_A))</f>
        <v/>
      </c>
      <c r="E261" s="78" t="inlineStr">
        <is>
          <t>MO_RIS_EPS_WAD_Adj</t>
        </is>
      </c>
      <c r="F261" s="77" t="inlineStr">
        <is>
          <t>FY2023</t>
        </is>
      </c>
      <c r="G261" s="77" t="n"/>
      <c r="H261" s="67" t="n"/>
      <c r="I261" s="2170" t="n">
        <v>5.07</v>
      </c>
      <c r="J261" s="2170" t="n">
        <v>5.13</v>
      </c>
      <c r="K261" s="2170">
        <f>AVERAGE(I261:J261)</f>
        <v/>
      </c>
      <c r="L261" s="67" t="n"/>
      <c r="M261" s="77">
        <f>IF(INDEX(MO_SNA_IsHistoricalPeriod,,MATCH(F261,MO_Common_ColumnHeader,0)),"Actual","Estimate")</f>
        <v/>
      </c>
      <c r="N261" s="2170">
        <f>IFERROR(INDEX(INDIRECT(E261),0,MATCH(F261,MO_Common_ColumnHeader,0)),"N/A")</f>
        <v/>
      </c>
      <c r="O261" s="67" t="n"/>
      <c r="P261" s="2171">
        <f>IF(ISNUMBER(N261),N261-K261,"N/A")</f>
        <v/>
      </c>
      <c r="Q261" s="2168">
        <f>IFERROR(IF(ISNUMBER(N261),(N261-K261)/ABS(K261),"N/A"),"N/A")</f>
        <v/>
      </c>
      <c r="R261" s="112" t="n"/>
      <c r="S261" s="80" t="n">
        <v>45222</v>
      </c>
      <c r="T261" s="88" t="inlineStr">
        <is>
          <t>CFO Commentary</t>
        </is>
      </c>
      <c r="U261" s="67" t="n"/>
    </row>
    <row r="262" ht="14.4" customFormat="1" customHeight="1" s="1013">
      <c r="A262" s="114" t="n">
        <v>702</v>
      </c>
      <c r="B262" s="77">
        <f>IF(INDEX(MO_SNA_IsHistoricalPeriod,,MATCH(F262,MO_Common_ColumnHeader,0)),"Historical","Forward")</f>
        <v/>
      </c>
      <c r="C262" s="67" t="n"/>
      <c r="D262" s="84">
        <f>INDEX(INDIRECT(E262),0,COLUMN(MO_Common_Column_A))</f>
        <v/>
      </c>
      <c r="E262" s="78" t="inlineStr">
        <is>
          <t>MO_CFS_CFO</t>
        </is>
      </c>
      <c r="F262" s="77" t="inlineStr">
        <is>
          <t>FY2023</t>
        </is>
      </c>
      <c r="G262" s="77" t="n"/>
      <c r="H262" s="67" t="n"/>
      <c r="I262" s="2087" t="n">
        <v>1300</v>
      </c>
      <c r="J262" s="2087" t="n">
        <v>1400</v>
      </c>
      <c r="K262" s="2087">
        <f>AVERAGE(I262:J262)</f>
        <v/>
      </c>
      <c r="L262" s="67" t="n"/>
      <c r="M262" s="77">
        <f>IF(INDEX(MO_SNA_IsHistoricalPeriod,,MATCH(F262,MO_Common_ColumnHeader,0)),"Actual","Estimate")</f>
        <v/>
      </c>
      <c r="N262" s="2087">
        <f>IFERROR(INDEX(INDIRECT(E262),0,MATCH(F262,MO_Common_ColumnHeader,0)),"N/A")</f>
        <v/>
      </c>
      <c r="O262" s="67" t="n"/>
      <c r="P262" s="2169">
        <f>IF(ISNUMBER(N262),N262-K262,"N/A")</f>
        <v/>
      </c>
      <c r="Q262" s="2168">
        <f>IFERROR(IF(ISNUMBER(N262),(N262-K262)/ABS(K262),"N/A"),"N/A")</f>
        <v/>
      </c>
      <c r="R262" s="112" t="n"/>
      <c r="S262" s="80" t="n">
        <v>45222</v>
      </c>
      <c r="T262" s="88" t="inlineStr">
        <is>
          <t>CFO Commentary</t>
        </is>
      </c>
      <c r="U262" s="67" t="n"/>
    </row>
    <row r="263" ht="14.4" customFormat="1" customHeight="1" s="1013">
      <c r="A263" s="114" t="n">
        <v>701</v>
      </c>
      <c r="B263" s="77">
        <f>IF(INDEX(MO_SNA_IsHistoricalPeriod,,MATCH(F263,MO_Common_ColumnHeader,0)),"Historical","Forward")</f>
        <v/>
      </c>
      <c r="C263" s="67" t="n"/>
      <c r="D263" s="84" t="inlineStr">
        <is>
          <t>GAAP Other Income &amp; Expense</t>
        </is>
      </c>
      <c r="E263" s="78" t="n"/>
      <c r="F263" s="77" t="inlineStr">
        <is>
          <t>FY2023</t>
        </is>
      </c>
      <c r="G263" s="77" t="n"/>
      <c r="H263" s="67" t="n"/>
      <c r="I263" s="2087" t="n">
        <v>0</v>
      </c>
      <c r="J263" s="2087" t="n">
        <v>3</v>
      </c>
      <c r="K263" s="2087">
        <f>AVERAGE(I263:J263)</f>
        <v/>
      </c>
      <c r="L263" s="67" t="n"/>
      <c r="M263" s="77">
        <f>IF(INDEX(MO_SNA_IsHistoricalPeriod,,MATCH(F263,MO_Common_ColumnHeader,0)),"Actual","Estimate")</f>
        <v/>
      </c>
      <c r="N263" s="2087">
        <f>-IFERROR(INDEX(MO_RIS_IE_Net,0,MATCH(F263,MO_Common_ColumnHeader,0)),"N/A")-IFERROR(INDEX(MO_RIS_OI,0,MATCH(F263,MO_Common_ColumnHeader,0)),"N/A")</f>
        <v/>
      </c>
      <c r="O263" s="67" t="n"/>
      <c r="P263" s="2169">
        <f>IF(ISNUMBER(N263),N263-K263,"N/A")</f>
        <v/>
      </c>
      <c r="Q263" s="2168">
        <f>IFERROR(IF(ISNUMBER(N263),(N263-K263)/ABS(K263),"N/A"),"N/A")</f>
        <v/>
      </c>
      <c r="R263" s="112" t="n"/>
      <c r="S263" s="80" t="n">
        <v>45222</v>
      </c>
      <c r="T263" s="88" t="inlineStr">
        <is>
          <t>CFO Commentary</t>
        </is>
      </c>
      <c r="U263" s="67" t="n"/>
    </row>
    <row r="264" ht="14.4" customFormat="1" customHeight="1" s="1013">
      <c r="A264" s="114" t="n">
        <v>700</v>
      </c>
      <c r="B264" s="77">
        <f>IF(INDEX(MO_SNA_IsHistoricalPeriod,,MATCH(F264,MO_Common_ColumnHeader,0)),"Historical","Forward")</f>
        <v/>
      </c>
      <c r="C264" s="67" t="n"/>
      <c r="D264" s="84" t="inlineStr">
        <is>
          <t>Non-GAAP Other Income &amp; Expense</t>
        </is>
      </c>
      <c r="E264" s="78" t="n"/>
      <c r="F264" s="77" t="inlineStr">
        <is>
          <t>FY2023</t>
        </is>
      </c>
      <c r="G264" s="77" t="n"/>
      <c r="H264" s="67" t="n"/>
      <c r="I264" s="2087" t="n">
        <v>-15</v>
      </c>
      <c r="J264" s="2087" t="n">
        <v>-18</v>
      </c>
      <c r="K264" s="2087">
        <f>AVERAGE(I264:J264)</f>
        <v/>
      </c>
      <c r="L264" s="67" t="n"/>
      <c r="M264" s="77">
        <f>IF(INDEX(MO_SNA_IsHistoricalPeriod,,MATCH(F264,MO_Common_ColumnHeader,0)),"Actual","Estimate")</f>
        <v/>
      </c>
      <c r="N264" s="2087">
        <f>-IFERROR(INDEX(MO_RIS_IE_Net_NONGAAP,0,MATCH(F264,MO_Common_ColumnHeader,0)),"N/A")-IFERROR(INDEX(MO_RIS_OI_NONGAAP,0,MATCH(F264,MO_Common_ColumnHeader,0)),"N/A")</f>
        <v/>
      </c>
      <c r="O264" s="67" t="n"/>
      <c r="P264" s="2169">
        <f>IF(ISNUMBER(N264),N264-K264,"N/A")</f>
        <v/>
      </c>
      <c r="Q264" s="2168">
        <f>IFERROR(IF(ISNUMBER(N264),(N264-K264)/ABS(K264),"N/A"),"N/A")</f>
        <v/>
      </c>
      <c r="R264" s="112" t="n"/>
      <c r="S264" s="80" t="n">
        <v>45222</v>
      </c>
      <c r="T264" s="88" t="inlineStr">
        <is>
          <t>CFO Commentary</t>
        </is>
      </c>
      <c r="U264" s="67" t="n"/>
    </row>
    <row r="265" ht="14.4" customFormat="1" customHeight="1" s="1013">
      <c r="A265" s="114" t="n">
        <v>699</v>
      </c>
      <c r="B265" s="77">
        <f>IF(INDEX(MO_SNA_IsHistoricalPeriod,,MATCH(F265,MO_Common_ColumnHeader,0)),"Historical","Forward")</f>
        <v/>
      </c>
      <c r="C265" s="67" t="n"/>
      <c r="D265" s="84" t="inlineStr">
        <is>
          <t>GAAP Tax Rate</t>
        </is>
      </c>
      <c r="E265" s="78" t="inlineStr">
        <is>
          <t>MO_RIS_TaxRate</t>
        </is>
      </c>
      <c r="F265" s="77" t="inlineStr">
        <is>
          <t>FY2023</t>
        </is>
      </c>
      <c r="G265" s="77" t="n"/>
      <c r="H265" s="67" t="n"/>
      <c r="I265" s="2108" t="n">
        <v>0.23</v>
      </c>
      <c r="J265" s="2108" t="n">
        <v>0.23</v>
      </c>
      <c r="K265" s="2108">
        <f>AVERAGE(I265:J265)</f>
        <v/>
      </c>
      <c r="L265" s="67" t="n"/>
      <c r="M265" s="77">
        <f>IF(INDEX(MO_SNA_IsHistoricalPeriod,,MATCH(F265,MO_Common_ColumnHeader,0)),"Actual","Estimate")</f>
        <v/>
      </c>
      <c r="N265" s="2108">
        <f>IFERROR(INDEX(INDIRECT(E265),0,MATCH(F265,MO_Common_ColumnHeader,0)),"N/A")</f>
        <v/>
      </c>
      <c r="O265" s="67" t="n"/>
      <c r="P265" s="2168">
        <f>IF(ISNUMBER(N265),N265-K265,"N/A")</f>
        <v/>
      </c>
      <c r="Q265" s="2168">
        <f>IFERROR(IF(ISNUMBER(N265),(N265-K265)/ABS(K265),"N/A"),"N/A")</f>
        <v/>
      </c>
      <c r="R265" s="112" t="n"/>
      <c r="S265" s="80" t="n">
        <v>45222</v>
      </c>
      <c r="T265" s="88" t="inlineStr">
        <is>
          <t>CFO Commentary</t>
        </is>
      </c>
      <c r="U265" s="67" t="n"/>
    </row>
    <row r="266" ht="14.4" customFormat="1" customHeight="1" s="1013">
      <c r="A266" s="114" t="n">
        <v>698</v>
      </c>
      <c r="B266" s="77">
        <f>IF(INDEX(MO_SNA_IsHistoricalPeriod,,MATCH(F266,MO_Common_ColumnHeader,0)),"Historical","Forward")</f>
        <v/>
      </c>
      <c r="C266" s="67" t="n"/>
      <c r="D266" s="84">
        <f>INDEX(INDIRECT(E266),0,COLUMN(MO_Common_Column_A))</f>
        <v/>
      </c>
      <c r="E266" s="78" t="inlineStr">
        <is>
          <t>MO_RIS_TaxRate_NONGAAP</t>
        </is>
      </c>
      <c r="F266" s="77" t="inlineStr">
        <is>
          <t>FY2023</t>
        </is>
      </c>
      <c r="G266" s="77" t="n"/>
      <c r="H266" s="67" t="n"/>
      <c r="I266" s="2108" t="n">
        <v>0.175</v>
      </c>
      <c r="J266" s="2108" t="n">
        <v>0.175</v>
      </c>
      <c r="K266" s="2108">
        <f>AVERAGE(I266:J266)</f>
        <v/>
      </c>
      <c r="L266" s="67" t="n"/>
      <c r="M266" s="77">
        <f>IF(INDEX(MO_SNA_IsHistoricalPeriod,,MATCH(F266,MO_Common_ColumnHeader,0)),"Actual","Estimate")</f>
        <v/>
      </c>
      <c r="N266" s="2108">
        <f>IFERROR(INDEX(INDIRECT(E266),0,MATCH(F266,MO_Common_ColumnHeader,0)),"N/A")</f>
        <v/>
      </c>
      <c r="O266" s="67" t="n"/>
      <c r="P266" s="2168">
        <f>IF(ISNUMBER(N266),N266-K266,"N/A")</f>
        <v/>
      </c>
      <c r="Q266" s="2168">
        <f>IFERROR(IF(ISNUMBER(N266),(N266-K266)/ABS(K266),"N/A"),"N/A")</f>
        <v/>
      </c>
      <c r="R266" s="112" t="n"/>
      <c r="S266" s="80" t="n">
        <v>45222</v>
      </c>
      <c r="T266" s="88" t="inlineStr">
        <is>
          <t>CFO Commentary</t>
        </is>
      </c>
      <c r="U266" s="67" t="n"/>
    </row>
    <row r="267" ht="14.4" customFormat="1" customHeight="1" s="1013">
      <c r="A267" s="114" t="n">
        <v>697</v>
      </c>
      <c r="B267" s="77">
        <f>IF(INDEX(MO_SNA_IsHistoricalPeriod,,MATCH(F267,MO_Common_ColumnHeader,0)),"Historical","Forward")</f>
        <v/>
      </c>
      <c r="C267" s="67" t="n"/>
      <c r="D267" s="84">
        <f>INDEX(INDIRECT(E267),0,COLUMN(MO_Common_Column_A))</f>
        <v/>
      </c>
      <c r="E267" s="78" t="inlineStr">
        <is>
          <t>MO_RIS_ShareCount_WAD</t>
        </is>
      </c>
      <c r="F267" s="77" t="inlineStr">
        <is>
          <t>FY2023</t>
        </is>
      </c>
      <c r="G267" s="77" t="n"/>
      <c r="H267" s="67" t="n"/>
      <c r="I267" s="2087" t="n">
        <v>272.2</v>
      </c>
      <c r="J267" s="2087" t="n">
        <v>273.2</v>
      </c>
      <c r="K267" s="2087">
        <f>AVERAGE(I267:J267)</f>
        <v/>
      </c>
      <c r="L267" s="67" t="n"/>
      <c r="M267" s="77">
        <f>IF(INDEX(MO_SNA_IsHistoricalPeriod,,MATCH(F267,MO_Common_ColumnHeader,0)),"Actual","Estimate")</f>
        <v/>
      </c>
      <c r="N267" s="2087">
        <f>IFERROR(INDEX(INDIRECT(E267),0,MATCH(F267,MO_Common_ColumnHeader,0)),"N/A")</f>
        <v/>
      </c>
      <c r="O267" s="67" t="n"/>
      <c r="P267" s="2169">
        <f>IF(ISNUMBER(N267),N267-K267,"N/A")</f>
        <v/>
      </c>
      <c r="Q267" s="2168">
        <f>IFERROR(IF(ISNUMBER(N267),(N267-K267)/ABS(K267),"N/A"),"N/A")</f>
        <v/>
      </c>
      <c r="R267" s="112" t="n"/>
      <c r="S267" s="80" t="n">
        <v>45222</v>
      </c>
      <c r="T267" s="88" t="inlineStr">
        <is>
          <t>CFO Commentary</t>
        </is>
      </c>
      <c r="U267" s="67" t="n"/>
    </row>
    <row r="268" ht="14.4" customFormat="1" customHeight="1" s="1013">
      <c r="A268" s="114" t="n">
        <v>696</v>
      </c>
      <c r="B268" s="77">
        <f>IF(INDEX(MO_SNA_IsHistoricalPeriod,,MATCH(F268,MO_Common_ColumnHeader,0)),"Historical","Forward")</f>
        <v/>
      </c>
      <c r="C268" s="67" t="n"/>
      <c r="D268" s="84" t="inlineStr">
        <is>
          <t>DSO</t>
        </is>
      </c>
      <c r="E268" s="78" t="n"/>
      <c r="F268" s="77" t="inlineStr">
        <is>
          <t>FY2023</t>
        </is>
      </c>
      <c r="G268" s="77" t="n"/>
      <c r="H268" s="67" t="n"/>
      <c r="I268" s="2087" t="n">
        <v>45</v>
      </c>
      <c r="J268" s="2087" t="n">
        <v>45</v>
      </c>
      <c r="K268" s="2087">
        <f>AVERAGE(I268:J268)</f>
        <v/>
      </c>
      <c r="L268" s="67" t="n"/>
      <c r="M268" s="77">
        <f>IF(INDEX(MO_SNA_IsHistoricalPeriod,,MATCH(F268,MO_Common_ColumnHeader,0)),"Actual","Estimate")</f>
        <v/>
      </c>
      <c r="N268" s="2087">
        <f>IFERROR(INDEX(INDIRECT(E268),0,MATCH(F268,MO_Common_ColumnHeader,0)),"N/A")</f>
        <v/>
      </c>
      <c r="O268" s="67" t="n"/>
      <c r="P268" s="2169">
        <f>IF(ISNUMBER(N268),N268-K268,"N/A")</f>
        <v/>
      </c>
      <c r="Q268" s="2168">
        <f>IFERROR(IF(ISNUMBER(N268),(N268-K268)/ABS(K268),"N/A"),"N/A")</f>
        <v/>
      </c>
      <c r="R268" s="112" t="n"/>
      <c r="S268" s="80" t="n">
        <v>45222</v>
      </c>
      <c r="T268" s="88" t="inlineStr">
        <is>
          <t>CFO Commentary</t>
        </is>
      </c>
      <c r="U268" s="67" t="n"/>
    </row>
    <row r="269" ht="14.4" customFormat="1" customHeight="1" s="1013">
      <c r="A269" s="114" t="n">
        <v>695</v>
      </c>
      <c r="B269" s="77">
        <f>IF(INDEX(MO_SNA_IsHistoricalPeriod,,MATCH(F269,MO_Common_ColumnHeader,0)),"Historical","Forward")</f>
        <v/>
      </c>
      <c r="C269" s="67" t="n"/>
      <c r="D269" s="84">
        <f>INDEX(INDIRECT(E269),0,COLUMN(MO_Common_Column_A))</f>
        <v/>
      </c>
      <c r="E269" s="78" t="inlineStr">
        <is>
          <t>MO_CFSum_Capex</t>
        </is>
      </c>
      <c r="F269" s="77" t="inlineStr">
        <is>
          <t>FY2023</t>
        </is>
      </c>
      <c r="G269" s="77" t="n"/>
      <c r="H269" s="67" t="n"/>
      <c r="I269" s="2087" t="n">
        <v>-105</v>
      </c>
      <c r="J269" s="2087" t="n">
        <v>-105</v>
      </c>
      <c r="K269" s="2087">
        <f>AVERAGE(I269:J269)</f>
        <v/>
      </c>
      <c r="L269" s="67" t="n"/>
      <c r="M269" s="77">
        <f>IF(INDEX(MO_SNA_IsHistoricalPeriod,,MATCH(F269,MO_Common_ColumnHeader,0)),"Actual","Estimate")</f>
        <v/>
      </c>
      <c r="N269" s="2087">
        <f>IFERROR(INDEX(INDIRECT(E269),0,MATCH(F269,MO_Common_ColumnHeader,0)),"N/A")</f>
        <v/>
      </c>
      <c r="O269" s="67" t="n"/>
      <c r="P269" s="2169">
        <f>IF(ISNUMBER(N269),N269-K269,"N/A")</f>
        <v/>
      </c>
      <c r="Q269" s="2168">
        <f>IFERROR(IF(ISNUMBER(N269),(N269-K269)/ABS(K269),"N/A"),"N/A")</f>
        <v/>
      </c>
      <c r="R269" s="112" t="n"/>
      <c r="S269" s="80" t="n">
        <v>45222</v>
      </c>
      <c r="T269" s="88" t="inlineStr">
        <is>
          <t>CFO Commentary</t>
        </is>
      </c>
      <c r="U269" s="67" t="n"/>
    </row>
    <row r="270" ht="14.4" customFormat="1" customHeight="1" s="1013">
      <c r="A270" s="114" t="n">
        <v>694</v>
      </c>
      <c r="B270" s="77">
        <f>IF(INDEX(MO_SNA_IsHistoricalPeriod,,MATCH(F270,MO_Common_ColumnHeader,0)),"Historical","Forward")</f>
        <v/>
      </c>
      <c r="C270" s="67" t="n"/>
      <c r="D270" s="84">
        <f>INDEX(INDIRECT(E270),0,COLUMN(MO_Common_Column_A))</f>
        <v/>
      </c>
      <c r="E270" s="78" t="inlineStr">
        <is>
          <t>MO_RIS_SBC</t>
        </is>
      </c>
      <c r="F270" s="77" t="inlineStr">
        <is>
          <t>FY2023</t>
        </is>
      </c>
      <c r="G270" s="77" t="n"/>
      <c r="H270" s="67" t="n"/>
      <c r="I270" s="2087" t="n">
        <v>327</v>
      </c>
      <c r="J270" s="2087" t="n">
        <v>327</v>
      </c>
      <c r="K270" s="2087">
        <f>AVERAGE(I270:J270)</f>
        <v/>
      </c>
      <c r="L270" s="67" t="n"/>
      <c r="M270" s="77">
        <f>IF(INDEX(MO_SNA_IsHistoricalPeriod,,MATCH(F270,MO_Common_ColumnHeader,0)),"Actual","Estimate")</f>
        <v/>
      </c>
      <c r="N270" s="2087">
        <f>IFERROR(INDEX(INDIRECT(E270),0,MATCH(F270,MO_Common_ColumnHeader,0)),"N/A")</f>
        <v/>
      </c>
      <c r="O270" s="67" t="n"/>
      <c r="P270" s="2169">
        <f>IF(ISNUMBER(N270),N270-K270,"N/A")</f>
        <v/>
      </c>
      <c r="Q270" s="2168">
        <f>IFERROR(IF(ISNUMBER(N270),(N270-K270)/ABS(K270),"N/A"),"N/A")</f>
        <v/>
      </c>
      <c r="R270" s="112" t="n"/>
      <c r="S270" s="80" t="n">
        <v>45222</v>
      </c>
      <c r="T270" s="88" t="inlineStr">
        <is>
          <t>CFO Commentary</t>
        </is>
      </c>
      <c r="U270" s="67" t="n"/>
    </row>
    <row r="271" ht="14.4" customFormat="1" customHeight="1" s="1013">
      <c r="A271" s="114" t="n">
        <v>693</v>
      </c>
      <c r="B271" s="77">
        <f>IF(INDEX(MO_SNA_IsHistoricalPeriod,,MATCH(F271,MO_Common_ColumnHeader,0)),"Historical","Forward")</f>
        <v/>
      </c>
      <c r="C271" s="67" t="n"/>
      <c r="D271" s="84">
        <f>INDEX(INDIRECT(E271),0,COLUMN(MO_Common_Column_A))</f>
        <v/>
      </c>
      <c r="E271" s="78" t="inlineStr">
        <is>
          <t>MO_RIS_Daintangibles</t>
        </is>
      </c>
      <c r="F271" s="77" t="inlineStr">
        <is>
          <t>FY2023</t>
        </is>
      </c>
      <c r="G271" s="77" t="n"/>
      <c r="H271" s="67" t="n"/>
      <c r="I271" s="2087" t="n">
        <v>61</v>
      </c>
      <c r="J271" s="2087" t="n">
        <v>61</v>
      </c>
      <c r="K271" s="2087">
        <f>AVERAGE(I271:J271)</f>
        <v/>
      </c>
      <c r="L271" s="67" t="n"/>
      <c r="M271" s="77">
        <f>IF(INDEX(MO_SNA_IsHistoricalPeriod,,MATCH(F271,MO_Common_ColumnHeader,0)),"Actual","Estimate")</f>
        <v/>
      </c>
      <c r="N271" s="2087">
        <f>IFERROR(INDEX(INDIRECT(E271),0,MATCH(F271,MO_Common_ColumnHeader,0)),"N/A")</f>
        <v/>
      </c>
      <c r="O271" s="67" t="n"/>
      <c r="P271" s="2169">
        <f>IF(ISNUMBER(N271),N271-K271,"N/A")</f>
        <v/>
      </c>
      <c r="Q271" s="2168">
        <f>IFERROR(IF(ISNUMBER(N271),(N271-K271)/ABS(K271),"N/A"),"N/A")</f>
        <v/>
      </c>
      <c r="R271" s="112" t="n"/>
      <c r="S271" s="80" t="n">
        <v>45222</v>
      </c>
      <c r="T271" s="88" t="inlineStr">
        <is>
          <t>CFO Commentary</t>
        </is>
      </c>
      <c r="U271" s="67" t="n"/>
    </row>
    <row r="272" ht="14.4" customFormat="1" customHeight="1" s="1013">
      <c r="A272" s="114" t="n">
        <v>692</v>
      </c>
      <c r="B272" s="77">
        <f>IF(INDEX(MO_SNA_IsHistoricalPeriod,,MATCH(F272,MO_Common_ColumnHeader,0)),"Historical","Forward")</f>
        <v/>
      </c>
      <c r="C272" s="67" t="n"/>
      <c r="D272" s="84" t="inlineStr">
        <is>
          <t>Acquisition and integration-related costs</t>
        </is>
      </c>
      <c r="E272" s="78" t="n"/>
      <c r="F272" s="77" t="inlineStr">
        <is>
          <t>FY2023</t>
        </is>
      </c>
      <c r="G272" s="77" t="n"/>
      <c r="H272" s="67" t="n"/>
      <c r="I272" s="2087" t="n">
        <v>54</v>
      </c>
      <c r="J272" s="2087" t="n">
        <v>54</v>
      </c>
      <c r="K272" s="2087">
        <f>AVERAGE(I272:J272)</f>
        <v/>
      </c>
      <c r="L272" s="67" t="n"/>
      <c r="M272" s="77">
        <f>IF(INDEX(MO_SNA_IsHistoricalPeriod,,MATCH(F272,MO_Common_ColumnHeader,0)),"Actual","Estimate")</f>
        <v/>
      </c>
      <c r="N272" s="2087">
        <f>IFERROR(INDEX(INDIRECT(E272),0,MATCH(F272,MO_Common_ColumnHeader,0)),"N/A")</f>
        <v/>
      </c>
      <c r="O272" s="67" t="n"/>
      <c r="P272" s="2169">
        <f>IF(ISNUMBER(N272),N272-K272,"N/A")</f>
        <v/>
      </c>
      <c r="Q272" s="2168">
        <f>IFERROR(IF(ISNUMBER(N272),(N272-K272)/ABS(K272),"N/A"),"N/A")</f>
        <v/>
      </c>
      <c r="R272" s="112" t="n"/>
      <c r="S272" s="80" t="n">
        <v>45222</v>
      </c>
      <c r="T272" s="88" t="inlineStr">
        <is>
          <t>CFO Commentary</t>
        </is>
      </c>
      <c r="U272" s="67" t="n"/>
    </row>
    <row r="273" ht="14.4" customFormat="1" customHeight="1" s="1013">
      <c r="A273" s="114" t="n">
        <v>691</v>
      </c>
      <c r="B273" s="77">
        <f>IF(INDEX(MO_SNA_IsHistoricalPeriod,,MATCH(F273,MO_Common_ColumnHeader,0)),"Historical","Forward")</f>
        <v/>
      </c>
      <c r="C273" s="67" t="n"/>
      <c r="D273" s="84" t="inlineStr">
        <is>
          <t>Restructuring and other credits</t>
        </is>
      </c>
      <c r="E273" s="78" t="n"/>
      <c r="F273" s="77" t="inlineStr">
        <is>
          <t>FY2023</t>
        </is>
      </c>
      <c r="G273" s="77" t="n"/>
      <c r="H273" s="67" t="n"/>
      <c r="I273" s="2087" t="n">
        <v>12</v>
      </c>
      <c r="J273" s="2087" t="n">
        <v>12</v>
      </c>
      <c r="K273" s="2087">
        <f>AVERAGE(I273:J273)</f>
        <v/>
      </c>
      <c r="L273" s="67" t="n"/>
      <c r="M273" s="77">
        <f>IF(INDEX(MO_SNA_IsHistoricalPeriod,,MATCH(F273,MO_Common_ColumnHeader,0)),"Actual","Estimate")</f>
        <v/>
      </c>
      <c r="N273" s="2087">
        <f>IFERROR(INDEX(INDIRECT(E273),0,MATCH(F273,MO_Common_ColumnHeader,0)),"N/A")</f>
        <v/>
      </c>
      <c r="O273" s="67" t="n"/>
      <c r="P273" s="2169">
        <f>IF(ISNUMBER(N273),N273-K273,"N/A")</f>
        <v/>
      </c>
      <c r="Q273" s="2168">
        <f>IFERROR(IF(ISNUMBER(N273),(N273-K273)/ABS(K273),"N/A"),"N/A")</f>
        <v/>
      </c>
      <c r="R273" s="112" t="n"/>
      <c r="S273" s="80" t="n">
        <v>45222</v>
      </c>
      <c r="T273" s="88" t="inlineStr">
        <is>
          <t>CFO Commentary</t>
        </is>
      </c>
      <c r="U273" s="67" t="n"/>
    </row>
    <row r="274" ht="14.4" customFormat="1" customHeight="1" s="1013">
      <c r="A274" s="114" t="n">
        <v>690</v>
      </c>
      <c r="B274" s="77">
        <f>IF(INDEX(MO_SNA_IsHistoricalPeriod,,MATCH(F274,MO_Common_ColumnHeader,0)),"Historical","Forward")</f>
        <v/>
      </c>
      <c r="C274" s="67" t="n"/>
      <c r="D274" s="84" t="inlineStr">
        <is>
          <t>Non-Qualified deferred compensation expenses</t>
        </is>
      </c>
      <c r="E274" s="78" t="n"/>
      <c r="F274" s="77" t="inlineStr">
        <is>
          <t>FY2023</t>
        </is>
      </c>
      <c r="G274" s="77" t="n"/>
      <c r="H274" s="67" t="n"/>
      <c r="I274" s="2087" t="n">
        <v>5</v>
      </c>
      <c r="J274" s="2087" t="n">
        <v>5</v>
      </c>
      <c r="K274" s="2087">
        <f>AVERAGE(I274:J274)</f>
        <v/>
      </c>
      <c r="L274" s="67" t="n"/>
      <c r="M274" s="77">
        <f>IF(INDEX(MO_SNA_IsHistoricalPeriod,,MATCH(F274,MO_Common_ColumnHeader,0)),"Actual","Estimate")</f>
        <v/>
      </c>
      <c r="N274" s="2087">
        <f>IFERROR(INDEX(INDIRECT(E274),0,MATCH(F274,MO_Common_ColumnHeader,0)),"N/A")</f>
        <v/>
      </c>
      <c r="O274" s="67" t="n"/>
      <c r="P274" s="2169">
        <f>IF(ISNUMBER(N274),N274-K274,"N/A")</f>
        <v/>
      </c>
      <c r="Q274" s="2168">
        <f>IFERROR(IF(ISNUMBER(N274),(N274-K274)/ABS(K274),"N/A"),"N/A")</f>
        <v/>
      </c>
      <c r="R274" s="112" t="n"/>
      <c r="S274" s="80" t="n">
        <v>45222</v>
      </c>
      <c r="T274" s="88" t="inlineStr">
        <is>
          <t>CFO Commentary</t>
        </is>
      </c>
      <c r="U274" s="67" t="n"/>
    </row>
    <row r="275" ht="14.4" customFormat="1" customHeight="1" s="1013">
      <c r="A275" s="114" t="n">
        <v>689</v>
      </c>
      <c r="B275" s="77">
        <f>IF(INDEX(MO_SNA_IsHistoricalPeriod,,MATCH(F275,MO_Common_ColumnHeader,0)),"Historical","Forward")</f>
        <v/>
      </c>
      <c r="C275" s="67" t="n"/>
      <c r="D275" s="84" t="inlineStr">
        <is>
          <t>Special charges</t>
        </is>
      </c>
      <c r="E275" s="78" t="n"/>
      <c r="F275" s="77" t="inlineStr">
        <is>
          <t>FY2023</t>
        </is>
      </c>
      <c r="G275" s="77" t="n"/>
      <c r="H275" s="67" t="n"/>
      <c r="I275" s="2087" t="n">
        <v>0</v>
      </c>
      <c r="J275" s="2087" t="n">
        <v>0</v>
      </c>
      <c r="K275" s="2087">
        <f>AVERAGE(I275:J275)</f>
        <v/>
      </c>
      <c r="L275" s="67" t="n"/>
      <c r="M275" s="77">
        <f>IF(INDEX(MO_SNA_IsHistoricalPeriod,,MATCH(F275,MO_Common_ColumnHeader,0)),"Actual","Estimate")</f>
        <v/>
      </c>
      <c r="N275" s="2087">
        <f>IFERROR(INDEX(INDIRECT(E275),0,MATCH(F275,MO_Common_ColumnHeader,0)),"N/A")</f>
        <v/>
      </c>
      <c r="O275" s="67" t="n"/>
      <c r="P275" s="2169">
        <f>IF(ISNUMBER(N275),N275-K275,"N/A")</f>
        <v/>
      </c>
      <c r="Q275" s="2168">
        <f>IFERROR(IF(ISNUMBER(N275),(N275-K275)/ABS(K275),"N/A"),"N/A")</f>
        <v/>
      </c>
      <c r="R275" s="112" t="n"/>
      <c r="S275" s="80" t="n">
        <v>45222</v>
      </c>
      <c r="T275" s="88" t="inlineStr">
        <is>
          <t>CFO Commentary</t>
        </is>
      </c>
      <c r="U275" s="67" t="n"/>
    </row>
    <row r="276" ht="14.4" customFormat="1" customHeight="1" s="1013">
      <c r="A276" s="114" t="n">
        <v>688</v>
      </c>
      <c r="B276" s="77">
        <f>IF(INDEX(MO_SNA_IsHistoricalPeriod,,MATCH(F276,MO_Common_ColumnHeader,0)),"Historical","Forward")</f>
        <v/>
      </c>
      <c r="C276" s="67" t="n"/>
      <c r="D276" s="84" t="inlineStr">
        <is>
          <t>GAAP Operating Expenses</t>
        </is>
      </c>
      <c r="E276" s="78" t="n"/>
      <c r="F276" s="77" t="inlineStr">
        <is>
          <t>FY2023</t>
        </is>
      </c>
      <c r="G276" s="77" t="n"/>
      <c r="H276" s="67" t="n"/>
      <c r="I276" s="2087" t="n">
        <v>2836</v>
      </c>
      <c r="J276" s="2087" t="n">
        <v>2836</v>
      </c>
      <c r="K276" s="2087">
        <f>AVERAGE(I276:J276)</f>
        <v/>
      </c>
      <c r="L276" s="67" t="n"/>
      <c r="M276" s="77">
        <f>IF(INDEX(MO_SNA_IsHistoricalPeriod,,MATCH(F276,MO_Common_ColumnHeader,0)),"Actual","Estimate")</f>
        <v/>
      </c>
      <c r="N276" s="2087">
        <f>IFERROR(INDEX(MO_RIS_COGS,0,MATCH(Guidance!F276,MO_Common_ColumnHeader,0))+INDEX(MO_RIS_RD,0,MATCH(Guidance!F276,MO_Common_ColumnHeader,0))+INDEX(MO_RIS_GA,0,MATCH(Guidance!F276,MO_Common_ColumnHeader,0))+INDEX(MO_RIS_SM,0,MATCH(Guidance!F276,MO_Common_ColumnHeader,0)),"N/A")</f>
        <v/>
      </c>
      <c r="O276" s="2072" t="n"/>
      <c r="P276" s="2169">
        <f>IF(ISNUMBER(N276),N276-K276,"N/A")</f>
        <v/>
      </c>
      <c r="Q276" s="2168">
        <f>IFERROR(IF(ISNUMBER(N276),(N276-K276)/ABS(K276),"N/A"),"N/A")</f>
        <v/>
      </c>
      <c r="R276" s="112" t="n"/>
      <c r="S276" s="80" t="n">
        <v>45222</v>
      </c>
      <c r="T276" s="88" t="inlineStr">
        <is>
          <t>CFO Commentary</t>
        </is>
      </c>
      <c r="U276" s="67" t="n"/>
    </row>
    <row r="277" ht="14.4" customFormat="1" customHeight="1" s="1013">
      <c r="A277" s="114" t="n">
        <v>687</v>
      </c>
      <c r="B277" s="77">
        <f>IF(INDEX(MO_SNA_IsHistoricalPeriod,,MATCH(F277,MO_Common_ColumnHeader,0)),"Historical","Forward")</f>
        <v/>
      </c>
      <c r="C277" s="67" t="n"/>
      <c r="D277" s="84" t="inlineStr">
        <is>
          <t>Non-GAAP Operating Expenses</t>
        </is>
      </c>
      <c r="E277" s="78" t="n"/>
      <c r="F277" s="77" t="inlineStr">
        <is>
          <t>FY2023</t>
        </is>
      </c>
      <c r="G277" s="77" t="n"/>
      <c r="H277" s="67" t="n"/>
      <c r="I277" s="2087" t="n">
        <v>2377</v>
      </c>
      <c r="J277" s="2087" t="n">
        <v>2377</v>
      </c>
      <c r="K277" s="2087">
        <f>AVERAGE(I277:J277)</f>
        <v/>
      </c>
      <c r="L277" s="67" t="n"/>
      <c r="M277" s="77">
        <f>IF(INDEX(MO_SNA_IsHistoricalPeriod,,MATCH(F277,MO_Common_ColumnHeader,0)),"Actual","Estimate")</f>
        <v/>
      </c>
      <c r="N277" s="2087">
        <f>IFERROR(INDEX(MO_RIS_REV,0,MATCH(Guidance!F277,MO_Common_ColumnHeader,0))+INDEX(MO_RIS_RD_NONGAAP,0,MATCH(Guidance!F277,MO_Common_ColumnHeader,0))+INDEX(MO_RIS_GA_NONGAAP,0,MATCH(Guidance!F277,MO_Common_ColumnHeader,0))+INDEX(MO_RIS_SM_NONGAAP,0,MATCH(Guidance!F277,MO_Common_ColumnHeader,0))-INDEX(MO_RIS_GP_NONGAAP,0,MATCH(Guidance!F277,MO_Common_ColumnHeader,0)),"N/A")</f>
        <v/>
      </c>
      <c r="O277" s="2072" t="n"/>
      <c r="P277" s="2169">
        <f>IF(ISNUMBER(N277),N277-K277,"N/A")</f>
        <v/>
      </c>
      <c r="Q277" s="2168">
        <f>IFERROR(IF(ISNUMBER(N277),(N277-K277)/ABS(K277),"N/A"),"N/A")</f>
        <v/>
      </c>
      <c r="R277" s="112" t="n"/>
      <c r="S277" s="80" t="n">
        <v>45222</v>
      </c>
      <c r="T277" s="88" t="inlineStr">
        <is>
          <t>CFO Commentary</t>
        </is>
      </c>
      <c r="U277" s="67" t="n"/>
    </row>
    <row r="278" ht="14.4" customFormat="1" customHeight="1" s="1013">
      <c r="A278" s="114" t="n">
        <v>686</v>
      </c>
      <c r="B278" s="67" t="n"/>
      <c r="C278" s="67" t="n"/>
      <c r="D278" s="68" t="n"/>
      <c r="E278" s="69" t="n"/>
      <c r="F278" s="67" t="n"/>
      <c r="G278" s="67" t="n"/>
      <c r="H278" s="67" t="n"/>
      <c r="I278" s="2072" t="n"/>
      <c r="J278" s="2072" t="n"/>
      <c r="K278" s="2072" t="n"/>
      <c r="L278" s="67" t="n"/>
      <c r="M278" s="67" t="n"/>
      <c r="N278" s="2072" t="n"/>
      <c r="O278" s="67" t="n"/>
      <c r="P278" s="2172" t="n"/>
      <c r="Q278" s="2173" t="n"/>
      <c r="R278" s="112" t="n"/>
      <c r="S278" s="112" t="n"/>
      <c r="T278" s="344" t="n"/>
      <c r="U278" s="67" t="n"/>
    </row>
    <row r="279" ht="14.4" customFormat="1" customHeight="1" s="1013">
      <c r="A279" s="114" t="n">
        <v>685</v>
      </c>
      <c r="B279" s="77">
        <f>IF(INDEX(MO_SNA_IsHistoricalPeriod,,MATCH(F279,MO_Common_ColumnHeader,0)),"Historical","Forward")</f>
        <v/>
      </c>
      <c r="C279" s="67" t="n"/>
      <c r="D279" s="84">
        <f>INDEX(INDIRECT(E279),0,COLUMN(MO_Common_Column_A))</f>
        <v/>
      </c>
      <c r="E279" s="78" t="inlineStr">
        <is>
          <t>MO_RIS_REV</t>
        </is>
      </c>
      <c r="F279" s="77" t="inlineStr">
        <is>
          <t>Q4-2023</t>
        </is>
      </c>
      <c r="G279" s="77" t="n"/>
      <c r="H279" s="67" t="n"/>
      <c r="I279" s="2087" t="n">
        <v>1039</v>
      </c>
      <c r="J279" s="2087" t="n">
        <v>1079</v>
      </c>
      <c r="K279" s="2087">
        <f>AVERAGE(I279:J279)</f>
        <v/>
      </c>
      <c r="L279" s="67" t="n"/>
      <c r="M279" s="77">
        <f>IF(INDEX(MO_SNA_IsHistoricalPeriod,,MATCH(F279,MO_Common_ColumnHeader,0)),"Actual","Estimate")</f>
        <v/>
      </c>
      <c r="N279" s="2087">
        <f>IFERROR(INDEX(INDIRECT(E279),0,MATCH(F279,MO_Common_ColumnHeader,0)),"N/A")</f>
        <v/>
      </c>
      <c r="O279" s="67" t="n"/>
      <c r="P279" s="2169">
        <f>IF(ISNUMBER(N279),N279-K279,"N/A")</f>
        <v/>
      </c>
      <c r="Q279" s="2168">
        <f>IFERROR(IF(ISNUMBER(N279),(N279-K279)/ABS(K279),"N/A"),"N/A")</f>
        <v/>
      </c>
      <c r="R279" s="112" t="n"/>
      <c r="S279" s="80" t="n">
        <v>45222</v>
      </c>
      <c r="T279" s="88" t="inlineStr">
        <is>
          <t>CFO Commentary</t>
        </is>
      </c>
      <c r="U279" s="67" t="n"/>
    </row>
    <row r="280" ht="14.4" customFormat="1" customHeight="1" s="1013">
      <c r="A280" s="114" t="n">
        <v>684</v>
      </c>
      <c r="B280" s="77">
        <f>IF(INDEX(MO_SNA_IsHistoricalPeriod,,MATCH(F280,MO_Common_ColumnHeader,0)),"Historical","Forward")</f>
        <v/>
      </c>
      <c r="C280" s="67" t="n"/>
      <c r="D280" s="84" t="inlineStr">
        <is>
          <t>GAAP Operating Margin</t>
        </is>
      </c>
      <c r="E280" s="78" t="inlineStr">
        <is>
          <t>MO_MA_EBIT</t>
        </is>
      </c>
      <c r="F280" s="77" t="inlineStr">
        <is>
          <t>Q4-2023</t>
        </is>
      </c>
      <c r="G280" s="77" t="n"/>
      <c r="H280" s="67" t="n"/>
      <c r="I280" s="2108" t="n">
        <v>0.31</v>
      </c>
      <c r="J280" s="2108" t="n">
        <v>0.31</v>
      </c>
      <c r="K280" s="2108">
        <f>AVERAGE(I280:J280)</f>
        <v/>
      </c>
      <c r="L280" s="67" t="n"/>
      <c r="M280" s="77">
        <f>IF(INDEX(MO_SNA_IsHistoricalPeriod,,MATCH(F280,MO_Common_ColumnHeader,0)),"Actual","Estimate")</f>
        <v/>
      </c>
      <c r="N280" s="2108">
        <f>IFERROR(INDEX(INDIRECT(E280),0,MATCH(F280,MO_Common_ColumnHeader,0)),"N/A")</f>
        <v/>
      </c>
      <c r="O280" s="67" t="n"/>
      <c r="P280" s="2168">
        <f>IF(ISNUMBER(N280),N280-K280,"N/A")</f>
        <v/>
      </c>
      <c r="Q280" s="2168">
        <f>IFERROR(IF(ISNUMBER(N280),(N280-K280)/ABS(K280),"N/A"),"N/A")</f>
        <v/>
      </c>
      <c r="R280" s="112" t="n"/>
      <c r="S280" s="80" t="n">
        <v>45222</v>
      </c>
      <c r="T280" s="88" t="inlineStr">
        <is>
          <t>CFO Commentary</t>
        </is>
      </c>
      <c r="U280" s="67" t="n"/>
    </row>
    <row r="281" ht="14.4" customFormat="1" customHeight="1" s="1013">
      <c r="A281" s="114" t="n">
        <v>683</v>
      </c>
      <c r="B281" s="77">
        <f>IF(INDEX(MO_SNA_IsHistoricalPeriod,,MATCH(F281,MO_Common_ColumnHeader,0)),"Historical","Forward")</f>
        <v/>
      </c>
      <c r="C281" s="67" t="n"/>
      <c r="D281" s="84">
        <f>INDEX(INDIRECT(E281),0,COLUMN(MO_Common_Column_A))</f>
        <v/>
      </c>
      <c r="E281" s="78" t="inlineStr">
        <is>
          <t>MO_MA_OperatingIncome_NONGAAP</t>
        </is>
      </c>
      <c r="F281" s="77" t="inlineStr">
        <is>
          <t>Q4-2023</t>
        </is>
      </c>
      <c r="G281" s="77" t="n"/>
      <c r="H281" s="67" t="n"/>
      <c r="I281" s="2108" t="n">
        <v>0.42</v>
      </c>
      <c r="J281" s="2108" t="n">
        <v>0.42</v>
      </c>
      <c r="K281" s="2108">
        <f>AVERAGE(I281:J281)</f>
        <v/>
      </c>
      <c r="L281" s="67" t="n"/>
      <c r="M281" s="77">
        <f>IF(INDEX(MO_SNA_IsHistoricalPeriod,,MATCH(F281,MO_Common_ColumnHeader,0)),"Actual","Estimate")</f>
        <v/>
      </c>
      <c r="N281" s="2108">
        <f>IFERROR(INDEX(INDIRECT(E281),0,MATCH(F281,MO_Common_ColumnHeader,0)),"N/A")</f>
        <v/>
      </c>
      <c r="O281" s="67" t="n"/>
      <c r="P281" s="2168">
        <f>IF(ISNUMBER(N281),N281-K281,"N/A")</f>
        <v/>
      </c>
      <c r="Q281" s="2168">
        <f>IFERROR(IF(ISNUMBER(N281),(N281-K281)/ABS(K281),"N/A"),"N/A")</f>
        <v/>
      </c>
      <c r="R281" s="112" t="n"/>
      <c r="S281" s="80" t="n">
        <v>45222</v>
      </c>
      <c r="T281" s="88" t="inlineStr">
        <is>
          <t>CFO Commentary</t>
        </is>
      </c>
      <c r="U281" s="67" t="n"/>
    </row>
    <row r="282" ht="14.4" customFormat="1" customHeight="1" s="1013">
      <c r="A282" s="114" t="n">
        <v>682</v>
      </c>
      <c r="B282" s="77">
        <f>IF(INDEX(MO_SNA_IsHistoricalPeriod,,MATCH(F282,MO_Common_ColumnHeader,0)),"Historical","Forward")</f>
        <v/>
      </c>
      <c r="C282" s="67" t="n"/>
      <c r="D282" s="84">
        <f>INDEX(INDIRECT(E282),0,COLUMN(MO_Common_Column_A))</f>
        <v/>
      </c>
      <c r="E282" s="78" t="inlineStr">
        <is>
          <t>MO_RIS_EPS_WAD</t>
        </is>
      </c>
      <c r="F282" s="77" t="inlineStr">
        <is>
          <t>Q4-2023</t>
        </is>
      </c>
      <c r="G282" s="77" t="n"/>
      <c r="H282" s="67" t="n"/>
      <c r="I282" s="2170" t="n">
        <v>0.85</v>
      </c>
      <c r="J282" s="2170" t="n">
        <v>0.91</v>
      </c>
      <c r="K282" s="2170">
        <f>AVERAGE(I282:J282)</f>
        <v/>
      </c>
      <c r="L282" s="67" t="n"/>
      <c r="M282" s="77">
        <f>IF(INDEX(MO_SNA_IsHistoricalPeriod,,MATCH(F282,MO_Common_ColumnHeader,0)),"Actual","Estimate")</f>
        <v/>
      </c>
      <c r="N282" s="2170">
        <f>IFERROR(INDEX(INDIRECT(E282),0,MATCH(F282,MO_Common_ColumnHeader,0)),"N/A")</f>
        <v/>
      </c>
      <c r="O282" s="67" t="n"/>
      <c r="P282" s="2171">
        <f>IF(ISNUMBER(N282),N282-K282,"N/A")</f>
        <v/>
      </c>
      <c r="Q282" s="2168">
        <f>IFERROR(IF(ISNUMBER(N282),(N282-K282)/ABS(K282),"N/A"),"N/A")</f>
        <v/>
      </c>
      <c r="R282" s="112" t="n"/>
      <c r="S282" s="80" t="n">
        <v>45222</v>
      </c>
      <c r="T282" s="88" t="inlineStr">
        <is>
          <t>CFO Commentary</t>
        </is>
      </c>
      <c r="U282" s="67" t="n"/>
    </row>
    <row r="283" ht="14.4" customFormat="1" customHeight="1" s="1013">
      <c r="A283" s="114" t="n">
        <v>681</v>
      </c>
      <c r="B283" s="77">
        <f>IF(INDEX(MO_SNA_IsHistoricalPeriod,,MATCH(F283,MO_Common_ColumnHeader,0)),"Historical","Forward")</f>
        <v/>
      </c>
      <c r="C283" s="67" t="n"/>
      <c r="D283" s="84">
        <f>INDEX(INDIRECT(E283),0,COLUMN(MO_Common_Column_A))</f>
        <v/>
      </c>
      <c r="E283" s="78" t="inlineStr">
        <is>
          <t>MO_RIS_EPS_WAD_Adj</t>
        </is>
      </c>
      <c r="F283" s="77" t="inlineStr">
        <is>
          <t>Q4-2023</t>
        </is>
      </c>
      <c r="G283" s="77" t="n"/>
      <c r="H283" s="67" t="n"/>
      <c r="I283" s="2170" t="n">
        <v>1.3</v>
      </c>
      <c r="J283" s="2170" t="n">
        <v>1.36</v>
      </c>
      <c r="K283" s="2170">
        <f>AVERAGE(I283:J283)</f>
        <v/>
      </c>
      <c r="L283" s="67" t="n"/>
      <c r="M283" s="77">
        <f>IF(INDEX(MO_SNA_IsHistoricalPeriod,,MATCH(F283,MO_Common_ColumnHeader,0)),"Actual","Estimate")</f>
        <v/>
      </c>
      <c r="N283" s="2170">
        <f>IFERROR(INDEX(INDIRECT(E283),0,MATCH(F283,MO_Common_ColumnHeader,0)),"N/A")</f>
        <v/>
      </c>
      <c r="O283" s="67" t="n"/>
      <c r="P283" s="2171">
        <f>IF(ISNUMBER(N283),N283-K283,"N/A")</f>
        <v/>
      </c>
      <c r="Q283" s="2168">
        <f>IFERROR(IF(ISNUMBER(N283),(N283-K283)/ABS(K283),"N/A"),"N/A")</f>
        <v/>
      </c>
      <c r="R283" s="112" t="n"/>
      <c r="S283" s="80" t="n">
        <v>45222</v>
      </c>
      <c r="T283" s="88" t="inlineStr">
        <is>
          <t>CFO Commentary</t>
        </is>
      </c>
      <c r="U283" s="67" t="n"/>
    </row>
    <row r="284" ht="14.4" customFormat="1" customHeight="1" s="1013">
      <c r="A284" s="114" t="n">
        <v>680</v>
      </c>
      <c r="B284" s="77">
        <f>IF(INDEX(MO_SNA_IsHistoricalPeriod,,MATCH(F284,MO_Common_ColumnHeader,0)),"Historical","Forward")</f>
        <v/>
      </c>
      <c r="C284" s="67" t="n"/>
      <c r="D284" s="84">
        <f>INDEX(INDIRECT(E284),0,COLUMN(MO_Common_Column_A))</f>
        <v/>
      </c>
      <c r="E284" s="78" t="inlineStr">
        <is>
          <t>MO_CFSum_NetShares</t>
        </is>
      </c>
      <c r="F284" s="77" t="inlineStr">
        <is>
          <t>Q4-2023</t>
        </is>
      </c>
      <c r="G284" s="77" t="n"/>
      <c r="H284" s="67" t="n"/>
      <c r="I284" s="2087" t="n">
        <v>-125</v>
      </c>
      <c r="J284" s="2087" t="n">
        <v>-125</v>
      </c>
      <c r="K284" s="2087">
        <f>AVERAGE(I284:J284)</f>
        <v/>
      </c>
      <c r="L284" s="67" t="n"/>
      <c r="M284" s="77">
        <f>IF(INDEX(MO_SNA_IsHistoricalPeriod,,MATCH(F284,MO_Common_ColumnHeader,0)),"Actual","Estimate")</f>
        <v/>
      </c>
      <c r="N284" s="2087">
        <f>IFERROR(INDEX(INDIRECT(E284),0,MATCH(F284,MO_Common_ColumnHeader,0)),"N/A")</f>
        <v/>
      </c>
      <c r="O284" s="67" t="n"/>
      <c r="P284" s="2169">
        <f>IF(ISNUMBER(N284),N284-K284,"N/A")</f>
        <v/>
      </c>
      <c r="Q284" s="2168">
        <f>IFERROR(IF(ISNUMBER(N284),(N284-K284)/ABS(K284),"N/A"),"N/A")</f>
        <v/>
      </c>
      <c r="R284" s="112" t="n"/>
      <c r="S284" s="80" t="n">
        <v>45222</v>
      </c>
      <c r="T284" s="88" t="inlineStr">
        <is>
          <t>CFO Commentary</t>
        </is>
      </c>
      <c r="U284" s="67" t="n"/>
    </row>
    <row r="285" ht="14.4" customFormat="1" customHeight="1" s="1013">
      <c r="A285" s="114" t="n">
        <v>679</v>
      </c>
      <c r="B285" s="67" t="n"/>
      <c r="C285" s="67" t="n"/>
      <c r="D285" s="68" t="n"/>
      <c r="E285" s="69" t="n"/>
      <c r="F285" s="67" t="n"/>
      <c r="G285" s="67" t="n"/>
      <c r="H285" s="67" t="n"/>
      <c r="I285" s="2072" t="n"/>
      <c r="J285" s="2072" t="n"/>
      <c r="K285" s="2072" t="n"/>
      <c r="L285" s="67" t="n"/>
      <c r="M285" s="67" t="n"/>
      <c r="N285" s="2072" t="n"/>
      <c r="O285" s="67" t="n"/>
      <c r="P285" s="2172" t="n"/>
      <c r="Q285" s="2173" t="n"/>
      <c r="R285" s="112" t="n"/>
      <c r="S285" s="112" t="n"/>
      <c r="T285" s="344" t="n"/>
      <c r="U285" s="67" t="n"/>
    </row>
    <row r="286" ht="14.4" customFormat="1" customHeight="1" s="1013">
      <c r="A286" s="114" t="n">
        <v>678</v>
      </c>
      <c r="B286" s="77">
        <f>IF(INDEX(MO_SNA_IsHistoricalPeriod,,MATCH(F286,MO_Common_ColumnHeader,0)),"Historical","Forward")</f>
        <v/>
      </c>
      <c r="C286" s="67" t="n"/>
      <c r="D286" s="84" t="inlineStr">
        <is>
          <t>Recurring Revenue %</t>
        </is>
      </c>
      <c r="E286" s="78" t="n"/>
      <c r="F286" s="77" t="inlineStr">
        <is>
          <t>FY2023</t>
        </is>
      </c>
      <c r="G286" s="77" t="n"/>
      <c r="H286" s="67" t="n"/>
      <c r="I286" s="2108" t="n">
        <v>0.85</v>
      </c>
      <c r="J286" s="2108" t="n">
        <v>0.85</v>
      </c>
      <c r="K286" s="2108">
        <f>AVERAGE(I286:J286)</f>
        <v/>
      </c>
      <c r="L286" s="67" t="n"/>
      <c r="M286" s="77">
        <f>IF(INDEX(MO_SNA_IsHistoricalPeriod,,MATCH(F286,MO_Common_ColumnHeader,0)),"Actual","Estimate")</f>
        <v/>
      </c>
      <c r="N286" s="2108">
        <f>IFERROR(INDEX(INDIRECT(E286),0,MATCH(F286,MO_Common_ColumnHeader,0)),"N/A")</f>
        <v/>
      </c>
      <c r="O286" s="2072" t="n"/>
      <c r="P286" s="2168">
        <f>IF(ISNUMBER(N286),N286-K286,"N/A")</f>
        <v/>
      </c>
      <c r="Q286" s="2168">
        <f>IFERROR(IF(ISNUMBER(N286),(N286-K286)/ABS(K286),"N/A"),"N/A")</f>
        <v/>
      </c>
      <c r="R286" s="112" t="n"/>
      <c r="S286" s="80" t="n">
        <v>45131</v>
      </c>
      <c r="T286" s="88" t="inlineStr">
        <is>
          <t>CFO Commentary</t>
        </is>
      </c>
      <c r="U286" s="67" t="n"/>
    </row>
    <row r="287" ht="14.4" customFormat="1" customHeight="1" s="1013">
      <c r="A287" s="114" t="n">
        <v>677</v>
      </c>
      <c r="B287" s="77">
        <f>IF(INDEX(MO_SNA_IsHistoricalPeriod,,MATCH(F287,MO_Common_ColumnHeader,0)),"Historical","Forward")</f>
        <v/>
      </c>
      <c r="C287" s="67" t="n"/>
      <c r="D287" s="84" t="inlineStr">
        <is>
          <t>Revenue from Beginning Backlog %</t>
        </is>
      </c>
      <c r="E287" s="78" t="n"/>
      <c r="F287" s="77" t="inlineStr">
        <is>
          <t>FY2023</t>
        </is>
      </c>
      <c r="G287" s="77" t="n"/>
      <c r="H287" s="67" t="n"/>
      <c r="I287" s="2108" t="n">
        <v>0.75</v>
      </c>
      <c r="J287" s="2108" t="n">
        <v>0.75</v>
      </c>
      <c r="K287" s="2108">
        <f>AVERAGE(I287:J287)</f>
        <v/>
      </c>
      <c r="L287" s="67" t="n"/>
      <c r="M287" s="77">
        <f>IF(INDEX(MO_SNA_IsHistoricalPeriod,,MATCH(F287,MO_Common_ColumnHeader,0)),"Actual","Estimate")</f>
        <v/>
      </c>
      <c r="N287" s="2108">
        <f>IFERROR(INDEX(INDIRECT(E287),0,MATCH(F287,MO_Common_ColumnHeader,0)),"N/A")</f>
        <v/>
      </c>
      <c r="O287" s="2072" t="n"/>
      <c r="P287" s="2168">
        <f>IF(ISNUMBER(N287),N287-K287,"N/A")</f>
        <v/>
      </c>
      <c r="Q287" s="2168">
        <f>IFERROR(IF(ISNUMBER(N287),(N287-K287)/ABS(K287),"N/A"),"N/A")</f>
        <v/>
      </c>
      <c r="R287" s="112" t="n"/>
      <c r="S287" s="80" t="n">
        <v>45131</v>
      </c>
      <c r="T287" s="88" t="inlineStr">
        <is>
          <t>CFO Commentary</t>
        </is>
      </c>
      <c r="U287" s="67" t="n"/>
    </row>
    <row r="288" ht="14.4" customFormat="1" customHeight="1" s="1013">
      <c r="A288" s="114" t="n">
        <v>676</v>
      </c>
      <c r="B288" s="77">
        <f>IF(INDEX(MO_SNA_IsHistoricalPeriod,,MATCH(F288,MO_Common_ColumnHeader,0)),"Historical","Forward")</f>
        <v/>
      </c>
      <c r="C288" s="67" t="n"/>
      <c r="D288" s="84">
        <f>INDEX(INDIRECT(E288),0,COLUMN(MO_Common_Column_A))</f>
        <v/>
      </c>
      <c r="E288" s="78" t="inlineStr">
        <is>
          <t>MO_RIS_REV</t>
        </is>
      </c>
      <c r="F288" s="77" t="inlineStr">
        <is>
          <t>FY2023</t>
        </is>
      </c>
      <c r="G288" s="77" t="n"/>
      <c r="H288" s="67" t="n"/>
      <c r="I288" s="2087" t="n">
        <v>4050</v>
      </c>
      <c r="J288" s="2087" t="n">
        <v>4090</v>
      </c>
      <c r="K288" s="2087">
        <f>AVERAGE(I288:J288)</f>
        <v/>
      </c>
      <c r="L288" s="67" t="n"/>
      <c r="M288" s="77">
        <f>IF(INDEX(MO_SNA_IsHistoricalPeriod,,MATCH(F288,MO_Common_ColumnHeader,0)),"Actual","Estimate")</f>
        <v/>
      </c>
      <c r="N288" s="2087">
        <f>IFERROR(INDEX(INDIRECT(E288),0,MATCH(F288,MO_Common_ColumnHeader,0)),"N/A")</f>
        <v/>
      </c>
      <c r="O288" s="2072" t="n"/>
      <c r="P288" s="2169">
        <f>IF(ISNUMBER(N288),N288-K288,"N/A")</f>
        <v/>
      </c>
      <c r="Q288" s="2168">
        <f>IFERROR(IF(ISNUMBER(N288),(N288-K288)/ABS(K288),"N/A"),"N/A")</f>
        <v/>
      </c>
      <c r="R288" s="112" t="n"/>
      <c r="S288" s="80" t="n">
        <v>45131</v>
      </c>
      <c r="T288" s="88" t="inlineStr">
        <is>
          <t>CFO Commentary</t>
        </is>
      </c>
      <c r="U288" s="67" t="n"/>
    </row>
    <row r="289" ht="14.4" customFormat="1" customHeight="1" s="1013">
      <c r="A289" s="114" t="n">
        <v>675</v>
      </c>
      <c r="B289" s="77">
        <f>IF(INDEX(MO_SNA_IsHistoricalPeriod,,MATCH(F289,MO_Common_ColumnHeader,0)),"Historical","Forward")</f>
        <v/>
      </c>
      <c r="C289" s="67" t="n"/>
      <c r="D289" s="84" t="inlineStr">
        <is>
          <t>GAAP Operating Margin</t>
        </is>
      </c>
      <c r="E289" s="78" t="inlineStr">
        <is>
          <t>MO_MA_EBIT</t>
        </is>
      </c>
      <c r="F289" s="77" t="inlineStr">
        <is>
          <t>FY2023</t>
        </is>
      </c>
      <c r="G289" s="77" t="n"/>
      <c r="H289" s="67" t="n"/>
      <c r="I289" s="2108" t="n">
        <v>0.302</v>
      </c>
      <c r="J289" s="2108" t="n">
        <v>0.312</v>
      </c>
      <c r="K289" s="2108">
        <f>AVERAGE(I289:J289)</f>
        <v/>
      </c>
      <c r="L289" s="67" t="n"/>
      <c r="M289" s="77">
        <f>IF(INDEX(MO_SNA_IsHistoricalPeriod,,MATCH(F289,MO_Common_ColumnHeader,0)),"Actual","Estimate")</f>
        <v/>
      </c>
      <c r="N289" s="2108">
        <f>IFERROR(INDEX(INDIRECT(E289),0,MATCH(F289,MO_Common_ColumnHeader,0)),"N/A")</f>
        <v/>
      </c>
      <c r="O289" s="67" t="n"/>
      <c r="P289" s="2168">
        <f>IF(ISNUMBER(N289),N289-K289,"N/A")</f>
        <v/>
      </c>
      <c r="Q289" s="2168">
        <f>IFERROR(IF(ISNUMBER(N289),(N289-K289)/ABS(K289),"N/A"),"N/A")</f>
        <v/>
      </c>
      <c r="R289" s="112" t="n"/>
      <c r="S289" s="80" t="n">
        <v>45131</v>
      </c>
      <c r="T289" s="88" t="inlineStr">
        <is>
          <t>CFO Commentary</t>
        </is>
      </c>
      <c r="U289" s="67" t="n"/>
    </row>
    <row r="290" ht="14.4" customFormat="1" customHeight="1" s="1013">
      <c r="A290" s="114" t="n">
        <v>674</v>
      </c>
      <c r="B290" s="77">
        <f>IF(INDEX(MO_SNA_IsHistoricalPeriod,,MATCH(F290,MO_Common_ColumnHeader,0)),"Historical","Forward")</f>
        <v/>
      </c>
      <c r="C290" s="67" t="n"/>
      <c r="D290" s="84">
        <f>INDEX(INDIRECT(E290),0,COLUMN(MO_Common_Column_A))</f>
        <v/>
      </c>
      <c r="E290" s="78" t="inlineStr">
        <is>
          <t>MO_MA_OperatingIncome_NONGAAP</t>
        </is>
      </c>
      <c r="F290" s="77" t="inlineStr">
        <is>
          <t>FY2023</t>
        </is>
      </c>
      <c r="G290" s="77" t="n"/>
      <c r="H290" s="67" t="n"/>
      <c r="I290" s="2108" t="n">
        <v>0.412</v>
      </c>
      <c r="J290" s="2108" t="n">
        <v>0.422</v>
      </c>
      <c r="K290" s="2108">
        <f>AVERAGE(I290:J290)</f>
        <v/>
      </c>
      <c r="L290" s="67" t="n"/>
      <c r="M290" s="77">
        <f>IF(INDEX(MO_SNA_IsHistoricalPeriod,,MATCH(F290,MO_Common_ColumnHeader,0)),"Actual","Estimate")</f>
        <v/>
      </c>
      <c r="N290" s="2108">
        <f>IFERROR(INDEX(INDIRECT(E290),0,MATCH(F290,MO_Common_ColumnHeader,0)),"N/A")</f>
        <v/>
      </c>
      <c r="O290" s="67" t="n"/>
      <c r="P290" s="2168">
        <f>IF(ISNUMBER(N290),N290-K290,"N/A")</f>
        <v/>
      </c>
      <c r="Q290" s="2168">
        <f>IFERROR(IF(ISNUMBER(N290),(N290-K290)/ABS(K290),"N/A"),"N/A")</f>
        <v/>
      </c>
      <c r="R290" s="112" t="n"/>
      <c r="S290" s="80" t="n">
        <v>45131</v>
      </c>
      <c r="T290" s="88" t="inlineStr">
        <is>
          <t>CFO Commentary</t>
        </is>
      </c>
      <c r="U290" s="67" t="n"/>
    </row>
    <row r="291" ht="14.4" customFormat="1" customHeight="1" s="1013">
      <c r="A291" s="114" t="n">
        <v>673</v>
      </c>
      <c r="B291" s="77">
        <f>IF(INDEX(MO_SNA_IsHistoricalPeriod,,MATCH(F291,MO_Common_ColumnHeader,0)),"Historical","Forward")</f>
        <v/>
      </c>
      <c r="C291" s="67" t="n"/>
      <c r="D291" s="84">
        <f>INDEX(INDIRECT(E291),0,COLUMN(MO_Common_Column_A))</f>
        <v/>
      </c>
      <c r="E291" s="78" t="inlineStr">
        <is>
          <t>MO_RIS_EPS_WAD</t>
        </is>
      </c>
      <c r="F291" s="77" t="inlineStr">
        <is>
          <t>FY2023</t>
        </is>
      </c>
      <c r="G291" s="77" t="n"/>
      <c r="H291" s="67" t="n"/>
      <c r="I291" s="2170" t="n">
        <v>3.35</v>
      </c>
      <c r="J291" s="2170" t="n">
        <v>3.41</v>
      </c>
      <c r="K291" s="2170">
        <f>AVERAGE(I291:J291)</f>
        <v/>
      </c>
      <c r="L291" s="67" t="n"/>
      <c r="M291" s="77">
        <f>IF(INDEX(MO_SNA_IsHistoricalPeriod,,MATCH(F291,MO_Common_ColumnHeader,0)),"Actual","Estimate")</f>
        <v/>
      </c>
      <c r="N291" s="2170">
        <f>IFERROR(INDEX(INDIRECT(E291),0,MATCH(F291,MO_Common_ColumnHeader,0)),"N/A")</f>
        <v/>
      </c>
      <c r="O291" s="67" t="n"/>
      <c r="P291" s="2171">
        <f>IF(ISNUMBER(N291),N291-K291,"N/A")</f>
        <v/>
      </c>
      <c r="Q291" s="2168">
        <f>IFERROR(IF(ISNUMBER(N291),(N291-K291)/ABS(K291),"N/A"),"N/A")</f>
        <v/>
      </c>
      <c r="R291" s="112" t="n"/>
      <c r="S291" s="80" t="n">
        <v>45131</v>
      </c>
      <c r="T291" s="88" t="inlineStr">
        <is>
          <t>CFO Commentary</t>
        </is>
      </c>
      <c r="U291" s="67" t="n"/>
    </row>
    <row r="292" ht="14.4" customFormat="1" customHeight="1" s="1013">
      <c r="A292" s="114" t="n">
        <v>672</v>
      </c>
      <c r="B292" s="77">
        <f>IF(INDEX(MO_SNA_IsHistoricalPeriod,,MATCH(F292,MO_Common_ColumnHeader,0)),"Historical","Forward")</f>
        <v/>
      </c>
      <c r="C292" s="67" t="n"/>
      <c r="D292" s="84">
        <f>INDEX(INDIRECT(E292),0,COLUMN(MO_Common_Column_A))</f>
        <v/>
      </c>
      <c r="E292" s="78" t="inlineStr">
        <is>
          <t>MO_RIS_EPS_WAD_Adj</t>
        </is>
      </c>
      <c r="F292" s="77" t="inlineStr">
        <is>
          <t>FY2023</t>
        </is>
      </c>
      <c r="G292" s="77" t="n"/>
      <c r="H292" s="67" t="n"/>
      <c r="I292" s="2170" t="n">
        <v>5.05</v>
      </c>
      <c r="J292" s="2170" t="n">
        <v>5.11</v>
      </c>
      <c r="K292" s="2170">
        <f>AVERAGE(I292:J292)</f>
        <v/>
      </c>
      <c r="L292" s="67" t="n"/>
      <c r="M292" s="77">
        <f>IF(INDEX(MO_SNA_IsHistoricalPeriod,,MATCH(F292,MO_Common_ColumnHeader,0)),"Actual","Estimate")</f>
        <v/>
      </c>
      <c r="N292" s="2170">
        <f>IFERROR(INDEX(INDIRECT(E292),0,MATCH(F292,MO_Common_ColumnHeader,0)),"N/A")</f>
        <v/>
      </c>
      <c r="O292" s="67" t="n"/>
      <c r="P292" s="2171">
        <f>IF(ISNUMBER(N292),N292-K292,"N/A")</f>
        <v/>
      </c>
      <c r="Q292" s="2168">
        <f>IFERROR(IF(ISNUMBER(N292),(N292-K292)/ABS(K292),"N/A"),"N/A")</f>
        <v/>
      </c>
      <c r="R292" s="112" t="n"/>
      <c r="S292" s="80" t="n">
        <v>45131</v>
      </c>
      <c r="T292" s="88" t="inlineStr">
        <is>
          <t>CFO Commentary</t>
        </is>
      </c>
      <c r="U292" s="67" t="n"/>
    </row>
    <row r="293" ht="14.4" customFormat="1" customHeight="1" s="1013">
      <c r="A293" s="114" t="n">
        <v>671</v>
      </c>
      <c r="B293" s="77">
        <f>IF(INDEX(MO_SNA_IsHistoricalPeriod,,MATCH(F293,MO_Common_ColumnHeader,0)),"Historical","Forward")</f>
        <v/>
      </c>
      <c r="C293" s="67" t="n"/>
      <c r="D293" s="84">
        <f>INDEX(INDIRECT(E293),0,COLUMN(MO_Common_Column_A))</f>
        <v/>
      </c>
      <c r="E293" s="78" t="inlineStr">
        <is>
          <t>MO_CFS_CFO</t>
        </is>
      </c>
      <c r="F293" s="77" t="inlineStr">
        <is>
          <t>FY2023</t>
        </is>
      </c>
      <c r="G293" s="77" t="n"/>
      <c r="H293" s="67" t="n"/>
      <c r="I293" s="2087" t="n">
        <v>1300</v>
      </c>
      <c r="J293" s="2087" t="n">
        <v>1400</v>
      </c>
      <c r="K293" s="2087">
        <f>AVERAGE(I293:J293)</f>
        <v/>
      </c>
      <c r="L293" s="67" t="n"/>
      <c r="M293" s="77">
        <f>IF(INDEX(MO_SNA_IsHistoricalPeriod,,MATCH(F293,MO_Common_ColumnHeader,0)),"Actual","Estimate")</f>
        <v/>
      </c>
      <c r="N293" s="2087">
        <f>IFERROR(INDEX(INDIRECT(E293),0,MATCH(F293,MO_Common_ColumnHeader,0)),"N/A")</f>
        <v/>
      </c>
      <c r="O293" s="67" t="n"/>
      <c r="P293" s="2169">
        <f>IF(ISNUMBER(N293),N293-K293,"N/A")</f>
        <v/>
      </c>
      <c r="Q293" s="2168">
        <f>IFERROR(IF(ISNUMBER(N293),(N293-K293)/ABS(K293),"N/A"),"N/A")</f>
        <v/>
      </c>
      <c r="R293" s="112" t="n"/>
      <c r="S293" s="80" t="n">
        <v>45131</v>
      </c>
      <c r="T293" s="88" t="inlineStr">
        <is>
          <t>CFO Commentary</t>
        </is>
      </c>
      <c r="U293" s="67" t="n"/>
    </row>
    <row r="294" ht="14.4" customFormat="1" customHeight="1" s="1013">
      <c r="A294" s="114" t="n">
        <v>670</v>
      </c>
      <c r="B294" s="77">
        <f>IF(INDEX(MO_SNA_IsHistoricalPeriod,,MATCH(F294,MO_Common_ColumnHeader,0)),"Historical","Forward")</f>
        <v/>
      </c>
      <c r="C294" s="67" t="n"/>
      <c r="D294" s="84" t="inlineStr">
        <is>
          <t>GAAP Other Income &amp; Expense</t>
        </is>
      </c>
      <c r="E294" s="78" t="n"/>
      <c r="F294" s="77" t="inlineStr">
        <is>
          <t>FY2023</t>
        </is>
      </c>
      <c r="G294" s="77" t="n"/>
      <c r="H294" s="67" t="n"/>
      <c r="I294" s="2087" t="n">
        <v>-11</v>
      </c>
      <c r="J294" s="2087" t="n">
        <v>-7</v>
      </c>
      <c r="K294" s="2087">
        <f>AVERAGE(I294:J294)</f>
        <v/>
      </c>
      <c r="L294" s="67" t="n"/>
      <c r="M294" s="77">
        <f>IF(INDEX(MO_SNA_IsHistoricalPeriod,,MATCH(F294,MO_Common_ColumnHeader,0)),"Actual","Estimate")</f>
        <v/>
      </c>
      <c r="N294" s="2087">
        <f>-IFERROR(INDEX(MO_RIS_IE_Net,0,MATCH(F294,MO_Common_ColumnHeader,0)),"N/A")-IFERROR(INDEX(MO_RIS_OI,0,MATCH(F294,MO_Common_ColumnHeader,0)),"N/A")</f>
        <v/>
      </c>
      <c r="O294" s="67" t="n"/>
      <c r="P294" s="2169">
        <f>IF(ISNUMBER(N294),N294-K294,"N/A")</f>
        <v/>
      </c>
      <c r="Q294" s="2168">
        <f>IFERROR(IF(ISNUMBER(N294),(N294-K294)/ABS(K294),"N/A"),"N/A")</f>
        <v/>
      </c>
      <c r="R294" s="112" t="n"/>
      <c r="S294" s="80" t="n">
        <v>45131</v>
      </c>
      <c r="T294" s="88" t="inlineStr">
        <is>
          <t>CFO Commentary</t>
        </is>
      </c>
      <c r="U294" s="67" t="n"/>
    </row>
    <row r="295" ht="14.4" customFormat="1" customHeight="1" s="1013">
      <c r="A295" s="114" t="n">
        <v>669</v>
      </c>
      <c r="B295" s="77">
        <f>IF(INDEX(MO_SNA_IsHistoricalPeriod,,MATCH(F295,MO_Common_ColumnHeader,0)),"Historical","Forward")</f>
        <v/>
      </c>
      <c r="C295" s="67" t="n"/>
      <c r="D295" s="84" t="inlineStr">
        <is>
          <t>Non-GAAP Other Income &amp; Expense</t>
        </is>
      </c>
      <c r="E295" s="78" t="n"/>
      <c r="F295" s="77" t="inlineStr">
        <is>
          <t>FY2023</t>
        </is>
      </c>
      <c r="G295" s="77" t="n"/>
      <c r="H295" s="67" t="n"/>
      <c r="I295" s="2087" t="n">
        <v>-17</v>
      </c>
      <c r="J295" s="2087" t="n">
        <v>-13</v>
      </c>
      <c r="K295" s="2087">
        <f>AVERAGE(I295:J295)</f>
        <v/>
      </c>
      <c r="L295" s="67" t="n"/>
      <c r="M295" s="77">
        <f>IF(INDEX(MO_SNA_IsHistoricalPeriod,,MATCH(F295,MO_Common_ColumnHeader,0)),"Actual","Estimate")</f>
        <v/>
      </c>
      <c r="N295" s="2087">
        <f>-IFERROR(INDEX(MO_RIS_IE_Net_NONGAAP,0,MATCH(F295,MO_Common_ColumnHeader,0)),"N/A")-IFERROR(INDEX(MO_RIS_OI_NONGAAP,0,MATCH(F295,MO_Common_ColumnHeader,0)),"N/A")</f>
        <v/>
      </c>
      <c r="O295" s="67" t="n"/>
      <c r="P295" s="2169">
        <f>IF(ISNUMBER(N295),N295-K295,"N/A")</f>
        <v/>
      </c>
      <c r="Q295" s="2168">
        <f>IFERROR(IF(ISNUMBER(N295),(N295-K295)/ABS(K295),"N/A"),"N/A")</f>
        <v/>
      </c>
      <c r="R295" s="112" t="n"/>
      <c r="S295" s="80" t="n">
        <v>45131</v>
      </c>
      <c r="T295" s="88" t="inlineStr">
        <is>
          <t>CFO Commentary</t>
        </is>
      </c>
      <c r="U295" s="67" t="n"/>
    </row>
    <row r="296" ht="14.4" customFormat="1" customHeight="1" s="1013">
      <c r="A296" s="114" t="n">
        <v>668</v>
      </c>
      <c r="B296" s="77">
        <f>IF(INDEX(MO_SNA_IsHistoricalPeriod,,MATCH(F296,MO_Common_ColumnHeader,0)),"Historical","Forward")</f>
        <v/>
      </c>
      <c r="C296" s="67" t="n"/>
      <c r="D296" s="84" t="inlineStr">
        <is>
          <t>GAAP Tax Rate</t>
        </is>
      </c>
      <c r="E296" s="78" t="inlineStr">
        <is>
          <t>MO_RIS_TaxRate</t>
        </is>
      </c>
      <c r="F296" s="77" t="inlineStr">
        <is>
          <t>FY2023</t>
        </is>
      </c>
      <c r="G296" s="77" t="n"/>
      <c r="H296" s="67" t="n"/>
      <c r="I296" s="2108" t="n">
        <v>0.26</v>
      </c>
      <c r="J296" s="2108" t="n">
        <v>0.26</v>
      </c>
      <c r="K296" s="2108">
        <f>AVERAGE(I296:J296)</f>
        <v/>
      </c>
      <c r="L296" s="67" t="n"/>
      <c r="M296" s="77">
        <f>IF(INDEX(MO_SNA_IsHistoricalPeriod,,MATCH(F296,MO_Common_ColumnHeader,0)),"Actual","Estimate")</f>
        <v/>
      </c>
      <c r="N296" s="2108">
        <f>IFERROR(INDEX(INDIRECT(E296),0,MATCH(F296,MO_Common_ColumnHeader,0)),"N/A")</f>
        <v/>
      </c>
      <c r="O296" s="67" t="n"/>
      <c r="P296" s="2168">
        <f>IF(ISNUMBER(N296),N296-K296,"N/A")</f>
        <v/>
      </c>
      <c r="Q296" s="2168">
        <f>IFERROR(IF(ISNUMBER(N296),(N296-K296)/ABS(K296),"N/A"),"N/A")</f>
        <v/>
      </c>
      <c r="R296" s="112" t="n"/>
      <c r="S296" s="80" t="n">
        <v>45131</v>
      </c>
      <c r="T296" s="88" t="inlineStr">
        <is>
          <t>CFO Commentary</t>
        </is>
      </c>
      <c r="U296" s="67" t="n"/>
    </row>
    <row r="297" ht="14.4" customFormat="1" customHeight="1" s="1013">
      <c r="A297" s="114" t="n">
        <v>667</v>
      </c>
      <c r="B297" s="77">
        <f>IF(INDEX(MO_SNA_IsHistoricalPeriod,,MATCH(F297,MO_Common_ColumnHeader,0)),"Historical","Forward")</f>
        <v/>
      </c>
      <c r="C297" s="67" t="n"/>
      <c r="D297" s="84">
        <f>INDEX(INDIRECT(E297),0,COLUMN(MO_Common_Column_A))</f>
        <v/>
      </c>
      <c r="E297" s="78" t="inlineStr">
        <is>
          <t>MO_RIS_TaxRate_NONGAAP</t>
        </is>
      </c>
      <c r="F297" s="77" t="inlineStr">
        <is>
          <t>FY2023</t>
        </is>
      </c>
      <c r="G297" s="77" t="n"/>
      <c r="H297" s="67" t="n"/>
      <c r="I297" s="2108" t="n">
        <v>0.175</v>
      </c>
      <c r="J297" s="2108" t="n">
        <v>0.175</v>
      </c>
      <c r="K297" s="2108">
        <f>AVERAGE(I297:J297)</f>
        <v/>
      </c>
      <c r="L297" s="67" t="n"/>
      <c r="M297" s="77">
        <f>IF(INDEX(MO_SNA_IsHistoricalPeriod,,MATCH(F297,MO_Common_ColumnHeader,0)),"Actual","Estimate")</f>
        <v/>
      </c>
      <c r="N297" s="2108">
        <f>IFERROR(INDEX(INDIRECT(E297),0,MATCH(F297,MO_Common_ColumnHeader,0)),"N/A")</f>
        <v/>
      </c>
      <c r="O297" s="67" t="n"/>
      <c r="P297" s="2168">
        <f>IF(ISNUMBER(N297),N297-K297,"N/A")</f>
        <v/>
      </c>
      <c r="Q297" s="2168">
        <f>IFERROR(IF(ISNUMBER(N297),(N297-K297)/ABS(K297),"N/A"),"N/A")</f>
        <v/>
      </c>
      <c r="R297" s="112" t="n"/>
      <c r="S297" s="80" t="n">
        <v>45131</v>
      </c>
      <c r="T297" s="88" t="inlineStr">
        <is>
          <t>CFO Commentary</t>
        </is>
      </c>
      <c r="U297" s="67" t="n"/>
    </row>
    <row r="298" ht="14.4" customFormat="1" customHeight="1" s="1013">
      <c r="A298" s="114" t="n">
        <v>666</v>
      </c>
      <c r="B298" s="77">
        <f>IF(INDEX(MO_SNA_IsHistoricalPeriod,,MATCH(F298,MO_Common_ColumnHeader,0)),"Historical","Forward")</f>
        <v/>
      </c>
      <c r="C298" s="67" t="n"/>
      <c r="D298" s="84">
        <f>INDEX(INDIRECT(E298),0,COLUMN(MO_Common_Column_A))</f>
        <v/>
      </c>
      <c r="E298" s="78" t="inlineStr">
        <is>
          <t>MO_RIS_ShareCount_WAD</t>
        </is>
      </c>
      <c r="F298" s="77" t="inlineStr">
        <is>
          <t>FY2023</t>
        </is>
      </c>
      <c r="G298" s="77" t="n"/>
      <c r="H298" s="67" t="n"/>
      <c r="I298" s="2087" t="n">
        <v>272</v>
      </c>
      <c r="J298" s="2087" t="n">
        <v>274</v>
      </c>
      <c r="K298" s="2087">
        <f>AVERAGE(I298:J298)</f>
        <v/>
      </c>
      <c r="L298" s="67" t="n"/>
      <c r="M298" s="77">
        <f>IF(INDEX(MO_SNA_IsHistoricalPeriod,,MATCH(F298,MO_Common_ColumnHeader,0)),"Actual","Estimate")</f>
        <v/>
      </c>
      <c r="N298" s="2087">
        <f>IFERROR(INDEX(INDIRECT(E298),0,MATCH(F298,MO_Common_ColumnHeader,0)),"N/A")</f>
        <v/>
      </c>
      <c r="O298" s="67" t="n"/>
      <c r="P298" s="2169">
        <f>IF(ISNUMBER(N298),N298-K298,"N/A")</f>
        <v/>
      </c>
      <c r="Q298" s="2168">
        <f>IFERROR(IF(ISNUMBER(N298),(N298-K298)/ABS(K298),"N/A"),"N/A")</f>
        <v/>
      </c>
      <c r="R298" s="112" t="n"/>
      <c r="S298" s="80" t="n">
        <v>45131</v>
      </c>
      <c r="T298" s="88" t="inlineStr">
        <is>
          <t>CFO Commentary</t>
        </is>
      </c>
      <c r="U298" s="67" t="n"/>
    </row>
    <row r="299" ht="14.4" customFormat="1" customHeight="1" s="1013">
      <c r="A299" s="114" t="n">
        <v>665</v>
      </c>
      <c r="B299" s="77">
        <f>IF(INDEX(MO_SNA_IsHistoricalPeriod,,MATCH(F299,MO_Common_ColumnHeader,0)),"Historical","Forward")</f>
        <v/>
      </c>
      <c r="C299" s="67" t="n"/>
      <c r="D299" s="84" t="inlineStr">
        <is>
          <t>DSO</t>
        </is>
      </c>
      <c r="E299" s="78" t="n"/>
      <c r="F299" s="77" t="inlineStr">
        <is>
          <t>FY2023</t>
        </is>
      </c>
      <c r="G299" s="77" t="n"/>
      <c r="H299" s="67" t="n"/>
      <c r="I299" s="2087" t="n">
        <v>45</v>
      </c>
      <c r="J299" s="2087" t="n">
        <v>45</v>
      </c>
      <c r="K299" s="2087">
        <f>AVERAGE(I299:J299)</f>
        <v/>
      </c>
      <c r="L299" s="67" t="n"/>
      <c r="M299" s="77">
        <f>IF(INDEX(MO_SNA_IsHistoricalPeriod,,MATCH(F299,MO_Common_ColumnHeader,0)),"Actual","Estimate")</f>
        <v/>
      </c>
      <c r="N299" s="2087">
        <f>IFERROR(INDEX(INDIRECT(E299),0,MATCH(F299,MO_Common_ColumnHeader,0)),"N/A")</f>
        <v/>
      </c>
      <c r="O299" s="67" t="n"/>
      <c r="P299" s="2169">
        <f>IF(ISNUMBER(N299),N299-K299,"N/A")</f>
        <v/>
      </c>
      <c r="Q299" s="2168">
        <f>IFERROR(IF(ISNUMBER(N299),(N299-K299)/ABS(K299),"N/A"),"N/A")</f>
        <v/>
      </c>
      <c r="R299" s="112" t="n"/>
      <c r="S299" s="80" t="n">
        <v>45131</v>
      </c>
      <c r="T299" s="88" t="inlineStr">
        <is>
          <t>CFO Commentary</t>
        </is>
      </c>
      <c r="U299" s="67" t="n"/>
    </row>
    <row r="300" ht="14.4" customFormat="1" customHeight="1" s="1013">
      <c r="A300" s="114" t="n">
        <v>664</v>
      </c>
      <c r="B300" s="77">
        <f>IF(INDEX(MO_SNA_IsHistoricalPeriod,,MATCH(F300,MO_Common_ColumnHeader,0)),"Historical","Forward")</f>
        <v/>
      </c>
      <c r="C300" s="67" t="n"/>
      <c r="D300" s="84">
        <f>INDEX(INDIRECT(E300),0,COLUMN(MO_Common_Column_A))</f>
        <v/>
      </c>
      <c r="E300" s="78" t="inlineStr">
        <is>
          <t>MO_CFSum_Capex</t>
        </is>
      </c>
      <c r="F300" s="77" t="inlineStr">
        <is>
          <t>FY2023</t>
        </is>
      </c>
      <c r="G300" s="77" t="n"/>
      <c r="H300" s="67" t="n"/>
      <c r="I300" s="2087" t="n">
        <v>-105</v>
      </c>
      <c r="J300" s="2087" t="n">
        <v>-105</v>
      </c>
      <c r="K300" s="2087">
        <f>AVERAGE(I300:J300)</f>
        <v/>
      </c>
      <c r="L300" s="67" t="n"/>
      <c r="M300" s="77">
        <f>IF(INDEX(MO_SNA_IsHistoricalPeriod,,MATCH(F300,MO_Common_ColumnHeader,0)),"Actual","Estimate")</f>
        <v/>
      </c>
      <c r="N300" s="2087">
        <f>IFERROR(INDEX(INDIRECT(E300),0,MATCH(F300,MO_Common_ColumnHeader,0)),"N/A")</f>
        <v/>
      </c>
      <c r="O300" s="67" t="n"/>
      <c r="P300" s="2169">
        <f>IF(ISNUMBER(N300),N300-K300,"N/A")</f>
        <v/>
      </c>
      <c r="Q300" s="2168">
        <f>IFERROR(IF(ISNUMBER(N300),(N300-K300)/ABS(K300),"N/A"),"N/A")</f>
        <v/>
      </c>
      <c r="R300" s="112" t="n"/>
      <c r="S300" s="80" t="n">
        <v>45131</v>
      </c>
      <c r="T300" s="88" t="inlineStr">
        <is>
          <t>CFO Commentary</t>
        </is>
      </c>
      <c r="U300" s="67" t="n"/>
    </row>
    <row r="301" ht="14.4" customFormat="1" customHeight="1" s="1013">
      <c r="A301" s="114" t="n">
        <v>663</v>
      </c>
      <c r="B301" s="77">
        <f>IF(INDEX(MO_SNA_IsHistoricalPeriod,,MATCH(F301,MO_Common_ColumnHeader,0)),"Historical","Forward")</f>
        <v/>
      </c>
      <c r="C301" s="67" t="n"/>
      <c r="D301" s="84">
        <f>INDEX(INDIRECT(E301),0,COLUMN(MO_Common_Column_A))</f>
        <v/>
      </c>
      <c r="E301" s="78" t="inlineStr">
        <is>
          <t>MO_RIS_SBC</t>
        </is>
      </c>
      <c r="F301" s="77" t="inlineStr">
        <is>
          <t>FY2023</t>
        </is>
      </c>
      <c r="G301" s="77" t="n"/>
      <c r="H301" s="67" t="n"/>
      <c r="I301" s="2087" t="n">
        <v>329</v>
      </c>
      <c r="J301" s="2087" t="n">
        <v>329</v>
      </c>
      <c r="K301" s="2087">
        <f>AVERAGE(I301:J301)</f>
        <v/>
      </c>
      <c r="L301" s="67" t="n"/>
      <c r="M301" s="77">
        <f>IF(INDEX(MO_SNA_IsHistoricalPeriod,,MATCH(F301,MO_Common_ColumnHeader,0)),"Actual","Estimate")</f>
        <v/>
      </c>
      <c r="N301" s="2087">
        <f>IFERROR(INDEX(INDIRECT(E301),0,MATCH(F301,MO_Common_ColumnHeader,0)),"N/A")</f>
        <v/>
      </c>
      <c r="O301" s="67" t="n"/>
      <c r="P301" s="2169">
        <f>IF(ISNUMBER(N301),N301-K301,"N/A")</f>
        <v/>
      </c>
      <c r="Q301" s="2168">
        <f>IFERROR(IF(ISNUMBER(N301),(N301-K301)/ABS(K301),"N/A"),"N/A")</f>
        <v/>
      </c>
      <c r="R301" s="112" t="n"/>
      <c r="S301" s="80" t="n">
        <v>45131</v>
      </c>
      <c r="T301" s="88" t="inlineStr">
        <is>
          <t>CFO Commentary</t>
        </is>
      </c>
      <c r="U301" s="67" t="n"/>
    </row>
    <row r="302" ht="14.4" customFormat="1" customHeight="1" s="1013">
      <c r="A302" s="114" t="n">
        <v>662</v>
      </c>
      <c r="B302" s="77">
        <f>IF(INDEX(MO_SNA_IsHistoricalPeriod,,MATCH(F302,MO_Common_ColumnHeader,0)),"Historical","Forward")</f>
        <v/>
      </c>
      <c r="C302" s="67" t="n"/>
      <c r="D302" s="84">
        <f>INDEX(INDIRECT(E302),0,COLUMN(MO_Common_Column_A))</f>
        <v/>
      </c>
      <c r="E302" s="78" t="inlineStr">
        <is>
          <t>MO_RIS_Daintangibles</t>
        </is>
      </c>
      <c r="F302" s="77" t="inlineStr">
        <is>
          <t>FY2023</t>
        </is>
      </c>
      <c r="G302" s="77" t="n"/>
      <c r="H302" s="67" t="n"/>
      <c r="I302" s="2087" t="n">
        <v>63</v>
      </c>
      <c r="J302" s="2087" t="n">
        <v>63</v>
      </c>
      <c r="K302" s="2087">
        <f>AVERAGE(I302:J302)</f>
        <v/>
      </c>
      <c r="L302" s="67" t="n"/>
      <c r="M302" s="77">
        <f>IF(INDEX(MO_SNA_IsHistoricalPeriod,,MATCH(F302,MO_Common_ColumnHeader,0)),"Actual","Estimate")</f>
        <v/>
      </c>
      <c r="N302" s="2087">
        <f>IFERROR(INDEX(INDIRECT(E302),0,MATCH(F302,MO_Common_ColumnHeader,0)),"N/A")</f>
        <v/>
      </c>
      <c r="O302" s="67" t="n"/>
      <c r="P302" s="2169">
        <f>IF(ISNUMBER(N302),N302-K302,"N/A")</f>
        <v/>
      </c>
      <c r="Q302" s="2168">
        <f>IFERROR(IF(ISNUMBER(N302),(N302-K302)/ABS(K302),"N/A"),"N/A")</f>
        <v/>
      </c>
      <c r="R302" s="112" t="n"/>
      <c r="S302" s="80" t="n">
        <v>45131</v>
      </c>
      <c r="T302" s="88" t="inlineStr">
        <is>
          <t>CFO Commentary</t>
        </is>
      </c>
      <c r="U302" s="67" t="n"/>
    </row>
    <row r="303" ht="14.4" customFormat="1" customHeight="1" s="1013">
      <c r="A303" s="114" t="n">
        <v>661</v>
      </c>
      <c r="B303" s="77">
        <f>IF(INDEX(MO_SNA_IsHistoricalPeriod,,MATCH(F303,MO_Common_ColumnHeader,0)),"Historical","Forward")</f>
        <v/>
      </c>
      <c r="C303" s="67" t="n"/>
      <c r="D303" s="84" t="inlineStr">
        <is>
          <t>Acquisition and integration-related costs</t>
        </is>
      </c>
      <c r="E303" s="78" t="n"/>
      <c r="F303" s="77" t="inlineStr">
        <is>
          <t>FY2023</t>
        </is>
      </c>
      <c r="G303" s="77" t="n"/>
      <c r="H303" s="67" t="n"/>
      <c r="I303" s="2087" t="n">
        <v>47</v>
      </c>
      <c r="J303" s="2087" t="n">
        <v>47</v>
      </c>
      <c r="K303" s="2087">
        <f>AVERAGE(I303:J303)</f>
        <v/>
      </c>
      <c r="L303" s="67" t="n"/>
      <c r="M303" s="77">
        <f>IF(INDEX(MO_SNA_IsHistoricalPeriod,,MATCH(F303,MO_Common_ColumnHeader,0)),"Actual","Estimate")</f>
        <v/>
      </c>
      <c r="N303" s="2087">
        <f>IFERROR(INDEX(INDIRECT(E303),0,MATCH(F303,MO_Common_ColumnHeader,0)),"N/A")</f>
        <v/>
      </c>
      <c r="O303" s="67" t="n"/>
      <c r="P303" s="2169">
        <f>IF(ISNUMBER(N303),N303-K303,"N/A")</f>
        <v/>
      </c>
      <c r="Q303" s="2168">
        <f>IFERROR(IF(ISNUMBER(N303),(N303-K303)/ABS(K303),"N/A"),"N/A")</f>
        <v/>
      </c>
      <c r="R303" s="112" t="n"/>
      <c r="S303" s="80" t="n">
        <v>45131</v>
      </c>
      <c r="T303" s="88" t="inlineStr">
        <is>
          <t>CFO Commentary</t>
        </is>
      </c>
      <c r="U303" s="67" t="n"/>
    </row>
    <row r="304" ht="14.4" customFormat="1" customHeight="1" s="1013">
      <c r="A304" s="114" t="n">
        <v>660</v>
      </c>
      <c r="B304" s="77">
        <f>IF(INDEX(MO_SNA_IsHistoricalPeriod,,MATCH(F304,MO_Common_ColumnHeader,0)),"Historical","Forward")</f>
        <v/>
      </c>
      <c r="C304" s="67" t="n"/>
      <c r="D304" s="84" t="inlineStr">
        <is>
          <t>Restructuring and other credits</t>
        </is>
      </c>
      <c r="E304" s="78" t="n"/>
      <c r="F304" s="77" t="inlineStr">
        <is>
          <t>FY2023</t>
        </is>
      </c>
      <c r="G304" s="77" t="n"/>
      <c r="H304" s="67" t="n"/>
      <c r="I304" s="2087" t="n">
        <v>0</v>
      </c>
      <c r="J304" s="2087" t="n">
        <v>0</v>
      </c>
      <c r="K304" s="2087">
        <f>AVERAGE(I304:J304)</f>
        <v/>
      </c>
      <c r="L304" s="67" t="n"/>
      <c r="M304" s="77">
        <f>IF(INDEX(MO_SNA_IsHistoricalPeriod,,MATCH(F304,MO_Common_ColumnHeader,0)),"Actual","Estimate")</f>
        <v/>
      </c>
      <c r="N304" s="2087">
        <f>IFERROR(INDEX(INDIRECT(E304),0,MATCH(F304,MO_Common_ColumnHeader,0)),"N/A")</f>
        <v/>
      </c>
      <c r="O304" s="67" t="n"/>
      <c r="P304" s="2169">
        <f>IF(ISNUMBER(N304),N304-K304,"N/A")</f>
        <v/>
      </c>
      <c r="Q304" s="2168">
        <f>IFERROR(IF(ISNUMBER(N304),(N304-K304)/ABS(K304),"N/A"),"N/A")</f>
        <v/>
      </c>
      <c r="R304" s="112" t="n"/>
      <c r="S304" s="80" t="n">
        <v>45131</v>
      </c>
      <c r="T304" s="88" t="inlineStr">
        <is>
          <t>CFO Commentary</t>
        </is>
      </c>
      <c r="U304" s="67" t="n"/>
    </row>
    <row r="305" ht="14.4" customFormat="1" customHeight="1" s="1013">
      <c r="A305" s="114" t="n">
        <v>659</v>
      </c>
      <c r="B305" s="77">
        <f>IF(INDEX(MO_SNA_IsHistoricalPeriod,,MATCH(F305,MO_Common_ColumnHeader,0)),"Historical","Forward")</f>
        <v/>
      </c>
      <c r="C305" s="67" t="n"/>
      <c r="D305" s="84" t="inlineStr">
        <is>
          <t>Non-Qualified deferred compensation expenses</t>
        </is>
      </c>
      <c r="E305" s="78" t="n"/>
      <c r="F305" s="77" t="inlineStr">
        <is>
          <t>FY2023</t>
        </is>
      </c>
      <c r="G305" s="77" t="n"/>
      <c r="H305" s="67" t="n"/>
      <c r="I305" s="2087" t="n">
        <v>6</v>
      </c>
      <c r="J305" s="2087" t="n">
        <v>6</v>
      </c>
      <c r="K305" s="2087">
        <f>AVERAGE(I305:J305)</f>
        <v/>
      </c>
      <c r="L305" s="67" t="n"/>
      <c r="M305" s="77">
        <f>IF(INDEX(MO_SNA_IsHistoricalPeriod,,MATCH(F305,MO_Common_ColumnHeader,0)),"Actual","Estimate")</f>
        <v/>
      </c>
      <c r="N305" s="2087">
        <f>IFERROR(INDEX(INDIRECT(E305),0,MATCH(F305,MO_Common_ColumnHeader,0)),"N/A")</f>
        <v/>
      </c>
      <c r="O305" s="67" t="n"/>
      <c r="P305" s="2169">
        <f>IF(ISNUMBER(N305),N305-K305,"N/A")</f>
        <v/>
      </c>
      <c r="Q305" s="2168">
        <f>IFERROR(IF(ISNUMBER(N305),(N305-K305)/ABS(K305),"N/A"),"N/A")</f>
        <v/>
      </c>
      <c r="R305" s="112" t="n"/>
      <c r="S305" s="80" t="n">
        <v>45131</v>
      </c>
      <c r="T305" s="88" t="inlineStr">
        <is>
          <t>CFO Commentary</t>
        </is>
      </c>
      <c r="U305" s="67" t="n"/>
    </row>
    <row r="306" ht="14.4" customFormat="1" customHeight="1" s="1013">
      <c r="A306" s="114" t="n">
        <v>658</v>
      </c>
      <c r="B306" s="77">
        <f>IF(INDEX(MO_SNA_IsHistoricalPeriod,,MATCH(F306,MO_Common_ColumnHeader,0)),"Historical","Forward")</f>
        <v/>
      </c>
      <c r="C306" s="67" t="n"/>
      <c r="D306" s="84" t="inlineStr">
        <is>
          <t>Special charges</t>
        </is>
      </c>
      <c r="E306" s="78" t="n"/>
      <c r="F306" s="77" t="inlineStr">
        <is>
          <t>FY2023</t>
        </is>
      </c>
      <c r="G306" s="77" t="n"/>
      <c r="H306" s="67" t="n"/>
      <c r="I306" s="2087" t="n">
        <v>0</v>
      </c>
      <c r="J306" s="2087" t="n">
        <v>0</v>
      </c>
      <c r="K306" s="2087">
        <f>AVERAGE(I306:J306)</f>
        <v/>
      </c>
      <c r="L306" s="67" t="n"/>
      <c r="M306" s="77">
        <f>IF(INDEX(MO_SNA_IsHistoricalPeriod,,MATCH(F306,MO_Common_ColumnHeader,0)),"Actual","Estimate")</f>
        <v/>
      </c>
      <c r="N306" s="2087">
        <f>IFERROR(INDEX(INDIRECT(E306),0,MATCH(F306,MO_Common_ColumnHeader,0)),"N/A")</f>
        <v/>
      </c>
      <c r="O306" s="67" t="n"/>
      <c r="P306" s="2169">
        <f>IF(ISNUMBER(N306),N306-K306,"N/A")</f>
        <v/>
      </c>
      <c r="Q306" s="2168">
        <f>IFERROR(IF(ISNUMBER(N306),(N306-K306)/ABS(K306),"N/A"),"N/A")</f>
        <v/>
      </c>
      <c r="R306" s="112" t="n"/>
      <c r="S306" s="80" t="n">
        <v>45131</v>
      </c>
      <c r="T306" s="88" t="inlineStr">
        <is>
          <t>CFO Commentary</t>
        </is>
      </c>
      <c r="U306" s="67" t="n"/>
    </row>
    <row r="307" ht="14.4" customFormat="1" customHeight="1" s="1013">
      <c r="A307" s="114" t="n">
        <v>657</v>
      </c>
      <c r="B307" s="77">
        <f>IF(INDEX(MO_SNA_IsHistoricalPeriod,,MATCH(F307,MO_Common_ColumnHeader,0)),"Historical","Forward")</f>
        <v/>
      </c>
      <c r="C307" s="67" t="n"/>
      <c r="D307" s="84" t="inlineStr">
        <is>
          <t>GAAP Operating Expenses</t>
        </is>
      </c>
      <c r="E307" s="78" t="n"/>
      <c r="F307" s="77" t="inlineStr">
        <is>
          <t>FY2023</t>
        </is>
      </c>
      <c r="G307" s="77" t="n"/>
      <c r="H307" s="67" t="n"/>
      <c r="I307" s="2087" t="n">
        <v>2818</v>
      </c>
      <c r="J307" s="2087" t="n">
        <v>2818</v>
      </c>
      <c r="K307" s="2087">
        <f>AVERAGE(I307:J307)</f>
        <v/>
      </c>
      <c r="L307" s="67" t="n"/>
      <c r="M307" s="77">
        <f>IF(INDEX(MO_SNA_IsHistoricalPeriod,,MATCH(F307,MO_Common_ColumnHeader,0)),"Actual","Estimate")</f>
        <v/>
      </c>
      <c r="N307" s="2087">
        <f>IFERROR(INDEX(MO_RIS_COGS,0,MATCH(Guidance!F307,MO_Common_ColumnHeader,0))+INDEX(MO_RIS_RD,0,MATCH(Guidance!F307,MO_Common_ColumnHeader,0))+INDEX(MO_RIS_GA,0,MATCH(Guidance!F307,MO_Common_ColumnHeader,0))+INDEX(MO_RIS_SM,0,MATCH(Guidance!F307,MO_Common_ColumnHeader,0)),"N/A")</f>
        <v/>
      </c>
      <c r="O307" s="2072" t="n"/>
      <c r="P307" s="2169">
        <f>IF(ISNUMBER(N307),N307-K307,"N/A")</f>
        <v/>
      </c>
      <c r="Q307" s="2168">
        <f>IFERROR(IF(ISNUMBER(N307),(N307-K307)/ABS(K307),"N/A"),"N/A")</f>
        <v/>
      </c>
      <c r="R307" s="112" t="n"/>
      <c r="S307" s="80" t="n">
        <v>45131</v>
      </c>
      <c r="T307" s="88" t="inlineStr">
        <is>
          <t>CFO Commentary</t>
        </is>
      </c>
      <c r="U307" s="67" t="n"/>
    </row>
    <row r="308" ht="14.4" customFormat="1" customHeight="1" s="1013">
      <c r="A308" s="114" t="n">
        <v>656</v>
      </c>
      <c r="B308" s="77">
        <f>IF(INDEX(MO_SNA_IsHistoricalPeriod,,MATCH(F308,MO_Common_ColumnHeader,0)),"Historical","Forward")</f>
        <v/>
      </c>
      <c r="C308" s="67" t="n"/>
      <c r="D308" s="84" t="inlineStr">
        <is>
          <t>Non-GAAP Operating Expenses</t>
        </is>
      </c>
      <c r="E308" s="78" t="n"/>
      <c r="F308" s="77" t="inlineStr">
        <is>
          <t>FY2023</t>
        </is>
      </c>
      <c r="G308" s="77" t="n"/>
      <c r="H308" s="67" t="n"/>
      <c r="I308" s="2087" t="n">
        <v>2373</v>
      </c>
      <c r="J308" s="2087" t="n">
        <v>2373</v>
      </c>
      <c r="K308" s="2087">
        <f>AVERAGE(I308:J308)</f>
        <v/>
      </c>
      <c r="L308" s="67" t="n"/>
      <c r="M308" s="77">
        <f>IF(INDEX(MO_SNA_IsHistoricalPeriod,,MATCH(F308,MO_Common_ColumnHeader,0)),"Actual","Estimate")</f>
        <v/>
      </c>
      <c r="N308" s="2087">
        <f>IFERROR(INDEX(MO_RIS_REV,0,MATCH(Guidance!F308,MO_Common_ColumnHeader,0))+INDEX(MO_RIS_RD_NONGAAP,0,MATCH(Guidance!F308,MO_Common_ColumnHeader,0))+INDEX(MO_RIS_GA_NONGAAP,0,MATCH(Guidance!F308,MO_Common_ColumnHeader,0))+INDEX(MO_RIS_SM_NONGAAP,0,MATCH(Guidance!F308,MO_Common_ColumnHeader,0))-INDEX(MO_RIS_GP_NONGAAP,0,MATCH(Guidance!F308,MO_Common_ColumnHeader,0)),"N/A")</f>
        <v/>
      </c>
      <c r="O308" s="2072" t="n"/>
      <c r="P308" s="2169">
        <f>IF(ISNUMBER(N308),N308-K308,"N/A")</f>
        <v/>
      </c>
      <c r="Q308" s="2168">
        <f>IFERROR(IF(ISNUMBER(N308),(N308-K308)/ABS(K308),"N/A"),"N/A")</f>
        <v/>
      </c>
      <c r="R308" s="112" t="n"/>
      <c r="S308" s="80" t="n">
        <v>45131</v>
      </c>
      <c r="T308" s="88" t="inlineStr">
        <is>
          <t>CFO Commentary</t>
        </is>
      </c>
      <c r="U308" s="67" t="n"/>
    </row>
    <row r="309" ht="14.4" customFormat="1" customHeight="1" s="1013">
      <c r="A309" s="114" t="n">
        <v>655</v>
      </c>
      <c r="B309" s="67" t="n"/>
      <c r="C309" s="67" t="n"/>
      <c r="D309" s="68" t="n"/>
      <c r="E309" s="69" t="n"/>
      <c r="F309" s="67" t="n"/>
      <c r="G309" s="67" t="n"/>
      <c r="H309" s="67" t="n"/>
      <c r="I309" s="2072" t="n"/>
      <c r="J309" s="2072" t="n"/>
      <c r="K309" s="2072" t="n"/>
      <c r="L309" s="67" t="n"/>
      <c r="M309" s="67" t="n"/>
      <c r="N309" s="2072" t="n"/>
      <c r="O309" s="67" t="n"/>
      <c r="P309" s="2172" t="n"/>
      <c r="Q309" s="2173" t="n"/>
      <c r="R309" s="112" t="n"/>
      <c r="S309" s="112" t="n"/>
      <c r="T309" s="344" t="n"/>
      <c r="U309" s="67" t="n"/>
    </row>
    <row r="310" ht="14.4" customFormat="1" customHeight="1" s="1013">
      <c r="A310" s="114" t="n">
        <v>654</v>
      </c>
      <c r="B310" s="77">
        <f>IF(INDEX(MO_SNA_IsHistoricalPeriod,,MATCH(F310,MO_Common_ColumnHeader,0)),"Historical","Forward")</f>
        <v/>
      </c>
      <c r="C310" s="67" t="n"/>
      <c r="D310" s="84">
        <f>INDEX(INDIRECT(E310),0,COLUMN(MO_Common_Column_A))</f>
        <v/>
      </c>
      <c r="E310" s="78" t="inlineStr">
        <is>
          <t>MO_RIS_REV</t>
        </is>
      </c>
      <c r="F310" s="77" t="inlineStr">
        <is>
          <t>Q3-2023</t>
        </is>
      </c>
      <c r="G310" s="77" t="n"/>
      <c r="H310" s="67" t="n"/>
      <c r="I310" s="2087" t="n">
        <v>990</v>
      </c>
      <c r="J310" s="2087" t="n">
        <v>1010</v>
      </c>
      <c r="K310" s="2087">
        <f>AVERAGE(I310:J310)</f>
        <v/>
      </c>
      <c r="L310" s="67" t="n"/>
      <c r="M310" s="77">
        <f>IF(INDEX(MO_SNA_IsHistoricalPeriod,,MATCH(F310,MO_Common_ColumnHeader,0)),"Actual","Estimate")</f>
        <v/>
      </c>
      <c r="N310" s="2087">
        <f>IFERROR(INDEX(INDIRECT(E310),0,MATCH(F310,MO_Common_ColumnHeader,0)),"N/A")</f>
        <v/>
      </c>
      <c r="O310" s="67" t="n"/>
      <c r="P310" s="2169">
        <f>IF(ISNUMBER(N310),N310-K310,"N/A")</f>
        <v/>
      </c>
      <c r="Q310" s="2168">
        <f>IFERROR(IF(ISNUMBER(N310),(N310-K310)/ABS(K310),"N/A"),"N/A")</f>
        <v/>
      </c>
      <c r="R310" s="112" t="n"/>
      <c r="S310" s="80" t="n">
        <v>45131</v>
      </c>
      <c r="T310" s="88" t="inlineStr">
        <is>
          <t>CFO Commentary</t>
        </is>
      </c>
      <c r="U310" s="67" t="n"/>
    </row>
    <row r="311" ht="14.4" customFormat="1" customHeight="1" s="1013">
      <c r="A311" s="114" t="n">
        <v>653</v>
      </c>
      <c r="B311" s="77">
        <f>IF(INDEX(MO_SNA_IsHistoricalPeriod,,MATCH(F311,MO_Common_ColumnHeader,0)),"Historical","Forward")</f>
        <v/>
      </c>
      <c r="C311" s="67" t="n"/>
      <c r="D311" s="84" t="inlineStr">
        <is>
          <t>GAAP Operating Margin</t>
        </is>
      </c>
      <c r="E311" s="78" t="inlineStr">
        <is>
          <t>MO_MA_EBIT</t>
        </is>
      </c>
      <c r="F311" s="77" t="inlineStr">
        <is>
          <t>Q3-2023</t>
        </is>
      </c>
      <c r="G311" s="77" t="n"/>
      <c r="H311" s="67" t="n"/>
      <c r="I311" s="2108" t="n">
        <v>0.29</v>
      </c>
      <c r="J311" s="2108" t="n">
        <v>0.29</v>
      </c>
      <c r="K311" s="2108">
        <f>AVERAGE(I311:J311)</f>
        <v/>
      </c>
      <c r="L311" s="67" t="n"/>
      <c r="M311" s="77">
        <f>IF(INDEX(MO_SNA_IsHistoricalPeriod,,MATCH(F311,MO_Common_ColumnHeader,0)),"Actual","Estimate")</f>
        <v/>
      </c>
      <c r="N311" s="2108">
        <f>IFERROR(INDEX(INDIRECT(E311),0,MATCH(F311,MO_Common_ColumnHeader,0)),"N/A")</f>
        <v/>
      </c>
      <c r="O311" s="67" t="n"/>
      <c r="P311" s="2168">
        <f>IF(ISNUMBER(N311),N311-K311,"N/A")</f>
        <v/>
      </c>
      <c r="Q311" s="2168">
        <f>IFERROR(IF(ISNUMBER(N311),(N311-K311)/ABS(K311),"N/A"),"N/A")</f>
        <v/>
      </c>
      <c r="R311" s="112" t="n"/>
      <c r="S311" s="80" t="n">
        <v>45131</v>
      </c>
      <c r="T311" s="88" t="inlineStr">
        <is>
          <t>CFO Commentary</t>
        </is>
      </c>
      <c r="U311" s="67" t="n"/>
    </row>
    <row r="312" ht="14.4" customFormat="1" customHeight="1" s="1013">
      <c r="A312" s="114" t="n">
        <v>652</v>
      </c>
      <c r="B312" s="77">
        <f>IF(INDEX(MO_SNA_IsHistoricalPeriod,,MATCH(F312,MO_Common_ColumnHeader,0)),"Historical","Forward")</f>
        <v/>
      </c>
      <c r="C312" s="67" t="n"/>
      <c r="D312" s="84">
        <f>INDEX(INDIRECT(E312),0,COLUMN(MO_Common_Column_A))</f>
        <v/>
      </c>
      <c r="E312" s="78" t="inlineStr">
        <is>
          <t>MO_MA_OperatingIncome_NONGAAP</t>
        </is>
      </c>
      <c r="F312" s="77" t="inlineStr">
        <is>
          <t>Q3-2023</t>
        </is>
      </c>
      <c r="G312" s="77" t="n"/>
      <c r="H312" s="67" t="n"/>
      <c r="I312" s="2108" t="n">
        <v>0.4</v>
      </c>
      <c r="J312" s="2108" t="n">
        <v>0.4</v>
      </c>
      <c r="K312" s="2108">
        <f>AVERAGE(I312:J312)</f>
        <v/>
      </c>
      <c r="L312" s="67" t="n"/>
      <c r="M312" s="77">
        <f>IF(INDEX(MO_SNA_IsHistoricalPeriod,,MATCH(F312,MO_Common_ColumnHeader,0)),"Actual","Estimate")</f>
        <v/>
      </c>
      <c r="N312" s="2108">
        <f>IFERROR(INDEX(INDIRECT(E312),0,MATCH(F312,MO_Common_ColumnHeader,0)),"N/A")</f>
        <v/>
      </c>
      <c r="O312" s="67" t="n"/>
      <c r="P312" s="2168">
        <f>IF(ISNUMBER(N312),N312-K312,"N/A")</f>
        <v/>
      </c>
      <c r="Q312" s="2168">
        <f>IFERROR(IF(ISNUMBER(N312),(N312-K312)/ABS(K312),"N/A"),"N/A")</f>
        <v/>
      </c>
      <c r="R312" s="112" t="n"/>
      <c r="S312" s="80" t="n">
        <v>45131</v>
      </c>
      <c r="T312" s="88" t="inlineStr">
        <is>
          <t>CFO Commentary</t>
        </is>
      </c>
      <c r="U312" s="67" t="n"/>
    </row>
    <row r="313" ht="14.4" customFormat="1" customHeight="1" s="1013">
      <c r="A313" s="114" t="n">
        <v>651</v>
      </c>
      <c r="B313" s="77">
        <f>IF(INDEX(MO_SNA_IsHistoricalPeriod,,MATCH(F313,MO_Common_ColumnHeader,0)),"Historical","Forward")</f>
        <v/>
      </c>
      <c r="C313" s="67" t="n"/>
      <c r="D313" s="84">
        <f>INDEX(INDIRECT(E313),0,COLUMN(MO_Common_Column_A))</f>
        <v/>
      </c>
      <c r="E313" s="78" t="inlineStr">
        <is>
          <t>MO_RIS_EPS_WAD</t>
        </is>
      </c>
      <c r="F313" s="77" t="inlineStr">
        <is>
          <t>Q3-2023</t>
        </is>
      </c>
      <c r="G313" s="77" t="n"/>
      <c r="H313" s="67" t="n"/>
      <c r="I313" s="2170" t="n">
        <v>0.76</v>
      </c>
      <c r="J313" s="2170" t="n">
        <v>0.8</v>
      </c>
      <c r="K313" s="2170">
        <f>AVERAGE(I313:J313)</f>
        <v/>
      </c>
      <c r="L313" s="67" t="n"/>
      <c r="M313" s="77">
        <f>IF(INDEX(MO_SNA_IsHistoricalPeriod,,MATCH(F313,MO_Common_ColumnHeader,0)),"Actual","Estimate")</f>
        <v/>
      </c>
      <c r="N313" s="2170">
        <f>IFERROR(INDEX(INDIRECT(E313),0,MATCH(F313,MO_Common_ColumnHeader,0)),"N/A")</f>
        <v/>
      </c>
      <c r="O313" s="67" t="n"/>
      <c r="P313" s="2171">
        <f>IF(ISNUMBER(N313),N313-K313,"N/A")</f>
        <v/>
      </c>
      <c r="Q313" s="2168">
        <f>IFERROR(IF(ISNUMBER(N313),(N313-K313)/ABS(K313),"N/A"),"N/A")</f>
        <v/>
      </c>
      <c r="R313" s="112" t="n"/>
      <c r="S313" s="80" t="n">
        <v>45131</v>
      </c>
      <c r="T313" s="88" t="inlineStr">
        <is>
          <t>CFO Commentary</t>
        </is>
      </c>
      <c r="U313" s="67" t="n"/>
    </row>
    <row r="314" ht="14.4" customFormat="1" customHeight="1" s="1013">
      <c r="A314" s="114" t="n">
        <v>650</v>
      </c>
      <c r="B314" s="77">
        <f>IF(INDEX(MO_SNA_IsHistoricalPeriod,,MATCH(F314,MO_Common_ColumnHeader,0)),"Historical","Forward")</f>
        <v/>
      </c>
      <c r="C314" s="67" t="n"/>
      <c r="D314" s="84">
        <f>INDEX(INDIRECT(E314),0,COLUMN(MO_Common_Column_A))</f>
        <v/>
      </c>
      <c r="E314" s="78" t="inlineStr">
        <is>
          <t>MO_RIS_EPS_WAD_Adj</t>
        </is>
      </c>
      <c r="F314" s="77" t="inlineStr">
        <is>
          <t>Q3-2023</t>
        </is>
      </c>
      <c r="G314" s="77" t="n"/>
      <c r="H314" s="67" t="n"/>
      <c r="I314" s="2170" t="n">
        <v>1.18</v>
      </c>
      <c r="J314" s="2170" t="n">
        <v>1.22</v>
      </c>
      <c r="K314" s="2170">
        <f>AVERAGE(I314:J314)</f>
        <v/>
      </c>
      <c r="L314" s="67" t="n"/>
      <c r="M314" s="77">
        <f>IF(INDEX(MO_SNA_IsHistoricalPeriod,,MATCH(F314,MO_Common_ColumnHeader,0)),"Actual","Estimate")</f>
        <v/>
      </c>
      <c r="N314" s="2170">
        <f>IFERROR(INDEX(INDIRECT(E314),0,MATCH(F314,MO_Common_ColumnHeader,0)),"N/A")</f>
        <v/>
      </c>
      <c r="O314" s="67" t="n"/>
      <c r="P314" s="2171">
        <f>IF(ISNUMBER(N314),N314-K314,"N/A")</f>
        <v/>
      </c>
      <c r="Q314" s="2168">
        <f>IFERROR(IF(ISNUMBER(N314),(N314-K314)/ABS(K314),"N/A"),"N/A")</f>
        <v/>
      </c>
      <c r="R314" s="112" t="n"/>
      <c r="S314" s="80" t="n">
        <v>45131</v>
      </c>
      <c r="T314" s="88" t="inlineStr">
        <is>
          <t>CFO Commentary</t>
        </is>
      </c>
      <c r="U314" s="67" t="n"/>
    </row>
    <row r="315" ht="14.4" customFormat="1" customHeight="1" s="1013">
      <c r="A315" s="114" t="n">
        <v>649</v>
      </c>
      <c r="B315" s="77">
        <f>IF(INDEX(MO_SNA_IsHistoricalPeriod,,MATCH(F315,MO_Common_ColumnHeader,0)),"Historical","Forward")</f>
        <v/>
      </c>
      <c r="C315" s="67" t="n"/>
      <c r="D315" s="84">
        <f>INDEX(INDIRECT(E315),0,COLUMN(MO_Common_Column_A))</f>
        <v/>
      </c>
      <c r="E315" s="78" t="inlineStr">
        <is>
          <t>MO_CFSum_NetShares</t>
        </is>
      </c>
      <c r="F315" s="77" t="inlineStr">
        <is>
          <t>Q3-2023</t>
        </is>
      </c>
      <c r="G315" s="77" t="n"/>
      <c r="H315" s="67" t="n"/>
      <c r="I315" s="2087" t="n">
        <v>-125</v>
      </c>
      <c r="J315" s="2087" t="n">
        <v>-125</v>
      </c>
      <c r="K315" s="2087">
        <f>AVERAGE(I315:J315)</f>
        <v/>
      </c>
      <c r="L315" s="67" t="n"/>
      <c r="M315" s="77">
        <f>IF(INDEX(MO_SNA_IsHistoricalPeriod,,MATCH(F315,MO_Common_ColumnHeader,0)),"Actual","Estimate")</f>
        <v/>
      </c>
      <c r="N315" s="2087">
        <f>IFERROR(INDEX(INDIRECT(E315),0,MATCH(F315,MO_Common_ColumnHeader,0)),"N/A")</f>
        <v/>
      </c>
      <c r="O315" s="67" t="n"/>
      <c r="P315" s="2169">
        <f>IF(ISNUMBER(N315),N315-K315,"N/A")</f>
        <v/>
      </c>
      <c r="Q315" s="2168">
        <f>IFERROR(IF(ISNUMBER(N315),(N315-K315)/ABS(K315),"N/A"),"N/A")</f>
        <v/>
      </c>
      <c r="R315" s="112" t="n"/>
      <c r="S315" s="80" t="n">
        <v>45131</v>
      </c>
      <c r="T315" s="88" t="inlineStr">
        <is>
          <t>CFO Commentary</t>
        </is>
      </c>
      <c r="U315" s="67" t="n"/>
    </row>
    <row r="316" ht="14.4" customFormat="1" customHeight="1" s="1013">
      <c r="A316" s="114" t="n">
        <v>648</v>
      </c>
      <c r="B316" s="67" t="n"/>
      <c r="C316" s="67" t="n"/>
      <c r="D316" s="68" t="n"/>
      <c r="E316" s="69" t="n"/>
      <c r="F316" s="67" t="n"/>
      <c r="G316" s="67" t="n"/>
      <c r="H316" s="67" t="n"/>
      <c r="I316" s="2072" t="n"/>
      <c r="J316" s="2072" t="n"/>
      <c r="K316" s="2072" t="n"/>
      <c r="L316" s="67" t="n"/>
      <c r="M316" s="67" t="n"/>
      <c r="N316" s="2072" t="n"/>
      <c r="O316" s="67" t="n"/>
      <c r="P316" s="2172" t="n"/>
      <c r="Q316" s="2173" t="n"/>
      <c r="R316" s="112" t="n"/>
      <c r="S316" s="112" t="n"/>
      <c r="T316" s="344" t="n"/>
      <c r="U316" s="67" t="n"/>
    </row>
    <row r="317" ht="14.4" customFormat="1" customHeight="1" s="1013">
      <c r="A317" s="114" t="n">
        <v>647</v>
      </c>
      <c r="B317" s="77">
        <f>IF(INDEX(MO_SNA_IsHistoricalPeriod,,MATCH(F317,MO_Common_ColumnHeader,0)),"Historical","Forward")</f>
        <v/>
      </c>
      <c r="C317" s="67" t="n"/>
      <c r="D317" s="84" t="inlineStr">
        <is>
          <t>Recurring Revenue %</t>
        </is>
      </c>
      <c r="E317" s="78" t="n"/>
      <c r="F317" s="77" t="inlineStr">
        <is>
          <t>FY2023</t>
        </is>
      </c>
      <c r="G317" s="77" t="n"/>
      <c r="H317" s="67" t="n"/>
      <c r="I317" s="2108" t="n">
        <v>0.85</v>
      </c>
      <c r="J317" s="2108" t="n">
        <v>0.85</v>
      </c>
      <c r="K317" s="2108">
        <f>AVERAGE(I317:J317)</f>
        <v/>
      </c>
      <c r="L317" s="67" t="n"/>
      <c r="M317" s="77">
        <f>IF(INDEX(MO_SNA_IsHistoricalPeriod,,MATCH(F317,MO_Common_ColumnHeader,0)),"Actual","Estimate")</f>
        <v/>
      </c>
      <c r="N317" s="2108">
        <f>IFERROR(INDEX(INDIRECT(E317),0,MATCH(F317,MO_Common_ColumnHeader,0)),"N/A")</f>
        <v/>
      </c>
      <c r="O317" s="2072" t="n"/>
      <c r="P317" s="2168">
        <f>IF(ISNUMBER(N317),N317-K317,"N/A")</f>
        <v/>
      </c>
      <c r="Q317" s="2168">
        <f>IFERROR(IF(ISNUMBER(N317),(N317-K317)/ABS(K317),"N/A"),"N/A")</f>
        <v/>
      </c>
      <c r="R317" s="112" t="n"/>
      <c r="S317" s="80" t="n">
        <v>45040</v>
      </c>
      <c r="T317" s="88" t="inlineStr">
        <is>
          <t>CFO Commentary</t>
        </is>
      </c>
      <c r="U317" s="67" t="n"/>
    </row>
    <row r="318" ht="14.4" customFormat="1" customHeight="1" s="1013">
      <c r="A318" s="114" t="n">
        <v>646</v>
      </c>
      <c r="B318" s="77">
        <f>IF(INDEX(MO_SNA_IsHistoricalPeriod,,MATCH(F318,MO_Common_ColumnHeader,0)),"Historical","Forward")</f>
        <v/>
      </c>
      <c r="C318" s="67" t="n"/>
      <c r="D318" s="84" t="inlineStr">
        <is>
          <t>Revenue from Beginning Backlog %</t>
        </is>
      </c>
      <c r="E318" s="78" t="n"/>
      <c r="F318" s="77" t="inlineStr">
        <is>
          <t>FY2023</t>
        </is>
      </c>
      <c r="G318" s="77" t="n"/>
      <c r="H318" s="67" t="n"/>
      <c r="I318" s="2108" t="n">
        <v>0.75</v>
      </c>
      <c r="J318" s="2108" t="n">
        <v>0.75</v>
      </c>
      <c r="K318" s="2108">
        <f>AVERAGE(I318:J318)</f>
        <v/>
      </c>
      <c r="L318" s="67" t="n"/>
      <c r="M318" s="77">
        <f>IF(INDEX(MO_SNA_IsHistoricalPeriod,,MATCH(F318,MO_Common_ColumnHeader,0)),"Actual","Estimate")</f>
        <v/>
      </c>
      <c r="N318" s="2108">
        <f>IFERROR(INDEX(INDIRECT(E318),0,MATCH(F318,MO_Common_ColumnHeader,0)),"N/A")</f>
        <v/>
      </c>
      <c r="O318" s="2072" t="n"/>
      <c r="P318" s="2168">
        <f>IF(ISNUMBER(N318),N318-K318,"N/A")</f>
        <v/>
      </c>
      <c r="Q318" s="2168">
        <f>IFERROR(IF(ISNUMBER(N318),(N318-K318)/ABS(K318),"N/A"),"N/A")</f>
        <v/>
      </c>
      <c r="R318" s="112" t="n"/>
      <c r="S318" s="80" t="n">
        <v>45040</v>
      </c>
      <c r="T318" s="88" t="inlineStr">
        <is>
          <t>CFO Commentary</t>
        </is>
      </c>
      <c r="U318" s="67" t="n"/>
    </row>
    <row r="319" ht="14.4" customFormat="1" customHeight="1" s="1013">
      <c r="A319" s="114" t="n">
        <v>645</v>
      </c>
      <c r="B319" s="77">
        <f>IF(INDEX(MO_SNA_IsHistoricalPeriod,,MATCH(F319,MO_Common_ColumnHeader,0)),"Historical","Forward")</f>
        <v/>
      </c>
      <c r="C319" s="67" t="n"/>
      <c r="D319" s="84">
        <f>INDEX(INDIRECT(E319),0,COLUMN(MO_Common_Column_A))</f>
        <v/>
      </c>
      <c r="E319" s="78" t="inlineStr">
        <is>
          <t>MO_RIS_REV</t>
        </is>
      </c>
      <c r="F319" s="77" t="inlineStr">
        <is>
          <t>FY2023</t>
        </is>
      </c>
      <c r="G319" s="77" t="n"/>
      <c r="H319" s="67" t="n"/>
      <c r="I319" s="2087" t="n">
        <v>4030</v>
      </c>
      <c r="J319" s="2087" t="n">
        <v>4070</v>
      </c>
      <c r="K319" s="2087">
        <f>AVERAGE(I319:J319)</f>
        <v/>
      </c>
      <c r="L319" s="67" t="n"/>
      <c r="M319" s="77">
        <f>IF(INDEX(MO_SNA_IsHistoricalPeriod,,MATCH(F319,MO_Common_ColumnHeader,0)),"Actual","Estimate")</f>
        <v/>
      </c>
      <c r="N319" s="2087">
        <f>IFERROR(INDEX(INDIRECT(E319),0,MATCH(F319,MO_Common_ColumnHeader,0)),"N/A")</f>
        <v/>
      </c>
      <c r="O319" s="2072" t="n"/>
      <c r="P319" s="2169">
        <f>IF(ISNUMBER(N319),N319-K319,"N/A")</f>
        <v/>
      </c>
      <c r="Q319" s="2168">
        <f>IFERROR(IF(ISNUMBER(N319),(N319-K319)/ABS(K319),"N/A"),"N/A")</f>
        <v/>
      </c>
      <c r="R319" s="112" t="n"/>
      <c r="S319" s="80" t="n">
        <v>45040</v>
      </c>
      <c r="T319" s="88" t="inlineStr">
        <is>
          <t>CFO Commentary</t>
        </is>
      </c>
      <c r="U319" s="67" t="n"/>
    </row>
    <row r="320" ht="14.4" customFormat="1" customHeight="1" s="1013">
      <c r="A320" s="114" t="n">
        <v>644</v>
      </c>
      <c r="B320" s="77">
        <f>IF(INDEX(MO_SNA_IsHistoricalPeriod,,MATCH(F320,MO_Common_ColumnHeader,0)),"Historical","Forward")</f>
        <v/>
      </c>
      <c r="C320" s="67" t="n"/>
      <c r="D320" s="84" t="inlineStr">
        <is>
          <t>GAAP Operating Margin</t>
        </is>
      </c>
      <c r="E320" s="78" t="inlineStr">
        <is>
          <t>MO_MA_EBIT</t>
        </is>
      </c>
      <c r="F320" s="77" t="inlineStr">
        <is>
          <t>FY2023</t>
        </is>
      </c>
      <c r="G320" s="77" t="n"/>
      <c r="H320" s="67" t="n"/>
      <c r="I320" s="2108" t="n">
        <v>0.3</v>
      </c>
      <c r="J320" s="2108" t="n">
        <v>0.31</v>
      </c>
      <c r="K320" s="2108">
        <f>AVERAGE(I320:J320)</f>
        <v/>
      </c>
      <c r="L320" s="67" t="n"/>
      <c r="M320" s="77">
        <f>IF(INDEX(MO_SNA_IsHistoricalPeriod,,MATCH(F320,MO_Common_ColumnHeader,0)),"Actual","Estimate")</f>
        <v/>
      </c>
      <c r="N320" s="2108">
        <f>IFERROR(INDEX(INDIRECT(E320),0,MATCH(F320,MO_Common_ColumnHeader,0)),"N/A")</f>
        <v/>
      </c>
      <c r="O320" s="67" t="n"/>
      <c r="P320" s="2168">
        <f>IF(ISNUMBER(N320),N320-K320,"N/A")</f>
        <v/>
      </c>
      <c r="Q320" s="2168">
        <f>IFERROR(IF(ISNUMBER(N320),(N320-K320)/ABS(K320),"N/A"),"N/A")</f>
        <v/>
      </c>
      <c r="R320" s="112" t="n"/>
      <c r="S320" s="80" t="n">
        <v>45040</v>
      </c>
      <c r="T320" s="88" t="inlineStr">
        <is>
          <t>CFO Commentary</t>
        </is>
      </c>
      <c r="U320" s="67" t="n"/>
    </row>
    <row r="321" ht="14.4" customFormat="1" customHeight="1" s="1013">
      <c r="A321" s="114" t="n">
        <v>643</v>
      </c>
      <c r="B321" s="77">
        <f>IF(INDEX(MO_SNA_IsHistoricalPeriod,,MATCH(F321,MO_Common_ColumnHeader,0)),"Historical","Forward")</f>
        <v/>
      </c>
      <c r="C321" s="67" t="n"/>
      <c r="D321" s="84">
        <f>INDEX(INDIRECT(E321),0,COLUMN(MO_Common_Column_A))</f>
        <v/>
      </c>
      <c r="E321" s="78" t="inlineStr">
        <is>
          <t>MO_MA_OperatingIncome_NONGAAP</t>
        </is>
      </c>
      <c r="F321" s="77" t="inlineStr">
        <is>
          <t>FY2023</t>
        </is>
      </c>
      <c r="G321" s="77" t="n"/>
      <c r="H321" s="67" t="n"/>
      <c r="I321" s="2108" t="n">
        <v>0.41</v>
      </c>
      <c r="J321" s="2108" t="n">
        <v>0.42</v>
      </c>
      <c r="K321" s="2108">
        <f>AVERAGE(I321:J321)</f>
        <v/>
      </c>
      <c r="L321" s="67" t="n"/>
      <c r="M321" s="77">
        <f>IF(INDEX(MO_SNA_IsHistoricalPeriod,,MATCH(F321,MO_Common_ColumnHeader,0)),"Actual","Estimate")</f>
        <v/>
      </c>
      <c r="N321" s="2108">
        <f>IFERROR(INDEX(INDIRECT(E321),0,MATCH(F321,MO_Common_ColumnHeader,0)),"N/A")</f>
        <v/>
      </c>
      <c r="O321" s="67" t="n"/>
      <c r="P321" s="2168">
        <f>IF(ISNUMBER(N321),N321-K321,"N/A")</f>
        <v/>
      </c>
      <c r="Q321" s="2168">
        <f>IFERROR(IF(ISNUMBER(N321),(N321-K321)/ABS(K321),"N/A"),"N/A")</f>
        <v/>
      </c>
      <c r="R321" s="112" t="n"/>
      <c r="S321" s="80" t="n">
        <v>45040</v>
      </c>
      <c r="T321" s="88" t="inlineStr">
        <is>
          <t>CFO Commentary</t>
        </is>
      </c>
      <c r="U321" s="67" t="n"/>
    </row>
    <row r="322" ht="14.4" customFormat="1" customHeight="1" s="1013">
      <c r="A322" s="114" t="n">
        <v>642</v>
      </c>
      <c r="B322" s="77">
        <f>IF(INDEX(MO_SNA_IsHistoricalPeriod,,MATCH(F322,MO_Common_ColumnHeader,0)),"Historical","Forward")</f>
        <v/>
      </c>
      <c r="C322" s="67" t="n"/>
      <c r="D322" s="84">
        <f>INDEX(INDIRECT(E322),0,COLUMN(MO_Common_Column_A))</f>
        <v/>
      </c>
      <c r="E322" s="78" t="inlineStr">
        <is>
          <t>MO_RIS_EPS_WAD</t>
        </is>
      </c>
      <c r="F322" s="77" t="inlineStr">
        <is>
          <t>FY2023</t>
        </is>
      </c>
      <c r="G322" s="77" t="n"/>
      <c r="H322" s="67" t="n"/>
      <c r="I322" s="2170" t="n">
        <v>3.26</v>
      </c>
      <c r="J322" s="2170" t="n">
        <v>3.34</v>
      </c>
      <c r="K322" s="2170">
        <f>AVERAGE(I322:J322)</f>
        <v/>
      </c>
      <c r="L322" s="67" t="n"/>
      <c r="M322" s="77">
        <f>IF(INDEX(MO_SNA_IsHistoricalPeriod,,MATCH(F322,MO_Common_ColumnHeader,0)),"Actual","Estimate")</f>
        <v/>
      </c>
      <c r="N322" s="2170">
        <f>IFERROR(INDEX(INDIRECT(E322),0,MATCH(F322,MO_Common_ColumnHeader,0)),"N/A")</f>
        <v/>
      </c>
      <c r="O322" s="67" t="n"/>
      <c r="P322" s="2171">
        <f>IF(ISNUMBER(N322),N322-K322,"N/A")</f>
        <v/>
      </c>
      <c r="Q322" s="2168">
        <f>IFERROR(IF(ISNUMBER(N322),(N322-K322)/ABS(K322),"N/A"),"N/A")</f>
        <v/>
      </c>
      <c r="R322" s="112" t="n"/>
      <c r="S322" s="80" t="n">
        <v>45040</v>
      </c>
      <c r="T322" s="88" t="inlineStr">
        <is>
          <t>CFO Commentary</t>
        </is>
      </c>
      <c r="U322" s="67" t="n"/>
    </row>
    <row r="323" ht="14.4" customFormat="1" customHeight="1" s="1013">
      <c r="A323" s="114" t="n">
        <v>641</v>
      </c>
      <c r="B323" s="77">
        <f>IF(INDEX(MO_SNA_IsHistoricalPeriod,,MATCH(F323,MO_Common_ColumnHeader,0)),"Historical","Forward")</f>
        <v/>
      </c>
      <c r="C323" s="67" t="n"/>
      <c r="D323" s="84">
        <f>INDEX(INDIRECT(E323),0,COLUMN(MO_Common_Column_A))</f>
        <v/>
      </c>
      <c r="E323" s="78" t="inlineStr">
        <is>
          <t>MO_RIS_EPS_WAD_Adj</t>
        </is>
      </c>
      <c r="F323" s="77" t="inlineStr">
        <is>
          <t>FY2023</t>
        </is>
      </c>
      <c r="G323" s="77" t="n"/>
      <c r="H323" s="67" t="n"/>
      <c r="I323" s="2170" t="n">
        <v>4.96</v>
      </c>
      <c r="J323" s="2170" t="n">
        <v>5.04</v>
      </c>
      <c r="K323" s="2170">
        <f>AVERAGE(I323:J323)</f>
        <v/>
      </c>
      <c r="L323" s="67" t="n"/>
      <c r="M323" s="77">
        <f>IF(INDEX(MO_SNA_IsHistoricalPeriod,,MATCH(F323,MO_Common_ColumnHeader,0)),"Actual","Estimate")</f>
        <v/>
      </c>
      <c r="N323" s="2170">
        <f>IFERROR(INDEX(INDIRECT(E323),0,MATCH(F323,MO_Common_ColumnHeader,0)),"N/A")</f>
        <v/>
      </c>
      <c r="O323" s="67" t="n"/>
      <c r="P323" s="2171">
        <f>IF(ISNUMBER(N323),N323-K323,"N/A")</f>
        <v/>
      </c>
      <c r="Q323" s="2168">
        <f>IFERROR(IF(ISNUMBER(N323),(N323-K323)/ABS(K323),"N/A"),"N/A")</f>
        <v/>
      </c>
      <c r="R323" s="112" t="n"/>
      <c r="S323" s="80" t="n">
        <v>45040</v>
      </c>
      <c r="T323" s="88" t="inlineStr">
        <is>
          <t>CFO Commentary</t>
        </is>
      </c>
      <c r="U323" s="67" t="n"/>
    </row>
    <row r="324" ht="14.4" customFormat="1" customHeight="1" s="1013">
      <c r="A324" s="114" t="n">
        <v>640</v>
      </c>
      <c r="B324" s="77">
        <f>IF(INDEX(MO_SNA_IsHistoricalPeriod,,MATCH(F324,MO_Common_ColumnHeader,0)),"Historical","Forward")</f>
        <v/>
      </c>
      <c r="C324" s="67" t="n"/>
      <c r="D324" s="84">
        <f>INDEX(INDIRECT(E324),0,COLUMN(MO_Common_Column_A))</f>
        <v/>
      </c>
      <c r="E324" s="78" t="inlineStr">
        <is>
          <t>MO_CFS_CFO</t>
        </is>
      </c>
      <c r="F324" s="77" t="inlineStr">
        <is>
          <t>FY2023</t>
        </is>
      </c>
      <c r="G324" s="77" t="n"/>
      <c r="H324" s="67" t="n"/>
      <c r="I324" s="2087" t="n">
        <v>1300</v>
      </c>
      <c r="J324" s="2087" t="n">
        <v>1400</v>
      </c>
      <c r="K324" s="2087">
        <f>AVERAGE(I324:J324)</f>
        <v/>
      </c>
      <c r="L324" s="67" t="n"/>
      <c r="M324" s="77">
        <f>IF(INDEX(MO_SNA_IsHistoricalPeriod,,MATCH(F324,MO_Common_ColumnHeader,0)),"Actual","Estimate")</f>
        <v/>
      </c>
      <c r="N324" s="2087">
        <f>IFERROR(INDEX(INDIRECT(E324),0,MATCH(F324,MO_Common_ColumnHeader,0)),"N/A")</f>
        <v/>
      </c>
      <c r="O324" s="67" t="n"/>
      <c r="P324" s="2169">
        <f>IF(ISNUMBER(N324),N324-K324,"N/A")</f>
        <v/>
      </c>
      <c r="Q324" s="2168">
        <f>IFERROR(IF(ISNUMBER(N324),(N324-K324)/ABS(K324),"N/A"),"N/A")</f>
        <v/>
      </c>
      <c r="R324" s="112" t="n"/>
      <c r="S324" s="80" t="n">
        <v>45040</v>
      </c>
      <c r="T324" s="88" t="inlineStr">
        <is>
          <t>CFO Commentary</t>
        </is>
      </c>
      <c r="U324" s="67" t="n"/>
    </row>
    <row r="325" ht="14.4" customFormat="1" customHeight="1" s="1013">
      <c r="A325" s="114" t="n">
        <v>639</v>
      </c>
      <c r="B325" s="77">
        <f>IF(INDEX(MO_SNA_IsHistoricalPeriod,,MATCH(F325,MO_Common_ColumnHeader,0)),"Historical","Forward")</f>
        <v/>
      </c>
      <c r="C325" s="67" t="n"/>
      <c r="D325" s="84" t="inlineStr">
        <is>
          <t>GAAP Other Income &amp; Expense</t>
        </is>
      </c>
      <c r="E325" s="78" t="n"/>
      <c r="F325" s="77" t="inlineStr">
        <is>
          <t>FY2023</t>
        </is>
      </c>
      <c r="G325" s="77" t="n"/>
      <c r="H325" s="67" t="n"/>
      <c r="I325" s="2087" t="n">
        <v>-24</v>
      </c>
      <c r="J325" s="2087" t="n">
        <v>-18</v>
      </c>
      <c r="K325" s="2087">
        <f>AVERAGE(I325:J325)</f>
        <v/>
      </c>
      <c r="L325" s="67" t="n"/>
      <c r="M325" s="77">
        <f>IF(INDEX(MO_SNA_IsHistoricalPeriod,,MATCH(F325,MO_Common_ColumnHeader,0)),"Actual","Estimate")</f>
        <v/>
      </c>
      <c r="N325" s="2087">
        <f>-IFERROR(INDEX(MO_RIS_IE_Net,0,MATCH(F325,MO_Common_ColumnHeader,0)),"N/A")-IFERROR(INDEX(MO_RIS_OI,0,MATCH(F325,MO_Common_ColumnHeader,0)),"N/A")</f>
        <v/>
      </c>
      <c r="O325" s="67" t="n"/>
      <c r="P325" s="2169">
        <f>IF(ISNUMBER(N325),N325-K325,"N/A")</f>
        <v/>
      </c>
      <c r="Q325" s="2168">
        <f>IFERROR(IF(ISNUMBER(N325),(N325-K325)/ABS(K325),"N/A"),"N/A")</f>
        <v/>
      </c>
      <c r="R325" s="112" t="n"/>
      <c r="S325" s="80" t="n">
        <v>45040</v>
      </c>
      <c r="T325" s="88" t="inlineStr">
        <is>
          <t>CFO Commentary</t>
        </is>
      </c>
      <c r="U325" s="67" t="n"/>
    </row>
    <row r="326" ht="14.4" customFormat="1" customHeight="1" s="1013">
      <c r="A326" s="114" t="n">
        <v>638</v>
      </c>
      <c r="B326" s="77">
        <f>IF(INDEX(MO_SNA_IsHistoricalPeriod,,MATCH(F326,MO_Common_ColumnHeader,0)),"Historical","Forward")</f>
        <v/>
      </c>
      <c r="C326" s="67" t="n"/>
      <c r="D326" s="84" t="inlineStr">
        <is>
          <t>Non-GAAP Other Income &amp; Expense</t>
        </is>
      </c>
      <c r="E326" s="78" t="n"/>
      <c r="F326" s="77" t="inlineStr">
        <is>
          <t>FY2023</t>
        </is>
      </c>
      <c r="G326" s="77" t="n"/>
      <c r="H326" s="67" t="n"/>
      <c r="I326" s="2087" t="n">
        <v>-27</v>
      </c>
      <c r="J326" s="2087" t="n">
        <v>-21</v>
      </c>
      <c r="K326" s="2087">
        <f>AVERAGE(I326:J326)</f>
        <v/>
      </c>
      <c r="L326" s="67" t="n"/>
      <c r="M326" s="77">
        <f>IF(INDEX(MO_SNA_IsHistoricalPeriod,,MATCH(F326,MO_Common_ColumnHeader,0)),"Actual","Estimate")</f>
        <v/>
      </c>
      <c r="N326" s="2087">
        <f>-IFERROR(INDEX(MO_RIS_IE_Net_NONGAAP,0,MATCH(F326,MO_Common_ColumnHeader,0)),"N/A")-IFERROR(INDEX(MO_RIS_OI_NONGAAP,0,MATCH(F326,MO_Common_ColumnHeader,0)),"N/A")</f>
        <v/>
      </c>
      <c r="O326" s="67" t="n"/>
      <c r="P326" s="2169">
        <f>IF(ISNUMBER(N326),N326-K326,"N/A")</f>
        <v/>
      </c>
      <c r="Q326" s="2168">
        <f>IFERROR(IF(ISNUMBER(N326),(N326-K326)/ABS(K326),"N/A"),"N/A")</f>
        <v/>
      </c>
      <c r="R326" s="112" t="n"/>
      <c r="S326" s="80" t="n">
        <v>45040</v>
      </c>
      <c r="T326" s="88" t="inlineStr">
        <is>
          <t>CFO Commentary</t>
        </is>
      </c>
      <c r="U326" s="67" t="n"/>
    </row>
    <row r="327" ht="14.4" customFormat="1" customHeight="1" s="1013">
      <c r="A327" s="114" t="n">
        <v>637</v>
      </c>
      <c r="B327" s="77">
        <f>IF(INDEX(MO_SNA_IsHistoricalPeriod,,MATCH(F327,MO_Common_ColumnHeader,0)),"Historical","Forward")</f>
        <v/>
      </c>
      <c r="C327" s="67" t="n"/>
      <c r="D327" s="84" t="inlineStr">
        <is>
          <t>GAAP Tax Rate</t>
        </is>
      </c>
      <c r="E327" s="78" t="inlineStr">
        <is>
          <t>MO_RIS_TaxRate</t>
        </is>
      </c>
      <c r="F327" s="77" t="inlineStr">
        <is>
          <t>FY2023</t>
        </is>
      </c>
      <c r="G327" s="77" t="n"/>
      <c r="H327" s="67" t="n"/>
      <c r="I327" s="2108" t="n">
        <v>0.26</v>
      </c>
      <c r="J327" s="2108" t="n">
        <v>0.26</v>
      </c>
      <c r="K327" s="2108">
        <f>AVERAGE(I327:J327)</f>
        <v/>
      </c>
      <c r="L327" s="67" t="n"/>
      <c r="M327" s="77">
        <f>IF(INDEX(MO_SNA_IsHistoricalPeriod,,MATCH(F327,MO_Common_ColumnHeader,0)),"Actual","Estimate")</f>
        <v/>
      </c>
      <c r="N327" s="2108">
        <f>IFERROR(INDEX(INDIRECT(E327),0,MATCH(F327,MO_Common_ColumnHeader,0)),"N/A")</f>
        <v/>
      </c>
      <c r="O327" s="67" t="n"/>
      <c r="P327" s="2168">
        <f>IF(ISNUMBER(N327),N327-K327,"N/A")</f>
        <v/>
      </c>
      <c r="Q327" s="2168">
        <f>IFERROR(IF(ISNUMBER(N327),(N327-K327)/ABS(K327),"N/A"),"N/A")</f>
        <v/>
      </c>
      <c r="R327" s="112" t="n"/>
      <c r="S327" s="80" t="n">
        <v>45040</v>
      </c>
      <c r="T327" s="88" t="inlineStr">
        <is>
          <t>CFO Commentary</t>
        </is>
      </c>
      <c r="U327" s="67" t="n"/>
    </row>
    <row r="328" ht="14.4" customFormat="1" customHeight="1" s="1013">
      <c r="A328" s="114" t="n">
        <v>636</v>
      </c>
      <c r="B328" s="77">
        <f>IF(INDEX(MO_SNA_IsHistoricalPeriod,,MATCH(F328,MO_Common_ColumnHeader,0)),"Historical","Forward")</f>
        <v/>
      </c>
      <c r="C328" s="67" t="n"/>
      <c r="D328" s="84">
        <f>INDEX(INDIRECT(E328),0,COLUMN(MO_Common_Column_A))</f>
        <v/>
      </c>
      <c r="E328" s="78" t="inlineStr">
        <is>
          <t>MO_RIS_TaxRate_NONGAAP</t>
        </is>
      </c>
      <c r="F328" s="77" t="inlineStr">
        <is>
          <t>FY2023</t>
        </is>
      </c>
      <c r="G328" s="77" t="n"/>
      <c r="H328" s="67" t="n"/>
      <c r="I328" s="2108" t="n">
        <v>0.175</v>
      </c>
      <c r="J328" s="2108" t="n">
        <v>0.175</v>
      </c>
      <c r="K328" s="2108">
        <f>AVERAGE(I328:J328)</f>
        <v/>
      </c>
      <c r="L328" s="67" t="n"/>
      <c r="M328" s="77">
        <f>IF(INDEX(MO_SNA_IsHistoricalPeriod,,MATCH(F328,MO_Common_ColumnHeader,0)),"Actual","Estimate")</f>
        <v/>
      </c>
      <c r="N328" s="2108">
        <f>IFERROR(INDEX(INDIRECT(E328),0,MATCH(F328,MO_Common_ColumnHeader,0)),"N/A")</f>
        <v/>
      </c>
      <c r="O328" s="67" t="n"/>
      <c r="P328" s="2168">
        <f>IF(ISNUMBER(N328),N328-K328,"N/A")</f>
        <v/>
      </c>
      <c r="Q328" s="2168">
        <f>IFERROR(IF(ISNUMBER(N328),(N328-K328)/ABS(K328),"N/A"),"N/A")</f>
        <v/>
      </c>
      <c r="R328" s="112" t="n"/>
      <c r="S328" s="80" t="n">
        <v>45040</v>
      </c>
      <c r="T328" s="88" t="inlineStr">
        <is>
          <t>CFO Commentary</t>
        </is>
      </c>
      <c r="U328" s="67" t="n"/>
    </row>
    <row r="329" ht="14.4" customFormat="1" customHeight="1" s="1013">
      <c r="A329" s="114" t="n">
        <v>635</v>
      </c>
      <c r="B329" s="77">
        <f>IF(INDEX(MO_SNA_IsHistoricalPeriod,,MATCH(F329,MO_Common_ColumnHeader,0)),"Historical","Forward")</f>
        <v/>
      </c>
      <c r="C329" s="67" t="n"/>
      <c r="D329" s="84">
        <f>INDEX(INDIRECT(E329),0,COLUMN(MO_Common_Column_A))</f>
        <v/>
      </c>
      <c r="E329" s="78" t="inlineStr">
        <is>
          <t>MO_RIS_ShareCount_WAD</t>
        </is>
      </c>
      <c r="F329" s="77" t="inlineStr">
        <is>
          <t>FY2023</t>
        </is>
      </c>
      <c r="G329" s="77" t="n"/>
      <c r="H329" s="67" t="n"/>
      <c r="I329" s="2087" t="n">
        <v>272</v>
      </c>
      <c r="J329" s="2087" t="n">
        <v>274</v>
      </c>
      <c r="K329" s="2087">
        <f>AVERAGE(I329:J329)</f>
        <v/>
      </c>
      <c r="L329" s="67" t="n"/>
      <c r="M329" s="77">
        <f>IF(INDEX(MO_SNA_IsHistoricalPeriod,,MATCH(F329,MO_Common_ColumnHeader,0)),"Actual","Estimate")</f>
        <v/>
      </c>
      <c r="N329" s="2087">
        <f>IFERROR(INDEX(INDIRECT(E329),0,MATCH(F329,MO_Common_ColumnHeader,0)),"N/A")</f>
        <v/>
      </c>
      <c r="O329" s="67" t="n"/>
      <c r="P329" s="2169">
        <f>IF(ISNUMBER(N329),N329-K329,"N/A")</f>
        <v/>
      </c>
      <c r="Q329" s="2168">
        <f>IFERROR(IF(ISNUMBER(N329),(N329-K329)/ABS(K329),"N/A"),"N/A")</f>
        <v/>
      </c>
      <c r="R329" s="112" t="n"/>
      <c r="S329" s="80" t="n">
        <v>45040</v>
      </c>
      <c r="T329" s="88" t="inlineStr">
        <is>
          <t>CFO Commentary</t>
        </is>
      </c>
      <c r="U329" s="67" t="n"/>
    </row>
    <row r="330" ht="14.4" customFormat="1" customHeight="1" s="1013">
      <c r="A330" s="114" t="n">
        <v>634</v>
      </c>
      <c r="B330" s="77">
        <f>IF(INDEX(MO_SNA_IsHistoricalPeriod,,MATCH(F330,MO_Common_ColumnHeader,0)),"Historical","Forward")</f>
        <v/>
      </c>
      <c r="C330" s="67" t="n"/>
      <c r="D330" s="84" t="inlineStr">
        <is>
          <t>DSO</t>
        </is>
      </c>
      <c r="E330" s="78" t="n"/>
      <c r="F330" s="77" t="inlineStr">
        <is>
          <t>FY2023</t>
        </is>
      </c>
      <c r="G330" s="77" t="n"/>
      <c r="H330" s="67" t="n"/>
      <c r="I330" s="2087" t="n">
        <v>45</v>
      </c>
      <c r="J330" s="2087" t="n">
        <v>45</v>
      </c>
      <c r="K330" s="2087">
        <f>AVERAGE(I330:J330)</f>
        <v/>
      </c>
      <c r="L330" s="67" t="n"/>
      <c r="M330" s="77">
        <f>IF(INDEX(MO_SNA_IsHistoricalPeriod,,MATCH(F330,MO_Common_ColumnHeader,0)),"Actual","Estimate")</f>
        <v/>
      </c>
      <c r="N330" s="2087">
        <f>IFERROR(INDEX(INDIRECT(E330),0,MATCH(F330,MO_Common_ColumnHeader,0)),"N/A")</f>
        <v/>
      </c>
      <c r="O330" s="67" t="n"/>
      <c r="P330" s="2169">
        <f>IF(ISNUMBER(N330),N330-K330,"N/A")</f>
        <v/>
      </c>
      <c r="Q330" s="2168">
        <f>IFERROR(IF(ISNUMBER(N330),(N330-K330)/ABS(K330),"N/A"),"N/A")</f>
        <v/>
      </c>
      <c r="R330" s="112" t="n"/>
      <c r="S330" s="80" t="n">
        <v>45040</v>
      </c>
      <c r="T330" s="88" t="inlineStr">
        <is>
          <t>CFO Commentary</t>
        </is>
      </c>
      <c r="U330" s="67" t="n"/>
    </row>
    <row r="331" ht="14.4" customFormat="1" customHeight="1" s="1013">
      <c r="A331" s="114" t="n">
        <v>633</v>
      </c>
      <c r="B331" s="77">
        <f>IF(INDEX(MO_SNA_IsHistoricalPeriod,,MATCH(F331,MO_Common_ColumnHeader,0)),"Historical","Forward")</f>
        <v/>
      </c>
      <c r="C331" s="67" t="n"/>
      <c r="D331" s="84">
        <f>INDEX(INDIRECT(E331),0,COLUMN(MO_Common_Column_A))</f>
        <v/>
      </c>
      <c r="E331" s="78" t="inlineStr">
        <is>
          <t>MO_CFSum_Capex</t>
        </is>
      </c>
      <c r="F331" s="77" t="inlineStr">
        <is>
          <t>FY2023</t>
        </is>
      </c>
      <c r="G331" s="77" t="n"/>
      <c r="H331" s="67" t="n"/>
      <c r="I331" s="2087" t="n">
        <v>-120</v>
      </c>
      <c r="J331" s="2087" t="n">
        <v>-120</v>
      </c>
      <c r="K331" s="2087">
        <f>AVERAGE(I331:J331)</f>
        <v/>
      </c>
      <c r="L331" s="67" t="n"/>
      <c r="M331" s="77">
        <f>IF(INDEX(MO_SNA_IsHistoricalPeriod,,MATCH(F331,MO_Common_ColumnHeader,0)),"Actual","Estimate")</f>
        <v/>
      </c>
      <c r="N331" s="2087">
        <f>IFERROR(INDEX(INDIRECT(E331),0,MATCH(F331,MO_Common_ColumnHeader,0)),"N/A")</f>
        <v/>
      </c>
      <c r="O331" s="67" t="n"/>
      <c r="P331" s="2169">
        <f>IF(ISNUMBER(N331),N331-K331,"N/A")</f>
        <v/>
      </c>
      <c r="Q331" s="2168">
        <f>IFERROR(IF(ISNUMBER(N331),(N331-K331)/ABS(K331),"N/A"),"N/A")</f>
        <v/>
      </c>
      <c r="R331" s="112" t="n"/>
      <c r="S331" s="80" t="n">
        <v>45040</v>
      </c>
      <c r="T331" s="88" t="inlineStr">
        <is>
          <t>CFO Commentary</t>
        </is>
      </c>
      <c r="U331" s="67" t="n"/>
    </row>
    <row r="332" ht="14.4" customFormat="1" customHeight="1" s="1013">
      <c r="A332" s="114" t="n">
        <v>632</v>
      </c>
      <c r="B332" s="77">
        <f>IF(INDEX(MO_SNA_IsHistoricalPeriod,,MATCH(F332,MO_Common_ColumnHeader,0)),"Historical","Forward")</f>
        <v/>
      </c>
      <c r="C332" s="67" t="n"/>
      <c r="D332" s="84">
        <f>INDEX(INDIRECT(E332),0,COLUMN(MO_Common_Column_A))</f>
        <v/>
      </c>
      <c r="E332" s="78" t="inlineStr">
        <is>
          <t>MO_RIS_SBC</t>
        </is>
      </c>
      <c r="F332" s="77" t="inlineStr">
        <is>
          <t>FY2023</t>
        </is>
      </c>
      <c r="G332" s="77" t="n"/>
      <c r="H332" s="67" t="n"/>
      <c r="I332" s="2087" t="n">
        <v>330</v>
      </c>
      <c r="J332" s="2087" t="n">
        <v>330</v>
      </c>
      <c r="K332" s="2087">
        <f>AVERAGE(I332:J332)</f>
        <v/>
      </c>
      <c r="L332" s="67" t="n"/>
      <c r="M332" s="77">
        <f>IF(INDEX(MO_SNA_IsHistoricalPeriod,,MATCH(F332,MO_Common_ColumnHeader,0)),"Actual","Estimate")</f>
        <v/>
      </c>
      <c r="N332" s="2087">
        <f>IFERROR(INDEX(INDIRECT(E332),0,MATCH(F332,MO_Common_ColumnHeader,0)),"N/A")</f>
        <v/>
      </c>
      <c r="O332" s="67" t="n"/>
      <c r="P332" s="2169">
        <f>IF(ISNUMBER(N332),N332-K332,"N/A")</f>
        <v/>
      </c>
      <c r="Q332" s="2168">
        <f>IFERROR(IF(ISNUMBER(N332),(N332-K332)/ABS(K332),"N/A"),"N/A")</f>
        <v/>
      </c>
      <c r="R332" s="112" t="n"/>
      <c r="S332" s="80" t="n">
        <v>45040</v>
      </c>
      <c r="T332" s="88" t="inlineStr">
        <is>
          <t>CFO Commentary</t>
        </is>
      </c>
      <c r="U332" s="67" t="n"/>
    </row>
    <row r="333" ht="14.4" customFormat="1" customHeight="1" s="1013">
      <c r="A333" s="114" t="n">
        <v>631</v>
      </c>
      <c r="B333" s="77">
        <f>IF(INDEX(MO_SNA_IsHistoricalPeriod,,MATCH(F333,MO_Common_ColumnHeader,0)),"Historical","Forward")</f>
        <v/>
      </c>
      <c r="C333" s="67" t="n"/>
      <c r="D333" s="84">
        <f>INDEX(INDIRECT(E333),0,COLUMN(MO_Common_Column_A))</f>
        <v/>
      </c>
      <c r="E333" s="78" t="inlineStr">
        <is>
          <t>MO_RIS_Daintangibles</t>
        </is>
      </c>
      <c r="F333" s="77" t="inlineStr">
        <is>
          <t>FY2023</t>
        </is>
      </c>
      <c r="G333" s="77" t="n"/>
      <c r="H333" s="67" t="n"/>
      <c r="I333" s="2087" t="n">
        <v>58</v>
      </c>
      <c r="J333" s="2087" t="n">
        <v>58</v>
      </c>
      <c r="K333" s="2087">
        <f>AVERAGE(I333:J333)</f>
        <v/>
      </c>
      <c r="L333" s="67" t="n"/>
      <c r="M333" s="77">
        <f>IF(INDEX(MO_SNA_IsHistoricalPeriod,,MATCH(F333,MO_Common_ColumnHeader,0)),"Actual","Estimate")</f>
        <v/>
      </c>
      <c r="N333" s="2087">
        <f>IFERROR(INDEX(INDIRECT(E333),0,MATCH(F333,MO_Common_ColumnHeader,0)),"N/A")</f>
        <v/>
      </c>
      <c r="O333" s="67" t="n"/>
      <c r="P333" s="2169">
        <f>IF(ISNUMBER(N333),N333-K333,"N/A")</f>
        <v/>
      </c>
      <c r="Q333" s="2168">
        <f>IFERROR(IF(ISNUMBER(N333),(N333-K333)/ABS(K333),"N/A"),"N/A")</f>
        <v/>
      </c>
      <c r="R333" s="112" t="n"/>
      <c r="S333" s="80" t="n">
        <v>45040</v>
      </c>
      <c r="T333" s="88" t="inlineStr">
        <is>
          <t>CFO Commentary</t>
        </is>
      </c>
      <c r="U333" s="67" t="n"/>
    </row>
    <row r="334" ht="14.4" customFormat="1" customHeight="1" s="1013">
      <c r="A334" s="114" t="n">
        <v>630</v>
      </c>
      <c r="B334" s="77">
        <f>IF(INDEX(MO_SNA_IsHistoricalPeriod,,MATCH(F334,MO_Common_ColumnHeader,0)),"Historical","Forward")</f>
        <v/>
      </c>
      <c r="C334" s="67" t="n"/>
      <c r="D334" s="84" t="inlineStr">
        <is>
          <t>Acquisition and integration-related costs</t>
        </is>
      </c>
      <c r="E334" s="78" t="n"/>
      <c r="F334" s="77" t="inlineStr">
        <is>
          <t>FY2023</t>
        </is>
      </c>
      <c r="G334" s="77" t="n"/>
      <c r="H334" s="67" t="n"/>
      <c r="I334" s="2087" t="n">
        <v>43</v>
      </c>
      <c r="J334" s="2087" t="n">
        <v>43</v>
      </c>
      <c r="K334" s="2087">
        <f>AVERAGE(I334:J334)</f>
        <v/>
      </c>
      <c r="L334" s="67" t="n"/>
      <c r="M334" s="77">
        <f>IF(INDEX(MO_SNA_IsHistoricalPeriod,,MATCH(F334,MO_Common_ColumnHeader,0)),"Actual","Estimate")</f>
        <v/>
      </c>
      <c r="N334" s="2087">
        <f>IFERROR(INDEX(INDIRECT(E334),0,MATCH(F334,MO_Common_ColumnHeader,0)),"N/A")</f>
        <v/>
      </c>
      <c r="O334" s="67" t="n"/>
      <c r="P334" s="2169">
        <f>IF(ISNUMBER(N334),N334-K334,"N/A")</f>
        <v/>
      </c>
      <c r="Q334" s="2168">
        <f>IFERROR(IF(ISNUMBER(N334),(N334-K334)/ABS(K334),"N/A"),"N/A")</f>
        <v/>
      </c>
      <c r="R334" s="112" t="n"/>
      <c r="S334" s="80" t="n">
        <v>45040</v>
      </c>
      <c r="T334" s="88" t="inlineStr">
        <is>
          <t>CFO Commentary</t>
        </is>
      </c>
      <c r="U334" s="67" t="n"/>
    </row>
    <row r="335" ht="14.4" customFormat="1" customHeight="1" s="1013">
      <c r="A335" s="114" t="n">
        <v>629</v>
      </c>
      <c r="B335" s="77">
        <f>IF(INDEX(MO_SNA_IsHistoricalPeriod,,MATCH(F335,MO_Common_ColumnHeader,0)),"Historical","Forward")</f>
        <v/>
      </c>
      <c r="C335" s="67" t="n"/>
      <c r="D335" s="84" t="inlineStr">
        <is>
          <t>Restructuring and other credits</t>
        </is>
      </c>
      <c r="E335" s="78" t="n"/>
      <c r="F335" s="77" t="inlineStr">
        <is>
          <t>FY2023</t>
        </is>
      </c>
      <c r="G335" s="77" t="n"/>
      <c r="H335" s="67" t="n"/>
      <c r="I335" s="2087" t="n">
        <v>0</v>
      </c>
      <c r="J335" s="2087" t="n">
        <v>0</v>
      </c>
      <c r="K335" s="2087">
        <f>AVERAGE(I335:J335)</f>
        <v/>
      </c>
      <c r="L335" s="67" t="n"/>
      <c r="M335" s="77">
        <f>IF(INDEX(MO_SNA_IsHistoricalPeriod,,MATCH(F335,MO_Common_ColumnHeader,0)),"Actual","Estimate")</f>
        <v/>
      </c>
      <c r="N335" s="2087">
        <f>IFERROR(INDEX(INDIRECT(E335),0,MATCH(F335,MO_Common_ColumnHeader,0)),"N/A")</f>
        <v/>
      </c>
      <c r="O335" s="67" t="n"/>
      <c r="P335" s="2169">
        <f>IF(ISNUMBER(N335),N335-K335,"N/A")</f>
        <v/>
      </c>
      <c r="Q335" s="2168">
        <f>IFERROR(IF(ISNUMBER(N335),(N335-K335)/ABS(K335),"N/A"),"N/A")</f>
        <v/>
      </c>
      <c r="R335" s="112" t="n"/>
      <c r="S335" s="80" t="n">
        <v>45040</v>
      </c>
      <c r="T335" s="88" t="inlineStr">
        <is>
          <t>CFO Commentary</t>
        </is>
      </c>
      <c r="U335" s="67" t="n"/>
    </row>
    <row r="336" ht="14.4" customFormat="1" customHeight="1" s="1013">
      <c r="A336" s="114" t="n">
        <v>628</v>
      </c>
      <c r="B336" s="77">
        <f>IF(INDEX(MO_SNA_IsHistoricalPeriod,,MATCH(F336,MO_Common_ColumnHeader,0)),"Historical","Forward")</f>
        <v/>
      </c>
      <c r="C336" s="67" t="n"/>
      <c r="D336" s="84" t="inlineStr">
        <is>
          <t>Non-Qualified deferred compensation expenses</t>
        </is>
      </c>
      <c r="E336" s="78" t="n"/>
      <c r="F336" s="77" t="inlineStr">
        <is>
          <t>FY2023</t>
        </is>
      </c>
      <c r="G336" s="77" t="n"/>
      <c r="H336" s="67" t="n"/>
      <c r="I336" s="2087" t="n">
        <v>3</v>
      </c>
      <c r="J336" s="2087" t="n">
        <v>3</v>
      </c>
      <c r="K336" s="2087">
        <f>AVERAGE(I336:J336)</f>
        <v/>
      </c>
      <c r="L336" s="67" t="n"/>
      <c r="M336" s="77">
        <f>IF(INDEX(MO_SNA_IsHistoricalPeriod,,MATCH(F336,MO_Common_ColumnHeader,0)),"Actual","Estimate")</f>
        <v/>
      </c>
      <c r="N336" s="2087">
        <f>IFERROR(INDEX(INDIRECT(E336),0,MATCH(F336,MO_Common_ColumnHeader,0)),"N/A")</f>
        <v/>
      </c>
      <c r="O336" s="67" t="n"/>
      <c r="P336" s="2169">
        <f>IF(ISNUMBER(N336),N336-K336,"N/A")</f>
        <v/>
      </c>
      <c r="Q336" s="2168">
        <f>IFERROR(IF(ISNUMBER(N336),(N336-K336)/ABS(K336),"N/A"),"N/A")</f>
        <v/>
      </c>
      <c r="R336" s="112" t="n"/>
      <c r="S336" s="80" t="n">
        <v>45040</v>
      </c>
      <c r="T336" s="88" t="inlineStr">
        <is>
          <t>CFO Commentary</t>
        </is>
      </c>
      <c r="U336" s="67" t="n"/>
    </row>
    <row r="337" ht="14.4" customFormat="1" customHeight="1" s="1013">
      <c r="A337" s="114" t="n">
        <v>627</v>
      </c>
      <c r="B337" s="77">
        <f>IF(INDEX(MO_SNA_IsHistoricalPeriod,,MATCH(F337,MO_Common_ColumnHeader,0)),"Historical","Forward")</f>
        <v/>
      </c>
      <c r="C337" s="67" t="n"/>
      <c r="D337" s="84" t="inlineStr">
        <is>
          <t>Special charges</t>
        </is>
      </c>
      <c r="E337" s="78" t="n"/>
      <c r="F337" s="77" t="inlineStr">
        <is>
          <t>FY2023</t>
        </is>
      </c>
      <c r="G337" s="77" t="n"/>
      <c r="H337" s="67" t="n"/>
      <c r="I337" s="2087" t="n">
        <v>0</v>
      </c>
      <c r="J337" s="2087" t="n">
        <v>0</v>
      </c>
      <c r="K337" s="2087">
        <f>AVERAGE(I337:J337)</f>
        <v/>
      </c>
      <c r="L337" s="67" t="n"/>
      <c r="M337" s="77">
        <f>IF(INDEX(MO_SNA_IsHistoricalPeriod,,MATCH(F337,MO_Common_ColumnHeader,0)),"Actual","Estimate")</f>
        <v/>
      </c>
      <c r="N337" s="2087">
        <f>IFERROR(INDEX(INDIRECT(E337),0,MATCH(F337,MO_Common_ColumnHeader,0)),"N/A")</f>
        <v/>
      </c>
      <c r="O337" s="67" t="n"/>
      <c r="P337" s="2169">
        <f>IF(ISNUMBER(N337),N337-K337,"N/A")</f>
        <v/>
      </c>
      <c r="Q337" s="2168">
        <f>IFERROR(IF(ISNUMBER(N337),(N337-K337)/ABS(K337),"N/A"),"N/A")</f>
        <v/>
      </c>
      <c r="R337" s="112" t="n"/>
      <c r="S337" s="80" t="n">
        <v>45040</v>
      </c>
      <c r="T337" s="88" t="inlineStr">
        <is>
          <t>CFO Commentary</t>
        </is>
      </c>
      <c r="U337" s="67" t="n"/>
    </row>
    <row r="338" ht="14.4" customFormat="1" customHeight="1" s="1013">
      <c r="A338" s="114" t="n">
        <v>626</v>
      </c>
      <c r="B338" s="77">
        <f>IF(INDEX(MO_SNA_IsHistoricalPeriod,,MATCH(F338,MO_Common_ColumnHeader,0)),"Historical","Forward")</f>
        <v/>
      </c>
      <c r="C338" s="67" t="n"/>
      <c r="D338" s="84" t="inlineStr">
        <is>
          <t>GAAP Operating Expenses</t>
        </is>
      </c>
      <c r="E338" s="78" t="n"/>
      <c r="F338" s="77" t="inlineStr">
        <is>
          <t>FY2023</t>
        </is>
      </c>
      <c r="G338" s="77" t="n"/>
      <c r="H338" s="67" t="n"/>
      <c r="I338" s="2087" t="n">
        <v>2805</v>
      </c>
      <c r="J338" s="2087" t="n">
        <v>2805</v>
      </c>
      <c r="K338" s="2087">
        <f>AVERAGE(I338:J338)</f>
        <v/>
      </c>
      <c r="L338" s="67" t="n"/>
      <c r="M338" s="77">
        <f>IF(INDEX(MO_SNA_IsHistoricalPeriod,,MATCH(F338,MO_Common_ColumnHeader,0)),"Actual","Estimate")</f>
        <v/>
      </c>
      <c r="N338" s="2087">
        <f>IFERROR(INDEX(MO_RIS_COGS,0,MATCH(Guidance!F338,MO_Common_ColumnHeader,0))+INDEX(MO_RIS_RD,0,MATCH(Guidance!F338,MO_Common_ColumnHeader,0))+INDEX(MO_RIS_GA,0,MATCH(Guidance!F338,MO_Common_ColumnHeader,0))+INDEX(MO_RIS_SM,0,MATCH(Guidance!F338,MO_Common_ColumnHeader,0)),"N/A")</f>
        <v/>
      </c>
      <c r="O338" s="2072" t="n"/>
      <c r="P338" s="2169">
        <f>IF(ISNUMBER(N338),N338-K338,"N/A")</f>
        <v/>
      </c>
      <c r="Q338" s="2168">
        <f>IFERROR(IF(ISNUMBER(N338),(N338-K338)/ABS(K338),"N/A"),"N/A")</f>
        <v/>
      </c>
      <c r="R338" s="112" t="n"/>
      <c r="S338" s="80" t="n">
        <v>45040</v>
      </c>
      <c r="T338" s="88" t="inlineStr">
        <is>
          <t>CFO Commentary</t>
        </is>
      </c>
      <c r="U338" s="67" t="n"/>
    </row>
    <row r="339" ht="14.4" customFormat="1" customHeight="1" s="1013">
      <c r="A339" s="114" t="n">
        <v>625</v>
      </c>
      <c r="B339" s="77">
        <f>IF(INDEX(MO_SNA_IsHistoricalPeriod,,MATCH(F339,MO_Common_ColumnHeader,0)),"Historical","Forward")</f>
        <v/>
      </c>
      <c r="C339" s="67" t="n"/>
      <c r="D339" s="84" t="inlineStr">
        <is>
          <t>Non-GAAP Operating Expenses</t>
        </is>
      </c>
      <c r="E339" s="78" t="n"/>
      <c r="F339" s="77" t="inlineStr">
        <is>
          <t>FY2023</t>
        </is>
      </c>
      <c r="G339" s="77" t="n"/>
      <c r="H339" s="67" t="n"/>
      <c r="I339" s="2087" t="n">
        <v>2371</v>
      </c>
      <c r="J339" s="2087" t="n">
        <v>2371</v>
      </c>
      <c r="K339" s="2087">
        <f>AVERAGE(I339:J339)</f>
        <v/>
      </c>
      <c r="L339" s="67" t="n"/>
      <c r="M339" s="77">
        <f>IF(INDEX(MO_SNA_IsHistoricalPeriod,,MATCH(F339,MO_Common_ColumnHeader,0)),"Actual","Estimate")</f>
        <v/>
      </c>
      <c r="N339" s="2087">
        <f>IFERROR(INDEX(MO_RIS_REV,0,MATCH(Guidance!F339,MO_Common_ColumnHeader,0))+INDEX(MO_RIS_RD_NONGAAP,0,MATCH(Guidance!F339,MO_Common_ColumnHeader,0))+INDEX(MO_RIS_GA_NONGAAP,0,MATCH(Guidance!F339,MO_Common_ColumnHeader,0))+INDEX(MO_RIS_SM_NONGAAP,0,MATCH(Guidance!F339,MO_Common_ColumnHeader,0))-INDEX(MO_RIS_GP_NONGAAP,0,MATCH(Guidance!F339,MO_Common_ColumnHeader,0)),"N/A")</f>
        <v/>
      </c>
      <c r="O339" s="2072" t="n"/>
      <c r="P339" s="2169">
        <f>IF(ISNUMBER(N339),N339-K339,"N/A")</f>
        <v/>
      </c>
      <c r="Q339" s="2168">
        <f>IFERROR(IF(ISNUMBER(N339),(N339-K339)/ABS(K339),"N/A"),"N/A")</f>
        <v/>
      </c>
      <c r="R339" s="112" t="n"/>
      <c r="S339" s="80" t="n">
        <v>45040</v>
      </c>
      <c r="T339" s="88" t="inlineStr">
        <is>
          <t>CFO Commentary</t>
        </is>
      </c>
      <c r="U339" s="67" t="n"/>
    </row>
    <row r="340" ht="14.4" customFormat="1" customHeight="1" s="1013">
      <c r="A340" s="114" t="n">
        <v>624</v>
      </c>
      <c r="B340" s="67" t="n"/>
      <c r="C340" s="67" t="n"/>
      <c r="D340" s="68" t="n"/>
      <c r="E340" s="69" t="n"/>
      <c r="F340" s="67" t="n"/>
      <c r="G340" s="67" t="n"/>
      <c r="H340" s="67" t="n"/>
      <c r="I340" s="2072" t="n"/>
      <c r="J340" s="2072" t="n"/>
      <c r="K340" s="2072" t="n"/>
      <c r="L340" s="67" t="n"/>
      <c r="M340" s="67" t="n"/>
      <c r="N340" s="2072" t="n"/>
      <c r="O340" s="67" t="n"/>
      <c r="P340" s="2172" t="n"/>
      <c r="Q340" s="2173" t="n"/>
      <c r="R340" s="112" t="n"/>
      <c r="S340" s="112" t="n"/>
      <c r="T340" s="344" t="n"/>
      <c r="U340" s="67" t="n"/>
    </row>
    <row r="341" ht="14.4" customFormat="1" customHeight="1" s="1013">
      <c r="A341" s="114" t="n">
        <v>623</v>
      </c>
      <c r="B341" s="77">
        <f>IF(INDEX(MO_SNA_IsHistoricalPeriod,,MATCH(F341,MO_Common_ColumnHeader,0)),"Historical","Forward")</f>
        <v/>
      </c>
      <c r="C341" s="67" t="n"/>
      <c r="D341" s="84">
        <f>INDEX(INDIRECT(E341),0,COLUMN(MO_Common_Column_A))</f>
        <v/>
      </c>
      <c r="E341" s="78" t="inlineStr">
        <is>
          <t>MO_RIS_REV</t>
        </is>
      </c>
      <c r="F341" s="77" t="inlineStr">
        <is>
          <t>Q2-2023</t>
        </is>
      </c>
      <c r="G341" s="77" t="n"/>
      <c r="H341" s="67" t="n"/>
      <c r="I341" s="2087" t="n">
        <v>960</v>
      </c>
      <c r="J341" s="2087" t="n">
        <v>980</v>
      </c>
      <c r="K341" s="2087">
        <f>AVERAGE(I341:J341)</f>
        <v/>
      </c>
      <c r="L341" s="67" t="n"/>
      <c r="M341" s="77">
        <f>IF(INDEX(MO_SNA_IsHistoricalPeriod,,MATCH(F341,MO_Common_ColumnHeader,0)),"Actual","Estimate")</f>
        <v/>
      </c>
      <c r="N341" s="2087">
        <f>IFERROR(INDEX(INDIRECT(E341),0,MATCH(F341,MO_Common_ColumnHeader,0)),"N/A")</f>
        <v/>
      </c>
      <c r="O341" s="67" t="n"/>
      <c r="P341" s="2169">
        <f>IF(ISNUMBER(N341),N341-K341,"N/A")</f>
        <v/>
      </c>
      <c r="Q341" s="2168">
        <f>IFERROR(IF(ISNUMBER(N341),(N341-K341)/ABS(K341),"N/A"),"N/A")</f>
        <v/>
      </c>
      <c r="R341" s="112" t="n"/>
      <c r="S341" s="80" t="n">
        <v>45040</v>
      </c>
      <c r="T341" s="88" t="inlineStr">
        <is>
          <t>CFO Commentary</t>
        </is>
      </c>
      <c r="U341" s="67" t="n"/>
      <c r="BJ341" s="1013" t="n">
        <v>-50</v>
      </c>
      <c r="BK341" s="1013" t="n">
        <v>-50</v>
      </c>
      <c r="BL341" s="1013" t="n">
        <v>-50</v>
      </c>
      <c r="BM341" s="1013" t="n">
        <v>-50</v>
      </c>
    </row>
    <row r="342" ht="14.4" customFormat="1" customHeight="1" s="1013">
      <c r="A342" s="114" t="n">
        <v>622</v>
      </c>
      <c r="B342" s="77">
        <f>IF(INDEX(MO_SNA_IsHistoricalPeriod,,MATCH(F342,MO_Common_ColumnHeader,0)),"Historical","Forward")</f>
        <v/>
      </c>
      <c r="C342" s="67" t="n"/>
      <c r="D342" s="84" t="inlineStr">
        <is>
          <t>GAAP Operating Margin</t>
        </is>
      </c>
      <c r="E342" s="78" t="inlineStr">
        <is>
          <t>MO_MA_EBIT</t>
        </is>
      </c>
      <c r="F342" s="77" t="inlineStr">
        <is>
          <t>Q2-2023</t>
        </is>
      </c>
      <c r="G342" s="77" t="n"/>
      <c r="H342" s="67" t="n"/>
      <c r="I342" s="2108" t="n">
        <v>0.29</v>
      </c>
      <c r="J342" s="2108" t="n">
        <v>0.3</v>
      </c>
      <c r="K342" s="2108">
        <f>AVERAGE(I342:J342)</f>
        <v/>
      </c>
      <c r="L342" s="67" t="n"/>
      <c r="M342" s="77">
        <f>IF(INDEX(MO_SNA_IsHistoricalPeriod,,MATCH(F342,MO_Common_ColumnHeader,0)),"Actual","Estimate")</f>
        <v/>
      </c>
      <c r="N342" s="2108">
        <f>IFERROR(INDEX(INDIRECT(E342),0,MATCH(F342,MO_Common_ColumnHeader,0)),"N/A")</f>
        <v/>
      </c>
      <c r="O342" s="67" t="n"/>
      <c r="P342" s="2168">
        <f>IF(ISNUMBER(N342),N342-K342,"N/A")</f>
        <v/>
      </c>
      <c r="Q342" s="2168">
        <f>IFERROR(IF(ISNUMBER(N342),(N342-K342)/ABS(K342),"N/A"),"N/A")</f>
        <v/>
      </c>
      <c r="R342" s="112" t="n"/>
      <c r="S342" s="80" t="n">
        <v>45040</v>
      </c>
      <c r="T342" s="88" t="inlineStr">
        <is>
          <t>CFO Commentary</t>
        </is>
      </c>
      <c r="U342" s="67" t="n"/>
    </row>
    <row r="343" ht="14.4" customFormat="1" customHeight="1" s="1013">
      <c r="A343" s="114" t="n">
        <v>621</v>
      </c>
      <c r="B343" s="77">
        <f>IF(INDEX(MO_SNA_IsHistoricalPeriod,,MATCH(F343,MO_Common_ColumnHeader,0)),"Historical","Forward")</f>
        <v/>
      </c>
      <c r="C343" s="67" t="n"/>
      <c r="D343" s="84">
        <f>INDEX(INDIRECT(E343),0,COLUMN(MO_Common_Column_A))</f>
        <v/>
      </c>
      <c r="E343" s="78" t="inlineStr">
        <is>
          <t>MO_MA_OperatingIncome_NONGAAP</t>
        </is>
      </c>
      <c r="F343" s="77" t="inlineStr">
        <is>
          <t>Q2-2023</t>
        </is>
      </c>
      <c r="G343" s="77" t="n"/>
      <c r="H343" s="67" t="n"/>
      <c r="I343" s="2108" t="n">
        <v>0.4</v>
      </c>
      <c r="J343" s="2108" t="n">
        <v>0.41</v>
      </c>
      <c r="K343" s="2108">
        <f>AVERAGE(I343:J343)</f>
        <v/>
      </c>
      <c r="L343" s="67" t="n"/>
      <c r="M343" s="77">
        <f>IF(INDEX(MO_SNA_IsHistoricalPeriod,,MATCH(F343,MO_Common_ColumnHeader,0)),"Actual","Estimate")</f>
        <v/>
      </c>
      <c r="N343" s="2108">
        <f>IFERROR(INDEX(INDIRECT(E343),0,MATCH(F343,MO_Common_ColumnHeader,0)),"N/A")</f>
        <v/>
      </c>
      <c r="O343" s="67" t="n"/>
      <c r="P343" s="2168">
        <f>IF(ISNUMBER(N343),N343-K343,"N/A")</f>
        <v/>
      </c>
      <c r="Q343" s="2168">
        <f>IFERROR(IF(ISNUMBER(N343),(N343-K343)/ABS(K343),"N/A"),"N/A")</f>
        <v/>
      </c>
      <c r="R343" s="112" t="n"/>
      <c r="S343" s="80" t="n">
        <v>45040</v>
      </c>
      <c r="T343" s="88" t="inlineStr">
        <is>
          <t>CFO Commentary</t>
        </is>
      </c>
      <c r="U343" s="67" t="n"/>
    </row>
    <row r="344" ht="14.4" customFormat="1" customHeight="1" s="1013">
      <c r="A344" s="114" t="n">
        <v>620</v>
      </c>
      <c r="B344" s="77">
        <f>IF(INDEX(MO_SNA_IsHistoricalPeriod,,MATCH(F344,MO_Common_ColumnHeader,0)),"Historical","Forward")</f>
        <v/>
      </c>
      <c r="C344" s="67" t="n"/>
      <c r="D344" s="84">
        <f>INDEX(INDIRECT(E344),0,COLUMN(MO_Common_Column_A))</f>
        <v/>
      </c>
      <c r="E344" s="78" t="inlineStr">
        <is>
          <t>MO_RIS_EPS_WAD</t>
        </is>
      </c>
      <c r="F344" s="77" t="inlineStr">
        <is>
          <t>Q2-2023</t>
        </is>
      </c>
      <c r="G344" s="77" t="n"/>
      <c r="H344" s="67" t="n"/>
      <c r="I344" s="2170" t="n">
        <v>0.73</v>
      </c>
      <c r="J344" s="2170" t="n">
        <v>0.77</v>
      </c>
      <c r="K344" s="2170">
        <f>AVERAGE(I344:J344)</f>
        <v/>
      </c>
      <c r="L344" s="67" t="n"/>
      <c r="M344" s="77">
        <f>IF(INDEX(MO_SNA_IsHistoricalPeriod,,MATCH(F344,MO_Common_ColumnHeader,0)),"Actual","Estimate")</f>
        <v/>
      </c>
      <c r="N344" s="2170">
        <f>IFERROR(INDEX(INDIRECT(E344),0,MATCH(F344,MO_Common_ColumnHeader,0)),"N/A")</f>
        <v/>
      </c>
      <c r="O344" s="67" t="n"/>
      <c r="P344" s="2171">
        <f>IF(ISNUMBER(N344),N344-K344,"N/A")</f>
        <v/>
      </c>
      <c r="Q344" s="2168">
        <f>IFERROR(IF(ISNUMBER(N344),(N344-K344)/ABS(K344),"N/A"),"N/A")</f>
        <v/>
      </c>
      <c r="R344" s="112" t="n"/>
      <c r="S344" s="80" t="n">
        <v>45040</v>
      </c>
      <c r="T344" s="88" t="inlineStr">
        <is>
          <t>CFO Commentary</t>
        </is>
      </c>
      <c r="U344" s="67" t="n"/>
    </row>
    <row r="345" ht="14.4" customFormat="1" customHeight="1" s="1013">
      <c r="A345" s="114" t="n">
        <v>619</v>
      </c>
      <c r="B345" s="77">
        <f>IF(INDEX(MO_SNA_IsHistoricalPeriod,,MATCH(F345,MO_Common_ColumnHeader,0)),"Historical","Forward")</f>
        <v/>
      </c>
      <c r="C345" s="67" t="n"/>
      <c r="D345" s="84">
        <f>INDEX(INDIRECT(E345),0,COLUMN(MO_Common_Column_A))</f>
        <v/>
      </c>
      <c r="E345" s="78" t="inlineStr">
        <is>
          <t>MO_RIS_EPS_WAD_Adj</t>
        </is>
      </c>
      <c r="F345" s="77" t="inlineStr">
        <is>
          <t>Q2-2023</t>
        </is>
      </c>
      <c r="G345" s="77" t="n"/>
      <c r="H345" s="67" t="n"/>
      <c r="I345" s="2170" t="n">
        <v>1.15</v>
      </c>
      <c r="J345" s="2170" t="n">
        <v>1.19</v>
      </c>
      <c r="K345" s="2170">
        <f>AVERAGE(I345:J345)</f>
        <v/>
      </c>
      <c r="L345" s="67" t="n"/>
      <c r="M345" s="77">
        <f>IF(INDEX(MO_SNA_IsHistoricalPeriod,,MATCH(F345,MO_Common_ColumnHeader,0)),"Actual","Estimate")</f>
        <v/>
      </c>
      <c r="N345" s="2170">
        <f>IFERROR(INDEX(INDIRECT(E345),0,MATCH(F345,MO_Common_ColumnHeader,0)),"N/A")</f>
        <v/>
      </c>
      <c r="O345" s="67" t="n"/>
      <c r="P345" s="2171">
        <f>IF(ISNUMBER(N345),N345-K345,"N/A")</f>
        <v/>
      </c>
      <c r="Q345" s="2168">
        <f>IFERROR(IF(ISNUMBER(N345),(N345-K345)/ABS(K345),"N/A"),"N/A")</f>
        <v/>
      </c>
      <c r="R345" s="112" t="n"/>
      <c r="S345" s="80" t="n">
        <v>45040</v>
      </c>
      <c r="T345" s="88" t="inlineStr">
        <is>
          <t>CFO Commentary</t>
        </is>
      </c>
      <c r="U345" s="67" t="n"/>
    </row>
    <row r="346" ht="14.4" customFormat="1" customHeight="1" s="1013">
      <c r="A346" s="114" t="n">
        <v>618</v>
      </c>
      <c r="B346" s="77">
        <f>IF(INDEX(MO_SNA_IsHistoricalPeriod,,MATCH(F346,MO_Common_ColumnHeader,0)),"Historical","Forward")</f>
        <v/>
      </c>
      <c r="C346" s="67" t="n"/>
      <c r="D346" s="84">
        <f>INDEX(INDIRECT(E346),0,COLUMN(MO_Common_Column_A))</f>
        <v/>
      </c>
      <c r="E346" s="78" t="inlineStr">
        <is>
          <t>MO_CFSum_NetShares</t>
        </is>
      </c>
      <c r="F346" s="77" t="inlineStr">
        <is>
          <t>Q2-2023</t>
        </is>
      </c>
      <c r="G346" s="77" t="n"/>
      <c r="H346" s="67" t="n"/>
      <c r="I346" s="2087" t="n">
        <v>-125</v>
      </c>
      <c r="J346" s="2087" t="n">
        <v>-125</v>
      </c>
      <c r="K346" s="2087">
        <f>AVERAGE(I346:J346)</f>
        <v/>
      </c>
      <c r="L346" s="67" t="n"/>
      <c r="M346" s="77">
        <f>IF(INDEX(MO_SNA_IsHistoricalPeriod,,MATCH(F346,MO_Common_ColumnHeader,0)),"Actual","Estimate")</f>
        <v/>
      </c>
      <c r="N346" s="2087">
        <f>IFERROR(INDEX(INDIRECT(E346),0,MATCH(F346,MO_Common_ColumnHeader,0)),"N/A")</f>
        <v/>
      </c>
      <c r="O346" s="67" t="n"/>
      <c r="P346" s="2169">
        <f>IF(ISNUMBER(N346),N346-K346,"N/A")</f>
        <v/>
      </c>
      <c r="Q346" s="2168">
        <f>IFERROR(IF(ISNUMBER(N346),(N346-K346)/ABS(K346),"N/A"),"N/A")</f>
        <v/>
      </c>
      <c r="R346" s="112" t="n"/>
      <c r="S346" s="80" t="n">
        <v>45040</v>
      </c>
      <c r="T346" s="88" t="inlineStr">
        <is>
          <t>CFO Commentary</t>
        </is>
      </c>
      <c r="U346" s="67" t="n"/>
    </row>
    <row r="347" ht="14.4" customFormat="1" customHeight="1" s="1013">
      <c r="A347" s="114" t="n">
        <v>617</v>
      </c>
      <c r="B347" s="67" t="n"/>
      <c r="C347" s="67" t="n"/>
      <c r="D347" s="68" t="n"/>
      <c r="E347" s="69" t="n"/>
      <c r="F347" s="67" t="n"/>
      <c r="G347" s="67" t="n"/>
      <c r="H347" s="67" t="n"/>
      <c r="I347" s="2072" t="n"/>
      <c r="J347" s="2072" t="n"/>
      <c r="K347" s="2072" t="n"/>
      <c r="L347" s="67" t="n"/>
      <c r="M347" s="67" t="n"/>
      <c r="N347" s="2072" t="n"/>
      <c r="O347" s="67" t="n"/>
      <c r="P347" s="2172" t="n"/>
      <c r="Q347" s="2173" t="n"/>
      <c r="R347" s="112" t="n"/>
      <c r="S347" s="112" t="n"/>
      <c r="T347" s="344" t="n"/>
      <c r="U347" s="67" t="n"/>
    </row>
    <row r="348" ht="14.4" customFormat="1" customHeight="1" s="1013">
      <c r="A348" s="114" t="n">
        <v>616</v>
      </c>
      <c r="B348" s="77">
        <f>IF(INDEX(MO_SNA_IsHistoricalPeriod,,MATCH(F348,MO_Common_ColumnHeader,0)),"Historical","Forward")</f>
        <v/>
      </c>
      <c r="C348" s="67" t="n"/>
      <c r="D348" s="84" t="inlineStr">
        <is>
          <t>Recurring Revenue %</t>
        </is>
      </c>
      <c r="E348" s="78" t="n"/>
      <c r="F348" s="77" t="inlineStr">
        <is>
          <t>FY2023</t>
        </is>
      </c>
      <c r="G348" s="77" t="n"/>
      <c r="H348" s="67" t="n"/>
      <c r="I348" s="2108" t="n">
        <v>0.85</v>
      </c>
      <c r="J348" s="2108" t="n">
        <v>0.85</v>
      </c>
      <c r="K348" s="2108">
        <f>AVERAGE(I348:J348)</f>
        <v/>
      </c>
      <c r="L348" s="67" t="n"/>
      <c r="M348" s="77">
        <f>IF(INDEX(MO_SNA_IsHistoricalPeriod,,MATCH(F348,MO_Common_ColumnHeader,0)),"Actual","Estimate")</f>
        <v/>
      </c>
      <c r="N348" s="2108">
        <f>IFERROR(INDEX(INDIRECT(E348),0,MATCH(F348,MO_Common_ColumnHeader,0)),"N/A")</f>
        <v/>
      </c>
      <c r="O348" s="2072" t="n"/>
      <c r="P348" s="2168">
        <f>IF(ISNUMBER(N348),N348-K348,"N/A")</f>
        <v/>
      </c>
      <c r="Q348" s="2168">
        <f>IFERROR(IF(ISNUMBER(N348),(N348-K348)/ABS(K348),"N/A"),"N/A")</f>
        <v/>
      </c>
      <c r="R348" s="112" t="n"/>
      <c r="S348" s="80" t="n">
        <v>44970</v>
      </c>
      <c r="T348" s="88" t="inlineStr">
        <is>
          <t>CFO Commentary</t>
        </is>
      </c>
      <c r="U348" s="67" t="n"/>
    </row>
    <row r="349" ht="14.4" customFormat="1" customHeight="1" s="1013">
      <c r="A349" s="114" t="n">
        <v>615</v>
      </c>
      <c r="B349" s="77">
        <f>IF(INDEX(MO_SNA_IsHistoricalPeriod,,MATCH(F349,MO_Common_ColumnHeader,0)),"Historical","Forward")</f>
        <v/>
      </c>
      <c r="C349" s="67" t="n"/>
      <c r="D349" s="84" t="inlineStr">
        <is>
          <t>Revenue from Beginning Backlog %</t>
        </is>
      </c>
      <c r="E349" s="78" t="n"/>
      <c r="F349" s="77" t="inlineStr">
        <is>
          <t>FY2023</t>
        </is>
      </c>
      <c r="G349" s="77" t="n"/>
      <c r="H349" s="67" t="n"/>
      <c r="I349" s="2108" t="n">
        <v>0.75</v>
      </c>
      <c r="J349" s="2108" t="n">
        <v>0.75</v>
      </c>
      <c r="K349" s="2108">
        <f>AVERAGE(I349:J349)</f>
        <v/>
      </c>
      <c r="L349" s="67" t="n"/>
      <c r="M349" s="77">
        <f>IF(INDEX(MO_SNA_IsHistoricalPeriod,,MATCH(F349,MO_Common_ColumnHeader,0)),"Actual","Estimate")</f>
        <v/>
      </c>
      <c r="N349" s="2108">
        <f>IFERROR(INDEX(INDIRECT(E349),0,MATCH(F349,MO_Common_ColumnHeader,0)),"N/A")</f>
        <v/>
      </c>
      <c r="O349" s="2072" t="n"/>
      <c r="P349" s="2168">
        <f>IF(ISNUMBER(N349),N349-K349,"N/A")</f>
        <v/>
      </c>
      <c r="Q349" s="2168">
        <f>IFERROR(IF(ISNUMBER(N349),(N349-K349)/ABS(K349),"N/A"),"N/A")</f>
        <v/>
      </c>
      <c r="R349" s="112" t="n"/>
      <c r="S349" s="80" t="n">
        <v>44970</v>
      </c>
      <c r="T349" s="88" t="inlineStr">
        <is>
          <t>CFO Commentary</t>
        </is>
      </c>
      <c r="U349" s="67" t="n"/>
    </row>
    <row r="350" ht="14.4" customFormat="1" customHeight="1" s="1013">
      <c r="A350" s="114" t="n">
        <v>614</v>
      </c>
      <c r="B350" s="77">
        <f>IF(INDEX(MO_SNA_IsHistoricalPeriod,,MATCH(F350,MO_Common_ColumnHeader,0)),"Historical","Forward")</f>
        <v/>
      </c>
      <c r="C350" s="67" t="n"/>
      <c r="D350" s="84">
        <f>INDEX(INDIRECT(E350),0,COLUMN(MO_Common_Column_A))</f>
        <v/>
      </c>
      <c r="E350" s="78" t="inlineStr">
        <is>
          <t>MO_RIS_REV</t>
        </is>
      </c>
      <c r="F350" s="77" t="inlineStr">
        <is>
          <t>FY2023</t>
        </is>
      </c>
      <c r="G350" s="77" t="n"/>
      <c r="H350" s="67" t="n"/>
      <c r="I350" s="2087" t="n">
        <v>4000</v>
      </c>
      <c r="J350" s="2087" t="n">
        <v>4060</v>
      </c>
      <c r="K350" s="2087">
        <f>AVERAGE(I350:J350)</f>
        <v/>
      </c>
      <c r="L350" s="67" t="n"/>
      <c r="M350" s="77">
        <f>IF(INDEX(MO_SNA_IsHistoricalPeriod,,MATCH(F350,MO_Common_ColumnHeader,0)),"Actual","Estimate")</f>
        <v/>
      </c>
      <c r="N350" s="2087">
        <f>IFERROR(INDEX(INDIRECT(E350),0,MATCH(F350,MO_Common_ColumnHeader,0)),"N/A")</f>
        <v/>
      </c>
      <c r="O350" s="2072" t="n"/>
      <c r="P350" s="2169">
        <f>IF(ISNUMBER(N350),N350-K350,"N/A")</f>
        <v/>
      </c>
      <c r="Q350" s="2168">
        <f>IFERROR(IF(ISNUMBER(N350),(N350-K350)/ABS(K350),"N/A"),"N/A")</f>
        <v/>
      </c>
      <c r="R350" s="112" t="n"/>
      <c r="S350" s="80" t="n">
        <v>44970</v>
      </c>
      <c r="T350" s="88" t="inlineStr">
        <is>
          <t>CFO Commentary</t>
        </is>
      </c>
      <c r="U350" s="67" t="n"/>
    </row>
    <row r="351" ht="14.4" customFormat="1" customHeight="1" s="1013">
      <c r="A351" s="114" t="n">
        <v>613</v>
      </c>
      <c r="B351" s="77">
        <f>IF(INDEX(MO_SNA_IsHistoricalPeriod,,MATCH(F351,MO_Common_ColumnHeader,0)),"Historical","Forward")</f>
        <v/>
      </c>
      <c r="C351" s="67" t="n"/>
      <c r="D351" s="84" t="inlineStr">
        <is>
          <t>GAAP Operating Margin</t>
        </is>
      </c>
      <c r="E351" s="78" t="inlineStr">
        <is>
          <t>MO_MA_EBIT</t>
        </is>
      </c>
      <c r="F351" s="77" t="inlineStr">
        <is>
          <t>FY2023</t>
        </is>
      </c>
      <c r="G351" s="77" t="n"/>
      <c r="H351" s="67" t="n"/>
      <c r="I351" s="2108" t="n">
        <v>0.305</v>
      </c>
      <c r="J351" s="2108" t="n">
        <v>0.32</v>
      </c>
      <c r="K351" s="2108">
        <f>AVERAGE(I351:J351)</f>
        <v/>
      </c>
      <c r="L351" s="67" t="n"/>
      <c r="M351" s="77">
        <f>IF(INDEX(MO_SNA_IsHistoricalPeriod,,MATCH(F351,MO_Common_ColumnHeader,0)),"Actual","Estimate")</f>
        <v/>
      </c>
      <c r="N351" s="2108">
        <f>IFERROR(INDEX(INDIRECT(E351),0,MATCH(F351,MO_Common_ColumnHeader,0)),"N/A")</f>
        <v/>
      </c>
      <c r="O351" s="67" t="n"/>
      <c r="P351" s="2168">
        <f>IF(ISNUMBER(N351),N351-K351,"N/A")</f>
        <v/>
      </c>
      <c r="Q351" s="2168">
        <f>IFERROR(IF(ISNUMBER(N351),(N351-K351)/ABS(K351),"N/A"),"N/A")</f>
        <v/>
      </c>
      <c r="R351" s="112" t="n"/>
      <c r="S351" s="80" t="n">
        <v>44970</v>
      </c>
      <c r="T351" s="88" t="inlineStr">
        <is>
          <t>CFO Commentary</t>
        </is>
      </c>
      <c r="U351" s="67" t="n"/>
    </row>
    <row r="352" ht="14.4" customFormat="1" customHeight="1" s="1013">
      <c r="A352" s="114" t="n">
        <v>612</v>
      </c>
      <c r="B352" s="77">
        <f>IF(INDEX(MO_SNA_IsHistoricalPeriod,,MATCH(F352,MO_Common_ColumnHeader,0)),"Historical","Forward")</f>
        <v/>
      </c>
      <c r="C352" s="67" t="n"/>
      <c r="D352" s="84">
        <f>INDEX(INDIRECT(E352),0,COLUMN(MO_Common_Column_A))</f>
        <v/>
      </c>
      <c r="E352" s="78" t="inlineStr">
        <is>
          <t>MO_MA_OperatingIncome_NONGAAP</t>
        </is>
      </c>
      <c r="F352" s="77" t="inlineStr">
        <is>
          <t>FY2023</t>
        </is>
      </c>
      <c r="G352" s="77" t="n"/>
      <c r="H352" s="67" t="n"/>
      <c r="I352" s="2108" t="n">
        <v>0.405</v>
      </c>
      <c r="J352" s="2108" t="n">
        <v>0.42</v>
      </c>
      <c r="K352" s="2108">
        <f>AVERAGE(I352:J352)</f>
        <v/>
      </c>
      <c r="L352" s="67" t="n"/>
      <c r="M352" s="77">
        <f>IF(INDEX(MO_SNA_IsHistoricalPeriod,,MATCH(F352,MO_Common_ColumnHeader,0)),"Actual","Estimate")</f>
        <v/>
      </c>
      <c r="N352" s="2108">
        <f>IFERROR(INDEX(INDIRECT(E352),0,MATCH(F352,MO_Common_ColumnHeader,0)),"N/A")</f>
        <v/>
      </c>
      <c r="O352" s="67" t="n"/>
      <c r="P352" s="2168">
        <f>IF(ISNUMBER(N352),N352-K352,"N/A")</f>
        <v/>
      </c>
      <c r="Q352" s="2168">
        <f>IFERROR(IF(ISNUMBER(N352),(N352-K352)/ABS(K352),"N/A"),"N/A")</f>
        <v/>
      </c>
      <c r="R352" s="112" t="n"/>
      <c r="S352" s="80" t="n">
        <v>44970</v>
      </c>
      <c r="T352" s="88" t="inlineStr">
        <is>
          <t>CFO Commentary</t>
        </is>
      </c>
      <c r="U352" s="67" t="n"/>
    </row>
    <row r="353" ht="14.4" customFormat="1" customHeight="1" s="1013">
      <c r="A353" s="114" t="n">
        <v>611</v>
      </c>
      <c r="B353" s="77">
        <f>IF(INDEX(MO_SNA_IsHistoricalPeriod,,MATCH(F353,MO_Common_ColumnHeader,0)),"Historical","Forward")</f>
        <v/>
      </c>
      <c r="C353" s="67" t="n"/>
      <c r="D353" s="84">
        <f>INDEX(INDIRECT(E353),0,COLUMN(MO_Common_Column_A))</f>
        <v/>
      </c>
      <c r="E353" s="78" t="inlineStr">
        <is>
          <t>MO_RIS_EPS_WAD</t>
        </is>
      </c>
      <c r="F353" s="77" t="inlineStr">
        <is>
          <t>FY2023</t>
        </is>
      </c>
      <c r="G353" s="77" t="n"/>
      <c r="H353" s="67" t="n"/>
      <c r="I353" s="2170" t="n">
        <v>3.24</v>
      </c>
      <c r="J353" s="2170" t="n">
        <v>3.34</v>
      </c>
      <c r="K353" s="2170">
        <f>AVERAGE(I353:J353)</f>
        <v/>
      </c>
      <c r="L353" s="67" t="n"/>
      <c r="M353" s="77">
        <f>IF(INDEX(MO_SNA_IsHistoricalPeriod,,MATCH(F353,MO_Common_ColumnHeader,0)),"Actual","Estimate")</f>
        <v/>
      </c>
      <c r="N353" s="2170">
        <f>IFERROR(INDEX(INDIRECT(E353),0,MATCH(F353,MO_Common_ColumnHeader,0)),"N/A")</f>
        <v/>
      </c>
      <c r="O353" s="67" t="n"/>
      <c r="P353" s="2171">
        <f>IF(ISNUMBER(N353),N353-K353,"N/A")</f>
        <v/>
      </c>
      <c r="Q353" s="2168">
        <f>IFERROR(IF(ISNUMBER(N353),(N353-K353)/ABS(K353),"N/A"),"N/A")</f>
        <v/>
      </c>
      <c r="R353" s="112" t="n"/>
      <c r="S353" s="80" t="n">
        <v>44970</v>
      </c>
      <c r="T353" s="88" t="inlineStr">
        <is>
          <t>CFO Commentary</t>
        </is>
      </c>
      <c r="U353" s="67" t="n"/>
    </row>
    <row r="354" ht="14.4" customFormat="1" customHeight="1" s="1013">
      <c r="A354" s="114" t="n">
        <v>610</v>
      </c>
      <c r="B354" s="77">
        <f>IF(INDEX(MO_SNA_IsHistoricalPeriod,,MATCH(F354,MO_Common_ColumnHeader,0)),"Historical","Forward")</f>
        <v/>
      </c>
      <c r="C354" s="67" t="n"/>
      <c r="D354" s="84">
        <f>INDEX(INDIRECT(E354),0,COLUMN(MO_Common_Column_A))</f>
        <v/>
      </c>
      <c r="E354" s="78" t="inlineStr">
        <is>
          <t>MO_RIS_EPS_WAD_Adj</t>
        </is>
      </c>
      <c r="F354" s="77" t="inlineStr">
        <is>
          <t>FY2023</t>
        </is>
      </c>
      <c r="G354" s="77" t="n"/>
      <c r="H354" s="67" t="n"/>
      <c r="I354" s="2170" t="n">
        <v>4.9</v>
      </c>
      <c r="J354" s="2170" t="n">
        <v>5</v>
      </c>
      <c r="K354" s="2170">
        <f>AVERAGE(I354:J354)</f>
        <v/>
      </c>
      <c r="L354" s="67" t="n"/>
      <c r="M354" s="77">
        <f>IF(INDEX(MO_SNA_IsHistoricalPeriod,,MATCH(F354,MO_Common_ColumnHeader,0)),"Actual","Estimate")</f>
        <v/>
      </c>
      <c r="N354" s="2170">
        <f>IFERROR(INDEX(INDIRECT(E354),0,MATCH(F354,MO_Common_ColumnHeader,0)),"N/A")</f>
        <v/>
      </c>
      <c r="O354" s="67" t="n"/>
      <c r="P354" s="2171">
        <f>IF(ISNUMBER(N354),N354-K354,"N/A")</f>
        <v/>
      </c>
      <c r="Q354" s="2168">
        <f>IFERROR(IF(ISNUMBER(N354),(N354-K354)/ABS(K354),"N/A"),"N/A")</f>
        <v/>
      </c>
      <c r="R354" s="112" t="n"/>
      <c r="S354" s="80" t="n">
        <v>44970</v>
      </c>
      <c r="T354" s="88" t="inlineStr">
        <is>
          <t>CFO Commentary</t>
        </is>
      </c>
      <c r="U354" s="67" t="n"/>
      <c r="BJ354" s="1013" t="n">
        <v>-50</v>
      </c>
      <c r="BK354" s="1013" t="n">
        <v>-50</v>
      </c>
      <c r="BL354" s="1013" t="n">
        <v>-50</v>
      </c>
      <c r="BM354" s="1013" t="n">
        <v>-50</v>
      </c>
    </row>
    <row r="355" ht="14.4" customFormat="1" customHeight="1" s="1013">
      <c r="A355" s="114" t="n">
        <v>609</v>
      </c>
      <c r="B355" s="77">
        <f>IF(INDEX(MO_SNA_IsHistoricalPeriod,,MATCH(F355,MO_Common_ColumnHeader,0)),"Historical","Forward")</f>
        <v/>
      </c>
      <c r="C355" s="67" t="n"/>
      <c r="D355" s="84">
        <f>INDEX(INDIRECT(E355),0,COLUMN(MO_Common_Column_A))</f>
        <v/>
      </c>
      <c r="E355" s="78" t="inlineStr">
        <is>
          <t>MO_CFS_CFO</t>
        </is>
      </c>
      <c r="F355" s="77" t="inlineStr">
        <is>
          <t>FY2023</t>
        </is>
      </c>
      <c r="G355" s="77" t="n"/>
      <c r="H355" s="67" t="n"/>
      <c r="I355" s="2087" t="n">
        <v>1300</v>
      </c>
      <c r="J355" s="2087" t="n">
        <v>1400</v>
      </c>
      <c r="K355" s="2087">
        <f>AVERAGE(I355:J355)</f>
        <v/>
      </c>
      <c r="L355" s="67" t="n"/>
      <c r="M355" s="77">
        <f>IF(INDEX(MO_SNA_IsHistoricalPeriod,,MATCH(F355,MO_Common_ColumnHeader,0)),"Actual","Estimate")</f>
        <v/>
      </c>
      <c r="N355" s="2087">
        <f>IFERROR(INDEX(INDIRECT(E355),0,MATCH(F355,MO_Common_ColumnHeader,0)),"N/A")</f>
        <v/>
      </c>
      <c r="O355" s="67" t="n"/>
      <c r="P355" s="2169">
        <f>IF(ISNUMBER(N355),N355-K355,"N/A")</f>
        <v/>
      </c>
      <c r="Q355" s="2168">
        <f>IFERROR(IF(ISNUMBER(N355),(N355-K355)/ABS(K355),"N/A"),"N/A")</f>
        <v/>
      </c>
      <c r="R355" s="112" t="n"/>
      <c r="S355" s="80" t="n">
        <v>44970</v>
      </c>
      <c r="T355" s="88" t="inlineStr">
        <is>
          <t>CFO Commentary</t>
        </is>
      </c>
      <c r="U355" s="67" t="n"/>
    </row>
    <row r="356" ht="14.4" customFormat="1" customHeight="1" s="1013">
      <c r="A356" s="114" t="n">
        <v>608</v>
      </c>
      <c r="B356" s="77">
        <f>IF(INDEX(MO_SNA_IsHistoricalPeriod,,MATCH(F356,MO_Common_ColumnHeader,0)),"Historical","Forward")</f>
        <v/>
      </c>
      <c r="C356" s="67" t="n"/>
      <c r="D356" s="84" t="inlineStr">
        <is>
          <t>GAAP Other Income &amp; Expense</t>
        </is>
      </c>
      <c r="E356" s="78" t="n"/>
      <c r="F356" s="77" t="inlineStr">
        <is>
          <t>FY2023</t>
        </is>
      </c>
      <c r="G356" s="77" t="n"/>
      <c r="H356" s="67" t="n"/>
      <c r="I356" s="2087" t="n">
        <v>-21</v>
      </c>
      <c r="J356" s="2087" t="n">
        <v>-29</v>
      </c>
      <c r="K356" s="2087">
        <f>AVERAGE(I356:J356)</f>
        <v/>
      </c>
      <c r="L356" s="67" t="n"/>
      <c r="M356" s="77">
        <f>IF(INDEX(MO_SNA_IsHistoricalPeriod,,MATCH(F356,MO_Common_ColumnHeader,0)),"Actual","Estimate")</f>
        <v/>
      </c>
      <c r="N356" s="2087">
        <f>-IFERROR(INDEX(MO_RIS_IE_Net,0,MATCH(F356,MO_Common_ColumnHeader,0)),"N/A")-IFERROR(INDEX(MO_RIS_OI,0,MATCH(F356,MO_Common_ColumnHeader,0)),"N/A")</f>
        <v/>
      </c>
      <c r="O356" s="67" t="n"/>
      <c r="P356" s="2169">
        <f>IF(ISNUMBER(N356),N356-K356,"N/A")</f>
        <v/>
      </c>
      <c r="Q356" s="2168">
        <f>IFERROR(IF(ISNUMBER(N356),(N356-K356)/ABS(K356),"N/A"),"N/A")</f>
        <v/>
      </c>
      <c r="R356" s="112" t="n"/>
      <c r="S356" s="80" t="n">
        <v>44970</v>
      </c>
      <c r="T356" s="88" t="inlineStr">
        <is>
          <t>CFO Commentary</t>
        </is>
      </c>
      <c r="U356" s="67" t="n"/>
    </row>
    <row r="357" ht="14.4" customFormat="1" customHeight="1" s="1013">
      <c r="A357" s="114" t="n">
        <v>607</v>
      </c>
      <c r="B357" s="77">
        <f>IF(INDEX(MO_SNA_IsHistoricalPeriod,,MATCH(F357,MO_Common_ColumnHeader,0)),"Historical","Forward")</f>
        <v/>
      </c>
      <c r="C357" s="67" t="n"/>
      <c r="D357" s="84" t="inlineStr">
        <is>
          <t>Non-GAAP Other Income &amp; Expense</t>
        </is>
      </c>
      <c r="E357" s="78" t="n"/>
      <c r="F357" s="77" t="inlineStr">
        <is>
          <t>FY2023</t>
        </is>
      </c>
      <c r="G357" s="77" t="n"/>
      <c r="H357" s="67" t="n"/>
      <c r="I357" s="2087" t="n">
        <v>-21</v>
      </c>
      <c r="J357" s="2087" t="n">
        <v>-29</v>
      </c>
      <c r="K357" s="2087">
        <f>AVERAGE(I357:J357)</f>
        <v/>
      </c>
      <c r="L357" s="67" t="n"/>
      <c r="M357" s="77">
        <f>IF(INDEX(MO_SNA_IsHistoricalPeriod,,MATCH(F357,MO_Common_ColumnHeader,0)),"Actual","Estimate")</f>
        <v/>
      </c>
      <c r="N357" s="2087">
        <f>-IFERROR(INDEX(MO_RIS_IE_Net_NONGAAP,0,MATCH(F357,MO_Common_ColumnHeader,0)),"N/A")-IFERROR(INDEX(MO_RIS_OI_NONGAAP,0,MATCH(F357,MO_Common_ColumnHeader,0)),"N/A")</f>
        <v/>
      </c>
      <c r="O357" s="67" t="n"/>
      <c r="P357" s="2169">
        <f>IF(ISNUMBER(N357),N357-K357,"N/A")</f>
        <v/>
      </c>
      <c r="Q357" s="2168">
        <f>IFERROR(IF(ISNUMBER(N357),(N357-K357)/ABS(K357),"N/A"),"N/A")</f>
        <v/>
      </c>
      <c r="R357" s="112" t="n"/>
      <c r="S357" s="80" t="n">
        <v>44970</v>
      </c>
      <c r="T357" s="88" t="inlineStr">
        <is>
          <t>CFO Commentary</t>
        </is>
      </c>
      <c r="U357" s="67" t="n"/>
    </row>
    <row r="358" ht="14.4" customFormat="1" customHeight="1" s="1013">
      <c r="A358" s="114" t="n">
        <v>606</v>
      </c>
      <c r="B358" s="77">
        <f>IF(INDEX(MO_SNA_IsHistoricalPeriod,,MATCH(F358,MO_Common_ColumnHeader,0)),"Historical","Forward")</f>
        <v/>
      </c>
      <c r="C358" s="67" t="n"/>
      <c r="D358" s="84" t="inlineStr">
        <is>
          <t>GAAP Tax Rate</t>
        </is>
      </c>
      <c r="E358" s="78" t="inlineStr">
        <is>
          <t>MO_RIS_TaxRate</t>
        </is>
      </c>
      <c r="F358" s="77" t="inlineStr">
        <is>
          <t>FY2023</t>
        </is>
      </c>
      <c r="G358" s="77" t="n"/>
      <c r="H358" s="67" t="n"/>
      <c r="I358" s="2108" t="n">
        <v>0.26</v>
      </c>
      <c r="J358" s="2108" t="n">
        <v>0.26</v>
      </c>
      <c r="K358" s="2108">
        <f>AVERAGE(I358:J358)</f>
        <v/>
      </c>
      <c r="L358" s="67" t="n"/>
      <c r="M358" s="77">
        <f>IF(INDEX(MO_SNA_IsHistoricalPeriod,,MATCH(F358,MO_Common_ColumnHeader,0)),"Actual","Estimate")</f>
        <v/>
      </c>
      <c r="N358" s="2108">
        <f>IFERROR(INDEX(INDIRECT(E358),0,MATCH(F358,MO_Common_ColumnHeader,0)),"N/A")</f>
        <v/>
      </c>
      <c r="O358" s="67" t="n"/>
      <c r="P358" s="2168">
        <f>IF(ISNUMBER(N358),N358-K358,"N/A")</f>
        <v/>
      </c>
      <c r="Q358" s="2168">
        <f>IFERROR(IF(ISNUMBER(N358),(N358-K358)/ABS(K358),"N/A"),"N/A")</f>
        <v/>
      </c>
      <c r="R358" s="112" t="n"/>
      <c r="S358" s="80" t="n">
        <v>44970</v>
      </c>
      <c r="T358" s="88" t="inlineStr">
        <is>
          <t>CFO Commentary</t>
        </is>
      </c>
      <c r="U358" s="67" t="n"/>
    </row>
    <row r="359" ht="14.4" customFormat="1" customHeight="1" s="1013">
      <c r="A359" s="114" t="n">
        <v>605</v>
      </c>
      <c r="B359" s="77">
        <f>IF(INDEX(MO_SNA_IsHistoricalPeriod,,MATCH(F359,MO_Common_ColumnHeader,0)),"Historical","Forward")</f>
        <v/>
      </c>
      <c r="C359" s="67" t="n"/>
      <c r="D359" s="84">
        <f>INDEX(INDIRECT(E359),0,COLUMN(MO_Common_Column_A))</f>
        <v/>
      </c>
      <c r="E359" s="78" t="inlineStr">
        <is>
          <t>MO_RIS_TaxRate_NONGAAP</t>
        </is>
      </c>
      <c r="F359" s="77" t="inlineStr">
        <is>
          <t>FY2023</t>
        </is>
      </c>
      <c r="G359" s="77" t="n"/>
      <c r="H359" s="67" t="n"/>
      <c r="I359" s="2108" t="n">
        <v>0.175</v>
      </c>
      <c r="J359" s="2108" t="n">
        <v>0.175</v>
      </c>
      <c r="K359" s="2108">
        <f>AVERAGE(I359:J359)</f>
        <v/>
      </c>
      <c r="L359" s="67" t="n"/>
      <c r="M359" s="77">
        <f>IF(INDEX(MO_SNA_IsHistoricalPeriod,,MATCH(F359,MO_Common_ColumnHeader,0)),"Actual","Estimate")</f>
        <v/>
      </c>
      <c r="N359" s="2108">
        <f>IFERROR(INDEX(INDIRECT(E359),0,MATCH(F359,MO_Common_ColumnHeader,0)),"N/A")</f>
        <v/>
      </c>
      <c r="O359" s="67" t="n"/>
      <c r="P359" s="2168">
        <f>IF(ISNUMBER(N359),N359-K359,"N/A")</f>
        <v/>
      </c>
      <c r="Q359" s="2168">
        <f>IFERROR(IF(ISNUMBER(N359),(N359-K359)/ABS(K359),"N/A"),"N/A")</f>
        <v/>
      </c>
      <c r="R359" s="112" t="n"/>
      <c r="S359" s="80" t="n">
        <v>44970</v>
      </c>
      <c r="T359" s="88" t="inlineStr">
        <is>
          <t>CFO Commentary</t>
        </is>
      </c>
      <c r="U359" s="67" t="n"/>
    </row>
    <row r="360" ht="14.4" customFormat="1" customHeight="1" s="1013">
      <c r="A360" s="114" t="n">
        <v>604</v>
      </c>
      <c r="B360" s="77">
        <f>IF(INDEX(MO_SNA_IsHistoricalPeriod,,MATCH(F360,MO_Common_ColumnHeader,0)),"Historical","Forward")</f>
        <v/>
      </c>
      <c r="C360" s="67" t="n"/>
      <c r="D360" s="84">
        <f>INDEX(INDIRECT(E360),0,COLUMN(MO_Common_Column_A))</f>
        <v/>
      </c>
      <c r="E360" s="78" t="inlineStr">
        <is>
          <t>MO_RIS_ShareCount_WAD</t>
        </is>
      </c>
      <c r="F360" s="77" t="inlineStr">
        <is>
          <t>FY2023</t>
        </is>
      </c>
      <c r="G360" s="77" t="n"/>
      <c r="H360" s="67" t="n"/>
      <c r="I360" s="2087" t="n">
        <v>272</v>
      </c>
      <c r="J360" s="2087" t="n">
        <v>274</v>
      </c>
      <c r="K360" s="2087">
        <f>AVERAGE(I360:J360)</f>
        <v/>
      </c>
      <c r="L360" s="67" t="n"/>
      <c r="M360" s="77">
        <f>IF(INDEX(MO_SNA_IsHistoricalPeriod,,MATCH(F360,MO_Common_ColumnHeader,0)),"Actual","Estimate")</f>
        <v/>
      </c>
      <c r="N360" s="2087">
        <f>IFERROR(INDEX(INDIRECT(E360),0,MATCH(F360,MO_Common_ColumnHeader,0)),"N/A")</f>
        <v/>
      </c>
      <c r="O360" s="67" t="n"/>
      <c r="P360" s="2169">
        <f>IF(ISNUMBER(N360),N360-K360,"N/A")</f>
        <v/>
      </c>
      <c r="Q360" s="2168">
        <f>IFERROR(IF(ISNUMBER(N360),(N360-K360)/ABS(K360),"N/A"),"N/A")</f>
        <v/>
      </c>
      <c r="R360" s="112" t="n"/>
      <c r="S360" s="80" t="n">
        <v>44970</v>
      </c>
      <c r="T360" s="88" t="inlineStr">
        <is>
          <t>CFO Commentary</t>
        </is>
      </c>
      <c r="U360" s="67" t="n"/>
    </row>
    <row r="361" ht="14.4" customFormat="1" customHeight="1" s="1013">
      <c r="A361" s="114" t="n">
        <v>603</v>
      </c>
      <c r="B361" s="77">
        <f>IF(INDEX(MO_SNA_IsHistoricalPeriod,,MATCH(F361,MO_Common_ColumnHeader,0)),"Historical","Forward")</f>
        <v/>
      </c>
      <c r="C361" s="67" t="n"/>
      <c r="D361" s="84" t="inlineStr">
        <is>
          <t>DSO</t>
        </is>
      </c>
      <c r="E361" s="78" t="n"/>
      <c r="F361" s="77" t="inlineStr">
        <is>
          <t>FY2023</t>
        </is>
      </c>
      <c r="G361" s="77" t="n"/>
      <c r="H361" s="67" t="n"/>
      <c r="I361" s="2087" t="n">
        <v>45</v>
      </c>
      <c r="J361" s="2087" t="n">
        <v>45</v>
      </c>
      <c r="K361" s="2087">
        <f>AVERAGE(I361:J361)</f>
        <v/>
      </c>
      <c r="L361" s="67" t="n"/>
      <c r="M361" s="77">
        <f>IF(INDEX(MO_SNA_IsHistoricalPeriod,,MATCH(F361,MO_Common_ColumnHeader,0)),"Actual","Estimate")</f>
        <v/>
      </c>
      <c r="N361" s="2087">
        <f>IFERROR(INDEX(INDIRECT(E361),0,MATCH(F361,MO_Common_ColumnHeader,0)),"N/A")</f>
        <v/>
      </c>
      <c r="O361" s="67" t="n"/>
      <c r="P361" s="2169">
        <f>IF(ISNUMBER(N361),N361-K361,"N/A")</f>
        <v/>
      </c>
      <c r="Q361" s="2168">
        <f>IFERROR(IF(ISNUMBER(N361),(N361-K361)/ABS(K361),"N/A"),"N/A")</f>
        <v/>
      </c>
      <c r="R361" s="112" t="n"/>
      <c r="S361" s="80" t="n">
        <v>44970</v>
      </c>
      <c r="T361" s="88" t="inlineStr">
        <is>
          <t>CFO Commentary</t>
        </is>
      </c>
      <c r="U361" s="67" t="n"/>
    </row>
    <row r="362" ht="14.4" customFormat="1" customHeight="1" s="1013">
      <c r="A362" s="114" t="n">
        <v>602</v>
      </c>
      <c r="B362" s="77">
        <f>IF(INDEX(MO_SNA_IsHistoricalPeriod,,MATCH(F362,MO_Common_ColumnHeader,0)),"Historical","Forward")</f>
        <v/>
      </c>
      <c r="C362" s="67" t="n"/>
      <c r="D362" s="84">
        <f>INDEX(INDIRECT(E362),0,COLUMN(MO_Common_Column_A))</f>
        <v/>
      </c>
      <c r="E362" s="78" t="inlineStr">
        <is>
          <t>MO_CFSum_Capex</t>
        </is>
      </c>
      <c r="F362" s="77" t="inlineStr">
        <is>
          <t>FY2023</t>
        </is>
      </c>
      <c r="G362" s="77" t="n"/>
      <c r="H362" s="67" t="n"/>
      <c r="I362" s="2087" t="n">
        <v>-120</v>
      </c>
      <c r="J362" s="2087" t="n">
        <v>-120</v>
      </c>
      <c r="K362" s="2087">
        <f>AVERAGE(I362:J362)</f>
        <v/>
      </c>
      <c r="L362" s="67" t="n"/>
      <c r="M362" s="77">
        <f>IF(INDEX(MO_SNA_IsHistoricalPeriod,,MATCH(F362,MO_Common_ColumnHeader,0)),"Actual","Estimate")</f>
        <v/>
      </c>
      <c r="N362" s="2087">
        <f>IFERROR(INDEX(INDIRECT(E362),0,MATCH(F362,MO_Common_ColumnHeader,0)),"N/A")</f>
        <v/>
      </c>
      <c r="O362" s="67" t="n"/>
      <c r="P362" s="2169">
        <f>IF(ISNUMBER(N362),N362-K362,"N/A")</f>
        <v/>
      </c>
      <c r="Q362" s="2168">
        <f>IFERROR(IF(ISNUMBER(N362),(N362-K362)/ABS(K362),"N/A"),"N/A")</f>
        <v/>
      </c>
      <c r="R362" s="112" t="n"/>
      <c r="S362" s="80" t="n">
        <v>44970</v>
      </c>
      <c r="T362" s="88" t="inlineStr">
        <is>
          <t>CFO Commentary</t>
        </is>
      </c>
      <c r="U362" s="67" t="n"/>
    </row>
    <row r="363" ht="14.4" customFormat="1" customHeight="1" s="1013">
      <c r="A363" s="114" t="n">
        <v>601</v>
      </c>
      <c r="B363" s="77">
        <f>IF(INDEX(MO_SNA_IsHistoricalPeriod,,MATCH(F363,MO_Common_ColumnHeader,0)),"Historical","Forward")</f>
        <v/>
      </c>
      <c r="C363" s="67" t="n"/>
      <c r="D363" s="84">
        <f>INDEX(INDIRECT(E363),0,COLUMN(MO_Common_Column_A))</f>
        <v/>
      </c>
      <c r="E363" s="78" t="inlineStr">
        <is>
          <t>MO_RIS_SBC</t>
        </is>
      </c>
      <c r="F363" s="77" t="inlineStr">
        <is>
          <t>FY2023</t>
        </is>
      </c>
      <c r="G363" s="77" t="n"/>
      <c r="H363" s="67" t="n"/>
      <c r="I363" s="2087" t="n">
        <v>330</v>
      </c>
      <c r="J363" s="2087" t="n">
        <v>330</v>
      </c>
      <c r="K363" s="2087">
        <f>AVERAGE(I363:J363)</f>
        <v/>
      </c>
      <c r="L363" s="67" t="n"/>
      <c r="M363" s="77">
        <f>IF(INDEX(MO_SNA_IsHistoricalPeriod,,MATCH(F363,MO_Common_ColumnHeader,0)),"Actual","Estimate")</f>
        <v/>
      </c>
      <c r="N363" s="2087">
        <f>IFERROR(INDEX(INDIRECT(E363),0,MATCH(F363,MO_Common_ColumnHeader,0)),"N/A")</f>
        <v/>
      </c>
      <c r="O363" s="67" t="n"/>
      <c r="P363" s="2169">
        <f>IF(ISNUMBER(N363),N363-K363,"N/A")</f>
        <v/>
      </c>
      <c r="Q363" s="2168">
        <f>IFERROR(IF(ISNUMBER(N363),(N363-K363)/ABS(K363),"N/A"),"N/A")</f>
        <v/>
      </c>
      <c r="R363" s="112" t="n"/>
      <c r="S363" s="80" t="n">
        <v>44970</v>
      </c>
      <c r="T363" s="88" t="inlineStr">
        <is>
          <t>CFO Commentary</t>
        </is>
      </c>
      <c r="U363" s="67" t="n"/>
    </row>
    <row r="364" ht="14.4" customFormat="1" customHeight="1" s="1013">
      <c r="A364" s="114" t="n">
        <v>600</v>
      </c>
      <c r="B364" s="77">
        <f>IF(INDEX(MO_SNA_IsHistoricalPeriod,,MATCH(F364,MO_Common_ColumnHeader,0)),"Historical","Forward")</f>
        <v/>
      </c>
      <c r="C364" s="67" t="n"/>
      <c r="D364" s="84">
        <f>INDEX(INDIRECT(E364),0,COLUMN(MO_Common_Column_A))</f>
        <v/>
      </c>
      <c r="E364" s="78" t="inlineStr">
        <is>
          <t>MO_RIS_Daintangibles</t>
        </is>
      </c>
      <c r="F364" s="77" t="inlineStr">
        <is>
          <t>FY2023</t>
        </is>
      </c>
      <c r="G364" s="77" t="n"/>
      <c r="H364" s="67" t="n"/>
      <c r="I364" s="2087" t="n">
        <v>58</v>
      </c>
      <c r="J364" s="2087" t="n">
        <v>58</v>
      </c>
      <c r="K364" s="2087">
        <f>AVERAGE(I364:J364)</f>
        <v/>
      </c>
      <c r="L364" s="67" t="n"/>
      <c r="M364" s="77">
        <f>IF(INDEX(MO_SNA_IsHistoricalPeriod,,MATCH(F364,MO_Common_ColumnHeader,0)),"Actual","Estimate")</f>
        <v/>
      </c>
      <c r="N364" s="2087">
        <f>IFERROR(INDEX(INDIRECT(E364),0,MATCH(F364,MO_Common_ColumnHeader,0)),"N/A")</f>
        <v/>
      </c>
      <c r="O364" s="67" t="n"/>
      <c r="P364" s="2169">
        <f>IF(ISNUMBER(N364),N364-K364,"N/A")</f>
        <v/>
      </c>
      <c r="Q364" s="2168">
        <f>IFERROR(IF(ISNUMBER(N364),(N364-K364)/ABS(K364),"N/A"),"N/A")</f>
        <v/>
      </c>
      <c r="R364" s="112" t="n"/>
      <c r="S364" s="80" t="n">
        <v>44970</v>
      </c>
      <c r="T364" s="88" t="inlineStr">
        <is>
          <t>CFO Commentary</t>
        </is>
      </c>
      <c r="U364" s="67" t="n"/>
    </row>
    <row r="365" ht="14.4" customFormat="1" customHeight="1" s="1013">
      <c r="A365" s="114" t="n">
        <v>599</v>
      </c>
      <c r="B365" s="77">
        <f>IF(INDEX(MO_SNA_IsHistoricalPeriod,,MATCH(F365,MO_Common_ColumnHeader,0)),"Historical","Forward")</f>
        <v/>
      </c>
      <c r="C365" s="67" t="n"/>
      <c r="D365" s="84" t="inlineStr">
        <is>
          <t>Acquisition and integration-related costs</t>
        </is>
      </c>
      <c r="E365" s="78" t="n"/>
      <c r="F365" s="77" t="inlineStr">
        <is>
          <t>FY2023</t>
        </is>
      </c>
      <c r="G365" s="77" t="n"/>
      <c r="H365" s="67" t="n"/>
      <c r="I365" s="2087" t="n">
        <v>40</v>
      </c>
      <c r="J365" s="2087" t="n">
        <v>40</v>
      </c>
      <c r="K365" s="2087">
        <f>AVERAGE(I365:J365)</f>
        <v/>
      </c>
      <c r="L365" s="67" t="n"/>
      <c r="M365" s="77">
        <f>IF(INDEX(MO_SNA_IsHistoricalPeriod,,MATCH(F365,MO_Common_ColumnHeader,0)),"Actual","Estimate")</f>
        <v/>
      </c>
      <c r="N365" s="2087">
        <f>IFERROR(INDEX(INDIRECT(E365),0,MATCH(F365,MO_Common_ColumnHeader,0)),"N/A")</f>
        <v/>
      </c>
      <c r="O365" s="67" t="n"/>
      <c r="P365" s="2169">
        <f>IF(ISNUMBER(N365),N365-K365,"N/A")</f>
        <v/>
      </c>
      <c r="Q365" s="2168">
        <f>IFERROR(IF(ISNUMBER(N365),(N365-K365)/ABS(K365),"N/A"),"N/A")</f>
        <v/>
      </c>
      <c r="R365" s="112" t="n"/>
      <c r="S365" s="80" t="n">
        <v>44970</v>
      </c>
      <c r="T365" s="88" t="inlineStr">
        <is>
          <t>CFO Commentary</t>
        </is>
      </c>
      <c r="U365" s="67" t="n"/>
    </row>
    <row r="366" ht="14.4" customFormat="1" customHeight="1" s="1013">
      <c r="A366" s="114" t="n">
        <v>598</v>
      </c>
      <c r="B366" s="77">
        <f>IF(INDEX(MO_SNA_IsHistoricalPeriod,,MATCH(F366,MO_Common_ColumnHeader,0)),"Historical","Forward")</f>
        <v/>
      </c>
      <c r="C366" s="67" t="n"/>
      <c r="D366" s="84" t="inlineStr">
        <is>
          <t>Restructuring and other credits</t>
        </is>
      </c>
      <c r="E366" s="78" t="n"/>
      <c r="F366" s="77" t="inlineStr">
        <is>
          <t>FY2023</t>
        </is>
      </c>
      <c r="G366" s="77" t="n"/>
      <c r="H366" s="67" t="n"/>
      <c r="I366" s="2087" t="n">
        <v>0</v>
      </c>
      <c r="J366" s="2087" t="n">
        <v>0</v>
      </c>
      <c r="K366" s="2087">
        <f>AVERAGE(I366:J366)</f>
        <v/>
      </c>
      <c r="L366" s="67" t="n"/>
      <c r="M366" s="77">
        <f>IF(INDEX(MO_SNA_IsHistoricalPeriod,,MATCH(F366,MO_Common_ColumnHeader,0)),"Actual","Estimate")</f>
        <v/>
      </c>
      <c r="N366" s="2087">
        <f>IFERROR(INDEX(INDIRECT(E366),0,MATCH(F366,MO_Common_ColumnHeader,0)),"N/A")</f>
        <v/>
      </c>
      <c r="O366" s="67" t="n"/>
      <c r="P366" s="2169">
        <f>IF(ISNUMBER(N366),N366-K366,"N/A")</f>
        <v/>
      </c>
      <c r="Q366" s="2168">
        <f>IFERROR(IF(ISNUMBER(N366),(N366-K366)/ABS(K366),"N/A"),"N/A")</f>
        <v/>
      </c>
      <c r="R366" s="112" t="n"/>
      <c r="S366" s="80" t="n">
        <v>44970</v>
      </c>
      <c r="T366" s="88" t="inlineStr">
        <is>
          <t>CFO Commentary</t>
        </is>
      </c>
      <c r="U366" s="67" t="n"/>
    </row>
    <row r="367" ht="14.4" customFormat="1" customHeight="1" s="1013">
      <c r="A367" s="114" t="n">
        <v>597</v>
      </c>
      <c r="B367" s="77">
        <f>IF(INDEX(MO_SNA_IsHistoricalPeriod,,MATCH(F367,MO_Common_ColumnHeader,0)),"Historical","Forward")</f>
        <v/>
      </c>
      <c r="C367" s="67" t="n"/>
      <c r="D367" s="84" t="inlineStr">
        <is>
          <t>Non-Qualified deferred compensation expenses</t>
        </is>
      </c>
      <c r="E367" s="78" t="n"/>
      <c r="F367" s="77" t="inlineStr">
        <is>
          <t>FY2023</t>
        </is>
      </c>
      <c r="G367" s="77" t="n"/>
      <c r="H367" s="67" t="n"/>
      <c r="I367" s="2087" t="n">
        <v>0</v>
      </c>
      <c r="J367" s="2087" t="n">
        <v>0</v>
      </c>
      <c r="K367" s="2087">
        <f>AVERAGE(I367:J367)</f>
        <v/>
      </c>
      <c r="L367" s="67" t="n"/>
      <c r="M367" s="77">
        <f>IF(INDEX(MO_SNA_IsHistoricalPeriod,,MATCH(F367,MO_Common_ColumnHeader,0)),"Actual","Estimate")</f>
        <v/>
      </c>
      <c r="N367" s="2087">
        <f>IFERROR(INDEX(INDIRECT(E367),0,MATCH(F367,MO_Common_ColumnHeader,0)),"N/A")</f>
        <v/>
      </c>
      <c r="O367" s="67" t="n"/>
      <c r="P367" s="2169">
        <f>IF(ISNUMBER(N367),N367-K367,"N/A")</f>
        <v/>
      </c>
      <c r="Q367" s="2168">
        <f>IFERROR(IF(ISNUMBER(N367),(N367-K367)/ABS(K367),"N/A"),"N/A")</f>
        <v/>
      </c>
      <c r="R367" s="112" t="n"/>
      <c r="S367" s="80" t="n">
        <v>44970</v>
      </c>
      <c r="T367" s="88" t="inlineStr">
        <is>
          <t>CFO Commentary</t>
        </is>
      </c>
      <c r="U367" s="67" t="n"/>
    </row>
    <row r="368" ht="14.4" customFormat="1" customHeight="1" s="1013">
      <c r="A368" s="114" t="n">
        <v>596</v>
      </c>
      <c r="B368" s="77">
        <f>IF(INDEX(MO_SNA_IsHistoricalPeriod,,MATCH(F368,MO_Common_ColumnHeader,0)),"Historical","Forward")</f>
        <v/>
      </c>
      <c r="C368" s="67" t="n"/>
      <c r="D368" s="84" t="inlineStr">
        <is>
          <t>Special charges</t>
        </is>
      </c>
      <c r="E368" s="78" t="n"/>
      <c r="F368" s="77" t="inlineStr">
        <is>
          <t>FY2023</t>
        </is>
      </c>
      <c r="G368" s="77" t="n"/>
      <c r="H368" s="67" t="n"/>
      <c r="I368" s="2087" t="n">
        <v>0</v>
      </c>
      <c r="J368" s="2087" t="n">
        <v>0</v>
      </c>
      <c r="K368" s="2087">
        <f>AVERAGE(I368:J368)</f>
        <v/>
      </c>
      <c r="L368" s="67" t="n"/>
      <c r="M368" s="77">
        <f>IF(INDEX(MO_SNA_IsHistoricalPeriod,,MATCH(F368,MO_Common_ColumnHeader,0)),"Actual","Estimate")</f>
        <v/>
      </c>
      <c r="N368" s="2087">
        <f>IFERROR(INDEX(INDIRECT(E368),0,MATCH(F368,MO_Common_ColumnHeader,0)),"N/A")</f>
        <v/>
      </c>
      <c r="O368" s="67" t="n"/>
      <c r="P368" s="2169">
        <f>IF(ISNUMBER(N368),N368-K368,"N/A")</f>
        <v/>
      </c>
      <c r="Q368" s="2168">
        <f>IFERROR(IF(ISNUMBER(N368),(N368-K368)/ABS(K368),"N/A"),"N/A")</f>
        <v/>
      </c>
      <c r="R368" s="112" t="n"/>
      <c r="S368" s="80" t="n">
        <v>44970</v>
      </c>
      <c r="T368" s="88" t="inlineStr">
        <is>
          <t>CFO Commentary</t>
        </is>
      </c>
      <c r="U368" s="67" t="n"/>
    </row>
    <row r="369" ht="14.4" customFormat="1" customHeight="1" s="1013">
      <c r="A369" s="114" t="n">
        <v>595</v>
      </c>
      <c r="B369" s="77">
        <f>IF(INDEX(MO_SNA_IsHistoricalPeriod,,MATCH(F369,MO_Common_ColumnHeader,0)),"Historical","Forward")</f>
        <v/>
      </c>
      <c r="C369" s="67" t="n"/>
      <c r="D369" s="84" t="inlineStr">
        <is>
          <t>GAAP Operating Expenses</t>
        </is>
      </c>
      <c r="E369" s="78" t="n"/>
      <c r="F369" s="77" t="inlineStr">
        <is>
          <t>FY2023</t>
        </is>
      </c>
      <c r="G369" s="77" t="n"/>
      <c r="H369" s="67" t="n"/>
      <c r="I369" s="2087" t="n">
        <v>2796</v>
      </c>
      <c r="J369" s="2087" t="n">
        <v>2796</v>
      </c>
      <c r="K369" s="2087">
        <f>AVERAGE(I369:J369)</f>
        <v/>
      </c>
      <c r="L369" s="67" t="n"/>
      <c r="M369" s="77">
        <f>IF(INDEX(MO_SNA_IsHistoricalPeriod,,MATCH(F369,MO_Common_ColumnHeader,0)),"Actual","Estimate")</f>
        <v/>
      </c>
      <c r="N369" s="2087">
        <f>IFERROR(INDEX(MO_RIS_COGS,0,MATCH(Guidance!F369,MO_Common_ColumnHeader,0))+INDEX(MO_RIS_RD,0,MATCH(Guidance!F369,MO_Common_ColumnHeader,0))+INDEX(MO_RIS_GA,0,MATCH(Guidance!F369,MO_Common_ColumnHeader,0))+INDEX(MO_RIS_SM,0,MATCH(Guidance!F369,MO_Common_ColumnHeader,0)),"N/A")</f>
        <v/>
      </c>
      <c r="O369" s="2072" t="n"/>
      <c r="P369" s="2169">
        <f>IF(ISNUMBER(N369),N369-K369,"N/A")</f>
        <v/>
      </c>
      <c r="Q369" s="2168">
        <f>IFERROR(IF(ISNUMBER(N369),(N369-K369)/ABS(K369),"N/A"),"N/A")</f>
        <v/>
      </c>
      <c r="R369" s="112" t="n"/>
      <c r="S369" s="80" t="n">
        <v>44970</v>
      </c>
      <c r="T369" s="88" t="inlineStr">
        <is>
          <t>CFO Commentary</t>
        </is>
      </c>
      <c r="U369" s="67" t="n"/>
    </row>
    <row r="370" ht="14.4" customFormat="1" customHeight="1" s="1013">
      <c r="A370" s="114" t="n">
        <v>594</v>
      </c>
      <c r="B370" s="77">
        <f>IF(INDEX(MO_SNA_IsHistoricalPeriod,,MATCH(F370,MO_Common_ColumnHeader,0)),"Historical","Forward")</f>
        <v/>
      </c>
      <c r="C370" s="67" t="n"/>
      <c r="D370" s="84" t="inlineStr">
        <is>
          <t>Non-GAAP Operating Expenses</t>
        </is>
      </c>
      <c r="E370" s="78" t="n"/>
      <c r="F370" s="77" t="inlineStr">
        <is>
          <t>FY2023</t>
        </is>
      </c>
      <c r="G370" s="77" t="n"/>
      <c r="H370" s="67" t="n"/>
      <c r="I370" s="2087" t="n">
        <v>2368</v>
      </c>
      <c r="J370" s="2087" t="n">
        <v>2368</v>
      </c>
      <c r="K370" s="2087">
        <f>AVERAGE(I370:J370)</f>
        <v/>
      </c>
      <c r="L370" s="67" t="n"/>
      <c r="M370" s="77">
        <f>IF(INDEX(MO_SNA_IsHistoricalPeriod,,MATCH(F370,MO_Common_ColumnHeader,0)),"Actual","Estimate")</f>
        <v/>
      </c>
      <c r="N370" s="2087">
        <f>IFERROR(INDEX(MO_RIS_REV,0,MATCH(Guidance!F370,MO_Common_ColumnHeader,0))+INDEX(MO_RIS_RD_NONGAAP,0,MATCH(Guidance!F370,MO_Common_ColumnHeader,0))+INDEX(MO_RIS_GA_NONGAAP,0,MATCH(Guidance!F370,MO_Common_ColumnHeader,0))+INDEX(MO_RIS_SM_NONGAAP,0,MATCH(Guidance!F370,MO_Common_ColumnHeader,0))-INDEX(MO_RIS_GP_NONGAAP,0,MATCH(Guidance!F370,MO_Common_ColumnHeader,0)),"N/A")</f>
        <v/>
      </c>
      <c r="O370" s="2072" t="n"/>
      <c r="P370" s="2169">
        <f>IF(ISNUMBER(N370),N370-K370,"N/A")</f>
        <v/>
      </c>
      <c r="Q370" s="2168">
        <f>IFERROR(IF(ISNUMBER(N370),(N370-K370)/ABS(K370),"N/A"),"N/A")</f>
        <v/>
      </c>
      <c r="R370" s="112" t="n"/>
      <c r="S370" s="80" t="n">
        <v>44970</v>
      </c>
      <c r="T370" s="88" t="inlineStr">
        <is>
          <t>CFO Commentary</t>
        </is>
      </c>
      <c r="U370" s="67" t="n"/>
    </row>
    <row r="371" ht="14.4" customFormat="1" customHeight="1" s="1013">
      <c r="A371" s="114" t="n">
        <v>593</v>
      </c>
      <c r="B371" s="67" t="n"/>
      <c r="C371" s="67" t="n"/>
      <c r="D371" s="68" t="n"/>
      <c r="E371" s="69" t="n"/>
      <c r="F371" s="67" t="n"/>
      <c r="G371" s="67" t="n"/>
      <c r="H371" s="67" t="n"/>
      <c r="I371" s="2072" t="n"/>
      <c r="J371" s="2072" t="n"/>
      <c r="K371" s="2072" t="n"/>
      <c r="L371" s="67" t="n"/>
      <c r="M371" s="67" t="n"/>
      <c r="N371" s="2072" t="n"/>
      <c r="O371" s="67" t="n"/>
      <c r="P371" s="2172" t="n"/>
      <c r="Q371" s="2173" t="n"/>
      <c r="R371" s="112" t="n"/>
      <c r="S371" s="112" t="n"/>
      <c r="T371" s="344" t="n"/>
      <c r="U371" s="67" t="n"/>
    </row>
    <row r="372" ht="14.4" customFormat="1" customHeight="1" s="1013">
      <c r="A372" s="114" t="n">
        <v>592</v>
      </c>
      <c r="B372" s="77">
        <f>IF(INDEX(MO_SNA_IsHistoricalPeriod,,MATCH(F372,MO_Common_ColumnHeader,0)),"Historical","Forward")</f>
        <v/>
      </c>
      <c r="C372" s="67" t="n"/>
      <c r="D372" s="84">
        <f>INDEX(INDIRECT(E372),0,COLUMN(MO_Common_Column_A))</f>
        <v/>
      </c>
      <c r="E372" s="78" t="inlineStr">
        <is>
          <t>MO_RIS_REV</t>
        </is>
      </c>
      <c r="F372" s="77" t="inlineStr">
        <is>
          <t>Q1-2023</t>
        </is>
      </c>
      <c r="G372" s="77" t="n"/>
      <c r="H372" s="67" t="n"/>
      <c r="I372" s="2087" t="n">
        <v>1000</v>
      </c>
      <c r="J372" s="2087" t="n">
        <v>1020</v>
      </c>
      <c r="K372" s="2087">
        <f>AVERAGE(I372:J372)</f>
        <v/>
      </c>
      <c r="L372" s="67" t="n"/>
      <c r="M372" s="77">
        <f>IF(INDEX(MO_SNA_IsHistoricalPeriod,,MATCH(F372,MO_Common_ColumnHeader,0)),"Actual","Estimate")</f>
        <v/>
      </c>
      <c r="N372" s="2087">
        <f>IFERROR(INDEX(INDIRECT(E372),0,MATCH(F372,MO_Common_ColumnHeader,0)),"N/A")</f>
        <v/>
      </c>
      <c r="O372" s="67" t="n"/>
      <c r="P372" s="2169">
        <f>IF(ISNUMBER(N372),N372-K372,"N/A")</f>
        <v/>
      </c>
      <c r="Q372" s="2168">
        <f>IFERROR(IF(ISNUMBER(N372),(N372-K372)/ABS(K372),"N/A"),"N/A")</f>
        <v/>
      </c>
      <c r="R372" s="112" t="n"/>
      <c r="S372" s="80" t="n">
        <v>44970</v>
      </c>
      <c r="T372" s="88" t="inlineStr">
        <is>
          <t>CFO Commentary</t>
        </is>
      </c>
      <c r="U372" s="67" t="n"/>
    </row>
    <row r="373" ht="14.4" customFormat="1" customHeight="1" s="1013">
      <c r="A373" s="114" t="n">
        <v>591</v>
      </c>
      <c r="B373" s="77">
        <f>IF(INDEX(MO_SNA_IsHistoricalPeriod,,MATCH(F373,MO_Common_ColumnHeader,0)),"Historical","Forward")</f>
        <v/>
      </c>
      <c r="C373" s="67" t="n"/>
      <c r="D373" s="84" t="inlineStr">
        <is>
          <t>GAAP Operating Margin</t>
        </is>
      </c>
      <c r="E373" s="78" t="inlineStr">
        <is>
          <t>MO_MA_EBIT</t>
        </is>
      </c>
      <c r="F373" s="77" t="inlineStr">
        <is>
          <t>Q1-2023</t>
        </is>
      </c>
      <c r="G373" s="77" t="n"/>
      <c r="H373" s="67" t="n"/>
      <c r="I373" s="2108" t="n">
        <v>0.31</v>
      </c>
      <c r="J373" s="2108" t="n">
        <v>0.32</v>
      </c>
      <c r="K373" s="2108">
        <f>AVERAGE(I373:J373)</f>
        <v/>
      </c>
      <c r="L373" s="67" t="n"/>
      <c r="M373" s="77">
        <f>IF(INDEX(MO_SNA_IsHistoricalPeriod,,MATCH(F373,MO_Common_ColumnHeader,0)),"Actual","Estimate")</f>
        <v/>
      </c>
      <c r="N373" s="2108">
        <f>IFERROR(INDEX(INDIRECT(E373),0,MATCH(F373,MO_Common_ColumnHeader,0)),"N/A")</f>
        <v/>
      </c>
      <c r="O373" s="67" t="n"/>
      <c r="P373" s="2168">
        <f>IF(ISNUMBER(N373),N373-K373,"N/A")</f>
        <v/>
      </c>
      <c r="Q373" s="2168">
        <f>IFERROR(IF(ISNUMBER(N373),(N373-K373)/ABS(K373),"N/A"),"N/A")</f>
        <v/>
      </c>
      <c r="R373" s="112" t="n"/>
      <c r="S373" s="80" t="n">
        <v>44970</v>
      </c>
      <c r="T373" s="88" t="inlineStr">
        <is>
          <t>CFO Commentary</t>
        </is>
      </c>
      <c r="U373" s="67" t="n"/>
    </row>
    <row r="374" ht="14.4" customFormat="1" customHeight="1" s="1013">
      <c r="A374" s="114" t="n">
        <v>590</v>
      </c>
      <c r="B374" s="77">
        <f>IF(INDEX(MO_SNA_IsHistoricalPeriod,,MATCH(F374,MO_Common_ColumnHeader,0)),"Historical","Forward")</f>
        <v/>
      </c>
      <c r="C374" s="67" t="n"/>
      <c r="D374" s="84">
        <f>INDEX(INDIRECT(E374),0,COLUMN(MO_Common_Column_A))</f>
        <v/>
      </c>
      <c r="E374" s="78" t="inlineStr">
        <is>
          <t>MO_MA_OperatingIncome_NONGAAP</t>
        </is>
      </c>
      <c r="F374" s="77" t="inlineStr">
        <is>
          <t>Q1-2023</t>
        </is>
      </c>
      <c r="G374" s="77" t="n"/>
      <c r="H374" s="67" t="n"/>
      <c r="I374" s="2108" t="n">
        <v>0.41</v>
      </c>
      <c r="J374" s="2108" t="n">
        <v>0.42</v>
      </c>
      <c r="K374" s="2108">
        <f>AVERAGE(I374:J374)</f>
        <v/>
      </c>
      <c r="L374" s="67" t="n"/>
      <c r="M374" s="77">
        <f>IF(INDEX(MO_SNA_IsHistoricalPeriod,,MATCH(F374,MO_Common_ColumnHeader,0)),"Actual","Estimate")</f>
        <v/>
      </c>
      <c r="N374" s="2108">
        <f>IFERROR(INDEX(INDIRECT(E374),0,MATCH(F374,MO_Common_ColumnHeader,0)),"N/A")</f>
        <v/>
      </c>
      <c r="O374" s="67" t="n"/>
      <c r="P374" s="2168">
        <f>IF(ISNUMBER(N374),N374-K374,"N/A")</f>
        <v/>
      </c>
      <c r="Q374" s="2168">
        <f>IFERROR(IF(ISNUMBER(N374),(N374-K374)/ABS(K374),"N/A"),"N/A")</f>
        <v/>
      </c>
      <c r="R374" s="112" t="n"/>
      <c r="S374" s="80" t="n">
        <v>44970</v>
      </c>
      <c r="T374" s="88" t="inlineStr">
        <is>
          <t>CFO Commentary</t>
        </is>
      </c>
      <c r="U374" s="67" t="n"/>
    </row>
    <row r="375" ht="14.4" customFormat="1" customHeight="1" s="1013">
      <c r="A375" s="114" t="n">
        <v>589</v>
      </c>
      <c r="B375" s="77">
        <f>IF(INDEX(MO_SNA_IsHistoricalPeriod,,MATCH(F375,MO_Common_ColumnHeader,0)),"Historical","Forward")</f>
        <v/>
      </c>
      <c r="C375" s="67" t="n"/>
      <c r="D375" s="84">
        <f>INDEX(INDIRECT(E375),0,COLUMN(MO_Common_Column_A))</f>
        <v/>
      </c>
      <c r="E375" s="78" t="inlineStr">
        <is>
          <t>MO_RIS_EPS_WAD</t>
        </is>
      </c>
      <c r="F375" s="77" t="inlineStr">
        <is>
          <t>Q1-2023</t>
        </is>
      </c>
      <c r="G375" s="77" t="n"/>
      <c r="H375" s="67" t="n"/>
      <c r="I375" s="2170" t="n">
        <v>0.84</v>
      </c>
      <c r="J375" s="2170" t="n">
        <v>0.88</v>
      </c>
      <c r="K375" s="2170">
        <f>AVERAGE(I375:J375)</f>
        <v/>
      </c>
      <c r="L375" s="67" t="n"/>
      <c r="M375" s="77">
        <f>IF(INDEX(MO_SNA_IsHistoricalPeriod,,MATCH(F375,MO_Common_ColumnHeader,0)),"Actual","Estimate")</f>
        <v/>
      </c>
      <c r="N375" s="2170">
        <f>IFERROR(INDEX(INDIRECT(E375),0,MATCH(F375,MO_Common_ColumnHeader,0)),"N/A")</f>
        <v/>
      </c>
      <c r="O375" s="67" t="n"/>
      <c r="P375" s="2171">
        <f>IF(ISNUMBER(N375),N375-K375,"N/A")</f>
        <v/>
      </c>
      <c r="Q375" s="2168">
        <f>IFERROR(IF(ISNUMBER(N375),(N375-K375)/ABS(K375),"N/A"),"N/A")</f>
        <v/>
      </c>
      <c r="R375" s="112" t="n"/>
      <c r="S375" s="80" t="n">
        <v>44970</v>
      </c>
      <c r="T375" s="88" t="inlineStr">
        <is>
          <t>CFO Commentary</t>
        </is>
      </c>
      <c r="U375" s="67" t="n"/>
    </row>
    <row r="376" ht="14.4" customFormat="1" customHeight="1" s="1013">
      <c r="A376" s="114" t="n">
        <v>588</v>
      </c>
      <c r="B376" s="77">
        <f>IF(INDEX(MO_SNA_IsHistoricalPeriod,,MATCH(F376,MO_Common_ColumnHeader,0)),"Historical","Forward")</f>
        <v/>
      </c>
      <c r="C376" s="67" t="n"/>
      <c r="D376" s="84">
        <f>INDEX(INDIRECT(E376),0,COLUMN(MO_Common_Column_A))</f>
        <v/>
      </c>
      <c r="E376" s="78" t="inlineStr">
        <is>
          <t>MO_RIS_EPS_WAD_Adj</t>
        </is>
      </c>
      <c r="F376" s="77" t="inlineStr">
        <is>
          <t>Q1-2023</t>
        </is>
      </c>
      <c r="G376" s="77" t="n"/>
      <c r="H376" s="67" t="n"/>
      <c r="I376" s="2170" t="n">
        <v>1.23</v>
      </c>
      <c r="J376" s="2170" t="n">
        <v>1.27</v>
      </c>
      <c r="K376" s="2170">
        <f>AVERAGE(I376:J376)</f>
        <v/>
      </c>
      <c r="L376" s="67" t="n"/>
      <c r="M376" s="77">
        <f>IF(INDEX(MO_SNA_IsHistoricalPeriod,,MATCH(F376,MO_Common_ColumnHeader,0)),"Actual","Estimate")</f>
        <v/>
      </c>
      <c r="N376" s="2170">
        <f>IFERROR(INDEX(INDIRECT(E376),0,MATCH(F376,MO_Common_ColumnHeader,0)),"N/A")</f>
        <v/>
      </c>
      <c r="O376" s="67" t="n"/>
      <c r="P376" s="2171">
        <f>IF(ISNUMBER(N376),N376-K376,"N/A")</f>
        <v/>
      </c>
      <c r="Q376" s="2168">
        <f>IFERROR(IF(ISNUMBER(N376),(N376-K376)/ABS(K376),"N/A"),"N/A")</f>
        <v/>
      </c>
      <c r="R376" s="112" t="n"/>
      <c r="S376" s="80" t="n">
        <v>44970</v>
      </c>
      <c r="T376" s="88" t="inlineStr">
        <is>
          <t>CFO Commentary</t>
        </is>
      </c>
      <c r="U376" s="67" t="n"/>
    </row>
    <row r="377" ht="14.4" customFormat="1" customHeight="1" s="1013">
      <c r="A377" s="114" t="n">
        <v>587</v>
      </c>
      <c r="B377" s="77">
        <f>IF(INDEX(MO_SNA_IsHistoricalPeriod,,MATCH(F377,MO_Common_ColumnHeader,0)),"Historical","Forward")</f>
        <v/>
      </c>
      <c r="C377" s="67" t="n"/>
      <c r="D377" s="84">
        <f>INDEX(INDIRECT(E377),0,COLUMN(MO_Common_Column_A))</f>
        <v/>
      </c>
      <c r="E377" s="78" t="inlineStr">
        <is>
          <t>MO_CFSum_NetShares</t>
        </is>
      </c>
      <c r="F377" s="77" t="inlineStr">
        <is>
          <t>Q1-2023</t>
        </is>
      </c>
      <c r="G377" s="77" t="n"/>
      <c r="H377" s="67" t="n"/>
      <c r="I377" s="2087" t="n">
        <v>-125</v>
      </c>
      <c r="J377" s="2087" t="n">
        <v>-125</v>
      </c>
      <c r="K377" s="2087">
        <f>AVERAGE(I377:J377)</f>
        <v/>
      </c>
      <c r="L377" s="67" t="n"/>
      <c r="M377" s="77">
        <f>IF(INDEX(MO_SNA_IsHistoricalPeriod,,MATCH(F377,MO_Common_ColumnHeader,0)),"Actual","Estimate")</f>
        <v/>
      </c>
      <c r="N377" s="2087">
        <f>IFERROR(INDEX(INDIRECT(E377),0,MATCH(F377,MO_Common_ColumnHeader,0)),"N/A")</f>
        <v/>
      </c>
      <c r="O377" s="67" t="n"/>
      <c r="P377" s="2169">
        <f>IF(ISNUMBER(N377),N377-K377,"N/A")</f>
        <v/>
      </c>
      <c r="Q377" s="2168">
        <f>IFERROR(IF(ISNUMBER(N377),(N377-K377)/ABS(K377),"N/A"),"N/A")</f>
        <v/>
      </c>
      <c r="R377" s="112" t="n"/>
      <c r="S377" s="80" t="n">
        <v>44970</v>
      </c>
      <c r="T377" s="88" t="inlineStr">
        <is>
          <t>CFO Commentary</t>
        </is>
      </c>
      <c r="U377" s="67" t="n"/>
    </row>
    <row r="378" ht="14.4" customFormat="1" customHeight="1" s="1013">
      <c r="A378" s="114" t="n">
        <v>586</v>
      </c>
      <c r="B378" s="67" t="n"/>
      <c r="C378" s="67" t="n"/>
      <c r="D378" s="68" t="n"/>
      <c r="E378" s="69" t="n"/>
      <c r="F378" s="67" t="n"/>
      <c r="G378" s="67" t="n"/>
      <c r="H378" s="67" t="n"/>
      <c r="I378" s="2072" t="n"/>
      <c r="J378" s="2072" t="n"/>
      <c r="K378" s="2072" t="n"/>
      <c r="L378" s="67" t="n"/>
      <c r="M378" s="67" t="n"/>
      <c r="N378" s="2072" t="n"/>
      <c r="O378" s="67" t="n"/>
      <c r="P378" s="2172" t="n"/>
      <c r="Q378" s="2173" t="n"/>
      <c r="R378" s="112" t="n"/>
      <c r="S378" s="112" t="n"/>
      <c r="T378" s="344" t="n"/>
      <c r="U378" s="67" t="n"/>
    </row>
    <row r="379" ht="14.4" customFormat="1" customHeight="1" s="1013">
      <c r="A379" s="114" t="n">
        <v>585</v>
      </c>
      <c r="B379" s="77">
        <f>IF(INDEX(MO_SNA_IsHistoricalPeriod,,MATCH(F379,MO_Common_ColumnHeader,0)),"Historical","Forward")</f>
        <v/>
      </c>
      <c r="C379" s="67" t="n"/>
      <c r="D379" s="84" t="inlineStr">
        <is>
          <t>Recurring Revenue %</t>
        </is>
      </c>
      <c r="E379" s="78" t="n"/>
      <c r="F379" s="77" t="inlineStr">
        <is>
          <t>FY2022</t>
        </is>
      </c>
      <c r="G379" s="77" t="n"/>
      <c r="H379" s="67" t="n"/>
      <c r="I379" s="2108" t="n">
        <v>0.85</v>
      </c>
      <c r="J379" s="2108" t="n">
        <v>0.85</v>
      </c>
      <c r="K379" s="2108">
        <f>AVERAGE(I379:J379)</f>
        <v/>
      </c>
      <c r="L379" s="67" t="n"/>
      <c r="M379" s="77">
        <f>IF(INDEX(MO_SNA_IsHistoricalPeriod,,MATCH(F379,MO_Common_ColumnHeader,0)),"Actual","Estimate")</f>
        <v/>
      </c>
      <c r="N379" s="2108">
        <f>IFERROR(INDEX(INDIRECT(E379),0,MATCH(F379,MO_Common_ColumnHeader,0)),"N/A")</f>
        <v/>
      </c>
      <c r="O379" s="2072" t="n"/>
      <c r="P379" s="2168">
        <f>IF(ISNUMBER(N379),N379-K379,"N/A")</f>
        <v/>
      </c>
      <c r="Q379" s="2168">
        <f>IFERROR(IF(ISNUMBER(N379),(N379-K379)/ABS(K379),"N/A"),"N/A")</f>
        <v/>
      </c>
      <c r="R379" s="112" t="n"/>
      <c r="S379" s="80" t="n">
        <v>44858</v>
      </c>
      <c r="T379" s="88" t="inlineStr">
        <is>
          <t>CFO Commentary</t>
        </is>
      </c>
      <c r="U379" s="67" t="n"/>
    </row>
    <row r="380" ht="14.4" customFormat="1" customHeight="1" s="1013">
      <c r="A380" s="114" t="n">
        <v>584</v>
      </c>
      <c r="B380" s="77">
        <f>IF(INDEX(MO_SNA_IsHistoricalPeriod,,MATCH(F380,MO_Common_ColumnHeader,0)),"Historical","Forward")</f>
        <v/>
      </c>
      <c r="C380" s="67" t="n"/>
      <c r="D380" s="84" t="inlineStr">
        <is>
          <t>Revenue from Beginning Backlog %</t>
        </is>
      </c>
      <c r="E380" s="78" t="n"/>
      <c r="F380" s="77" t="inlineStr">
        <is>
          <t>FY2022</t>
        </is>
      </c>
      <c r="G380" s="77" t="n"/>
      <c r="H380" s="67" t="n"/>
      <c r="I380" s="2108" t="n">
        <v>0.7</v>
      </c>
      <c r="J380" s="2108" t="n">
        <v>0.7</v>
      </c>
      <c r="K380" s="2108">
        <f>AVERAGE(I380:J380)</f>
        <v/>
      </c>
      <c r="L380" s="67" t="n"/>
      <c r="M380" s="77">
        <f>IF(INDEX(MO_SNA_IsHistoricalPeriod,,MATCH(F380,MO_Common_ColumnHeader,0)),"Actual","Estimate")</f>
        <v/>
      </c>
      <c r="N380" s="2108">
        <f>IFERROR(INDEX(INDIRECT(E380),0,MATCH(F380,MO_Common_ColumnHeader,0)),"N/A")</f>
        <v/>
      </c>
      <c r="O380" s="2072" t="n"/>
      <c r="P380" s="2168">
        <f>IF(ISNUMBER(N380),N380-K380,"N/A")</f>
        <v/>
      </c>
      <c r="Q380" s="2168">
        <f>IFERROR(IF(ISNUMBER(N380),(N380-K380)/ABS(K380),"N/A"),"N/A")</f>
        <v/>
      </c>
      <c r="R380" s="112" t="n"/>
      <c r="S380" s="80" t="n">
        <v>44858</v>
      </c>
      <c r="T380" s="88" t="inlineStr">
        <is>
          <t>CFO Commentary</t>
        </is>
      </c>
      <c r="U380" s="67" t="n"/>
    </row>
    <row r="381" ht="14.4" customFormat="1" customHeight="1" s="1013">
      <c r="A381" s="114" t="n">
        <v>583</v>
      </c>
      <c r="B381" s="77">
        <f>IF(INDEX(MO_SNA_IsHistoricalPeriod,,MATCH(F381,MO_Common_ColumnHeader,0)),"Historical","Forward")</f>
        <v/>
      </c>
      <c r="C381" s="67" t="n"/>
      <c r="D381" s="84">
        <f>INDEX(INDIRECT(E381),0,COLUMN(MO_Common_Column_A))</f>
        <v/>
      </c>
      <c r="E381" s="78" t="inlineStr">
        <is>
          <t>MO_RIS_REV</t>
        </is>
      </c>
      <c r="F381" s="77" t="inlineStr">
        <is>
          <t>FY2022</t>
        </is>
      </c>
      <c r="G381" s="77" t="n"/>
      <c r="H381" s="67" t="n"/>
      <c r="I381" s="2087" t="n">
        <v>3532</v>
      </c>
      <c r="J381" s="2087" t="n">
        <v>3552</v>
      </c>
      <c r="K381" s="2087">
        <f>AVERAGE(I381:J381)</f>
        <v/>
      </c>
      <c r="L381" s="67" t="n"/>
      <c r="M381" s="77">
        <f>IF(INDEX(MO_SNA_IsHistoricalPeriod,,MATCH(F381,MO_Common_ColumnHeader,0)),"Actual","Estimate")</f>
        <v/>
      </c>
      <c r="N381" s="2087">
        <f>IFERROR(INDEX(INDIRECT(E381),0,MATCH(F381,MO_Common_ColumnHeader,0)),"N/A")</f>
        <v/>
      </c>
      <c r="O381" s="2072" t="n"/>
      <c r="P381" s="2169">
        <f>IF(ISNUMBER(N381),N381-K381,"N/A")</f>
        <v/>
      </c>
      <c r="Q381" s="2168">
        <f>IFERROR(IF(ISNUMBER(N381),(N381-K381)/ABS(K381),"N/A"),"N/A")</f>
        <v/>
      </c>
      <c r="R381" s="112" t="n"/>
      <c r="S381" s="80" t="n">
        <v>44858</v>
      </c>
      <c r="T381" s="88" t="inlineStr">
        <is>
          <t>CFO Commentary</t>
        </is>
      </c>
      <c r="U381" s="67" t="n"/>
    </row>
    <row r="382" ht="14.4" customFormat="1" customHeight="1" s="1013">
      <c r="A382" s="114" t="n">
        <v>582</v>
      </c>
      <c r="B382" s="77">
        <f>IF(INDEX(MO_SNA_IsHistoricalPeriod,,MATCH(F382,MO_Common_ColumnHeader,0)),"Historical","Forward")</f>
        <v/>
      </c>
      <c r="C382" s="67" t="n"/>
      <c r="D382" s="84" t="inlineStr">
        <is>
          <t>GAAP Operating Margin</t>
        </is>
      </c>
      <c r="E382" s="78" t="inlineStr">
        <is>
          <t>MO_MA_EBIT</t>
        </is>
      </c>
      <c r="F382" s="77" t="inlineStr">
        <is>
          <t>FY2022</t>
        </is>
      </c>
      <c r="G382" s="77" t="n"/>
      <c r="H382" s="67" t="n"/>
      <c r="I382" s="2108" t="n">
        <v>0.297</v>
      </c>
      <c r="J382" s="2108" t="n">
        <v>0.307</v>
      </c>
      <c r="K382" s="2108">
        <f>AVERAGE(I382:J382)</f>
        <v/>
      </c>
      <c r="L382" s="67" t="n"/>
      <c r="M382" s="77">
        <f>IF(INDEX(MO_SNA_IsHistoricalPeriod,,MATCH(F382,MO_Common_ColumnHeader,0)),"Actual","Estimate")</f>
        <v/>
      </c>
      <c r="N382" s="2108">
        <f>IFERROR(INDEX(INDIRECT(E382),0,MATCH(F382,MO_Common_ColumnHeader,0)),"N/A")</f>
        <v/>
      </c>
      <c r="O382" s="67" t="n"/>
      <c r="P382" s="2168">
        <f>IF(ISNUMBER(N382),N382-K382,"N/A")</f>
        <v/>
      </c>
      <c r="Q382" s="2168">
        <f>IFERROR(IF(ISNUMBER(N382),(N382-K382)/ABS(K382),"N/A"),"N/A")</f>
        <v/>
      </c>
      <c r="R382" s="112" t="n"/>
      <c r="S382" s="80" t="n">
        <v>44858</v>
      </c>
      <c r="T382" s="88" t="inlineStr">
        <is>
          <t>CFO Commentary</t>
        </is>
      </c>
      <c r="U382" s="67" t="n"/>
    </row>
    <row r="383" ht="14.4" customFormat="1" customHeight="1" s="1013">
      <c r="A383" s="114" t="n">
        <v>581</v>
      </c>
      <c r="B383" s="77">
        <f>IF(INDEX(MO_SNA_IsHistoricalPeriod,,MATCH(F383,MO_Common_ColumnHeader,0)),"Historical","Forward")</f>
        <v/>
      </c>
      <c r="C383" s="67" t="n"/>
      <c r="D383" s="84">
        <f>INDEX(INDIRECT(E383),0,COLUMN(MO_Common_Column_A))</f>
        <v/>
      </c>
      <c r="E383" s="78" t="inlineStr">
        <is>
          <t>MO_MA_OperatingIncome_NONGAAP</t>
        </is>
      </c>
      <c r="F383" s="77" t="inlineStr">
        <is>
          <t>FY2022</t>
        </is>
      </c>
      <c r="G383" s="77" t="n"/>
      <c r="H383" s="67" t="n"/>
      <c r="I383" s="2108" t="n">
        <v>0.397</v>
      </c>
      <c r="J383" s="2108" t="n">
        <v>0.407</v>
      </c>
      <c r="K383" s="2108">
        <f>AVERAGE(I383:J383)</f>
        <v/>
      </c>
      <c r="L383" s="67" t="n"/>
      <c r="M383" s="77">
        <f>IF(INDEX(MO_SNA_IsHistoricalPeriod,,MATCH(F383,MO_Common_ColumnHeader,0)),"Actual","Estimate")</f>
        <v/>
      </c>
      <c r="N383" s="2108">
        <f>IFERROR(INDEX(INDIRECT(E383),0,MATCH(F383,MO_Common_ColumnHeader,0)),"N/A")</f>
        <v/>
      </c>
      <c r="O383" s="67" t="n"/>
      <c r="P383" s="2168">
        <f>IF(ISNUMBER(N383),N383-K383,"N/A")</f>
        <v/>
      </c>
      <c r="Q383" s="2168">
        <f>IFERROR(IF(ISNUMBER(N383),(N383-K383)/ABS(K383),"N/A"),"N/A")</f>
        <v/>
      </c>
      <c r="R383" s="112" t="n"/>
      <c r="S383" s="80" t="n">
        <v>44858</v>
      </c>
      <c r="T383" s="88" t="inlineStr">
        <is>
          <t>CFO Commentary</t>
        </is>
      </c>
      <c r="U383" s="67" t="n"/>
    </row>
    <row r="384" ht="14.4" customFormat="1" customHeight="1" s="1013">
      <c r="A384" s="114" t="n">
        <v>580</v>
      </c>
      <c r="B384" s="77">
        <f>IF(INDEX(MO_SNA_IsHistoricalPeriod,,MATCH(F384,MO_Common_ColumnHeader,0)),"Historical","Forward")</f>
        <v/>
      </c>
      <c r="C384" s="67" t="n"/>
      <c r="D384" s="84">
        <f>INDEX(INDIRECT(E384),0,COLUMN(MO_Common_Column_A))</f>
        <v/>
      </c>
      <c r="E384" s="78" t="inlineStr">
        <is>
          <t>MO_RIS_EPS_WAD</t>
        </is>
      </c>
      <c r="F384" s="77" t="inlineStr">
        <is>
          <t>FY2022</t>
        </is>
      </c>
      <c r="G384" s="77" t="n"/>
      <c r="H384" s="67" t="n"/>
      <c r="I384" s="2170" t="n">
        <v>2.71</v>
      </c>
      <c r="J384" s="2170" t="n">
        <v>2.75</v>
      </c>
      <c r="K384" s="2170">
        <f>AVERAGE(I384:J384)</f>
        <v/>
      </c>
      <c r="L384" s="67" t="n"/>
      <c r="M384" s="77">
        <f>IF(INDEX(MO_SNA_IsHistoricalPeriod,,MATCH(F384,MO_Common_ColumnHeader,0)),"Actual","Estimate")</f>
        <v/>
      </c>
      <c r="N384" s="2170">
        <f>IFERROR(INDEX(INDIRECT(E384),0,MATCH(F384,MO_Common_ColumnHeader,0)),"N/A")</f>
        <v/>
      </c>
      <c r="O384" s="67" t="n"/>
      <c r="P384" s="2171">
        <f>IF(ISNUMBER(N384),N384-K384,"N/A")</f>
        <v/>
      </c>
      <c r="Q384" s="2168">
        <f>IFERROR(IF(ISNUMBER(N384),(N384-K384)/ABS(K384),"N/A"),"N/A")</f>
        <v/>
      </c>
      <c r="R384" s="112" t="n"/>
      <c r="S384" s="80" t="n">
        <v>44858</v>
      </c>
      <c r="T384" s="88" t="inlineStr">
        <is>
          <t>CFO Commentary</t>
        </is>
      </c>
      <c r="U384" s="67" t="n"/>
    </row>
    <row r="385" ht="14.4" customFormat="1" customHeight="1" s="1013">
      <c r="A385" s="114" t="n">
        <v>579</v>
      </c>
      <c r="B385" s="77">
        <f>IF(INDEX(MO_SNA_IsHistoricalPeriod,,MATCH(F385,MO_Common_ColumnHeader,0)),"Historical","Forward")</f>
        <v/>
      </c>
      <c r="C385" s="67" t="n"/>
      <c r="D385" s="84">
        <f>INDEX(INDIRECT(E385),0,COLUMN(MO_Common_Column_A))</f>
        <v/>
      </c>
      <c r="E385" s="78" t="inlineStr">
        <is>
          <t>MO_RIS_EPS_WAD_Adj</t>
        </is>
      </c>
      <c r="F385" s="77" t="inlineStr">
        <is>
          <t>FY2022</t>
        </is>
      </c>
      <c r="G385" s="77" t="n"/>
      <c r="H385" s="67" t="n"/>
      <c r="I385" s="2170" t="n">
        <v>4.2</v>
      </c>
      <c r="J385" s="2170" t="n">
        <v>4.24</v>
      </c>
      <c r="K385" s="2170">
        <f>AVERAGE(I385:J385)</f>
        <v/>
      </c>
      <c r="L385" s="67" t="n"/>
      <c r="M385" s="77">
        <f>IF(INDEX(MO_SNA_IsHistoricalPeriod,,MATCH(F385,MO_Common_ColumnHeader,0)),"Actual","Estimate")</f>
        <v/>
      </c>
      <c r="N385" s="2170">
        <f>IFERROR(INDEX(INDIRECT(E385),0,MATCH(F385,MO_Common_ColumnHeader,0)),"N/A")</f>
        <v/>
      </c>
      <c r="O385" s="67" t="n"/>
      <c r="P385" s="2171">
        <f>IF(ISNUMBER(N385),N385-K385,"N/A")</f>
        <v/>
      </c>
      <c r="Q385" s="2168">
        <f>IFERROR(IF(ISNUMBER(N385),(N385-K385)/ABS(K385),"N/A"),"N/A")</f>
        <v/>
      </c>
      <c r="R385" s="112" t="n"/>
      <c r="S385" s="80" t="n">
        <v>44858</v>
      </c>
      <c r="T385" s="88" t="inlineStr">
        <is>
          <t>CFO Commentary</t>
        </is>
      </c>
      <c r="U385" s="67" t="n"/>
    </row>
    <row r="386" ht="14.4" customFormat="1" customHeight="1" s="1013">
      <c r="A386" s="114" t="n">
        <v>578</v>
      </c>
      <c r="B386" s="77">
        <f>IF(INDEX(MO_SNA_IsHistoricalPeriod,,MATCH(F386,MO_Common_ColumnHeader,0)),"Historical","Forward")</f>
        <v/>
      </c>
      <c r="C386" s="67" t="n"/>
      <c r="D386" s="84">
        <f>INDEX(INDIRECT(E386),0,COLUMN(MO_Common_Column_A))</f>
        <v/>
      </c>
      <c r="E386" s="78" t="inlineStr">
        <is>
          <t>MO_CFS_CFO</t>
        </is>
      </c>
      <c r="F386" s="77" t="inlineStr">
        <is>
          <t>FY2022</t>
        </is>
      </c>
      <c r="G386" s="77" t="n"/>
      <c r="H386" s="67" t="n"/>
      <c r="I386" s="2087" t="n">
        <v>1200</v>
      </c>
      <c r="J386" s="2087" t="n">
        <v>1260</v>
      </c>
      <c r="K386" s="2087">
        <f>AVERAGE(I386:J386)</f>
        <v/>
      </c>
      <c r="L386" s="67" t="n"/>
      <c r="M386" s="77">
        <f>IF(INDEX(MO_SNA_IsHistoricalPeriod,,MATCH(F386,MO_Common_ColumnHeader,0)),"Actual","Estimate")</f>
        <v/>
      </c>
      <c r="N386" s="2087">
        <f>IFERROR(INDEX(INDIRECT(E386),0,MATCH(F386,MO_Common_ColumnHeader,0)),"N/A")</f>
        <v/>
      </c>
      <c r="O386" s="67" t="n"/>
      <c r="P386" s="2169">
        <f>IF(ISNUMBER(N386),N386-K386,"N/A")</f>
        <v/>
      </c>
      <c r="Q386" s="2168">
        <f>IFERROR(IF(ISNUMBER(N386),(N386-K386)/ABS(K386),"N/A"),"N/A")</f>
        <v/>
      </c>
      <c r="R386" s="112" t="n"/>
      <c r="S386" s="80" t="n">
        <v>44858</v>
      </c>
      <c r="T386" s="88" t="inlineStr">
        <is>
          <t>CFO Commentary</t>
        </is>
      </c>
      <c r="U386" s="67" t="n"/>
    </row>
    <row r="387" ht="14.4" customFormat="1" customHeight="1" s="1013">
      <c r="A387" s="114" t="n">
        <v>577</v>
      </c>
      <c r="B387" s="77">
        <f>IF(INDEX(MO_SNA_IsHistoricalPeriod,,MATCH(F387,MO_Common_ColumnHeader,0)),"Historical","Forward")</f>
        <v/>
      </c>
      <c r="C387" s="67" t="n"/>
      <c r="D387" s="84" t="inlineStr">
        <is>
          <t>GAAP Other Income &amp; Expense</t>
        </is>
      </c>
      <c r="E387" s="78" t="n"/>
      <c r="F387" s="77" t="inlineStr">
        <is>
          <t>FY2022</t>
        </is>
      </c>
      <c r="G387" s="77" t="n"/>
      <c r="H387" s="67" t="n"/>
      <c r="I387" s="2087" t="n">
        <v>-34</v>
      </c>
      <c r="J387" s="2087" t="n">
        <v>-32</v>
      </c>
      <c r="K387" s="2087">
        <f>AVERAGE(I387:J387)</f>
        <v/>
      </c>
      <c r="L387" s="67" t="n"/>
      <c r="M387" s="77">
        <f>IF(INDEX(MO_SNA_IsHistoricalPeriod,,MATCH(F387,MO_Common_ColumnHeader,0)),"Actual","Estimate")</f>
        <v/>
      </c>
      <c r="N387" s="2087">
        <f>-IFERROR(INDEX(MO_RIS_IE_Net,0,MATCH(F387,MO_Common_ColumnHeader,0)),"N/A")-IFERROR(INDEX(MO_RIS_OI,0,MATCH(F387,MO_Common_ColumnHeader,0)),"N/A")</f>
        <v/>
      </c>
      <c r="O387" s="67" t="n"/>
      <c r="P387" s="2169">
        <f>IF(ISNUMBER(N387),N387-K387,"N/A")</f>
        <v/>
      </c>
      <c r="Q387" s="2168">
        <f>IFERROR(IF(ISNUMBER(N387),(N387-K387)/ABS(K387),"N/A"),"N/A")</f>
        <v/>
      </c>
      <c r="R387" s="112" t="n"/>
      <c r="S387" s="80" t="n">
        <v>44858</v>
      </c>
      <c r="T387" s="88" t="inlineStr">
        <is>
          <t>CFO Commentary</t>
        </is>
      </c>
      <c r="U387" s="67" t="n"/>
    </row>
    <row r="388" ht="14.4" customFormat="1" customHeight="1" s="1013">
      <c r="A388" s="114" t="n">
        <v>576</v>
      </c>
      <c r="B388" s="77">
        <f>IF(INDEX(MO_SNA_IsHistoricalPeriod,,MATCH(F388,MO_Common_ColumnHeader,0)),"Historical","Forward")</f>
        <v/>
      </c>
      <c r="C388" s="67" t="n"/>
      <c r="D388" s="84" t="inlineStr">
        <is>
          <t>Non-GAAP Other Income &amp; Expense</t>
        </is>
      </c>
      <c r="E388" s="78" t="n"/>
      <c r="F388" s="77" t="inlineStr">
        <is>
          <t>FY2022</t>
        </is>
      </c>
      <c r="G388" s="77" t="n"/>
      <c r="H388" s="67" t="n"/>
      <c r="I388" s="2087" t="n">
        <v>-17</v>
      </c>
      <c r="J388" s="2087" t="n">
        <v>-15</v>
      </c>
      <c r="K388" s="2087">
        <f>AVERAGE(I388:J388)</f>
        <v/>
      </c>
      <c r="L388" s="67" t="n"/>
      <c r="M388" s="77">
        <f>IF(INDEX(MO_SNA_IsHistoricalPeriod,,MATCH(F388,MO_Common_ColumnHeader,0)),"Actual","Estimate")</f>
        <v/>
      </c>
      <c r="N388" s="2087">
        <f>-IFERROR(INDEX(MO_RIS_IE_Net_NONGAAP,0,MATCH(F388,MO_Common_ColumnHeader,0)),"N/A")-IFERROR(INDEX(MO_RIS_OI_NONGAAP,0,MATCH(F388,MO_Common_ColumnHeader,0)),"N/A")</f>
        <v/>
      </c>
      <c r="O388" s="67" t="n"/>
      <c r="P388" s="2169">
        <f>IF(ISNUMBER(N388),N388-K388,"N/A")</f>
        <v/>
      </c>
      <c r="Q388" s="2168">
        <f>IFERROR(IF(ISNUMBER(N388),(N388-K388)/ABS(K388),"N/A"),"N/A")</f>
        <v/>
      </c>
      <c r="R388" s="112" t="n"/>
      <c r="S388" s="80" t="n">
        <v>44858</v>
      </c>
      <c r="T388" s="88" t="inlineStr">
        <is>
          <t>CFO Commentary</t>
        </is>
      </c>
      <c r="U388" s="67" t="n"/>
    </row>
    <row r="389" ht="14.4" customFormat="1" customHeight="1" s="1013">
      <c r="A389" s="114" t="n">
        <v>575</v>
      </c>
      <c r="B389" s="77">
        <f>IF(INDEX(MO_SNA_IsHistoricalPeriod,,MATCH(F389,MO_Common_ColumnHeader,0)),"Historical","Forward")</f>
        <v/>
      </c>
      <c r="C389" s="67" t="n"/>
      <c r="D389" s="84" t="inlineStr">
        <is>
          <t>GAAP Tax Rate</t>
        </is>
      </c>
      <c r="E389" s="78" t="inlineStr">
        <is>
          <t>MO_RIS_TaxRate</t>
        </is>
      </c>
      <c r="F389" s="77" t="inlineStr">
        <is>
          <t>FY2022</t>
        </is>
      </c>
      <c r="G389" s="77" t="n"/>
      <c r="H389" s="67" t="n"/>
      <c r="I389" s="2108" t="n">
        <v>0.28</v>
      </c>
      <c r="J389" s="2108" t="n">
        <v>0.28</v>
      </c>
      <c r="K389" s="2108">
        <f>AVERAGE(I389:J389)</f>
        <v/>
      </c>
      <c r="L389" s="67" t="n"/>
      <c r="M389" s="77">
        <f>IF(INDEX(MO_SNA_IsHistoricalPeriod,,MATCH(F389,MO_Common_ColumnHeader,0)),"Actual","Estimate")</f>
        <v/>
      </c>
      <c r="N389" s="2108">
        <f>IFERROR(INDEX(INDIRECT(E389),0,MATCH(F389,MO_Common_ColumnHeader,0)),"N/A")</f>
        <v/>
      </c>
      <c r="O389" s="67" t="n"/>
      <c r="P389" s="2168">
        <f>IF(ISNUMBER(N389),N389-K389,"N/A")</f>
        <v/>
      </c>
      <c r="Q389" s="2168">
        <f>IFERROR(IF(ISNUMBER(N389),(N389-K389)/ABS(K389),"N/A"),"N/A")</f>
        <v/>
      </c>
      <c r="R389" s="112" t="n"/>
      <c r="S389" s="80" t="n">
        <v>44858</v>
      </c>
      <c r="T389" s="88" t="inlineStr">
        <is>
          <t>CFO Commentary</t>
        </is>
      </c>
      <c r="U389" s="67" t="n"/>
    </row>
    <row r="390" ht="14.4" customFormat="1" customHeight="1" s="1013">
      <c r="A390" s="114" t="n">
        <v>574</v>
      </c>
      <c r="B390" s="77">
        <f>IF(INDEX(MO_SNA_IsHistoricalPeriod,,MATCH(F390,MO_Common_ColumnHeader,0)),"Historical","Forward")</f>
        <v/>
      </c>
      <c r="C390" s="67" t="n"/>
      <c r="D390" s="84">
        <f>INDEX(INDIRECT(E390),0,COLUMN(MO_Common_Column_A))</f>
        <v/>
      </c>
      <c r="E390" s="78" t="inlineStr">
        <is>
          <t>MO_RIS_TaxRate_NONGAAP</t>
        </is>
      </c>
      <c r="F390" s="77" t="inlineStr">
        <is>
          <t>FY2022</t>
        </is>
      </c>
      <c r="G390" s="77" t="n"/>
      <c r="H390" s="67" t="n"/>
      <c r="I390" s="2108" t="n">
        <v>0.175</v>
      </c>
      <c r="J390" s="2108" t="n">
        <v>0.175</v>
      </c>
      <c r="K390" s="2108">
        <f>AVERAGE(I390:J390)</f>
        <v/>
      </c>
      <c r="L390" s="67" t="n"/>
      <c r="M390" s="77">
        <f>IF(INDEX(MO_SNA_IsHistoricalPeriod,,MATCH(F390,MO_Common_ColumnHeader,0)),"Actual","Estimate")</f>
        <v/>
      </c>
      <c r="N390" s="2108">
        <f>IFERROR(INDEX(INDIRECT(E390),0,MATCH(F390,MO_Common_ColumnHeader,0)),"N/A")</f>
        <v/>
      </c>
      <c r="O390" s="67" t="n"/>
      <c r="P390" s="2168">
        <f>IF(ISNUMBER(N390),N390-K390,"N/A")</f>
        <v/>
      </c>
      <c r="Q390" s="2168">
        <f>IFERROR(IF(ISNUMBER(N390),(N390-K390)/ABS(K390),"N/A"),"N/A")</f>
        <v/>
      </c>
      <c r="R390" s="112" t="n"/>
      <c r="S390" s="80" t="n">
        <v>44858</v>
      </c>
      <c r="T390" s="88" t="inlineStr">
        <is>
          <t>CFO Commentary</t>
        </is>
      </c>
      <c r="U390" s="67" t="n"/>
    </row>
    <row r="391" ht="14.4" customFormat="1" customHeight="1" s="1013">
      <c r="A391" s="114" t="n">
        <v>573</v>
      </c>
      <c r="B391" s="77">
        <f>IF(INDEX(MO_SNA_IsHistoricalPeriod,,MATCH(F391,MO_Common_ColumnHeader,0)),"Historical","Forward")</f>
        <v/>
      </c>
      <c r="C391" s="67" t="n"/>
      <c r="D391" s="84">
        <f>INDEX(INDIRECT(E391),0,COLUMN(MO_Common_Column_A))</f>
        <v/>
      </c>
      <c r="E391" s="78" t="inlineStr">
        <is>
          <t>MO_RIS_ShareCount_WAD</t>
        </is>
      </c>
      <c r="F391" s="77" t="inlineStr">
        <is>
          <t>FY2022</t>
        </is>
      </c>
      <c r="G391" s="77" t="n"/>
      <c r="H391" s="67" t="n"/>
      <c r="I391" s="2087" t="n">
        <v>275</v>
      </c>
      <c r="J391" s="2087" t="n">
        <v>276</v>
      </c>
      <c r="K391" s="2087">
        <f>AVERAGE(I391:J391)</f>
        <v/>
      </c>
      <c r="L391" s="67" t="n"/>
      <c r="M391" s="77">
        <f>IF(INDEX(MO_SNA_IsHistoricalPeriod,,MATCH(F391,MO_Common_ColumnHeader,0)),"Actual","Estimate")</f>
        <v/>
      </c>
      <c r="N391" s="2087">
        <f>IFERROR(INDEX(INDIRECT(E391),0,MATCH(F391,MO_Common_ColumnHeader,0)),"N/A")</f>
        <v/>
      </c>
      <c r="O391" s="67" t="n"/>
      <c r="P391" s="2169">
        <f>IF(ISNUMBER(N391),N391-K391,"N/A")</f>
        <v/>
      </c>
      <c r="Q391" s="2168">
        <f>IFERROR(IF(ISNUMBER(N391),(N391-K391)/ABS(K391),"N/A"),"N/A")</f>
        <v/>
      </c>
      <c r="R391" s="112" t="n"/>
      <c r="S391" s="80" t="n">
        <v>44858</v>
      </c>
      <c r="T391" s="88" t="inlineStr">
        <is>
          <t>CFO Commentary</t>
        </is>
      </c>
      <c r="U391" s="67" t="n"/>
    </row>
    <row r="392" ht="14.4" customFormat="1" customHeight="1" s="1013">
      <c r="A392" s="114" t="n">
        <v>572</v>
      </c>
      <c r="B392" s="77">
        <f>IF(INDEX(MO_SNA_IsHistoricalPeriod,,MATCH(F392,MO_Common_ColumnHeader,0)),"Historical","Forward")</f>
        <v/>
      </c>
      <c r="C392" s="67" t="n"/>
      <c r="D392" s="84" t="inlineStr">
        <is>
          <t>DSO</t>
        </is>
      </c>
      <c r="E392" s="78" t="n"/>
      <c r="F392" s="77" t="inlineStr">
        <is>
          <t>FY2022</t>
        </is>
      </c>
      <c r="G392" s="77" t="n"/>
      <c r="H392" s="67" t="n"/>
      <c r="I392" s="2087" t="n">
        <v>45</v>
      </c>
      <c r="J392" s="2087" t="n">
        <v>45</v>
      </c>
      <c r="K392" s="2087">
        <f>AVERAGE(I392:J392)</f>
        <v/>
      </c>
      <c r="L392" s="67" t="n"/>
      <c r="M392" s="77">
        <f>IF(INDEX(MO_SNA_IsHistoricalPeriod,,MATCH(F392,MO_Common_ColumnHeader,0)),"Actual","Estimate")</f>
        <v/>
      </c>
      <c r="N392" s="2087">
        <f>IFERROR(INDEX(INDIRECT(E392),0,MATCH(F392,MO_Common_ColumnHeader,0)),"N/A")</f>
        <v/>
      </c>
      <c r="O392" s="67" t="n"/>
      <c r="P392" s="2169">
        <f>IF(ISNUMBER(N392),N392-K392,"N/A")</f>
        <v/>
      </c>
      <c r="Q392" s="2168">
        <f>IFERROR(IF(ISNUMBER(N392),(N392-K392)/ABS(K392),"N/A"),"N/A")</f>
        <v/>
      </c>
      <c r="R392" s="112" t="n"/>
      <c r="S392" s="80" t="n">
        <v>44858</v>
      </c>
      <c r="T392" s="88" t="inlineStr">
        <is>
          <t>CFO Commentary</t>
        </is>
      </c>
      <c r="U392" s="67" t="n"/>
    </row>
    <row r="393" ht="14.4" customFormat="1" customHeight="1" s="1013">
      <c r="A393" s="114" t="n">
        <v>571</v>
      </c>
      <c r="B393" s="77">
        <f>IF(INDEX(MO_SNA_IsHistoricalPeriod,,MATCH(F393,MO_Common_ColumnHeader,0)),"Historical","Forward")</f>
        <v/>
      </c>
      <c r="C393" s="67" t="n"/>
      <c r="D393" s="84">
        <f>INDEX(INDIRECT(E393),0,COLUMN(MO_Common_Column_A))</f>
        <v/>
      </c>
      <c r="E393" s="78" t="inlineStr">
        <is>
          <t>MO_CFSum_Capex</t>
        </is>
      </c>
      <c r="F393" s="77" t="inlineStr">
        <is>
          <t>FY2022</t>
        </is>
      </c>
      <c r="G393" s="77" t="n"/>
      <c r="H393" s="67" t="n"/>
      <c r="I393" s="2087" t="n">
        <v>-120</v>
      </c>
      <c r="J393" s="2087" t="n">
        <v>-120</v>
      </c>
      <c r="K393" s="2087">
        <f>AVERAGE(I393:J393)</f>
        <v/>
      </c>
      <c r="L393" s="67" t="n"/>
      <c r="M393" s="77">
        <f>IF(INDEX(MO_SNA_IsHistoricalPeriod,,MATCH(F393,MO_Common_ColumnHeader,0)),"Actual","Estimate")</f>
        <v/>
      </c>
      <c r="N393" s="2087">
        <f>IFERROR(INDEX(INDIRECT(E393),0,MATCH(F393,MO_Common_ColumnHeader,0)),"N/A")</f>
        <v/>
      </c>
      <c r="O393" s="67" t="n"/>
      <c r="P393" s="2169">
        <f>IF(ISNUMBER(N393),N393-K393,"N/A")</f>
        <v/>
      </c>
      <c r="Q393" s="2168">
        <f>IFERROR(IF(ISNUMBER(N393),(N393-K393)/ABS(K393),"N/A"),"N/A")</f>
        <v/>
      </c>
      <c r="R393" s="112" t="n"/>
      <c r="S393" s="80" t="n">
        <v>44858</v>
      </c>
      <c r="T393" s="88" t="inlineStr">
        <is>
          <t>CFO Commentary</t>
        </is>
      </c>
      <c r="U393" s="67" t="n"/>
    </row>
    <row r="394" ht="14.4" customFormat="1" customHeight="1" s="1013">
      <c r="A394" s="114" t="n">
        <v>570</v>
      </c>
      <c r="B394" s="77">
        <f>IF(INDEX(MO_SNA_IsHistoricalPeriod,,MATCH(F394,MO_Common_ColumnHeader,0)),"Historical","Forward")</f>
        <v/>
      </c>
      <c r="C394" s="67" t="n"/>
      <c r="D394" s="84">
        <f>INDEX(INDIRECT(E394),0,COLUMN(MO_Common_Column_A))</f>
        <v/>
      </c>
      <c r="E394" s="78" t="inlineStr">
        <is>
          <t>MO_RIS_SBC</t>
        </is>
      </c>
      <c r="F394" s="77" t="inlineStr">
        <is>
          <t>FY2022</t>
        </is>
      </c>
      <c r="G394" s="77" t="n"/>
      <c r="H394" s="67" t="n"/>
      <c r="I394" s="2087" t="n">
        <v>271</v>
      </c>
      <c r="J394" s="2087" t="n">
        <v>271</v>
      </c>
      <c r="K394" s="2087">
        <f>AVERAGE(I394:J394)</f>
        <v/>
      </c>
      <c r="L394" s="67" t="n"/>
      <c r="M394" s="77">
        <f>IF(INDEX(MO_SNA_IsHistoricalPeriod,,MATCH(F394,MO_Common_ColumnHeader,0)),"Actual","Estimate")</f>
        <v/>
      </c>
      <c r="N394" s="2087">
        <f>IFERROR(INDEX(INDIRECT(E394),0,MATCH(F394,MO_Common_ColumnHeader,0)),"N/A")</f>
        <v/>
      </c>
      <c r="O394" s="67" t="n"/>
      <c r="P394" s="2169">
        <f>IF(ISNUMBER(N394),N394-K394,"N/A")</f>
        <v/>
      </c>
      <c r="Q394" s="2168">
        <f>IFERROR(IF(ISNUMBER(N394),(N394-K394)/ABS(K394),"N/A"),"N/A")</f>
        <v/>
      </c>
      <c r="R394" s="112" t="n"/>
      <c r="S394" s="80" t="n">
        <v>44858</v>
      </c>
      <c r="T394" s="88" t="inlineStr">
        <is>
          <t>CFO Commentary</t>
        </is>
      </c>
      <c r="U394" s="67" t="n"/>
    </row>
    <row r="395" ht="14.4" customFormat="1" customHeight="1" s="1013">
      <c r="A395" s="114" t="n">
        <v>569</v>
      </c>
      <c r="B395" s="77">
        <f>IF(INDEX(MO_SNA_IsHistoricalPeriod,,MATCH(F395,MO_Common_ColumnHeader,0)),"Historical","Forward")</f>
        <v/>
      </c>
      <c r="C395" s="67" t="n"/>
      <c r="D395" s="84">
        <f>INDEX(INDIRECT(E395),0,COLUMN(MO_Common_Column_A))</f>
        <v/>
      </c>
      <c r="E395" s="78" t="inlineStr">
        <is>
          <t>MO_RIS_Daintangibles</t>
        </is>
      </c>
      <c r="F395" s="77" t="inlineStr">
        <is>
          <t>FY2022</t>
        </is>
      </c>
      <c r="G395" s="77" t="n"/>
      <c r="H395" s="67" t="n"/>
      <c r="I395" s="2087" t="n">
        <v>60</v>
      </c>
      <c r="J395" s="2087" t="n">
        <v>60</v>
      </c>
      <c r="K395" s="2087">
        <f>AVERAGE(I395:J395)</f>
        <v/>
      </c>
      <c r="L395" s="67" t="n"/>
      <c r="M395" s="77">
        <f>IF(INDEX(MO_SNA_IsHistoricalPeriod,,MATCH(F395,MO_Common_ColumnHeader,0)),"Actual","Estimate")</f>
        <v/>
      </c>
      <c r="N395" s="2087">
        <f>IFERROR(INDEX(INDIRECT(E395),0,MATCH(F395,MO_Common_ColumnHeader,0)),"N/A")</f>
        <v/>
      </c>
      <c r="O395" s="67" t="n"/>
      <c r="P395" s="2169">
        <f>IF(ISNUMBER(N395),N395-K395,"N/A")</f>
        <v/>
      </c>
      <c r="Q395" s="2168">
        <f>IFERROR(IF(ISNUMBER(N395),(N395-K395)/ABS(K395),"N/A"),"N/A")</f>
        <v/>
      </c>
      <c r="R395" s="112" t="n"/>
      <c r="S395" s="80" t="n">
        <v>44858</v>
      </c>
      <c r="T395" s="88" t="inlineStr">
        <is>
          <t>CFO Commentary</t>
        </is>
      </c>
      <c r="U395" s="67" t="n"/>
    </row>
    <row r="396" ht="14.4" customFormat="1" customHeight="1" s="1013">
      <c r="A396" s="114" t="n">
        <v>568</v>
      </c>
      <c r="B396" s="77">
        <f>IF(INDEX(MO_SNA_IsHistoricalPeriod,,MATCH(F396,MO_Common_ColumnHeader,0)),"Historical","Forward")</f>
        <v/>
      </c>
      <c r="C396" s="67" t="n"/>
      <c r="D396" s="84" t="inlineStr">
        <is>
          <t>Acquisition and integration-related costs</t>
        </is>
      </c>
      <c r="E396" s="78" t="n"/>
      <c r="F396" s="77" t="inlineStr">
        <is>
          <t>FY2022</t>
        </is>
      </c>
      <c r="G396" s="77" t="n"/>
      <c r="H396" s="67" t="n"/>
      <c r="I396" s="2087" t="n">
        <v>33</v>
      </c>
      <c r="J396" s="2087" t="n">
        <v>33</v>
      </c>
      <c r="K396" s="2087">
        <f>AVERAGE(I396:J396)</f>
        <v/>
      </c>
      <c r="L396" s="67" t="n"/>
      <c r="M396" s="77">
        <f>IF(INDEX(MO_SNA_IsHistoricalPeriod,,MATCH(F396,MO_Common_ColumnHeader,0)),"Actual","Estimate")</f>
        <v/>
      </c>
      <c r="N396" s="2087">
        <f>IFERROR(INDEX(INDIRECT(E396),0,MATCH(F396,MO_Common_ColumnHeader,0)),"N/A")</f>
        <v/>
      </c>
      <c r="O396" s="67" t="n"/>
      <c r="P396" s="2169">
        <f>IF(ISNUMBER(N396),N396-K396,"N/A")</f>
        <v/>
      </c>
      <c r="Q396" s="2168">
        <f>IFERROR(IF(ISNUMBER(N396),(N396-K396)/ABS(K396),"N/A"),"N/A")</f>
        <v/>
      </c>
      <c r="R396" s="112" t="n"/>
      <c r="S396" s="80" t="n">
        <v>44858</v>
      </c>
      <c r="T396" s="88" t="inlineStr">
        <is>
          <t>CFO Commentary</t>
        </is>
      </c>
      <c r="U396" s="67" t="n"/>
    </row>
    <row r="397" ht="14.4" customFormat="1" customHeight="1" s="1013">
      <c r="A397" s="114" t="n">
        <v>567</v>
      </c>
      <c r="B397" s="77">
        <f>IF(INDEX(MO_SNA_IsHistoricalPeriod,,MATCH(F397,MO_Common_ColumnHeader,0)),"Historical","Forward")</f>
        <v/>
      </c>
      <c r="C397" s="67" t="n"/>
      <c r="D397" s="84" t="inlineStr">
        <is>
          <t>Restructuring and other credits</t>
        </is>
      </c>
      <c r="E397" s="78" t="n"/>
      <c r="F397" s="77" t="inlineStr">
        <is>
          <t>FY2022</t>
        </is>
      </c>
      <c r="G397" s="77" t="n"/>
      <c r="H397" s="67" t="n"/>
      <c r="I397" s="2087" t="n">
        <v>0</v>
      </c>
      <c r="J397" s="2087" t="n">
        <v>0</v>
      </c>
      <c r="K397" s="2087">
        <f>AVERAGE(I397:J397)</f>
        <v/>
      </c>
      <c r="L397" s="67" t="n"/>
      <c r="M397" s="77">
        <f>IF(INDEX(MO_SNA_IsHistoricalPeriod,,MATCH(F397,MO_Common_ColumnHeader,0)),"Actual","Estimate")</f>
        <v/>
      </c>
      <c r="N397" s="2087">
        <f>IFERROR(INDEX(INDIRECT(E397),0,MATCH(F397,MO_Common_ColumnHeader,0)),"N/A")</f>
        <v/>
      </c>
      <c r="O397" s="67" t="n"/>
      <c r="P397" s="2169">
        <f>IF(ISNUMBER(N397),N397-K397,"N/A")</f>
        <v/>
      </c>
      <c r="Q397" s="2168">
        <f>IFERROR(IF(ISNUMBER(N397),(N397-K397)/ABS(K397),"N/A"),"N/A")</f>
        <v/>
      </c>
      <c r="R397" s="112" t="n"/>
      <c r="S397" s="80" t="n">
        <v>44858</v>
      </c>
      <c r="T397" s="88" t="inlineStr">
        <is>
          <t>CFO Commentary</t>
        </is>
      </c>
      <c r="U397" s="67" t="n"/>
    </row>
    <row r="398" ht="14.4" customFormat="1" customHeight="1" s="1013">
      <c r="A398" s="114" t="n">
        <v>566</v>
      </c>
      <c r="B398" s="77">
        <f>IF(INDEX(MO_SNA_IsHistoricalPeriod,,MATCH(F398,MO_Common_ColumnHeader,0)),"Historical","Forward")</f>
        <v/>
      </c>
      <c r="C398" s="67" t="n"/>
      <c r="D398" s="84" t="inlineStr">
        <is>
          <t>Non-Qualified deferred compensation expenses</t>
        </is>
      </c>
      <c r="E398" s="78" t="n"/>
      <c r="F398" s="77" t="inlineStr">
        <is>
          <t>FY2022</t>
        </is>
      </c>
      <c r="G398" s="77" t="n"/>
      <c r="H398" s="67" t="n"/>
      <c r="I398" s="2087" t="n">
        <v>-12</v>
      </c>
      <c r="J398" s="2087" t="n">
        <v>-12</v>
      </c>
      <c r="K398" s="2087">
        <f>AVERAGE(I398:J398)</f>
        <v/>
      </c>
      <c r="L398" s="67" t="n"/>
      <c r="M398" s="77">
        <f>IF(INDEX(MO_SNA_IsHistoricalPeriod,,MATCH(F398,MO_Common_ColumnHeader,0)),"Actual","Estimate")</f>
        <v/>
      </c>
      <c r="N398" s="2087">
        <f>IFERROR(INDEX(INDIRECT(E398),0,MATCH(F398,MO_Common_ColumnHeader,0)),"N/A")</f>
        <v/>
      </c>
      <c r="O398" s="67" t="n"/>
      <c r="P398" s="2169">
        <f>IF(ISNUMBER(N398),N398-K398,"N/A")</f>
        <v/>
      </c>
      <c r="Q398" s="2168">
        <f>IFERROR(IF(ISNUMBER(N398),(N398-K398)/ABS(K398),"N/A"),"N/A")</f>
        <v/>
      </c>
      <c r="R398" s="112" t="n"/>
      <c r="S398" s="80" t="n">
        <v>44858</v>
      </c>
      <c r="T398" s="88" t="inlineStr">
        <is>
          <t>CFO Commentary</t>
        </is>
      </c>
      <c r="U398" s="67" t="n"/>
    </row>
    <row r="399" ht="14.4" customFormat="1" customHeight="1" s="1013">
      <c r="A399" s="114" t="n">
        <v>565</v>
      </c>
      <c r="B399" s="77">
        <f>IF(INDEX(MO_SNA_IsHistoricalPeriod,,MATCH(F399,MO_Common_ColumnHeader,0)),"Historical","Forward")</f>
        <v/>
      </c>
      <c r="C399" s="67" t="n"/>
      <c r="D399" s="84" t="inlineStr">
        <is>
          <t>Special charges</t>
        </is>
      </c>
      <c r="E399" s="78" t="n"/>
      <c r="F399" s="77" t="inlineStr">
        <is>
          <t>FY2022</t>
        </is>
      </c>
      <c r="G399" s="77" t="n"/>
      <c r="H399" s="67" t="n"/>
      <c r="I399" s="2087" t="n">
        <v>0</v>
      </c>
      <c r="J399" s="2087" t="n">
        <v>0</v>
      </c>
      <c r="K399" s="2087">
        <f>AVERAGE(I399:J399)</f>
        <v/>
      </c>
      <c r="L399" s="67" t="n"/>
      <c r="M399" s="77">
        <f>IF(INDEX(MO_SNA_IsHistoricalPeriod,,MATCH(F399,MO_Common_ColumnHeader,0)),"Actual","Estimate")</f>
        <v/>
      </c>
      <c r="N399" s="2087">
        <f>IFERROR(INDEX(INDIRECT(E399),0,MATCH(F399,MO_Common_ColumnHeader,0)),"N/A")</f>
        <v/>
      </c>
      <c r="O399" s="67" t="n"/>
      <c r="P399" s="2169">
        <f>IF(ISNUMBER(N399),N399-K399,"N/A")</f>
        <v/>
      </c>
      <c r="Q399" s="2168">
        <f>IFERROR(IF(ISNUMBER(N399),(N399-K399)/ABS(K399),"N/A"),"N/A")</f>
        <v/>
      </c>
      <c r="R399" s="112" t="n"/>
      <c r="S399" s="80" t="n">
        <v>44858</v>
      </c>
      <c r="T399" s="88" t="inlineStr">
        <is>
          <t>CFO Commentary</t>
        </is>
      </c>
      <c r="U399" s="67" t="n"/>
    </row>
    <row r="400" ht="14.4" customFormat="1" customHeight="1" s="1013">
      <c r="A400" s="114" t="n">
        <v>564</v>
      </c>
      <c r="B400" s="77">
        <f>IF(INDEX(MO_SNA_IsHistoricalPeriod,,MATCH(F400,MO_Common_ColumnHeader,0)),"Historical","Forward")</f>
        <v/>
      </c>
      <c r="C400" s="67" t="n"/>
      <c r="D400" s="84" t="inlineStr">
        <is>
          <t>GAAP Operating Expenses</t>
        </is>
      </c>
      <c r="E400" s="78" t="n"/>
      <c r="F400" s="77" t="inlineStr">
        <is>
          <t>FY2022</t>
        </is>
      </c>
      <c r="G400" s="77" t="n"/>
      <c r="H400" s="67" t="n"/>
      <c r="I400" s="2087" t="n">
        <v>2470</v>
      </c>
      <c r="J400" s="2087" t="n">
        <v>2470</v>
      </c>
      <c r="K400" s="2087">
        <f>AVERAGE(I400:J400)</f>
        <v/>
      </c>
      <c r="L400" s="67" t="n"/>
      <c r="M400" s="77">
        <f>IF(INDEX(MO_SNA_IsHistoricalPeriod,,MATCH(F400,MO_Common_ColumnHeader,0)),"Actual","Estimate")</f>
        <v/>
      </c>
      <c r="N400" s="2087">
        <f>IFERROR(INDEX(MO_RIS_COGS,0,MATCH(Guidance!F400,MO_Common_ColumnHeader,0))+INDEX(MO_RIS_RD,0,MATCH(Guidance!F400,MO_Common_ColumnHeader,0))+INDEX(MO_RIS_GA,0,MATCH(Guidance!F400,MO_Common_ColumnHeader,0))+INDEX(MO_RIS_SM,0,MATCH(Guidance!F400,MO_Common_ColumnHeader,0)),"N/A")</f>
        <v/>
      </c>
      <c r="O400" s="2072" t="n"/>
      <c r="P400" s="2169">
        <f>IF(ISNUMBER(N400),N400-K400,"N/A")</f>
        <v/>
      </c>
      <c r="Q400" s="2168">
        <f>IFERROR(IF(ISNUMBER(N400),(N400-K400)/ABS(K400),"N/A"),"N/A")</f>
        <v/>
      </c>
      <c r="R400" s="112" t="n"/>
      <c r="S400" s="80" t="n">
        <v>44858</v>
      </c>
      <c r="T400" s="88" t="inlineStr">
        <is>
          <t>CFO Commentary</t>
        </is>
      </c>
      <c r="U400" s="67" t="n"/>
    </row>
    <row r="401" ht="14.4" customFormat="1" customHeight="1" s="1013">
      <c r="A401" s="114" t="n">
        <v>563</v>
      </c>
      <c r="B401" s="77">
        <f>IF(INDEX(MO_SNA_IsHistoricalPeriod,,MATCH(F401,MO_Common_ColumnHeader,0)),"Historical","Forward")</f>
        <v/>
      </c>
      <c r="C401" s="67" t="n"/>
      <c r="D401" s="84" t="inlineStr">
        <is>
          <t>Non-GAAP Operating Expenses</t>
        </is>
      </c>
      <c r="E401" s="78" t="n"/>
      <c r="F401" s="77" t="inlineStr">
        <is>
          <t>FY2022</t>
        </is>
      </c>
      <c r="G401" s="77" t="n"/>
      <c r="H401" s="67" t="n"/>
      <c r="I401" s="2087" t="n">
        <v>2118</v>
      </c>
      <c r="J401" s="2087" t="n">
        <v>2118</v>
      </c>
      <c r="K401" s="2087">
        <f>AVERAGE(I401:J401)</f>
        <v/>
      </c>
      <c r="L401" s="67" t="n"/>
      <c r="M401" s="77">
        <f>IF(INDEX(MO_SNA_IsHistoricalPeriod,,MATCH(F401,MO_Common_ColumnHeader,0)),"Actual","Estimate")</f>
        <v/>
      </c>
      <c r="N401" s="2087">
        <f>IFERROR(INDEX(MO_RIS_REV,0,MATCH(Guidance!F401,MO_Common_ColumnHeader,0))+INDEX(MO_RIS_RD_NONGAAP,0,MATCH(Guidance!F401,MO_Common_ColumnHeader,0))+INDEX(MO_RIS_GA_NONGAAP,0,MATCH(Guidance!F401,MO_Common_ColumnHeader,0))+INDEX(MO_RIS_SM_NONGAAP,0,MATCH(Guidance!F401,MO_Common_ColumnHeader,0))-INDEX(MO_RIS_GP_NONGAAP,0,MATCH(Guidance!F401,MO_Common_ColumnHeader,0)),"N/A")</f>
        <v/>
      </c>
      <c r="O401" s="2072" t="n"/>
      <c r="P401" s="2169">
        <f>IF(ISNUMBER(N401),N401-K401,"N/A")</f>
        <v/>
      </c>
      <c r="Q401" s="2168">
        <f>IFERROR(IF(ISNUMBER(N401),(N401-K401)/ABS(K401),"N/A"),"N/A")</f>
        <v/>
      </c>
      <c r="R401" s="112" t="n"/>
      <c r="S401" s="80" t="n">
        <v>44858</v>
      </c>
      <c r="T401" s="88" t="inlineStr">
        <is>
          <t>CFO Commentary</t>
        </is>
      </c>
      <c r="U401" s="67" t="n"/>
    </row>
    <row r="402" ht="14.4" customFormat="1" customHeight="1" s="1013">
      <c r="A402" s="114" t="n">
        <v>562</v>
      </c>
      <c r="B402" s="67" t="n"/>
      <c r="C402" s="67" t="n"/>
      <c r="D402" s="68" t="n"/>
      <c r="E402" s="69" t="n"/>
      <c r="F402" s="67" t="n"/>
      <c r="G402" s="67" t="n"/>
      <c r="H402" s="67" t="n"/>
      <c r="I402" s="2072" t="n"/>
      <c r="J402" s="2072" t="n"/>
      <c r="K402" s="2072" t="n"/>
      <c r="L402" s="67" t="n"/>
      <c r="M402" s="67" t="n"/>
      <c r="N402" s="2072" t="n"/>
      <c r="O402" s="67" t="n"/>
      <c r="P402" s="2172" t="n"/>
      <c r="Q402" s="2173" t="n"/>
      <c r="R402" s="112" t="n"/>
      <c r="S402" s="112" t="n"/>
      <c r="T402" s="344" t="n"/>
      <c r="U402" s="67" t="n"/>
    </row>
    <row r="403" ht="14.4" customFormat="1" customHeight="1" s="1013">
      <c r="A403" s="114" t="n">
        <v>561</v>
      </c>
      <c r="B403" s="77">
        <f>IF(INDEX(MO_SNA_IsHistoricalPeriod,,MATCH(F403,MO_Common_ColumnHeader,0)),"Historical","Forward")</f>
        <v/>
      </c>
      <c r="C403" s="67" t="n"/>
      <c r="D403" s="84">
        <f>INDEX(INDIRECT(E403),0,COLUMN(MO_Common_Column_A))</f>
        <v/>
      </c>
      <c r="E403" s="78" t="inlineStr">
        <is>
          <t>MO_RIS_REV</t>
        </is>
      </c>
      <c r="F403" s="77" t="inlineStr">
        <is>
          <t>Q4-2022</t>
        </is>
      </c>
      <c r="G403" s="77" t="n"/>
      <c r="H403" s="67" t="n"/>
      <c r="I403" s="2087" t="n">
        <v>870</v>
      </c>
      <c r="J403" s="2087" t="n">
        <v>890</v>
      </c>
      <c r="K403" s="2087">
        <f>AVERAGE(I403:J403)</f>
        <v/>
      </c>
      <c r="L403" s="67" t="n"/>
      <c r="M403" s="77">
        <f>IF(INDEX(MO_SNA_IsHistoricalPeriod,,MATCH(F403,MO_Common_ColumnHeader,0)),"Actual","Estimate")</f>
        <v/>
      </c>
      <c r="N403" s="2087">
        <f>IFERROR(INDEX(INDIRECT(E403),0,MATCH(F403,MO_Common_ColumnHeader,0)),"N/A")</f>
        <v/>
      </c>
      <c r="O403" s="67" t="n"/>
      <c r="P403" s="2169">
        <f>IF(ISNUMBER(N403),N403-K403,"N/A")</f>
        <v/>
      </c>
      <c r="Q403" s="2168">
        <f>IFERROR(IF(ISNUMBER(N403),(N403-K403)/ABS(K403),"N/A"),"N/A")</f>
        <v/>
      </c>
      <c r="R403" s="112" t="n"/>
      <c r="S403" s="80" t="n">
        <v>44858</v>
      </c>
      <c r="T403" s="88" t="inlineStr">
        <is>
          <t>CFO Commentary</t>
        </is>
      </c>
      <c r="U403" s="67" t="n"/>
    </row>
    <row r="404" ht="14.4" customFormat="1" customHeight="1" s="1013">
      <c r="A404" s="114" t="n">
        <v>560</v>
      </c>
      <c r="B404" s="77">
        <f>IF(INDEX(MO_SNA_IsHistoricalPeriod,,MATCH(F404,MO_Common_ColumnHeader,0)),"Historical","Forward")</f>
        <v/>
      </c>
      <c r="C404" s="67" t="n"/>
      <c r="D404" s="84" t="inlineStr">
        <is>
          <t>GAAP Operating Margin</t>
        </is>
      </c>
      <c r="E404" s="78" t="inlineStr">
        <is>
          <t>MO_MA_EBIT</t>
        </is>
      </c>
      <c r="F404" s="77" t="inlineStr">
        <is>
          <t>Q4-2022</t>
        </is>
      </c>
      <c r="G404" s="77" t="n"/>
      <c r="H404" s="67" t="n"/>
      <c r="I404" s="2108" t="n">
        <v>0.24</v>
      </c>
      <c r="J404" s="2108" t="n">
        <v>0.24</v>
      </c>
      <c r="K404" s="2108">
        <f>AVERAGE(I404:J404)</f>
        <v/>
      </c>
      <c r="L404" s="67" t="n"/>
      <c r="M404" s="77">
        <f>IF(INDEX(MO_SNA_IsHistoricalPeriod,,MATCH(F404,MO_Common_ColumnHeader,0)),"Actual","Estimate")</f>
        <v/>
      </c>
      <c r="N404" s="2108">
        <f>IFERROR(INDEX(INDIRECT(E404),0,MATCH(F404,MO_Common_ColumnHeader,0)),"N/A")</f>
        <v/>
      </c>
      <c r="O404" s="67" t="n"/>
      <c r="P404" s="2168">
        <f>IF(ISNUMBER(N404),N404-K404,"N/A")</f>
        <v/>
      </c>
      <c r="Q404" s="2168">
        <f>IFERROR(IF(ISNUMBER(N404),(N404-K404)/ABS(K404),"N/A"),"N/A")</f>
        <v/>
      </c>
      <c r="R404" s="112" t="n"/>
      <c r="S404" s="80" t="n">
        <v>44858</v>
      </c>
      <c r="T404" s="88" t="inlineStr">
        <is>
          <t>CFO Commentary</t>
        </is>
      </c>
      <c r="U404" s="67" t="n"/>
    </row>
    <row r="405" ht="14.4" customFormat="1" customHeight="1" s="1013">
      <c r="A405" s="114" t="n">
        <v>559</v>
      </c>
      <c r="B405" s="77">
        <f>IF(INDEX(MO_SNA_IsHistoricalPeriod,,MATCH(F405,MO_Common_ColumnHeader,0)),"Historical","Forward")</f>
        <v/>
      </c>
      <c r="C405" s="67" t="n"/>
      <c r="D405" s="84">
        <f>INDEX(INDIRECT(E405),0,COLUMN(MO_Common_Column_A))</f>
        <v/>
      </c>
      <c r="E405" s="78" t="inlineStr">
        <is>
          <t>MO_MA_OperatingIncome_NONGAAP</t>
        </is>
      </c>
      <c r="F405" s="77" t="inlineStr">
        <is>
          <t>Q4-2022</t>
        </is>
      </c>
      <c r="G405" s="77" t="n"/>
      <c r="H405" s="67" t="n"/>
      <c r="I405" s="2108" t="n">
        <v>0.35</v>
      </c>
      <c r="J405" s="2108" t="n">
        <v>0.35</v>
      </c>
      <c r="K405" s="2108">
        <f>AVERAGE(I405:J405)</f>
        <v/>
      </c>
      <c r="L405" s="67" t="n"/>
      <c r="M405" s="77">
        <f>IF(INDEX(MO_SNA_IsHistoricalPeriod,,MATCH(F405,MO_Common_ColumnHeader,0)),"Actual","Estimate")</f>
        <v/>
      </c>
      <c r="N405" s="2108">
        <f>IFERROR(INDEX(INDIRECT(E405),0,MATCH(F405,MO_Common_ColumnHeader,0)),"N/A")</f>
        <v/>
      </c>
      <c r="O405" s="67" t="n"/>
      <c r="P405" s="2168">
        <f>IF(ISNUMBER(N405),N405-K405,"N/A")</f>
        <v/>
      </c>
      <c r="Q405" s="2168">
        <f>IFERROR(IF(ISNUMBER(N405),(N405-K405)/ABS(K405),"N/A"),"N/A")</f>
        <v/>
      </c>
      <c r="R405" s="112" t="n"/>
      <c r="S405" s="80" t="n">
        <v>44858</v>
      </c>
      <c r="T405" s="88" t="inlineStr">
        <is>
          <t>CFO Commentary</t>
        </is>
      </c>
      <c r="U405" s="67" t="n"/>
    </row>
    <row r="406" ht="14.4" customFormat="1" customHeight="1" s="1013">
      <c r="A406" s="114" t="n">
        <v>558</v>
      </c>
      <c r="B406" s="77">
        <f>IF(INDEX(MO_SNA_IsHistoricalPeriod,,MATCH(F406,MO_Common_ColumnHeader,0)),"Historical","Forward")</f>
        <v/>
      </c>
      <c r="C406" s="67" t="n"/>
      <c r="D406" s="84">
        <f>INDEX(INDIRECT(E406),0,COLUMN(MO_Common_Column_A))</f>
        <v/>
      </c>
      <c r="E406" s="78" t="inlineStr">
        <is>
          <t>MO_RIS_EPS_WAD</t>
        </is>
      </c>
      <c r="F406" s="77" t="inlineStr">
        <is>
          <t>Q4-2022</t>
        </is>
      </c>
      <c r="G406" s="77" t="n"/>
      <c r="H406" s="67" t="n"/>
      <c r="I406" s="2170" t="n">
        <v>0.5</v>
      </c>
      <c r="J406" s="2170" t="n">
        <v>0.54</v>
      </c>
      <c r="K406" s="2170">
        <f>AVERAGE(I406:J406)</f>
        <v/>
      </c>
      <c r="L406" s="67" t="n"/>
      <c r="M406" s="77">
        <f>IF(INDEX(MO_SNA_IsHistoricalPeriod,,MATCH(F406,MO_Common_ColumnHeader,0)),"Actual","Estimate")</f>
        <v/>
      </c>
      <c r="N406" s="2170">
        <f>IFERROR(INDEX(INDIRECT(E406),0,MATCH(F406,MO_Common_ColumnHeader,0)),"N/A")</f>
        <v/>
      </c>
      <c r="O406" s="67" t="n"/>
      <c r="P406" s="2171">
        <f>IF(ISNUMBER(N406),N406-K406,"N/A")</f>
        <v/>
      </c>
      <c r="Q406" s="2168">
        <f>IFERROR(IF(ISNUMBER(N406),(N406-K406)/ABS(K406),"N/A"),"N/A")</f>
        <v/>
      </c>
      <c r="R406" s="112" t="n"/>
      <c r="S406" s="80" t="n">
        <v>44858</v>
      </c>
      <c r="T406" s="88" t="inlineStr">
        <is>
          <t>CFO Commentary</t>
        </is>
      </c>
      <c r="U406" s="67" t="n"/>
    </row>
    <row r="407" ht="14.4" customFormat="1" customHeight="1" s="1013">
      <c r="A407" s="114" t="n">
        <v>557</v>
      </c>
      <c r="B407" s="77">
        <f>IF(INDEX(MO_SNA_IsHistoricalPeriod,,MATCH(F407,MO_Common_ColumnHeader,0)),"Historical","Forward")</f>
        <v/>
      </c>
      <c r="C407" s="67" t="n"/>
      <c r="D407" s="84">
        <f>INDEX(INDIRECT(E407),0,COLUMN(MO_Common_Column_A))</f>
        <v/>
      </c>
      <c r="E407" s="78" t="inlineStr">
        <is>
          <t>MO_RIS_EPS_WAD_Adj</t>
        </is>
      </c>
      <c r="F407" s="77" t="inlineStr">
        <is>
          <t>Q4-2022</t>
        </is>
      </c>
      <c r="G407" s="77" t="n"/>
      <c r="H407" s="67" t="n"/>
      <c r="I407" s="2170" t="n">
        <v>0.89</v>
      </c>
      <c r="J407" s="2170" t="n">
        <v>0.93</v>
      </c>
      <c r="K407" s="2170">
        <f>AVERAGE(I407:J407)</f>
        <v/>
      </c>
      <c r="L407" s="67" t="n"/>
      <c r="M407" s="77">
        <f>IF(INDEX(MO_SNA_IsHistoricalPeriod,,MATCH(F407,MO_Common_ColumnHeader,0)),"Actual","Estimate")</f>
        <v/>
      </c>
      <c r="N407" s="2170">
        <f>IFERROR(INDEX(INDIRECT(E407),0,MATCH(F407,MO_Common_ColumnHeader,0)),"N/A")</f>
        <v/>
      </c>
      <c r="O407" s="67" t="n"/>
      <c r="P407" s="2171">
        <f>IF(ISNUMBER(N407),N407-K407,"N/A")</f>
        <v/>
      </c>
      <c r="Q407" s="2168">
        <f>IFERROR(IF(ISNUMBER(N407),(N407-K407)/ABS(K407),"N/A"),"N/A")</f>
        <v/>
      </c>
      <c r="R407" s="112" t="n"/>
      <c r="S407" s="80" t="n">
        <v>44858</v>
      </c>
      <c r="T407" s="88" t="inlineStr">
        <is>
          <t>CFO Commentary</t>
        </is>
      </c>
      <c r="U407" s="67" t="n"/>
    </row>
    <row r="408" ht="14.4" customFormat="1" customHeight="1" s="1013">
      <c r="A408" s="114" t="n">
        <v>556</v>
      </c>
      <c r="B408" s="77">
        <f>IF(INDEX(MO_SNA_IsHistoricalPeriod,,MATCH(F408,MO_Common_ColumnHeader,0)),"Historical","Forward")</f>
        <v/>
      </c>
      <c r="C408" s="67" t="n"/>
      <c r="D408" s="84">
        <f>INDEX(INDIRECT(E408),0,COLUMN(MO_Common_Column_A))</f>
        <v/>
      </c>
      <c r="E408" s="78" t="inlineStr">
        <is>
          <t>MO_CFSum_NetShares</t>
        </is>
      </c>
      <c r="F408" s="77" t="inlineStr">
        <is>
          <t>Q4-2022</t>
        </is>
      </c>
      <c r="G408" s="77" t="n"/>
      <c r="H408" s="67" t="n"/>
      <c r="I408" s="2087" t="n">
        <v>-300</v>
      </c>
      <c r="J408" s="2087" t="n">
        <v>-300</v>
      </c>
      <c r="K408" s="2087">
        <f>AVERAGE(I408:J408)</f>
        <v/>
      </c>
      <c r="L408" s="67" t="n"/>
      <c r="M408" s="77">
        <f>IF(INDEX(MO_SNA_IsHistoricalPeriod,,MATCH(F408,MO_Common_ColumnHeader,0)),"Actual","Estimate")</f>
        <v/>
      </c>
      <c r="N408" s="2087">
        <f>IFERROR(INDEX(INDIRECT(E408),0,MATCH(F408,MO_Common_ColumnHeader,0)),"N/A")</f>
        <v/>
      </c>
      <c r="O408" s="67" t="n"/>
      <c r="P408" s="2169">
        <f>IF(ISNUMBER(N408),N408-K408,"N/A")</f>
        <v/>
      </c>
      <c r="Q408" s="2168">
        <f>IFERROR(IF(ISNUMBER(N408),(N408-K408)/ABS(K408),"N/A"),"N/A")</f>
        <v/>
      </c>
      <c r="R408" s="112" t="n"/>
      <c r="S408" s="80" t="n">
        <v>44858</v>
      </c>
      <c r="T408" s="88" t="inlineStr">
        <is>
          <t>CFO Commentary</t>
        </is>
      </c>
      <c r="U408" s="67" t="n"/>
    </row>
    <row r="409" ht="14.4" customFormat="1" customHeight="1" s="1013">
      <c r="A409" s="114" t="n">
        <v>555</v>
      </c>
      <c r="B409" s="67" t="n"/>
      <c r="C409" s="67" t="n"/>
      <c r="D409" s="68" t="n"/>
      <c r="E409" s="69" t="n"/>
      <c r="F409" s="67" t="n"/>
      <c r="G409" s="67" t="n"/>
      <c r="H409" s="67" t="n"/>
      <c r="I409" s="2072" t="n"/>
      <c r="J409" s="2072" t="n"/>
      <c r="K409" s="2072" t="n"/>
      <c r="L409" s="67" t="n"/>
      <c r="M409" s="67" t="n"/>
      <c r="N409" s="2072" t="n"/>
      <c r="O409" s="67" t="n"/>
      <c r="P409" s="2172" t="n"/>
      <c r="Q409" s="2173" t="n"/>
      <c r="R409" s="112" t="n"/>
      <c r="S409" s="112" t="n"/>
      <c r="T409" s="344" t="n"/>
      <c r="U409" s="67" t="n"/>
    </row>
    <row r="410" ht="14.4" customFormat="1" customHeight="1" s="1013">
      <c r="A410" s="114" t="n">
        <v>554</v>
      </c>
      <c r="B410" s="77">
        <f>IF(INDEX(MO_SNA_IsHistoricalPeriod,,MATCH(F410,MO_Common_ColumnHeader,0)),"Historical","Forward")</f>
        <v/>
      </c>
      <c r="C410" s="67" t="n"/>
      <c r="D410" s="84" t="inlineStr">
        <is>
          <t>Recurring Revenue %</t>
        </is>
      </c>
      <c r="E410" s="78" t="n"/>
      <c r="F410" s="77" t="inlineStr">
        <is>
          <t>FY2022</t>
        </is>
      </c>
      <c r="G410" s="77" t="n"/>
      <c r="H410" s="67" t="n"/>
      <c r="I410" s="2108" t="n">
        <v>0.85</v>
      </c>
      <c r="J410" s="2108" t="n">
        <v>0.9</v>
      </c>
      <c r="K410" s="2108">
        <f>AVERAGE(I410:J410)</f>
        <v/>
      </c>
      <c r="L410" s="67" t="n"/>
      <c r="M410" s="77">
        <f>IF(INDEX(MO_SNA_IsHistoricalPeriod,,MATCH(F410,MO_Common_ColumnHeader,0)),"Actual","Estimate")</f>
        <v/>
      </c>
      <c r="N410" s="2108">
        <f>IFERROR(INDEX(INDIRECT(E410),0,MATCH(F410,MO_Common_ColumnHeader,0)),"N/A")</f>
        <v/>
      </c>
      <c r="O410" s="2072" t="n"/>
      <c r="P410" s="2168">
        <f>IF(ISNUMBER(N410),N410-K410,"N/A")</f>
        <v/>
      </c>
      <c r="Q410" s="2168">
        <f>IFERROR(IF(ISNUMBER(N410),(N410-K410)/ABS(K410),"N/A"),"N/A")</f>
        <v/>
      </c>
      <c r="R410" s="112" t="n"/>
      <c r="S410" s="80" t="n">
        <v>44767</v>
      </c>
      <c r="T410" s="88" t="inlineStr">
        <is>
          <t>CFO Commentary</t>
        </is>
      </c>
      <c r="U410" s="67" t="n"/>
    </row>
    <row r="411" ht="14.4" customFormat="1" customHeight="1" s="1013">
      <c r="A411" s="114" t="n">
        <v>553</v>
      </c>
      <c r="B411" s="77">
        <f>IF(INDEX(MO_SNA_IsHistoricalPeriod,,MATCH(F411,MO_Common_ColumnHeader,0)),"Historical","Forward")</f>
        <v/>
      </c>
      <c r="C411" s="67" t="n"/>
      <c r="D411" s="84" t="inlineStr">
        <is>
          <t>Revenue from Beginning Backlog %</t>
        </is>
      </c>
      <c r="E411" s="78" t="n"/>
      <c r="F411" s="77" t="inlineStr">
        <is>
          <t>FY2022</t>
        </is>
      </c>
      <c r="G411" s="77" t="n"/>
      <c r="H411" s="67" t="n"/>
      <c r="I411" s="2108" t="n">
        <v>0.7</v>
      </c>
      <c r="J411" s="2108" t="n">
        <v>0.7</v>
      </c>
      <c r="K411" s="2108">
        <f>AVERAGE(I411:J411)</f>
        <v/>
      </c>
      <c r="L411" s="67" t="n"/>
      <c r="M411" s="77">
        <f>IF(INDEX(MO_SNA_IsHistoricalPeriod,,MATCH(F411,MO_Common_ColumnHeader,0)),"Actual","Estimate")</f>
        <v/>
      </c>
      <c r="N411" s="2108">
        <f>IFERROR(INDEX(INDIRECT(E411),0,MATCH(F411,MO_Common_ColumnHeader,0)),"N/A")</f>
        <v/>
      </c>
      <c r="O411" s="2072" t="n"/>
      <c r="P411" s="2168">
        <f>IF(ISNUMBER(N411),N411-K411,"N/A")</f>
        <v/>
      </c>
      <c r="Q411" s="2168">
        <f>IFERROR(IF(ISNUMBER(N411),(N411-K411)/ABS(K411),"N/A"),"N/A")</f>
        <v/>
      </c>
      <c r="R411" s="112" t="n"/>
      <c r="S411" s="80" t="n">
        <v>44767</v>
      </c>
      <c r="T411" s="88" t="inlineStr">
        <is>
          <t>CFO Commentary</t>
        </is>
      </c>
      <c r="U411" s="67" t="n"/>
    </row>
    <row r="412" ht="14.4" customFormat="1" customHeight="1" s="1013">
      <c r="A412" s="114" t="n">
        <v>552</v>
      </c>
      <c r="B412" s="77">
        <f>IF(INDEX(MO_SNA_IsHistoricalPeriod,,MATCH(F412,MO_Common_ColumnHeader,0)),"Historical","Forward")</f>
        <v/>
      </c>
      <c r="C412" s="67" t="n"/>
      <c r="D412" s="84">
        <f>INDEX(INDIRECT(E412),0,COLUMN(MO_Common_Column_A))</f>
        <v/>
      </c>
      <c r="E412" s="78" t="inlineStr">
        <is>
          <t>MO_RIS_REV</t>
        </is>
      </c>
      <c r="F412" s="77" t="inlineStr">
        <is>
          <t>FY2022</t>
        </is>
      </c>
      <c r="G412" s="77" t="n"/>
      <c r="H412" s="67" t="n"/>
      <c r="I412" s="2087" t="n">
        <v>3470</v>
      </c>
      <c r="J412" s="2087" t="n">
        <v>3510</v>
      </c>
      <c r="K412" s="2087">
        <f>AVERAGE(I412:J412)</f>
        <v/>
      </c>
      <c r="L412" s="67" t="n"/>
      <c r="M412" s="77">
        <f>IF(INDEX(MO_SNA_IsHistoricalPeriod,,MATCH(F412,MO_Common_ColumnHeader,0)),"Actual","Estimate")</f>
        <v/>
      </c>
      <c r="N412" s="2087">
        <f>IFERROR(INDEX(INDIRECT(E412),0,MATCH(F412,MO_Common_ColumnHeader,0)),"N/A")</f>
        <v/>
      </c>
      <c r="O412" s="2072" t="n"/>
      <c r="P412" s="2169">
        <f>IF(ISNUMBER(N412),N412-K412,"N/A")</f>
        <v/>
      </c>
      <c r="Q412" s="2168">
        <f>IFERROR(IF(ISNUMBER(N412),(N412-K412)/ABS(K412),"N/A"),"N/A")</f>
        <v/>
      </c>
      <c r="R412" s="112" t="n"/>
      <c r="S412" s="80" t="n">
        <v>44767</v>
      </c>
      <c r="T412" s="88" t="inlineStr">
        <is>
          <t>CFO Commentary</t>
        </is>
      </c>
      <c r="U412" s="67" t="n"/>
    </row>
    <row r="413" ht="14.4" customFormat="1" customHeight="1" s="1013">
      <c r="A413" s="114" t="n">
        <v>551</v>
      </c>
      <c r="B413" s="77">
        <f>IF(INDEX(MO_SNA_IsHistoricalPeriod,,MATCH(F413,MO_Common_ColumnHeader,0)),"Historical","Forward")</f>
        <v/>
      </c>
      <c r="C413" s="67" t="n"/>
      <c r="D413" s="84" t="inlineStr">
        <is>
          <t>GAAP Operating Margin</t>
        </is>
      </c>
      <c r="E413" s="78" t="inlineStr">
        <is>
          <t>MO_MA_EBIT</t>
        </is>
      </c>
      <c r="F413" s="77" t="inlineStr">
        <is>
          <t>FY2022</t>
        </is>
      </c>
      <c r="G413" s="77" t="n"/>
      <c r="H413" s="67" t="n"/>
      <c r="I413" s="2108" t="n">
        <v>0.2925</v>
      </c>
      <c r="J413" s="2108" t="n">
        <v>0.3025</v>
      </c>
      <c r="K413" s="2108">
        <f>AVERAGE(I413:J413)</f>
        <v/>
      </c>
      <c r="L413" s="67" t="n"/>
      <c r="M413" s="77">
        <f>IF(INDEX(MO_SNA_IsHistoricalPeriod,,MATCH(F413,MO_Common_ColumnHeader,0)),"Actual","Estimate")</f>
        <v/>
      </c>
      <c r="N413" s="2108">
        <f>IFERROR(INDEX(INDIRECT(E413),0,MATCH(F413,MO_Common_ColumnHeader,0)),"N/A")</f>
        <v/>
      </c>
      <c r="O413" s="67" t="n"/>
      <c r="P413" s="2168">
        <f>IF(ISNUMBER(N413),N413-K413,"N/A")</f>
        <v/>
      </c>
      <c r="Q413" s="2168">
        <f>IFERROR(IF(ISNUMBER(N413),(N413-K413)/ABS(K413),"N/A"),"N/A")</f>
        <v/>
      </c>
      <c r="R413" s="112" t="n"/>
      <c r="S413" s="80" t="n">
        <v>44767</v>
      </c>
      <c r="T413" s="88" t="inlineStr">
        <is>
          <t>CFO Commentary</t>
        </is>
      </c>
      <c r="U413" s="67" t="n"/>
    </row>
    <row r="414" ht="14.4" customFormat="1" customHeight="1" s="1013">
      <c r="A414" s="114" t="n">
        <v>550</v>
      </c>
      <c r="B414" s="77">
        <f>IF(INDEX(MO_SNA_IsHistoricalPeriod,,MATCH(F414,MO_Common_ColumnHeader,0)),"Historical","Forward")</f>
        <v/>
      </c>
      <c r="C414" s="67" t="n"/>
      <c r="D414" s="84">
        <f>INDEX(INDIRECT(E414),0,COLUMN(MO_Common_Column_A))</f>
        <v/>
      </c>
      <c r="E414" s="78" t="inlineStr">
        <is>
          <t>MO_MA_OperatingIncome_NONGAAP</t>
        </is>
      </c>
      <c r="F414" s="77" t="inlineStr">
        <is>
          <t>FY2022</t>
        </is>
      </c>
      <c r="G414" s="77" t="n"/>
      <c r="H414" s="67" t="n"/>
      <c r="I414" s="2108" t="n">
        <v>0.3925</v>
      </c>
      <c r="J414" s="2108" t="n">
        <v>0.4025</v>
      </c>
      <c r="K414" s="2108">
        <f>AVERAGE(I414:J414)</f>
        <v/>
      </c>
      <c r="L414" s="67" t="n"/>
      <c r="M414" s="77">
        <f>IF(INDEX(MO_SNA_IsHistoricalPeriod,,MATCH(F414,MO_Common_ColumnHeader,0)),"Actual","Estimate")</f>
        <v/>
      </c>
      <c r="N414" s="2108">
        <f>IFERROR(INDEX(INDIRECT(E414),0,MATCH(F414,MO_Common_ColumnHeader,0)),"N/A")</f>
        <v/>
      </c>
      <c r="O414" s="67" t="n"/>
      <c r="P414" s="2168">
        <f>IF(ISNUMBER(N414),N414-K414,"N/A")</f>
        <v/>
      </c>
      <c r="Q414" s="2168">
        <f>IFERROR(IF(ISNUMBER(N414),(N414-K414)/ABS(K414),"N/A"),"N/A")</f>
        <v/>
      </c>
      <c r="R414" s="112" t="n"/>
      <c r="S414" s="80" t="n">
        <v>44767</v>
      </c>
      <c r="T414" s="88" t="inlineStr">
        <is>
          <t>CFO Commentary</t>
        </is>
      </c>
      <c r="U414" s="67" t="n"/>
    </row>
    <row r="415" ht="14.4" customFormat="1" customHeight="1" s="1013">
      <c r="A415" s="114" t="n">
        <v>549</v>
      </c>
      <c r="B415" s="77">
        <f>IF(INDEX(MO_SNA_IsHistoricalPeriod,,MATCH(F415,MO_Common_ColumnHeader,0)),"Historical","Forward")</f>
        <v/>
      </c>
      <c r="C415" s="67" t="n"/>
      <c r="D415" s="84">
        <f>INDEX(INDIRECT(E415),0,COLUMN(MO_Common_Column_A))</f>
        <v/>
      </c>
      <c r="E415" s="78" t="inlineStr">
        <is>
          <t>MO_RIS_EPS_WAD</t>
        </is>
      </c>
      <c r="F415" s="77" t="inlineStr">
        <is>
          <t>FY2022</t>
        </is>
      </c>
      <c r="G415" s="77" t="n"/>
      <c r="H415" s="67" t="n"/>
      <c r="I415" s="2170" t="n">
        <v>2.59</v>
      </c>
      <c r="J415" s="2170" t="n">
        <v>2.65</v>
      </c>
      <c r="K415" s="2170">
        <f>AVERAGE(I415:J415)</f>
        <v/>
      </c>
      <c r="L415" s="67" t="n"/>
      <c r="M415" s="77">
        <f>IF(INDEX(MO_SNA_IsHistoricalPeriod,,MATCH(F415,MO_Common_ColumnHeader,0)),"Actual","Estimate")</f>
        <v/>
      </c>
      <c r="N415" s="2170">
        <f>IFERROR(INDEX(INDIRECT(E415),0,MATCH(F415,MO_Common_ColumnHeader,0)),"N/A")</f>
        <v/>
      </c>
      <c r="O415" s="67" t="n"/>
      <c r="P415" s="2171">
        <f>IF(ISNUMBER(N415),N415-K415,"N/A")</f>
        <v/>
      </c>
      <c r="Q415" s="2168">
        <f>IFERROR(IF(ISNUMBER(N415),(N415-K415)/ABS(K415),"N/A"),"N/A")</f>
        <v/>
      </c>
      <c r="R415" s="112" t="n"/>
      <c r="S415" s="80" t="n">
        <v>44767</v>
      </c>
      <c r="T415" s="88" t="inlineStr">
        <is>
          <t>CFO Commentary</t>
        </is>
      </c>
      <c r="U415" s="67" t="n"/>
    </row>
    <row r="416" ht="14.4" customFormat="1" customHeight="1" s="1013">
      <c r="A416" s="114" t="n">
        <v>548</v>
      </c>
      <c r="B416" s="77">
        <f>IF(INDEX(MO_SNA_IsHistoricalPeriod,,MATCH(F416,MO_Common_ColumnHeader,0)),"Historical","Forward")</f>
        <v/>
      </c>
      <c r="C416" s="67" t="n"/>
      <c r="D416" s="84">
        <f>INDEX(INDIRECT(E416),0,COLUMN(MO_Common_Column_A))</f>
        <v/>
      </c>
      <c r="E416" s="78" t="inlineStr">
        <is>
          <t>MO_RIS_EPS_WAD_Adj</t>
        </is>
      </c>
      <c r="F416" s="77" t="inlineStr">
        <is>
          <t>FY2022</t>
        </is>
      </c>
      <c r="G416" s="77" t="n"/>
      <c r="H416" s="67" t="n"/>
      <c r="I416" s="2170" t="n">
        <v>4.06</v>
      </c>
      <c r="J416" s="2170" t="n">
        <v>4.12</v>
      </c>
      <c r="K416" s="2170">
        <f>AVERAGE(I416:J416)</f>
        <v/>
      </c>
      <c r="L416" s="67" t="n"/>
      <c r="M416" s="77">
        <f>IF(INDEX(MO_SNA_IsHistoricalPeriod,,MATCH(F416,MO_Common_ColumnHeader,0)),"Actual","Estimate")</f>
        <v/>
      </c>
      <c r="N416" s="2170">
        <f>IFERROR(INDEX(INDIRECT(E416),0,MATCH(F416,MO_Common_ColumnHeader,0)),"N/A")</f>
        <v/>
      </c>
      <c r="O416" s="67" t="n"/>
      <c r="P416" s="2171">
        <f>IF(ISNUMBER(N416),N416-K416,"N/A")</f>
        <v/>
      </c>
      <c r="Q416" s="2168">
        <f>IFERROR(IF(ISNUMBER(N416),(N416-K416)/ABS(K416),"N/A"),"N/A")</f>
        <v/>
      </c>
      <c r="R416" s="112" t="n"/>
      <c r="S416" s="80" t="n">
        <v>44767</v>
      </c>
      <c r="T416" s="88" t="inlineStr">
        <is>
          <t>CFO Commentary</t>
        </is>
      </c>
      <c r="U416" s="67" t="n"/>
    </row>
    <row r="417" ht="14.4" customFormat="1" customHeight="1" s="1013">
      <c r="A417" s="114" t="n">
        <v>547</v>
      </c>
      <c r="B417" s="77">
        <f>IF(INDEX(MO_SNA_IsHistoricalPeriod,,MATCH(F417,MO_Common_ColumnHeader,0)),"Historical","Forward")</f>
        <v/>
      </c>
      <c r="C417" s="67" t="n"/>
      <c r="D417" s="84">
        <f>INDEX(INDIRECT(E417),0,COLUMN(MO_Common_Column_A))</f>
        <v/>
      </c>
      <c r="E417" s="78" t="inlineStr">
        <is>
          <t>MO_CFS_CFO</t>
        </is>
      </c>
      <c r="F417" s="77" t="inlineStr">
        <is>
          <t>FY2022</t>
        </is>
      </c>
      <c r="G417" s="77" t="n"/>
      <c r="H417" s="67" t="n"/>
      <c r="I417" s="2087" t="n">
        <v>1150</v>
      </c>
      <c r="J417" s="2087" t="n">
        <v>1250</v>
      </c>
      <c r="K417" s="2087">
        <f>AVERAGE(I417:J417)</f>
        <v/>
      </c>
      <c r="L417" s="67" t="n"/>
      <c r="M417" s="77">
        <f>IF(INDEX(MO_SNA_IsHistoricalPeriod,,MATCH(F417,MO_Common_ColumnHeader,0)),"Actual","Estimate")</f>
        <v/>
      </c>
      <c r="N417" s="2087">
        <f>IFERROR(INDEX(INDIRECT(E417),0,MATCH(F417,MO_Common_ColumnHeader,0)),"N/A")</f>
        <v/>
      </c>
      <c r="O417" s="67" t="n"/>
      <c r="P417" s="2169">
        <f>IF(ISNUMBER(N417),N417-K417,"N/A")</f>
        <v/>
      </c>
      <c r="Q417" s="2168">
        <f>IFERROR(IF(ISNUMBER(N417),(N417-K417)/ABS(K417),"N/A"),"N/A")</f>
        <v/>
      </c>
      <c r="R417" s="112" t="n"/>
      <c r="S417" s="80" t="n">
        <v>44767</v>
      </c>
      <c r="T417" s="88" t="inlineStr">
        <is>
          <t>CFO Commentary</t>
        </is>
      </c>
      <c r="U417" s="67" t="n"/>
    </row>
    <row r="418" ht="14.4" customFormat="1" customHeight="1" s="1013">
      <c r="A418" s="114" t="n">
        <v>546</v>
      </c>
      <c r="B418" s="77">
        <f>IF(INDEX(MO_SNA_IsHistoricalPeriod,,MATCH(F418,MO_Common_ColumnHeader,0)),"Historical","Forward")</f>
        <v/>
      </c>
      <c r="C418" s="67" t="n"/>
      <c r="D418" s="84">
        <f>INDEX(INDIRECT(E418),0,COLUMN(MO_Common_Column_A))</f>
        <v/>
      </c>
      <c r="E418" s="78" t="inlineStr">
        <is>
          <t>MO_CFSum_NetShares</t>
        </is>
      </c>
      <c r="F418" s="77" t="inlineStr">
        <is>
          <t>FY2022</t>
        </is>
      </c>
      <c r="G418" s="77" t="n"/>
      <c r="H418" s="67" t="n"/>
      <c r="I418" s="2087" t="n">
        <v>-900</v>
      </c>
      <c r="J418" s="2087" t="n">
        <v>-900</v>
      </c>
      <c r="K418" s="2087">
        <f>AVERAGE(I418:J418)</f>
        <v/>
      </c>
      <c r="L418" s="67" t="n"/>
      <c r="M418" s="77">
        <f>IF(INDEX(MO_SNA_IsHistoricalPeriod,,MATCH(F418,MO_Common_ColumnHeader,0)),"Actual","Estimate")</f>
        <v/>
      </c>
      <c r="N418" s="2087">
        <f>IFERROR(INDEX(INDIRECT(E418),0,MATCH(F418,MO_Common_ColumnHeader,0)),"N/A")</f>
        <v/>
      </c>
      <c r="O418" s="67" t="n"/>
      <c r="P418" s="2169">
        <f>IF(ISNUMBER(N418),N418-K418,"N/A")</f>
        <v/>
      </c>
      <c r="Q418" s="2168">
        <f>IFERROR(IF(ISNUMBER(N418),(N418-K418)/ABS(K418),"N/A"),"N/A")</f>
        <v/>
      </c>
      <c r="R418" s="112" t="n"/>
      <c r="S418" s="80" t="n">
        <v>44767</v>
      </c>
      <c r="T418" s="88" t="inlineStr">
        <is>
          <t>CFO Commentary</t>
        </is>
      </c>
      <c r="U418" s="67" t="n"/>
    </row>
    <row r="419" ht="14.4" customFormat="1" customHeight="1" s="1013">
      <c r="A419" s="114" t="n">
        <v>545</v>
      </c>
      <c r="B419" s="77">
        <f>IF(INDEX(MO_SNA_IsHistoricalPeriod,,MATCH(F419,MO_Common_ColumnHeader,0)),"Historical","Forward")</f>
        <v/>
      </c>
      <c r="C419" s="67" t="n"/>
      <c r="D419" s="84" t="inlineStr">
        <is>
          <t>GAAP Other Income &amp; Expense</t>
        </is>
      </c>
      <c r="E419" s="78" t="n"/>
      <c r="F419" s="77" t="inlineStr">
        <is>
          <t>FY2022</t>
        </is>
      </c>
      <c r="G419" s="77" t="n"/>
      <c r="H419" s="67" t="n"/>
      <c r="I419" s="2087" t="n">
        <v>-32</v>
      </c>
      <c r="J419" s="2087" t="n">
        <v>-28</v>
      </c>
      <c r="K419" s="2087">
        <f>AVERAGE(I419:J419)</f>
        <v/>
      </c>
      <c r="L419" s="67" t="n"/>
      <c r="M419" s="77">
        <f>IF(INDEX(MO_SNA_IsHistoricalPeriod,,MATCH(F419,MO_Common_ColumnHeader,0)),"Actual","Estimate")</f>
        <v/>
      </c>
      <c r="N419" s="2087">
        <f>-IFERROR(INDEX(MO_RIS_IE_Net,0,MATCH(F419,MO_Common_ColumnHeader,0)),"N/A")-IFERROR(INDEX(MO_RIS_OI,0,MATCH(F419,MO_Common_ColumnHeader,0)),"N/A")</f>
        <v/>
      </c>
      <c r="O419" s="67" t="n"/>
      <c r="P419" s="2169">
        <f>IF(ISNUMBER(N419),N419-K419,"N/A")</f>
        <v/>
      </c>
      <c r="Q419" s="2168">
        <f>IFERROR(IF(ISNUMBER(N419),(N419-K419)/ABS(K419),"N/A"),"N/A")</f>
        <v/>
      </c>
      <c r="R419" s="112" t="n"/>
      <c r="S419" s="80" t="n">
        <v>44767</v>
      </c>
      <c r="T419" s="88" t="inlineStr">
        <is>
          <t>CFO Commentary</t>
        </is>
      </c>
      <c r="U419" s="67" t="n"/>
    </row>
    <row r="420" ht="14.4" customFormat="1" customHeight="1" s="1013">
      <c r="A420" s="114" t="n">
        <v>544</v>
      </c>
      <c r="B420" s="77">
        <f>IF(INDEX(MO_SNA_IsHistoricalPeriod,,MATCH(F420,MO_Common_ColumnHeader,0)),"Historical","Forward")</f>
        <v/>
      </c>
      <c r="C420" s="67" t="n"/>
      <c r="D420" s="84" t="inlineStr">
        <is>
          <t>Non-GAAP Other Income &amp; Expense</t>
        </is>
      </c>
      <c r="E420" s="78" t="n"/>
      <c r="F420" s="77" t="inlineStr">
        <is>
          <t>FY2022</t>
        </is>
      </c>
      <c r="G420" s="77" t="n"/>
      <c r="H420" s="67" t="n"/>
      <c r="I420" s="2087" t="n">
        <v>-20</v>
      </c>
      <c r="J420" s="2087" t="n">
        <v>-16</v>
      </c>
      <c r="K420" s="2087">
        <f>AVERAGE(I420:J420)</f>
        <v/>
      </c>
      <c r="L420" s="67" t="n"/>
      <c r="M420" s="77">
        <f>IF(INDEX(MO_SNA_IsHistoricalPeriod,,MATCH(F420,MO_Common_ColumnHeader,0)),"Actual","Estimate")</f>
        <v/>
      </c>
      <c r="N420" s="2087">
        <f>-IFERROR(INDEX(MO_RIS_IE_Net_NONGAAP,0,MATCH(F420,MO_Common_ColumnHeader,0)),"N/A")-IFERROR(INDEX(MO_RIS_OI_NONGAAP,0,MATCH(F420,MO_Common_ColumnHeader,0)),"N/A")</f>
        <v/>
      </c>
      <c r="O420" s="67" t="n"/>
      <c r="P420" s="2169">
        <f>IF(ISNUMBER(N420),N420-K420,"N/A")</f>
        <v/>
      </c>
      <c r="Q420" s="2168">
        <f>IFERROR(IF(ISNUMBER(N420),(N420-K420)/ABS(K420),"N/A"),"N/A")</f>
        <v/>
      </c>
      <c r="R420" s="112" t="n"/>
      <c r="S420" s="80" t="n">
        <v>44767</v>
      </c>
      <c r="T420" s="88" t="inlineStr">
        <is>
          <t>CFO Commentary</t>
        </is>
      </c>
      <c r="U420" s="67" t="n"/>
    </row>
    <row r="421" ht="14.4" customFormat="1" customHeight="1" s="1013">
      <c r="A421" s="114" t="n">
        <v>543</v>
      </c>
      <c r="B421" s="77">
        <f>IF(INDEX(MO_SNA_IsHistoricalPeriod,,MATCH(F421,MO_Common_ColumnHeader,0)),"Historical","Forward")</f>
        <v/>
      </c>
      <c r="C421" s="67" t="n"/>
      <c r="D421" s="84" t="inlineStr">
        <is>
          <t>GAAP Tax Rate</t>
        </is>
      </c>
      <c r="E421" s="78" t="inlineStr">
        <is>
          <t>MO_RIS_TaxRate</t>
        </is>
      </c>
      <c r="F421" s="77" t="inlineStr">
        <is>
          <t>FY2022</t>
        </is>
      </c>
      <c r="G421" s="77" t="n"/>
      <c r="H421" s="67" t="n"/>
      <c r="I421" s="2108" t="n">
        <v>0.28</v>
      </c>
      <c r="J421" s="2108" t="n">
        <v>0.28</v>
      </c>
      <c r="K421" s="2108">
        <f>AVERAGE(I421:J421)</f>
        <v/>
      </c>
      <c r="L421" s="67" t="n"/>
      <c r="M421" s="77">
        <f>IF(INDEX(MO_SNA_IsHistoricalPeriod,,MATCH(F421,MO_Common_ColumnHeader,0)),"Actual","Estimate")</f>
        <v/>
      </c>
      <c r="N421" s="2108">
        <f>IFERROR(INDEX(INDIRECT(E421),0,MATCH(F421,MO_Common_ColumnHeader,0)),"N/A")</f>
        <v/>
      </c>
      <c r="O421" s="67" t="n"/>
      <c r="P421" s="2168">
        <f>IF(ISNUMBER(N421),N421-K421,"N/A")</f>
        <v/>
      </c>
      <c r="Q421" s="2168">
        <f>IFERROR(IF(ISNUMBER(N421),(N421-K421)/ABS(K421),"N/A"),"N/A")</f>
        <v/>
      </c>
      <c r="R421" s="112" t="n"/>
      <c r="S421" s="80" t="n">
        <v>44767</v>
      </c>
      <c r="T421" s="88" t="inlineStr">
        <is>
          <t>CFO Commentary</t>
        </is>
      </c>
      <c r="U421" s="67" t="n"/>
    </row>
    <row r="422" ht="14.4" customFormat="1" customHeight="1" s="1013">
      <c r="A422" s="114" t="n">
        <v>542</v>
      </c>
      <c r="B422" s="77">
        <f>IF(INDEX(MO_SNA_IsHistoricalPeriod,,MATCH(F422,MO_Common_ColumnHeader,0)),"Historical","Forward")</f>
        <v/>
      </c>
      <c r="C422" s="67" t="n"/>
      <c r="D422" s="84">
        <f>INDEX(INDIRECT(E422),0,COLUMN(MO_Common_Column_A))</f>
        <v/>
      </c>
      <c r="E422" s="78" t="inlineStr">
        <is>
          <t>MO_RIS_TaxRate_NONGAAP</t>
        </is>
      </c>
      <c r="F422" s="77" t="inlineStr">
        <is>
          <t>FY2022</t>
        </is>
      </c>
      <c r="G422" s="77" t="n"/>
      <c r="H422" s="67" t="n"/>
      <c r="I422" s="2108" t="n">
        <v>0.175</v>
      </c>
      <c r="J422" s="2108" t="n">
        <v>0.175</v>
      </c>
      <c r="K422" s="2108">
        <f>AVERAGE(I422:J422)</f>
        <v/>
      </c>
      <c r="L422" s="67" t="n"/>
      <c r="M422" s="77">
        <f>IF(INDEX(MO_SNA_IsHistoricalPeriod,,MATCH(F422,MO_Common_ColumnHeader,0)),"Actual","Estimate")</f>
        <v/>
      </c>
      <c r="N422" s="2108">
        <f>IFERROR(INDEX(INDIRECT(E422),0,MATCH(F422,MO_Common_ColumnHeader,0)),"N/A")</f>
        <v/>
      </c>
      <c r="O422" s="67" t="n"/>
      <c r="P422" s="2168">
        <f>IF(ISNUMBER(N422),N422-K422,"N/A")</f>
        <v/>
      </c>
      <c r="Q422" s="2168">
        <f>IFERROR(IF(ISNUMBER(N422),(N422-K422)/ABS(K422),"N/A"),"N/A")</f>
        <v/>
      </c>
      <c r="R422" s="112" t="n"/>
      <c r="S422" s="80" t="n">
        <v>44767</v>
      </c>
      <c r="T422" s="88" t="inlineStr">
        <is>
          <t>CFO Commentary</t>
        </is>
      </c>
      <c r="U422" s="67" t="n"/>
    </row>
    <row r="423" ht="14.4" customFormat="1" customHeight="1" s="1013">
      <c r="A423" s="114" t="n">
        <v>541</v>
      </c>
      <c r="B423" s="77">
        <f>IF(INDEX(MO_SNA_IsHistoricalPeriod,,MATCH(F423,MO_Common_ColumnHeader,0)),"Historical","Forward")</f>
        <v/>
      </c>
      <c r="C423" s="67" t="n"/>
      <c r="D423" s="84">
        <f>INDEX(INDIRECT(E423),0,COLUMN(MO_Common_Column_A))</f>
        <v/>
      </c>
      <c r="E423" s="78" t="inlineStr">
        <is>
          <t>MO_RIS_ShareCount_WAD</t>
        </is>
      </c>
      <c r="F423" s="77" t="inlineStr">
        <is>
          <t>FY2022</t>
        </is>
      </c>
      <c r="G423" s="77" t="n"/>
      <c r="H423" s="67" t="n"/>
      <c r="I423" s="2087" t="n">
        <v>275</v>
      </c>
      <c r="J423" s="2087" t="n">
        <v>277</v>
      </c>
      <c r="K423" s="2087">
        <f>AVERAGE(I423:J423)</f>
        <v/>
      </c>
      <c r="L423" s="67" t="n"/>
      <c r="M423" s="77">
        <f>IF(INDEX(MO_SNA_IsHistoricalPeriod,,MATCH(F423,MO_Common_ColumnHeader,0)),"Actual","Estimate")</f>
        <v/>
      </c>
      <c r="N423" s="2087">
        <f>IFERROR(INDEX(INDIRECT(E423),0,MATCH(F423,MO_Common_ColumnHeader,0)),"N/A")</f>
        <v/>
      </c>
      <c r="O423" s="67" t="n"/>
      <c r="P423" s="2169">
        <f>IF(ISNUMBER(N423),N423-K423,"N/A")</f>
        <v/>
      </c>
      <c r="Q423" s="2168">
        <f>IFERROR(IF(ISNUMBER(N423),(N423-K423)/ABS(K423),"N/A"),"N/A")</f>
        <v/>
      </c>
      <c r="R423" s="112" t="n"/>
      <c r="S423" s="80" t="n">
        <v>44767</v>
      </c>
      <c r="T423" s="88" t="inlineStr">
        <is>
          <t>CFO Commentary</t>
        </is>
      </c>
      <c r="U423" s="67" t="n"/>
    </row>
    <row r="424" ht="14.4" customFormat="1" customHeight="1" s="1013">
      <c r="A424" s="114" t="n">
        <v>540</v>
      </c>
      <c r="B424" s="77">
        <f>IF(INDEX(MO_SNA_IsHistoricalPeriod,,MATCH(F424,MO_Common_ColumnHeader,0)),"Historical","Forward")</f>
        <v/>
      </c>
      <c r="C424" s="67" t="n"/>
      <c r="D424" s="84" t="inlineStr">
        <is>
          <t>DSO</t>
        </is>
      </c>
      <c r="E424" s="78" t="n"/>
      <c r="F424" s="77" t="inlineStr">
        <is>
          <t>FY2022</t>
        </is>
      </c>
      <c r="G424" s="77" t="n"/>
      <c r="H424" s="67" t="n"/>
      <c r="I424" s="2087" t="n">
        <v>45</v>
      </c>
      <c r="J424" s="2087" t="n">
        <v>45</v>
      </c>
      <c r="K424" s="2087">
        <f>AVERAGE(I424:J424)</f>
        <v/>
      </c>
      <c r="L424" s="67" t="n"/>
      <c r="M424" s="77">
        <f>IF(INDEX(MO_SNA_IsHistoricalPeriod,,MATCH(F424,MO_Common_ColumnHeader,0)),"Actual","Estimate")</f>
        <v/>
      </c>
      <c r="N424" s="2087">
        <f>IFERROR(INDEX(INDIRECT(E424),0,MATCH(F424,MO_Common_ColumnHeader,0)),"N/A")</f>
        <v/>
      </c>
      <c r="O424" s="67" t="n"/>
      <c r="P424" s="2169">
        <f>IF(ISNUMBER(N424),N424-K424,"N/A")</f>
        <v/>
      </c>
      <c r="Q424" s="2168">
        <f>IFERROR(IF(ISNUMBER(N424),(N424-K424)/ABS(K424),"N/A"),"N/A")</f>
        <v/>
      </c>
      <c r="R424" s="112" t="n"/>
      <c r="S424" s="80" t="n">
        <v>44767</v>
      </c>
      <c r="T424" s="88" t="inlineStr">
        <is>
          <t>CFO Commentary</t>
        </is>
      </c>
      <c r="U424" s="67" t="n"/>
    </row>
    <row r="425" ht="14.4" customFormat="1" customHeight="1" s="1013">
      <c r="A425" s="114" t="n">
        <v>539</v>
      </c>
      <c r="B425" s="77">
        <f>IF(INDEX(MO_SNA_IsHistoricalPeriod,,MATCH(F425,MO_Common_ColumnHeader,0)),"Historical","Forward")</f>
        <v/>
      </c>
      <c r="C425" s="67" t="n"/>
      <c r="D425" s="84">
        <f>INDEX(INDIRECT(E425),0,COLUMN(MO_Common_Column_A))</f>
        <v/>
      </c>
      <c r="E425" s="78" t="inlineStr">
        <is>
          <t>MO_CFSum_Capex</t>
        </is>
      </c>
      <c r="F425" s="77" t="inlineStr">
        <is>
          <t>FY2022</t>
        </is>
      </c>
      <c r="G425" s="77" t="n"/>
      <c r="H425" s="67" t="n"/>
      <c r="I425" s="2087" t="n">
        <v>-115</v>
      </c>
      <c r="J425" s="2087" t="n">
        <v>-115</v>
      </c>
      <c r="K425" s="2087">
        <f>AVERAGE(I425:J425)</f>
        <v/>
      </c>
      <c r="L425" s="67" t="n"/>
      <c r="M425" s="77">
        <f>IF(INDEX(MO_SNA_IsHistoricalPeriod,,MATCH(F425,MO_Common_ColumnHeader,0)),"Actual","Estimate")</f>
        <v/>
      </c>
      <c r="N425" s="2087">
        <f>IFERROR(INDEX(INDIRECT(E425),0,MATCH(F425,MO_Common_ColumnHeader,0)),"N/A")</f>
        <v/>
      </c>
      <c r="O425" s="67" t="n"/>
      <c r="P425" s="2169">
        <f>IF(ISNUMBER(N425),N425-K425,"N/A")</f>
        <v/>
      </c>
      <c r="Q425" s="2168">
        <f>IFERROR(IF(ISNUMBER(N425),(N425-K425)/ABS(K425),"N/A"),"N/A")</f>
        <v/>
      </c>
      <c r="R425" s="112" t="n"/>
      <c r="S425" s="80" t="n">
        <v>44767</v>
      </c>
      <c r="T425" s="88" t="inlineStr">
        <is>
          <t>CFO Commentary</t>
        </is>
      </c>
      <c r="U425" s="67" t="n"/>
    </row>
    <row r="426" ht="14.4" customFormat="1" customHeight="1" s="1013">
      <c r="A426" s="114" t="n">
        <v>538</v>
      </c>
      <c r="B426" s="77">
        <f>IF(INDEX(MO_SNA_IsHistoricalPeriod,,MATCH(F426,MO_Common_ColumnHeader,0)),"Historical","Forward")</f>
        <v/>
      </c>
      <c r="C426" s="67" t="n"/>
      <c r="D426" s="84">
        <f>INDEX(INDIRECT(E426),0,COLUMN(MO_Common_Column_A))</f>
        <v/>
      </c>
      <c r="E426" s="78" t="inlineStr">
        <is>
          <t>MO_RIS_SBC</t>
        </is>
      </c>
      <c r="F426" s="77" t="inlineStr">
        <is>
          <t>FY2022</t>
        </is>
      </c>
      <c r="G426" s="77" t="n"/>
      <c r="H426" s="67" t="n"/>
      <c r="I426" s="2087" t="n">
        <v>270</v>
      </c>
      <c r="J426" s="2087" t="n">
        <v>270</v>
      </c>
      <c r="K426" s="2087">
        <f>AVERAGE(I426:J426)</f>
        <v/>
      </c>
      <c r="L426" s="67" t="n"/>
      <c r="M426" s="77">
        <f>IF(INDEX(MO_SNA_IsHistoricalPeriod,,MATCH(F426,MO_Common_ColumnHeader,0)),"Actual","Estimate")</f>
        <v/>
      </c>
      <c r="N426" s="2087">
        <f>IFERROR(INDEX(INDIRECT(E426),0,MATCH(F426,MO_Common_ColumnHeader,0)),"N/A")</f>
        <v/>
      </c>
      <c r="O426" s="67" t="n"/>
      <c r="P426" s="2169">
        <f>IF(ISNUMBER(N426),N426-K426,"N/A")</f>
        <v/>
      </c>
      <c r="Q426" s="2168">
        <f>IFERROR(IF(ISNUMBER(N426),(N426-K426)/ABS(K426),"N/A"),"N/A")</f>
        <v/>
      </c>
      <c r="R426" s="112" t="n"/>
      <c r="S426" s="80" t="n">
        <v>44767</v>
      </c>
      <c r="T426" s="88" t="inlineStr">
        <is>
          <t>CFO Commentary</t>
        </is>
      </c>
      <c r="U426" s="67" t="n"/>
    </row>
    <row r="427" ht="14.4" customFormat="1" customHeight="1" s="1013">
      <c r="A427" s="114" t="n">
        <v>537</v>
      </c>
      <c r="B427" s="77">
        <f>IF(INDEX(MO_SNA_IsHistoricalPeriod,,MATCH(F427,MO_Common_ColumnHeader,0)),"Historical","Forward")</f>
        <v/>
      </c>
      <c r="C427" s="67" t="n"/>
      <c r="D427" s="84">
        <f>INDEX(INDIRECT(E427),0,COLUMN(MO_Common_Column_A))</f>
        <v/>
      </c>
      <c r="E427" s="78" t="inlineStr">
        <is>
          <t>MO_RIS_Daintangibles</t>
        </is>
      </c>
      <c r="F427" s="77" t="inlineStr">
        <is>
          <t>FY2022</t>
        </is>
      </c>
      <c r="G427" s="77" t="n"/>
      <c r="H427" s="67" t="n"/>
      <c r="I427" s="2087" t="n">
        <v>65</v>
      </c>
      <c r="J427" s="2087" t="n">
        <v>65</v>
      </c>
      <c r="K427" s="2087">
        <f>AVERAGE(I427:J427)</f>
        <v/>
      </c>
      <c r="L427" s="67" t="n"/>
      <c r="M427" s="77">
        <f>IF(INDEX(MO_SNA_IsHistoricalPeriod,,MATCH(F427,MO_Common_ColumnHeader,0)),"Actual","Estimate")</f>
        <v/>
      </c>
      <c r="N427" s="2087">
        <f>IFERROR(INDEX(INDIRECT(E427),0,MATCH(F427,MO_Common_ColumnHeader,0)),"N/A")</f>
        <v/>
      </c>
      <c r="O427" s="67" t="n"/>
      <c r="P427" s="2169">
        <f>IF(ISNUMBER(N427),N427-K427,"N/A")</f>
        <v/>
      </c>
      <c r="Q427" s="2168">
        <f>IFERROR(IF(ISNUMBER(N427),(N427-K427)/ABS(K427),"N/A"),"N/A")</f>
        <v/>
      </c>
      <c r="R427" s="112" t="n"/>
      <c r="S427" s="80" t="n">
        <v>44767</v>
      </c>
      <c r="T427" s="88" t="inlineStr">
        <is>
          <t>CFO Commentary</t>
        </is>
      </c>
      <c r="U427" s="67" t="n"/>
    </row>
    <row r="428" ht="14.4" customFormat="1" customHeight="1" s="1013">
      <c r="A428" s="114" t="n">
        <v>536</v>
      </c>
      <c r="B428" s="77">
        <f>IF(INDEX(MO_SNA_IsHistoricalPeriod,,MATCH(F428,MO_Common_ColumnHeader,0)),"Historical","Forward")</f>
        <v/>
      </c>
      <c r="C428" s="67" t="n"/>
      <c r="D428" s="84" t="inlineStr">
        <is>
          <t>Acquisition and integration-related costs</t>
        </is>
      </c>
      <c r="E428" s="78" t="n"/>
      <c r="F428" s="77" t="inlineStr">
        <is>
          <t>FY2022</t>
        </is>
      </c>
      <c r="G428" s="77" t="n"/>
      <c r="H428" s="67" t="n"/>
      <c r="I428" s="2087" t="n">
        <v>28</v>
      </c>
      <c r="J428" s="2087" t="n">
        <v>28</v>
      </c>
      <c r="K428" s="2087">
        <f>AVERAGE(I428:J428)</f>
        <v/>
      </c>
      <c r="L428" s="67" t="n"/>
      <c r="M428" s="77">
        <f>IF(INDEX(MO_SNA_IsHistoricalPeriod,,MATCH(F428,MO_Common_ColumnHeader,0)),"Actual","Estimate")</f>
        <v/>
      </c>
      <c r="N428" s="2087">
        <f>IFERROR(INDEX(INDIRECT(E428),0,MATCH(F428,MO_Common_ColumnHeader,0)),"N/A")</f>
        <v/>
      </c>
      <c r="O428" s="67" t="n"/>
      <c r="P428" s="2169">
        <f>IF(ISNUMBER(N428),N428-K428,"N/A")</f>
        <v/>
      </c>
      <c r="Q428" s="2168">
        <f>IFERROR(IF(ISNUMBER(N428),(N428-K428)/ABS(K428),"N/A"),"N/A")</f>
        <v/>
      </c>
      <c r="R428" s="112" t="n"/>
      <c r="S428" s="80" t="n">
        <v>44767</v>
      </c>
      <c r="T428" s="88" t="inlineStr">
        <is>
          <t>CFO Commentary</t>
        </is>
      </c>
      <c r="U428" s="67" t="n"/>
    </row>
    <row r="429" ht="14.4" customFormat="1" customHeight="1" s="1013">
      <c r="A429" s="114" t="n">
        <v>535</v>
      </c>
      <c r="B429" s="77">
        <f>IF(INDEX(MO_SNA_IsHistoricalPeriod,,MATCH(F429,MO_Common_ColumnHeader,0)),"Historical","Forward")</f>
        <v/>
      </c>
      <c r="C429" s="67" t="n"/>
      <c r="D429" s="84" t="inlineStr">
        <is>
          <t>Restructuring and other credits</t>
        </is>
      </c>
      <c r="E429" s="78" t="n"/>
      <c r="F429" s="77" t="inlineStr">
        <is>
          <t>FY2022</t>
        </is>
      </c>
      <c r="G429" s="77" t="n"/>
      <c r="H429" s="67" t="n"/>
      <c r="I429" s="2087" t="n">
        <v>0</v>
      </c>
      <c r="J429" s="2087" t="n">
        <v>0</v>
      </c>
      <c r="K429" s="2087">
        <f>AVERAGE(I429:J429)</f>
        <v/>
      </c>
      <c r="L429" s="67" t="n"/>
      <c r="M429" s="77">
        <f>IF(INDEX(MO_SNA_IsHistoricalPeriod,,MATCH(F429,MO_Common_ColumnHeader,0)),"Actual","Estimate")</f>
        <v/>
      </c>
      <c r="N429" s="2087">
        <f>IFERROR(INDEX(INDIRECT(E429),0,MATCH(F429,MO_Common_ColumnHeader,0)),"N/A")</f>
        <v/>
      </c>
      <c r="O429" s="67" t="n"/>
      <c r="P429" s="2169">
        <f>IF(ISNUMBER(N429),N429-K429,"N/A")</f>
        <v/>
      </c>
      <c r="Q429" s="2168">
        <f>IFERROR(IF(ISNUMBER(N429),(N429-K429)/ABS(K429),"N/A"),"N/A")</f>
        <v/>
      </c>
      <c r="R429" s="112" t="n"/>
      <c r="S429" s="80" t="n">
        <v>44767</v>
      </c>
      <c r="T429" s="88" t="inlineStr">
        <is>
          <t>CFO Commentary</t>
        </is>
      </c>
      <c r="U429" s="67" t="n"/>
    </row>
    <row r="430" ht="14.4" customFormat="1" customHeight="1" s="1013">
      <c r="A430" s="114" t="n">
        <v>534</v>
      </c>
      <c r="B430" s="77">
        <f>IF(INDEX(MO_SNA_IsHistoricalPeriod,,MATCH(F430,MO_Common_ColumnHeader,0)),"Historical","Forward")</f>
        <v/>
      </c>
      <c r="C430" s="67" t="n"/>
      <c r="D430" s="84" t="inlineStr">
        <is>
          <t>Non-Qualified deferred compensation expenses</t>
        </is>
      </c>
      <c r="E430" s="78" t="n"/>
      <c r="F430" s="77" t="inlineStr">
        <is>
          <t>FY2022</t>
        </is>
      </c>
      <c r="G430" s="77" t="n"/>
      <c r="H430" s="67" t="n"/>
      <c r="I430" s="2087" t="n">
        <v>-9</v>
      </c>
      <c r="J430" s="2087" t="n">
        <v>-9</v>
      </c>
      <c r="K430" s="2087">
        <f>AVERAGE(I430:J430)</f>
        <v/>
      </c>
      <c r="L430" s="67" t="n"/>
      <c r="M430" s="77">
        <f>IF(INDEX(MO_SNA_IsHistoricalPeriod,,MATCH(F430,MO_Common_ColumnHeader,0)),"Actual","Estimate")</f>
        <v/>
      </c>
      <c r="N430" s="2087">
        <f>IFERROR(INDEX(INDIRECT(E430),0,MATCH(F430,MO_Common_ColumnHeader,0)),"N/A")</f>
        <v/>
      </c>
      <c r="O430" s="67" t="n"/>
      <c r="P430" s="2169">
        <f>IF(ISNUMBER(N430),N430-K430,"N/A")</f>
        <v/>
      </c>
      <c r="Q430" s="2168">
        <f>IFERROR(IF(ISNUMBER(N430),(N430-K430)/ABS(K430),"N/A"),"N/A")</f>
        <v/>
      </c>
      <c r="R430" s="112" t="n"/>
      <c r="S430" s="80" t="n">
        <v>44767</v>
      </c>
      <c r="T430" s="88" t="inlineStr">
        <is>
          <t>CFO Commentary</t>
        </is>
      </c>
      <c r="U430" s="67" t="n"/>
    </row>
    <row r="431" ht="14.4" customFormat="1" customHeight="1" s="1013">
      <c r="A431" s="114" t="n">
        <v>533</v>
      </c>
      <c r="B431" s="77">
        <f>IF(INDEX(MO_SNA_IsHistoricalPeriod,,MATCH(F431,MO_Common_ColumnHeader,0)),"Historical","Forward")</f>
        <v/>
      </c>
      <c r="C431" s="67" t="n"/>
      <c r="D431" s="84" t="inlineStr">
        <is>
          <t>Special charges</t>
        </is>
      </c>
      <c r="E431" s="78" t="n"/>
      <c r="F431" s="77" t="inlineStr">
        <is>
          <t>FY2022</t>
        </is>
      </c>
      <c r="G431" s="77" t="n"/>
      <c r="H431" s="67" t="n"/>
      <c r="I431" s="2087" t="n">
        <v>0</v>
      </c>
      <c r="J431" s="2087" t="n">
        <v>0</v>
      </c>
      <c r="K431" s="2087">
        <f>AVERAGE(I431:J431)</f>
        <v/>
      </c>
      <c r="L431" s="67" t="n"/>
      <c r="M431" s="77">
        <f>IF(INDEX(MO_SNA_IsHistoricalPeriod,,MATCH(F431,MO_Common_ColumnHeader,0)),"Actual","Estimate")</f>
        <v/>
      </c>
      <c r="N431" s="2087">
        <f>IFERROR(INDEX(INDIRECT(E431),0,MATCH(F431,MO_Common_ColumnHeader,0)),"N/A")</f>
        <v/>
      </c>
      <c r="O431" s="67" t="n"/>
      <c r="P431" s="2169">
        <f>IF(ISNUMBER(N431),N431-K431,"N/A")</f>
        <v/>
      </c>
      <c r="Q431" s="2168">
        <f>IFERROR(IF(ISNUMBER(N431),(N431-K431)/ABS(K431),"N/A"),"N/A")</f>
        <v/>
      </c>
      <c r="R431" s="112" t="n"/>
      <c r="S431" s="80" t="n">
        <v>44767</v>
      </c>
      <c r="T431" s="88" t="inlineStr">
        <is>
          <t>CFO Commentary</t>
        </is>
      </c>
      <c r="U431" s="67" t="n"/>
    </row>
    <row r="432" ht="14.4" customFormat="1" customHeight="1" s="1013">
      <c r="A432" s="114" t="n">
        <v>532</v>
      </c>
      <c r="B432" s="77">
        <f>IF(INDEX(MO_SNA_IsHistoricalPeriod,,MATCH(F432,MO_Common_ColumnHeader,0)),"Historical","Forward")</f>
        <v/>
      </c>
      <c r="C432" s="67" t="n"/>
      <c r="D432" s="84" t="inlineStr">
        <is>
          <t>GAAP Operating Expenses</t>
        </is>
      </c>
      <c r="E432" s="78" t="n"/>
      <c r="F432" s="77" t="inlineStr">
        <is>
          <t>FY2022</t>
        </is>
      </c>
      <c r="G432" s="77" t="n"/>
      <c r="H432" s="67" t="n"/>
      <c r="I432" s="2087" t="n">
        <v>2457</v>
      </c>
      <c r="J432" s="2087" t="n">
        <v>2457</v>
      </c>
      <c r="K432" s="2087">
        <f>AVERAGE(I432:J432)</f>
        <v/>
      </c>
      <c r="L432" s="67" t="n"/>
      <c r="M432" s="77">
        <f>IF(INDEX(MO_SNA_IsHistoricalPeriod,,MATCH(F432,MO_Common_ColumnHeader,0)),"Actual","Estimate")</f>
        <v/>
      </c>
      <c r="N432" s="2087">
        <f>IFERROR(INDEX(MO_RIS_COGS,0,MATCH(Guidance!F432,MO_Common_ColumnHeader,0))+INDEX(MO_RIS_RD,0,MATCH(Guidance!F432,MO_Common_ColumnHeader,0))+INDEX(MO_RIS_GA,0,MATCH(Guidance!F432,MO_Common_ColumnHeader,0))+INDEX(MO_RIS_SM,0,MATCH(Guidance!F432,MO_Common_ColumnHeader,0)),"N/A")</f>
        <v/>
      </c>
      <c r="O432" s="2072" t="n"/>
      <c r="P432" s="2169">
        <f>IF(ISNUMBER(N432),N432-K432,"N/A")</f>
        <v/>
      </c>
      <c r="Q432" s="2168">
        <f>IFERROR(IF(ISNUMBER(N432),(N432-K432)/ABS(K432),"N/A"),"N/A")</f>
        <v/>
      </c>
      <c r="R432" s="112" t="n"/>
      <c r="S432" s="80" t="n">
        <v>44767</v>
      </c>
      <c r="T432" s="88" t="inlineStr">
        <is>
          <t>CFO Commentary</t>
        </is>
      </c>
      <c r="U432" s="67" t="n"/>
    </row>
    <row r="433" ht="14.4" customFormat="1" customHeight="1" s="1013">
      <c r="A433" s="114" t="n">
        <v>531</v>
      </c>
      <c r="B433" s="77">
        <f>IF(INDEX(MO_SNA_IsHistoricalPeriod,,MATCH(F433,MO_Common_ColumnHeader,0)),"Historical","Forward")</f>
        <v/>
      </c>
      <c r="C433" s="67" t="n"/>
      <c r="D433" s="84" t="inlineStr">
        <is>
          <t>Non-GAAP Operating Expenses</t>
        </is>
      </c>
      <c r="E433" s="78" t="n"/>
      <c r="F433" s="77" t="inlineStr">
        <is>
          <t>FY2022</t>
        </is>
      </c>
      <c r="G433" s="77" t="n"/>
      <c r="H433" s="67" t="n"/>
      <c r="I433" s="2087" t="n">
        <v>2103</v>
      </c>
      <c r="J433" s="2087" t="n">
        <v>2103</v>
      </c>
      <c r="K433" s="2087">
        <f>AVERAGE(I433:J433)</f>
        <v/>
      </c>
      <c r="L433" s="67" t="n"/>
      <c r="M433" s="77">
        <f>IF(INDEX(MO_SNA_IsHistoricalPeriod,,MATCH(F433,MO_Common_ColumnHeader,0)),"Actual","Estimate")</f>
        <v/>
      </c>
      <c r="N433" s="2087">
        <f>IFERROR(INDEX(MO_RIS_REV,0,MATCH(Guidance!F433,MO_Common_ColumnHeader,0))+INDEX(MO_RIS_RD_NONGAAP,0,MATCH(Guidance!F433,MO_Common_ColumnHeader,0))+INDEX(MO_RIS_GA_NONGAAP,0,MATCH(Guidance!F433,MO_Common_ColumnHeader,0))+INDEX(MO_RIS_SM_NONGAAP,0,MATCH(Guidance!F433,MO_Common_ColumnHeader,0))-INDEX(MO_RIS_GP_NONGAAP,0,MATCH(Guidance!F433,MO_Common_ColumnHeader,0)),"N/A")</f>
        <v/>
      </c>
      <c r="O433" s="2072" t="n"/>
      <c r="P433" s="2169">
        <f>IF(ISNUMBER(N433),N433-K433,"N/A")</f>
        <v/>
      </c>
      <c r="Q433" s="2168">
        <f>IFERROR(IF(ISNUMBER(N433),(N433-K433)/ABS(K433),"N/A"),"N/A")</f>
        <v/>
      </c>
      <c r="R433" s="112" t="n"/>
      <c r="S433" s="80" t="n">
        <v>44767</v>
      </c>
      <c r="T433" s="88" t="inlineStr">
        <is>
          <t>CFO Commentary</t>
        </is>
      </c>
      <c r="U433" s="67" t="n"/>
    </row>
    <row r="434" ht="14.4" customFormat="1" customHeight="1" s="1013">
      <c r="A434" s="114" t="n">
        <v>530</v>
      </c>
      <c r="B434" s="67" t="n"/>
      <c r="C434" s="67" t="n"/>
      <c r="D434" s="68" t="n"/>
      <c r="E434" s="69" t="n"/>
      <c r="F434" s="67" t="n"/>
      <c r="G434" s="67" t="n"/>
      <c r="H434" s="67" t="n"/>
      <c r="I434" s="2072" t="n"/>
      <c r="J434" s="2072" t="n"/>
      <c r="K434" s="2072" t="n"/>
      <c r="L434" s="67" t="n"/>
      <c r="M434" s="67" t="n"/>
      <c r="N434" s="2072" t="n"/>
      <c r="O434" s="67" t="n"/>
      <c r="P434" s="2172" t="n"/>
      <c r="Q434" s="2173" t="n"/>
      <c r="R434" s="112" t="n"/>
      <c r="S434" s="112" t="n"/>
      <c r="T434" s="344" t="n"/>
      <c r="U434" s="67" t="n"/>
    </row>
    <row r="435" ht="14.4" customFormat="1" customHeight="1" s="1013">
      <c r="A435" s="114" t="n">
        <v>529</v>
      </c>
      <c r="B435" s="77">
        <f>IF(INDEX(MO_SNA_IsHistoricalPeriod,,MATCH(F435,MO_Common_ColumnHeader,0)),"Historical","Forward")</f>
        <v/>
      </c>
      <c r="C435" s="67" t="n"/>
      <c r="D435" s="84">
        <f>INDEX(INDIRECT(E435),0,COLUMN(MO_Common_Column_A))</f>
        <v/>
      </c>
      <c r="E435" s="78" t="inlineStr">
        <is>
          <t>MO_RIS_REV</t>
        </is>
      </c>
      <c r="F435" s="77" t="inlineStr">
        <is>
          <t>Q3-2022</t>
        </is>
      </c>
      <c r="G435" s="77" t="n"/>
      <c r="H435" s="67" t="n"/>
      <c r="I435" s="2087" t="n">
        <v>860</v>
      </c>
      <c r="J435" s="2087" t="n">
        <v>880</v>
      </c>
      <c r="K435" s="2087">
        <f>AVERAGE(I435:J435)</f>
        <v/>
      </c>
      <c r="L435" s="67" t="n"/>
      <c r="M435" s="77">
        <f>IF(INDEX(MO_SNA_IsHistoricalPeriod,,MATCH(F435,MO_Common_ColumnHeader,0)),"Actual","Estimate")</f>
        <v/>
      </c>
      <c r="N435" s="2087">
        <f>IFERROR(INDEX(INDIRECT(E435),0,MATCH(F435,MO_Common_ColumnHeader,0)),"N/A")</f>
        <v/>
      </c>
      <c r="O435" s="67" t="n"/>
      <c r="P435" s="2169">
        <f>IF(ISNUMBER(N435),N435-K435,"N/A")</f>
        <v/>
      </c>
      <c r="Q435" s="2168">
        <f>IFERROR(IF(ISNUMBER(N435),(N435-K435)/ABS(K435),"N/A"),"N/A")</f>
        <v/>
      </c>
      <c r="R435" s="112" t="n"/>
      <c r="S435" s="80" t="n">
        <v>44767</v>
      </c>
      <c r="T435" s="88" t="inlineStr">
        <is>
          <t>CFO Commentary</t>
        </is>
      </c>
      <c r="U435" s="67" t="n"/>
    </row>
    <row r="436" ht="14.4" customFormat="1" customHeight="1" s="1013">
      <c r="A436" s="114" t="n">
        <v>528</v>
      </c>
      <c r="B436" s="77">
        <f>IF(INDEX(MO_SNA_IsHistoricalPeriod,,MATCH(F436,MO_Common_ColumnHeader,0)),"Historical","Forward")</f>
        <v/>
      </c>
      <c r="C436" s="67" t="n"/>
      <c r="D436" s="84" t="inlineStr">
        <is>
          <t>GAAP Operating Margin</t>
        </is>
      </c>
      <c r="E436" s="78" t="inlineStr">
        <is>
          <t>MO_MA_EBIT</t>
        </is>
      </c>
      <c r="F436" s="77" t="inlineStr">
        <is>
          <t>Q3-2022</t>
        </is>
      </c>
      <c r="G436" s="77" t="n"/>
      <c r="H436" s="67" t="n"/>
      <c r="I436" s="2108" t="n">
        <v>0.26</v>
      </c>
      <c r="J436" s="2108" t="n">
        <v>0.27</v>
      </c>
      <c r="K436" s="2108">
        <f>AVERAGE(I436:J436)</f>
        <v/>
      </c>
      <c r="L436" s="67" t="n"/>
      <c r="M436" s="77">
        <f>IF(INDEX(MO_SNA_IsHistoricalPeriod,,MATCH(F436,MO_Common_ColumnHeader,0)),"Actual","Estimate")</f>
        <v/>
      </c>
      <c r="N436" s="2108">
        <f>IFERROR(INDEX(INDIRECT(E436),0,MATCH(F436,MO_Common_ColumnHeader,0)),"N/A")</f>
        <v/>
      </c>
      <c r="O436" s="67" t="n"/>
      <c r="P436" s="2168">
        <f>IF(ISNUMBER(N436),N436-K436,"N/A")</f>
        <v/>
      </c>
      <c r="Q436" s="2168">
        <f>IFERROR(IF(ISNUMBER(N436),(N436-K436)/ABS(K436),"N/A"),"N/A")</f>
        <v/>
      </c>
      <c r="R436" s="112" t="n"/>
      <c r="S436" s="80" t="n">
        <v>44767</v>
      </c>
      <c r="T436" s="88" t="inlineStr">
        <is>
          <t>CFO Commentary</t>
        </is>
      </c>
      <c r="U436" s="67" t="n"/>
    </row>
    <row r="437" ht="14.4" customFormat="1" customHeight="1" s="1013">
      <c r="A437" s="114" t="n">
        <v>527</v>
      </c>
      <c r="B437" s="77">
        <f>IF(INDEX(MO_SNA_IsHistoricalPeriod,,MATCH(F437,MO_Common_ColumnHeader,0)),"Historical","Forward")</f>
        <v/>
      </c>
      <c r="C437" s="67" t="n"/>
      <c r="D437" s="84">
        <f>INDEX(INDIRECT(E437),0,COLUMN(MO_Common_Column_A))</f>
        <v/>
      </c>
      <c r="E437" s="78" t="inlineStr">
        <is>
          <t>MO_MA_OperatingIncome_NONGAAP</t>
        </is>
      </c>
      <c r="F437" s="77" t="inlineStr">
        <is>
          <t>Q3-2022</t>
        </is>
      </c>
      <c r="G437" s="77" t="n"/>
      <c r="H437" s="67" t="n"/>
      <c r="I437" s="2108" t="n">
        <v>0.37</v>
      </c>
      <c r="J437" s="2108" t="n">
        <v>0.38</v>
      </c>
      <c r="K437" s="2108">
        <f>AVERAGE(I437:J437)</f>
        <v/>
      </c>
      <c r="L437" s="67" t="n"/>
      <c r="M437" s="77">
        <f>IF(INDEX(MO_SNA_IsHistoricalPeriod,,MATCH(F437,MO_Common_ColumnHeader,0)),"Actual","Estimate")</f>
        <v/>
      </c>
      <c r="N437" s="2108">
        <f>IFERROR(INDEX(INDIRECT(E437),0,MATCH(F437,MO_Common_ColumnHeader,0)),"N/A")</f>
        <v/>
      </c>
      <c r="O437" s="67" t="n"/>
      <c r="P437" s="2168">
        <f>IF(ISNUMBER(N437),N437-K437,"N/A")</f>
        <v/>
      </c>
      <c r="Q437" s="2168">
        <f>IFERROR(IF(ISNUMBER(N437),(N437-K437)/ABS(K437),"N/A"),"N/A")</f>
        <v/>
      </c>
      <c r="R437" s="112" t="n"/>
      <c r="S437" s="80" t="n">
        <v>44767</v>
      </c>
      <c r="T437" s="88" t="inlineStr">
        <is>
          <t>CFO Commentary</t>
        </is>
      </c>
      <c r="U437" s="67" t="n"/>
    </row>
    <row r="438" ht="14.4" customFormat="1" customHeight="1" s="1013">
      <c r="A438" s="114" t="n">
        <v>526</v>
      </c>
      <c r="B438" s="77">
        <f>IF(INDEX(MO_SNA_IsHistoricalPeriod,,MATCH(F438,MO_Common_ColumnHeader,0)),"Historical","Forward")</f>
        <v/>
      </c>
      <c r="C438" s="67" t="n"/>
      <c r="D438" s="84">
        <f>INDEX(INDIRECT(E438),0,COLUMN(MO_Common_Column_A))</f>
        <v/>
      </c>
      <c r="E438" s="78" t="inlineStr">
        <is>
          <t>MO_RIS_EPS_WAD</t>
        </is>
      </c>
      <c r="F438" s="77" t="inlineStr">
        <is>
          <t>Q3-2022</t>
        </is>
      </c>
      <c r="G438" s="77" t="n"/>
      <c r="H438" s="67" t="n"/>
      <c r="I438" s="2170" t="n">
        <v>0.58</v>
      </c>
      <c r="J438" s="2170" t="n">
        <v>0.62</v>
      </c>
      <c r="K438" s="2170">
        <f>AVERAGE(I438:J438)</f>
        <v/>
      </c>
      <c r="L438" s="67" t="n"/>
      <c r="M438" s="77">
        <f>IF(INDEX(MO_SNA_IsHistoricalPeriod,,MATCH(F438,MO_Common_ColumnHeader,0)),"Actual","Estimate")</f>
        <v/>
      </c>
      <c r="N438" s="2170">
        <f>IFERROR(INDEX(INDIRECT(E438),0,MATCH(F438,MO_Common_ColumnHeader,0)),"N/A")</f>
        <v/>
      </c>
      <c r="O438" s="67" t="n"/>
      <c r="P438" s="2171">
        <f>IF(ISNUMBER(N438),N438-K438,"N/A")</f>
        <v/>
      </c>
      <c r="Q438" s="2168">
        <f>IFERROR(IF(ISNUMBER(N438),(N438-K438)/ABS(K438),"N/A"),"N/A")</f>
        <v/>
      </c>
      <c r="R438" s="112" t="n"/>
      <c r="S438" s="80" t="n">
        <v>44767</v>
      </c>
      <c r="T438" s="88" t="inlineStr">
        <is>
          <t>CFO Commentary</t>
        </is>
      </c>
      <c r="U438" s="67" t="n"/>
    </row>
    <row r="439" ht="14.4" customFormat="1" customHeight="1" s="1013">
      <c r="A439" s="114" t="n">
        <v>525</v>
      </c>
      <c r="B439" s="77">
        <f>IF(INDEX(MO_SNA_IsHistoricalPeriod,,MATCH(F439,MO_Common_ColumnHeader,0)),"Historical","Forward")</f>
        <v/>
      </c>
      <c r="C439" s="67" t="n"/>
      <c r="D439" s="84">
        <f>INDEX(INDIRECT(E439),0,COLUMN(MO_Common_Column_A))</f>
        <v/>
      </c>
      <c r="E439" s="78" t="inlineStr">
        <is>
          <t>MO_RIS_EPS_WAD_Adj</t>
        </is>
      </c>
      <c r="F439" s="77" t="inlineStr">
        <is>
          <t>Q3-2022</t>
        </is>
      </c>
      <c r="G439" s="77" t="n"/>
      <c r="H439" s="67" t="n"/>
      <c r="I439" s="2170" t="n">
        <v>0.9399999999999999</v>
      </c>
      <c r="J439" s="2170" t="n">
        <v>0.98</v>
      </c>
      <c r="K439" s="2170">
        <f>AVERAGE(I439:J439)</f>
        <v/>
      </c>
      <c r="L439" s="67" t="n"/>
      <c r="M439" s="77">
        <f>IF(INDEX(MO_SNA_IsHistoricalPeriod,,MATCH(F439,MO_Common_ColumnHeader,0)),"Actual","Estimate")</f>
        <v/>
      </c>
      <c r="N439" s="2170">
        <f>IFERROR(INDEX(INDIRECT(E439),0,MATCH(F439,MO_Common_ColumnHeader,0)),"N/A")</f>
        <v/>
      </c>
      <c r="O439" s="67" t="n"/>
      <c r="P439" s="2171">
        <f>IF(ISNUMBER(N439),N439-K439,"N/A")</f>
        <v/>
      </c>
      <c r="Q439" s="2168">
        <f>IFERROR(IF(ISNUMBER(N439),(N439-K439)/ABS(K439),"N/A"),"N/A")</f>
        <v/>
      </c>
      <c r="R439" s="112" t="n"/>
      <c r="S439" s="80" t="n">
        <v>44767</v>
      </c>
      <c r="T439" s="88" t="inlineStr">
        <is>
          <t>CFO Commentary</t>
        </is>
      </c>
      <c r="U439" s="67" t="n"/>
    </row>
    <row r="440" ht="14.4" customFormat="1" customHeight="1" s="1013">
      <c r="A440" s="114" t="n">
        <v>524</v>
      </c>
      <c r="B440" s="77">
        <f>IF(INDEX(MO_SNA_IsHistoricalPeriod,,MATCH(F440,MO_Common_ColumnHeader,0)),"Historical","Forward")</f>
        <v/>
      </c>
      <c r="C440" s="67" t="n"/>
      <c r="D440" s="84">
        <f>INDEX(INDIRECT(E440),0,COLUMN(MO_Common_Column_A))</f>
        <v/>
      </c>
      <c r="E440" s="78" t="inlineStr">
        <is>
          <t>MO_CFSum_NetShares</t>
        </is>
      </c>
      <c r="F440" s="77" t="inlineStr">
        <is>
          <t>Q3-2022</t>
        </is>
      </c>
      <c r="G440" s="77" t="n"/>
      <c r="H440" s="67" t="n"/>
      <c r="I440" s="2087" t="n">
        <v>-150</v>
      </c>
      <c r="J440" s="2087" t="n">
        <v>-150</v>
      </c>
      <c r="K440" s="2087">
        <f>AVERAGE(I440:J440)</f>
        <v/>
      </c>
      <c r="L440" s="67" t="n"/>
      <c r="M440" s="77">
        <f>IF(INDEX(MO_SNA_IsHistoricalPeriod,,MATCH(F440,MO_Common_ColumnHeader,0)),"Actual","Estimate")</f>
        <v/>
      </c>
      <c r="N440" s="2087">
        <f>IFERROR(INDEX(INDIRECT(E440),0,MATCH(F440,MO_Common_ColumnHeader,0)),"N/A")</f>
        <v/>
      </c>
      <c r="O440" s="67" t="n"/>
      <c r="P440" s="2169">
        <f>IF(ISNUMBER(N440),N440-K440,"N/A")</f>
        <v/>
      </c>
      <c r="Q440" s="2168">
        <f>IFERROR(IF(ISNUMBER(N440),(N440-K440)/ABS(K440),"N/A"),"N/A")</f>
        <v/>
      </c>
      <c r="R440" s="112" t="n"/>
      <c r="S440" s="80" t="n">
        <v>44767</v>
      </c>
      <c r="T440" s="88" t="inlineStr">
        <is>
          <t>CFO Commentary</t>
        </is>
      </c>
      <c r="U440" s="67" t="n"/>
    </row>
    <row r="441" ht="14.4" customFormat="1" customHeight="1" s="1013">
      <c r="A441" s="114" t="n">
        <v>523</v>
      </c>
      <c r="B441" s="67" t="n"/>
      <c r="C441" s="67" t="n"/>
      <c r="D441" s="68" t="n"/>
      <c r="E441" s="69" t="n"/>
      <c r="F441" s="67" t="n"/>
      <c r="G441" s="67" t="n"/>
      <c r="H441" s="67" t="n"/>
      <c r="I441" s="2072" t="n"/>
      <c r="J441" s="2072" t="n"/>
      <c r="K441" s="2072" t="n"/>
      <c r="L441" s="67" t="n"/>
      <c r="M441" s="67" t="n"/>
      <c r="N441" s="2072" t="n"/>
      <c r="O441" s="67" t="n"/>
      <c r="P441" s="2172" t="n"/>
      <c r="Q441" s="2173" t="n"/>
      <c r="R441" s="112" t="n"/>
      <c r="S441" s="112" t="n"/>
      <c r="T441" s="344" t="n"/>
      <c r="U441" s="67" t="n"/>
    </row>
    <row r="442" ht="14.4" customFormat="1" customHeight="1" s="1013">
      <c r="A442" s="114" t="n">
        <v>522</v>
      </c>
      <c r="B442" s="77">
        <f>IF(INDEX(MO_SNA_IsHistoricalPeriod,,MATCH(F442,MO_Common_ColumnHeader,0)),"Historical","Forward")</f>
        <v/>
      </c>
      <c r="C442" s="67" t="n"/>
      <c r="D442" s="84" t="inlineStr">
        <is>
          <t>Recurring Revenue %</t>
        </is>
      </c>
      <c r="E442" s="78" t="n"/>
      <c r="F442" s="77" t="inlineStr">
        <is>
          <t>FY2022</t>
        </is>
      </c>
      <c r="G442" s="77" t="n"/>
      <c r="H442" s="67" t="n"/>
      <c r="I442" s="2108" t="n">
        <v>0.85</v>
      </c>
      <c r="J442" s="2108" t="n">
        <v>0.9</v>
      </c>
      <c r="K442" s="2108">
        <f>AVERAGE(I442:J442)</f>
        <v/>
      </c>
      <c r="L442" s="67" t="n"/>
      <c r="M442" s="77">
        <f>IF(INDEX(MO_SNA_IsHistoricalPeriod,,MATCH(F442,MO_Common_ColumnHeader,0)),"Actual","Estimate")</f>
        <v/>
      </c>
      <c r="N442" s="2108">
        <f>IFERROR(INDEX(INDIRECT(E442),0,MATCH(F442,MO_Common_ColumnHeader,0)),"N/A")</f>
        <v/>
      </c>
      <c r="O442" s="2072" t="n"/>
      <c r="P442" s="2168">
        <f>IF(ISNUMBER(N442),N442-K442,"N/A")</f>
        <v/>
      </c>
      <c r="Q442" s="2168">
        <f>IFERROR(IF(ISNUMBER(N442),(N442-K442)/ABS(K442),"N/A"),"N/A")</f>
        <v/>
      </c>
      <c r="R442" s="112" t="n"/>
      <c r="S442" s="80" t="n">
        <v>44676</v>
      </c>
      <c r="T442" s="88" t="inlineStr">
        <is>
          <t>CFO Commentary</t>
        </is>
      </c>
      <c r="U442" s="67" t="n"/>
    </row>
    <row r="443" ht="14.4" customFormat="1" customHeight="1" s="1013">
      <c r="A443" s="114" t="n">
        <v>521</v>
      </c>
      <c r="B443" s="77">
        <f>IF(INDEX(MO_SNA_IsHistoricalPeriod,,MATCH(F443,MO_Common_ColumnHeader,0)),"Historical","Forward")</f>
        <v/>
      </c>
      <c r="C443" s="67" t="n"/>
      <c r="D443" s="84" t="inlineStr">
        <is>
          <t>Revenue from Beginning Backlog %</t>
        </is>
      </c>
      <c r="E443" s="78" t="n"/>
      <c r="F443" s="77" t="inlineStr">
        <is>
          <t>FY2022</t>
        </is>
      </c>
      <c r="G443" s="77" t="n"/>
      <c r="H443" s="67" t="n"/>
      <c r="I443" s="2108" t="n">
        <v>0.75</v>
      </c>
      <c r="J443" s="2108" t="n">
        <v>0.75</v>
      </c>
      <c r="K443" s="2108">
        <f>AVERAGE(I443:J443)</f>
        <v/>
      </c>
      <c r="L443" s="67" t="n"/>
      <c r="M443" s="77">
        <f>IF(INDEX(MO_SNA_IsHistoricalPeriod,,MATCH(F443,MO_Common_ColumnHeader,0)),"Actual","Estimate")</f>
        <v/>
      </c>
      <c r="N443" s="2108">
        <f>IFERROR(INDEX(INDIRECT(E443),0,MATCH(F443,MO_Common_ColumnHeader,0)),"N/A")</f>
        <v/>
      </c>
      <c r="O443" s="2072" t="n"/>
      <c r="P443" s="2168">
        <f>IF(ISNUMBER(N443),N443-K443,"N/A")</f>
        <v/>
      </c>
      <c r="Q443" s="2168">
        <f>IFERROR(IF(ISNUMBER(N443),(N443-K443)/ABS(K443),"N/A"),"N/A")</f>
        <v/>
      </c>
      <c r="R443" s="112" t="n"/>
      <c r="S443" s="80" t="n">
        <v>44676</v>
      </c>
      <c r="T443" s="88" t="inlineStr">
        <is>
          <t>CFO Commentary</t>
        </is>
      </c>
      <c r="U443" s="67" t="n"/>
    </row>
    <row r="444" ht="14.4" customFormat="1" customHeight="1" s="1013">
      <c r="A444" s="114" t="n">
        <v>520</v>
      </c>
      <c r="B444" s="77">
        <f>IF(INDEX(MO_SNA_IsHistoricalPeriod,,MATCH(F444,MO_Common_ColumnHeader,0)),"Historical","Forward")</f>
        <v/>
      </c>
      <c r="C444" s="67" t="n"/>
      <c r="D444" s="84">
        <f>INDEX(INDIRECT(E444),0,COLUMN(MO_Common_Column_A))</f>
        <v/>
      </c>
      <c r="E444" s="78" t="inlineStr">
        <is>
          <t>MO_RIS_REV</t>
        </is>
      </c>
      <c r="F444" s="77" t="inlineStr">
        <is>
          <t>FY2022</t>
        </is>
      </c>
      <c r="G444" s="77" t="n"/>
      <c r="H444" s="67" t="n"/>
      <c r="I444" s="2087" t="n">
        <v>3395</v>
      </c>
      <c r="J444" s="2087" t="n">
        <v>3435</v>
      </c>
      <c r="K444" s="2087">
        <f>AVERAGE(I444:J444)</f>
        <v/>
      </c>
      <c r="L444" s="67" t="n"/>
      <c r="M444" s="77">
        <f>IF(INDEX(MO_SNA_IsHistoricalPeriod,,MATCH(F444,MO_Common_ColumnHeader,0)),"Actual","Estimate")</f>
        <v/>
      </c>
      <c r="N444" s="2087">
        <f>IFERROR(INDEX(INDIRECT(E444),0,MATCH(F444,MO_Common_ColumnHeader,0)),"N/A")</f>
        <v/>
      </c>
      <c r="O444" s="2072" t="n"/>
      <c r="P444" s="2169">
        <f>IF(ISNUMBER(N444),N444-K444,"N/A")</f>
        <v/>
      </c>
      <c r="Q444" s="2168">
        <f>IFERROR(IF(ISNUMBER(N444),(N444-K444)/ABS(K444),"N/A"),"N/A")</f>
        <v/>
      </c>
      <c r="R444" s="112" t="n"/>
      <c r="S444" s="80" t="n">
        <v>44676</v>
      </c>
      <c r="T444" s="88" t="inlineStr">
        <is>
          <t>CFO Commentary</t>
        </is>
      </c>
      <c r="U444" s="67" t="n"/>
    </row>
    <row r="445" ht="14.4" customFormat="1" customHeight="1" s="1013">
      <c r="A445" s="114" t="n">
        <v>519</v>
      </c>
      <c r="B445" s="77">
        <f>IF(INDEX(MO_SNA_IsHistoricalPeriod,,MATCH(F445,MO_Common_ColumnHeader,0)),"Historical","Forward")</f>
        <v/>
      </c>
      <c r="C445" s="67" t="n"/>
      <c r="D445" s="84" t="inlineStr">
        <is>
          <t>GAAP Operating Margin</t>
        </is>
      </c>
      <c r="E445" s="78" t="inlineStr">
        <is>
          <t>MO_MA_EBIT</t>
        </is>
      </c>
      <c r="F445" s="77" t="inlineStr">
        <is>
          <t>FY2022</t>
        </is>
      </c>
      <c r="G445" s="77" t="n"/>
      <c r="H445" s="67" t="n"/>
      <c r="I445" s="2108" t="n">
        <v>0.285</v>
      </c>
      <c r="J445" s="2108" t="n">
        <v>0.3</v>
      </c>
      <c r="K445" s="2108">
        <f>AVERAGE(I445:J445)</f>
        <v/>
      </c>
      <c r="L445" s="67" t="n"/>
      <c r="M445" s="77">
        <f>IF(INDEX(MO_SNA_IsHistoricalPeriod,,MATCH(F445,MO_Common_ColumnHeader,0)),"Actual","Estimate")</f>
        <v/>
      </c>
      <c r="N445" s="2108">
        <f>IFERROR(INDEX(INDIRECT(E445),0,MATCH(F445,MO_Common_ColumnHeader,0)),"N/A")</f>
        <v/>
      </c>
      <c r="O445" s="67" t="n"/>
      <c r="P445" s="2168">
        <f>IF(ISNUMBER(N445),N445-K445,"N/A")</f>
        <v/>
      </c>
      <c r="Q445" s="2168">
        <f>IFERROR(IF(ISNUMBER(N445),(N445-K445)/ABS(K445),"N/A"),"N/A")</f>
        <v/>
      </c>
      <c r="R445" s="112" t="n"/>
      <c r="S445" s="80" t="n">
        <v>44676</v>
      </c>
      <c r="T445" s="88" t="inlineStr">
        <is>
          <t>CFO Commentary</t>
        </is>
      </c>
      <c r="U445" s="67" t="n"/>
    </row>
    <row r="446" ht="14.4" customFormat="1" customHeight="1" s="1013">
      <c r="A446" s="114" t="n">
        <v>518</v>
      </c>
      <c r="B446" s="77">
        <f>IF(INDEX(MO_SNA_IsHistoricalPeriod,,MATCH(F446,MO_Common_ColumnHeader,0)),"Historical","Forward")</f>
        <v/>
      </c>
      <c r="C446" s="67" t="n"/>
      <c r="D446" s="84">
        <f>INDEX(INDIRECT(E446),0,COLUMN(MO_Common_Column_A))</f>
        <v/>
      </c>
      <c r="E446" s="78" t="inlineStr">
        <is>
          <t>MO_MA_OperatingIncome_NONGAAP</t>
        </is>
      </c>
      <c r="F446" s="77" t="inlineStr">
        <is>
          <t>FY2022</t>
        </is>
      </c>
      <c r="G446" s="77" t="n"/>
      <c r="H446" s="67" t="n"/>
      <c r="I446" s="2108" t="n">
        <v>0.385</v>
      </c>
      <c r="J446" s="2108" t="n">
        <v>0.4</v>
      </c>
      <c r="K446" s="2108">
        <f>AVERAGE(I446:J446)</f>
        <v/>
      </c>
      <c r="L446" s="67" t="n"/>
      <c r="M446" s="77">
        <f>IF(INDEX(MO_SNA_IsHistoricalPeriod,,MATCH(F446,MO_Common_ColumnHeader,0)),"Actual","Estimate")</f>
        <v/>
      </c>
      <c r="N446" s="2108">
        <f>IFERROR(INDEX(INDIRECT(E446),0,MATCH(F446,MO_Common_ColumnHeader,0)),"N/A")</f>
        <v/>
      </c>
      <c r="O446" s="67" t="n"/>
      <c r="P446" s="2168">
        <f>IF(ISNUMBER(N446),N446-K446,"N/A")</f>
        <v/>
      </c>
      <c r="Q446" s="2168">
        <f>IFERROR(IF(ISNUMBER(N446),(N446-K446)/ABS(K446),"N/A"),"N/A")</f>
        <v/>
      </c>
      <c r="R446" s="112" t="n"/>
      <c r="S446" s="80" t="n">
        <v>44676</v>
      </c>
      <c r="T446" s="88" t="inlineStr">
        <is>
          <t>CFO Commentary</t>
        </is>
      </c>
      <c r="U446" s="67" t="n"/>
    </row>
    <row r="447" ht="14.4" customFormat="1" customHeight="1" s="1013">
      <c r="A447" s="114" t="n">
        <v>517</v>
      </c>
      <c r="B447" s="77">
        <f>IF(INDEX(MO_SNA_IsHistoricalPeriod,,MATCH(F447,MO_Common_ColumnHeader,0)),"Historical","Forward")</f>
        <v/>
      </c>
      <c r="C447" s="67" t="n"/>
      <c r="D447" s="84">
        <f>INDEX(INDIRECT(E447),0,COLUMN(MO_Common_Column_A))</f>
        <v/>
      </c>
      <c r="E447" s="78" t="inlineStr">
        <is>
          <t>MO_RIS_EPS_WAD</t>
        </is>
      </c>
      <c r="F447" s="77" t="inlineStr">
        <is>
          <t>FY2022</t>
        </is>
      </c>
      <c r="G447" s="77" t="n"/>
      <c r="H447" s="67" t="n"/>
      <c r="I447" s="2170" t="n">
        <v>2.51</v>
      </c>
      <c r="J447" s="2170" t="n">
        <v>2.59</v>
      </c>
      <c r="K447" s="2170">
        <f>AVERAGE(I447:J447)</f>
        <v/>
      </c>
      <c r="L447" s="67" t="n"/>
      <c r="M447" s="77">
        <f>IF(INDEX(MO_SNA_IsHistoricalPeriod,,MATCH(F447,MO_Common_ColumnHeader,0)),"Actual","Estimate")</f>
        <v/>
      </c>
      <c r="N447" s="2170">
        <f>IFERROR(INDEX(INDIRECT(E447),0,MATCH(F447,MO_Common_ColumnHeader,0)),"N/A")</f>
        <v/>
      </c>
      <c r="O447" s="67" t="n"/>
      <c r="P447" s="2171">
        <f>IF(ISNUMBER(N447),N447-K447,"N/A")</f>
        <v/>
      </c>
      <c r="Q447" s="2168">
        <f>IFERROR(IF(ISNUMBER(N447),(N447-K447)/ABS(K447),"N/A"),"N/A")</f>
        <v/>
      </c>
      <c r="R447" s="112" t="n"/>
      <c r="S447" s="80" t="n">
        <v>44676</v>
      </c>
      <c r="T447" s="88" t="inlineStr">
        <is>
          <t>CFO Commentary</t>
        </is>
      </c>
      <c r="U447" s="67" t="n"/>
    </row>
    <row r="448" ht="14.4" customFormat="1" customHeight="1" s="1013">
      <c r="A448" s="114" t="n">
        <v>516</v>
      </c>
      <c r="B448" s="77">
        <f>IF(INDEX(MO_SNA_IsHistoricalPeriod,,MATCH(F448,MO_Common_ColumnHeader,0)),"Historical","Forward")</f>
        <v/>
      </c>
      <c r="C448" s="67" t="n"/>
      <c r="D448" s="84">
        <f>INDEX(INDIRECT(E448),0,COLUMN(MO_Common_Column_A))</f>
        <v/>
      </c>
      <c r="E448" s="78" t="inlineStr">
        <is>
          <t>MO_RIS_EPS_WAD_Adj</t>
        </is>
      </c>
      <c r="F448" s="77" t="inlineStr">
        <is>
          <t>FY2022</t>
        </is>
      </c>
      <c r="G448" s="77" t="n"/>
      <c r="H448" s="67" t="n"/>
      <c r="I448" s="2170" t="n">
        <v>3.89</v>
      </c>
      <c r="J448" s="2170" t="n">
        <v>3.97</v>
      </c>
      <c r="K448" s="2170">
        <f>AVERAGE(I448:J448)</f>
        <v/>
      </c>
      <c r="L448" s="67" t="n"/>
      <c r="M448" s="77">
        <f>IF(INDEX(MO_SNA_IsHistoricalPeriod,,MATCH(F448,MO_Common_ColumnHeader,0)),"Actual","Estimate")</f>
        <v/>
      </c>
      <c r="N448" s="2170">
        <f>IFERROR(INDEX(INDIRECT(E448),0,MATCH(F448,MO_Common_ColumnHeader,0)),"N/A")</f>
        <v/>
      </c>
      <c r="O448" s="67" t="n"/>
      <c r="P448" s="2171">
        <f>IF(ISNUMBER(N448),N448-K448,"N/A")</f>
        <v/>
      </c>
      <c r="Q448" s="2168">
        <f>IFERROR(IF(ISNUMBER(N448),(N448-K448)/ABS(K448),"N/A"),"N/A")</f>
        <v/>
      </c>
      <c r="R448" s="112" t="n"/>
      <c r="S448" s="80" t="n">
        <v>44676</v>
      </c>
      <c r="T448" s="88" t="inlineStr">
        <is>
          <t>CFO Commentary</t>
        </is>
      </c>
      <c r="U448" s="67" t="n"/>
    </row>
    <row r="449" ht="14.4" customFormat="1" customHeight="1" s="1013">
      <c r="A449" s="114" t="n">
        <v>515</v>
      </c>
      <c r="B449" s="77">
        <f>IF(INDEX(MO_SNA_IsHistoricalPeriod,,MATCH(F449,MO_Common_ColumnHeader,0)),"Historical","Forward")</f>
        <v/>
      </c>
      <c r="C449" s="67" t="n"/>
      <c r="D449" s="84">
        <f>INDEX(INDIRECT(E449),0,COLUMN(MO_Common_Column_A))</f>
        <v/>
      </c>
      <c r="E449" s="78" t="inlineStr">
        <is>
          <t>MO_CFS_CFO</t>
        </is>
      </c>
      <c r="F449" s="77" t="inlineStr">
        <is>
          <t>FY2022</t>
        </is>
      </c>
      <c r="G449" s="77" t="n"/>
      <c r="H449" s="67" t="n"/>
      <c r="I449" s="2087" t="n">
        <v>1190</v>
      </c>
      <c r="J449" s="2087" t="n">
        <v>1290</v>
      </c>
      <c r="K449" s="2087">
        <f>AVERAGE(I449:J449)</f>
        <v/>
      </c>
      <c r="L449" s="67" t="n"/>
      <c r="M449" s="77">
        <f>IF(INDEX(MO_SNA_IsHistoricalPeriod,,MATCH(F449,MO_Common_ColumnHeader,0)),"Actual","Estimate")</f>
        <v/>
      </c>
      <c r="N449" s="2087">
        <f>IFERROR(INDEX(INDIRECT(E449),0,MATCH(F449,MO_Common_ColumnHeader,0)),"N/A")</f>
        <v/>
      </c>
      <c r="O449" s="67" t="n"/>
      <c r="P449" s="2169">
        <f>IF(ISNUMBER(N449),N449-K449,"N/A")</f>
        <v/>
      </c>
      <c r="Q449" s="2168">
        <f>IFERROR(IF(ISNUMBER(N449),(N449-K449)/ABS(K449),"N/A"),"N/A")</f>
        <v/>
      </c>
      <c r="R449" s="112" t="n"/>
      <c r="S449" s="80" t="n">
        <v>44676</v>
      </c>
      <c r="T449" s="88" t="inlineStr">
        <is>
          <t>CFO Commentary</t>
        </is>
      </c>
      <c r="U449" s="67" t="n"/>
    </row>
    <row r="450" ht="14.4" customFormat="1" customHeight="1" s="1013">
      <c r="A450" s="114" t="n">
        <v>514</v>
      </c>
      <c r="B450" s="77">
        <f>IF(INDEX(MO_SNA_IsHistoricalPeriod,,MATCH(F450,MO_Common_ColumnHeader,0)),"Historical","Forward")</f>
        <v/>
      </c>
      <c r="C450" s="67" t="n"/>
      <c r="D450" s="84">
        <f>INDEX(INDIRECT(E450),0,COLUMN(MO_Common_Column_A))</f>
        <v/>
      </c>
      <c r="E450" s="78" t="inlineStr">
        <is>
          <t>MO_CFSum_NetShares</t>
        </is>
      </c>
      <c r="F450" s="77" t="inlineStr">
        <is>
          <t>FY2022</t>
        </is>
      </c>
      <c r="G450" s="77" t="n"/>
      <c r="H450" s="67" t="n"/>
      <c r="I450" s="2087" t="n">
        <v>-537.5</v>
      </c>
      <c r="J450" s="2087" t="n">
        <v>-587.5</v>
      </c>
      <c r="K450" s="2087">
        <f>AVERAGE(I450:J450)</f>
        <v/>
      </c>
      <c r="L450" s="67" t="n"/>
      <c r="M450" s="77">
        <f>IF(INDEX(MO_SNA_IsHistoricalPeriod,,MATCH(F450,MO_Common_ColumnHeader,0)),"Actual","Estimate")</f>
        <v/>
      </c>
      <c r="N450" s="2087">
        <f>IFERROR(INDEX(INDIRECT(E450),0,MATCH(F450,MO_Common_ColumnHeader,0)),"N/A")</f>
        <v/>
      </c>
      <c r="O450" s="67" t="n"/>
      <c r="P450" s="2169">
        <f>IF(ISNUMBER(N450),N450-K450,"N/A")</f>
        <v/>
      </c>
      <c r="Q450" s="2168">
        <f>IFERROR(IF(ISNUMBER(N450),(N450-K450)/ABS(K450),"N/A"),"N/A")</f>
        <v/>
      </c>
      <c r="R450" s="112" t="n"/>
      <c r="S450" s="80" t="n">
        <v>44676</v>
      </c>
      <c r="T450" s="88" t="inlineStr">
        <is>
          <t>CFO Commentary</t>
        </is>
      </c>
      <c r="U450" s="67" t="n"/>
    </row>
    <row r="451" ht="14.4" customFormat="1" customHeight="1" s="1013">
      <c r="A451" s="114" t="n">
        <v>513</v>
      </c>
      <c r="B451" s="77">
        <f>IF(INDEX(MO_SNA_IsHistoricalPeriod,,MATCH(F451,MO_Common_ColumnHeader,0)),"Historical","Forward")</f>
        <v/>
      </c>
      <c r="C451" s="67" t="n"/>
      <c r="D451" s="84" t="inlineStr">
        <is>
          <t>GAAP Other Income &amp; Expense</t>
        </is>
      </c>
      <c r="E451" s="78" t="n"/>
      <c r="F451" s="77" t="inlineStr">
        <is>
          <t>FY2022</t>
        </is>
      </c>
      <c r="G451" s="77" t="n"/>
      <c r="H451" s="67" t="n"/>
      <c r="I451" s="2087" t="n">
        <v>-21</v>
      </c>
      <c r="J451" s="2087" t="n">
        <v>-27</v>
      </c>
      <c r="K451" s="2087">
        <f>AVERAGE(I451:J451)</f>
        <v/>
      </c>
      <c r="L451" s="67" t="n"/>
      <c r="M451" s="77">
        <f>IF(INDEX(MO_SNA_IsHistoricalPeriod,,MATCH(F451,MO_Common_ColumnHeader,0)),"Actual","Estimate")</f>
        <v/>
      </c>
      <c r="N451" s="2087">
        <f>-IFERROR(INDEX(MO_RIS_IE_Net,0,MATCH(F451,MO_Common_ColumnHeader,0)),"N/A")-IFERROR(INDEX(MO_RIS_OI,0,MATCH(F451,MO_Common_ColumnHeader,0)),"N/A")</f>
        <v/>
      </c>
      <c r="O451" s="67" t="n"/>
      <c r="P451" s="2169">
        <f>IF(ISNUMBER(N451),N451-K451,"N/A")</f>
        <v/>
      </c>
      <c r="Q451" s="2168">
        <f>IFERROR(IF(ISNUMBER(N451),(N451-K451)/ABS(K451),"N/A"),"N/A")</f>
        <v/>
      </c>
      <c r="R451" s="112" t="n"/>
      <c r="S451" s="80" t="n">
        <v>44676</v>
      </c>
      <c r="T451" s="88" t="inlineStr">
        <is>
          <t>CFO Commentary</t>
        </is>
      </c>
      <c r="U451" s="67" t="n"/>
    </row>
    <row r="452" ht="14.4" customFormat="1" customHeight="1" s="1013">
      <c r="A452" s="114" t="n">
        <v>512</v>
      </c>
      <c r="B452" s="77">
        <f>IF(INDEX(MO_SNA_IsHistoricalPeriod,,MATCH(F452,MO_Common_ColumnHeader,0)),"Historical","Forward")</f>
        <v/>
      </c>
      <c r="C452" s="67" t="n"/>
      <c r="D452" s="84" t="inlineStr">
        <is>
          <t>Non-GAAP Other Income &amp; Expense</t>
        </is>
      </c>
      <c r="E452" s="78" t="n"/>
      <c r="F452" s="77" t="inlineStr">
        <is>
          <t>FY2022</t>
        </is>
      </c>
      <c r="G452" s="77" t="n"/>
      <c r="H452" s="67" t="n"/>
      <c r="I452" s="2087" t="n">
        <v>-16</v>
      </c>
      <c r="J452" s="2087" t="n">
        <v>-22</v>
      </c>
      <c r="K452" s="2087">
        <f>AVERAGE(I452:J452)</f>
        <v/>
      </c>
      <c r="L452" s="67" t="n"/>
      <c r="M452" s="77">
        <f>IF(INDEX(MO_SNA_IsHistoricalPeriod,,MATCH(F452,MO_Common_ColumnHeader,0)),"Actual","Estimate")</f>
        <v/>
      </c>
      <c r="N452" s="2087">
        <f>-IFERROR(INDEX(MO_RIS_IE_Net_NONGAAP,0,MATCH(F452,MO_Common_ColumnHeader,0)),"N/A")-IFERROR(INDEX(MO_RIS_OI_NONGAAP,0,MATCH(F452,MO_Common_ColumnHeader,0)),"N/A")</f>
        <v/>
      </c>
      <c r="O452" s="67" t="n"/>
      <c r="P452" s="2169">
        <f>IF(ISNUMBER(N452),N452-K452,"N/A")</f>
        <v/>
      </c>
      <c r="Q452" s="2168">
        <f>IFERROR(IF(ISNUMBER(N452),(N452-K452)/ABS(K452),"N/A"),"N/A")</f>
        <v/>
      </c>
      <c r="R452" s="112" t="n"/>
      <c r="S452" s="80" t="n">
        <v>44676</v>
      </c>
      <c r="T452" s="88" t="inlineStr">
        <is>
          <t>CFO Commentary</t>
        </is>
      </c>
      <c r="U452" s="67" t="n"/>
    </row>
    <row r="453" ht="14.4" customFormat="1" customHeight="1" s="1013">
      <c r="A453" s="114" t="n">
        <v>511</v>
      </c>
      <c r="B453" s="77">
        <f>IF(INDEX(MO_SNA_IsHistoricalPeriod,,MATCH(F453,MO_Common_ColumnHeader,0)),"Historical","Forward")</f>
        <v/>
      </c>
      <c r="C453" s="67" t="n"/>
      <c r="D453" s="84" t="inlineStr">
        <is>
          <t>GAAP Tax Rate</t>
        </is>
      </c>
      <c r="E453" s="78" t="inlineStr">
        <is>
          <t>MO_RIS_TaxRate</t>
        </is>
      </c>
      <c r="F453" s="77" t="inlineStr">
        <is>
          <t>FY2022</t>
        </is>
      </c>
      <c r="G453" s="77" t="n"/>
      <c r="H453" s="67" t="n"/>
      <c r="I453" s="2108" t="n">
        <v>0.28</v>
      </c>
      <c r="J453" s="2108" t="n">
        <v>0.28</v>
      </c>
      <c r="K453" s="2108">
        <f>AVERAGE(I453:J453)</f>
        <v/>
      </c>
      <c r="L453" s="67" t="n"/>
      <c r="M453" s="77">
        <f>IF(INDEX(MO_SNA_IsHistoricalPeriod,,MATCH(F453,MO_Common_ColumnHeader,0)),"Actual","Estimate")</f>
        <v/>
      </c>
      <c r="N453" s="2108">
        <f>IFERROR(INDEX(INDIRECT(E453),0,MATCH(F453,MO_Common_ColumnHeader,0)),"N/A")</f>
        <v/>
      </c>
      <c r="O453" s="67" t="n"/>
      <c r="P453" s="2168">
        <f>IF(ISNUMBER(N453),N453-K453,"N/A")</f>
        <v/>
      </c>
      <c r="Q453" s="2168">
        <f>IFERROR(IF(ISNUMBER(N453),(N453-K453)/ABS(K453),"N/A"),"N/A")</f>
        <v/>
      </c>
      <c r="R453" s="112" t="n"/>
      <c r="S453" s="80" t="n">
        <v>44676</v>
      </c>
      <c r="T453" s="88" t="inlineStr">
        <is>
          <t>CFO Commentary</t>
        </is>
      </c>
      <c r="U453" s="67" t="n"/>
    </row>
    <row r="454" ht="14.4" customFormat="1" customHeight="1" s="1013">
      <c r="A454" s="114" t="n">
        <v>510</v>
      </c>
      <c r="B454" s="77">
        <f>IF(INDEX(MO_SNA_IsHistoricalPeriod,,MATCH(F454,MO_Common_ColumnHeader,0)),"Historical","Forward")</f>
        <v/>
      </c>
      <c r="C454" s="67" t="n"/>
      <c r="D454" s="84">
        <f>INDEX(INDIRECT(E454),0,COLUMN(MO_Common_Column_A))</f>
        <v/>
      </c>
      <c r="E454" s="78" t="inlineStr">
        <is>
          <t>MO_RIS_TaxRate_NONGAAP</t>
        </is>
      </c>
      <c r="F454" s="77" t="inlineStr">
        <is>
          <t>FY2022</t>
        </is>
      </c>
      <c r="G454" s="77" t="n"/>
      <c r="H454" s="67" t="n"/>
      <c r="I454" s="2108" t="n">
        <v>0.175</v>
      </c>
      <c r="J454" s="2108" t="n">
        <v>0.175</v>
      </c>
      <c r="K454" s="2108">
        <f>AVERAGE(I454:J454)</f>
        <v/>
      </c>
      <c r="L454" s="67" t="n"/>
      <c r="M454" s="77">
        <f>IF(INDEX(MO_SNA_IsHistoricalPeriod,,MATCH(F454,MO_Common_ColumnHeader,0)),"Actual","Estimate")</f>
        <v/>
      </c>
      <c r="N454" s="2108">
        <f>IFERROR(INDEX(INDIRECT(E454),0,MATCH(F454,MO_Common_ColumnHeader,0)),"N/A")</f>
        <v/>
      </c>
      <c r="O454" s="67" t="n"/>
      <c r="P454" s="2168">
        <f>IF(ISNUMBER(N454),N454-K454,"N/A")</f>
        <v/>
      </c>
      <c r="Q454" s="2168">
        <f>IFERROR(IF(ISNUMBER(N454),(N454-K454)/ABS(K454),"N/A"),"N/A")</f>
        <v/>
      </c>
      <c r="R454" s="112" t="n"/>
      <c r="S454" s="80" t="n">
        <v>44676</v>
      </c>
      <c r="T454" s="88" t="inlineStr">
        <is>
          <t>CFO Commentary</t>
        </is>
      </c>
      <c r="U454" s="67" t="n"/>
    </row>
    <row r="455" ht="14.4" customFormat="1" customHeight="1" s="1013">
      <c r="A455" s="114" t="n">
        <v>509</v>
      </c>
      <c r="B455" s="77">
        <f>IF(INDEX(MO_SNA_IsHistoricalPeriod,,MATCH(F455,MO_Common_ColumnHeader,0)),"Historical","Forward")</f>
        <v/>
      </c>
      <c r="C455" s="67" t="n"/>
      <c r="D455" s="84">
        <f>INDEX(INDIRECT(E455),0,COLUMN(MO_Common_Column_A))</f>
        <v/>
      </c>
      <c r="E455" s="78" t="inlineStr">
        <is>
          <t>MO_RIS_ShareCount_WAD</t>
        </is>
      </c>
      <c r="F455" s="77" t="inlineStr">
        <is>
          <t>FY2022</t>
        </is>
      </c>
      <c r="G455" s="77" t="n"/>
      <c r="H455" s="67" t="n"/>
      <c r="I455" s="2087" t="n">
        <v>276</v>
      </c>
      <c r="J455" s="2087" t="n">
        <v>279</v>
      </c>
      <c r="K455" s="2087">
        <f>AVERAGE(I455:J455)</f>
        <v/>
      </c>
      <c r="L455" s="67" t="n"/>
      <c r="M455" s="77">
        <f>IF(INDEX(MO_SNA_IsHistoricalPeriod,,MATCH(F455,MO_Common_ColumnHeader,0)),"Actual","Estimate")</f>
        <v/>
      </c>
      <c r="N455" s="2087">
        <f>IFERROR(INDEX(INDIRECT(E455),0,MATCH(F455,MO_Common_ColumnHeader,0)),"N/A")</f>
        <v/>
      </c>
      <c r="O455" s="67" t="n"/>
      <c r="P455" s="2169">
        <f>IF(ISNUMBER(N455),N455-K455,"N/A")</f>
        <v/>
      </c>
      <c r="Q455" s="2168">
        <f>IFERROR(IF(ISNUMBER(N455),(N455-K455)/ABS(K455),"N/A"),"N/A")</f>
        <v/>
      </c>
      <c r="R455" s="112" t="n"/>
      <c r="S455" s="80" t="n">
        <v>44676</v>
      </c>
      <c r="T455" s="88" t="inlineStr">
        <is>
          <t>CFO Commentary</t>
        </is>
      </c>
      <c r="U455" s="67" t="n"/>
    </row>
    <row r="456" ht="14.4" customFormat="1" customHeight="1" s="1013">
      <c r="A456" s="114" t="n">
        <v>508</v>
      </c>
      <c r="B456" s="77">
        <f>IF(INDEX(MO_SNA_IsHistoricalPeriod,,MATCH(F456,MO_Common_ColumnHeader,0)),"Historical","Forward")</f>
        <v/>
      </c>
      <c r="C456" s="67" t="n"/>
      <c r="D456" s="84" t="inlineStr">
        <is>
          <t>DSO</t>
        </is>
      </c>
      <c r="E456" s="78" t="n"/>
      <c r="F456" s="77" t="inlineStr">
        <is>
          <t>FY2022</t>
        </is>
      </c>
      <c r="G456" s="77" t="n"/>
      <c r="H456" s="67" t="n"/>
      <c r="I456" s="2087" t="n">
        <v>45</v>
      </c>
      <c r="J456" s="2087" t="n">
        <v>45</v>
      </c>
      <c r="K456" s="2087">
        <f>AVERAGE(I456:J456)</f>
        <v/>
      </c>
      <c r="L456" s="67" t="n"/>
      <c r="M456" s="77">
        <f>IF(INDEX(MO_SNA_IsHistoricalPeriod,,MATCH(F456,MO_Common_ColumnHeader,0)),"Actual","Estimate")</f>
        <v/>
      </c>
      <c r="N456" s="2087">
        <f>IFERROR(INDEX(INDIRECT(E456),0,MATCH(F456,MO_Common_ColumnHeader,0)),"N/A")</f>
        <v/>
      </c>
      <c r="O456" s="67" t="n"/>
      <c r="P456" s="2169">
        <f>IF(ISNUMBER(N456),N456-K456,"N/A")</f>
        <v/>
      </c>
      <c r="Q456" s="2168">
        <f>IFERROR(IF(ISNUMBER(N456),(N456-K456)/ABS(K456),"N/A"),"N/A")</f>
        <v/>
      </c>
      <c r="R456" s="112" t="n"/>
      <c r="S456" s="80" t="n">
        <v>44676</v>
      </c>
      <c r="T456" s="88" t="inlineStr">
        <is>
          <t>CFO Commentary</t>
        </is>
      </c>
      <c r="U456" s="67" t="n"/>
    </row>
    <row r="457" ht="14.4" customFormat="1" customHeight="1" s="1013">
      <c r="A457" s="114" t="n">
        <v>507</v>
      </c>
      <c r="B457" s="77">
        <f>IF(INDEX(MO_SNA_IsHistoricalPeriod,,MATCH(F457,MO_Common_ColumnHeader,0)),"Historical","Forward")</f>
        <v/>
      </c>
      <c r="C457" s="67" t="n"/>
      <c r="D457" s="84">
        <f>INDEX(INDIRECT(E457),0,COLUMN(MO_Common_Column_A))</f>
        <v/>
      </c>
      <c r="E457" s="78" t="inlineStr">
        <is>
          <t>MO_CFSum_Capex</t>
        </is>
      </c>
      <c r="F457" s="77" t="inlineStr">
        <is>
          <t>FY2022</t>
        </is>
      </c>
      <c r="G457" s="77" t="n"/>
      <c r="H457" s="67" t="n"/>
      <c r="I457" s="2087" t="n">
        <v>-115</v>
      </c>
      <c r="J457" s="2087" t="n">
        <v>-115</v>
      </c>
      <c r="K457" s="2087">
        <f>AVERAGE(I457:J457)</f>
        <v/>
      </c>
      <c r="L457" s="67" t="n"/>
      <c r="M457" s="77">
        <f>IF(INDEX(MO_SNA_IsHistoricalPeriod,,MATCH(F457,MO_Common_ColumnHeader,0)),"Actual","Estimate")</f>
        <v/>
      </c>
      <c r="N457" s="2087">
        <f>IFERROR(INDEX(INDIRECT(E457),0,MATCH(F457,MO_Common_ColumnHeader,0)),"N/A")</f>
        <v/>
      </c>
      <c r="O457" s="67" t="n"/>
      <c r="P457" s="2169">
        <f>IF(ISNUMBER(N457),N457-K457,"N/A")</f>
        <v/>
      </c>
      <c r="Q457" s="2168">
        <f>IFERROR(IF(ISNUMBER(N457),(N457-K457)/ABS(K457),"N/A"),"N/A")</f>
        <v/>
      </c>
      <c r="R457" s="112" t="n"/>
      <c r="S457" s="80" t="n">
        <v>44676</v>
      </c>
      <c r="T457" s="88" t="inlineStr">
        <is>
          <t>CFO Commentary</t>
        </is>
      </c>
      <c r="U457" s="67" t="n"/>
    </row>
    <row r="458" ht="14.4" customFormat="1" customHeight="1" s="1013">
      <c r="A458" s="114" t="n">
        <v>506</v>
      </c>
      <c r="B458" s="77">
        <f>IF(INDEX(MO_SNA_IsHistoricalPeriod,,MATCH(F458,MO_Common_ColumnHeader,0)),"Historical","Forward")</f>
        <v/>
      </c>
      <c r="C458" s="67" t="n"/>
      <c r="D458" s="84">
        <f>INDEX(INDIRECT(E458),0,COLUMN(MO_Common_Column_A))</f>
        <v/>
      </c>
      <c r="E458" s="78" t="inlineStr">
        <is>
          <t>MO_RIS_SBC</t>
        </is>
      </c>
      <c r="F458" s="77" t="inlineStr">
        <is>
          <t>FY2022</t>
        </is>
      </c>
      <c r="G458" s="77" t="n"/>
      <c r="H458" s="67" t="n"/>
      <c r="I458" s="2087" t="n">
        <v>272</v>
      </c>
      <c r="J458" s="2087" t="n">
        <v>272</v>
      </c>
      <c r="K458" s="2087">
        <f>AVERAGE(I458:J458)</f>
        <v/>
      </c>
      <c r="L458" s="67" t="n"/>
      <c r="M458" s="77">
        <f>IF(INDEX(MO_SNA_IsHistoricalPeriod,,MATCH(F458,MO_Common_ColumnHeader,0)),"Actual","Estimate")</f>
        <v/>
      </c>
      <c r="N458" s="2087">
        <f>IFERROR(INDEX(INDIRECT(E458),0,MATCH(F458,MO_Common_ColumnHeader,0)),"N/A")</f>
        <v/>
      </c>
      <c r="O458" s="67" t="n"/>
      <c r="P458" s="2169">
        <f>IF(ISNUMBER(N458),N458-K458,"N/A")</f>
        <v/>
      </c>
      <c r="Q458" s="2168">
        <f>IFERROR(IF(ISNUMBER(N458),(N458-K458)/ABS(K458),"N/A"),"N/A")</f>
        <v/>
      </c>
      <c r="R458" s="112" t="n"/>
      <c r="S458" s="80" t="n">
        <v>44676</v>
      </c>
      <c r="T458" s="88" t="inlineStr">
        <is>
          <t>CFO Commentary</t>
        </is>
      </c>
      <c r="U458" s="67" t="n"/>
    </row>
    <row r="459" ht="14.4" customFormat="1" customHeight="1" s="1013">
      <c r="A459" s="114" t="n">
        <v>505</v>
      </c>
      <c r="B459" s="77">
        <f>IF(INDEX(MO_SNA_IsHistoricalPeriod,,MATCH(F459,MO_Common_ColumnHeader,0)),"Historical","Forward")</f>
        <v/>
      </c>
      <c r="C459" s="67" t="n"/>
      <c r="D459" s="84">
        <f>INDEX(INDIRECT(E459),0,COLUMN(MO_Common_Column_A))</f>
        <v/>
      </c>
      <c r="E459" s="78" t="inlineStr">
        <is>
          <t>MO_RIS_Daintangibles</t>
        </is>
      </c>
      <c r="F459" s="77" t="inlineStr">
        <is>
          <t>FY2022</t>
        </is>
      </c>
      <c r="G459" s="77" t="n"/>
      <c r="H459" s="67" t="n"/>
      <c r="I459" s="2087" t="n">
        <v>52</v>
      </c>
      <c r="J459" s="2087" t="n">
        <v>52</v>
      </c>
      <c r="K459" s="2087">
        <f>AVERAGE(I459:J459)</f>
        <v/>
      </c>
      <c r="L459" s="67" t="n"/>
      <c r="M459" s="77">
        <f>IF(INDEX(MO_SNA_IsHistoricalPeriod,,MATCH(F459,MO_Common_ColumnHeader,0)),"Actual","Estimate")</f>
        <v/>
      </c>
      <c r="N459" s="2087">
        <f>IFERROR(INDEX(INDIRECT(E459),0,MATCH(F459,MO_Common_ColumnHeader,0)),"N/A")</f>
        <v/>
      </c>
      <c r="O459" s="67" t="n"/>
      <c r="P459" s="2169">
        <f>IF(ISNUMBER(N459),N459-K459,"N/A")</f>
        <v/>
      </c>
      <c r="Q459" s="2168">
        <f>IFERROR(IF(ISNUMBER(N459),(N459-K459)/ABS(K459),"N/A"),"N/A")</f>
        <v/>
      </c>
      <c r="R459" s="112" t="n"/>
      <c r="S459" s="80" t="n">
        <v>44676</v>
      </c>
      <c r="T459" s="88" t="inlineStr">
        <is>
          <t>CFO Commentary</t>
        </is>
      </c>
      <c r="U459" s="67" t="n"/>
    </row>
    <row r="460" ht="14.4" customFormat="1" customHeight="1" s="1013">
      <c r="A460" s="114" t="n">
        <v>504</v>
      </c>
      <c r="B460" s="77">
        <f>IF(INDEX(MO_SNA_IsHistoricalPeriod,,MATCH(F460,MO_Common_ColumnHeader,0)),"Historical","Forward")</f>
        <v/>
      </c>
      <c r="C460" s="67" t="n"/>
      <c r="D460" s="84" t="inlineStr">
        <is>
          <t>Acquisition and integration-related costs</t>
        </is>
      </c>
      <c r="E460" s="78" t="n"/>
      <c r="F460" s="77" t="inlineStr">
        <is>
          <t>FY2022</t>
        </is>
      </c>
      <c r="G460" s="77" t="n"/>
      <c r="H460" s="67" t="n"/>
      <c r="I460" s="2087" t="n">
        <v>8</v>
      </c>
      <c r="J460" s="2087" t="n">
        <v>8</v>
      </c>
      <c r="K460" s="2087">
        <f>AVERAGE(I460:J460)</f>
        <v/>
      </c>
      <c r="L460" s="67" t="n"/>
      <c r="M460" s="77">
        <f>IF(INDEX(MO_SNA_IsHistoricalPeriod,,MATCH(F460,MO_Common_ColumnHeader,0)),"Actual","Estimate")</f>
        <v/>
      </c>
      <c r="N460" s="2087">
        <f>IFERROR(INDEX(INDIRECT(E460),0,MATCH(F460,MO_Common_ColumnHeader,0)),"N/A")</f>
        <v/>
      </c>
      <c r="O460" s="67" t="n"/>
      <c r="P460" s="2169">
        <f>IF(ISNUMBER(N460),N460-K460,"N/A")</f>
        <v/>
      </c>
      <c r="Q460" s="2168">
        <f>IFERROR(IF(ISNUMBER(N460),(N460-K460)/ABS(K460),"N/A"),"N/A")</f>
        <v/>
      </c>
      <c r="R460" s="112" t="n"/>
      <c r="S460" s="80" t="n">
        <v>44676</v>
      </c>
      <c r="T460" s="88" t="inlineStr">
        <is>
          <t>CFO Commentary</t>
        </is>
      </c>
      <c r="U460" s="67" t="n"/>
    </row>
    <row r="461" ht="14.4" customFormat="1" customHeight="1" s="1013">
      <c r="A461" s="114" t="n">
        <v>503</v>
      </c>
      <c r="B461" s="77">
        <f>IF(INDEX(MO_SNA_IsHistoricalPeriod,,MATCH(F461,MO_Common_ColumnHeader,0)),"Historical","Forward")</f>
        <v/>
      </c>
      <c r="C461" s="67" t="n"/>
      <c r="D461" s="84" t="inlineStr">
        <is>
          <t>Restructuring and other credits</t>
        </is>
      </c>
      <c r="E461" s="78" t="n"/>
      <c r="F461" s="77" t="inlineStr">
        <is>
          <t>FY2022</t>
        </is>
      </c>
      <c r="G461" s="77" t="n"/>
      <c r="H461" s="67" t="n"/>
      <c r="I461" s="2087" t="n">
        <v>0</v>
      </c>
      <c r="J461" s="2087" t="n">
        <v>0</v>
      </c>
      <c r="K461" s="2087">
        <f>AVERAGE(I461:J461)</f>
        <v/>
      </c>
      <c r="L461" s="67" t="n"/>
      <c r="M461" s="77">
        <f>IF(INDEX(MO_SNA_IsHistoricalPeriod,,MATCH(F461,MO_Common_ColumnHeader,0)),"Actual","Estimate")</f>
        <v/>
      </c>
      <c r="N461" s="2087">
        <f>IFERROR(INDEX(INDIRECT(E461),0,MATCH(F461,MO_Common_ColumnHeader,0)),"N/A")</f>
        <v/>
      </c>
      <c r="O461" s="67" t="n"/>
      <c r="P461" s="2169">
        <f>IF(ISNUMBER(N461),N461-K461,"N/A")</f>
        <v/>
      </c>
      <c r="Q461" s="2168">
        <f>IFERROR(IF(ISNUMBER(N461),(N461-K461)/ABS(K461),"N/A"),"N/A")</f>
        <v/>
      </c>
      <c r="R461" s="112" t="n"/>
      <c r="S461" s="80" t="n">
        <v>44676</v>
      </c>
      <c r="T461" s="88" t="inlineStr">
        <is>
          <t>CFO Commentary</t>
        </is>
      </c>
      <c r="U461" s="67" t="n"/>
    </row>
    <row r="462" ht="14.4" customFormat="1" customHeight="1" s="1013">
      <c r="A462" s="114" t="n">
        <v>502</v>
      </c>
      <c r="B462" s="77">
        <f>IF(INDEX(MO_SNA_IsHistoricalPeriod,,MATCH(F462,MO_Common_ColumnHeader,0)),"Historical","Forward")</f>
        <v/>
      </c>
      <c r="C462" s="67" t="n"/>
      <c r="D462" s="84" t="inlineStr">
        <is>
          <t>Non-Qualified deferred compensation expenses</t>
        </is>
      </c>
      <c r="E462" s="78" t="n"/>
      <c r="F462" s="77" t="inlineStr">
        <is>
          <t>FY2022</t>
        </is>
      </c>
      <c r="G462" s="77" t="n"/>
      <c r="H462" s="67" t="n"/>
      <c r="I462" s="2087" t="n">
        <v>-3</v>
      </c>
      <c r="J462" s="2087" t="n">
        <v>-3</v>
      </c>
      <c r="K462" s="2087">
        <f>AVERAGE(I462:J462)</f>
        <v/>
      </c>
      <c r="L462" s="67" t="n"/>
      <c r="M462" s="77">
        <f>IF(INDEX(MO_SNA_IsHistoricalPeriod,,MATCH(F462,MO_Common_ColumnHeader,0)),"Actual","Estimate")</f>
        <v/>
      </c>
      <c r="N462" s="2087">
        <f>IFERROR(INDEX(INDIRECT(E462),0,MATCH(F462,MO_Common_ColumnHeader,0)),"N/A")</f>
        <v/>
      </c>
      <c r="O462" s="67" t="n"/>
      <c r="P462" s="2169">
        <f>IF(ISNUMBER(N462),N462-K462,"N/A")</f>
        <v/>
      </c>
      <c r="Q462" s="2168">
        <f>IFERROR(IF(ISNUMBER(N462),(N462-K462)/ABS(K462),"N/A"),"N/A")</f>
        <v/>
      </c>
      <c r="R462" s="112" t="n"/>
      <c r="S462" s="80" t="n">
        <v>44676</v>
      </c>
      <c r="T462" s="88" t="inlineStr">
        <is>
          <t>CFO Commentary</t>
        </is>
      </c>
      <c r="U462" s="67" t="n"/>
    </row>
    <row r="463" ht="14.4" customFormat="1" customHeight="1" s="1013">
      <c r="A463" s="114" t="n">
        <v>501</v>
      </c>
      <c r="B463" s="77">
        <f>IF(INDEX(MO_SNA_IsHistoricalPeriod,,MATCH(F463,MO_Common_ColumnHeader,0)),"Historical","Forward")</f>
        <v/>
      </c>
      <c r="C463" s="67" t="n"/>
      <c r="D463" s="84" t="inlineStr">
        <is>
          <t>Special charges</t>
        </is>
      </c>
      <c r="E463" s="78" t="n"/>
      <c r="F463" s="77" t="inlineStr">
        <is>
          <t>FY2022</t>
        </is>
      </c>
      <c r="G463" s="77" t="n"/>
      <c r="H463" s="67" t="n"/>
      <c r="I463" s="2087" t="n">
        <v>0</v>
      </c>
      <c r="J463" s="2087" t="n">
        <v>0</v>
      </c>
      <c r="K463" s="2087">
        <f>AVERAGE(I463:J463)</f>
        <v/>
      </c>
      <c r="L463" s="67" t="n"/>
      <c r="M463" s="77">
        <f>IF(INDEX(MO_SNA_IsHistoricalPeriod,,MATCH(F463,MO_Common_ColumnHeader,0)),"Actual","Estimate")</f>
        <v/>
      </c>
      <c r="N463" s="2087">
        <f>IFERROR(INDEX(INDIRECT(E463),0,MATCH(F463,MO_Common_ColumnHeader,0)),"N/A")</f>
        <v/>
      </c>
      <c r="O463" s="67" t="n"/>
      <c r="P463" s="2169">
        <f>IF(ISNUMBER(N463),N463-K463,"N/A")</f>
        <v/>
      </c>
      <c r="Q463" s="2168">
        <f>IFERROR(IF(ISNUMBER(N463),(N463-K463)/ABS(K463),"N/A"),"N/A")</f>
        <v/>
      </c>
      <c r="R463" s="112" t="n"/>
      <c r="S463" s="80" t="n">
        <v>44676</v>
      </c>
      <c r="T463" s="88" t="inlineStr">
        <is>
          <t>CFO Commentary</t>
        </is>
      </c>
      <c r="U463" s="67" t="n"/>
    </row>
    <row r="464" ht="14.4" customFormat="1" customHeight="1" s="1013">
      <c r="A464" s="114" t="n">
        <v>500</v>
      </c>
      <c r="B464" s="77">
        <f>IF(INDEX(MO_SNA_IsHistoricalPeriod,,MATCH(F464,MO_Common_ColumnHeader,0)),"Historical","Forward")</f>
        <v/>
      </c>
      <c r="C464" s="67" t="n"/>
      <c r="D464" s="84" t="inlineStr">
        <is>
          <t>GAAP Operating Expenses</t>
        </is>
      </c>
      <c r="E464" s="78" t="n"/>
      <c r="F464" s="77" t="inlineStr">
        <is>
          <t>FY2022</t>
        </is>
      </c>
      <c r="G464" s="77" t="n"/>
      <c r="H464" s="67" t="n"/>
      <c r="I464" s="2087" t="n">
        <v>2404</v>
      </c>
      <c r="J464" s="2087" t="n">
        <v>2404</v>
      </c>
      <c r="K464" s="2087">
        <f>AVERAGE(I464:J464)</f>
        <v/>
      </c>
      <c r="L464" s="67" t="n"/>
      <c r="M464" s="77">
        <f>IF(INDEX(MO_SNA_IsHistoricalPeriod,,MATCH(F464,MO_Common_ColumnHeader,0)),"Actual","Estimate")</f>
        <v/>
      </c>
      <c r="N464" s="2087">
        <f>IFERROR(INDEX(MO_RIS_COGS,0,MATCH(Guidance!F464,MO_Common_ColumnHeader,0))+INDEX(MO_RIS_RD,0,MATCH(Guidance!F464,MO_Common_ColumnHeader,0))+INDEX(MO_RIS_GA,0,MATCH(Guidance!F464,MO_Common_ColumnHeader,0))+INDEX(MO_RIS_SM,0,MATCH(Guidance!F464,MO_Common_ColumnHeader,0)),"N/A")</f>
        <v/>
      </c>
      <c r="O464" s="2072" t="n"/>
      <c r="P464" s="2169">
        <f>IF(ISNUMBER(N464),N464-K464,"N/A")</f>
        <v/>
      </c>
      <c r="Q464" s="2168">
        <f>IFERROR(IF(ISNUMBER(N464),(N464-K464)/ABS(K464),"N/A"),"N/A")</f>
        <v/>
      </c>
      <c r="R464" s="112" t="n"/>
      <c r="S464" s="80" t="n">
        <v>44676</v>
      </c>
      <c r="T464" s="88" t="inlineStr">
        <is>
          <t>CFO Commentary</t>
        </is>
      </c>
      <c r="U464" s="67" t="n"/>
    </row>
    <row r="465" ht="14.4" customFormat="1" customHeight="1" s="1013">
      <c r="A465" s="114" t="n">
        <v>499</v>
      </c>
      <c r="B465" s="77">
        <f>IF(INDEX(MO_SNA_IsHistoricalPeriod,,MATCH(F465,MO_Common_ColumnHeader,0)),"Historical","Forward")</f>
        <v/>
      </c>
      <c r="C465" s="67" t="n"/>
      <c r="D465" s="84" t="inlineStr">
        <is>
          <t>Non-GAAP Operating Expenses</t>
        </is>
      </c>
      <c r="E465" s="78" t="n"/>
      <c r="F465" s="77" t="inlineStr">
        <is>
          <t>FY2022</t>
        </is>
      </c>
      <c r="G465" s="77" t="n"/>
      <c r="H465" s="67" t="n"/>
      <c r="I465" s="2087" t="n">
        <v>2075</v>
      </c>
      <c r="J465" s="2087" t="n">
        <v>2075</v>
      </c>
      <c r="K465" s="2087">
        <f>AVERAGE(I465:J465)</f>
        <v/>
      </c>
      <c r="L465" s="67" t="n"/>
      <c r="M465" s="77">
        <f>IF(INDEX(MO_SNA_IsHistoricalPeriod,,MATCH(F465,MO_Common_ColumnHeader,0)),"Actual","Estimate")</f>
        <v/>
      </c>
      <c r="N465" s="2087">
        <f>IFERROR(INDEX(MO_RIS_REV,0,MATCH(Guidance!F465,MO_Common_ColumnHeader,0))+INDEX(MO_RIS_RD_NONGAAP,0,MATCH(Guidance!F465,MO_Common_ColumnHeader,0))+INDEX(MO_RIS_GA_NONGAAP,0,MATCH(Guidance!F465,MO_Common_ColumnHeader,0))+INDEX(MO_RIS_SM_NONGAAP,0,MATCH(Guidance!F465,MO_Common_ColumnHeader,0))-INDEX(MO_RIS_GP_NONGAAP,0,MATCH(Guidance!F465,MO_Common_ColumnHeader,0)),"N/A")</f>
        <v/>
      </c>
      <c r="O465" s="2072" t="n"/>
      <c r="P465" s="2169">
        <f>IF(ISNUMBER(N465),N465-K465,"N/A")</f>
        <v/>
      </c>
      <c r="Q465" s="2168">
        <f>IFERROR(IF(ISNUMBER(N465),(N465-K465)/ABS(K465),"N/A"),"N/A")</f>
        <v/>
      </c>
      <c r="R465" s="112" t="n"/>
      <c r="S465" s="80" t="n">
        <v>44676</v>
      </c>
      <c r="T465" s="88" t="inlineStr">
        <is>
          <t>CFO Commentary</t>
        </is>
      </c>
      <c r="U465" s="67" t="n"/>
    </row>
    <row r="466" ht="14.4" customFormat="1" customHeight="1" s="1013">
      <c r="A466" s="114" t="n">
        <v>498</v>
      </c>
      <c r="B466" s="67" t="n"/>
      <c r="C466" s="67" t="n"/>
      <c r="D466" s="68" t="n"/>
      <c r="E466" s="69" t="n"/>
      <c r="F466" s="67" t="n"/>
      <c r="G466" s="67" t="n"/>
      <c r="H466" s="67" t="n"/>
      <c r="I466" s="2072" t="n"/>
      <c r="J466" s="2072" t="n"/>
      <c r="K466" s="2072" t="n"/>
      <c r="L466" s="67" t="n"/>
      <c r="M466" s="67" t="n"/>
      <c r="N466" s="2072" t="n"/>
      <c r="O466" s="67" t="n"/>
      <c r="P466" s="2172" t="n"/>
      <c r="Q466" s="2173" t="n"/>
      <c r="R466" s="112" t="n"/>
      <c r="S466" s="112" t="n"/>
      <c r="T466" s="344" t="n"/>
      <c r="U466" s="67" t="n"/>
    </row>
    <row r="467" ht="14.4" customFormat="1" customHeight="1" s="1013">
      <c r="A467" s="114" t="n">
        <v>497</v>
      </c>
      <c r="B467" s="77">
        <f>IF(INDEX(MO_SNA_IsHistoricalPeriod,,MATCH(F467,MO_Common_ColumnHeader,0)),"Historical","Forward")</f>
        <v/>
      </c>
      <c r="C467" s="67" t="n"/>
      <c r="D467" s="84">
        <f>INDEX(INDIRECT(E467),0,COLUMN(MO_Common_Column_A))</f>
        <v/>
      </c>
      <c r="E467" s="78" t="inlineStr">
        <is>
          <t>MO_RIS_REV</t>
        </is>
      </c>
      <c r="F467" s="77" t="inlineStr">
        <is>
          <t>Q2-2022</t>
        </is>
      </c>
      <c r="G467" s="77" t="n"/>
      <c r="H467" s="67" t="n"/>
      <c r="I467" s="2087" t="n">
        <v>825</v>
      </c>
      <c r="J467" s="2087" t="n">
        <v>845</v>
      </c>
      <c r="K467" s="2087">
        <f>AVERAGE(I467:J467)</f>
        <v/>
      </c>
      <c r="L467" s="67" t="n"/>
      <c r="M467" s="77">
        <f>IF(INDEX(MO_SNA_IsHistoricalPeriod,,MATCH(F467,MO_Common_ColumnHeader,0)),"Actual","Estimate")</f>
        <v/>
      </c>
      <c r="N467" s="2087">
        <f>IFERROR(INDEX(INDIRECT(E467),0,MATCH(F467,MO_Common_ColumnHeader,0)),"N/A")</f>
        <v/>
      </c>
      <c r="O467" s="67" t="n"/>
      <c r="P467" s="2169">
        <f>IF(ISNUMBER(N467),N467-K467,"N/A")</f>
        <v/>
      </c>
      <c r="Q467" s="2168">
        <f>IFERROR(IF(ISNUMBER(N467),(N467-K467)/ABS(K467),"N/A"),"N/A")</f>
        <v/>
      </c>
      <c r="R467" s="112" t="n"/>
      <c r="S467" s="80" t="n">
        <v>44676</v>
      </c>
      <c r="T467" s="88" t="inlineStr">
        <is>
          <t>CFO Commentary</t>
        </is>
      </c>
      <c r="U467" s="67" t="n"/>
    </row>
    <row r="468" ht="14.4" customFormat="1" customHeight="1" s="1013">
      <c r="A468" s="114" t="n">
        <v>496</v>
      </c>
      <c r="B468" s="77">
        <f>IF(INDEX(MO_SNA_IsHistoricalPeriod,,MATCH(F468,MO_Common_ColumnHeader,0)),"Historical","Forward")</f>
        <v/>
      </c>
      <c r="C468" s="67" t="n"/>
      <c r="D468" s="84" t="inlineStr">
        <is>
          <t>GAAP Operating Margin</t>
        </is>
      </c>
      <c r="E468" s="78" t="inlineStr">
        <is>
          <t>MO_MA_EBIT</t>
        </is>
      </c>
      <c r="F468" s="77" t="inlineStr">
        <is>
          <t>Q2-2022</t>
        </is>
      </c>
      <c r="G468" s="77" t="n"/>
      <c r="H468" s="67" t="n"/>
      <c r="I468" s="2108" t="n">
        <v>0.29</v>
      </c>
      <c r="J468" s="2108" t="n">
        <v>0.3</v>
      </c>
      <c r="K468" s="2108">
        <f>AVERAGE(I468:J468)</f>
        <v/>
      </c>
      <c r="L468" s="67" t="n"/>
      <c r="M468" s="77">
        <f>IF(INDEX(MO_SNA_IsHistoricalPeriod,,MATCH(F468,MO_Common_ColumnHeader,0)),"Actual","Estimate")</f>
        <v/>
      </c>
      <c r="N468" s="2108">
        <f>IFERROR(INDEX(INDIRECT(E468),0,MATCH(F468,MO_Common_ColumnHeader,0)),"N/A")</f>
        <v/>
      </c>
      <c r="O468" s="67" t="n"/>
      <c r="P468" s="2168">
        <f>IF(ISNUMBER(N468),N468-K468,"N/A")</f>
        <v/>
      </c>
      <c r="Q468" s="2168">
        <f>IFERROR(IF(ISNUMBER(N468),(N468-K468)/ABS(K468),"N/A"),"N/A")</f>
        <v/>
      </c>
      <c r="R468" s="112" t="n"/>
      <c r="S468" s="80" t="n">
        <v>44676</v>
      </c>
      <c r="T468" s="88" t="inlineStr">
        <is>
          <t>CFO Commentary</t>
        </is>
      </c>
      <c r="U468" s="67" t="n"/>
    </row>
    <row r="469" ht="14.4" customFormat="1" customHeight="1" s="1013">
      <c r="A469" s="114" t="n">
        <v>495</v>
      </c>
      <c r="B469" s="77">
        <f>IF(INDEX(MO_SNA_IsHistoricalPeriod,,MATCH(F469,MO_Common_ColumnHeader,0)),"Historical","Forward")</f>
        <v/>
      </c>
      <c r="C469" s="67" t="n"/>
      <c r="D469" s="84">
        <f>INDEX(INDIRECT(E469),0,COLUMN(MO_Common_Column_A))</f>
        <v/>
      </c>
      <c r="E469" s="78" t="inlineStr">
        <is>
          <t>MO_MA_OperatingIncome_NONGAAP</t>
        </is>
      </c>
      <c r="F469" s="77" t="inlineStr">
        <is>
          <t>Q2-2022</t>
        </is>
      </c>
      <c r="G469" s="77" t="n"/>
      <c r="H469" s="67" t="n"/>
      <c r="I469" s="2108" t="n">
        <v>0.39</v>
      </c>
      <c r="J469" s="2108" t="n">
        <v>0.4</v>
      </c>
      <c r="K469" s="2108">
        <f>AVERAGE(I469:J469)</f>
        <v/>
      </c>
      <c r="L469" s="67" t="n"/>
      <c r="M469" s="77">
        <f>IF(INDEX(MO_SNA_IsHistoricalPeriod,,MATCH(F469,MO_Common_ColumnHeader,0)),"Actual","Estimate")</f>
        <v/>
      </c>
      <c r="N469" s="2108">
        <f>IFERROR(INDEX(INDIRECT(E469),0,MATCH(F469,MO_Common_ColumnHeader,0)),"N/A")</f>
        <v/>
      </c>
      <c r="O469" s="67" t="n"/>
      <c r="P469" s="2168">
        <f>IF(ISNUMBER(N469),N469-K469,"N/A")</f>
        <v/>
      </c>
      <c r="Q469" s="2168">
        <f>IFERROR(IF(ISNUMBER(N469),(N469-K469)/ABS(K469),"N/A"),"N/A")</f>
        <v/>
      </c>
      <c r="R469" s="112" t="n"/>
      <c r="S469" s="80" t="n">
        <v>44676</v>
      </c>
      <c r="T469" s="88" t="inlineStr">
        <is>
          <t>CFO Commentary</t>
        </is>
      </c>
      <c r="U469" s="67" t="n"/>
    </row>
    <row r="470" ht="14.4" customFormat="1" customHeight="1" s="1013">
      <c r="A470" s="114" t="n">
        <v>494</v>
      </c>
      <c r="B470" s="77">
        <f>IF(INDEX(MO_SNA_IsHistoricalPeriod,,MATCH(F470,MO_Common_ColumnHeader,0)),"Historical","Forward")</f>
        <v/>
      </c>
      <c r="C470" s="67" t="n"/>
      <c r="D470" s="84">
        <f>INDEX(INDIRECT(E470),0,COLUMN(MO_Common_Column_A))</f>
        <v/>
      </c>
      <c r="E470" s="78" t="inlineStr">
        <is>
          <t>MO_RIS_EPS_WAD</t>
        </is>
      </c>
      <c r="F470" s="77" t="inlineStr">
        <is>
          <t>Q2-2022</t>
        </is>
      </c>
      <c r="G470" s="77" t="n"/>
      <c r="H470" s="67" t="n"/>
      <c r="I470" s="2170" t="n">
        <v>0.59</v>
      </c>
      <c r="J470" s="2170" t="n">
        <v>0.63</v>
      </c>
      <c r="K470" s="2170">
        <f>AVERAGE(I470:J470)</f>
        <v/>
      </c>
      <c r="L470" s="67" t="n"/>
      <c r="M470" s="77">
        <f>IF(INDEX(MO_SNA_IsHistoricalPeriod,,MATCH(F470,MO_Common_ColumnHeader,0)),"Actual","Estimate")</f>
        <v/>
      </c>
      <c r="N470" s="2170">
        <f>IFERROR(INDEX(INDIRECT(E470),0,MATCH(F470,MO_Common_ColumnHeader,0)),"N/A")</f>
        <v/>
      </c>
      <c r="O470" s="67" t="n"/>
      <c r="P470" s="2171">
        <f>IF(ISNUMBER(N470),N470-K470,"N/A")</f>
        <v/>
      </c>
      <c r="Q470" s="2168">
        <f>IFERROR(IF(ISNUMBER(N470),(N470-K470)/ABS(K470),"N/A"),"N/A")</f>
        <v/>
      </c>
      <c r="R470" s="112" t="n"/>
      <c r="S470" s="80" t="n">
        <v>44676</v>
      </c>
      <c r="T470" s="88" t="inlineStr">
        <is>
          <t>CFO Commentary</t>
        </is>
      </c>
      <c r="U470" s="67" t="n"/>
    </row>
    <row r="471" ht="14.4" customFormat="1" customHeight="1" s="1013">
      <c r="A471" s="114" t="n">
        <v>493</v>
      </c>
      <c r="B471" s="77">
        <f>IF(INDEX(MO_SNA_IsHistoricalPeriod,,MATCH(F471,MO_Common_ColumnHeader,0)),"Historical","Forward")</f>
        <v/>
      </c>
      <c r="C471" s="67" t="n"/>
      <c r="D471" s="84">
        <f>INDEX(INDIRECT(E471),0,COLUMN(MO_Common_Column_A))</f>
        <v/>
      </c>
      <c r="E471" s="78" t="inlineStr">
        <is>
          <t>MO_RIS_EPS_WAD_Adj</t>
        </is>
      </c>
      <c r="F471" s="77" t="inlineStr">
        <is>
          <t>Q2-2022</t>
        </is>
      </c>
      <c r="G471" s="77" t="n"/>
      <c r="H471" s="67" t="n"/>
      <c r="I471" s="2170" t="n">
        <v>0.95</v>
      </c>
      <c r="J471" s="2170" t="n">
        <v>0.99</v>
      </c>
      <c r="K471" s="2170">
        <f>AVERAGE(I471:J471)</f>
        <v/>
      </c>
      <c r="L471" s="67" t="n"/>
      <c r="M471" s="77">
        <f>IF(INDEX(MO_SNA_IsHistoricalPeriod,,MATCH(F471,MO_Common_ColumnHeader,0)),"Actual","Estimate")</f>
        <v/>
      </c>
      <c r="N471" s="2170">
        <f>IFERROR(INDEX(INDIRECT(E471),0,MATCH(F471,MO_Common_ColumnHeader,0)),"N/A")</f>
        <v/>
      </c>
      <c r="O471" s="67" t="n"/>
      <c r="P471" s="2171">
        <f>IF(ISNUMBER(N471),N471-K471,"N/A")</f>
        <v/>
      </c>
      <c r="Q471" s="2168">
        <f>IFERROR(IF(ISNUMBER(N471),(N471-K471)/ABS(K471),"N/A"),"N/A")</f>
        <v/>
      </c>
      <c r="R471" s="112" t="n"/>
      <c r="S471" s="80" t="n">
        <v>44676</v>
      </c>
      <c r="T471" s="88" t="inlineStr">
        <is>
          <t>CFO Commentary</t>
        </is>
      </c>
      <c r="U471" s="67" t="n"/>
    </row>
    <row r="472" ht="14.4" customFormat="1" customHeight="1" s="1013">
      <c r="A472" s="114" t="n">
        <v>492</v>
      </c>
      <c r="B472" s="77">
        <f>IF(INDEX(MO_SNA_IsHistoricalPeriod,,MATCH(F472,MO_Common_ColumnHeader,0)),"Historical","Forward")</f>
        <v/>
      </c>
      <c r="C472" s="67" t="n"/>
      <c r="D472" s="84">
        <f>INDEX(INDIRECT(E472),0,COLUMN(MO_Common_Column_A))</f>
        <v/>
      </c>
      <c r="E472" s="78" t="inlineStr">
        <is>
          <t>MO_CFSum_NetShares</t>
        </is>
      </c>
      <c r="F472" s="77" t="inlineStr">
        <is>
          <t>Q2-2022</t>
        </is>
      </c>
      <c r="G472" s="77" t="n"/>
      <c r="H472" s="67" t="n"/>
      <c r="I472" s="2087" t="n">
        <v>-125</v>
      </c>
      <c r="J472" s="2087" t="n">
        <v>-125</v>
      </c>
      <c r="K472" s="2087">
        <f>AVERAGE(I472:J472)</f>
        <v/>
      </c>
      <c r="L472" s="67" t="n"/>
      <c r="M472" s="77">
        <f>IF(INDEX(MO_SNA_IsHistoricalPeriod,,MATCH(F472,MO_Common_ColumnHeader,0)),"Actual","Estimate")</f>
        <v/>
      </c>
      <c r="N472" s="2087">
        <f>IFERROR(INDEX(INDIRECT(E472),0,MATCH(F472,MO_Common_ColumnHeader,0)),"N/A")</f>
        <v/>
      </c>
      <c r="O472" s="67" t="n"/>
      <c r="P472" s="2169">
        <f>IF(ISNUMBER(N472),N472-K472,"N/A")</f>
        <v/>
      </c>
      <c r="Q472" s="2168">
        <f>IFERROR(IF(ISNUMBER(N472),(N472-K472)/ABS(K472),"N/A"),"N/A")</f>
        <v/>
      </c>
      <c r="R472" s="112" t="n"/>
      <c r="S472" s="80" t="n">
        <v>44676</v>
      </c>
      <c r="T472" s="88" t="inlineStr">
        <is>
          <t>CFO Commentary</t>
        </is>
      </c>
      <c r="U472" s="67" t="n"/>
    </row>
    <row r="473" ht="14.4" customFormat="1" customHeight="1" s="1013">
      <c r="A473" s="114" t="n">
        <v>491</v>
      </c>
      <c r="B473" s="67" t="n"/>
      <c r="C473" s="67" t="n"/>
      <c r="D473" s="68" t="n"/>
      <c r="E473" s="69" t="n"/>
      <c r="F473" s="67" t="n"/>
      <c r="G473" s="67" t="n"/>
      <c r="H473" s="67" t="n"/>
      <c r="I473" s="2072" t="n"/>
      <c r="J473" s="2072" t="n"/>
      <c r="K473" s="2072" t="n"/>
      <c r="L473" s="67" t="n"/>
      <c r="M473" s="67" t="n"/>
      <c r="N473" s="2072" t="n"/>
      <c r="O473" s="67" t="n"/>
      <c r="P473" s="2172" t="n"/>
      <c r="Q473" s="2173" t="n"/>
      <c r="R473" s="112" t="n"/>
      <c r="S473" s="112" t="n"/>
      <c r="T473" s="344" t="n"/>
      <c r="U473" s="67" t="n"/>
    </row>
    <row r="474" ht="14.4" customFormat="1" customHeight="1" s="1013">
      <c r="A474" s="114" t="n">
        <v>490</v>
      </c>
      <c r="B474" s="77">
        <f>IF(INDEX(MO_SNA_IsHistoricalPeriod,,MATCH(F474,MO_Common_ColumnHeader,0)),"Historical","Forward")</f>
        <v/>
      </c>
      <c r="C474" s="67" t="n"/>
      <c r="D474" s="84" t="inlineStr">
        <is>
          <t>Recurring Revenue %</t>
        </is>
      </c>
      <c r="E474" s="78" t="n"/>
      <c r="F474" s="77" t="inlineStr">
        <is>
          <t>FY2022</t>
        </is>
      </c>
      <c r="G474" s="77" t="n"/>
      <c r="H474" s="67" t="n"/>
      <c r="I474" s="2108" t="n">
        <v>0.85</v>
      </c>
      <c r="J474" s="2108" t="n">
        <v>0.9</v>
      </c>
      <c r="K474" s="2108">
        <f>AVERAGE(I474:J474)</f>
        <v/>
      </c>
      <c r="L474" s="67" t="n"/>
      <c r="M474" s="77">
        <f>IF(INDEX(MO_SNA_IsHistoricalPeriod,,MATCH(F474,MO_Common_ColumnHeader,0)),"Actual","Estimate")</f>
        <v/>
      </c>
      <c r="N474" s="2108">
        <f>IFERROR(INDEX(INDIRECT(E474),0,MATCH(F474,MO_Common_ColumnHeader,0)),"N/A")</f>
        <v/>
      </c>
      <c r="O474" s="2072" t="n"/>
      <c r="P474" s="2168">
        <f>IF(ISNUMBER(N474),N474-K474,"N/A")</f>
        <v/>
      </c>
      <c r="Q474" s="2168">
        <f>IFERROR(IF(ISNUMBER(N474),(N474-K474)/ABS(K474),"N/A"),"N/A")</f>
        <v/>
      </c>
      <c r="R474" s="112" t="n"/>
      <c r="S474" s="80" t="n">
        <v>44614</v>
      </c>
      <c r="T474" s="88" t="inlineStr">
        <is>
          <t>CFO Commentary</t>
        </is>
      </c>
      <c r="U474" s="67" t="n"/>
    </row>
    <row r="475" ht="14.4" customFormat="1" customHeight="1" s="1013">
      <c r="A475" s="114" t="n">
        <v>489</v>
      </c>
      <c r="B475" s="77">
        <f>IF(INDEX(MO_SNA_IsHistoricalPeriod,,MATCH(F475,MO_Common_ColumnHeader,0)),"Historical","Forward")</f>
        <v/>
      </c>
      <c r="C475" s="67" t="n"/>
      <c r="D475" s="84" t="inlineStr">
        <is>
          <t>Revenue from Beginning Backlog %</t>
        </is>
      </c>
      <c r="E475" s="78" t="n"/>
      <c r="F475" s="77" t="inlineStr">
        <is>
          <t>FY2022</t>
        </is>
      </c>
      <c r="G475" s="77" t="n"/>
      <c r="H475" s="67" t="n"/>
      <c r="I475" s="2108" t="n">
        <v>0.75</v>
      </c>
      <c r="J475" s="2108" t="n">
        <v>0.75</v>
      </c>
      <c r="K475" s="2108">
        <f>AVERAGE(I475:J475)</f>
        <v/>
      </c>
      <c r="L475" s="67" t="n"/>
      <c r="M475" s="77">
        <f>IF(INDEX(MO_SNA_IsHistoricalPeriod,,MATCH(F475,MO_Common_ColumnHeader,0)),"Actual","Estimate")</f>
        <v/>
      </c>
      <c r="N475" s="2108">
        <f>IFERROR(INDEX(INDIRECT(E475),0,MATCH(F475,MO_Common_ColumnHeader,0)),"N/A")</f>
        <v/>
      </c>
      <c r="O475" s="2072" t="n"/>
      <c r="P475" s="2168">
        <f>IF(ISNUMBER(N475),N475-K475,"N/A")</f>
        <v/>
      </c>
      <c r="Q475" s="2168">
        <f>IFERROR(IF(ISNUMBER(N475),(N475-K475)/ABS(K475),"N/A"),"N/A")</f>
        <v/>
      </c>
      <c r="R475" s="112" t="n"/>
      <c r="S475" s="80" t="n">
        <v>44614</v>
      </c>
      <c r="T475" s="88" t="inlineStr">
        <is>
          <t>CFO Commentary</t>
        </is>
      </c>
      <c r="U475" s="67" t="n"/>
    </row>
    <row r="476" ht="14.4" customFormat="1" customHeight="1" s="1013">
      <c r="A476" s="114" t="n">
        <v>488</v>
      </c>
      <c r="B476" s="77">
        <f>IF(INDEX(MO_SNA_IsHistoricalPeriod,,MATCH(F476,MO_Common_ColumnHeader,0)),"Historical","Forward")</f>
        <v/>
      </c>
      <c r="C476" s="67" t="n"/>
      <c r="D476" s="84">
        <f>INDEX(INDIRECT(E476),0,COLUMN(MO_Common_Column_A))</f>
        <v/>
      </c>
      <c r="E476" s="78" t="inlineStr">
        <is>
          <t>MO_RIS_REV</t>
        </is>
      </c>
      <c r="F476" s="77" t="inlineStr">
        <is>
          <t>FY2022</t>
        </is>
      </c>
      <c r="G476" s="77" t="n"/>
      <c r="H476" s="67" t="n"/>
      <c r="I476" s="2087" t="n">
        <v>3320</v>
      </c>
      <c r="J476" s="2087" t="n">
        <v>3380</v>
      </c>
      <c r="K476" s="2087">
        <f>AVERAGE(I476:J476)</f>
        <v/>
      </c>
      <c r="L476" s="67" t="n"/>
      <c r="M476" s="77">
        <f>IF(INDEX(MO_SNA_IsHistoricalPeriod,,MATCH(F476,MO_Common_ColumnHeader,0)),"Actual","Estimate")</f>
        <v/>
      </c>
      <c r="N476" s="2087">
        <f>IFERROR(INDEX(INDIRECT(E476),0,MATCH(F476,MO_Common_ColumnHeader,0)),"N/A")</f>
        <v/>
      </c>
      <c r="O476" s="2072" t="n"/>
      <c r="P476" s="2169">
        <f>IF(ISNUMBER(N476),N476-K476,"N/A")</f>
        <v/>
      </c>
      <c r="Q476" s="2168">
        <f>IFERROR(IF(ISNUMBER(N476),(N476-K476)/ABS(K476),"N/A"),"N/A")</f>
        <v/>
      </c>
      <c r="R476" s="112" t="n"/>
      <c r="S476" s="80" t="n">
        <v>44614</v>
      </c>
      <c r="T476" s="88" t="inlineStr">
        <is>
          <t>CFO Commentary</t>
        </is>
      </c>
      <c r="U476" s="67" t="n"/>
    </row>
    <row r="477" ht="14.4" customFormat="1" customHeight="1" s="1013">
      <c r="A477" s="114" t="n">
        <v>487</v>
      </c>
      <c r="B477" s="77">
        <f>IF(INDEX(MO_SNA_IsHistoricalPeriod,,MATCH(F477,MO_Common_ColumnHeader,0)),"Historical","Forward")</f>
        <v/>
      </c>
      <c r="C477" s="67" t="n"/>
      <c r="D477" s="84" t="inlineStr">
        <is>
          <t>GAAP Operating Margin</t>
        </is>
      </c>
      <c r="E477" s="78" t="inlineStr">
        <is>
          <t>MO_MA_EBIT</t>
        </is>
      </c>
      <c r="F477" s="77" t="inlineStr">
        <is>
          <t>FY2022</t>
        </is>
      </c>
      <c r="G477" s="77" t="n"/>
      <c r="H477" s="67" t="n"/>
      <c r="I477" s="2108" t="n">
        <v>0.275</v>
      </c>
      <c r="J477" s="2108" t="n">
        <v>0.29</v>
      </c>
      <c r="K477" s="2108">
        <f>AVERAGE(I477:J477)</f>
        <v/>
      </c>
      <c r="L477" s="67" t="n"/>
      <c r="M477" s="77">
        <f>IF(INDEX(MO_SNA_IsHistoricalPeriod,,MATCH(F477,MO_Common_ColumnHeader,0)),"Actual","Estimate")</f>
        <v/>
      </c>
      <c r="N477" s="2108">
        <f>IFERROR(INDEX(INDIRECT(E477),0,MATCH(F477,MO_Common_ColumnHeader,0)),"N/A")</f>
        <v/>
      </c>
      <c r="O477" s="67" t="n"/>
      <c r="P477" s="2168">
        <f>IF(ISNUMBER(N477),N477-K477,"N/A")</f>
        <v/>
      </c>
      <c r="Q477" s="2168">
        <f>IFERROR(IF(ISNUMBER(N477),(N477-K477)/ABS(K477),"N/A"),"N/A")</f>
        <v/>
      </c>
      <c r="R477" s="112" t="n"/>
      <c r="S477" s="80" t="n">
        <v>44614</v>
      </c>
      <c r="T477" s="88" t="inlineStr">
        <is>
          <t>CFO Commentary</t>
        </is>
      </c>
      <c r="U477" s="67" t="n"/>
    </row>
    <row r="478" ht="14.4" customFormat="1" customHeight="1" s="1013">
      <c r="A478" s="114" t="n">
        <v>486</v>
      </c>
      <c r="B478" s="77">
        <f>IF(INDEX(MO_SNA_IsHistoricalPeriod,,MATCH(F478,MO_Common_ColumnHeader,0)),"Historical","Forward")</f>
        <v/>
      </c>
      <c r="C478" s="67" t="n"/>
      <c r="D478" s="84">
        <f>INDEX(INDIRECT(E478),0,COLUMN(MO_Common_Column_A))</f>
        <v/>
      </c>
      <c r="E478" s="78" t="inlineStr">
        <is>
          <t>MO_MA_OperatingIncome_NONGAAP</t>
        </is>
      </c>
      <c r="F478" s="77" t="inlineStr">
        <is>
          <t>FY2022</t>
        </is>
      </c>
      <c r="G478" s="77" t="n"/>
      <c r="H478" s="67" t="n"/>
      <c r="I478" s="2108" t="n">
        <v>0.375</v>
      </c>
      <c r="J478" s="2108" t="n">
        <v>0.39</v>
      </c>
      <c r="K478" s="2108">
        <f>AVERAGE(I478:J478)</f>
        <v/>
      </c>
      <c r="L478" s="67" t="n"/>
      <c r="M478" s="77">
        <f>IF(INDEX(MO_SNA_IsHistoricalPeriod,,MATCH(F478,MO_Common_ColumnHeader,0)),"Actual","Estimate")</f>
        <v/>
      </c>
      <c r="N478" s="2108">
        <f>IFERROR(INDEX(INDIRECT(E478),0,MATCH(F478,MO_Common_ColumnHeader,0)),"N/A")</f>
        <v/>
      </c>
      <c r="O478" s="67" t="n"/>
      <c r="P478" s="2168">
        <f>IF(ISNUMBER(N478),N478-K478,"N/A")</f>
        <v/>
      </c>
      <c r="Q478" s="2168">
        <f>IFERROR(IF(ISNUMBER(N478),(N478-K478)/ABS(K478),"N/A"),"N/A")</f>
        <v/>
      </c>
      <c r="R478" s="112" t="n"/>
      <c r="S478" s="80" t="n">
        <v>44614</v>
      </c>
      <c r="T478" s="88" t="inlineStr">
        <is>
          <t>CFO Commentary</t>
        </is>
      </c>
      <c r="U478" s="67" t="n"/>
    </row>
    <row r="479" ht="14.4" customFormat="1" customHeight="1" s="1013">
      <c r="A479" s="114" t="n">
        <v>485</v>
      </c>
      <c r="B479" s="77">
        <f>IF(INDEX(MO_SNA_IsHistoricalPeriod,,MATCH(F479,MO_Common_ColumnHeader,0)),"Historical","Forward")</f>
        <v/>
      </c>
      <c r="C479" s="67" t="n"/>
      <c r="D479" s="84">
        <f>INDEX(INDIRECT(E479),0,COLUMN(MO_Common_Column_A))</f>
        <v/>
      </c>
      <c r="E479" s="78" t="inlineStr">
        <is>
          <t>MO_RIS_EPS_WAD</t>
        </is>
      </c>
      <c r="F479" s="77" t="inlineStr">
        <is>
          <t>FY2022</t>
        </is>
      </c>
      <c r="G479" s="77" t="n"/>
      <c r="H479" s="67" t="n"/>
      <c r="I479" s="2170" t="n">
        <v>2.46</v>
      </c>
      <c r="J479" s="2170" t="n">
        <v>2.56</v>
      </c>
      <c r="K479" s="2170">
        <f>AVERAGE(I479:J479)</f>
        <v/>
      </c>
      <c r="L479" s="67" t="n"/>
      <c r="M479" s="77">
        <f>IF(INDEX(MO_SNA_IsHistoricalPeriod,,MATCH(F479,MO_Common_ColumnHeader,0)),"Actual","Estimate")</f>
        <v/>
      </c>
      <c r="N479" s="2170">
        <f>IFERROR(INDEX(INDIRECT(E479),0,MATCH(F479,MO_Common_ColumnHeader,0)),"N/A")</f>
        <v/>
      </c>
      <c r="O479" s="67" t="n"/>
      <c r="P479" s="2171">
        <f>IF(ISNUMBER(N479),N479-K479,"N/A")</f>
        <v/>
      </c>
      <c r="Q479" s="2168">
        <f>IFERROR(IF(ISNUMBER(N479),(N479-K479)/ABS(K479),"N/A"),"N/A")</f>
        <v/>
      </c>
      <c r="R479" s="112" t="n"/>
      <c r="S479" s="80" t="n">
        <v>44614</v>
      </c>
      <c r="T479" s="88" t="inlineStr">
        <is>
          <t>CFO Commentary</t>
        </is>
      </c>
      <c r="U479" s="67" t="n"/>
    </row>
    <row r="480" ht="14.4" customFormat="1" customHeight="1" s="1013">
      <c r="A480" s="114" t="n">
        <v>484</v>
      </c>
      <c r="B480" s="77">
        <f>IF(INDEX(MO_SNA_IsHistoricalPeriod,,MATCH(F480,MO_Common_ColumnHeader,0)),"Historical","Forward")</f>
        <v/>
      </c>
      <c r="C480" s="67" t="n"/>
      <c r="D480" s="84">
        <f>INDEX(INDIRECT(E480),0,COLUMN(MO_Common_Column_A))</f>
        <v/>
      </c>
      <c r="E480" s="78" t="inlineStr">
        <is>
          <t>MO_RIS_EPS_WAD_Adj</t>
        </is>
      </c>
      <c r="F480" s="77" t="inlineStr">
        <is>
          <t>FY2022</t>
        </is>
      </c>
      <c r="G480" s="77" t="n"/>
      <c r="H480" s="67" t="n"/>
      <c r="I480" s="2170" t="n">
        <v>3.7</v>
      </c>
      <c r="J480" s="2170" t="n">
        <v>3.8</v>
      </c>
      <c r="K480" s="2170">
        <f>AVERAGE(I480:J480)</f>
        <v/>
      </c>
      <c r="L480" s="67" t="n"/>
      <c r="M480" s="77">
        <f>IF(INDEX(MO_SNA_IsHistoricalPeriod,,MATCH(F480,MO_Common_ColumnHeader,0)),"Actual","Estimate")</f>
        <v/>
      </c>
      <c r="N480" s="2170">
        <f>IFERROR(INDEX(INDIRECT(E480),0,MATCH(F480,MO_Common_ColumnHeader,0)),"N/A")</f>
        <v/>
      </c>
      <c r="O480" s="67" t="n"/>
      <c r="P480" s="2171">
        <f>IF(ISNUMBER(N480),N480-K480,"N/A")</f>
        <v/>
      </c>
      <c r="Q480" s="2168">
        <f>IFERROR(IF(ISNUMBER(N480),(N480-K480)/ABS(K480),"N/A"),"N/A")</f>
        <v/>
      </c>
      <c r="R480" s="112" t="n"/>
      <c r="S480" s="80" t="n">
        <v>44614</v>
      </c>
      <c r="T480" s="88" t="inlineStr">
        <is>
          <t>CFO Commentary</t>
        </is>
      </c>
      <c r="U480" s="67" t="n"/>
    </row>
    <row r="481" ht="14.4" customFormat="1" customHeight="1" s="1013">
      <c r="A481" s="114" t="n">
        <v>483</v>
      </c>
      <c r="B481" s="77">
        <f>IF(INDEX(MO_SNA_IsHistoricalPeriod,,MATCH(F481,MO_Common_ColumnHeader,0)),"Historical","Forward")</f>
        <v/>
      </c>
      <c r="C481" s="67" t="n"/>
      <c r="D481" s="84">
        <f>INDEX(INDIRECT(E481),0,COLUMN(MO_Common_Column_A))</f>
        <v/>
      </c>
      <c r="E481" s="78" t="inlineStr">
        <is>
          <t>MO_CFS_CFO</t>
        </is>
      </c>
      <c r="F481" s="77" t="inlineStr">
        <is>
          <t>FY2022</t>
        </is>
      </c>
      <c r="G481" s="77" t="n"/>
      <c r="H481" s="67" t="n"/>
      <c r="I481" s="2087" t="n">
        <v>1150</v>
      </c>
      <c r="J481" s="2087" t="n">
        <v>1250</v>
      </c>
      <c r="K481" s="2087">
        <f>AVERAGE(I481:J481)</f>
        <v/>
      </c>
      <c r="L481" s="67" t="n"/>
      <c r="M481" s="77">
        <f>IF(INDEX(MO_SNA_IsHistoricalPeriod,,MATCH(F481,MO_Common_ColumnHeader,0)),"Actual","Estimate")</f>
        <v/>
      </c>
      <c r="N481" s="2087">
        <f>IFERROR(INDEX(INDIRECT(E481),0,MATCH(F481,MO_Common_ColumnHeader,0)),"N/A")</f>
        <v/>
      </c>
      <c r="O481" s="67" t="n"/>
      <c r="P481" s="2169">
        <f>IF(ISNUMBER(N481),N481-K481,"N/A")</f>
        <v/>
      </c>
      <c r="Q481" s="2168">
        <f>IFERROR(IF(ISNUMBER(N481),(N481-K481)/ABS(K481),"N/A"),"N/A")</f>
        <v/>
      </c>
      <c r="R481" s="112" t="n"/>
      <c r="S481" s="80" t="n">
        <v>44614</v>
      </c>
      <c r="T481" s="88" t="inlineStr">
        <is>
          <t>CFO Commentary</t>
        </is>
      </c>
      <c r="U481" s="67" t="n"/>
      <c r="V481" s="2174" t="n"/>
      <c r="W481" s="1015" t="n"/>
    </row>
    <row r="482" ht="14.4" customFormat="1" customHeight="1" s="1013">
      <c r="A482" s="114" t="n">
        <v>482</v>
      </c>
      <c r="B482" s="77">
        <f>IF(INDEX(MO_SNA_IsHistoricalPeriod,,MATCH(F482,MO_Common_ColumnHeader,0)),"Historical","Forward")</f>
        <v/>
      </c>
      <c r="C482" s="67" t="n"/>
      <c r="D482" s="84">
        <f>INDEX(INDIRECT(E482),0,COLUMN(MO_Common_Column_A))</f>
        <v/>
      </c>
      <c r="E482" s="78" t="inlineStr">
        <is>
          <t>MO_CFSum_NetShares</t>
        </is>
      </c>
      <c r="F482" s="77" t="inlineStr">
        <is>
          <t>FY2022</t>
        </is>
      </c>
      <c r="G482" s="77" t="n"/>
      <c r="H482" s="67" t="n"/>
      <c r="I482" s="2087" t="n">
        <v>-512.5</v>
      </c>
      <c r="J482" s="2087" t="n">
        <v>-562.5</v>
      </c>
      <c r="K482" s="2087">
        <f>AVERAGE(I482:J482)</f>
        <v/>
      </c>
      <c r="L482" s="67" t="n"/>
      <c r="M482" s="77">
        <f>IF(INDEX(MO_SNA_IsHistoricalPeriod,,MATCH(F482,MO_Common_ColumnHeader,0)),"Actual","Estimate")</f>
        <v/>
      </c>
      <c r="N482" s="2087">
        <f>IFERROR(INDEX(INDIRECT(E482),0,MATCH(F482,MO_Common_ColumnHeader,0)),"N/A")</f>
        <v/>
      </c>
      <c r="O482" s="67" t="n"/>
      <c r="P482" s="2169">
        <f>IF(ISNUMBER(N482),N482-K482,"N/A")</f>
        <v/>
      </c>
      <c r="Q482" s="2168">
        <f>IFERROR(IF(ISNUMBER(N482),(N482-K482)/ABS(K482),"N/A"),"N/A")</f>
        <v/>
      </c>
      <c r="R482" s="112" t="n"/>
      <c r="S482" s="80" t="n">
        <v>44614</v>
      </c>
      <c r="T482" s="88" t="inlineStr">
        <is>
          <t>CFO Commentary</t>
        </is>
      </c>
      <c r="U482" s="67" t="n"/>
    </row>
    <row r="483" ht="14.4" customFormat="1" customHeight="1" s="1013">
      <c r="A483" s="114" t="n">
        <v>481</v>
      </c>
      <c r="B483" s="77">
        <f>IF(INDEX(MO_SNA_IsHistoricalPeriod,,MATCH(F483,MO_Common_ColumnHeader,0)),"Historical","Forward")</f>
        <v/>
      </c>
      <c r="C483" s="67" t="n"/>
      <c r="D483" s="84" t="inlineStr">
        <is>
          <t>GAAP Other Income &amp; Expense</t>
        </is>
      </c>
      <c r="E483" s="78" t="n"/>
      <c r="F483" s="77" t="inlineStr">
        <is>
          <t>FY2022</t>
        </is>
      </c>
      <c r="G483" s="77" t="n"/>
      <c r="H483" s="67" t="n"/>
      <c r="I483" s="2087" t="n">
        <v>-15</v>
      </c>
      <c r="J483" s="2087" t="n">
        <v>-23</v>
      </c>
      <c r="K483" s="2087">
        <f>AVERAGE(I483:J483)</f>
        <v/>
      </c>
      <c r="L483" s="67" t="n"/>
      <c r="M483" s="77">
        <f>IF(INDEX(MO_SNA_IsHistoricalPeriod,,MATCH(F483,MO_Common_ColumnHeader,0)),"Actual","Estimate")</f>
        <v/>
      </c>
      <c r="N483" s="2087">
        <f>-IFERROR(INDEX(MO_RIS_IE_Net,0,MATCH(F483,MO_Common_ColumnHeader,0)),"N/A")-IFERROR(INDEX(MO_RIS_OI,0,MATCH(F483,MO_Common_ColumnHeader,0)),"N/A")</f>
        <v/>
      </c>
      <c r="O483" s="67" t="n"/>
      <c r="P483" s="2169">
        <f>IF(ISNUMBER(N483),N483-K483,"N/A")</f>
        <v/>
      </c>
      <c r="Q483" s="2168">
        <f>IFERROR(IF(ISNUMBER(N483),(N483-K483)/ABS(K483),"N/A"),"N/A")</f>
        <v/>
      </c>
      <c r="R483" s="112" t="n"/>
      <c r="S483" s="80" t="n">
        <v>44614</v>
      </c>
      <c r="T483" s="88" t="inlineStr">
        <is>
          <t>CFO Commentary</t>
        </is>
      </c>
      <c r="U483" s="67" t="n"/>
    </row>
    <row r="484" ht="14.4" customFormat="1" customHeight="1" s="1013">
      <c r="A484" s="114" t="n">
        <v>480</v>
      </c>
      <c r="B484" s="77">
        <f>IF(INDEX(MO_SNA_IsHistoricalPeriod,,MATCH(F484,MO_Common_ColumnHeader,0)),"Historical","Forward")</f>
        <v/>
      </c>
      <c r="C484" s="67" t="n"/>
      <c r="D484" s="84" t="inlineStr">
        <is>
          <t>Non-GAAP Other Income &amp; Expense</t>
        </is>
      </c>
      <c r="E484" s="78" t="n"/>
      <c r="F484" s="77" t="inlineStr">
        <is>
          <t>FY2022</t>
        </is>
      </c>
      <c r="G484" s="77" t="n"/>
      <c r="H484" s="67" t="n"/>
      <c r="I484" s="2087" t="n">
        <v>-15</v>
      </c>
      <c r="J484" s="2087" t="n">
        <v>-23</v>
      </c>
      <c r="K484" s="2087">
        <f>AVERAGE(I484:J484)</f>
        <v/>
      </c>
      <c r="L484" s="67" t="n"/>
      <c r="M484" s="77">
        <f>IF(INDEX(MO_SNA_IsHistoricalPeriod,,MATCH(F484,MO_Common_ColumnHeader,0)),"Actual","Estimate")</f>
        <v/>
      </c>
      <c r="N484" s="2087">
        <f>-IFERROR(INDEX(MO_RIS_IE_Net_NONGAAP,0,MATCH(F484,MO_Common_ColumnHeader,0)),"N/A")-IFERROR(INDEX(MO_RIS_OI_NONGAAP,0,MATCH(F484,MO_Common_ColumnHeader,0)),"N/A")</f>
        <v/>
      </c>
      <c r="O484" s="67" t="n"/>
      <c r="P484" s="2169">
        <f>IF(ISNUMBER(N484),N484-K484,"N/A")</f>
        <v/>
      </c>
      <c r="Q484" s="2168">
        <f>IFERROR(IF(ISNUMBER(N484),(N484-K484)/ABS(K484),"N/A"),"N/A")</f>
        <v/>
      </c>
      <c r="R484" s="112" t="n"/>
      <c r="S484" s="80" t="n">
        <v>44614</v>
      </c>
      <c r="T484" s="88" t="inlineStr">
        <is>
          <t>CFO Commentary</t>
        </is>
      </c>
      <c r="U484" s="67" t="n"/>
    </row>
    <row r="485" ht="14.4" customFormat="1" customHeight="1" s="1013">
      <c r="A485" s="114" t="n">
        <v>479</v>
      </c>
      <c r="B485" s="77">
        <f>IF(INDEX(MO_SNA_IsHistoricalPeriod,,MATCH(F485,MO_Common_ColumnHeader,0)),"Historical","Forward")</f>
        <v/>
      </c>
      <c r="C485" s="67" t="n"/>
      <c r="D485" s="84" t="inlineStr">
        <is>
          <t>GAAP Tax Rate</t>
        </is>
      </c>
      <c r="E485" s="78" t="inlineStr">
        <is>
          <t>MO_RIS_TaxRate</t>
        </is>
      </c>
      <c r="F485" s="77" t="inlineStr">
        <is>
          <t>FY2022</t>
        </is>
      </c>
      <c r="G485" s="77" t="n"/>
      <c r="H485" s="67" t="n"/>
      <c r="I485" s="2108" t="n">
        <v>0.25</v>
      </c>
      <c r="J485" s="2108" t="n">
        <v>0.25</v>
      </c>
      <c r="K485" s="2108">
        <f>AVERAGE(I485:J485)</f>
        <v/>
      </c>
      <c r="L485" s="67" t="n"/>
      <c r="M485" s="77">
        <f>IF(INDEX(MO_SNA_IsHistoricalPeriod,,MATCH(F485,MO_Common_ColumnHeader,0)),"Actual","Estimate")</f>
        <v/>
      </c>
      <c r="N485" s="2108">
        <f>IFERROR(INDEX(INDIRECT(E485),0,MATCH(F485,MO_Common_ColumnHeader,0)),"N/A")</f>
        <v/>
      </c>
      <c r="O485" s="67" t="n"/>
      <c r="P485" s="2168">
        <f>IF(ISNUMBER(N485),N485-K485,"N/A")</f>
        <v/>
      </c>
      <c r="Q485" s="2168">
        <f>IFERROR(IF(ISNUMBER(N485),(N485-K485)/ABS(K485),"N/A"),"N/A")</f>
        <v/>
      </c>
      <c r="R485" s="112" t="n"/>
      <c r="S485" s="80" t="n">
        <v>44614</v>
      </c>
      <c r="T485" s="88" t="inlineStr">
        <is>
          <t>CFO Commentary</t>
        </is>
      </c>
      <c r="U485" s="67" t="n"/>
    </row>
    <row r="486" ht="14.4" customFormat="1" customHeight="1" s="1013">
      <c r="A486" s="114" t="n">
        <v>478</v>
      </c>
      <c r="B486" s="77">
        <f>IF(INDEX(MO_SNA_IsHistoricalPeriod,,MATCH(F486,MO_Common_ColumnHeader,0)),"Historical","Forward")</f>
        <v/>
      </c>
      <c r="C486" s="67" t="n"/>
      <c r="D486" s="84">
        <f>INDEX(INDIRECT(E486),0,COLUMN(MO_Common_Column_A))</f>
        <v/>
      </c>
      <c r="E486" s="78" t="inlineStr">
        <is>
          <t>MO_RIS_TaxRate_NONGAAP</t>
        </is>
      </c>
      <c r="F486" s="77" t="inlineStr">
        <is>
          <t>FY2022</t>
        </is>
      </c>
      <c r="G486" s="77" t="n"/>
      <c r="H486" s="67" t="n"/>
      <c r="I486" s="2108" t="n">
        <v>0.175</v>
      </c>
      <c r="J486" s="2108" t="n">
        <v>0.175</v>
      </c>
      <c r="K486" s="2108">
        <f>AVERAGE(I486:J486)</f>
        <v/>
      </c>
      <c r="L486" s="67" t="n"/>
      <c r="M486" s="77">
        <f>IF(INDEX(MO_SNA_IsHistoricalPeriod,,MATCH(F486,MO_Common_ColumnHeader,0)),"Actual","Estimate")</f>
        <v/>
      </c>
      <c r="N486" s="2108">
        <f>IFERROR(INDEX(INDIRECT(E486),0,MATCH(F486,MO_Common_ColumnHeader,0)),"N/A")</f>
        <v/>
      </c>
      <c r="O486" s="67" t="n"/>
      <c r="P486" s="2168">
        <f>IF(ISNUMBER(N486),N486-K486,"N/A")</f>
        <v/>
      </c>
      <c r="Q486" s="2168">
        <f>IFERROR(IF(ISNUMBER(N486),(N486-K486)/ABS(K486),"N/A"),"N/A")</f>
        <v/>
      </c>
      <c r="R486" s="112" t="n"/>
      <c r="S486" s="80" t="n">
        <v>44614</v>
      </c>
      <c r="T486" s="88" t="inlineStr">
        <is>
          <t>CFO Commentary</t>
        </is>
      </c>
      <c r="U486" s="67" t="n"/>
    </row>
    <row r="487" ht="14.4" customFormat="1" customHeight="1" s="1013">
      <c r="A487" s="114" t="n">
        <v>477</v>
      </c>
      <c r="B487" s="77">
        <f>IF(INDEX(MO_SNA_IsHistoricalPeriod,,MATCH(F487,MO_Common_ColumnHeader,0)),"Historical","Forward")</f>
        <v/>
      </c>
      <c r="C487" s="67" t="n"/>
      <c r="D487" s="84">
        <f>INDEX(INDIRECT(E487),0,COLUMN(MO_Common_Column_A))</f>
        <v/>
      </c>
      <c r="E487" s="78" t="inlineStr">
        <is>
          <t>MO_RIS_ShareCount_WAD</t>
        </is>
      </c>
      <c r="F487" s="77" t="inlineStr">
        <is>
          <t>FY2022</t>
        </is>
      </c>
      <c r="G487" s="77" t="n"/>
      <c r="H487" s="67" t="n"/>
      <c r="I487" s="2087" t="n">
        <v>277</v>
      </c>
      <c r="J487" s="2087" t="n">
        <v>279</v>
      </c>
      <c r="K487" s="2087">
        <f>AVERAGE(I487:J487)</f>
        <v/>
      </c>
      <c r="L487" s="67" t="n"/>
      <c r="M487" s="77">
        <f>IF(INDEX(MO_SNA_IsHistoricalPeriod,,MATCH(F487,MO_Common_ColumnHeader,0)),"Actual","Estimate")</f>
        <v/>
      </c>
      <c r="N487" s="2087">
        <f>IFERROR(INDEX(INDIRECT(E487),0,MATCH(F487,MO_Common_ColumnHeader,0)),"N/A")</f>
        <v/>
      </c>
      <c r="O487" s="67" t="n"/>
      <c r="P487" s="2169">
        <f>IF(ISNUMBER(N487),N487-K487,"N/A")</f>
        <v/>
      </c>
      <c r="Q487" s="2168">
        <f>IFERROR(IF(ISNUMBER(N487),(N487-K487)/ABS(K487),"N/A"),"N/A")</f>
        <v/>
      </c>
      <c r="R487" s="112" t="n"/>
      <c r="S487" s="80" t="n">
        <v>44614</v>
      </c>
      <c r="T487" s="88" t="inlineStr">
        <is>
          <t>CFO Commentary</t>
        </is>
      </c>
      <c r="U487" s="67" t="n"/>
    </row>
    <row r="488" ht="14.4" customFormat="1" customHeight="1" s="1013">
      <c r="A488" s="114" t="n">
        <v>476</v>
      </c>
      <c r="B488" s="77">
        <f>IF(INDEX(MO_SNA_IsHistoricalPeriod,,MATCH(F488,MO_Common_ColumnHeader,0)),"Historical","Forward")</f>
        <v/>
      </c>
      <c r="C488" s="67" t="n"/>
      <c r="D488" s="84" t="inlineStr">
        <is>
          <t>DSO</t>
        </is>
      </c>
      <c r="E488" s="78" t="n"/>
      <c r="F488" s="77" t="inlineStr">
        <is>
          <t>FY2022</t>
        </is>
      </c>
      <c r="G488" s="77" t="n"/>
      <c r="H488" s="67" t="n"/>
      <c r="I488" s="2087" t="n">
        <v>45</v>
      </c>
      <c r="J488" s="2087" t="n">
        <v>45</v>
      </c>
      <c r="K488" s="2087">
        <f>AVERAGE(I488:J488)</f>
        <v/>
      </c>
      <c r="L488" s="67" t="n"/>
      <c r="M488" s="77">
        <f>IF(INDEX(MO_SNA_IsHistoricalPeriod,,MATCH(F488,MO_Common_ColumnHeader,0)),"Actual","Estimate")</f>
        <v/>
      </c>
      <c r="N488" s="2087">
        <f>IFERROR(INDEX(INDIRECT(E488),0,MATCH(F488,MO_Common_ColumnHeader,0)),"N/A")</f>
        <v/>
      </c>
      <c r="O488" s="67" t="n"/>
      <c r="P488" s="2169">
        <f>IF(ISNUMBER(N488),N488-K488,"N/A")</f>
        <v/>
      </c>
      <c r="Q488" s="2168">
        <f>IFERROR(IF(ISNUMBER(N488),(N488-K488)/ABS(K488),"N/A"),"N/A")</f>
        <v/>
      </c>
      <c r="R488" s="112" t="n"/>
      <c r="S488" s="80" t="n">
        <v>44614</v>
      </c>
      <c r="T488" s="88" t="inlineStr">
        <is>
          <t>CFO Commentary</t>
        </is>
      </c>
      <c r="U488" s="67" t="n"/>
    </row>
    <row r="489" ht="14.4" customFormat="1" customHeight="1" s="1013">
      <c r="A489" s="114" t="n">
        <v>475</v>
      </c>
      <c r="B489" s="77">
        <f>IF(INDEX(MO_SNA_IsHistoricalPeriod,,MATCH(F489,MO_Common_ColumnHeader,0)),"Historical","Forward")</f>
        <v/>
      </c>
      <c r="C489" s="67" t="n"/>
      <c r="D489" s="84">
        <f>INDEX(INDIRECT(E489),0,COLUMN(MO_Common_Column_A))</f>
        <v/>
      </c>
      <c r="E489" s="78" t="inlineStr">
        <is>
          <t>MO_CFSum_Capex</t>
        </is>
      </c>
      <c r="F489" s="77" t="inlineStr">
        <is>
          <t>FY2022</t>
        </is>
      </c>
      <c r="G489" s="77" t="n"/>
      <c r="H489" s="67" t="n"/>
      <c r="I489" s="2087" t="n">
        <v>-125</v>
      </c>
      <c r="J489" s="2087" t="n">
        <v>-125</v>
      </c>
      <c r="K489" s="2087">
        <f>AVERAGE(I489:J489)</f>
        <v/>
      </c>
      <c r="L489" s="67" t="n"/>
      <c r="M489" s="77">
        <f>IF(INDEX(MO_SNA_IsHistoricalPeriod,,MATCH(F489,MO_Common_ColumnHeader,0)),"Actual","Estimate")</f>
        <v/>
      </c>
      <c r="N489" s="2087">
        <f>IFERROR(INDEX(INDIRECT(E489),0,MATCH(F489,MO_Common_ColumnHeader,0)),"N/A")</f>
        <v/>
      </c>
      <c r="O489" s="67" t="n"/>
      <c r="P489" s="2169">
        <f>IF(ISNUMBER(N489),N489-K489,"N/A")</f>
        <v/>
      </c>
      <c r="Q489" s="2168">
        <f>IFERROR(IF(ISNUMBER(N489),(N489-K489)/ABS(K489),"N/A"),"N/A")</f>
        <v/>
      </c>
      <c r="R489" s="112" t="n"/>
      <c r="S489" s="80" t="n">
        <v>44614</v>
      </c>
      <c r="T489" s="88" t="inlineStr">
        <is>
          <t>CFO Commentary</t>
        </is>
      </c>
      <c r="U489" s="67" t="n"/>
    </row>
    <row r="490" ht="14.4" customFormat="1" customHeight="1" s="1013">
      <c r="A490" s="114" t="n">
        <v>474</v>
      </c>
      <c r="B490" s="77">
        <f>IF(INDEX(MO_SNA_IsHistoricalPeriod,,MATCH(F490,MO_Common_ColumnHeader,0)),"Historical","Forward")</f>
        <v/>
      </c>
      <c r="C490" s="67" t="n"/>
      <c r="D490" s="84">
        <f>INDEX(INDIRECT(E490),0,COLUMN(MO_Common_Column_A))</f>
        <v/>
      </c>
      <c r="E490" s="78" t="inlineStr">
        <is>
          <t>MO_RIS_SBC</t>
        </is>
      </c>
      <c r="F490" s="77" t="inlineStr">
        <is>
          <t>FY2022</t>
        </is>
      </c>
      <c r="G490" s="77" t="n"/>
      <c r="H490" s="67" t="n"/>
      <c r="I490" s="2087" t="n">
        <v>268</v>
      </c>
      <c r="J490" s="2087" t="n">
        <v>268</v>
      </c>
      <c r="K490" s="2087">
        <f>AVERAGE(I490:J490)</f>
        <v/>
      </c>
      <c r="L490" s="67" t="n"/>
      <c r="M490" s="77">
        <f>IF(INDEX(MO_SNA_IsHistoricalPeriod,,MATCH(F490,MO_Common_ColumnHeader,0)),"Actual","Estimate")</f>
        <v/>
      </c>
      <c r="N490" s="2087">
        <f>IFERROR(INDEX(INDIRECT(E490),0,MATCH(F490,MO_Common_ColumnHeader,0)),"N/A")</f>
        <v/>
      </c>
      <c r="O490" s="67" t="n"/>
      <c r="P490" s="2169">
        <f>IF(ISNUMBER(N490),N490-K490,"N/A")</f>
        <v/>
      </c>
      <c r="Q490" s="2168">
        <f>IFERROR(IF(ISNUMBER(N490),(N490-K490)/ABS(K490),"N/A"),"N/A")</f>
        <v/>
      </c>
      <c r="R490" s="112" t="n"/>
      <c r="S490" s="80" t="n">
        <v>44614</v>
      </c>
      <c r="T490" s="88" t="inlineStr">
        <is>
          <t>CFO Commentary</t>
        </is>
      </c>
      <c r="U490" s="67" t="n"/>
    </row>
    <row r="491" ht="14.4" customFormat="1" customHeight="1" s="1013">
      <c r="A491" s="114" t="n">
        <v>473</v>
      </c>
      <c r="B491" s="77">
        <f>IF(INDEX(MO_SNA_IsHistoricalPeriod,,MATCH(F491,MO_Common_ColumnHeader,0)),"Historical","Forward")</f>
        <v/>
      </c>
      <c r="C491" s="67" t="n"/>
      <c r="D491" s="84">
        <f>INDEX(INDIRECT(E491),0,COLUMN(MO_Common_Column_A))</f>
        <v/>
      </c>
      <c r="E491" s="78" t="inlineStr">
        <is>
          <t>MO_RIS_Daintangibles</t>
        </is>
      </c>
      <c r="F491" s="77" t="inlineStr">
        <is>
          <t>FY2022</t>
        </is>
      </c>
      <c r="G491" s="77" t="n"/>
      <c r="H491" s="67" t="n"/>
      <c r="I491" s="2087" t="n">
        <v>52</v>
      </c>
      <c r="J491" s="2087" t="n">
        <v>52</v>
      </c>
      <c r="K491" s="2087">
        <f>AVERAGE(I491:J491)</f>
        <v/>
      </c>
      <c r="L491" s="67" t="n"/>
      <c r="M491" s="77">
        <f>IF(INDEX(MO_SNA_IsHistoricalPeriod,,MATCH(F491,MO_Common_ColumnHeader,0)),"Actual","Estimate")</f>
        <v/>
      </c>
      <c r="N491" s="2087">
        <f>IFERROR(INDEX(INDIRECT(E491),0,MATCH(F491,MO_Common_ColumnHeader,0)),"N/A")</f>
        <v/>
      </c>
      <c r="O491" s="67" t="n"/>
      <c r="P491" s="2169">
        <f>IF(ISNUMBER(N491),N491-K491,"N/A")</f>
        <v/>
      </c>
      <c r="Q491" s="2168">
        <f>IFERROR(IF(ISNUMBER(N491),(N491-K491)/ABS(K491),"N/A"),"N/A")</f>
        <v/>
      </c>
      <c r="R491" s="112" t="n"/>
      <c r="S491" s="80" t="n">
        <v>44614</v>
      </c>
      <c r="T491" s="88" t="inlineStr">
        <is>
          <t>CFO Commentary</t>
        </is>
      </c>
      <c r="U491" s="67" t="n"/>
    </row>
    <row r="492" ht="14.4" customFormat="1" customHeight="1" s="1013">
      <c r="A492" s="114" t="n">
        <v>472</v>
      </c>
      <c r="B492" s="77">
        <f>IF(INDEX(MO_SNA_IsHistoricalPeriod,,MATCH(F492,MO_Common_ColumnHeader,0)),"Historical","Forward")</f>
        <v/>
      </c>
      <c r="C492" s="67" t="n"/>
      <c r="D492" s="84" t="inlineStr">
        <is>
          <t>Acquisition and integration-related costs</t>
        </is>
      </c>
      <c r="E492" s="78" t="n"/>
      <c r="F492" s="77" t="inlineStr">
        <is>
          <t>FY2022</t>
        </is>
      </c>
      <c r="G492" s="77" t="n"/>
      <c r="H492" s="67" t="n"/>
      <c r="I492" s="2087" t="n">
        <v>8</v>
      </c>
      <c r="J492" s="2087" t="n">
        <v>8</v>
      </c>
      <c r="K492" s="2087">
        <f>AVERAGE(I492:J492)</f>
        <v/>
      </c>
      <c r="L492" s="67" t="n"/>
      <c r="M492" s="77">
        <f>IF(INDEX(MO_SNA_IsHistoricalPeriod,,MATCH(F492,MO_Common_ColumnHeader,0)),"Actual","Estimate")</f>
        <v/>
      </c>
      <c r="N492" s="2087">
        <f>IFERROR(INDEX(INDIRECT(E492),0,MATCH(F492,MO_Common_ColumnHeader,0)),"N/A")</f>
        <v/>
      </c>
      <c r="O492" s="67" t="n"/>
      <c r="P492" s="2169">
        <f>IF(ISNUMBER(N492),N492-K492,"N/A")</f>
        <v/>
      </c>
      <c r="Q492" s="2168">
        <f>IFERROR(IF(ISNUMBER(N492),(N492-K492)/ABS(K492),"N/A"),"N/A")</f>
        <v/>
      </c>
      <c r="R492" s="112" t="n"/>
      <c r="S492" s="80" t="n">
        <v>44614</v>
      </c>
      <c r="T492" s="88" t="inlineStr">
        <is>
          <t>CFO Commentary</t>
        </is>
      </c>
      <c r="U492" s="67" t="n"/>
    </row>
    <row r="493" ht="14.4" customFormat="1" customHeight="1" s="1013">
      <c r="A493" s="114" t="n">
        <v>471</v>
      </c>
      <c r="B493" s="77">
        <f>IF(INDEX(MO_SNA_IsHistoricalPeriod,,MATCH(F493,MO_Common_ColumnHeader,0)),"Historical","Forward")</f>
        <v/>
      </c>
      <c r="C493" s="67" t="n"/>
      <c r="D493" s="84" t="inlineStr">
        <is>
          <t>Restructuring and other credits</t>
        </is>
      </c>
      <c r="E493" s="78" t="n"/>
      <c r="F493" s="77" t="inlineStr">
        <is>
          <t>FY2022</t>
        </is>
      </c>
      <c r="G493" s="77" t="n"/>
      <c r="H493" s="67" t="n"/>
      <c r="I493" s="2087" t="n">
        <v>0</v>
      </c>
      <c r="J493" s="2087" t="n">
        <v>0</v>
      </c>
      <c r="K493" s="2087">
        <f>AVERAGE(I493:J493)</f>
        <v/>
      </c>
      <c r="L493" s="67" t="n"/>
      <c r="M493" s="77">
        <f>IF(INDEX(MO_SNA_IsHistoricalPeriod,,MATCH(F493,MO_Common_ColumnHeader,0)),"Actual","Estimate")</f>
        <v/>
      </c>
      <c r="N493" s="2087">
        <f>IFERROR(INDEX(INDIRECT(E493),0,MATCH(F493,MO_Common_ColumnHeader,0)),"N/A")</f>
        <v/>
      </c>
      <c r="O493" s="67" t="n"/>
      <c r="P493" s="2169">
        <f>IF(ISNUMBER(N493),N493-K493,"N/A")</f>
        <v/>
      </c>
      <c r="Q493" s="2168">
        <f>IFERROR(IF(ISNUMBER(N493),(N493-K493)/ABS(K493),"N/A"),"N/A")</f>
        <v/>
      </c>
      <c r="R493" s="112" t="n"/>
      <c r="S493" s="80" t="n">
        <v>44614</v>
      </c>
      <c r="T493" s="88" t="inlineStr">
        <is>
          <t>CFO Commentary</t>
        </is>
      </c>
      <c r="U493" s="67" t="n"/>
    </row>
    <row r="494" ht="14.4" customFormat="1" customHeight="1" s="1013">
      <c r="A494" s="114" t="n">
        <v>470</v>
      </c>
      <c r="B494" s="77">
        <f>IF(INDEX(MO_SNA_IsHistoricalPeriod,,MATCH(F494,MO_Common_ColumnHeader,0)),"Historical","Forward")</f>
        <v/>
      </c>
      <c r="C494" s="67" t="n"/>
      <c r="D494" s="84" t="inlineStr">
        <is>
          <t>Non-Qualified deferred compensation expenses</t>
        </is>
      </c>
      <c r="E494" s="78" t="n"/>
      <c r="F494" s="77" t="inlineStr">
        <is>
          <t>FY2022</t>
        </is>
      </c>
      <c r="G494" s="77" t="n"/>
      <c r="H494" s="67" t="n"/>
      <c r="I494" s="2087" t="n">
        <v>0</v>
      </c>
      <c r="J494" s="2087" t="n">
        <v>0</v>
      </c>
      <c r="K494" s="2087">
        <f>AVERAGE(I494:J494)</f>
        <v/>
      </c>
      <c r="L494" s="67" t="n"/>
      <c r="M494" s="77">
        <f>IF(INDEX(MO_SNA_IsHistoricalPeriod,,MATCH(F494,MO_Common_ColumnHeader,0)),"Actual","Estimate")</f>
        <v/>
      </c>
      <c r="N494" s="2087">
        <f>IFERROR(INDEX(INDIRECT(E494),0,MATCH(F494,MO_Common_ColumnHeader,0)),"N/A")</f>
        <v/>
      </c>
      <c r="O494" s="67" t="n"/>
      <c r="P494" s="2169">
        <f>IF(ISNUMBER(N494),N494-K494,"N/A")</f>
        <v/>
      </c>
      <c r="Q494" s="2168">
        <f>IFERROR(IF(ISNUMBER(N494),(N494-K494)/ABS(K494),"N/A"),"N/A")</f>
        <v/>
      </c>
      <c r="R494" s="112" t="n"/>
      <c r="S494" s="80" t="n">
        <v>44614</v>
      </c>
      <c r="T494" s="88" t="inlineStr">
        <is>
          <t>CFO Commentary</t>
        </is>
      </c>
      <c r="U494" s="67" t="n"/>
    </row>
    <row r="495" ht="14.4" customFormat="1" customHeight="1" s="1013">
      <c r="A495" s="114" t="n">
        <v>469</v>
      </c>
      <c r="B495" s="77">
        <f>IF(INDEX(MO_SNA_IsHistoricalPeriod,,MATCH(F495,MO_Common_ColumnHeader,0)),"Historical","Forward")</f>
        <v/>
      </c>
      <c r="C495" s="67" t="n"/>
      <c r="D495" s="84" t="inlineStr">
        <is>
          <t>Special charges</t>
        </is>
      </c>
      <c r="E495" s="78" t="n"/>
      <c r="F495" s="77" t="inlineStr">
        <is>
          <t>FY2022</t>
        </is>
      </c>
      <c r="G495" s="77" t="n"/>
      <c r="H495" s="67" t="n"/>
      <c r="I495" s="2087" t="n">
        <v>0</v>
      </c>
      <c r="J495" s="2087" t="n">
        <v>0</v>
      </c>
      <c r="K495" s="2087">
        <f>AVERAGE(I495:J495)</f>
        <v/>
      </c>
      <c r="L495" s="67" t="n"/>
      <c r="M495" s="77">
        <f>IF(INDEX(MO_SNA_IsHistoricalPeriod,,MATCH(F495,MO_Common_ColumnHeader,0)),"Actual","Estimate")</f>
        <v/>
      </c>
      <c r="N495" s="2087">
        <f>IFERROR(INDEX(INDIRECT(E495),0,MATCH(F495,MO_Common_ColumnHeader,0)),"N/A")</f>
        <v/>
      </c>
      <c r="O495" s="67" t="n"/>
      <c r="P495" s="2169">
        <f>IF(ISNUMBER(N495),N495-K495,"N/A")</f>
        <v/>
      </c>
      <c r="Q495" s="2168">
        <f>IFERROR(IF(ISNUMBER(N495),(N495-K495)/ABS(K495),"N/A"),"N/A")</f>
        <v/>
      </c>
      <c r="R495" s="112" t="n"/>
      <c r="S495" s="80" t="n">
        <v>44614</v>
      </c>
      <c r="T495" s="88" t="inlineStr">
        <is>
          <t>CFO Commentary</t>
        </is>
      </c>
      <c r="U495" s="67" t="n"/>
    </row>
    <row r="496" ht="14.4" customFormat="1" customHeight="1" s="1013">
      <c r="A496" s="114" t="n">
        <v>468</v>
      </c>
      <c r="B496" s="67" t="n"/>
      <c r="C496" s="67" t="n"/>
      <c r="D496" s="68" t="n"/>
      <c r="E496" s="69" t="n"/>
      <c r="F496" s="67" t="n"/>
      <c r="G496" s="67" t="n"/>
      <c r="H496" s="67" t="n"/>
      <c r="I496" s="2072" t="n"/>
      <c r="J496" s="2072" t="n"/>
      <c r="K496" s="2072" t="n"/>
      <c r="L496" s="67" t="n"/>
      <c r="M496" s="67" t="n"/>
      <c r="N496" s="2072" t="n"/>
      <c r="O496" s="67" t="n"/>
      <c r="P496" s="2172" t="n"/>
      <c r="Q496" s="2173" t="n"/>
      <c r="R496" s="112" t="n"/>
      <c r="S496" s="112" t="n"/>
      <c r="T496" s="344" t="n"/>
      <c r="U496" s="67" t="n"/>
    </row>
    <row r="497" ht="14.4" customFormat="1" customHeight="1" s="1013">
      <c r="A497" s="114" t="n">
        <v>467</v>
      </c>
      <c r="B497" s="77">
        <f>IF(INDEX(MO_SNA_IsHistoricalPeriod,,MATCH(F497,MO_Common_ColumnHeader,0)),"Historical","Forward")</f>
        <v/>
      </c>
      <c r="C497" s="67" t="n"/>
      <c r="D497" s="84">
        <f>INDEX(INDIRECT(E497),0,COLUMN(MO_Common_Column_A))</f>
        <v/>
      </c>
      <c r="E497" s="78" t="inlineStr">
        <is>
          <t>MO_RIS_REV</t>
        </is>
      </c>
      <c r="F497" s="77" t="inlineStr">
        <is>
          <t>Q1-2022</t>
        </is>
      </c>
      <c r="G497" s="77" t="n"/>
      <c r="H497" s="67" t="n"/>
      <c r="I497" s="2087" t="n">
        <v>850</v>
      </c>
      <c r="J497" s="2087" t="n">
        <v>870</v>
      </c>
      <c r="K497" s="2087">
        <f>AVERAGE(I497:J497)</f>
        <v/>
      </c>
      <c r="L497" s="67" t="n"/>
      <c r="M497" s="77">
        <f>IF(INDEX(MO_SNA_IsHistoricalPeriod,,MATCH(F497,MO_Common_ColumnHeader,0)),"Actual","Estimate")</f>
        <v/>
      </c>
      <c r="N497" s="2087">
        <f>IFERROR(INDEX(INDIRECT(E497),0,MATCH(F497,MO_Common_ColumnHeader,0)),"N/A")</f>
        <v/>
      </c>
      <c r="O497" s="67" t="n"/>
      <c r="P497" s="2169">
        <f>IF(ISNUMBER(N497),N497-K497,"N/A")</f>
        <v/>
      </c>
      <c r="Q497" s="2168">
        <f>IFERROR(IF(ISNUMBER(N497),(N497-K497)/ABS(K497),"N/A"),"N/A")</f>
        <v/>
      </c>
      <c r="R497" s="112" t="n"/>
      <c r="S497" s="80" t="n">
        <v>44614</v>
      </c>
      <c r="T497" s="88" t="inlineStr">
        <is>
          <t>CFO Commentary</t>
        </is>
      </c>
      <c r="U497" s="67" t="n"/>
    </row>
    <row r="498" ht="14.4" customFormat="1" customHeight="1" s="1013">
      <c r="A498" s="114" t="n">
        <v>466</v>
      </c>
      <c r="B498" s="77">
        <f>IF(INDEX(MO_SNA_IsHistoricalPeriod,,MATCH(F498,MO_Common_ColumnHeader,0)),"Historical","Forward")</f>
        <v/>
      </c>
      <c r="C498" s="67" t="n"/>
      <c r="D498" s="84" t="inlineStr">
        <is>
          <t>GAAP Operating Margin</t>
        </is>
      </c>
      <c r="E498" s="78" t="inlineStr">
        <is>
          <t>MO_MA_EBIT</t>
        </is>
      </c>
      <c r="F498" s="77" t="inlineStr">
        <is>
          <t>Q1-2022</t>
        </is>
      </c>
      <c r="G498" s="77" t="n"/>
      <c r="H498" s="67" t="n"/>
      <c r="I498" s="2108" t="n">
        <v>0.3</v>
      </c>
      <c r="J498" s="2108" t="n">
        <v>0.31</v>
      </c>
      <c r="K498" s="2108">
        <f>AVERAGE(I498:J498)</f>
        <v/>
      </c>
      <c r="L498" s="67" t="n"/>
      <c r="M498" s="77">
        <f>IF(INDEX(MO_SNA_IsHistoricalPeriod,,MATCH(F498,MO_Common_ColumnHeader,0)),"Actual","Estimate")</f>
        <v/>
      </c>
      <c r="N498" s="2108">
        <f>IFERROR(INDEX(INDIRECT(E498),0,MATCH(F498,MO_Common_ColumnHeader,0)),"N/A")</f>
        <v/>
      </c>
      <c r="O498" s="67" t="n"/>
      <c r="P498" s="2168">
        <f>IF(ISNUMBER(N498),N498-K498,"N/A")</f>
        <v/>
      </c>
      <c r="Q498" s="2168">
        <f>IFERROR(IF(ISNUMBER(N498),(N498-K498)/ABS(K498),"N/A"),"N/A")</f>
        <v/>
      </c>
      <c r="R498" s="112" t="n"/>
      <c r="S498" s="80" t="n">
        <v>44614</v>
      </c>
      <c r="T498" s="88" t="inlineStr">
        <is>
          <t>CFO Commentary</t>
        </is>
      </c>
      <c r="U498" s="67" t="n"/>
    </row>
    <row r="499" ht="14.4" customFormat="1" customHeight="1" s="1013">
      <c r="A499" s="114" t="n">
        <v>465</v>
      </c>
      <c r="B499" s="77">
        <f>IF(INDEX(MO_SNA_IsHistoricalPeriod,,MATCH(F499,MO_Common_ColumnHeader,0)),"Historical","Forward")</f>
        <v/>
      </c>
      <c r="C499" s="67" t="n"/>
      <c r="D499" s="84">
        <f>INDEX(INDIRECT(E499),0,COLUMN(MO_Common_Column_A))</f>
        <v/>
      </c>
      <c r="E499" s="78" t="inlineStr">
        <is>
          <t>MO_MA_OperatingIncome_NONGAAP</t>
        </is>
      </c>
      <c r="F499" s="77" t="inlineStr">
        <is>
          <t>Q1-2022</t>
        </is>
      </c>
      <c r="G499" s="77" t="n"/>
      <c r="H499" s="67" t="n"/>
      <c r="I499" s="2108" t="n">
        <v>0.4</v>
      </c>
      <c r="J499" s="2108" t="n">
        <v>0.41</v>
      </c>
      <c r="K499" s="2108">
        <f>AVERAGE(I499:J499)</f>
        <v/>
      </c>
      <c r="L499" s="67" t="n"/>
      <c r="M499" s="77">
        <f>IF(INDEX(MO_SNA_IsHistoricalPeriod,,MATCH(F499,MO_Common_ColumnHeader,0)),"Actual","Estimate")</f>
        <v/>
      </c>
      <c r="N499" s="2108">
        <f>IFERROR(INDEX(INDIRECT(E499),0,MATCH(F499,MO_Common_ColumnHeader,0)),"N/A")</f>
        <v/>
      </c>
      <c r="O499" s="67" t="n"/>
      <c r="P499" s="2168">
        <f>IF(ISNUMBER(N499),N499-K499,"N/A")</f>
        <v/>
      </c>
      <c r="Q499" s="2168">
        <f>IFERROR(IF(ISNUMBER(N499),(N499-K499)/ABS(K499),"N/A"),"N/A")</f>
        <v/>
      </c>
      <c r="R499" s="112" t="n"/>
      <c r="S499" s="80" t="n">
        <v>44614</v>
      </c>
      <c r="T499" s="88" t="inlineStr">
        <is>
          <t>CFO Commentary</t>
        </is>
      </c>
      <c r="U499" s="67" t="n"/>
    </row>
    <row r="500" ht="14.4" customFormat="1" customHeight="1" s="1013">
      <c r="A500" s="114" t="n">
        <v>464</v>
      </c>
      <c r="B500" s="77">
        <f>IF(INDEX(MO_SNA_IsHistoricalPeriod,,MATCH(F500,MO_Common_ColumnHeader,0)),"Historical","Forward")</f>
        <v/>
      </c>
      <c r="C500" s="67" t="n"/>
      <c r="D500" s="84">
        <f>INDEX(INDIRECT(E500),0,COLUMN(MO_Common_Column_A))</f>
        <v/>
      </c>
      <c r="E500" s="78" t="inlineStr">
        <is>
          <t>MO_RIS_EPS_WAD</t>
        </is>
      </c>
      <c r="F500" s="77" t="inlineStr">
        <is>
          <t>Q1-2022</t>
        </is>
      </c>
      <c r="G500" s="77" t="n"/>
      <c r="H500" s="67" t="n"/>
      <c r="I500" s="2170" t="n">
        <v>0.7</v>
      </c>
      <c r="J500" s="2170" t="n">
        <v>0.74</v>
      </c>
      <c r="K500" s="2170">
        <f>AVERAGE(I500:J500)</f>
        <v/>
      </c>
      <c r="L500" s="67" t="n"/>
      <c r="M500" s="77">
        <f>IF(INDEX(MO_SNA_IsHistoricalPeriod,,MATCH(F500,MO_Common_ColumnHeader,0)),"Actual","Estimate")</f>
        <v/>
      </c>
      <c r="N500" s="2170">
        <f>IFERROR(INDEX(INDIRECT(E500),0,MATCH(F500,MO_Common_ColumnHeader,0)),"N/A")</f>
        <v/>
      </c>
      <c r="O500" s="67" t="n"/>
      <c r="P500" s="2171">
        <f>IF(ISNUMBER(N500),N500-K500,"N/A")</f>
        <v/>
      </c>
      <c r="Q500" s="2168">
        <f>IFERROR(IF(ISNUMBER(N500),(N500-K500)/ABS(K500),"N/A"),"N/A")</f>
        <v/>
      </c>
      <c r="R500" s="112" t="n"/>
      <c r="S500" s="80" t="n">
        <v>44614</v>
      </c>
      <c r="T500" s="88" t="inlineStr">
        <is>
          <t>CFO Commentary</t>
        </is>
      </c>
      <c r="U500" s="67" t="n"/>
    </row>
    <row r="501" ht="14.4" customFormat="1" customHeight="1" s="1013">
      <c r="A501" s="114" t="n">
        <v>463</v>
      </c>
      <c r="B501" s="77">
        <f>IF(INDEX(MO_SNA_IsHistoricalPeriod,,MATCH(F501,MO_Common_ColumnHeader,0)),"Historical","Forward")</f>
        <v/>
      </c>
      <c r="C501" s="67" t="n"/>
      <c r="D501" s="84">
        <f>INDEX(INDIRECT(E501),0,COLUMN(MO_Common_Column_A))</f>
        <v/>
      </c>
      <c r="E501" s="78" t="inlineStr">
        <is>
          <t>MO_RIS_EPS_WAD_Adj</t>
        </is>
      </c>
      <c r="F501" s="77" t="inlineStr">
        <is>
          <t>Q1-2022</t>
        </is>
      </c>
      <c r="G501" s="77" t="n"/>
      <c r="H501" s="67" t="n"/>
      <c r="I501" s="2170" t="n">
        <v>1</v>
      </c>
      <c r="J501" s="2170" t="n">
        <v>1.04</v>
      </c>
      <c r="K501" s="2170">
        <f>AVERAGE(I501:J501)</f>
        <v/>
      </c>
      <c r="L501" s="67" t="n"/>
      <c r="M501" s="77">
        <f>IF(INDEX(MO_SNA_IsHistoricalPeriod,,MATCH(F501,MO_Common_ColumnHeader,0)),"Actual","Estimate")</f>
        <v/>
      </c>
      <c r="N501" s="2170">
        <f>IFERROR(INDEX(INDIRECT(E501),0,MATCH(F501,MO_Common_ColumnHeader,0)),"N/A")</f>
        <v/>
      </c>
      <c r="O501" s="67" t="n"/>
      <c r="P501" s="2171">
        <f>IF(ISNUMBER(N501),N501-K501,"N/A")</f>
        <v/>
      </c>
      <c r="Q501" s="2168">
        <f>IFERROR(IF(ISNUMBER(N501),(N501-K501)/ABS(K501),"N/A"),"N/A")</f>
        <v/>
      </c>
      <c r="R501" s="112" t="n"/>
      <c r="S501" s="80" t="n">
        <v>44614</v>
      </c>
      <c r="T501" s="88" t="inlineStr">
        <is>
          <t>CFO Commentary</t>
        </is>
      </c>
      <c r="U501" s="67" t="n"/>
    </row>
    <row r="502" ht="14.4" customFormat="1" customHeight="1" s="1013">
      <c r="A502" s="114" t="n">
        <v>462</v>
      </c>
      <c r="B502" s="77">
        <f>IF(INDEX(MO_SNA_IsHistoricalPeriod,,MATCH(F502,MO_Common_ColumnHeader,0)),"Historical","Forward")</f>
        <v/>
      </c>
      <c r="C502" s="67" t="n"/>
      <c r="D502" s="84">
        <f>INDEX(INDIRECT(E502),0,COLUMN(MO_Common_Column_A))</f>
        <v/>
      </c>
      <c r="E502" s="78" t="inlineStr">
        <is>
          <t>MO_CFSum_NetShares</t>
        </is>
      </c>
      <c r="F502" s="77" t="inlineStr">
        <is>
          <t>Q1-2022</t>
        </is>
      </c>
      <c r="G502" s="77" t="n"/>
      <c r="H502" s="67" t="n"/>
      <c r="I502" s="2087" t="n">
        <v>-250</v>
      </c>
      <c r="J502" s="2087" t="n">
        <v>-250</v>
      </c>
      <c r="K502" s="2087">
        <f>AVERAGE(I502:J502)</f>
        <v/>
      </c>
      <c r="L502" s="67" t="n"/>
      <c r="M502" s="77">
        <f>IF(INDEX(MO_SNA_IsHistoricalPeriod,,MATCH(F502,MO_Common_ColumnHeader,0)),"Actual","Estimate")</f>
        <v/>
      </c>
      <c r="N502" s="2087">
        <f>IFERROR(INDEX(INDIRECT(E502),0,MATCH(F502,MO_Common_ColumnHeader,0)),"N/A")</f>
        <v/>
      </c>
      <c r="O502" s="67" t="n"/>
      <c r="P502" s="2169">
        <f>IF(ISNUMBER(N502),N502-K502,"N/A")</f>
        <v/>
      </c>
      <c r="Q502" s="2168">
        <f>IFERROR(IF(ISNUMBER(N502),(N502-K502)/ABS(K502),"N/A"),"N/A")</f>
        <v/>
      </c>
      <c r="R502" s="112" t="n"/>
      <c r="S502" s="80" t="n">
        <v>44614</v>
      </c>
      <c r="T502" s="88" t="inlineStr">
        <is>
          <t>CFO Commentary</t>
        </is>
      </c>
      <c r="U502" s="67" t="n"/>
    </row>
    <row r="503" ht="14.4" customFormat="1" customHeight="1" s="1013">
      <c r="A503" s="114" t="n">
        <v>461</v>
      </c>
      <c r="B503" s="67" t="n"/>
      <c r="C503" s="67" t="n"/>
      <c r="D503" s="68" t="n"/>
      <c r="E503" s="69" t="n"/>
      <c r="F503" s="67" t="n"/>
      <c r="G503" s="67" t="n"/>
      <c r="H503" s="67" t="n"/>
      <c r="I503" s="2072" t="n"/>
      <c r="J503" s="2072" t="n"/>
      <c r="K503" s="2072" t="n"/>
      <c r="L503" s="67" t="n"/>
      <c r="M503" s="67" t="n"/>
      <c r="N503" s="2072" t="n"/>
      <c r="O503" s="67" t="n"/>
      <c r="P503" s="2172" t="n"/>
      <c r="Q503" s="2173" t="n"/>
      <c r="R503" s="112" t="n"/>
      <c r="S503" s="72" t="n"/>
      <c r="T503" s="89" t="n"/>
      <c r="U503" s="67" t="n"/>
    </row>
    <row r="504" ht="14.4" customFormat="1" customHeight="1" s="1013">
      <c r="A504" s="114" t="n">
        <v>460</v>
      </c>
      <c r="B504" s="77">
        <f>IF(INDEX(MO_SNA_IsHistoricalPeriod,,MATCH(F504,MO_Common_ColumnHeader,0)),"Historical","Forward")</f>
        <v/>
      </c>
      <c r="C504" s="67" t="n"/>
      <c r="D504" s="84" t="inlineStr">
        <is>
          <t>Recurring Revenue %</t>
        </is>
      </c>
      <c r="E504" s="78" t="n"/>
      <c r="F504" s="77" t="inlineStr">
        <is>
          <t>FY2021</t>
        </is>
      </c>
      <c r="G504" s="77" t="n"/>
      <c r="H504" s="67" t="n"/>
      <c r="I504" s="2108" t="n">
        <v>0.85</v>
      </c>
      <c r="J504" s="2108" t="n">
        <v>0.9</v>
      </c>
      <c r="K504" s="2108">
        <f>AVERAGE(I504:J504)</f>
        <v/>
      </c>
      <c r="L504" s="67" t="n"/>
      <c r="M504" s="77">
        <f>IF(INDEX(MO_SNA_IsHistoricalPeriod,,MATCH(F504,MO_Common_ColumnHeader,0)),"Actual","Estimate")</f>
        <v/>
      </c>
      <c r="N504" s="2108">
        <f>IFERROR(INDEX(INDIRECT(E504),0,MATCH(F504,MO_Common_ColumnHeader,0)),"N/A")</f>
        <v/>
      </c>
      <c r="O504" s="2072" t="n"/>
      <c r="P504" s="2168">
        <f>IF(ISNUMBER(N504),N504-K504,"N/A")</f>
        <v/>
      </c>
      <c r="Q504" s="2168">
        <f>IFERROR(IF(ISNUMBER(N504),(N504-K504)/ABS(K504),"N/A"),"N/A")</f>
        <v/>
      </c>
      <c r="R504" s="112" t="n"/>
      <c r="S504" s="80" t="n">
        <v>44494</v>
      </c>
      <c r="T504" s="88" t="inlineStr">
        <is>
          <t>CFO Commentary</t>
        </is>
      </c>
      <c r="U504" s="67" t="n"/>
    </row>
    <row r="505" ht="14.4" customFormat="1" customHeight="1" s="1013">
      <c r="A505" s="114" t="n">
        <v>459</v>
      </c>
      <c r="B505" s="77">
        <f>IF(INDEX(MO_SNA_IsHistoricalPeriod,,MATCH(F505,MO_Common_ColumnHeader,0)),"Historical","Forward")</f>
        <v/>
      </c>
      <c r="C505" s="67" t="n"/>
      <c r="D505" s="84" t="inlineStr">
        <is>
          <t>Revenue from Beginning Backlog %</t>
        </is>
      </c>
      <c r="E505" s="78" t="n"/>
      <c r="F505" s="77" t="inlineStr">
        <is>
          <t>FY2021</t>
        </is>
      </c>
      <c r="G505" s="77" t="n"/>
      <c r="H505" s="67" t="n"/>
      <c r="I505" s="2108" t="n">
        <v>0.7</v>
      </c>
      <c r="J505" s="2108" t="n">
        <v>0.7</v>
      </c>
      <c r="K505" s="2108">
        <f>AVERAGE(I505:J505)</f>
        <v/>
      </c>
      <c r="L505" s="67" t="n"/>
      <c r="M505" s="77">
        <f>IF(INDEX(MO_SNA_IsHistoricalPeriod,,MATCH(F505,MO_Common_ColumnHeader,0)),"Actual","Estimate")</f>
        <v/>
      </c>
      <c r="N505" s="2108">
        <f>IFERROR(INDEX(INDIRECT(E505),0,MATCH(F505,MO_Common_ColumnHeader,0)),"N/A")</f>
        <v/>
      </c>
      <c r="O505" s="2072" t="n"/>
      <c r="P505" s="2168">
        <f>IF(ISNUMBER(N505),N505-K505,"N/A")</f>
        <v/>
      </c>
      <c r="Q505" s="2168">
        <f>IFERROR(IF(ISNUMBER(N505),(N505-K505)/ABS(K505),"N/A"),"N/A")</f>
        <v/>
      </c>
      <c r="R505" s="112" t="n"/>
      <c r="S505" s="80" t="n">
        <v>44494</v>
      </c>
      <c r="T505" s="88" t="inlineStr">
        <is>
          <t>CFO Commentary</t>
        </is>
      </c>
      <c r="U505" s="67" t="n"/>
    </row>
    <row r="506" ht="14.4" customFormat="1" customHeight="1" s="1013">
      <c r="A506" s="114" t="n">
        <v>458</v>
      </c>
      <c r="B506" s="77">
        <f>IF(INDEX(MO_SNA_IsHistoricalPeriod,,MATCH(F506,MO_Common_ColumnHeader,0)),"Historical","Forward")</f>
        <v/>
      </c>
      <c r="C506" s="67" t="n"/>
      <c r="D506" s="84">
        <f>INDEX(INDIRECT(E506),0,COLUMN(MO_Common_Column_A))</f>
        <v/>
      </c>
      <c r="E506" s="78" t="inlineStr">
        <is>
          <t>MO_RIS_REV</t>
        </is>
      </c>
      <c r="F506" s="77" t="inlineStr">
        <is>
          <t>FY2021</t>
        </is>
      </c>
      <c r="G506" s="77" t="n"/>
      <c r="H506" s="67" t="n"/>
      <c r="I506" s="2087" t="n">
        <v>2960</v>
      </c>
      <c r="J506" s="2087" t="n">
        <v>2980</v>
      </c>
      <c r="K506" s="2087">
        <f>AVERAGE(I506:J506)</f>
        <v/>
      </c>
      <c r="L506" s="67" t="n"/>
      <c r="M506" s="77">
        <f>IF(INDEX(MO_SNA_IsHistoricalPeriod,,MATCH(F506,MO_Common_ColumnHeader,0)),"Actual","Estimate")</f>
        <v/>
      </c>
      <c r="N506" s="2087">
        <f>IFERROR(INDEX(INDIRECT(E506),0,MATCH(F506,MO_Common_ColumnHeader,0)),"N/A")</f>
        <v/>
      </c>
      <c r="O506" s="2072" t="n"/>
      <c r="P506" s="2169">
        <f>IF(ISNUMBER(N506),N506-K506,"N/A")</f>
        <v/>
      </c>
      <c r="Q506" s="2168">
        <f>IFERROR(IF(ISNUMBER(N506),(N506-K506)/ABS(K506),"N/A"),"N/A")</f>
        <v/>
      </c>
      <c r="R506" s="112" t="n"/>
      <c r="S506" s="80" t="n">
        <v>44494</v>
      </c>
      <c r="T506" s="88" t="inlineStr">
        <is>
          <t>CFO Commentary</t>
        </is>
      </c>
      <c r="U506" s="67" t="n"/>
    </row>
    <row r="507" ht="14.4" customFormat="1" customHeight="1" s="1013">
      <c r="A507" s="114" t="n">
        <v>457</v>
      </c>
      <c r="B507" s="77">
        <f>IF(INDEX(MO_SNA_IsHistoricalPeriod,,MATCH(F507,MO_Common_ColumnHeader,0)),"Historical","Forward")</f>
        <v/>
      </c>
      <c r="C507" s="67" t="n"/>
      <c r="D507" s="84" t="inlineStr">
        <is>
          <t>GAAP Operating Margin</t>
        </is>
      </c>
      <c r="E507" s="78" t="inlineStr">
        <is>
          <t>MO_MA_EBIT</t>
        </is>
      </c>
      <c r="F507" s="77" t="inlineStr">
        <is>
          <t>FY2021</t>
        </is>
      </c>
      <c r="G507" s="77" t="n"/>
      <c r="H507" s="67" t="n"/>
      <c r="I507" s="2108" t="n">
        <v>0.26</v>
      </c>
      <c r="J507" s="2108" t="n">
        <v>0.26</v>
      </c>
      <c r="K507" s="2108">
        <f>AVERAGE(I507:J507)</f>
        <v/>
      </c>
      <c r="L507" s="67" t="n"/>
      <c r="M507" s="77">
        <f>IF(INDEX(MO_SNA_IsHistoricalPeriod,,MATCH(F507,MO_Common_ColumnHeader,0)),"Actual","Estimate")</f>
        <v/>
      </c>
      <c r="N507" s="2108">
        <f>IFERROR(INDEX(INDIRECT(E507),0,MATCH(F507,MO_Common_ColumnHeader,0)),"N/A")</f>
        <v/>
      </c>
      <c r="O507" s="67" t="n"/>
      <c r="P507" s="2168">
        <f>IF(ISNUMBER(N507),N507-K507,"N/A")</f>
        <v/>
      </c>
      <c r="Q507" s="2168">
        <f>IFERROR(IF(ISNUMBER(N507),(N507-K507)/ABS(K507),"N/A"),"N/A")</f>
        <v/>
      </c>
      <c r="R507" s="112" t="n"/>
      <c r="S507" s="80" t="n">
        <v>44494</v>
      </c>
      <c r="T507" s="88" t="inlineStr">
        <is>
          <t>CFO Commentary</t>
        </is>
      </c>
      <c r="U507" s="67" t="n"/>
    </row>
    <row r="508" ht="14.4" customFormat="1" customHeight="1" s="1013">
      <c r="A508" s="114" t="n">
        <v>456</v>
      </c>
      <c r="B508" s="77">
        <f>IF(INDEX(MO_SNA_IsHistoricalPeriod,,MATCH(F508,MO_Common_ColumnHeader,0)),"Historical","Forward")</f>
        <v/>
      </c>
      <c r="C508" s="67" t="n"/>
      <c r="D508" s="84">
        <f>INDEX(INDIRECT(E508),0,COLUMN(MO_Common_Column_A))</f>
        <v/>
      </c>
      <c r="E508" s="78" t="inlineStr">
        <is>
          <t>MO_MA_OperatingIncome_NONGAAP</t>
        </is>
      </c>
      <c r="F508" s="77" t="inlineStr">
        <is>
          <t>FY2021</t>
        </is>
      </c>
      <c r="G508" s="77" t="n"/>
      <c r="H508" s="67" t="n"/>
      <c r="I508" s="2108" t="n">
        <v>0.37</v>
      </c>
      <c r="J508" s="2108" t="n">
        <v>0.37</v>
      </c>
      <c r="K508" s="2108">
        <f>AVERAGE(I508:J508)</f>
        <v/>
      </c>
      <c r="L508" s="67" t="n"/>
      <c r="M508" s="77">
        <f>IF(INDEX(MO_SNA_IsHistoricalPeriod,,MATCH(F508,MO_Common_ColumnHeader,0)),"Actual","Estimate")</f>
        <v/>
      </c>
      <c r="N508" s="2108">
        <f>IFERROR(INDEX(INDIRECT(E508),0,MATCH(F508,MO_Common_ColumnHeader,0)),"N/A")</f>
        <v/>
      </c>
      <c r="O508" s="67" t="n"/>
      <c r="P508" s="2168">
        <f>IF(ISNUMBER(N508),N508-K508,"N/A")</f>
        <v/>
      </c>
      <c r="Q508" s="2168">
        <f>IFERROR(IF(ISNUMBER(N508),(N508-K508)/ABS(K508),"N/A"),"N/A")</f>
        <v/>
      </c>
      <c r="R508" s="112" t="n"/>
      <c r="S508" s="80" t="n">
        <v>44494</v>
      </c>
      <c r="T508" s="88" t="inlineStr">
        <is>
          <t>CFO Commentary</t>
        </is>
      </c>
      <c r="U508" s="67" t="n"/>
    </row>
    <row r="509" ht="14.4" customFormat="1" customHeight="1" s="1013">
      <c r="A509" s="114" t="n">
        <v>455</v>
      </c>
      <c r="B509" s="77">
        <f>IF(INDEX(MO_SNA_IsHistoricalPeriod,,MATCH(F509,MO_Common_ColumnHeader,0)),"Historical","Forward")</f>
        <v/>
      </c>
      <c r="C509" s="67" t="n"/>
      <c r="D509" s="84">
        <f>INDEX(INDIRECT(E509),0,COLUMN(MO_Common_Column_A))</f>
        <v/>
      </c>
      <c r="E509" s="78" t="inlineStr">
        <is>
          <t>MO_RIS_EPS_WAD</t>
        </is>
      </c>
      <c r="F509" s="77" t="inlineStr">
        <is>
          <t>FY2021</t>
        </is>
      </c>
      <c r="G509" s="77" t="n"/>
      <c r="H509" s="67" t="n"/>
      <c r="I509" s="2170" t="n">
        <v>2.36</v>
      </c>
      <c r="J509" s="2170" t="n">
        <v>2.4</v>
      </c>
      <c r="K509" s="2170">
        <f>AVERAGE(I509:J509)</f>
        <v/>
      </c>
      <c r="L509" s="67" t="n"/>
      <c r="M509" s="77">
        <f>IF(INDEX(MO_SNA_IsHistoricalPeriod,,MATCH(F509,MO_Common_ColumnHeader,0)),"Actual","Estimate")</f>
        <v/>
      </c>
      <c r="N509" s="2170">
        <f>IFERROR(INDEX(INDIRECT(E509),0,MATCH(F509,MO_Common_ColumnHeader,0)),"N/A")</f>
        <v/>
      </c>
      <c r="O509" s="67" t="n"/>
      <c r="P509" s="2171">
        <f>IF(ISNUMBER(N509),N509-K509,"N/A")</f>
        <v/>
      </c>
      <c r="Q509" s="2168">
        <f>IFERROR(IF(ISNUMBER(N509),(N509-K509)/ABS(K509),"N/A"),"N/A")</f>
        <v/>
      </c>
      <c r="R509" s="112" t="n"/>
      <c r="S509" s="80" t="n">
        <v>44494</v>
      </c>
      <c r="T509" s="88" t="inlineStr">
        <is>
          <t>CFO Commentary</t>
        </is>
      </c>
      <c r="U509" s="67" t="n"/>
    </row>
    <row r="510" ht="14.4" customFormat="1" customHeight="1" s="1013">
      <c r="A510" s="114" t="n">
        <v>454</v>
      </c>
      <c r="B510" s="77">
        <f>IF(INDEX(MO_SNA_IsHistoricalPeriod,,MATCH(F510,MO_Common_ColumnHeader,0)),"Historical","Forward")</f>
        <v/>
      </c>
      <c r="C510" s="67" t="n"/>
      <c r="D510" s="84">
        <f>INDEX(INDIRECT(E510),0,COLUMN(MO_Common_Column_A))</f>
        <v/>
      </c>
      <c r="E510" s="78" t="inlineStr">
        <is>
          <t>MO_RIS_EPS_WAD_Adj</t>
        </is>
      </c>
      <c r="F510" s="77" t="inlineStr">
        <is>
          <t>FY2021</t>
        </is>
      </c>
      <c r="G510" s="77" t="n"/>
      <c r="H510" s="67" t="n"/>
      <c r="I510" s="2170" t="n">
        <v>3.24</v>
      </c>
      <c r="J510" s="2170" t="n">
        <v>3.28</v>
      </c>
      <c r="K510" s="2170">
        <f>AVERAGE(I510:J510)</f>
        <v/>
      </c>
      <c r="L510" s="67" t="n"/>
      <c r="M510" s="77">
        <f>IF(INDEX(MO_SNA_IsHistoricalPeriod,,MATCH(F510,MO_Common_ColumnHeader,0)),"Actual","Estimate")</f>
        <v/>
      </c>
      <c r="N510" s="2170">
        <f>IFERROR(INDEX(INDIRECT(E510),0,MATCH(F510,MO_Common_ColumnHeader,0)),"N/A")</f>
        <v/>
      </c>
      <c r="O510" s="67" t="n"/>
      <c r="P510" s="2171">
        <f>IF(ISNUMBER(N510),N510-K510,"N/A")</f>
        <v/>
      </c>
      <c r="Q510" s="2168">
        <f>IFERROR(IF(ISNUMBER(N510),(N510-K510)/ABS(K510),"N/A"),"N/A")</f>
        <v/>
      </c>
      <c r="R510" s="112" t="n"/>
      <c r="S510" s="80" t="n">
        <v>44494</v>
      </c>
      <c r="T510" s="88" t="inlineStr">
        <is>
          <t>CFO Commentary</t>
        </is>
      </c>
      <c r="U510" s="67" t="n"/>
    </row>
    <row r="511" ht="14.4" customFormat="1" customHeight="1" s="1013">
      <c r="A511" s="114" t="n">
        <v>453</v>
      </c>
      <c r="B511" s="77">
        <f>IF(INDEX(MO_SNA_IsHistoricalPeriod,,MATCH(F511,MO_Common_ColumnHeader,0)),"Historical","Forward")</f>
        <v/>
      </c>
      <c r="C511" s="67" t="n"/>
      <c r="D511" s="84">
        <f>INDEX(INDIRECT(E511),0,COLUMN(MO_Common_Column_A))</f>
        <v/>
      </c>
      <c r="E511" s="78" t="inlineStr">
        <is>
          <t>MO_CFS_CFO</t>
        </is>
      </c>
      <c r="F511" s="77" t="inlineStr">
        <is>
          <t>FY2021</t>
        </is>
      </c>
      <c r="G511" s="77" t="n"/>
      <c r="H511" s="67" t="n"/>
      <c r="I511" s="2087" t="n">
        <v>975</v>
      </c>
      <c r="J511" s="2087" t="n">
        <v>1025</v>
      </c>
      <c r="K511" s="2087">
        <f>AVERAGE(I511:J511)</f>
        <v/>
      </c>
      <c r="L511" s="67" t="n"/>
      <c r="M511" s="77">
        <f>IF(INDEX(MO_SNA_IsHistoricalPeriod,,MATCH(F511,MO_Common_ColumnHeader,0)),"Actual","Estimate")</f>
        <v/>
      </c>
      <c r="N511" s="2087">
        <f>IFERROR(INDEX(INDIRECT(E511),0,MATCH(F511,MO_Common_ColumnHeader,0)),"N/A")</f>
        <v/>
      </c>
      <c r="O511" s="67" t="n"/>
      <c r="P511" s="2169">
        <f>IF(ISNUMBER(N511),N511-K511,"N/A")</f>
        <v/>
      </c>
      <c r="Q511" s="2168">
        <f>IFERROR(IF(ISNUMBER(N511),(N511-K511)/ABS(K511),"N/A"),"N/A")</f>
        <v/>
      </c>
      <c r="R511" s="112" t="n"/>
      <c r="S511" s="80" t="n">
        <v>44494</v>
      </c>
      <c r="T511" s="88" t="inlineStr">
        <is>
          <t>CFO Commentary</t>
        </is>
      </c>
      <c r="U511" s="67" t="n"/>
    </row>
    <row r="512" ht="14.4" customFormat="1" customHeight="1" s="1013">
      <c r="A512" s="114" t="n">
        <v>452</v>
      </c>
      <c r="B512" s="77">
        <f>IF(INDEX(MO_SNA_IsHistoricalPeriod,,MATCH(F512,MO_Common_ColumnHeader,0)),"Historical","Forward")</f>
        <v/>
      </c>
      <c r="C512" s="67" t="n"/>
      <c r="D512" s="84" t="inlineStr">
        <is>
          <t>DSO</t>
        </is>
      </c>
      <c r="E512" s="78" t="n"/>
      <c r="F512" s="77" t="inlineStr">
        <is>
          <t>FY2021</t>
        </is>
      </c>
      <c r="G512" s="77" t="n"/>
      <c r="H512" s="67" t="n"/>
      <c r="I512" s="2087" t="n">
        <v>45</v>
      </c>
      <c r="J512" s="2087" t="n">
        <v>45</v>
      </c>
      <c r="K512" s="2087">
        <f>AVERAGE(I512:J512)</f>
        <v/>
      </c>
      <c r="L512" s="67" t="n"/>
      <c r="M512" s="77">
        <f>IF(INDEX(MO_SNA_IsHistoricalPeriod,,MATCH(F512,MO_Common_ColumnHeader,0)),"Actual","Estimate")</f>
        <v/>
      </c>
      <c r="N512" s="2087">
        <f>IFERROR(INDEX(INDIRECT(E512),0,MATCH(F512,MO_Common_ColumnHeader,0)),"N/A")</f>
        <v/>
      </c>
      <c r="O512" s="67" t="n"/>
      <c r="P512" s="2169">
        <f>IF(ISNUMBER(N512),N512-K512,"N/A")</f>
        <v/>
      </c>
      <c r="Q512" s="2168">
        <f>IFERROR(IF(ISNUMBER(N512),(N512-K512)/ABS(K512),"N/A"),"N/A")</f>
        <v/>
      </c>
      <c r="R512" s="112" t="n"/>
      <c r="S512" s="80" t="n">
        <v>44494</v>
      </c>
      <c r="T512" s="88" t="inlineStr">
        <is>
          <t>CFO Commentary</t>
        </is>
      </c>
      <c r="U512" s="67" t="n"/>
    </row>
    <row r="513" ht="14.4" customFormat="1" customHeight="1" s="1013">
      <c r="A513" s="114" t="n">
        <v>451</v>
      </c>
      <c r="B513" s="77">
        <f>IF(INDEX(MO_SNA_IsHistoricalPeriod,,MATCH(F513,MO_Common_ColumnHeader,0)),"Historical","Forward")</f>
        <v/>
      </c>
      <c r="C513" s="67" t="n"/>
      <c r="D513" s="84">
        <f>INDEX(INDIRECT(E513),0,COLUMN(MO_Common_Column_A))</f>
        <v/>
      </c>
      <c r="E513" s="78" t="inlineStr">
        <is>
          <t>MO_CFSum_Capex</t>
        </is>
      </c>
      <c r="F513" s="77" t="inlineStr">
        <is>
          <t>FY2021</t>
        </is>
      </c>
      <c r="G513" s="77" t="n"/>
      <c r="H513" s="67" t="n"/>
      <c r="I513" s="2087" t="n">
        <v>-80</v>
      </c>
      <c r="J513" s="2087" t="n">
        <v>-80</v>
      </c>
      <c r="K513" s="2087">
        <f>AVERAGE(I513:J513)</f>
        <v/>
      </c>
      <c r="L513" s="67" t="n"/>
      <c r="M513" s="77">
        <f>IF(INDEX(MO_SNA_IsHistoricalPeriod,,MATCH(F513,MO_Common_ColumnHeader,0)),"Actual","Estimate")</f>
        <v/>
      </c>
      <c r="N513" s="2087">
        <f>IFERROR(INDEX(INDIRECT(E513),0,MATCH(F513,MO_Common_ColumnHeader,0)),"N/A")</f>
        <v/>
      </c>
      <c r="O513" s="67" t="n"/>
      <c r="P513" s="2169">
        <f>IF(ISNUMBER(N513),N513-K513,"N/A")</f>
        <v/>
      </c>
      <c r="Q513" s="2168">
        <f>IFERROR(IF(ISNUMBER(N513),(N513-K513)/ABS(K513),"N/A"),"N/A")</f>
        <v/>
      </c>
      <c r="R513" s="112" t="n"/>
      <c r="S513" s="80" t="n">
        <v>44494</v>
      </c>
      <c r="T513" s="88" t="inlineStr">
        <is>
          <t>CFO Commentary</t>
        </is>
      </c>
      <c r="U513" s="67" t="n"/>
    </row>
    <row r="514" ht="14.4" customFormat="1" customHeight="1" s="1013">
      <c r="A514" s="114" t="n">
        <v>450</v>
      </c>
      <c r="B514" s="77">
        <f>IF(INDEX(MO_SNA_IsHistoricalPeriod,,MATCH(F514,MO_Common_ColumnHeader,0)),"Historical","Forward")</f>
        <v/>
      </c>
      <c r="C514" s="67" t="n"/>
      <c r="D514" s="84">
        <f>INDEX(INDIRECT(E514),0,COLUMN(MO_Common_Column_A))</f>
        <v/>
      </c>
      <c r="E514" s="78" t="inlineStr">
        <is>
          <t>MO_RIS_Daintangibles</t>
        </is>
      </c>
      <c r="F514" s="77" t="inlineStr">
        <is>
          <t>FY2021</t>
        </is>
      </c>
      <c r="G514" s="77" t="n"/>
      <c r="H514" s="67" t="n"/>
      <c r="I514" s="2087" t="n">
        <v>67</v>
      </c>
      <c r="J514" s="2087" t="n">
        <v>67</v>
      </c>
      <c r="K514" s="2087">
        <f>AVERAGE(I514:J514)</f>
        <v/>
      </c>
      <c r="L514" s="67" t="n"/>
      <c r="M514" s="77">
        <f>IF(INDEX(MO_SNA_IsHistoricalPeriod,,MATCH(F514,MO_Common_ColumnHeader,0)),"Actual","Estimate")</f>
        <v/>
      </c>
      <c r="N514" s="2087">
        <f>IFERROR(INDEX(INDIRECT(E514),0,MATCH(F514,MO_Common_ColumnHeader,0)),"N/A")</f>
        <v/>
      </c>
      <c r="O514" s="67" t="n"/>
      <c r="P514" s="2169">
        <f>IF(ISNUMBER(N514),N514-K514,"N/A")</f>
        <v/>
      </c>
      <c r="Q514" s="2168">
        <f>IFERROR(IF(ISNUMBER(N514),(N514-K514)/ABS(K514),"N/A"),"N/A")</f>
        <v/>
      </c>
      <c r="R514" s="112" t="n"/>
      <c r="S514" s="80" t="n">
        <v>44494</v>
      </c>
      <c r="T514" s="88" t="inlineStr">
        <is>
          <t>Press Release</t>
        </is>
      </c>
      <c r="U514" s="67" t="n"/>
    </row>
    <row r="515" ht="14.4" customFormat="1" customHeight="1" s="1013">
      <c r="A515" s="114" t="n">
        <v>449</v>
      </c>
      <c r="B515" s="77">
        <f>IF(INDEX(MO_SNA_IsHistoricalPeriod,,MATCH(F515,MO_Common_ColumnHeader,0)),"Historical","Forward")</f>
        <v/>
      </c>
      <c r="C515" s="67" t="n"/>
      <c r="D515" s="84">
        <f>INDEX(INDIRECT(E515),0,COLUMN(MO_Common_Column_A))</f>
        <v/>
      </c>
      <c r="E515" s="78" t="inlineStr">
        <is>
          <t>MO_RIS_SBC</t>
        </is>
      </c>
      <c r="F515" s="77" t="inlineStr">
        <is>
          <t>FY2021</t>
        </is>
      </c>
      <c r="G515" s="77" t="n"/>
      <c r="H515" s="67" t="n"/>
      <c r="I515" s="2087" t="n">
        <v>214</v>
      </c>
      <c r="J515" s="2087" t="n">
        <v>214</v>
      </c>
      <c r="K515" s="2087">
        <f>AVERAGE(I515:J515)</f>
        <v/>
      </c>
      <c r="L515" s="67" t="n"/>
      <c r="M515" s="77">
        <f>IF(INDEX(MO_SNA_IsHistoricalPeriod,,MATCH(F515,MO_Common_ColumnHeader,0)),"Actual","Estimate")</f>
        <v/>
      </c>
      <c r="N515" s="2087">
        <f>IFERROR(INDEX(INDIRECT(E515),0,MATCH(F515,MO_Common_ColumnHeader,0)),"N/A")</f>
        <v/>
      </c>
      <c r="O515" s="67" t="n"/>
      <c r="P515" s="2169">
        <f>IF(ISNUMBER(N515),N515-K515,"N/A")</f>
        <v/>
      </c>
      <c r="Q515" s="2168">
        <f>IFERROR(IF(ISNUMBER(N515),(N515-K515)/ABS(K515),"N/A"),"N/A")</f>
        <v/>
      </c>
      <c r="R515" s="112" t="n"/>
      <c r="S515" s="80" t="n">
        <v>44494</v>
      </c>
      <c r="T515" s="88" t="inlineStr">
        <is>
          <t>Press Release</t>
        </is>
      </c>
      <c r="U515" s="67" t="n"/>
    </row>
    <row r="516" ht="14.4" customFormat="1" customHeight="1" s="1013">
      <c r="A516" s="114" t="n">
        <v>448</v>
      </c>
      <c r="B516" s="77">
        <f>IF(INDEX(MO_SNA_IsHistoricalPeriod,,MATCH(F516,MO_Common_ColumnHeader,0)),"Historical","Forward")</f>
        <v/>
      </c>
      <c r="C516" s="67" t="n"/>
      <c r="D516" s="84" t="inlineStr">
        <is>
          <t>Acquisition and integration-related costs</t>
        </is>
      </c>
      <c r="E516" s="78" t="n"/>
      <c r="F516" s="77" t="inlineStr">
        <is>
          <t>FY2021</t>
        </is>
      </c>
      <c r="G516" s="77" t="n"/>
      <c r="H516" s="67" t="n"/>
      <c r="I516" s="2087" t="n">
        <v>22</v>
      </c>
      <c r="J516" s="2087" t="n">
        <v>22</v>
      </c>
      <c r="K516" s="2087">
        <f>AVERAGE(I516:J516)</f>
        <v/>
      </c>
      <c r="L516" s="67" t="n"/>
      <c r="M516" s="77">
        <f>IF(INDEX(MO_SNA_IsHistoricalPeriod,,MATCH(F516,MO_Common_ColumnHeader,0)),"Actual","Estimate")</f>
        <v/>
      </c>
      <c r="N516" s="2087">
        <f>IFERROR(INDEX(INDIRECT(E516),0,MATCH(F516,MO_Common_ColumnHeader,0)),"N/A")</f>
        <v/>
      </c>
      <c r="O516" s="67" t="n"/>
      <c r="P516" s="2169">
        <f>IF(ISNUMBER(N516),N516-K516,"N/A")</f>
        <v/>
      </c>
      <c r="Q516" s="2168">
        <f>IFERROR(IF(ISNUMBER(N516),(N516-K516)/ABS(K516),"N/A"),"N/A")</f>
        <v/>
      </c>
      <c r="R516" s="112" t="n"/>
      <c r="S516" s="80" t="n">
        <v>44494</v>
      </c>
      <c r="T516" s="88" t="inlineStr">
        <is>
          <t>Press Release</t>
        </is>
      </c>
      <c r="U516" s="67" t="n"/>
    </row>
    <row r="517" ht="14.4" customFormat="1" customHeight="1" s="1013">
      <c r="A517" s="114" t="n">
        <v>447</v>
      </c>
      <c r="B517" s="77">
        <f>IF(INDEX(MO_SNA_IsHistoricalPeriod,,MATCH(F517,MO_Common_ColumnHeader,0)),"Historical","Forward")</f>
        <v/>
      </c>
      <c r="C517" s="67" t="n"/>
      <c r="D517" s="84" t="inlineStr">
        <is>
          <t>Restructuring and other credits</t>
        </is>
      </c>
      <c r="E517" s="78" t="n"/>
      <c r="F517" s="77" t="inlineStr">
        <is>
          <t>FY2021</t>
        </is>
      </c>
      <c r="G517" s="77" t="n"/>
      <c r="H517" s="67" t="n"/>
      <c r="I517" s="2087" t="n">
        <v>-1</v>
      </c>
      <c r="J517" s="2087" t="n">
        <v>-1</v>
      </c>
      <c r="K517" s="2087">
        <f>AVERAGE(I517:J517)</f>
        <v/>
      </c>
      <c r="L517" s="67" t="n"/>
      <c r="M517" s="77">
        <f>IF(INDEX(MO_SNA_IsHistoricalPeriod,,MATCH(F517,MO_Common_ColumnHeader,0)),"Actual","Estimate")</f>
        <v/>
      </c>
      <c r="N517" s="2087">
        <f>IFERROR(INDEX(INDIRECT(E517),0,MATCH(F517,MO_Common_ColumnHeader,0)),"N/A")</f>
        <v/>
      </c>
      <c r="O517" s="67" t="n"/>
      <c r="P517" s="2169">
        <f>IF(ISNUMBER(N517),N517-K517,"N/A")</f>
        <v/>
      </c>
      <c r="Q517" s="2168">
        <f>IFERROR(IF(ISNUMBER(N517),(N517-K517)/ABS(K517),"N/A"),"N/A")</f>
        <v/>
      </c>
      <c r="R517" s="112" t="n"/>
      <c r="S517" s="80" t="n">
        <v>44494</v>
      </c>
      <c r="T517" s="88" t="inlineStr">
        <is>
          <t>Press Release</t>
        </is>
      </c>
      <c r="U517" s="67" t="n"/>
    </row>
    <row r="518" ht="14.4" customFormat="1" customHeight="1" s="1013">
      <c r="A518" s="114" t="n">
        <v>446</v>
      </c>
      <c r="B518" s="77">
        <f>IF(INDEX(MO_SNA_IsHistoricalPeriod,,MATCH(F518,MO_Common_ColumnHeader,0)),"Historical","Forward")</f>
        <v/>
      </c>
      <c r="C518" s="67" t="n"/>
      <c r="D518" s="84" t="inlineStr">
        <is>
          <t>Non-Qualified deferred compensation expenses</t>
        </is>
      </c>
      <c r="E518" s="78" t="n"/>
      <c r="F518" s="77" t="inlineStr">
        <is>
          <t>FY2021</t>
        </is>
      </c>
      <c r="G518" s="77" t="n"/>
      <c r="H518" s="67" t="n"/>
      <c r="I518" s="2087" t="n">
        <v>4</v>
      </c>
      <c r="J518" s="2087" t="n">
        <v>4</v>
      </c>
      <c r="K518" s="2087">
        <f>AVERAGE(I518:J518)</f>
        <v/>
      </c>
      <c r="L518" s="67" t="n"/>
      <c r="M518" s="77">
        <f>IF(INDEX(MO_SNA_IsHistoricalPeriod,,MATCH(F518,MO_Common_ColumnHeader,0)),"Actual","Estimate")</f>
        <v/>
      </c>
      <c r="N518" s="2087">
        <f>IFERROR(INDEX(INDIRECT(E518),0,MATCH(F518,MO_Common_ColumnHeader,0)),"N/A")</f>
        <v/>
      </c>
      <c r="O518" s="67" t="n"/>
      <c r="P518" s="2169">
        <f>IF(ISNUMBER(N518),N518-K518,"N/A")</f>
        <v/>
      </c>
      <c r="Q518" s="2168">
        <f>IFERROR(IF(ISNUMBER(N518),(N518-K518)/ABS(K518),"N/A"),"N/A")</f>
        <v/>
      </c>
      <c r="R518" s="112" t="n"/>
      <c r="S518" s="80" t="n">
        <v>44494</v>
      </c>
      <c r="T518" s="88" t="inlineStr">
        <is>
          <t>Press Release</t>
        </is>
      </c>
      <c r="U518" s="67" t="n"/>
    </row>
    <row r="519" ht="14.4" customFormat="1" customHeight="1" s="1013">
      <c r="A519" s="114" t="n">
        <v>445</v>
      </c>
      <c r="B519" s="77">
        <f>IF(INDEX(MO_SNA_IsHistoricalPeriod,,MATCH(F519,MO_Common_ColumnHeader,0)),"Historical","Forward")</f>
        <v/>
      </c>
      <c r="C519" s="67" t="n"/>
      <c r="D519" s="84" t="inlineStr">
        <is>
          <t>Special charges</t>
        </is>
      </c>
      <c r="E519" s="78" t="n"/>
      <c r="F519" s="77" t="inlineStr">
        <is>
          <t>FY2021</t>
        </is>
      </c>
      <c r="G519" s="77" t="n"/>
      <c r="H519" s="67" t="n"/>
      <c r="I519" s="2087" t="n">
        <v>27</v>
      </c>
      <c r="J519" s="2087" t="n">
        <v>27</v>
      </c>
      <c r="K519" s="2087">
        <f>AVERAGE(I519:J519)</f>
        <v/>
      </c>
      <c r="L519" s="67" t="n"/>
      <c r="M519" s="77">
        <f>IF(INDEX(MO_SNA_IsHistoricalPeriod,,MATCH(F519,MO_Common_ColumnHeader,0)),"Actual","Estimate")</f>
        <v/>
      </c>
      <c r="N519" s="2087">
        <f>IFERROR(INDEX(INDIRECT(E519),0,MATCH(F519,MO_Common_ColumnHeader,0)),"N/A")</f>
        <v/>
      </c>
      <c r="O519" s="67" t="n"/>
      <c r="P519" s="2169">
        <f>IF(ISNUMBER(N519),N519-K519,"N/A")</f>
        <v/>
      </c>
      <c r="Q519" s="2168">
        <f>IFERROR(IF(ISNUMBER(N519),(N519-K519)/ABS(K519),"N/A"),"N/A")</f>
        <v/>
      </c>
      <c r="R519" s="112" t="n"/>
      <c r="S519" s="80" t="n">
        <v>44494</v>
      </c>
      <c r="T519" s="88" t="inlineStr">
        <is>
          <t>Press Release</t>
        </is>
      </c>
      <c r="U519" s="67" t="n"/>
    </row>
    <row r="520" ht="14.4" customFormat="1" customHeight="1" s="1013">
      <c r="A520" s="114" t="n">
        <v>444</v>
      </c>
      <c r="B520" s="77">
        <f>IF(INDEX(MO_SNA_IsHistoricalPeriod,,MATCH(F520,MO_Common_ColumnHeader,0)),"Historical","Forward")</f>
        <v/>
      </c>
      <c r="C520" s="67" t="n"/>
      <c r="D520" s="84" t="inlineStr">
        <is>
          <t>Other income or expense related to investments and non-qualified deferred compensation plan assets</t>
        </is>
      </c>
      <c r="E520" s="78" t="n"/>
      <c r="F520" s="77" t="inlineStr">
        <is>
          <t>FY2021</t>
        </is>
      </c>
      <c r="G520" s="77" t="n"/>
      <c r="H520" s="67" t="n"/>
      <c r="I520" s="2087" t="n">
        <v>-4</v>
      </c>
      <c r="J520" s="2087" t="n">
        <v>-4</v>
      </c>
      <c r="K520" s="2087">
        <f>AVERAGE(I520:J520)</f>
        <v/>
      </c>
      <c r="L520" s="67" t="n"/>
      <c r="M520" s="77">
        <f>IF(INDEX(MO_SNA_IsHistoricalPeriod,,MATCH(F520,MO_Common_ColumnHeader,0)),"Actual","Estimate")</f>
        <v/>
      </c>
      <c r="N520" s="2087">
        <f>IFERROR(INDEX(INDIRECT(E520),0,MATCH(F520,MO_Common_ColumnHeader,0)),"N/A")</f>
        <v/>
      </c>
      <c r="O520" s="67" t="n"/>
      <c r="P520" s="2169">
        <f>IF(ISNUMBER(N520),N520-K520,"N/A")</f>
        <v/>
      </c>
      <c r="Q520" s="2168">
        <f>IFERROR(IF(ISNUMBER(N520),(N520-K520)/ABS(K520),"N/A"),"N/A")</f>
        <v/>
      </c>
      <c r="R520" s="112" t="n"/>
      <c r="S520" s="80" t="n">
        <v>44494</v>
      </c>
      <c r="T520" s="88" t="inlineStr">
        <is>
          <t>Press Release</t>
        </is>
      </c>
      <c r="U520" s="67" t="n"/>
    </row>
    <row r="521" ht="14.4" customFormat="1" customHeight="1" s="1013">
      <c r="A521" s="114" t="n">
        <v>443</v>
      </c>
      <c r="B521" s="77">
        <f>IF(INDEX(MO_SNA_IsHistoricalPeriod,,MATCH(F521,MO_Common_ColumnHeader,0)),"Historical","Forward")</f>
        <v/>
      </c>
      <c r="C521" s="67" t="n"/>
      <c r="D521" s="84" t="inlineStr">
        <is>
          <t>GAAP Tax Rate</t>
        </is>
      </c>
      <c r="E521" s="78" t="inlineStr">
        <is>
          <t>MO_RIS_TaxRate</t>
        </is>
      </c>
      <c r="F521" s="77" t="inlineStr">
        <is>
          <t>FY2021</t>
        </is>
      </c>
      <c r="G521" s="77" t="n"/>
      <c r="H521" s="67" t="n"/>
      <c r="I521" s="2108" t="n">
        <v>0.12</v>
      </c>
      <c r="J521" s="2108" t="n">
        <v>0.12</v>
      </c>
      <c r="K521" s="2108">
        <f>AVERAGE(I521:J521)</f>
        <v/>
      </c>
      <c r="L521" s="67" t="n"/>
      <c r="M521" s="77">
        <f>IF(INDEX(MO_SNA_IsHistoricalPeriod,,MATCH(F521,MO_Common_ColumnHeader,0)),"Actual","Estimate")</f>
        <v/>
      </c>
      <c r="N521" s="2108">
        <f>IFERROR(INDEX(INDIRECT(E521),0,MATCH(F521,MO_Common_ColumnHeader,0)),"N/A")</f>
        <v/>
      </c>
      <c r="O521" s="67" t="n"/>
      <c r="P521" s="2168">
        <f>IF(ISNUMBER(N521),N521-K521,"N/A")</f>
        <v/>
      </c>
      <c r="Q521" s="2168">
        <f>IFERROR(IF(ISNUMBER(N521),(N521-K521)/ABS(K521),"N/A"),"N/A")</f>
        <v/>
      </c>
      <c r="R521" s="112" t="n"/>
      <c r="S521" s="80" t="n">
        <v>44494</v>
      </c>
      <c r="T521" s="88" t="inlineStr">
        <is>
          <t>CFO Commentary</t>
        </is>
      </c>
      <c r="U521" s="67" t="n"/>
    </row>
    <row r="522" ht="14.4" customFormat="1" customHeight="1" s="1013">
      <c r="A522" s="114" t="n">
        <v>442</v>
      </c>
      <c r="B522" s="77">
        <f>IF(INDEX(MO_SNA_IsHistoricalPeriod,,MATCH(F522,MO_Common_ColumnHeader,0)),"Historical","Forward")</f>
        <v/>
      </c>
      <c r="C522" s="67" t="n"/>
      <c r="D522" s="84">
        <f>INDEX(INDIRECT(E522),0,COLUMN(MO_Common_Column_A))</f>
        <v/>
      </c>
      <c r="E522" s="78" t="inlineStr">
        <is>
          <t>MO_RIS_TaxRate_NONGAAP</t>
        </is>
      </c>
      <c r="F522" s="77" t="inlineStr">
        <is>
          <t>FY2021</t>
        </is>
      </c>
      <c r="G522" s="77" t="n"/>
      <c r="H522" s="67" t="n"/>
      <c r="I522" s="2108" t="n">
        <v>0.16</v>
      </c>
      <c r="J522" s="2108" t="n">
        <v>0.16</v>
      </c>
      <c r="K522" s="2108">
        <f>AVERAGE(I522:J522)</f>
        <v/>
      </c>
      <c r="L522" s="67" t="n"/>
      <c r="M522" s="77">
        <f>IF(INDEX(MO_SNA_IsHistoricalPeriod,,MATCH(F522,MO_Common_ColumnHeader,0)),"Actual","Estimate")</f>
        <v/>
      </c>
      <c r="N522" s="2108">
        <f>IFERROR(INDEX(INDIRECT(E522),0,MATCH(F522,MO_Common_ColumnHeader,0)),"N/A")</f>
        <v/>
      </c>
      <c r="O522" s="67" t="n"/>
      <c r="P522" s="2168">
        <f>IF(ISNUMBER(N522),N522-K522,"N/A")</f>
        <v/>
      </c>
      <c r="Q522" s="2168">
        <f>IFERROR(IF(ISNUMBER(N522),(N522-K522)/ABS(K522),"N/A"),"N/A")</f>
        <v/>
      </c>
      <c r="R522" s="112" t="n"/>
      <c r="S522" s="80" t="n">
        <v>44494</v>
      </c>
      <c r="T522" s="88" t="inlineStr">
        <is>
          <t>CFO Commentary</t>
        </is>
      </c>
      <c r="U522" s="67" t="n"/>
    </row>
    <row r="523" ht="14.4" customFormat="1" customHeight="1" s="1013">
      <c r="A523" s="114" t="n">
        <v>441</v>
      </c>
      <c r="B523" s="77">
        <f>IF(INDEX(MO_SNA_IsHistoricalPeriod,,MATCH(F523,MO_Common_ColumnHeader,0)),"Historical","Forward")</f>
        <v/>
      </c>
      <c r="C523" s="67" t="n"/>
      <c r="D523" s="84" t="inlineStr">
        <is>
          <t>Income tax effect on non-GAAP adjustments</t>
        </is>
      </c>
      <c r="E523" s="78" t="n"/>
      <c r="F523" s="77" t="inlineStr">
        <is>
          <t>FY2021</t>
        </is>
      </c>
      <c r="G523" s="77" t="n"/>
      <c r="H523" s="67" t="n"/>
      <c r="I523" s="2087" t="n">
        <v>-84</v>
      </c>
      <c r="J523" s="2087" t="n">
        <v>-84</v>
      </c>
      <c r="K523" s="2087">
        <f>AVERAGE(I523:J523)</f>
        <v/>
      </c>
      <c r="L523" s="67" t="n"/>
      <c r="M523" s="77">
        <f>IF(INDEX(MO_SNA_IsHistoricalPeriod,,MATCH(F523,MO_Common_ColumnHeader,0)),"Actual","Estimate")</f>
        <v/>
      </c>
      <c r="N523" s="2087">
        <f>IFERROR(INDEX(INDIRECT(E523),0,MATCH(F523,MO_Common_ColumnHeader,0)),"N/A")</f>
        <v/>
      </c>
      <c r="O523" s="67" t="n"/>
      <c r="P523" s="2169">
        <f>IF(ISNUMBER(N523),N523-K523,"N/A")</f>
        <v/>
      </c>
      <c r="Q523" s="2168">
        <f>IFERROR(IF(ISNUMBER(N523),(N523-K523)/ABS(K523),"N/A"),"N/A")</f>
        <v/>
      </c>
      <c r="R523" s="112" t="n"/>
      <c r="S523" s="80" t="n">
        <v>44494</v>
      </c>
      <c r="T523" s="88" t="inlineStr">
        <is>
          <t>Press Release</t>
        </is>
      </c>
      <c r="U523" s="67" t="n"/>
    </row>
    <row r="524" ht="14.4" customFormat="1" customHeight="1" s="1013">
      <c r="A524" s="114" t="n">
        <v>440</v>
      </c>
      <c r="B524" s="77">
        <f>IF(INDEX(MO_SNA_IsHistoricalPeriod,,MATCH(F524,MO_Common_ColumnHeader,0)),"Historical","Forward")</f>
        <v/>
      </c>
      <c r="C524" s="67" t="n"/>
      <c r="D524" s="84">
        <f>INDEX(INDIRECT(E524),0,COLUMN(MO_Common_Column_A))</f>
        <v/>
      </c>
      <c r="E524" s="78" t="inlineStr">
        <is>
          <t>MO_RIS_ShareCount_WAD</t>
        </is>
      </c>
      <c r="F524" s="77" t="inlineStr">
        <is>
          <t>FY2021</t>
        </is>
      </c>
      <c r="G524" s="77" t="n"/>
      <c r="H524" s="67" t="n"/>
      <c r="I524" s="2087" t="n">
        <v>278</v>
      </c>
      <c r="J524" s="2087" t="n">
        <v>280</v>
      </c>
      <c r="K524" s="2087">
        <f>AVERAGE(I524:J524)</f>
        <v/>
      </c>
      <c r="L524" s="67" t="n"/>
      <c r="M524" s="77">
        <f>IF(INDEX(MO_SNA_IsHistoricalPeriod,,MATCH(F524,MO_Common_ColumnHeader,0)),"Actual","Estimate")</f>
        <v/>
      </c>
      <c r="N524" s="2087">
        <f>IFERROR(INDEX(INDIRECT(E524),0,MATCH(F524,MO_Common_ColumnHeader,0)),"N/A")</f>
        <v/>
      </c>
      <c r="O524" s="67" t="n"/>
      <c r="P524" s="2169">
        <f>IF(ISNUMBER(N524),N524-K524,"N/A")</f>
        <v/>
      </c>
      <c r="Q524" s="2168">
        <f>IFERROR(IF(ISNUMBER(N524),(N524-K524)/ABS(K524),"N/A"),"N/A")</f>
        <v/>
      </c>
      <c r="R524" s="112" t="n"/>
      <c r="S524" s="80" t="n">
        <v>44494</v>
      </c>
      <c r="T524" s="88" t="inlineStr">
        <is>
          <t>CFO Commentary</t>
        </is>
      </c>
      <c r="U524" s="67" t="n"/>
    </row>
    <row r="525" ht="14.4" customFormat="1" customHeight="1" s="1013">
      <c r="A525" s="114" t="n">
        <v>439</v>
      </c>
      <c r="B525" s="77">
        <f>IF(INDEX(MO_SNA_IsHistoricalPeriod,,MATCH(F525,MO_Common_ColumnHeader,0)),"Historical","Forward")</f>
        <v/>
      </c>
      <c r="C525" s="67" t="n"/>
      <c r="D525" s="84">
        <f>INDEX(INDIRECT(E525),0,COLUMN(MO_Common_Column_A))</f>
        <v/>
      </c>
      <c r="E525" s="78" t="inlineStr">
        <is>
          <t>MO_RIS_NI_GAAP_Diluted</t>
        </is>
      </c>
      <c r="F525" s="77" t="inlineStr">
        <is>
          <t>FY2021</t>
        </is>
      </c>
      <c r="G525" s="77" t="n"/>
      <c r="H525" s="67" t="n"/>
      <c r="I525" s="2087" t="n">
        <v>657</v>
      </c>
      <c r="J525" s="2087" t="n">
        <v>669</v>
      </c>
      <c r="K525" s="2087">
        <f>AVERAGE(I525:J525)</f>
        <v/>
      </c>
      <c r="L525" s="67" t="n"/>
      <c r="M525" s="77">
        <f>IF(INDEX(MO_SNA_IsHistoricalPeriod,,MATCH(F525,MO_Common_ColumnHeader,0)),"Actual","Estimate")</f>
        <v/>
      </c>
      <c r="N525" s="2087">
        <f>IFERROR(INDEX(INDIRECT(E525),0,MATCH(F525,MO_Common_ColumnHeader,0)),"N/A")</f>
        <v/>
      </c>
      <c r="O525" s="67" t="n"/>
      <c r="P525" s="2169">
        <f>IF(ISNUMBER(N525),N525-K525,"N/A")</f>
        <v/>
      </c>
      <c r="Q525" s="2168">
        <f>IFERROR(IF(ISNUMBER(N525),(N525-K525)/ABS(K525),"N/A"),"N/A")</f>
        <v/>
      </c>
      <c r="R525" s="112" t="n"/>
      <c r="S525" s="80" t="n">
        <v>44494</v>
      </c>
      <c r="T525" s="88" t="inlineStr">
        <is>
          <t>Press Release</t>
        </is>
      </c>
      <c r="U525" s="67" t="n"/>
    </row>
    <row r="526" ht="14.4" customFormat="1" customHeight="1" s="1013">
      <c r="A526" s="114" t="n">
        <v>438</v>
      </c>
      <c r="B526" s="77">
        <f>IF(INDEX(MO_SNA_IsHistoricalPeriod,,MATCH(F526,MO_Common_ColumnHeader,0)),"Historical","Forward")</f>
        <v/>
      </c>
      <c r="C526" s="67" t="n"/>
      <c r="D526" s="84">
        <f>INDEX(INDIRECT(E526),0,COLUMN(MO_Common_Column_A))</f>
        <v/>
      </c>
      <c r="E526" s="78" t="inlineStr">
        <is>
          <t>MO_RIS_NI_NONGAAP_Diluted</t>
        </is>
      </c>
      <c r="F526" s="77" t="inlineStr">
        <is>
          <t>FY2021</t>
        </is>
      </c>
      <c r="G526" s="77" t="n"/>
      <c r="H526" s="67" t="n"/>
      <c r="I526" s="2087" t="n">
        <v>902</v>
      </c>
      <c r="J526" s="2087" t="n">
        <v>914</v>
      </c>
      <c r="K526" s="2087">
        <f>AVERAGE(I526:J526)</f>
        <v/>
      </c>
      <c r="L526" s="67" t="n"/>
      <c r="M526" s="77">
        <f>IF(INDEX(MO_SNA_IsHistoricalPeriod,,MATCH(F526,MO_Common_ColumnHeader,0)),"Actual","Estimate")</f>
        <v/>
      </c>
      <c r="N526" s="2087">
        <f>IFERROR(INDEX(INDIRECT(E526),0,MATCH(F526,MO_Common_ColumnHeader,0)),"N/A")</f>
        <v/>
      </c>
      <c r="O526" s="67" t="n"/>
      <c r="P526" s="2169">
        <f>IF(ISNUMBER(N526),N526-K526,"N/A")</f>
        <v/>
      </c>
      <c r="Q526" s="2168">
        <f>IFERROR(IF(ISNUMBER(N526),(N526-K526)/ABS(K526),"N/A"),"N/A")</f>
        <v/>
      </c>
      <c r="R526" s="112" t="n"/>
      <c r="S526" s="80" t="n">
        <v>44494</v>
      </c>
      <c r="T526" s="88" t="inlineStr">
        <is>
          <t>Press Release</t>
        </is>
      </c>
      <c r="U526" s="67" t="n"/>
    </row>
    <row r="527" ht="14.4" customFormat="1" customHeight="1" s="1013">
      <c r="A527" s="114" t="n">
        <v>437</v>
      </c>
      <c r="B527" s="67" t="n"/>
      <c r="C527" s="67" t="n"/>
      <c r="D527" s="68" t="n"/>
      <c r="E527" s="69" t="n"/>
      <c r="F527" s="67" t="n"/>
      <c r="G527" s="67" t="n"/>
      <c r="H527" s="67" t="n"/>
      <c r="I527" s="2072" t="n"/>
      <c r="J527" s="2072" t="n"/>
      <c r="K527" s="2072" t="n"/>
      <c r="L527" s="67" t="n"/>
      <c r="M527" s="67" t="n"/>
      <c r="N527" s="2072" t="n"/>
      <c r="O527" s="67" t="n"/>
      <c r="P527" s="2172" t="n"/>
      <c r="Q527" s="2173" t="n"/>
      <c r="R527" s="112" t="n"/>
      <c r="S527" s="72" t="n"/>
      <c r="T527" s="89" t="n"/>
      <c r="U527" s="67" t="n"/>
    </row>
    <row r="528" ht="14.4" customFormat="1" customHeight="1" s="1013">
      <c r="A528" s="114" t="n">
        <v>436</v>
      </c>
      <c r="B528" s="77">
        <f>IF(INDEX(MO_SNA_IsHistoricalPeriod,,MATCH(F528,MO_Common_ColumnHeader,0)),"Historical","Forward")</f>
        <v/>
      </c>
      <c r="C528" s="67" t="n"/>
      <c r="D528" s="84">
        <f>INDEX(INDIRECT(E528),0,COLUMN(MO_Common_Column_A))</f>
        <v/>
      </c>
      <c r="E528" s="78" t="inlineStr">
        <is>
          <t>MO_RIS_REV</t>
        </is>
      </c>
      <c r="F528" s="77" t="inlineStr">
        <is>
          <t>Q4-2021</t>
        </is>
      </c>
      <c r="G528" s="77" t="n"/>
      <c r="H528" s="67" t="n"/>
      <c r="I528" s="2087" t="n">
        <v>745</v>
      </c>
      <c r="J528" s="2087" t="n">
        <v>765</v>
      </c>
      <c r="K528" s="2087">
        <f>AVERAGE(I528:J528)</f>
        <v/>
      </c>
      <c r="L528" s="67" t="n"/>
      <c r="M528" s="77">
        <f>IF(INDEX(MO_SNA_IsHistoricalPeriod,,MATCH(F528,MO_Common_ColumnHeader,0)),"Actual","Estimate")</f>
        <v/>
      </c>
      <c r="N528" s="2087">
        <f>IFERROR(INDEX(INDIRECT(E528),0,MATCH(F528,MO_Common_ColumnHeader,0)),"N/A")</f>
        <v/>
      </c>
      <c r="O528" s="67" t="n"/>
      <c r="P528" s="2169">
        <f>IF(ISNUMBER(N528),N528-K528,"N/A")</f>
        <v/>
      </c>
      <c r="Q528" s="2168">
        <f>IFERROR(IF(ISNUMBER(N528),(N528-K528)/ABS(K528),"N/A"),"N/A")</f>
        <v/>
      </c>
      <c r="R528" s="112" t="n"/>
      <c r="S528" s="80" t="n">
        <v>44494</v>
      </c>
      <c r="T528" s="88" t="inlineStr">
        <is>
          <t>CFO Commentary</t>
        </is>
      </c>
      <c r="U528" s="67" t="n"/>
    </row>
    <row r="529" ht="14.4" customFormat="1" customHeight="1" s="1013">
      <c r="A529" s="114" t="n">
        <v>435</v>
      </c>
      <c r="B529" s="77">
        <f>IF(INDEX(MO_SNA_IsHistoricalPeriod,,MATCH(F529,MO_Common_ColumnHeader,0)),"Historical","Forward")</f>
        <v/>
      </c>
      <c r="C529" s="67" t="n"/>
      <c r="D529" s="84" t="inlineStr">
        <is>
          <t>GAAP Operating Margin</t>
        </is>
      </c>
      <c r="E529" s="78" t="inlineStr">
        <is>
          <t>MO_MA_EBIT</t>
        </is>
      </c>
      <c r="F529" s="77" t="inlineStr">
        <is>
          <t>Q4-2021</t>
        </is>
      </c>
      <c r="G529" s="77" t="n"/>
      <c r="H529" s="67" t="n"/>
      <c r="I529" s="2108" t="n">
        <v>0.24</v>
      </c>
      <c r="J529" s="2108" t="n">
        <v>0.24</v>
      </c>
      <c r="K529" s="2108">
        <f>AVERAGE(I529:J529)</f>
        <v/>
      </c>
      <c r="L529" s="67" t="n"/>
      <c r="M529" s="77">
        <f>IF(INDEX(MO_SNA_IsHistoricalPeriod,,MATCH(F529,MO_Common_ColumnHeader,0)),"Actual","Estimate")</f>
        <v/>
      </c>
      <c r="N529" s="2108">
        <f>IFERROR(INDEX(INDIRECT(E529),0,MATCH(F529,MO_Common_ColumnHeader,0)),"N/A")</f>
        <v/>
      </c>
      <c r="O529" s="67" t="n"/>
      <c r="P529" s="2168">
        <f>IF(ISNUMBER(N529),N529-K529,"N/A")</f>
        <v/>
      </c>
      <c r="Q529" s="2168">
        <f>IFERROR(IF(ISNUMBER(N529),(N529-K529)/ABS(K529),"N/A"),"N/A")</f>
        <v/>
      </c>
      <c r="R529" s="112" t="n"/>
      <c r="S529" s="80" t="n">
        <v>44494</v>
      </c>
      <c r="T529" s="88" t="inlineStr">
        <is>
          <t>CFO Commentary</t>
        </is>
      </c>
      <c r="U529" s="67" t="n"/>
    </row>
    <row r="530" ht="14.4" customFormat="1" customHeight="1" s="1013">
      <c r="A530" s="114" t="n">
        <v>434</v>
      </c>
      <c r="B530" s="77">
        <f>IF(INDEX(MO_SNA_IsHistoricalPeriod,,MATCH(F530,MO_Common_ColumnHeader,0)),"Historical","Forward")</f>
        <v/>
      </c>
      <c r="C530" s="67" t="n"/>
      <c r="D530" s="84">
        <f>INDEX(INDIRECT(E530),0,COLUMN(MO_Common_Column_A))</f>
        <v/>
      </c>
      <c r="E530" s="78" t="inlineStr">
        <is>
          <t>MO_MA_OperatingIncome_NONGAAP</t>
        </is>
      </c>
      <c r="F530" s="77" t="inlineStr">
        <is>
          <t>Q4-2021</t>
        </is>
      </c>
      <c r="G530" s="77" t="n"/>
      <c r="H530" s="67" t="n"/>
      <c r="I530" s="2108" t="n">
        <v>0.35</v>
      </c>
      <c r="J530" s="2108" t="n">
        <v>0.35</v>
      </c>
      <c r="K530" s="2108">
        <f>AVERAGE(I530:J530)</f>
        <v/>
      </c>
      <c r="L530" s="67" t="n"/>
      <c r="M530" s="77">
        <f>IF(INDEX(MO_SNA_IsHistoricalPeriod,,MATCH(F530,MO_Common_ColumnHeader,0)),"Actual","Estimate")</f>
        <v/>
      </c>
      <c r="N530" s="2108">
        <f>IFERROR(INDEX(INDIRECT(E530),0,MATCH(F530,MO_Common_ColumnHeader,0)),"N/A")</f>
        <v/>
      </c>
      <c r="O530" s="67" t="n"/>
      <c r="P530" s="2168">
        <f>IF(ISNUMBER(N530),N530-K530,"N/A")</f>
        <v/>
      </c>
      <c r="Q530" s="2168">
        <f>IFERROR(IF(ISNUMBER(N530),(N530-K530)/ABS(K530),"N/A"),"N/A")</f>
        <v/>
      </c>
      <c r="R530" s="112" t="n"/>
      <c r="S530" s="80" t="n">
        <v>44494</v>
      </c>
      <c r="T530" s="88" t="inlineStr">
        <is>
          <t>CFO Commentary</t>
        </is>
      </c>
      <c r="U530" s="67" t="n"/>
    </row>
    <row r="531" ht="14.4" customFormat="1" customHeight="1" s="1013">
      <c r="A531" s="114" t="n">
        <v>433</v>
      </c>
      <c r="B531" s="77">
        <f>IF(INDEX(MO_SNA_IsHistoricalPeriod,,MATCH(F531,MO_Common_ColumnHeader,0)),"Historical","Forward")</f>
        <v/>
      </c>
      <c r="C531" s="67" t="n"/>
      <c r="D531" s="84">
        <f>INDEX(INDIRECT(E531),0,COLUMN(MO_Common_Column_A))</f>
        <v/>
      </c>
      <c r="E531" s="78" t="inlineStr">
        <is>
          <t>MO_RIS_EPS_WAD</t>
        </is>
      </c>
      <c r="F531" s="77" t="inlineStr">
        <is>
          <t>Q4-2021</t>
        </is>
      </c>
      <c r="G531" s="77" t="n"/>
      <c r="H531" s="67" t="n"/>
      <c r="I531" s="2170" t="n">
        <v>0.49</v>
      </c>
      <c r="J531" s="2170" t="n">
        <v>0.53</v>
      </c>
      <c r="K531" s="2170">
        <f>AVERAGE(I531:J531)</f>
        <v/>
      </c>
      <c r="L531" s="67" t="n"/>
      <c r="M531" s="77">
        <f>IF(INDEX(MO_SNA_IsHistoricalPeriod,,MATCH(F531,MO_Common_ColumnHeader,0)),"Actual","Estimate")</f>
        <v/>
      </c>
      <c r="N531" s="2170">
        <f>IFERROR(INDEX(INDIRECT(E531),0,MATCH(F531,MO_Common_ColumnHeader,0)),"N/A")</f>
        <v/>
      </c>
      <c r="O531" s="67" t="n"/>
      <c r="P531" s="2171">
        <f>IF(ISNUMBER(N531),N531-K531,"N/A")</f>
        <v/>
      </c>
      <c r="Q531" s="2168">
        <f>IFERROR(IF(ISNUMBER(N531),(N531-K531)/ABS(K531),"N/A"),"N/A")</f>
        <v/>
      </c>
      <c r="R531" s="112" t="n"/>
      <c r="S531" s="80" t="n">
        <v>44494</v>
      </c>
      <c r="T531" s="88" t="inlineStr">
        <is>
          <t>CFO Commentary</t>
        </is>
      </c>
      <c r="U531" s="67" t="n"/>
    </row>
    <row r="532" ht="14.4" customFormat="1" customHeight="1" s="1013">
      <c r="A532" s="114" t="n">
        <v>432</v>
      </c>
      <c r="B532" s="77">
        <f>IF(INDEX(MO_SNA_IsHistoricalPeriod,,MATCH(F532,MO_Common_ColumnHeader,0)),"Historical","Forward")</f>
        <v/>
      </c>
      <c r="C532" s="67" t="n"/>
      <c r="D532" s="84">
        <f>INDEX(INDIRECT(E532),0,COLUMN(MO_Common_Column_A))</f>
        <v/>
      </c>
      <c r="E532" s="78" t="inlineStr">
        <is>
          <t>MO_RIS_EPS_WAD_Adj</t>
        </is>
      </c>
      <c r="F532" s="77" t="inlineStr">
        <is>
          <t>Q4-2021</t>
        </is>
      </c>
      <c r="G532" s="77" t="n"/>
      <c r="H532" s="67" t="n"/>
      <c r="I532" s="2170" t="n">
        <v>0.76</v>
      </c>
      <c r="J532" s="2170" t="n">
        <v>0.8</v>
      </c>
      <c r="K532" s="2170">
        <f>AVERAGE(I532:J532)</f>
        <v/>
      </c>
      <c r="L532" s="67" t="n"/>
      <c r="M532" s="77">
        <f>IF(INDEX(MO_SNA_IsHistoricalPeriod,,MATCH(F532,MO_Common_ColumnHeader,0)),"Actual","Estimate")</f>
        <v/>
      </c>
      <c r="N532" s="2170">
        <f>IFERROR(INDEX(INDIRECT(E532),0,MATCH(F532,MO_Common_ColumnHeader,0)),"N/A")</f>
        <v/>
      </c>
      <c r="O532" s="67" t="n"/>
      <c r="P532" s="2171">
        <f>IF(ISNUMBER(N532),N532-K532,"N/A")</f>
        <v/>
      </c>
      <c r="Q532" s="2168">
        <f>IFERROR(IF(ISNUMBER(N532),(N532-K532)/ABS(K532),"N/A"),"N/A")</f>
        <v/>
      </c>
      <c r="R532" s="112" t="n"/>
      <c r="S532" s="80" t="n">
        <v>44494</v>
      </c>
      <c r="T532" s="88" t="inlineStr">
        <is>
          <t>CFO Commentary</t>
        </is>
      </c>
      <c r="U532" s="67" t="n"/>
    </row>
    <row r="533" ht="14.4" customFormat="1" customHeight="1" s="1013">
      <c r="A533" s="114" t="n">
        <v>431</v>
      </c>
      <c r="B533" s="77">
        <f>IF(INDEX(MO_SNA_IsHistoricalPeriod,,MATCH(F533,MO_Common_ColumnHeader,0)),"Historical","Forward")</f>
        <v/>
      </c>
      <c r="C533" s="67" t="n"/>
      <c r="D533" s="84">
        <f>INDEX(INDIRECT(E533),0,COLUMN(MO_Common_Column_A))</f>
        <v/>
      </c>
      <c r="E533" s="78" t="inlineStr">
        <is>
          <t>MO_RIS_Daintangibles</t>
        </is>
      </c>
      <c r="F533" s="77" t="inlineStr">
        <is>
          <t>Q4-2021</t>
        </is>
      </c>
      <c r="G533" s="77" t="n"/>
      <c r="H533" s="67" t="n"/>
      <c r="I533" s="2087" t="n">
        <v>17</v>
      </c>
      <c r="J533" s="2087" t="n">
        <v>17</v>
      </c>
      <c r="K533" s="2087">
        <f>AVERAGE(I533:J533)</f>
        <v/>
      </c>
      <c r="L533" s="67" t="n"/>
      <c r="M533" s="77">
        <f>IF(INDEX(MO_SNA_IsHistoricalPeriod,,MATCH(F533,MO_Common_ColumnHeader,0)),"Actual","Estimate")</f>
        <v/>
      </c>
      <c r="N533" s="2087">
        <f>IFERROR(INDEX(INDIRECT(E533),0,MATCH(F533,MO_Common_ColumnHeader,0)),"N/A")</f>
        <v/>
      </c>
      <c r="O533" s="67" t="n"/>
      <c r="P533" s="2169">
        <f>IF(ISNUMBER(N533),N533-K533,"N/A")</f>
        <v/>
      </c>
      <c r="Q533" s="2168">
        <f>IFERROR(IF(ISNUMBER(N533),(N533-K533)/ABS(K533),"N/A"),"N/A")</f>
        <v/>
      </c>
      <c r="R533" s="112" t="n"/>
      <c r="S533" s="80" t="n">
        <v>44494</v>
      </c>
      <c r="T533" s="88" t="inlineStr">
        <is>
          <t>Press Release</t>
        </is>
      </c>
      <c r="U533" s="67" t="n"/>
    </row>
    <row r="534" ht="14.4" customFormat="1" customHeight="1" s="1013">
      <c r="A534" s="114" t="n">
        <v>430</v>
      </c>
      <c r="B534" s="77">
        <f>IF(INDEX(MO_SNA_IsHistoricalPeriod,,MATCH(F534,MO_Common_ColumnHeader,0)),"Historical","Forward")</f>
        <v/>
      </c>
      <c r="C534" s="67" t="n"/>
      <c r="D534" s="84">
        <f>INDEX(INDIRECT(E534),0,COLUMN(MO_Common_Column_A))</f>
        <v/>
      </c>
      <c r="E534" s="78" t="inlineStr">
        <is>
          <t>MO_RIS_SBC</t>
        </is>
      </c>
      <c r="F534" s="77" t="inlineStr">
        <is>
          <t>Q4-2021</t>
        </is>
      </c>
      <c r="G534" s="77" t="n"/>
      <c r="H534" s="67" t="n"/>
      <c r="I534" s="2087" t="n">
        <v>58</v>
      </c>
      <c r="J534" s="2087" t="n">
        <v>58</v>
      </c>
      <c r="K534" s="2087">
        <f>AVERAGE(I534:J534)</f>
        <v/>
      </c>
      <c r="L534" s="67" t="n"/>
      <c r="M534" s="77">
        <f>IF(INDEX(MO_SNA_IsHistoricalPeriod,,MATCH(F534,MO_Common_ColumnHeader,0)),"Actual","Estimate")</f>
        <v/>
      </c>
      <c r="N534" s="2087">
        <f>IFERROR(INDEX(INDIRECT(E534),0,MATCH(F534,MO_Common_ColumnHeader,0)),"N/A")</f>
        <v/>
      </c>
      <c r="O534" s="67" t="n"/>
      <c r="P534" s="2169">
        <f>IF(ISNUMBER(N534),N534-K534,"N/A")</f>
        <v/>
      </c>
      <c r="Q534" s="2168">
        <f>IFERROR(IF(ISNUMBER(N534),(N534-K534)/ABS(K534),"N/A"),"N/A")</f>
        <v/>
      </c>
      <c r="R534" s="112" t="n"/>
      <c r="S534" s="80" t="n">
        <v>44494</v>
      </c>
      <c r="T534" s="88" t="inlineStr">
        <is>
          <t>Press Release</t>
        </is>
      </c>
      <c r="U534" s="67" t="n"/>
    </row>
    <row r="535" ht="14.4" customFormat="1" customHeight="1" s="1013">
      <c r="A535" s="114" t="n">
        <v>429</v>
      </c>
      <c r="B535" s="77">
        <f>IF(INDEX(MO_SNA_IsHistoricalPeriod,,MATCH(F535,MO_Common_ColumnHeader,0)),"Historical","Forward")</f>
        <v/>
      </c>
      <c r="C535" s="67" t="n"/>
      <c r="D535" s="84" t="inlineStr">
        <is>
          <t>Acquisition and integration-related costs</t>
        </is>
      </c>
      <c r="E535" s="78" t="n"/>
      <c r="F535" s="77" t="inlineStr">
        <is>
          <t>Q4-2021</t>
        </is>
      </c>
      <c r="G535" s="77" t="n"/>
      <c r="H535" s="67" t="n"/>
      <c r="I535" s="2087" t="n">
        <v>6</v>
      </c>
      <c r="J535" s="2087" t="n">
        <v>6</v>
      </c>
      <c r="K535" s="2087">
        <f>AVERAGE(I535:J535)</f>
        <v/>
      </c>
      <c r="L535" s="67" t="n"/>
      <c r="M535" s="77">
        <f>IF(INDEX(MO_SNA_IsHistoricalPeriod,,MATCH(F535,MO_Common_ColumnHeader,0)),"Actual","Estimate")</f>
        <v/>
      </c>
      <c r="N535" s="2087">
        <f>IFERROR(INDEX(INDIRECT(E535),0,MATCH(F535,MO_Common_ColumnHeader,0)),"N/A")</f>
        <v/>
      </c>
      <c r="O535" s="67" t="n"/>
      <c r="P535" s="2169">
        <f>IF(ISNUMBER(N535),N535-K535,"N/A")</f>
        <v/>
      </c>
      <c r="Q535" s="2168">
        <f>IFERROR(IF(ISNUMBER(N535),(N535-K535)/ABS(K535),"N/A"),"N/A")</f>
        <v/>
      </c>
      <c r="R535" s="112" t="n"/>
      <c r="S535" s="80" t="n">
        <v>44494</v>
      </c>
      <c r="T535" s="88" t="inlineStr">
        <is>
          <t>Press Release</t>
        </is>
      </c>
      <c r="U535" s="67" t="n"/>
    </row>
    <row r="536" ht="14.4" customFormat="1" customHeight="1" s="1013">
      <c r="A536" s="114" t="n">
        <v>428</v>
      </c>
      <c r="B536" s="77">
        <f>IF(INDEX(MO_SNA_IsHistoricalPeriod,,MATCH(F536,MO_Common_ColumnHeader,0)),"Historical","Forward")</f>
        <v/>
      </c>
      <c r="C536" s="67" t="n"/>
      <c r="D536" s="84" t="inlineStr">
        <is>
          <t>Special charges</t>
        </is>
      </c>
      <c r="E536" s="78" t="n"/>
      <c r="F536" s="77" t="inlineStr">
        <is>
          <t>Q4-2021</t>
        </is>
      </c>
      <c r="G536" s="77" t="n"/>
      <c r="H536" s="67" t="n"/>
      <c r="I536" s="2087" t="n">
        <v>0</v>
      </c>
      <c r="J536" s="2087" t="n">
        <v>0</v>
      </c>
      <c r="K536" s="2087">
        <f>AVERAGE(I536:J536)</f>
        <v/>
      </c>
      <c r="L536" s="67" t="n"/>
      <c r="M536" s="77">
        <f>IF(INDEX(MO_SNA_IsHistoricalPeriod,,MATCH(F536,MO_Common_ColumnHeader,0)),"Actual","Estimate")</f>
        <v/>
      </c>
      <c r="N536" s="2087">
        <f>IFERROR(INDEX(INDIRECT(E536),0,MATCH(F536,MO_Common_ColumnHeader,0)),"N/A")</f>
        <v/>
      </c>
      <c r="O536" s="67" t="n"/>
      <c r="P536" s="2169">
        <f>IF(ISNUMBER(N536),N536-K536,"N/A")</f>
        <v/>
      </c>
      <c r="Q536" s="2168">
        <f>IFERROR(IF(ISNUMBER(N536),(N536-K536)/ABS(K536),"N/A"),"N/A")</f>
        <v/>
      </c>
      <c r="R536" s="112" t="n"/>
      <c r="S536" s="80" t="n">
        <v>44494</v>
      </c>
      <c r="T536" s="88" t="inlineStr">
        <is>
          <t>Press Release</t>
        </is>
      </c>
      <c r="U536" s="67" t="n"/>
    </row>
    <row r="537" ht="14.4" customFormat="1" customHeight="1" s="1013">
      <c r="A537" s="114" t="n">
        <v>427</v>
      </c>
      <c r="B537" s="77">
        <f>IF(INDEX(MO_SNA_IsHistoricalPeriod,,MATCH(F537,MO_Common_ColumnHeader,0)),"Historical","Forward")</f>
        <v/>
      </c>
      <c r="C537" s="67" t="n"/>
      <c r="D537" s="84" t="inlineStr">
        <is>
          <t>Income tax effect on non-GAAP adjustments</t>
        </is>
      </c>
      <c r="E537" s="78" t="n"/>
      <c r="F537" s="77" t="inlineStr">
        <is>
          <t>Q4-2021</t>
        </is>
      </c>
      <c r="G537" s="77" t="n"/>
      <c r="H537" s="67" t="n"/>
      <c r="I537" s="2087" t="n">
        <v>-7</v>
      </c>
      <c r="J537" s="2087" t="n">
        <v>-7</v>
      </c>
      <c r="K537" s="2087">
        <f>AVERAGE(I537:J537)</f>
        <v/>
      </c>
      <c r="L537" s="67" t="n"/>
      <c r="M537" s="77">
        <f>IF(INDEX(MO_SNA_IsHistoricalPeriod,,MATCH(F537,MO_Common_ColumnHeader,0)),"Actual","Estimate")</f>
        <v/>
      </c>
      <c r="N537" s="2087">
        <f>IFERROR(INDEX(INDIRECT(E537),0,MATCH(F537,MO_Common_ColumnHeader,0)),"N/A")</f>
        <v/>
      </c>
      <c r="O537" s="67" t="n"/>
      <c r="P537" s="2169">
        <f>IF(ISNUMBER(N537),N537-K537,"N/A")</f>
        <v/>
      </c>
      <c r="Q537" s="2168">
        <f>IFERROR(IF(ISNUMBER(N537),(N537-K537)/ABS(K537),"N/A"),"N/A")</f>
        <v/>
      </c>
      <c r="R537" s="112" t="n"/>
      <c r="S537" s="80" t="n">
        <v>44494</v>
      </c>
      <c r="T537" s="88" t="inlineStr">
        <is>
          <t>Press Release</t>
        </is>
      </c>
      <c r="U537" s="67" t="n"/>
    </row>
    <row r="538" ht="14.4" customFormat="1" customHeight="1" s="1013">
      <c r="A538" s="114" t="n">
        <v>426</v>
      </c>
      <c r="B538" s="77">
        <f>IF(INDEX(MO_SNA_IsHistoricalPeriod,,MATCH(F538,MO_Common_ColumnHeader,0)),"Historical","Forward")</f>
        <v/>
      </c>
      <c r="C538" s="67" t="n"/>
      <c r="D538" s="84">
        <f>INDEX(INDIRECT(E538),0,COLUMN(MO_Common_Column_A))</f>
        <v/>
      </c>
      <c r="E538" s="78" t="inlineStr">
        <is>
          <t>MO_RIS_NI_GAAP_Diluted</t>
        </is>
      </c>
      <c r="F538" s="77" t="inlineStr">
        <is>
          <t>Q4-2021</t>
        </is>
      </c>
      <c r="G538" s="77" t="n"/>
      <c r="H538" s="67" t="n"/>
      <c r="I538" s="2087" t="n">
        <v>137</v>
      </c>
      <c r="J538" s="2087" t="n">
        <v>149</v>
      </c>
      <c r="K538" s="2087">
        <f>AVERAGE(I538:J538)</f>
        <v/>
      </c>
      <c r="L538" s="67" t="n"/>
      <c r="M538" s="77">
        <f>IF(INDEX(MO_SNA_IsHistoricalPeriod,,MATCH(F538,MO_Common_ColumnHeader,0)),"Actual","Estimate")</f>
        <v/>
      </c>
      <c r="N538" s="2087">
        <f>IFERROR(INDEX(INDIRECT(E538),0,MATCH(F538,MO_Common_ColumnHeader,0)),"N/A")</f>
        <v/>
      </c>
      <c r="O538" s="67" t="n"/>
      <c r="P538" s="2169">
        <f>IF(ISNUMBER(N538),N538-K538,"N/A")</f>
        <v/>
      </c>
      <c r="Q538" s="2168">
        <f>IFERROR(IF(ISNUMBER(N538),(N538-K538)/ABS(K538),"N/A"),"N/A")</f>
        <v/>
      </c>
      <c r="R538" s="112" t="n"/>
      <c r="S538" s="80" t="n">
        <v>44494</v>
      </c>
      <c r="T538" s="88" t="inlineStr">
        <is>
          <t>Press Release</t>
        </is>
      </c>
      <c r="U538" s="67" t="n"/>
    </row>
    <row r="539" ht="14.4" customFormat="1" customHeight="1" s="1013">
      <c r="A539" s="114" t="n">
        <v>425</v>
      </c>
      <c r="B539" s="77">
        <f>IF(INDEX(MO_SNA_IsHistoricalPeriod,,MATCH(F539,MO_Common_ColumnHeader,0)),"Historical","Forward")</f>
        <v/>
      </c>
      <c r="C539" s="67" t="n"/>
      <c r="D539" s="84">
        <f>INDEX(INDIRECT(E539),0,COLUMN(MO_Common_Column_A))</f>
        <v/>
      </c>
      <c r="E539" s="78" t="inlineStr">
        <is>
          <t>MO_RIS_NI_NONGAAP_Diluted</t>
        </is>
      </c>
      <c r="F539" s="77" t="inlineStr">
        <is>
          <t>Q4-2021</t>
        </is>
      </c>
      <c r="G539" s="77" t="n"/>
      <c r="H539" s="67" t="n"/>
      <c r="I539" s="2087" t="n">
        <v>211</v>
      </c>
      <c r="J539" s="2087" t="n">
        <v>223</v>
      </c>
      <c r="K539" s="2087">
        <f>AVERAGE(I539:J539)</f>
        <v/>
      </c>
      <c r="L539" s="67" t="n"/>
      <c r="M539" s="77">
        <f>IF(INDEX(MO_SNA_IsHistoricalPeriod,,MATCH(F539,MO_Common_ColumnHeader,0)),"Actual","Estimate")</f>
        <v/>
      </c>
      <c r="N539" s="2087">
        <f>IFERROR(INDEX(INDIRECT(E539),0,MATCH(F539,MO_Common_ColumnHeader,0)),"N/A")</f>
        <v/>
      </c>
      <c r="O539" s="67" t="n"/>
      <c r="P539" s="2169">
        <f>IF(ISNUMBER(N539),N539-K539,"N/A")</f>
        <v/>
      </c>
      <c r="Q539" s="2168">
        <f>IFERROR(IF(ISNUMBER(N539),(N539-K539)/ABS(K539),"N/A"),"N/A")</f>
        <v/>
      </c>
      <c r="R539" s="112" t="n"/>
      <c r="S539" s="80" t="n">
        <v>44494</v>
      </c>
      <c r="T539" s="88" t="inlineStr">
        <is>
          <t>Press Release</t>
        </is>
      </c>
      <c r="U539" s="67" t="n"/>
    </row>
    <row r="540" ht="14.4" customFormat="1" customHeight="1" s="1013">
      <c r="A540" s="114" t="n">
        <v>424</v>
      </c>
      <c r="B540" s="67" t="n"/>
      <c r="C540" s="67" t="n"/>
      <c r="D540" s="68" t="n"/>
      <c r="E540" s="69" t="n"/>
      <c r="F540" s="67" t="n"/>
      <c r="G540" s="67" t="n"/>
      <c r="H540" s="67" t="n"/>
      <c r="I540" s="2072" t="n"/>
      <c r="J540" s="2072" t="n"/>
      <c r="K540" s="2072" t="n"/>
      <c r="L540" s="67" t="n"/>
      <c r="M540" s="67" t="n"/>
      <c r="N540" s="2072" t="n"/>
      <c r="O540" s="67" t="n"/>
      <c r="P540" s="2172" t="n"/>
      <c r="Q540" s="2173" t="n"/>
      <c r="R540" s="112" t="n"/>
      <c r="S540" s="112" t="n"/>
      <c r="T540" s="344" t="n"/>
      <c r="U540" s="67" t="n"/>
    </row>
    <row r="541" ht="14.4" customHeight="1" s="972">
      <c r="A541" s="64" t="n">
        <v>423</v>
      </c>
      <c r="B541" s="77">
        <f>IF(INDEX(MO_SNA_IsHistoricalPeriod,,MATCH(F541,MO_Common_ColumnHeader,0)),"Historical","Forward")</f>
        <v/>
      </c>
      <c r="C541" s="67" t="n"/>
      <c r="D541" s="84" t="inlineStr">
        <is>
          <t>Recurring Revenue %</t>
        </is>
      </c>
      <c r="E541" s="78" t="n"/>
      <c r="F541" s="77" t="inlineStr">
        <is>
          <t>FY2021</t>
        </is>
      </c>
      <c r="G541" s="77" t="n"/>
      <c r="H541" s="67" t="n"/>
      <c r="I541" s="2108" t="n">
        <v>0.85</v>
      </c>
      <c r="J541" s="2108" t="n">
        <v>0.9</v>
      </c>
      <c r="K541" s="2108">
        <f>AVERAGE(I541:J541)</f>
        <v/>
      </c>
      <c r="L541" s="67" t="n"/>
      <c r="M541" s="77">
        <f>IF(INDEX(MO_SNA_IsHistoricalPeriod,,MATCH(F541,MO_Common_ColumnHeader,0)),"Actual","Estimate")</f>
        <v/>
      </c>
      <c r="N541" s="2108">
        <f>IFERROR(INDEX(INDIRECT(E541),0,MATCH(F541,MO_Common_ColumnHeader,0)),"N/A")</f>
        <v/>
      </c>
      <c r="O541" s="2072" t="n"/>
      <c r="P541" s="2168">
        <f>IF(ISNUMBER(N541),N541-K541,"N/A")</f>
        <v/>
      </c>
      <c r="Q541" s="2168">
        <f>IFERROR(IF(ISNUMBER(N541),(N541-K541)/ABS(K541),"N/A"),"N/A")</f>
        <v/>
      </c>
      <c r="R541" s="67" t="n"/>
      <c r="S541" s="80" t="n">
        <v>44403</v>
      </c>
      <c r="T541" s="88" t="inlineStr">
        <is>
          <t>CFO Commentary</t>
        </is>
      </c>
      <c r="U541" s="112" t="n"/>
      <c r="V541" s="1016" t="n"/>
    </row>
    <row r="542" ht="14.4" customHeight="1" s="972">
      <c r="A542" s="64" t="n">
        <v>422</v>
      </c>
      <c r="B542" s="77">
        <f>IF(INDEX(MO_SNA_IsHistoricalPeriod,,MATCH(F542,MO_Common_ColumnHeader,0)),"Historical","Forward")</f>
        <v/>
      </c>
      <c r="C542" s="67" t="n"/>
      <c r="D542" s="84" t="inlineStr">
        <is>
          <t>Revenue from Beginning Backlog %</t>
        </is>
      </c>
      <c r="E542" s="78" t="n"/>
      <c r="F542" s="77" t="inlineStr">
        <is>
          <t>FY2021</t>
        </is>
      </c>
      <c r="G542" s="77" t="n"/>
      <c r="H542" s="67" t="n"/>
      <c r="I542" s="2108" t="n">
        <v>0.75</v>
      </c>
      <c r="J542" s="2108" t="n">
        <v>0.75</v>
      </c>
      <c r="K542" s="2108">
        <f>AVERAGE(I542:J542)</f>
        <v/>
      </c>
      <c r="L542" s="67" t="n"/>
      <c r="M542" s="77">
        <f>IF(INDEX(MO_SNA_IsHistoricalPeriod,,MATCH(F542,MO_Common_ColumnHeader,0)),"Actual","Estimate")</f>
        <v/>
      </c>
      <c r="N542" s="2108">
        <f>IFERROR(INDEX(INDIRECT(E542),0,MATCH(F542,MO_Common_ColumnHeader,0)),"N/A")</f>
        <v/>
      </c>
      <c r="O542" s="2072" t="n"/>
      <c r="P542" s="2168">
        <f>IF(ISNUMBER(N542),N542-K542,"N/A")</f>
        <v/>
      </c>
      <c r="Q542" s="2168">
        <f>IFERROR(IF(ISNUMBER(N542),(N542-K542)/ABS(K542),"N/A"),"N/A")</f>
        <v/>
      </c>
      <c r="R542" s="67" t="n"/>
      <c r="S542" s="80" t="n">
        <v>44403</v>
      </c>
      <c r="T542" s="88" t="inlineStr">
        <is>
          <t>CFO Commentary</t>
        </is>
      </c>
      <c r="U542" s="112" t="n"/>
      <c r="V542" s="1016" t="n"/>
    </row>
    <row r="543" ht="14.4" customHeight="1" s="972">
      <c r="A543" s="64" t="n">
        <v>421</v>
      </c>
      <c r="B543" s="77">
        <f>IF(INDEX(MO_SNA_IsHistoricalPeriod,,MATCH(F543,MO_Common_ColumnHeader,0)),"Historical","Forward")</f>
        <v/>
      </c>
      <c r="C543" s="67" t="n"/>
      <c r="D543" s="84">
        <f>INDEX(INDIRECT(E543),0,COLUMN(MO_Common_Column_A))</f>
        <v/>
      </c>
      <c r="E543" s="78" t="inlineStr">
        <is>
          <t>MO_RIS_REV</t>
        </is>
      </c>
      <c r="F543" s="77" t="inlineStr">
        <is>
          <t>FY2021</t>
        </is>
      </c>
      <c r="G543" s="77" t="n"/>
      <c r="H543" s="67" t="n"/>
      <c r="I543" s="2087" t="n">
        <v>2925</v>
      </c>
      <c r="J543" s="2087" t="n">
        <v>2965</v>
      </c>
      <c r="K543" s="2087">
        <f>AVERAGE(I543:J543)</f>
        <v/>
      </c>
      <c r="L543" s="67" t="n"/>
      <c r="M543" s="77">
        <f>IF(INDEX(MO_SNA_IsHistoricalPeriod,,MATCH(F543,MO_Common_ColumnHeader,0)),"Actual","Estimate")</f>
        <v/>
      </c>
      <c r="N543" s="2087">
        <f>IFERROR(INDEX(INDIRECT(E543),0,MATCH(F543,MO_Common_ColumnHeader,0)),"N/A")</f>
        <v/>
      </c>
      <c r="O543" s="2072" t="n"/>
      <c r="P543" s="2169">
        <f>IF(ISNUMBER(N543),N543-K543,"N/A")</f>
        <v/>
      </c>
      <c r="Q543" s="2168">
        <f>IFERROR(IF(ISNUMBER(N543),(N543-K543)/ABS(K543),"N/A"),"N/A")</f>
        <v/>
      </c>
      <c r="R543" s="67" t="n"/>
      <c r="S543" s="80" t="n">
        <v>44403</v>
      </c>
      <c r="T543" s="88" t="inlineStr">
        <is>
          <t>CFO Commentary</t>
        </is>
      </c>
      <c r="U543" s="112" t="n"/>
      <c r="V543" s="1016" t="n"/>
    </row>
    <row r="544" ht="14.4" customHeight="1" s="972">
      <c r="A544" s="64" t="n">
        <v>420</v>
      </c>
      <c r="B544" s="77">
        <f>IF(INDEX(MO_SNA_IsHistoricalPeriod,,MATCH(F544,MO_Common_ColumnHeader,0)),"Historical","Forward")</f>
        <v/>
      </c>
      <c r="C544" s="67" t="n"/>
      <c r="D544" s="84" t="inlineStr">
        <is>
          <t>GAAP Operating Margin</t>
        </is>
      </c>
      <c r="E544" s="78" t="inlineStr">
        <is>
          <t>MO_MA_EBIT</t>
        </is>
      </c>
      <c r="F544" s="77" t="inlineStr">
        <is>
          <t>FY2021</t>
        </is>
      </c>
      <c r="G544" s="77" t="n"/>
      <c r="H544" s="67" t="n"/>
      <c r="I544" s="2108" t="n">
        <v>0.245</v>
      </c>
      <c r="J544" s="2108" t="n">
        <v>0.2525</v>
      </c>
      <c r="K544" s="2108">
        <f>AVERAGE(I544:J544)</f>
        <v/>
      </c>
      <c r="L544" s="67" t="n"/>
      <c r="M544" s="77">
        <f>IF(INDEX(MO_SNA_IsHistoricalPeriod,,MATCH(F544,MO_Common_ColumnHeader,0)),"Actual","Estimate")</f>
        <v/>
      </c>
      <c r="N544" s="2108">
        <f>IFERROR(INDEX(INDIRECT(E544),0,MATCH(F544,MO_Common_ColumnHeader,0)),"N/A")</f>
        <v/>
      </c>
      <c r="O544" s="67" t="n"/>
      <c r="P544" s="2168">
        <f>IF(ISNUMBER(N544),N544-K544,"N/A")</f>
        <v/>
      </c>
      <c r="Q544" s="2168">
        <f>IFERROR(IF(ISNUMBER(N544),(N544-K544)/ABS(K544),"N/A"),"N/A")</f>
        <v/>
      </c>
      <c r="R544" s="67" t="n"/>
      <c r="S544" s="80" t="n">
        <v>44403</v>
      </c>
      <c r="T544" s="88" t="inlineStr">
        <is>
          <t>CFO Commentary</t>
        </is>
      </c>
      <c r="U544" s="67" t="n"/>
      <c r="V544" s="1016" t="n"/>
    </row>
    <row r="545" ht="14.4" customHeight="1" s="972">
      <c r="A545" s="64" t="n">
        <v>419</v>
      </c>
      <c r="B545" s="77">
        <f>IF(INDEX(MO_SNA_IsHistoricalPeriod,,MATCH(F545,MO_Common_ColumnHeader,0)),"Historical","Forward")</f>
        <v/>
      </c>
      <c r="C545" s="67" t="n"/>
      <c r="D545" s="84">
        <f>INDEX(INDIRECT(E545),0,COLUMN(MO_Common_Column_A))</f>
        <v/>
      </c>
      <c r="E545" s="78" t="inlineStr">
        <is>
          <t>MO_MA_OperatingIncome_NONGAAP</t>
        </is>
      </c>
      <c r="F545" s="77" t="inlineStr">
        <is>
          <t>FY2021</t>
        </is>
      </c>
      <c r="G545" s="77" t="n"/>
      <c r="H545" s="67" t="n"/>
      <c r="I545" s="2108" t="n">
        <v>0.36</v>
      </c>
      <c r="J545" s="2108" t="n">
        <v>0.3675</v>
      </c>
      <c r="K545" s="2108">
        <f>AVERAGE(I545:J545)</f>
        <v/>
      </c>
      <c r="L545" s="67" t="n"/>
      <c r="M545" s="77">
        <f>IF(INDEX(MO_SNA_IsHistoricalPeriod,,MATCH(F545,MO_Common_ColumnHeader,0)),"Actual","Estimate")</f>
        <v/>
      </c>
      <c r="N545" s="2108">
        <f>IFERROR(INDEX(INDIRECT(E545),0,MATCH(F545,MO_Common_ColumnHeader,0)),"N/A")</f>
        <v/>
      </c>
      <c r="O545" s="67" t="n"/>
      <c r="P545" s="2168">
        <f>IF(ISNUMBER(N545),N545-K545,"N/A")</f>
        <v/>
      </c>
      <c r="Q545" s="2168">
        <f>IFERROR(IF(ISNUMBER(N545),(N545-K545)/ABS(K545),"N/A"),"N/A")</f>
        <v/>
      </c>
      <c r="R545" s="67" t="n"/>
      <c r="S545" s="80" t="n">
        <v>44403</v>
      </c>
      <c r="T545" s="88" t="inlineStr">
        <is>
          <t>CFO Commentary</t>
        </is>
      </c>
      <c r="U545" s="67" t="n"/>
      <c r="V545" s="1016" t="n"/>
    </row>
    <row r="546" ht="14.4" customHeight="1" s="972">
      <c r="A546" s="64" t="n">
        <v>418</v>
      </c>
      <c r="B546" s="77">
        <f>IF(INDEX(MO_SNA_IsHistoricalPeriod,,MATCH(F546,MO_Common_ColumnHeader,0)),"Historical","Forward")</f>
        <v/>
      </c>
      <c r="C546" s="67" t="n"/>
      <c r="D546" s="84">
        <f>INDEX(INDIRECT(E546),0,COLUMN(MO_Common_Column_A))</f>
        <v/>
      </c>
      <c r="E546" s="78" t="inlineStr">
        <is>
          <t>MO_RIS_EPS_WAD</t>
        </is>
      </c>
      <c r="F546" s="77" t="inlineStr">
        <is>
          <t>FY2021</t>
        </is>
      </c>
      <c r="G546" s="77" t="n"/>
      <c r="H546" s="67" t="n"/>
      <c r="I546" s="2170" t="n">
        <v>2.15</v>
      </c>
      <c r="J546" s="2170" t="n">
        <v>2.21</v>
      </c>
      <c r="K546" s="2170">
        <f>AVERAGE(I546:J546)</f>
        <v/>
      </c>
      <c r="L546" s="67" t="n"/>
      <c r="M546" s="77">
        <f>IF(INDEX(MO_SNA_IsHistoricalPeriod,,MATCH(F546,MO_Common_ColumnHeader,0)),"Actual","Estimate")</f>
        <v/>
      </c>
      <c r="N546" s="2170">
        <f>IFERROR(INDEX(INDIRECT(E546),0,MATCH(F546,MO_Common_ColumnHeader,0)),"N/A")</f>
        <v/>
      </c>
      <c r="O546" s="67" t="n"/>
      <c r="P546" s="2171">
        <f>IF(ISNUMBER(N546),N546-K546,"N/A")</f>
        <v/>
      </c>
      <c r="Q546" s="2168">
        <f>IFERROR(IF(ISNUMBER(N546),(N546-K546)/ABS(K546),"N/A"),"N/A")</f>
        <v/>
      </c>
      <c r="R546" s="67" t="n"/>
      <c r="S546" s="80" t="n">
        <v>44403</v>
      </c>
      <c r="T546" s="88" t="inlineStr">
        <is>
          <t>CFO Commentary</t>
        </is>
      </c>
      <c r="U546" s="112" t="n"/>
      <c r="V546" s="1016" t="n"/>
    </row>
    <row r="547" ht="14.4" customHeight="1" s="972">
      <c r="A547" s="64" t="n">
        <v>417</v>
      </c>
      <c r="B547" s="77">
        <f>IF(INDEX(MO_SNA_IsHistoricalPeriod,,MATCH(F547,MO_Common_ColumnHeader,0)),"Historical","Forward")</f>
        <v/>
      </c>
      <c r="C547" s="67" t="n"/>
      <c r="D547" s="84">
        <f>INDEX(INDIRECT(E547),0,COLUMN(MO_Common_Column_A))</f>
        <v/>
      </c>
      <c r="E547" s="78" t="inlineStr">
        <is>
          <t>MO_RIS_EPS_WAD_Adj</t>
        </is>
      </c>
      <c r="F547" s="77" t="inlineStr">
        <is>
          <t>FY2021</t>
        </is>
      </c>
      <c r="G547" s="77" t="n"/>
      <c r="H547" s="67" t="n"/>
      <c r="I547" s="2170" t="n">
        <v>3.14</v>
      </c>
      <c r="J547" s="2170" t="n">
        <v>3.2</v>
      </c>
      <c r="K547" s="2170">
        <f>AVERAGE(I547:J547)</f>
        <v/>
      </c>
      <c r="L547" s="67" t="n"/>
      <c r="M547" s="77">
        <f>IF(INDEX(MO_SNA_IsHistoricalPeriod,,MATCH(F547,MO_Common_ColumnHeader,0)),"Actual","Estimate")</f>
        <v/>
      </c>
      <c r="N547" s="2170">
        <f>IFERROR(INDEX(INDIRECT(E547),0,MATCH(F547,MO_Common_ColumnHeader,0)),"N/A")</f>
        <v/>
      </c>
      <c r="O547" s="67" t="n"/>
      <c r="P547" s="2171">
        <f>IF(ISNUMBER(N547),N547-K547,"N/A")</f>
        <v/>
      </c>
      <c r="Q547" s="2168">
        <f>IFERROR(IF(ISNUMBER(N547),(N547-K547)/ABS(K547),"N/A"),"N/A")</f>
        <v/>
      </c>
      <c r="R547" s="67" t="n"/>
      <c r="S547" s="80" t="n">
        <v>44403</v>
      </c>
      <c r="T547" s="88" t="inlineStr">
        <is>
          <t>CFO Commentary</t>
        </is>
      </c>
      <c r="U547" s="67" t="n"/>
      <c r="V547" s="1016" t="n"/>
    </row>
    <row r="548" ht="14.4" customHeight="1" s="972">
      <c r="A548" s="64" t="n">
        <v>416</v>
      </c>
      <c r="B548" s="77">
        <f>IF(INDEX(MO_SNA_IsHistoricalPeriod,,MATCH(F548,MO_Common_ColumnHeader,0)),"Historical","Forward")</f>
        <v/>
      </c>
      <c r="C548" s="67" t="n"/>
      <c r="D548" s="84">
        <f>INDEX(INDIRECT(E548),0,COLUMN(MO_Common_Column_A))</f>
        <v/>
      </c>
      <c r="E548" s="78" t="inlineStr">
        <is>
          <t>MO_CFS_CFO</t>
        </is>
      </c>
      <c r="F548" s="77" t="inlineStr">
        <is>
          <t>FY2021</t>
        </is>
      </c>
      <c r="G548" s="77" t="n"/>
      <c r="H548" s="67" t="n"/>
      <c r="I548" s="2087" t="n">
        <v>925</v>
      </c>
      <c r="J548" s="2087" t="n">
        <v>975</v>
      </c>
      <c r="K548" s="2087">
        <f>AVERAGE(I548:J548)</f>
        <v/>
      </c>
      <c r="L548" s="67" t="n"/>
      <c r="M548" s="77">
        <f>IF(INDEX(MO_SNA_IsHistoricalPeriod,,MATCH(F548,MO_Common_ColumnHeader,0)),"Actual","Estimate")</f>
        <v/>
      </c>
      <c r="N548" s="2087">
        <f>IFERROR(INDEX(INDIRECT(E548),0,MATCH(F548,MO_Common_ColumnHeader,0)),"N/A")</f>
        <v/>
      </c>
      <c r="O548" s="67" t="n"/>
      <c r="P548" s="2169">
        <f>IF(ISNUMBER(N548),N548-K548,"N/A")</f>
        <v/>
      </c>
      <c r="Q548" s="2168">
        <f>IFERROR(IF(ISNUMBER(N548),(N548-K548)/ABS(K548),"N/A"),"N/A")</f>
        <v/>
      </c>
      <c r="R548" s="67" t="n"/>
      <c r="S548" s="80" t="n">
        <v>44403</v>
      </c>
      <c r="T548" s="88" t="inlineStr">
        <is>
          <t>CFO Commentary</t>
        </is>
      </c>
      <c r="U548" s="67" t="n"/>
      <c r="V548" s="1016" t="n"/>
    </row>
    <row r="549" ht="14.4" customHeight="1" s="972">
      <c r="A549" s="64" t="n">
        <v>415</v>
      </c>
      <c r="B549" s="77">
        <f>IF(INDEX(MO_SNA_IsHistoricalPeriod,,MATCH(F549,MO_Common_ColumnHeader,0)),"Historical","Forward")</f>
        <v/>
      </c>
      <c r="C549" s="67" t="n"/>
      <c r="D549" s="84" t="inlineStr">
        <is>
          <t>DSO</t>
        </is>
      </c>
      <c r="E549" s="78" t="n"/>
      <c r="F549" s="77" t="inlineStr">
        <is>
          <t>FY2021</t>
        </is>
      </c>
      <c r="G549" s="77" t="n"/>
      <c r="H549" s="67" t="n"/>
      <c r="I549" s="2087" t="n">
        <v>45</v>
      </c>
      <c r="J549" s="2087" t="n">
        <v>45</v>
      </c>
      <c r="K549" s="2087">
        <f>AVERAGE(I549:J549)</f>
        <v/>
      </c>
      <c r="L549" s="67" t="n"/>
      <c r="M549" s="77">
        <f>IF(INDEX(MO_SNA_IsHistoricalPeriod,,MATCH(F549,MO_Common_ColumnHeader,0)),"Actual","Estimate")</f>
        <v/>
      </c>
      <c r="N549" s="2087">
        <f>IFERROR(INDEX(INDIRECT(E549),0,MATCH(F549,MO_Common_ColumnHeader,0)),"N/A")</f>
        <v/>
      </c>
      <c r="O549" s="67" t="n"/>
      <c r="P549" s="2169">
        <f>IF(ISNUMBER(N549),N549-K549,"N/A")</f>
        <v/>
      </c>
      <c r="Q549" s="2168">
        <f>IFERROR(IF(ISNUMBER(N549),(N549-K549)/ABS(K549),"N/A"),"N/A")</f>
        <v/>
      </c>
      <c r="R549" s="67" t="n"/>
      <c r="S549" s="80" t="n">
        <v>44403</v>
      </c>
      <c r="T549" s="88" t="inlineStr">
        <is>
          <t>CFO Commentary</t>
        </is>
      </c>
      <c r="U549" s="67" t="n"/>
      <c r="V549" s="1016" t="n"/>
    </row>
    <row r="550" ht="14.4" customHeight="1" s="972">
      <c r="A550" s="64" t="n">
        <v>414</v>
      </c>
      <c r="B550" s="77">
        <f>IF(INDEX(MO_SNA_IsHistoricalPeriod,,MATCH(F550,MO_Common_ColumnHeader,0)),"Historical","Forward")</f>
        <v/>
      </c>
      <c r="C550" s="67" t="n"/>
      <c r="D550" s="84">
        <f>INDEX(INDIRECT(E550),0,COLUMN(MO_Common_Column_A))</f>
        <v/>
      </c>
      <c r="E550" s="78" t="inlineStr">
        <is>
          <t>MO_CFSum_Capex</t>
        </is>
      </c>
      <c r="F550" s="77" t="inlineStr">
        <is>
          <t>FY2021</t>
        </is>
      </c>
      <c r="G550" s="77" t="n"/>
      <c r="H550" s="67" t="n"/>
      <c r="I550" s="2087" t="n">
        <v>-80</v>
      </c>
      <c r="J550" s="2087" t="n">
        <v>-80</v>
      </c>
      <c r="K550" s="2087">
        <f>AVERAGE(I550:J550)</f>
        <v/>
      </c>
      <c r="L550" s="67" t="n"/>
      <c r="M550" s="77">
        <f>IF(INDEX(MO_SNA_IsHistoricalPeriod,,MATCH(F550,MO_Common_ColumnHeader,0)),"Actual","Estimate")</f>
        <v/>
      </c>
      <c r="N550" s="2087">
        <f>IFERROR(INDEX(INDIRECT(E550),0,MATCH(F550,MO_Common_ColumnHeader,0)),"N/A")</f>
        <v/>
      </c>
      <c r="O550" s="67" t="n"/>
      <c r="P550" s="2169">
        <f>IF(ISNUMBER(N550),N550-K550,"N/A")</f>
        <v/>
      </c>
      <c r="Q550" s="2168">
        <f>IFERROR(IF(ISNUMBER(N550),(N550-K550)/ABS(K550),"N/A"),"N/A")</f>
        <v/>
      </c>
      <c r="R550" s="67" t="n"/>
      <c r="S550" s="80" t="n">
        <v>44403</v>
      </c>
      <c r="T550" s="88" t="inlineStr">
        <is>
          <t>CFO Commentary</t>
        </is>
      </c>
      <c r="U550" s="67" t="n"/>
      <c r="V550" s="1016" t="n"/>
    </row>
    <row r="551" ht="14.4" customHeight="1" s="972">
      <c r="A551" s="64" t="n">
        <v>413</v>
      </c>
      <c r="B551" s="77">
        <f>IF(INDEX(MO_SNA_IsHistoricalPeriod,,MATCH(F551,MO_Common_ColumnHeader,0)),"Historical","Forward")</f>
        <v/>
      </c>
      <c r="C551" s="67" t="n"/>
      <c r="D551" s="84">
        <f>INDEX(INDIRECT(E551),0,COLUMN(MO_Common_Column_A))</f>
        <v/>
      </c>
      <c r="E551" s="78" t="inlineStr">
        <is>
          <t>MO_RIS_Daintangibles</t>
        </is>
      </c>
      <c r="F551" s="77" t="inlineStr">
        <is>
          <t>FY2021</t>
        </is>
      </c>
      <c r="G551" s="77" t="n"/>
      <c r="H551" s="67" t="n"/>
      <c r="I551" s="2087" t="n">
        <v>67</v>
      </c>
      <c r="J551" s="2087" t="n">
        <v>67</v>
      </c>
      <c r="K551" s="2087">
        <f>AVERAGE(I551:J551)</f>
        <v/>
      </c>
      <c r="L551" s="67" t="n"/>
      <c r="M551" s="77">
        <f>IF(INDEX(MO_SNA_IsHistoricalPeriod,,MATCH(F551,MO_Common_ColumnHeader,0)),"Actual","Estimate")</f>
        <v/>
      </c>
      <c r="N551" s="2087">
        <f>IFERROR(INDEX(INDIRECT(E551),0,MATCH(F551,MO_Common_ColumnHeader,0)),"N/A")</f>
        <v/>
      </c>
      <c r="O551" s="67" t="n"/>
      <c r="P551" s="2169">
        <f>IF(ISNUMBER(N551),N551-K551,"N/A")</f>
        <v/>
      </c>
      <c r="Q551" s="2168">
        <f>IFERROR(IF(ISNUMBER(N551),(N551-K551)/ABS(K551),"N/A"),"N/A")</f>
        <v/>
      </c>
      <c r="R551" s="67" t="n"/>
      <c r="S551" s="80" t="n">
        <v>44403</v>
      </c>
      <c r="T551" s="88" t="inlineStr">
        <is>
          <t>Press Release</t>
        </is>
      </c>
      <c r="U551" s="67" t="n"/>
      <c r="V551" s="1016" t="n"/>
    </row>
    <row r="552" ht="14.4" customHeight="1" s="972">
      <c r="A552" s="64" t="n">
        <v>412</v>
      </c>
      <c r="B552" s="77">
        <f>IF(INDEX(MO_SNA_IsHistoricalPeriod,,MATCH(F552,MO_Common_ColumnHeader,0)),"Historical","Forward")</f>
        <v/>
      </c>
      <c r="C552" s="67" t="n"/>
      <c r="D552" s="84">
        <f>INDEX(INDIRECT(E552),0,COLUMN(MO_Common_Column_A))</f>
        <v/>
      </c>
      <c r="E552" s="78" t="inlineStr">
        <is>
          <t>MO_RIS_SBC</t>
        </is>
      </c>
      <c r="F552" s="77" t="inlineStr">
        <is>
          <t>FY2021</t>
        </is>
      </c>
      <c r="G552" s="77" t="n"/>
      <c r="H552" s="67" t="n"/>
      <c r="I552" s="2087" t="n">
        <v>220</v>
      </c>
      <c r="J552" s="2087" t="n">
        <v>220</v>
      </c>
      <c r="K552" s="2087">
        <f>AVERAGE(I552:J552)</f>
        <v/>
      </c>
      <c r="L552" s="67" t="n"/>
      <c r="M552" s="77">
        <f>IF(INDEX(MO_SNA_IsHistoricalPeriod,,MATCH(F552,MO_Common_ColumnHeader,0)),"Actual","Estimate")</f>
        <v/>
      </c>
      <c r="N552" s="2087">
        <f>IFERROR(INDEX(INDIRECT(E552),0,MATCH(F552,MO_Common_ColumnHeader,0)),"N/A")</f>
        <v/>
      </c>
      <c r="O552" s="67" t="n"/>
      <c r="P552" s="2169">
        <f>IF(ISNUMBER(N552),N552-K552,"N/A")</f>
        <v/>
      </c>
      <c r="Q552" s="2168">
        <f>IFERROR(IF(ISNUMBER(N552),(N552-K552)/ABS(K552),"N/A"),"N/A")</f>
        <v/>
      </c>
      <c r="R552" s="67" t="n"/>
      <c r="S552" s="80" t="n">
        <v>44403</v>
      </c>
      <c r="T552" s="88" t="inlineStr">
        <is>
          <t>Press Release</t>
        </is>
      </c>
      <c r="U552" s="67" t="n"/>
      <c r="V552" s="1016" t="n"/>
    </row>
    <row r="553" ht="14.4" customHeight="1" s="972">
      <c r="A553" s="64" t="n">
        <v>411</v>
      </c>
      <c r="B553" s="77">
        <f>IF(INDEX(MO_SNA_IsHistoricalPeriod,,MATCH(F553,MO_Common_ColumnHeader,0)),"Historical","Forward")</f>
        <v/>
      </c>
      <c r="C553" s="67" t="n"/>
      <c r="D553" s="84" t="inlineStr">
        <is>
          <t>Acquisition and integration-related costs</t>
        </is>
      </c>
      <c r="E553" s="78" t="n"/>
      <c r="F553" s="77" t="inlineStr">
        <is>
          <t>FY2021</t>
        </is>
      </c>
      <c r="G553" s="77" t="n"/>
      <c r="H553" s="67" t="n"/>
      <c r="I553" s="2087" t="n">
        <v>22</v>
      </c>
      <c r="J553" s="2087" t="n">
        <v>22</v>
      </c>
      <c r="K553" s="2087">
        <f>AVERAGE(I553:J553)</f>
        <v/>
      </c>
      <c r="L553" s="67" t="n"/>
      <c r="M553" s="77">
        <f>IF(INDEX(MO_SNA_IsHistoricalPeriod,,MATCH(F553,MO_Common_ColumnHeader,0)),"Actual","Estimate")</f>
        <v/>
      </c>
      <c r="N553" s="2087">
        <f>IFERROR(INDEX(INDIRECT(E553),0,MATCH(F553,MO_Common_ColumnHeader,0)),"N/A")</f>
        <v/>
      </c>
      <c r="O553" s="67" t="n"/>
      <c r="P553" s="2169">
        <f>IF(ISNUMBER(N553),N553-K553,"N/A")</f>
        <v/>
      </c>
      <c r="Q553" s="2168">
        <f>IFERROR(IF(ISNUMBER(N553),(N553-K553)/ABS(K553),"N/A"),"N/A")</f>
        <v/>
      </c>
      <c r="R553" s="67" t="n"/>
      <c r="S553" s="80" t="n">
        <v>44403</v>
      </c>
      <c r="T553" s="88" t="inlineStr">
        <is>
          <t>Press Release</t>
        </is>
      </c>
      <c r="U553" s="67" t="n"/>
      <c r="V553" s="1016" t="n"/>
    </row>
    <row r="554" ht="14.4" customHeight="1" s="972">
      <c r="A554" s="64" t="n">
        <v>410</v>
      </c>
      <c r="B554" s="77">
        <f>IF(INDEX(MO_SNA_IsHistoricalPeriod,,MATCH(F554,MO_Common_ColumnHeader,0)),"Historical","Forward")</f>
        <v/>
      </c>
      <c r="C554" s="67" t="n"/>
      <c r="D554" s="84" t="inlineStr">
        <is>
          <t>Restructuring and other credits</t>
        </is>
      </c>
      <c r="E554" s="78" t="n"/>
      <c r="F554" s="77" t="inlineStr">
        <is>
          <t>FY2021</t>
        </is>
      </c>
      <c r="G554" s="77" t="n"/>
      <c r="H554" s="67" t="n"/>
      <c r="I554" s="2087" t="n">
        <v>-1</v>
      </c>
      <c r="J554" s="2087" t="n">
        <v>-1</v>
      </c>
      <c r="K554" s="2087">
        <f>AVERAGE(I554:J554)</f>
        <v/>
      </c>
      <c r="L554" s="67" t="n"/>
      <c r="M554" s="77">
        <f>IF(INDEX(MO_SNA_IsHistoricalPeriod,,MATCH(F554,MO_Common_ColumnHeader,0)),"Actual","Estimate")</f>
        <v/>
      </c>
      <c r="N554" s="2087">
        <f>IFERROR(INDEX(INDIRECT(E554),0,MATCH(F554,MO_Common_ColumnHeader,0)),"N/A")</f>
        <v/>
      </c>
      <c r="O554" s="67" t="n"/>
      <c r="P554" s="2169">
        <f>IF(ISNUMBER(N554),N554-K554,"N/A")</f>
        <v/>
      </c>
      <c r="Q554" s="2168">
        <f>IFERROR(IF(ISNUMBER(N554),(N554-K554)/ABS(K554),"N/A"),"N/A")</f>
        <v/>
      </c>
      <c r="R554" s="67" t="n"/>
      <c r="S554" s="80" t="n">
        <v>44403</v>
      </c>
      <c r="T554" s="88" t="inlineStr">
        <is>
          <t>Press Release</t>
        </is>
      </c>
      <c r="U554" s="67" t="n"/>
      <c r="V554" s="1016" t="n"/>
    </row>
    <row r="555" ht="14.4" customHeight="1" s="972">
      <c r="A555" s="64" t="n">
        <v>409</v>
      </c>
      <c r="B555" s="77">
        <f>IF(INDEX(MO_SNA_IsHistoricalPeriod,,MATCH(F555,MO_Common_ColumnHeader,0)),"Historical","Forward")</f>
        <v/>
      </c>
      <c r="C555" s="67" t="n"/>
      <c r="D555" s="84" t="inlineStr">
        <is>
          <t>Non-Qualified deferred compensation expenses</t>
        </is>
      </c>
      <c r="E555" s="78" t="n"/>
      <c r="F555" s="77" t="inlineStr">
        <is>
          <t>FY2021</t>
        </is>
      </c>
      <c r="G555" s="77" t="n"/>
      <c r="H555" s="67" t="n"/>
      <c r="I555" s="2087" t="n">
        <v>4</v>
      </c>
      <c r="J555" s="2087" t="n">
        <v>4</v>
      </c>
      <c r="K555" s="2087">
        <f>AVERAGE(I555:J555)</f>
        <v/>
      </c>
      <c r="L555" s="67" t="n"/>
      <c r="M555" s="77">
        <f>IF(INDEX(MO_SNA_IsHistoricalPeriod,,MATCH(F555,MO_Common_ColumnHeader,0)),"Actual","Estimate")</f>
        <v/>
      </c>
      <c r="N555" s="2087">
        <f>IFERROR(INDEX(INDIRECT(E555),0,MATCH(F555,MO_Common_ColumnHeader,0)),"N/A")</f>
        <v/>
      </c>
      <c r="O555" s="67" t="n"/>
      <c r="P555" s="2169">
        <f>IF(ISNUMBER(N555),N555-K555,"N/A")</f>
        <v/>
      </c>
      <c r="Q555" s="2168">
        <f>IFERROR(IF(ISNUMBER(N555),(N555-K555)/ABS(K555),"N/A"),"N/A")</f>
        <v/>
      </c>
      <c r="R555" s="67" t="n"/>
      <c r="S555" s="80" t="n">
        <v>44403</v>
      </c>
      <c r="T555" s="88" t="inlineStr">
        <is>
          <t>Press Release</t>
        </is>
      </c>
      <c r="U555" s="67" t="n"/>
      <c r="V555" s="1016" t="n"/>
    </row>
    <row r="556" ht="14.4" customHeight="1" s="972">
      <c r="A556" s="64" t="n">
        <v>408</v>
      </c>
      <c r="B556" s="77">
        <f>IF(INDEX(MO_SNA_IsHistoricalPeriod,,MATCH(F556,MO_Common_ColumnHeader,0)),"Historical","Forward")</f>
        <v/>
      </c>
      <c r="C556" s="67" t="n"/>
      <c r="D556" s="84" t="inlineStr">
        <is>
          <t>Special charges</t>
        </is>
      </c>
      <c r="E556" s="78" t="n"/>
      <c r="F556" s="77" t="inlineStr">
        <is>
          <t>FY2021</t>
        </is>
      </c>
      <c r="G556" s="77" t="n"/>
      <c r="H556" s="67" t="n"/>
      <c r="I556" s="2087" t="n">
        <v>27</v>
      </c>
      <c r="J556" s="2087" t="n">
        <v>27</v>
      </c>
      <c r="K556" s="2087">
        <f>AVERAGE(I556:J556)</f>
        <v/>
      </c>
      <c r="L556" s="67" t="n"/>
      <c r="M556" s="77">
        <f>IF(INDEX(MO_SNA_IsHistoricalPeriod,,MATCH(F556,MO_Common_ColumnHeader,0)),"Actual","Estimate")</f>
        <v/>
      </c>
      <c r="N556" s="2087">
        <f>IFERROR(INDEX(INDIRECT(E556),0,MATCH(F556,MO_Common_ColumnHeader,0)),"N/A")</f>
        <v/>
      </c>
      <c r="O556" s="67" t="n"/>
      <c r="P556" s="2169">
        <f>IF(ISNUMBER(N556),N556-K556,"N/A")</f>
        <v/>
      </c>
      <c r="Q556" s="2168">
        <f>IFERROR(IF(ISNUMBER(N556),(N556-K556)/ABS(K556),"N/A"),"N/A")</f>
        <v/>
      </c>
      <c r="R556" s="67" t="n"/>
      <c r="S556" s="80" t="n">
        <v>44403</v>
      </c>
      <c r="T556" s="88" t="inlineStr">
        <is>
          <t>Press Release</t>
        </is>
      </c>
      <c r="U556" s="67" t="n"/>
      <c r="V556" s="1016" t="n"/>
    </row>
    <row r="557" ht="14.4" customHeight="1" s="972">
      <c r="A557" s="64" t="n">
        <v>407</v>
      </c>
      <c r="B557" s="77">
        <f>IF(INDEX(MO_SNA_IsHistoricalPeriod,,MATCH(F557,MO_Common_ColumnHeader,0)),"Historical","Forward")</f>
        <v/>
      </c>
      <c r="C557" s="67" t="n"/>
      <c r="D557" s="84" t="inlineStr">
        <is>
          <t>Other income or expense related to investments and non-qualified deferred compensation plan assets</t>
        </is>
      </c>
      <c r="E557" s="78" t="n"/>
      <c r="F557" s="77" t="inlineStr">
        <is>
          <t>FY2021</t>
        </is>
      </c>
      <c r="G557" s="77" t="n"/>
      <c r="H557" s="67" t="n"/>
      <c r="I557" s="2087" t="n">
        <v>-5</v>
      </c>
      <c r="J557" s="2087" t="n">
        <v>-5</v>
      </c>
      <c r="K557" s="2087">
        <f>AVERAGE(I557:J557)</f>
        <v/>
      </c>
      <c r="L557" s="67" t="n"/>
      <c r="M557" s="77">
        <f>IF(INDEX(MO_SNA_IsHistoricalPeriod,,MATCH(F557,MO_Common_ColumnHeader,0)),"Actual","Estimate")</f>
        <v/>
      </c>
      <c r="N557" s="2087">
        <f>IFERROR(INDEX(INDIRECT(E557),0,MATCH(F557,MO_Common_ColumnHeader,0)),"N/A")</f>
        <v/>
      </c>
      <c r="O557" s="67" t="n"/>
      <c r="P557" s="2169">
        <f>IF(ISNUMBER(N557),N557-K557,"N/A")</f>
        <v/>
      </c>
      <c r="Q557" s="2168">
        <f>IFERROR(IF(ISNUMBER(N557),(N557-K557)/ABS(K557),"N/A"),"N/A")</f>
        <v/>
      </c>
      <c r="R557" s="67" t="n"/>
      <c r="S557" s="80" t="n">
        <v>44403</v>
      </c>
      <c r="T557" s="88" t="inlineStr">
        <is>
          <t>Press Release</t>
        </is>
      </c>
      <c r="U557" s="67" t="n"/>
      <c r="V557" s="1016" t="n"/>
    </row>
    <row r="558" ht="14.4" customHeight="1" s="972">
      <c r="A558" s="64" t="n">
        <v>406</v>
      </c>
      <c r="B558" s="77">
        <f>IF(INDEX(MO_SNA_IsHistoricalPeriod,,MATCH(F558,MO_Common_ColumnHeader,0)),"Historical","Forward")</f>
        <v/>
      </c>
      <c r="C558" s="67" t="n"/>
      <c r="D558" s="84" t="inlineStr">
        <is>
          <t>GAAP Tax Rate</t>
        </is>
      </c>
      <c r="E558" s="78" t="n"/>
      <c r="F558" s="77" t="inlineStr">
        <is>
          <t>FY2021</t>
        </is>
      </c>
      <c r="G558" s="77" t="n"/>
      <c r="H558" s="67" t="n"/>
      <c r="I558" s="2108" t="n">
        <v>0.15</v>
      </c>
      <c r="J558" s="2108" t="n">
        <v>0.15</v>
      </c>
      <c r="K558" s="2108">
        <f>AVERAGE(I558:J558)</f>
        <v/>
      </c>
      <c r="L558" s="67" t="n"/>
      <c r="M558" s="77">
        <f>IF(INDEX(MO_SNA_IsHistoricalPeriod,,MATCH(F558,MO_Common_ColumnHeader,0)),"Actual","Estimate")</f>
        <v/>
      </c>
      <c r="N558" s="2108">
        <f>IFERROR(INDEX(INDIRECT(E558),0,MATCH(F558,MO_Common_ColumnHeader,0)),"N/A")</f>
        <v/>
      </c>
      <c r="O558" s="67" t="n"/>
      <c r="P558" s="2168">
        <f>IF(ISNUMBER(N558),N558-K558,"N/A")</f>
        <v/>
      </c>
      <c r="Q558" s="2168">
        <f>IFERROR(IF(ISNUMBER(N558),(N558-K558)/ABS(K558),"N/A"),"N/A")</f>
        <v/>
      </c>
      <c r="R558" s="67" t="n"/>
      <c r="S558" s="80" t="n">
        <v>44403</v>
      </c>
      <c r="T558" s="88" t="inlineStr">
        <is>
          <t>CFO Commentary</t>
        </is>
      </c>
      <c r="U558" s="67" t="n"/>
      <c r="V558" s="1016" t="n"/>
    </row>
    <row r="559" ht="14.4" customHeight="1" s="972">
      <c r="A559" s="64" t="n">
        <v>405</v>
      </c>
      <c r="B559" s="77">
        <f>IF(INDEX(MO_SNA_IsHistoricalPeriod,,MATCH(F559,MO_Common_ColumnHeader,0)),"Historical","Forward")</f>
        <v/>
      </c>
      <c r="C559" s="67" t="n"/>
      <c r="D559" s="84">
        <f>INDEX(INDIRECT(E559),0,COLUMN(MO_Common_Column_A))</f>
        <v/>
      </c>
      <c r="E559" s="78" t="inlineStr">
        <is>
          <t>MO_RIS_TaxRate_NONGAAP</t>
        </is>
      </c>
      <c r="F559" s="77" t="inlineStr">
        <is>
          <t>FY2021</t>
        </is>
      </c>
      <c r="G559" s="77" t="n"/>
      <c r="H559" s="67" t="n"/>
      <c r="I559" s="2108" t="n">
        <v>0.16</v>
      </c>
      <c r="J559" s="2108" t="n">
        <v>0.16</v>
      </c>
      <c r="K559" s="2108">
        <f>AVERAGE(I559:J559)</f>
        <v/>
      </c>
      <c r="L559" s="67" t="n"/>
      <c r="M559" s="77">
        <f>IF(INDEX(MO_SNA_IsHistoricalPeriod,,MATCH(F559,MO_Common_ColumnHeader,0)),"Actual","Estimate")</f>
        <v/>
      </c>
      <c r="N559" s="2108">
        <f>IFERROR(INDEX(INDIRECT(E559),0,MATCH(F559,MO_Common_ColumnHeader,0)),"N/A")</f>
        <v/>
      </c>
      <c r="O559" s="67" t="n"/>
      <c r="P559" s="2168">
        <f>IF(ISNUMBER(N559),N559-K559,"N/A")</f>
        <v/>
      </c>
      <c r="Q559" s="2168">
        <f>IFERROR(IF(ISNUMBER(N559),(N559-K559)/ABS(K559),"N/A"),"N/A")</f>
        <v/>
      </c>
      <c r="R559" s="67" t="n"/>
      <c r="S559" s="80" t="n">
        <v>44403</v>
      </c>
      <c r="T559" s="88" t="inlineStr">
        <is>
          <t>CFO Commentary</t>
        </is>
      </c>
      <c r="U559" s="67" t="n"/>
      <c r="V559" s="1016" t="n"/>
    </row>
    <row r="560" ht="14.4" customHeight="1" s="972">
      <c r="A560" s="64" t="n">
        <v>404</v>
      </c>
      <c r="B560" s="77">
        <f>IF(INDEX(MO_SNA_IsHistoricalPeriod,,MATCH(F560,MO_Common_ColumnHeader,0)),"Historical","Forward")</f>
        <v/>
      </c>
      <c r="C560" s="67" t="n"/>
      <c r="D560" s="84" t="inlineStr">
        <is>
          <t>Income tax effect on non-GAAP adjustments</t>
        </is>
      </c>
      <c r="E560" s="78" t="n"/>
      <c r="F560" s="77" t="inlineStr">
        <is>
          <t>FY2021</t>
        </is>
      </c>
      <c r="G560" s="77" t="n"/>
      <c r="H560" s="67" t="n"/>
      <c r="I560" s="2087" t="n">
        <v>-57</v>
      </c>
      <c r="J560" s="2087" t="n">
        <v>-57</v>
      </c>
      <c r="K560" s="2087">
        <f>AVERAGE(I560:J560)</f>
        <v/>
      </c>
      <c r="L560" s="67" t="n"/>
      <c r="M560" s="77">
        <f>IF(INDEX(MO_SNA_IsHistoricalPeriod,,MATCH(F560,MO_Common_ColumnHeader,0)),"Actual","Estimate")</f>
        <v/>
      </c>
      <c r="N560" s="2087">
        <f>IFERROR(INDEX(INDIRECT(E560),0,MATCH(F560,MO_Common_ColumnHeader,0)),"N/A")</f>
        <v/>
      </c>
      <c r="O560" s="67" t="n"/>
      <c r="P560" s="2169">
        <f>IF(ISNUMBER(N560),N560-K560,"N/A")</f>
        <v/>
      </c>
      <c r="Q560" s="2168">
        <f>IFERROR(IF(ISNUMBER(N560),(N560-K560)/ABS(K560),"N/A"),"N/A")</f>
        <v/>
      </c>
      <c r="R560" s="67" t="n"/>
      <c r="S560" s="80" t="n">
        <v>44403</v>
      </c>
      <c r="T560" s="88" t="inlineStr">
        <is>
          <t>Press Release</t>
        </is>
      </c>
      <c r="U560" s="67" t="n"/>
      <c r="V560" s="1016" t="n"/>
    </row>
    <row r="561" ht="14.4" customHeight="1" s="972">
      <c r="A561" s="64" t="n">
        <v>403</v>
      </c>
      <c r="B561" s="77">
        <f>IF(INDEX(MO_SNA_IsHistoricalPeriod,,MATCH(F561,MO_Common_ColumnHeader,0)),"Historical","Forward")</f>
        <v/>
      </c>
      <c r="C561" s="67" t="n"/>
      <c r="D561" s="84">
        <f>INDEX(INDIRECT(E561),0,COLUMN(MO_Common_Column_A))</f>
        <v/>
      </c>
      <c r="E561" s="78" t="inlineStr">
        <is>
          <t>MO_RIS_ShareCount_WAD</t>
        </is>
      </c>
      <c r="F561" s="77" t="inlineStr">
        <is>
          <t>FY2021</t>
        </is>
      </c>
      <c r="G561" s="77" t="n"/>
      <c r="H561" s="67" t="n"/>
      <c r="I561" s="2087" t="n">
        <v>278</v>
      </c>
      <c r="J561" s="2087" t="n">
        <v>280</v>
      </c>
      <c r="K561" s="2087">
        <f>AVERAGE(I561:J561)</f>
        <v/>
      </c>
      <c r="L561" s="67" t="n"/>
      <c r="M561" s="77">
        <f>IF(INDEX(MO_SNA_IsHistoricalPeriod,,MATCH(F561,MO_Common_ColumnHeader,0)),"Actual","Estimate")</f>
        <v/>
      </c>
      <c r="N561" s="2087">
        <f>IFERROR(INDEX(INDIRECT(E561),0,MATCH(F561,MO_Common_ColumnHeader,0)),"N/A")</f>
        <v/>
      </c>
      <c r="O561" s="67" t="n"/>
      <c r="P561" s="2169">
        <f>IF(ISNUMBER(N561),N561-K561,"N/A")</f>
        <v/>
      </c>
      <c r="Q561" s="2168">
        <f>IFERROR(IF(ISNUMBER(N561),(N561-K561)/ABS(K561),"N/A"),"N/A")</f>
        <v/>
      </c>
      <c r="R561" s="67" t="n"/>
      <c r="S561" s="80" t="n">
        <v>44403</v>
      </c>
      <c r="T561" s="88" t="inlineStr">
        <is>
          <t>CFO Commentary</t>
        </is>
      </c>
      <c r="U561" s="67" t="n"/>
      <c r="V561" s="1016" t="n"/>
    </row>
    <row r="562" ht="14.4" customHeight="1" s="972">
      <c r="A562" s="64" t="n">
        <v>402</v>
      </c>
      <c r="B562" s="77">
        <f>IF(INDEX(MO_SNA_IsHistoricalPeriod,,MATCH(F562,MO_Common_ColumnHeader,0)),"Historical","Forward")</f>
        <v/>
      </c>
      <c r="C562" s="67" t="n"/>
      <c r="D562" s="84">
        <f>INDEX(INDIRECT(E562),0,COLUMN(MO_Common_Column_A))</f>
        <v/>
      </c>
      <c r="E562" s="78" t="inlineStr">
        <is>
          <t>MO_RIS_NI_GAAP_Diluted</t>
        </is>
      </c>
      <c r="F562" s="77" t="inlineStr">
        <is>
          <t>FY2021</t>
        </is>
      </c>
      <c r="G562" s="77" t="n"/>
      <c r="H562" s="67" t="n"/>
      <c r="I562" s="2087" t="n">
        <v>600</v>
      </c>
      <c r="J562" s="2087" t="n">
        <v>616</v>
      </c>
      <c r="K562" s="2087">
        <f>AVERAGE(I562:J562)</f>
        <v/>
      </c>
      <c r="L562" s="67" t="n"/>
      <c r="M562" s="77">
        <f>IF(INDEX(MO_SNA_IsHistoricalPeriod,,MATCH(F562,MO_Common_ColumnHeader,0)),"Actual","Estimate")</f>
        <v/>
      </c>
      <c r="N562" s="2087">
        <f>IFERROR(INDEX(INDIRECT(E562),0,MATCH(F562,MO_Common_ColumnHeader,0)),"N/A")</f>
        <v/>
      </c>
      <c r="O562" s="67" t="n"/>
      <c r="P562" s="2169">
        <f>IF(ISNUMBER(N562),N562-K562,"N/A")</f>
        <v/>
      </c>
      <c r="Q562" s="2168">
        <f>IFERROR(IF(ISNUMBER(N562),(N562-K562)/ABS(K562),"N/A"),"N/A")</f>
        <v/>
      </c>
      <c r="R562" s="67" t="n"/>
      <c r="S562" s="80" t="n">
        <v>44403</v>
      </c>
      <c r="T562" s="88" t="inlineStr">
        <is>
          <t>Press Release</t>
        </is>
      </c>
      <c r="U562" s="67" t="n"/>
      <c r="V562" s="1016" t="n"/>
    </row>
    <row r="563" ht="14.4" customHeight="1" s="972">
      <c r="A563" s="64" t="n">
        <v>401</v>
      </c>
      <c r="B563" s="77">
        <f>IF(INDEX(MO_SNA_IsHistoricalPeriod,,MATCH(F563,MO_Common_ColumnHeader,0)),"Historical","Forward")</f>
        <v/>
      </c>
      <c r="C563" s="67" t="n"/>
      <c r="D563" s="84">
        <f>INDEX(INDIRECT(E563),0,COLUMN(MO_Common_Column_A))</f>
        <v/>
      </c>
      <c r="E563" s="78" t="inlineStr">
        <is>
          <t>MO_RIS_NI_NONGAAP_Diluted</t>
        </is>
      </c>
      <c r="F563" s="77" t="inlineStr">
        <is>
          <t>FY2021</t>
        </is>
      </c>
      <c r="G563" s="77" t="n"/>
      <c r="H563" s="67" t="n"/>
      <c r="I563" s="2087" t="n">
        <v>877</v>
      </c>
      <c r="J563" s="2087" t="n">
        <v>893</v>
      </c>
      <c r="K563" s="2087">
        <f>AVERAGE(I563:J563)</f>
        <v/>
      </c>
      <c r="L563" s="67" t="n"/>
      <c r="M563" s="77">
        <f>IF(INDEX(MO_SNA_IsHistoricalPeriod,,MATCH(F563,MO_Common_ColumnHeader,0)),"Actual","Estimate")</f>
        <v/>
      </c>
      <c r="N563" s="2087">
        <f>IFERROR(INDEX(INDIRECT(E563),0,MATCH(F563,MO_Common_ColumnHeader,0)),"N/A")</f>
        <v/>
      </c>
      <c r="O563" s="67" t="n"/>
      <c r="P563" s="2169">
        <f>IF(ISNUMBER(N563),N563-K563,"N/A")</f>
        <v/>
      </c>
      <c r="Q563" s="2168">
        <f>IFERROR(IF(ISNUMBER(N563),(N563-K563)/ABS(K563),"N/A"),"N/A")</f>
        <v/>
      </c>
      <c r="R563" s="67" t="n"/>
      <c r="S563" s="80" t="n">
        <v>44403</v>
      </c>
      <c r="T563" s="88" t="inlineStr">
        <is>
          <t>Press Release</t>
        </is>
      </c>
      <c r="U563" s="67" t="n"/>
      <c r="V563" s="1016" t="n"/>
    </row>
    <row r="564" ht="14.4" customHeight="1" s="972">
      <c r="A564" s="64" t="n">
        <v>400</v>
      </c>
      <c r="B564" s="67" t="n"/>
      <c r="C564" s="67" t="n"/>
      <c r="D564" s="68" t="n"/>
      <c r="E564" s="69" t="n"/>
      <c r="F564" s="67" t="n"/>
      <c r="G564" s="67" t="n"/>
      <c r="H564" s="67" t="n"/>
      <c r="I564" s="2072" t="n"/>
      <c r="J564" s="2072" t="n"/>
      <c r="K564" s="2072" t="n"/>
      <c r="L564" s="67" t="n"/>
      <c r="M564" s="67" t="n"/>
      <c r="N564" s="2072" t="n"/>
      <c r="O564" s="67" t="n"/>
      <c r="P564" s="2172" t="n"/>
      <c r="Q564" s="2173" t="n"/>
      <c r="R564" s="67" t="n"/>
      <c r="S564" s="72" t="n"/>
      <c r="T564" s="89" t="n"/>
      <c r="U564" s="67" t="n"/>
      <c r="V564" s="1016" t="n"/>
    </row>
    <row r="565" ht="14.4" customHeight="1" s="972">
      <c r="A565" s="64" t="n">
        <v>399</v>
      </c>
      <c r="B565" s="77">
        <f>IF(INDEX(MO_SNA_IsHistoricalPeriod,,MATCH(F565,MO_Common_ColumnHeader,0)),"Historical","Forward")</f>
        <v/>
      </c>
      <c r="C565" s="67" t="n"/>
      <c r="D565" s="84">
        <f>INDEX(INDIRECT(E565),0,COLUMN(MO_Common_Column_A))</f>
        <v/>
      </c>
      <c r="E565" s="78" t="inlineStr">
        <is>
          <t>MO_RIS_REV</t>
        </is>
      </c>
      <c r="F565" s="77" t="inlineStr">
        <is>
          <t>Q3-2021</t>
        </is>
      </c>
      <c r="G565" s="77" t="n"/>
      <c r="H565" s="67" t="n"/>
      <c r="I565" s="2087" t="n">
        <v>730</v>
      </c>
      <c r="J565" s="2087" t="n">
        <v>750</v>
      </c>
      <c r="K565" s="2087">
        <f>AVERAGE(I565:J565)</f>
        <v/>
      </c>
      <c r="L565" s="67" t="n"/>
      <c r="M565" s="77">
        <f>IF(INDEX(MO_SNA_IsHistoricalPeriod,,MATCH(F565,MO_Common_ColumnHeader,0)),"Actual","Estimate")</f>
        <v/>
      </c>
      <c r="N565" s="2087">
        <f>IFERROR(INDEX(INDIRECT(E565),0,MATCH(F565,MO_Common_ColumnHeader,0)),"N/A")</f>
        <v/>
      </c>
      <c r="O565" s="67" t="n"/>
      <c r="P565" s="2169">
        <f>IF(ISNUMBER(N565),N565-K565,"N/A")</f>
        <v/>
      </c>
      <c r="Q565" s="2168">
        <f>IFERROR(IF(ISNUMBER(N565),(N565-K565)/ABS(K565),"N/A"),"N/A")</f>
        <v/>
      </c>
      <c r="R565" s="67" t="n"/>
      <c r="S565" s="80" t="n">
        <v>44403</v>
      </c>
      <c r="T565" s="88" t="inlineStr">
        <is>
          <t>CFO Commentary</t>
        </is>
      </c>
      <c r="U565" s="67" t="n"/>
      <c r="V565" s="1016" t="n"/>
    </row>
    <row r="566" ht="14.4" customHeight="1" s="972">
      <c r="A566" s="64" t="n">
        <v>398</v>
      </c>
      <c r="B566" s="77">
        <f>IF(INDEX(MO_SNA_IsHistoricalPeriod,,MATCH(F566,MO_Common_ColumnHeader,0)),"Historical","Forward")</f>
        <v/>
      </c>
      <c r="C566" s="67" t="n"/>
      <c r="D566" s="84" t="inlineStr">
        <is>
          <t>GAAP Operating Margin</t>
        </is>
      </c>
      <c r="E566" s="78" t="inlineStr">
        <is>
          <t>MO_MA_EBIT</t>
        </is>
      </c>
      <c r="F566" s="77" t="inlineStr">
        <is>
          <t>Q3-2021</t>
        </is>
      </c>
      <c r="G566" s="77" t="n"/>
      <c r="H566" s="67" t="n"/>
      <c r="I566" s="2108" t="n">
        <v>0.23</v>
      </c>
      <c r="J566" s="2108" t="n">
        <v>0.23</v>
      </c>
      <c r="K566" s="2108">
        <f>AVERAGE(I566:J566)</f>
        <v/>
      </c>
      <c r="L566" s="67" t="n"/>
      <c r="M566" s="77">
        <f>IF(INDEX(MO_SNA_IsHistoricalPeriod,,MATCH(F566,MO_Common_ColumnHeader,0)),"Actual","Estimate")</f>
        <v/>
      </c>
      <c r="N566" s="2108">
        <f>IFERROR(INDEX(INDIRECT(E566),0,MATCH(F566,MO_Common_ColumnHeader,0)),"N/A")</f>
        <v/>
      </c>
      <c r="O566" s="67" t="n"/>
      <c r="P566" s="2168">
        <f>IF(ISNUMBER(N566),N566-K566,"N/A")</f>
        <v/>
      </c>
      <c r="Q566" s="2168">
        <f>IFERROR(IF(ISNUMBER(N566),(N566-K566)/ABS(K566),"N/A"),"N/A")</f>
        <v/>
      </c>
      <c r="R566" s="67" t="n"/>
      <c r="S566" s="80" t="n">
        <v>44403</v>
      </c>
      <c r="T566" s="88" t="inlineStr">
        <is>
          <t>CFO Commentary</t>
        </is>
      </c>
      <c r="U566" s="67" t="n"/>
      <c r="V566" s="1016" t="n"/>
    </row>
    <row r="567" ht="14.4" customHeight="1" s="972">
      <c r="A567" s="64" t="n">
        <v>397</v>
      </c>
      <c r="B567" s="77">
        <f>IF(INDEX(MO_SNA_IsHistoricalPeriod,,MATCH(F567,MO_Common_ColumnHeader,0)),"Historical","Forward")</f>
        <v/>
      </c>
      <c r="C567" s="67" t="n"/>
      <c r="D567" s="84">
        <f>INDEX(INDIRECT(E567),0,COLUMN(MO_Common_Column_A))</f>
        <v/>
      </c>
      <c r="E567" s="78" t="inlineStr">
        <is>
          <t>MO_MA_OperatingIncome_NONGAAP</t>
        </is>
      </c>
      <c r="F567" s="77" t="inlineStr">
        <is>
          <t>Q3-2021</t>
        </is>
      </c>
      <c r="G567" s="77" t="n"/>
      <c r="H567" s="67" t="n"/>
      <c r="I567" s="2108" t="n">
        <v>0.34</v>
      </c>
      <c r="J567" s="2108" t="n">
        <v>0.34</v>
      </c>
      <c r="K567" s="2108">
        <f>AVERAGE(I567:J567)</f>
        <v/>
      </c>
      <c r="L567" s="67" t="n"/>
      <c r="M567" s="77">
        <f>IF(INDEX(MO_SNA_IsHistoricalPeriod,,MATCH(F567,MO_Common_ColumnHeader,0)),"Actual","Estimate")</f>
        <v/>
      </c>
      <c r="N567" s="2108">
        <f>IFERROR(INDEX(INDIRECT(E567),0,MATCH(F567,MO_Common_ColumnHeader,0)),"N/A")</f>
        <v/>
      </c>
      <c r="O567" s="67" t="n"/>
      <c r="P567" s="2168">
        <f>IF(ISNUMBER(N567),N567-K567,"N/A")</f>
        <v/>
      </c>
      <c r="Q567" s="2168">
        <f>IFERROR(IF(ISNUMBER(N567),(N567-K567)/ABS(K567),"N/A"),"N/A")</f>
        <v/>
      </c>
      <c r="R567" s="67" t="n"/>
      <c r="S567" s="80" t="n">
        <v>44403</v>
      </c>
      <c r="T567" s="88" t="inlineStr">
        <is>
          <t>CFO Commentary</t>
        </is>
      </c>
      <c r="U567" s="67" t="n"/>
      <c r="V567" s="1016" t="n"/>
    </row>
    <row r="568" ht="14.4" customHeight="1" s="972">
      <c r="A568" s="64" t="n">
        <v>396</v>
      </c>
      <c r="B568" s="77">
        <f>IF(INDEX(MO_SNA_IsHistoricalPeriod,,MATCH(F568,MO_Common_ColumnHeader,0)),"Historical","Forward")</f>
        <v/>
      </c>
      <c r="C568" s="67" t="n"/>
      <c r="D568" s="84">
        <f>INDEX(INDIRECT(E568),0,COLUMN(MO_Common_Column_A))</f>
        <v/>
      </c>
      <c r="E568" s="78" t="inlineStr">
        <is>
          <t>MO_RIS_EPS_WAD</t>
        </is>
      </c>
      <c r="F568" s="77" t="inlineStr">
        <is>
          <t>Q3-2021</t>
        </is>
      </c>
      <c r="G568" s="77" t="n"/>
      <c r="H568" s="67" t="n"/>
      <c r="I568" s="2170" t="n">
        <v>0.48</v>
      </c>
      <c r="J568" s="2170" t="n">
        <v>0.5</v>
      </c>
      <c r="K568" s="2170">
        <f>AVERAGE(I568:J568)</f>
        <v/>
      </c>
      <c r="L568" s="67" t="n"/>
      <c r="M568" s="77">
        <f>IF(INDEX(MO_SNA_IsHistoricalPeriod,,MATCH(F568,MO_Common_ColumnHeader,0)),"Actual","Estimate")</f>
        <v/>
      </c>
      <c r="N568" s="2170">
        <f>IFERROR(INDEX(INDIRECT(E568),0,MATCH(F568,MO_Common_ColumnHeader,0)),"N/A")</f>
        <v/>
      </c>
      <c r="O568" s="67" t="n"/>
      <c r="P568" s="2171">
        <f>IF(ISNUMBER(N568),N568-K568,"N/A")</f>
        <v/>
      </c>
      <c r="Q568" s="2168">
        <f>IFERROR(IF(ISNUMBER(N568),(N568-K568)/ABS(K568),"N/A"),"N/A")</f>
        <v/>
      </c>
      <c r="R568" s="67" t="n"/>
      <c r="S568" s="80" t="n">
        <v>44403</v>
      </c>
      <c r="T568" s="88" t="inlineStr">
        <is>
          <t>CFO Commentary</t>
        </is>
      </c>
      <c r="U568" s="67" t="n"/>
      <c r="V568" s="1016" t="n"/>
    </row>
    <row r="569" ht="14.4" customHeight="1" s="972">
      <c r="A569" s="64" t="n">
        <v>395</v>
      </c>
      <c r="B569" s="77">
        <f>IF(INDEX(MO_SNA_IsHistoricalPeriod,,MATCH(F569,MO_Common_ColumnHeader,0)),"Historical","Forward")</f>
        <v/>
      </c>
      <c r="C569" s="67" t="n"/>
      <c r="D569" s="84">
        <f>INDEX(INDIRECT(E569),0,COLUMN(MO_Common_Column_A))</f>
        <v/>
      </c>
      <c r="E569" s="78" t="inlineStr">
        <is>
          <t>MO_RIS_EPS_WAD_Adj</t>
        </is>
      </c>
      <c r="F569" s="77" t="inlineStr">
        <is>
          <t>Q3-2021</t>
        </is>
      </c>
      <c r="G569" s="77" t="n"/>
      <c r="H569" s="67" t="n"/>
      <c r="I569" s="2170" t="n">
        <v>0.74</v>
      </c>
      <c r="J569" s="2170" t="n">
        <v>0.76</v>
      </c>
      <c r="K569" s="2170">
        <f>AVERAGE(I569:J569)</f>
        <v/>
      </c>
      <c r="L569" s="67" t="n"/>
      <c r="M569" s="77">
        <f>IF(INDEX(MO_SNA_IsHistoricalPeriod,,MATCH(F569,MO_Common_ColumnHeader,0)),"Actual","Estimate")</f>
        <v/>
      </c>
      <c r="N569" s="2170">
        <f>IFERROR(INDEX(INDIRECT(E569),0,MATCH(F569,MO_Common_ColumnHeader,0)),"N/A")</f>
        <v/>
      </c>
      <c r="O569" s="67" t="n"/>
      <c r="P569" s="2171">
        <f>IF(ISNUMBER(N569),N569-K569,"N/A")</f>
        <v/>
      </c>
      <c r="Q569" s="2168">
        <f>IFERROR(IF(ISNUMBER(N569),(N569-K569)/ABS(K569),"N/A"),"N/A")</f>
        <v/>
      </c>
      <c r="R569" s="67" t="n"/>
      <c r="S569" s="80" t="n">
        <v>44403</v>
      </c>
      <c r="T569" s="88" t="inlineStr">
        <is>
          <t>CFO Commentary</t>
        </is>
      </c>
      <c r="U569" s="67" t="n"/>
      <c r="V569" s="1016" t="n"/>
    </row>
    <row r="570" ht="14.4" customHeight="1" s="972">
      <c r="A570" s="64" t="n">
        <v>394</v>
      </c>
      <c r="B570" s="77">
        <f>IF(INDEX(MO_SNA_IsHistoricalPeriod,,MATCH(F570,MO_Common_ColumnHeader,0)),"Historical","Forward")</f>
        <v/>
      </c>
      <c r="C570" s="67" t="n"/>
      <c r="D570" s="84">
        <f>INDEX(INDIRECT(E570),0,COLUMN(MO_Common_Column_A))</f>
        <v/>
      </c>
      <c r="E570" s="78" t="inlineStr">
        <is>
          <t>MO_RIS_Daintangibles</t>
        </is>
      </c>
      <c r="F570" s="77" t="inlineStr">
        <is>
          <t>Q3-2021</t>
        </is>
      </c>
      <c r="G570" s="77" t="n"/>
      <c r="H570" s="67" t="n"/>
      <c r="I570" s="2087" t="n">
        <v>17</v>
      </c>
      <c r="J570" s="2087" t="n">
        <v>17</v>
      </c>
      <c r="K570" s="2087">
        <f>AVERAGE(I570:J570)</f>
        <v/>
      </c>
      <c r="L570" s="67" t="n"/>
      <c r="M570" s="77">
        <f>IF(INDEX(MO_SNA_IsHistoricalPeriod,,MATCH(F570,MO_Common_ColumnHeader,0)),"Actual","Estimate")</f>
        <v/>
      </c>
      <c r="N570" s="2087">
        <f>IFERROR(INDEX(INDIRECT(E570),0,MATCH(F570,MO_Common_ColumnHeader,0)),"N/A")</f>
        <v/>
      </c>
      <c r="O570" s="67" t="n"/>
      <c r="P570" s="2169">
        <f>IF(ISNUMBER(N570),N570-K570,"N/A")</f>
        <v/>
      </c>
      <c r="Q570" s="2168">
        <f>IFERROR(IF(ISNUMBER(N570),(N570-K570)/ABS(K570),"N/A"),"N/A")</f>
        <v/>
      </c>
      <c r="R570" s="67" t="n"/>
      <c r="S570" s="80" t="n">
        <v>44403</v>
      </c>
      <c r="T570" s="88" t="inlineStr">
        <is>
          <t>Press Release</t>
        </is>
      </c>
      <c r="U570" s="67" t="n"/>
      <c r="V570" s="1016" t="n"/>
    </row>
    <row r="571" ht="14.4" customHeight="1" s="972">
      <c r="A571" s="64" t="n">
        <v>393</v>
      </c>
      <c r="B571" s="77">
        <f>IF(INDEX(MO_SNA_IsHistoricalPeriod,,MATCH(F571,MO_Common_ColumnHeader,0)),"Historical","Forward")</f>
        <v/>
      </c>
      <c r="C571" s="67" t="n"/>
      <c r="D571" s="84">
        <f>INDEX(INDIRECT(E571),0,COLUMN(MO_Common_Column_A))</f>
        <v/>
      </c>
      <c r="E571" s="78" t="inlineStr">
        <is>
          <t>MO_RIS_SBC</t>
        </is>
      </c>
      <c r="F571" s="77" t="inlineStr">
        <is>
          <t>Q3-2021</t>
        </is>
      </c>
      <c r="G571" s="77" t="n"/>
      <c r="H571" s="67" t="n"/>
      <c r="I571" s="2087" t="n">
        <v>57</v>
      </c>
      <c r="J571" s="2087" t="n">
        <v>57</v>
      </c>
      <c r="K571" s="2087">
        <f>AVERAGE(I571:J571)</f>
        <v/>
      </c>
      <c r="L571" s="67" t="n"/>
      <c r="M571" s="77">
        <f>IF(INDEX(MO_SNA_IsHistoricalPeriod,,MATCH(F571,MO_Common_ColumnHeader,0)),"Actual","Estimate")</f>
        <v/>
      </c>
      <c r="N571" s="2087">
        <f>IFERROR(INDEX(INDIRECT(E571),0,MATCH(F571,MO_Common_ColumnHeader,0)),"N/A")</f>
        <v/>
      </c>
      <c r="O571" s="67" t="n"/>
      <c r="P571" s="2169">
        <f>IF(ISNUMBER(N571),N571-K571,"N/A")</f>
        <v/>
      </c>
      <c r="Q571" s="2168">
        <f>IFERROR(IF(ISNUMBER(N571),(N571-K571)/ABS(K571),"N/A"),"N/A")</f>
        <v/>
      </c>
      <c r="R571" s="67" t="n"/>
      <c r="S571" s="80" t="n">
        <v>44403</v>
      </c>
      <c r="T571" s="88" t="inlineStr">
        <is>
          <t>Press Release</t>
        </is>
      </c>
      <c r="U571" s="67" t="n"/>
      <c r="V571" s="1016" t="n"/>
    </row>
    <row r="572" ht="14.4" customHeight="1" s="972">
      <c r="A572" s="64" t="n">
        <v>392</v>
      </c>
      <c r="B572" s="77">
        <f>IF(INDEX(MO_SNA_IsHistoricalPeriod,,MATCH(F572,MO_Common_ColumnHeader,0)),"Historical","Forward")</f>
        <v/>
      </c>
      <c r="C572" s="67" t="n"/>
      <c r="D572" s="84" t="inlineStr">
        <is>
          <t>Acquisition and integration-related costs</t>
        </is>
      </c>
      <c r="E572" s="78" t="n"/>
      <c r="F572" s="77" t="inlineStr">
        <is>
          <t>Q3-2021</t>
        </is>
      </c>
      <c r="G572" s="77" t="n"/>
      <c r="H572" s="67" t="n"/>
      <c r="I572" s="2087" t="n">
        <v>5</v>
      </c>
      <c r="J572" s="2087" t="n">
        <v>5</v>
      </c>
      <c r="K572" s="2087">
        <f>AVERAGE(I572:J572)</f>
        <v/>
      </c>
      <c r="L572" s="67" t="n"/>
      <c r="M572" s="77">
        <f>IF(INDEX(MO_SNA_IsHistoricalPeriod,,MATCH(F572,MO_Common_ColumnHeader,0)),"Actual","Estimate")</f>
        <v/>
      </c>
      <c r="N572" s="2087">
        <f>IFERROR(INDEX(INDIRECT(E572),0,MATCH(F572,MO_Common_ColumnHeader,0)),"N/A")</f>
        <v/>
      </c>
      <c r="O572" s="67" t="n"/>
      <c r="P572" s="2169">
        <f>IF(ISNUMBER(N572),N572-K572,"N/A")</f>
        <v/>
      </c>
      <c r="Q572" s="2168">
        <f>IFERROR(IF(ISNUMBER(N572),(N572-K572)/ABS(K572),"N/A"),"N/A")</f>
        <v/>
      </c>
      <c r="R572" s="67" t="n"/>
      <c r="S572" s="80" t="n">
        <v>44403</v>
      </c>
      <c r="T572" s="88" t="inlineStr">
        <is>
          <t>Press Release</t>
        </is>
      </c>
      <c r="U572" s="67" t="n"/>
      <c r="V572" s="1016" t="n"/>
    </row>
    <row r="573" ht="14.4" customHeight="1" s="972">
      <c r="A573" s="64" t="n">
        <v>391</v>
      </c>
      <c r="B573" s="77">
        <f>IF(INDEX(MO_SNA_IsHistoricalPeriod,,MATCH(F573,MO_Common_ColumnHeader,0)),"Historical","Forward")</f>
        <v/>
      </c>
      <c r="C573" s="67" t="n"/>
      <c r="D573" s="84" t="inlineStr">
        <is>
          <t>Special charges</t>
        </is>
      </c>
      <c r="E573" s="78" t="n"/>
      <c r="F573" s="77" t="inlineStr">
        <is>
          <t>Q3-2021</t>
        </is>
      </c>
      <c r="G573" s="77" t="n"/>
      <c r="H573" s="67" t="n"/>
      <c r="I573" s="2087" t="n">
        <v>0</v>
      </c>
      <c r="J573" s="2087" t="n">
        <v>0</v>
      </c>
      <c r="K573" s="2087">
        <f>AVERAGE(I573:J573)</f>
        <v/>
      </c>
      <c r="L573" s="67" t="n"/>
      <c r="M573" s="77">
        <f>IF(INDEX(MO_SNA_IsHistoricalPeriod,,MATCH(F573,MO_Common_ColumnHeader,0)),"Actual","Estimate")</f>
        <v/>
      </c>
      <c r="N573" s="2087">
        <f>IFERROR(INDEX(INDIRECT(E573),0,MATCH(F573,MO_Common_ColumnHeader,0)),"N/A")</f>
        <v/>
      </c>
      <c r="O573" s="67" t="n"/>
      <c r="P573" s="2169">
        <f>IF(ISNUMBER(N573),N573-K573,"N/A")</f>
        <v/>
      </c>
      <c r="Q573" s="2168">
        <f>IFERROR(IF(ISNUMBER(N573),(N573-K573)/ABS(K573),"N/A"),"N/A")</f>
        <v/>
      </c>
      <c r="R573" s="67" t="n"/>
      <c r="S573" s="80" t="n">
        <v>44403</v>
      </c>
      <c r="T573" s="88" t="inlineStr">
        <is>
          <t>Press Release</t>
        </is>
      </c>
      <c r="U573" s="67" t="n"/>
      <c r="V573" s="1016" t="n"/>
    </row>
    <row r="574" ht="14.4" customHeight="1" s="972">
      <c r="A574" s="64" t="n">
        <v>390</v>
      </c>
      <c r="B574" s="77">
        <f>IF(INDEX(MO_SNA_IsHistoricalPeriod,,MATCH(F574,MO_Common_ColumnHeader,0)),"Historical","Forward")</f>
        <v/>
      </c>
      <c r="C574" s="67" t="n"/>
      <c r="D574" s="84" t="inlineStr">
        <is>
          <t>Income tax effect on non-GAAP adjustments</t>
        </is>
      </c>
      <c r="E574" s="78" t="n"/>
      <c r="F574" s="77" t="inlineStr">
        <is>
          <t>Q3-2021</t>
        </is>
      </c>
      <c r="G574" s="77" t="n"/>
      <c r="H574" s="67" t="n"/>
      <c r="I574" s="2087" t="n">
        <v>-7</v>
      </c>
      <c r="J574" s="2087" t="n">
        <v>-7</v>
      </c>
      <c r="K574" s="2087">
        <f>AVERAGE(I574:J574)</f>
        <v/>
      </c>
      <c r="L574" s="67" t="n"/>
      <c r="M574" s="77">
        <f>IF(INDEX(MO_SNA_IsHistoricalPeriod,,MATCH(F574,MO_Common_ColumnHeader,0)),"Actual","Estimate")</f>
        <v/>
      </c>
      <c r="N574" s="2087">
        <f>IFERROR(INDEX(INDIRECT(E574),0,MATCH(F574,MO_Common_ColumnHeader,0)),"N/A")</f>
        <v/>
      </c>
      <c r="O574" s="67" t="n"/>
      <c r="P574" s="2169">
        <f>IF(ISNUMBER(N574),N574-K574,"N/A")</f>
        <v/>
      </c>
      <c r="Q574" s="2168">
        <f>IFERROR(IF(ISNUMBER(N574),(N574-K574)/ABS(K574),"N/A"),"N/A")</f>
        <v/>
      </c>
      <c r="R574" s="67" t="n"/>
      <c r="S574" s="80" t="n">
        <v>44403</v>
      </c>
      <c r="T574" s="88" t="inlineStr">
        <is>
          <t>Press Release</t>
        </is>
      </c>
      <c r="U574" s="67" t="n"/>
      <c r="V574" s="1016" t="n"/>
    </row>
    <row r="575" ht="14.4" customHeight="1" s="972">
      <c r="A575" s="64" t="n">
        <v>389</v>
      </c>
      <c r="B575" s="77">
        <f>IF(INDEX(MO_SNA_IsHistoricalPeriod,,MATCH(F575,MO_Common_ColumnHeader,0)),"Historical","Forward")</f>
        <v/>
      </c>
      <c r="C575" s="67" t="n"/>
      <c r="D575" s="84">
        <f>INDEX(INDIRECT(E575),0,COLUMN(MO_Common_Column_A))</f>
        <v/>
      </c>
      <c r="E575" s="78" t="inlineStr">
        <is>
          <t>MO_RIS_NI_GAAP_Diluted</t>
        </is>
      </c>
      <c r="F575" s="77" t="inlineStr">
        <is>
          <t>Q3-2021</t>
        </is>
      </c>
      <c r="G575" s="77" t="n"/>
      <c r="H575" s="67" t="n"/>
      <c r="I575" s="2087" t="n">
        <v>133</v>
      </c>
      <c r="J575" s="2087" t="n">
        <v>139</v>
      </c>
      <c r="K575" s="2087">
        <f>AVERAGE(I575:J575)</f>
        <v/>
      </c>
      <c r="L575" s="67" t="n"/>
      <c r="M575" s="77">
        <f>IF(INDEX(MO_SNA_IsHistoricalPeriod,,MATCH(F575,MO_Common_ColumnHeader,0)),"Actual","Estimate")</f>
        <v/>
      </c>
      <c r="N575" s="2087">
        <f>IFERROR(INDEX(INDIRECT(E575),0,MATCH(F575,MO_Common_ColumnHeader,0)),"N/A")</f>
        <v/>
      </c>
      <c r="O575" s="67" t="n"/>
      <c r="P575" s="2169">
        <f>IF(ISNUMBER(N575),N575-K575,"N/A")</f>
        <v/>
      </c>
      <c r="Q575" s="2168">
        <f>IFERROR(IF(ISNUMBER(N575),(N575-K575)/ABS(K575),"N/A"),"N/A")</f>
        <v/>
      </c>
      <c r="R575" s="67" t="n"/>
      <c r="S575" s="80" t="n">
        <v>44403</v>
      </c>
      <c r="T575" s="88" t="inlineStr">
        <is>
          <t>Press Release</t>
        </is>
      </c>
      <c r="U575" s="67" t="n"/>
      <c r="V575" s="1016" t="n"/>
    </row>
    <row r="576" ht="14.4" customHeight="1" s="972">
      <c r="A576" s="64" t="n">
        <v>388</v>
      </c>
      <c r="B576" s="77">
        <f>IF(INDEX(MO_SNA_IsHistoricalPeriod,,MATCH(F576,MO_Common_ColumnHeader,0)),"Historical","Forward")</f>
        <v/>
      </c>
      <c r="C576" s="67" t="n"/>
      <c r="D576" s="84">
        <f>INDEX(INDIRECT(E576),0,COLUMN(MO_Common_Column_A))</f>
        <v/>
      </c>
      <c r="E576" s="78" t="inlineStr">
        <is>
          <t>MO_RIS_NI_NONGAAP_Diluted</t>
        </is>
      </c>
      <c r="F576" s="77" t="inlineStr">
        <is>
          <t>Q3-2021</t>
        </is>
      </c>
      <c r="G576" s="77" t="n"/>
      <c r="H576" s="67" t="n"/>
      <c r="I576" s="2087" t="n">
        <v>205</v>
      </c>
      <c r="J576" s="2087" t="n">
        <v>211</v>
      </c>
      <c r="K576" s="2087">
        <f>AVERAGE(I576:J576)</f>
        <v/>
      </c>
      <c r="L576" s="67" t="n"/>
      <c r="M576" s="77">
        <f>IF(INDEX(MO_SNA_IsHistoricalPeriod,,MATCH(F576,MO_Common_ColumnHeader,0)),"Actual","Estimate")</f>
        <v/>
      </c>
      <c r="N576" s="2087">
        <f>IFERROR(INDEX(INDIRECT(E576),0,MATCH(F576,MO_Common_ColumnHeader,0)),"N/A")</f>
        <v/>
      </c>
      <c r="O576" s="67" t="n"/>
      <c r="P576" s="2169">
        <f>IF(ISNUMBER(N576),N576-K576,"N/A")</f>
        <v/>
      </c>
      <c r="Q576" s="2168">
        <f>IFERROR(IF(ISNUMBER(N576),(N576-K576)/ABS(K576),"N/A"),"N/A")</f>
        <v/>
      </c>
      <c r="R576" s="67" t="n"/>
      <c r="S576" s="80" t="n">
        <v>44403</v>
      </c>
      <c r="T576" s="88" t="inlineStr">
        <is>
          <t>Press Release</t>
        </is>
      </c>
      <c r="U576" s="67" t="n"/>
      <c r="V576" s="1016" t="n"/>
    </row>
    <row r="577" ht="14.4" customHeight="1" s="972">
      <c r="A577" s="64" t="n">
        <v>387</v>
      </c>
      <c r="B577" s="67" t="n"/>
      <c r="C577" s="67" t="n"/>
      <c r="D577" s="68" t="n"/>
      <c r="E577" s="69" t="n"/>
      <c r="F577" s="67" t="n"/>
      <c r="G577" s="67" t="n"/>
      <c r="H577" s="67" t="n"/>
      <c r="I577" s="2072" t="n"/>
      <c r="J577" s="2072" t="n"/>
      <c r="K577" s="2072" t="n"/>
      <c r="L577" s="67" t="n"/>
      <c r="M577" s="67" t="n"/>
      <c r="N577" s="2072" t="n"/>
      <c r="O577" s="67" t="n"/>
      <c r="P577" s="2172" t="n"/>
      <c r="Q577" s="2173" t="n"/>
      <c r="R577" s="67" t="n"/>
      <c r="S577" s="72" t="n"/>
      <c r="T577" s="89" t="n"/>
      <c r="U577" s="67" t="n"/>
      <c r="V577" s="1016" t="n"/>
    </row>
    <row r="578" ht="14.4" customHeight="1" s="972">
      <c r="A578" s="64" t="n">
        <v>386</v>
      </c>
      <c r="B578" s="77">
        <f>IF(INDEX(MO_SNA_IsHistoricalPeriod,,MATCH(F578,MO_Common_ColumnHeader,0)),"Historical","Forward")</f>
        <v/>
      </c>
      <c r="C578" s="67" t="n"/>
      <c r="D578" s="84" t="inlineStr">
        <is>
          <t>Recurring Revenue %</t>
        </is>
      </c>
      <c r="E578" s="78" t="n"/>
      <c r="F578" s="77" t="inlineStr">
        <is>
          <t>FY2021</t>
        </is>
      </c>
      <c r="G578" s="77" t="n"/>
      <c r="H578" s="67" t="n"/>
      <c r="I578" s="2108" t="n">
        <v>0.85</v>
      </c>
      <c r="J578" s="2108" t="n">
        <v>0.9</v>
      </c>
      <c r="K578" s="2108">
        <f>AVERAGE(I578:J578)</f>
        <v/>
      </c>
      <c r="L578" s="67" t="n"/>
      <c r="M578" s="77">
        <f>IF(INDEX(MO_SNA_IsHistoricalPeriod,,MATCH(F578,MO_Common_ColumnHeader,0)),"Actual","Estimate")</f>
        <v/>
      </c>
      <c r="N578" s="2108">
        <f>IFERROR(INDEX(INDIRECT(E578),0,MATCH(F578,MO_Common_ColumnHeader,0)),"N/A")</f>
        <v/>
      </c>
      <c r="O578" s="2072" t="n"/>
      <c r="P578" s="2168">
        <f>IF(ISNUMBER(N578),N578-K578,"N/A")</f>
        <v/>
      </c>
      <c r="Q578" s="2168">
        <f>IFERROR(IF(ISNUMBER(N578),(N578-K578)/ABS(K578),"N/A"),"N/A")</f>
        <v/>
      </c>
      <c r="R578" s="67" t="n"/>
      <c r="S578" s="80" t="n">
        <v>44312</v>
      </c>
      <c r="T578" s="88" t="inlineStr">
        <is>
          <t>CFO Commentary</t>
        </is>
      </c>
      <c r="U578" s="112" t="n"/>
      <c r="V578" s="1016" t="n"/>
    </row>
    <row r="579" ht="14.4" customHeight="1" s="972">
      <c r="A579" s="64" t="n">
        <v>385</v>
      </c>
      <c r="B579" s="77">
        <f>IF(INDEX(MO_SNA_IsHistoricalPeriod,,MATCH(F579,MO_Common_ColumnHeader,0)),"Historical","Forward")</f>
        <v/>
      </c>
      <c r="C579" s="67" t="n"/>
      <c r="D579" s="84" t="inlineStr">
        <is>
          <t>Revenue from Beginning Backlog %</t>
        </is>
      </c>
      <c r="E579" s="78" t="n"/>
      <c r="F579" s="77" t="inlineStr">
        <is>
          <t>FY2021</t>
        </is>
      </c>
      <c r="G579" s="77" t="n"/>
      <c r="H579" s="67" t="n"/>
      <c r="I579" s="2108" t="n">
        <v>0.75</v>
      </c>
      <c r="J579" s="2108" t="n">
        <v>0.75</v>
      </c>
      <c r="K579" s="2108">
        <f>AVERAGE(I579:J579)</f>
        <v/>
      </c>
      <c r="L579" s="67" t="n"/>
      <c r="M579" s="77">
        <f>IF(INDEX(MO_SNA_IsHistoricalPeriod,,MATCH(F579,MO_Common_ColumnHeader,0)),"Actual","Estimate")</f>
        <v/>
      </c>
      <c r="N579" s="2108">
        <f>IFERROR(INDEX(INDIRECT(E579),0,MATCH(F579,MO_Common_ColumnHeader,0)),"N/A")</f>
        <v/>
      </c>
      <c r="O579" s="2072" t="n"/>
      <c r="P579" s="2168">
        <f>IF(ISNUMBER(N579),N579-K579,"N/A")</f>
        <v/>
      </c>
      <c r="Q579" s="2168">
        <f>IFERROR(IF(ISNUMBER(N579),(N579-K579)/ABS(K579),"N/A"),"N/A")</f>
        <v/>
      </c>
      <c r="R579" s="67" t="n"/>
      <c r="S579" s="80" t="n">
        <v>44312</v>
      </c>
      <c r="T579" s="88" t="inlineStr">
        <is>
          <t>CFO Commentary</t>
        </is>
      </c>
      <c r="U579" s="112" t="n"/>
      <c r="V579" s="1016" t="n"/>
    </row>
    <row r="580" ht="14.4" customHeight="1" s="972">
      <c r="A580" s="64" t="n">
        <v>384</v>
      </c>
      <c r="B580" s="77">
        <f>IF(INDEX(MO_SNA_IsHistoricalPeriod,,MATCH(F580,MO_Common_ColumnHeader,0)),"Historical","Forward")</f>
        <v/>
      </c>
      <c r="C580" s="67" t="n"/>
      <c r="D580" s="84">
        <f>INDEX(INDIRECT(E580),0,COLUMN(MO_Common_Column_A))</f>
        <v/>
      </c>
      <c r="E580" s="78" t="inlineStr">
        <is>
          <t>MO_RIS_REV</t>
        </is>
      </c>
      <c r="F580" s="77" t="inlineStr">
        <is>
          <t>FY2021</t>
        </is>
      </c>
      <c r="G580" s="77" t="n"/>
      <c r="H580" s="67" t="n"/>
      <c r="I580" s="2087" t="n">
        <v>2880</v>
      </c>
      <c r="J580" s="2087" t="n">
        <v>2930</v>
      </c>
      <c r="K580" s="2087">
        <f>AVERAGE(I580:J580)</f>
        <v/>
      </c>
      <c r="L580" s="67" t="n"/>
      <c r="M580" s="77">
        <f>IF(INDEX(MO_SNA_IsHistoricalPeriod,,MATCH(F580,MO_Common_ColumnHeader,0)),"Actual","Estimate")</f>
        <v/>
      </c>
      <c r="N580" s="2087">
        <f>IFERROR(INDEX(INDIRECT(E580),0,MATCH(F580,MO_Common_ColumnHeader,0)),"N/A")</f>
        <v/>
      </c>
      <c r="O580" s="2072" t="n"/>
      <c r="P580" s="2169">
        <f>IF(ISNUMBER(N580),N580-K580,"N/A")</f>
        <v/>
      </c>
      <c r="Q580" s="2168">
        <f>IFERROR(IF(ISNUMBER(N580),(N580-K580)/ABS(K580),"N/A"),"N/A")</f>
        <v/>
      </c>
      <c r="R580" s="67" t="n"/>
      <c r="S580" s="80" t="n">
        <v>44312</v>
      </c>
      <c r="T580" s="88" t="inlineStr">
        <is>
          <t>CFO Commentary</t>
        </is>
      </c>
      <c r="U580" s="112" t="n"/>
      <c r="V580" s="1016" t="n"/>
    </row>
    <row r="581" ht="14.4" customHeight="1" s="972">
      <c r="A581" s="64" t="n">
        <v>383</v>
      </c>
      <c r="B581" s="77">
        <f>IF(INDEX(MO_SNA_IsHistoricalPeriod,,MATCH(F581,MO_Common_ColumnHeader,0)),"Historical","Forward")</f>
        <v/>
      </c>
      <c r="C581" s="67" t="n"/>
      <c r="D581" s="84" t="inlineStr">
        <is>
          <t>GAAP Operating Margin</t>
        </is>
      </c>
      <c r="E581" s="78" t="inlineStr">
        <is>
          <t>MO_MA_EBIT</t>
        </is>
      </c>
      <c r="F581" s="77" t="inlineStr">
        <is>
          <t>FY2021</t>
        </is>
      </c>
      <c r="G581" s="77" t="n"/>
      <c r="H581" s="67" t="n"/>
      <c r="I581" s="2108" t="n">
        <v>0.23</v>
      </c>
      <c r="J581" s="2108" t="n">
        <v>0.24</v>
      </c>
      <c r="K581" s="2108">
        <f>AVERAGE(I581:J581)</f>
        <v/>
      </c>
      <c r="L581" s="67" t="n"/>
      <c r="M581" s="77">
        <f>IF(INDEX(MO_SNA_IsHistoricalPeriod,,MATCH(F581,MO_Common_ColumnHeader,0)),"Actual","Estimate")</f>
        <v/>
      </c>
      <c r="N581" s="2108">
        <f>IFERROR(INDEX(INDIRECT(E581),0,MATCH(F581,MO_Common_ColumnHeader,0)),"N/A")</f>
        <v/>
      </c>
      <c r="O581" s="67" t="n"/>
      <c r="P581" s="2168">
        <f>IF(ISNUMBER(N581),N581-K581,"N/A")</f>
        <v/>
      </c>
      <c r="Q581" s="2168">
        <f>IFERROR(IF(ISNUMBER(N581),(N581-K581)/ABS(K581),"N/A"),"N/A")</f>
        <v/>
      </c>
      <c r="R581" s="67" t="n"/>
      <c r="S581" s="80" t="n">
        <v>44312</v>
      </c>
      <c r="T581" s="88" t="inlineStr">
        <is>
          <t>CFO Commentary</t>
        </is>
      </c>
      <c r="U581" s="67" t="n"/>
      <c r="V581" s="1016" t="n"/>
    </row>
    <row r="582" ht="14.4" customHeight="1" s="972">
      <c r="A582" s="64" t="n">
        <v>382</v>
      </c>
      <c r="B582" s="77">
        <f>IF(INDEX(MO_SNA_IsHistoricalPeriod,,MATCH(F582,MO_Common_ColumnHeader,0)),"Historical","Forward")</f>
        <v/>
      </c>
      <c r="C582" s="67" t="n"/>
      <c r="D582" s="84">
        <f>INDEX(INDIRECT(E582),0,COLUMN(MO_Common_Column_A))</f>
        <v/>
      </c>
      <c r="E582" s="78" t="inlineStr">
        <is>
          <t>MO_MA_OperatingIncome_NONGAAP</t>
        </is>
      </c>
      <c r="F582" s="77" t="inlineStr">
        <is>
          <t>FY2021</t>
        </is>
      </c>
      <c r="G582" s="77" t="n"/>
      <c r="H582" s="67" t="n"/>
      <c r="I582" s="2108" t="n">
        <v>0.35</v>
      </c>
      <c r="J582" s="2108" t="n">
        <v>0.36</v>
      </c>
      <c r="K582" s="2108">
        <f>AVERAGE(I582:J582)</f>
        <v/>
      </c>
      <c r="L582" s="67" t="n"/>
      <c r="M582" s="77">
        <f>IF(INDEX(MO_SNA_IsHistoricalPeriod,,MATCH(F582,MO_Common_ColumnHeader,0)),"Actual","Estimate")</f>
        <v/>
      </c>
      <c r="N582" s="2108">
        <f>IFERROR(INDEX(INDIRECT(E582),0,MATCH(F582,MO_Common_ColumnHeader,0)),"N/A")</f>
        <v/>
      </c>
      <c r="O582" s="67" t="n"/>
      <c r="P582" s="2168">
        <f>IF(ISNUMBER(N582),N582-K582,"N/A")</f>
        <v/>
      </c>
      <c r="Q582" s="2168">
        <f>IFERROR(IF(ISNUMBER(N582),(N582-K582)/ABS(K582),"N/A"),"N/A")</f>
        <v/>
      </c>
      <c r="R582" s="67" t="n"/>
      <c r="S582" s="80" t="n">
        <v>44312</v>
      </c>
      <c r="T582" s="88" t="inlineStr">
        <is>
          <t>CFO Commentary</t>
        </is>
      </c>
      <c r="U582" s="67" t="n"/>
      <c r="V582" s="1016" t="n"/>
    </row>
    <row r="583" ht="14.4" customHeight="1" s="972">
      <c r="A583" s="64" t="n">
        <v>381</v>
      </c>
      <c r="B583" s="77">
        <f>IF(INDEX(MO_SNA_IsHistoricalPeriod,,MATCH(F583,MO_Common_ColumnHeader,0)),"Historical","Forward")</f>
        <v/>
      </c>
      <c r="C583" s="67" t="n"/>
      <c r="D583" s="84">
        <f>INDEX(INDIRECT(E583),0,COLUMN(MO_Common_Column_A))</f>
        <v/>
      </c>
      <c r="E583" s="78" t="inlineStr">
        <is>
          <t>MO_RIS_EPS_WAD</t>
        </is>
      </c>
      <c r="F583" s="77" t="inlineStr">
        <is>
          <t>FY2021</t>
        </is>
      </c>
      <c r="G583" s="77" t="n"/>
      <c r="H583" s="67" t="n"/>
      <c r="I583" s="2170" t="n">
        <v>2.01</v>
      </c>
      <c r="J583" s="2170" t="n">
        <v>2.09</v>
      </c>
      <c r="K583" s="2170">
        <f>AVERAGE(I583:J583)</f>
        <v/>
      </c>
      <c r="L583" s="67" t="n"/>
      <c r="M583" s="77">
        <f>IF(INDEX(MO_SNA_IsHistoricalPeriod,,MATCH(F583,MO_Common_ColumnHeader,0)),"Actual","Estimate")</f>
        <v/>
      </c>
      <c r="N583" s="2170">
        <f>IFERROR(INDEX(INDIRECT(E583),0,MATCH(F583,MO_Common_ColumnHeader,0)),"N/A")</f>
        <v/>
      </c>
      <c r="O583" s="67" t="n"/>
      <c r="P583" s="2171">
        <f>IF(ISNUMBER(N583),N583-K583,"N/A")</f>
        <v/>
      </c>
      <c r="Q583" s="2168">
        <f>IFERROR(IF(ISNUMBER(N583),(N583-K583)/ABS(K583),"N/A"),"N/A")</f>
        <v/>
      </c>
      <c r="R583" s="67" t="n"/>
      <c r="S583" s="80" t="n">
        <v>44312</v>
      </c>
      <c r="T583" s="88" t="inlineStr">
        <is>
          <t>CFO Commentary</t>
        </is>
      </c>
      <c r="U583" s="112" t="n"/>
      <c r="V583" s="1016" t="n"/>
    </row>
    <row r="584" ht="14.4" customHeight="1" s="972">
      <c r="A584" s="64" t="n">
        <v>380</v>
      </c>
      <c r="B584" s="77">
        <f>IF(INDEX(MO_SNA_IsHistoricalPeriod,,MATCH(F584,MO_Common_ColumnHeader,0)),"Historical","Forward")</f>
        <v/>
      </c>
      <c r="C584" s="67" t="n"/>
      <c r="D584" s="84">
        <f>INDEX(INDIRECT(E584),0,COLUMN(MO_Common_Column_A))</f>
        <v/>
      </c>
      <c r="E584" s="78" t="inlineStr">
        <is>
          <t>MO_RIS_EPS_WAD_Adj</t>
        </is>
      </c>
      <c r="F584" s="77" t="inlineStr">
        <is>
          <t>FY2021</t>
        </is>
      </c>
      <c r="G584" s="77" t="n"/>
      <c r="H584" s="67" t="n"/>
      <c r="I584" s="2170" t="n">
        <v>2.99</v>
      </c>
      <c r="J584" s="2170" t="n">
        <v>3.07</v>
      </c>
      <c r="K584" s="2170">
        <f>AVERAGE(I584:J584)</f>
        <v/>
      </c>
      <c r="L584" s="67" t="n"/>
      <c r="M584" s="77">
        <f>IF(INDEX(MO_SNA_IsHistoricalPeriod,,MATCH(F584,MO_Common_ColumnHeader,0)),"Actual","Estimate")</f>
        <v/>
      </c>
      <c r="N584" s="2170">
        <f>IFERROR(INDEX(INDIRECT(E584),0,MATCH(F584,MO_Common_ColumnHeader,0)),"N/A")</f>
        <v/>
      </c>
      <c r="O584" s="67" t="n"/>
      <c r="P584" s="2171">
        <f>IF(ISNUMBER(N584),N584-K584,"N/A")</f>
        <v/>
      </c>
      <c r="Q584" s="2168">
        <f>IFERROR(IF(ISNUMBER(N584),(N584-K584)/ABS(K584),"N/A"),"N/A")</f>
        <v/>
      </c>
      <c r="R584" s="67" t="n"/>
      <c r="S584" s="80" t="n">
        <v>44312</v>
      </c>
      <c r="T584" s="88" t="inlineStr">
        <is>
          <t>CFO Commentary</t>
        </is>
      </c>
      <c r="U584" s="67" t="n"/>
      <c r="V584" s="1016" t="n"/>
    </row>
    <row r="585" ht="14.4" customHeight="1" s="972">
      <c r="A585" s="64" t="n">
        <v>379</v>
      </c>
      <c r="B585" s="77">
        <f>IF(INDEX(MO_SNA_IsHistoricalPeriod,,MATCH(F585,MO_Common_ColumnHeader,0)),"Historical","Forward")</f>
        <v/>
      </c>
      <c r="C585" s="67" t="n"/>
      <c r="D585" s="84">
        <f>INDEX(INDIRECT(E585),0,COLUMN(MO_Common_Column_A))</f>
        <v/>
      </c>
      <c r="E585" s="78" t="inlineStr">
        <is>
          <t>MO_CFS_CFO</t>
        </is>
      </c>
      <c r="F585" s="77" t="inlineStr">
        <is>
          <t>FY2021</t>
        </is>
      </c>
      <c r="G585" s="77" t="n"/>
      <c r="H585" s="67" t="n"/>
      <c r="I585" s="2087" t="n">
        <v>900</v>
      </c>
      <c r="J585" s="2087" t="n">
        <v>950</v>
      </c>
      <c r="K585" s="2087">
        <f>AVERAGE(I585:J585)</f>
        <v/>
      </c>
      <c r="L585" s="67" t="n"/>
      <c r="M585" s="77">
        <f>IF(INDEX(MO_SNA_IsHistoricalPeriod,,MATCH(F585,MO_Common_ColumnHeader,0)),"Actual","Estimate")</f>
        <v/>
      </c>
      <c r="N585" s="2087">
        <f>IFERROR(INDEX(INDIRECT(E585),0,MATCH(F585,MO_Common_ColumnHeader,0)),"N/A")</f>
        <v/>
      </c>
      <c r="O585" s="67" t="n"/>
      <c r="P585" s="2169">
        <f>IF(ISNUMBER(N585),N585-K585,"N/A")</f>
        <v/>
      </c>
      <c r="Q585" s="2168">
        <f>IFERROR(IF(ISNUMBER(N585),(N585-K585)/ABS(K585),"N/A"),"N/A")</f>
        <v/>
      </c>
      <c r="R585" s="67" t="n"/>
      <c r="S585" s="80" t="n">
        <v>44312</v>
      </c>
      <c r="T585" s="88" t="inlineStr">
        <is>
          <t>CFO Commentary</t>
        </is>
      </c>
      <c r="U585" s="67" t="n"/>
      <c r="V585" s="1016" t="n"/>
    </row>
    <row r="586" ht="14.4" customHeight="1" s="972">
      <c r="A586" s="64" t="n">
        <v>378</v>
      </c>
      <c r="B586" s="77">
        <f>IF(INDEX(MO_SNA_IsHistoricalPeriod,,MATCH(F586,MO_Common_ColumnHeader,0)),"Historical","Forward")</f>
        <v/>
      </c>
      <c r="C586" s="67" t="n"/>
      <c r="D586" s="84" t="inlineStr">
        <is>
          <t>DSO</t>
        </is>
      </c>
      <c r="E586" s="78" t="n"/>
      <c r="F586" s="77" t="inlineStr">
        <is>
          <t>FY2021</t>
        </is>
      </c>
      <c r="G586" s="77" t="n"/>
      <c r="H586" s="67" t="n"/>
      <c r="I586" s="2087" t="n">
        <v>45</v>
      </c>
      <c r="J586" s="2087" t="n">
        <v>45</v>
      </c>
      <c r="K586" s="2087">
        <f>AVERAGE(I586:J586)</f>
        <v/>
      </c>
      <c r="L586" s="67" t="n"/>
      <c r="M586" s="77">
        <f>IF(INDEX(MO_SNA_IsHistoricalPeriod,,MATCH(F586,MO_Common_ColumnHeader,0)),"Actual","Estimate")</f>
        <v/>
      </c>
      <c r="N586" s="2087">
        <f>IFERROR(INDEX(INDIRECT(E586),0,MATCH(F586,MO_Common_ColumnHeader,0)),"N/A")</f>
        <v/>
      </c>
      <c r="O586" s="67" t="n"/>
      <c r="P586" s="2169">
        <f>IF(ISNUMBER(N586),N586-K586,"N/A")</f>
        <v/>
      </c>
      <c r="Q586" s="2168">
        <f>IFERROR(IF(ISNUMBER(N586),(N586-K586)/ABS(K586),"N/A"),"N/A")</f>
        <v/>
      </c>
      <c r="R586" s="67" t="n"/>
      <c r="S586" s="80" t="n">
        <v>44312</v>
      </c>
      <c r="T586" s="88" t="inlineStr">
        <is>
          <t>CFO Commentary</t>
        </is>
      </c>
      <c r="U586" s="67" t="n"/>
      <c r="V586" s="1016" t="n"/>
    </row>
    <row r="587" ht="14.4" customHeight="1" s="972">
      <c r="A587" s="64" t="n">
        <v>377</v>
      </c>
      <c r="B587" s="77">
        <f>IF(INDEX(MO_SNA_IsHistoricalPeriod,,MATCH(F587,MO_Common_ColumnHeader,0)),"Historical","Forward")</f>
        <v/>
      </c>
      <c r="C587" s="67" t="n"/>
      <c r="D587" s="84">
        <f>INDEX(INDIRECT(E587),0,COLUMN(MO_Common_Column_A))</f>
        <v/>
      </c>
      <c r="E587" s="78" t="inlineStr">
        <is>
          <t>MO_CFSum_Capex</t>
        </is>
      </c>
      <c r="F587" s="77" t="inlineStr">
        <is>
          <t>FY2021</t>
        </is>
      </c>
      <c r="G587" s="77" t="n"/>
      <c r="H587" s="67" t="n"/>
      <c r="I587" s="2087" t="n">
        <v>-100</v>
      </c>
      <c r="J587" s="2087" t="n">
        <v>-100</v>
      </c>
      <c r="K587" s="2087">
        <f>AVERAGE(I587:J587)</f>
        <v/>
      </c>
      <c r="L587" s="67" t="n"/>
      <c r="M587" s="77">
        <f>IF(INDEX(MO_SNA_IsHistoricalPeriod,,MATCH(F587,MO_Common_ColumnHeader,0)),"Actual","Estimate")</f>
        <v/>
      </c>
      <c r="N587" s="2087">
        <f>IFERROR(INDEX(INDIRECT(E587),0,MATCH(F587,MO_Common_ColumnHeader,0)),"N/A")</f>
        <v/>
      </c>
      <c r="O587" s="67" t="n"/>
      <c r="P587" s="2169">
        <f>IF(ISNUMBER(N587),N587-K587,"N/A")</f>
        <v/>
      </c>
      <c r="Q587" s="2168">
        <f>IFERROR(IF(ISNUMBER(N587),(N587-K587)/ABS(K587),"N/A"),"N/A")</f>
        <v/>
      </c>
      <c r="R587" s="67" t="n"/>
      <c r="S587" s="80" t="n">
        <v>44312</v>
      </c>
      <c r="T587" s="88" t="inlineStr">
        <is>
          <t>CFO Commentary</t>
        </is>
      </c>
      <c r="U587" s="67" t="n"/>
      <c r="V587" s="1016" t="n"/>
    </row>
    <row r="588" ht="14.4" customHeight="1" s="972">
      <c r="A588" s="64" t="n">
        <v>376</v>
      </c>
      <c r="B588" s="77">
        <f>IF(INDEX(MO_SNA_IsHistoricalPeriod,,MATCH(F588,MO_Common_ColumnHeader,0)),"Historical","Forward")</f>
        <v/>
      </c>
      <c r="C588" s="67" t="n"/>
      <c r="D588" s="84">
        <f>INDEX(INDIRECT(E588),0,COLUMN(MO_Common_Column_A))</f>
        <v/>
      </c>
      <c r="E588" s="78" t="inlineStr">
        <is>
          <t>MO_RIS_Daintangibles</t>
        </is>
      </c>
      <c r="F588" s="77" t="inlineStr">
        <is>
          <t>FY2021</t>
        </is>
      </c>
      <c r="G588" s="77" t="n"/>
      <c r="H588" s="67" t="n"/>
      <c r="I588" s="2087" t="n">
        <v>67</v>
      </c>
      <c r="J588" s="2087" t="n">
        <v>67</v>
      </c>
      <c r="K588" s="2087">
        <f>AVERAGE(I588:J588)</f>
        <v/>
      </c>
      <c r="L588" s="67" t="n"/>
      <c r="M588" s="77">
        <f>IF(INDEX(MO_SNA_IsHistoricalPeriod,,MATCH(F588,MO_Common_ColumnHeader,0)),"Actual","Estimate")</f>
        <v/>
      </c>
      <c r="N588" s="2087">
        <f>IFERROR(INDEX(INDIRECT(E588),0,MATCH(F588,MO_Common_ColumnHeader,0)),"N/A")</f>
        <v/>
      </c>
      <c r="O588" s="67" t="n"/>
      <c r="P588" s="2169">
        <f>IF(ISNUMBER(N588),N588-K588,"N/A")</f>
        <v/>
      </c>
      <c r="Q588" s="2168">
        <f>IFERROR(IF(ISNUMBER(N588),(N588-K588)/ABS(K588),"N/A"),"N/A")</f>
        <v/>
      </c>
      <c r="R588" s="67" t="n"/>
      <c r="S588" s="80" t="n">
        <v>44312</v>
      </c>
      <c r="T588" s="88" t="inlineStr">
        <is>
          <t>Press Release</t>
        </is>
      </c>
      <c r="U588" s="67" t="n"/>
      <c r="V588" s="1016" t="n"/>
    </row>
    <row r="589" ht="14.4" customHeight="1" s="972">
      <c r="A589" s="64" t="n">
        <v>375</v>
      </c>
      <c r="B589" s="77">
        <f>IF(INDEX(MO_SNA_IsHistoricalPeriod,,MATCH(F589,MO_Common_ColumnHeader,0)),"Historical","Forward")</f>
        <v/>
      </c>
      <c r="C589" s="67" t="n"/>
      <c r="D589" s="84">
        <f>INDEX(INDIRECT(E589),0,COLUMN(MO_Common_Column_A))</f>
        <v/>
      </c>
      <c r="E589" s="78" t="inlineStr">
        <is>
          <t>MO_RIS_SBC</t>
        </is>
      </c>
      <c r="F589" s="77" t="inlineStr">
        <is>
          <t>FY2021</t>
        </is>
      </c>
      <c r="G589" s="77" t="n"/>
      <c r="H589" s="67" t="n"/>
      <c r="I589" s="2087" t="n">
        <v>222</v>
      </c>
      <c r="J589" s="2087" t="n">
        <v>222</v>
      </c>
      <c r="K589" s="2087">
        <f>AVERAGE(I589:J589)</f>
        <v/>
      </c>
      <c r="L589" s="67" t="n"/>
      <c r="M589" s="77">
        <f>IF(INDEX(MO_SNA_IsHistoricalPeriod,,MATCH(F589,MO_Common_ColumnHeader,0)),"Actual","Estimate")</f>
        <v/>
      </c>
      <c r="N589" s="2087">
        <f>IFERROR(INDEX(INDIRECT(E589),0,MATCH(F589,MO_Common_ColumnHeader,0)),"N/A")</f>
        <v/>
      </c>
      <c r="O589" s="67" t="n"/>
      <c r="P589" s="2169">
        <f>IF(ISNUMBER(N589),N589-K589,"N/A")</f>
        <v/>
      </c>
      <c r="Q589" s="2168">
        <f>IFERROR(IF(ISNUMBER(N589),(N589-K589)/ABS(K589),"N/A"),"N/A")</f>
        <v/>
      </c>
      <c r="R589" s="67" t="n"/>
      <c r="S589" s="80" t="n">
        <v>44312</v>
      </c>
      <c r="T589" s="88" t="inlineStr">
        <is>
          <t>Press Release</t>
        </is>
      </c>
      <c r="U589" s="67" t="n"/>
      <c r="V589" s="1016" t="n"/>
    </row>
    <row r="590" ht="14.4" customHeight="1" s="972">
      <c r="A590" s="64" t="n">
        <v>374</v>
      </c>
      <c r="B590" s="77">
        <f>IF(INDEX(MO_SNA_IsHistoricalPeriod,,MATCH(F590,MO_Common_ColumnHeader,0)),"Historical","Forward")</f>
        <v/>
      </c>
      <c r="C590" s="67" t="n"/>
      <c r="D590" s="84" t="inlineStr">
        <is>
          <t>Acquisition and integration-related costs</t>
        </is>
      </c>
      <c r="E590" s="78" t="n"/>
      <c r="F590" s="77" t="inlineStr">
        <is>
          <t>FY2021</t>
        </is>
      </c>
      <c r="G590" s="77" t="n"/>
      <c r="H590" s="67" t="n"/>
      <c r="I590" s="2087" t="n">
        <v>21</v>
      </c>
      <c r="J590" s="2087" t="n">
        <v>21</v>
      </c>
      <c r="K590" s="2087">
        <f>AVERAGE(I590:J590)</f>
        <v/>
      </c>
      <c r="L590" s="67" t="n"/>
      <c r="M590" s="77">
        <f>IF(INDEX(MO_SNA_IsHistoricalPeriod,,MATCH(F590,MO_Common_ColumnHeader,0)),"Actual","Estimate")</f>
        <v/>
      </c>
      <c r="N590" s="2087">
        <f>IFERROR(INDEX(INDIRECT(E590),0,MATCH(F590,MO_Common_ColumnHeader,0)),"N/A")</f>
        <v/>
      </c>
      <c r="O590" s="67" t="n"/>
      <c r="P590" s="2169">
        <f>IF(ISNUMBER(N590),N590-K590,"N/A")</f>
        <v/>
      </c>
      <c r="Q590" s="2168">
        <f>IFERROR(IF(ISNUMBER(N590),(N590-K590)/ABS(K590),"N/A"),"N/A")</f>
        <v/>
      </c>
      <c r="R590" s="67" t="n"/>
      <c r="S590" s="80" t="n">
        <v>44312</v>
      </c>
      <c r="T590" s="88" t="inlineStr">
        <is>
          <t>Press Release</t>
        </is>
      </c>
      <c r="U590" s="67" t="n"/>
      <c r="V590" s="1016" t="n"/>
    </row>
    <row r="591" ht="14.4" customHeight="1" s="972">
      <c r="A591" s="64" t="n">
        <v>373</v>
      </c>
      <c r="B591" s="77">
        <f>IF(INDEX(MO_SNA_IsHistoricalPeriod,,MATCH(F591,MO_Common_ColumnHeader,0)),"Historical","Forward")</f>
        <v/>
      </c>
      <c r="C591" s="67" t="n"/>
      <c r="D591" s="84" t="inlineStr">
        <is>
          <t>Non-Qualified deferred compensation expenses</t>
        </is>
      </c>
      <c r="E591" s="78" t="n"/>
      <c r="F591" s="77" t="inlineStr">
        <is>
          <t>FY2021</t>
        </is>
      </c>
      <c r="G591" s="77" t="n"/>
      <c r="H591" s="67" t="n"/>
      <c r="I591" s="2087" t="n">
        <v>2</v>
      </c>
      <c r="J591" s="2087" t="n">
        <v>2</v>
      </c>
      <c r="K591" s="2087">
        <f>AVERAGE(I591:J591)</f>
        <v/>
      </c>
      <c r="L591" s="67" t="n"/>
      <c r="M591" s="77">
        <f>IF(INDEX(MO_SNA_IsHistoricalPeriod,,MATCH(F591,MO_Common_ColumnHeader,0)),"Actual","Estimate")</f>
        <v/>
      </c>
      <c r="N591" s="2087">
        <f>IFERROR(INDEX(INDIRECT(E591),0,MATCH(F591,MO_Common_ColumnHeader,0)),"N/A")</f>
        <v/>
      </c>
      <c r="O591" s="67" t="n"/>
      <c r="P591" s="2169">
        <f>IF(ISNUMBER(N591),N591-K591,"N/A")</f>
        <v/>
      </c>
      <c r="Q591" s="2168">
        <f>IFERROR(IF(ISNUMBER(N591),(N591-K591)/ABS(K591),"N/A"),"N/A")</f>
        <v/>
      </c>
      <c r="R591" s="67" t="n"/>
      <c r="S591" s="80" t="n">
        <v>44312</v>
      </c>
      <c r="T591" s="88" t="inlineStr">
        <is>
          <t>Press Release</t>
        </is>
      </c>
      <c r="U591" s="67" t="n"/>
      <c r="V591" s="1016" t="n"/>
    </row>
    <row r="592" ht="14.4" customHeight="1" s="972">
      <c r="A592" s="64" t="n">
        <v>372</v>
      </c>
      <c r="B592" s="77">
        <f>IF(INDEX(MO_SNA_IsHistoricalPeriod,,MATCH(F592,MO_Common_ColumnHeader,0)),"Historical","Forward")</f>
        <v/>
      </c>
      <c r="C592" s="67" t="n"/>
      <c r="D592" s="84" t="inlineStr">
        <is>
          <t>Special charges</t>
        </is>
      </c>
      <c r="E592" s="78" t="n"/>
      <c r="F592" s="77" t="inlineStr">
        <is>
          <t>FY2021</t>
        </is>
      </c>
      <c r="G592" s="77" t="n"/>
      <c r="H592" s="67" t="n"/>
      <c r="I592" s="2087" t="n">
        <v>26</v>
      </c>
      <c r="J592" s="2087" t="n">
        <v>26</v>
      </c>
      <c r="K592" s="2087">
        <f>AVERAGE(I592:J592)</f>
        <v/>
      </c>
      <c r="L592" s="67" t="n"/>
      <c r="M592" s="77">
        <f>IF(INDEX(MO_SNA_IsHistoricalPeriod,,MATCH(F592,MO_Common_ColumnHeader,0)),"Actual","Estimate")</f>
        <v/>
      </c>
      <c r="N592" s="2087">
        <f>IFERROR(INDEX(INDIRECT(E592),0,MATCH(F592,MO_Common_ColumnHeader,0)),"N/A")</f>
        <v/>
      </c>
      <c r="O592" s="67" t="n"/>
      <c r="P592" s="2169">
        <f>IF(ISNUMBER(N592),N592-K592,"N/A")</f>
        <v/>
      </c>
      <c r="Q592" s="2168">
        <f>IFERROR(IF(ISNUMBER(N592),(N592-K592)/ABS(K592),"N/A"),"N/A")</f>
        <v/>
      </c>
      <c r="R592" s="67" t="n"/>
      <c r="S592" s="80" t="n">
        <v>44312</v>
      </c>
      <c r="T592" s="88" t="inlineStr">
        <is>
          <t>Press Release</t>
        </is>
      </c>
      <c r="U592" s="67" t="n"/>
      <c r="V592" s="1016" t="n"/>
    </row>
    <row r="593" ht="14.4" customHeight="1" s="972">
      <c r="A593" s="64" t="n">
        <v>371</v>
      </c>
      <c r="B593" s="77">
        <f>IF(INDEX(MO_SNA_IsHistoricalPeriod,,MATCH(F593,MO_Common_ColumnHeader,0)),"Historical","Forward")</f>
        <v/>
      </c>
      <c r="C593" s="67" t="n"/>
      <c r="D593" s="84" t="inlineStr">
        <is>
          <t>Other income or expense related to investments and non-qualified deferred compensation plan assets</t>
        </is>
      </c>
      <c r="E593" s="78" t="n"/>
      <c r="F593" s="77" t="inlineStr">
        <is>
          <t>FY2021</t>
        </is>
      </c>
      <c r="G593" s="77" t="n"/>
      <c r="H593" s="67" t="n"/>
      <c r="I593" s="2087" t="n">
        <v>-3</v>
      </c>
      <c r="J593" s="2087" t="n">
        <v>-3</v>
      </c>
      <c r="K593" s="2087">
        <f>AVERAGE(I593:J593)</f>
        <v/>
      </c>
      <c r="L593" s="67" t="n"/>
      <c r="M593" s="77">
        <f>IF(INDEX(MO_SNA_IsHistoricalPeriod,,MATCH(F593,MO_Common_ColumnHeader,0)),"Actual","Estimate")</f>
        <v/>
      </c>
      <c r="N593" s="2087">
        <f>IFERROR(INDEX(INDIRECT(E593),0,MATCH(F593,MO_Common_ColumnHeader,0)),"N/A")</f>
        <v/>
      </c>
      <c r="O593" s="67" t="n"/>
      <c r="P593" s="2169">
        <f>IF(ISNUMBER(N593),N593-K593,"N/A")</f>
        <v/>
      </c>
      <c r="Q593" s="2168">
        <f>IFERROR(IF(ISNUMBER(N593),(N593-K593)/ABS(K593),"N/A"),"N/A")</f>
        <v/>
      </c>
      <c r="R593" s="67" t="n"/>
      <c r="S593" s="80" t="n">
        <v>44312</v>
      </c>
      <c r="T593" s="88" t="inlineStr">
        <is>
          <t>Press Release</t>
        </is>
      </c>
      <c r="U593" s="67" t="n"/>
      <c r="V593" s="1016" t="n"/>
    </row>
    <row r="594" ht="14.4" customHeight="1" s="972">
      <c r="A594" s="64" t="n">
        <v>370</v>
      </c>
      <c r="B594" s="77">
        <f>IF(INDEX(MO_SNA_IsHistoricalPeriod,,MATCH(F594,MO_Common_ColumnHeader,0)),"Historical","Forward")</f>
        <v/>
      </c>
      <c r="C594" s="67" t="n"/>
      <c r="D594" s="84" t="inlineStr">
        <is>
          <t>GAAP Tax Rate</t>
        </is>
      </c>
      <c r="E594" s="78" t="n"/>
      <c r="F594" s="77" t="inlineStr">
        <is>
          <t>FY2021</t>
        </is>
      </c>
      <c r="G594" s="77" t="n"/>
      <c r="H594" s="67" t="n"/>
      <c r="I594" s="2108" t="n">
        <v>0.15</v>
      </c>
      <c r="J594" s="2108" t="n">
        <v>0.15</v>
      </c>
      <c r="K594" s="2108">
        <f>AVERAGE(I594:J594)</f>
        <v/>
      </c>
      <c r="L594" s="67" t="n"/>
      <c r="M594" s="77">
        <f>IF(INDEX(MO_SNA_IsHistoricalPeriod,,MATCH(F594,MO_Common_ColumnHeader,0)),"Actual","Estimate")</f>
        <v/>
      </c>
      <c r="N594" s="2108">
        <f>IFERROR(INDEX(INDIRECT(E594),0,MATCH(F594,MO_Common_ColumnHeader,0)),"N/A")</f>
        <v/>
      </c>
      <c r="O594" s="67" t="n"/>
      <c r="P594" s="2168">
        <f>IF(ISNUMBER(N594),N594-K594,"N/A")</f>
        <v/>
      </c>
      <c r="Q594" s="2168">
        <f>IFERROR(IF(ISNUMBER(N594),(N594-K594)/ABS(K594),"N/A"),"N/A")</f>
        <v/>
      </c>
      <c r="R594" s="67" t="n"/>
      <c r="S594" s="80" t="n">
        <v>44312</v>
      </c>
      <c r="T594" s="88" t="inlineStr">
        <is>
          <t>CFO Commentary</t>
        </is>
      </c>
      <c r="U594" s="67" t="n"/>
      <c r="V594" s="1016" t="n"/>
    </row>
    <row r="595" ht="14.4" customHeight="1" s="972">
      <c r="A595" s="64" t="n">
        <v>369</v>
      </c>
      <c r="B595" s="77">
        <f>IF(INDEX(MO_SNA_IsHistoricalPeriod,,MATCH(F595,MO_Common_ColumnHeader,0)),"Historical","Forward")</f>
        <v/>
      </c>
      <c r="C595" s="67" t="n"/>
      <c r="D595" s="84">
        <f>INDEX(INDIRECT(E595),0,COLUMN(MO_Common_Column_A))</f>
        <v/>
      </c>
      <c r="E595" s="78" t="inlineStr">
        <is>
          <t>MO_RIS_TaxRate_NONGAAP</t>
        </is>
      </c>
      <c r="F595" s="77" t="inlineStr">
        <is>
          <t>FY2021</t>
        </is>
      </c>
      <c r="G595" s="77" t="n"/>
      <c r="H595" s="67" t="n"/>
      <c r="I595" s="2108" t="n">
        <v>0.16</v>
      </c>
      <c r="J595" s="2108" t="n">
        <v>0.16</v>
      </c>
      <c r="K595" s="2108">
        <f>AVERAGE(I595:J595)</f>
        <v/>
      </c>
      <c r="L595" s="67" t="n"/>
      <c r="M595" s="77">
        <f>IF(INDEX(MO_SNA_IsHistoricalPeriod,,MATCH(F595,MO_Common_ColumnHeader,0)),"Actual","Estimate")</f>
        <v/>
      </c>
      <c r="N595" s="2108">
        <f>IFERROR(INDEX(INDIRECT(E595),0,MATCH(F595,MO_Common_ColumnHeader,0)),"N/A")</f>
        <v/>
      </c>
      <c r="O595" s="67" t="n"/>
      <c r="P595" s="2168">
        <f>IF(ISNUMBER(N595),N595-K595,"N/A")</f>
        <v/>
      </c>
      <c r="Q595" s="2168">
        <f>IFERROR(IF(ISNUMBER(N595),(N595-K595)/ABS(K595),"N/A"),"N/A")</f>
        <v/>
      </c>
      <c r="R595" s="67" t="n"/>
      <c r="S595" s="80" t="n">
        <v>44312</v>
      </c>
      <c r="T595" s="88" t="inlineStr">
        <is>
          <t>CFO Commentary</t>
        </is>
      </c>
      <c r="U595" s="67" t="n"/>
      <c r="V595" s="1016" t="n"/>
    </row>
    <row r="596" ht="14.4" customHeight="1" s="972">
      <c r="A596" s="64" t="n">
        <v>368</v>
      </c>
      <c r="B596" s="77">
        <f>IF(INDEX(MO_SNA_IsHistoricalPeriod,,MATCH(F596,MO_Common_ColumnHeader,0)),"Historical","Forward")</f>
        <v/>
      </c>
      <c r="C596" s="67" t="n"/>
      <c r="D596" s="84" t="inlineStr">
        <is>
          <t>Income tax effect on non-GAAP adjustments</t>
        </is>
      </c>
      <c r="E596" s="78" t="n"/>
      <c r="F596" s="77" t="inlineStr">
        <is>
          <t>FY2021</t>
        </is>
      </c>
      <c r="G596" s="77" t="n"/>
      <c r="H596" s="67" t="n"/>
      <c r="I596" s="2087" t="n">
        <v>-60</v>
      </c>
      <c r="J596" s="2087" t="n">
        <v>-60</v>
      </c>
      <c r="K596" s="2087">
        <f>AVERAGE(I596:J596)</f>
        <v/>
      </c>
      <c r="L596" s="67" t="n"/>
      <c r="M596" s="77">
        <f>IF(INDEX(MO_SNA_IsHistoricalPeriod,,MATCH(F596,MO_Common_ColumnHeader,0)),"Actual","Estimate")</f>
        <v/>
      </c>
      <c r="N596" s="2087">
        <f>IFERROR(INDEX(INDIRECT(E596),0,MATCH(F596,MO_Common_ColumnHeader,0)),"N/A")</f>
        <v/>
      </c>
      <c r="O596" s="67" t="n"/>
      <c r="P596" s="2169">
        <f>IF(ISNUMBER(N596),N596-K596,"N/A")</f>
        <v/>
      </c>
      <c r="Q596" s="2168">
        <f>IFERROR(IF(ISNUMBER(N596),(N596-K596)/ABS(K596),"N/A"),"N/A")</f>
        <v/>
      </c>
      <c r="R596" s="67" t="n"/>
      <c r="S596" s="80" t="n">
        <v>44312</v>
      </c>
      <c r="T596" s="88" t="inlineStr">
        <is>
          <t>Press Release</t>
        </is>
      </c>
      <c r="U596" s="67" t="n"/>
      <c r="V596" s="1016" t="n"/>
    </row>
    <row r="597" ht="14.4" customHeight="1" s="972">
      <c r="A597" s="64" t="n">
        <v>367</v>
      </c>
      <c r="B597" s="77">
        <f>IF(INDEX(MO_SNA_IsHistoricalPeriod,,MATCH(F597,MO_Common_ColumnHeader,0)),"Historical","Forward")</f>
        <v/>
      </c>
      <c r="C597" s="67" t="n"/>
      <c r="D597" s="84">
        <f>INDEX(INDIRECT(E597),0,COLUMN(MO_Common_Column_A))</f>
        <v/>
      </c>
      <c r="E597" s="78" t="inlineStr">
        <is>
          <t>MO_RIS_ShareCount_WAD</t>
        </is>
      </c>
      <c r="F597" s="77" t="inlineStr">
        <is>
          <t>FY2021</t>
        </is>
      </c>
      <c r="G597" s="77" t="n"/>
      <c r="H597" s="67" t="n"/>
      <c r="I597" s="2087" t="n">
        <v>279</v>
      </c>
      <c r="J597" s="2087" t="n">
        <v>281</v>
      </c>
      <c r="K597" s="2087">
        <f>AVERAGE(I597:J597)</f>
        <v/>
      </c>
      <c r="L597" s="67" t="n"/>
      <c r="M597" s="77">
        <f>IF(INDEX(MO_SNA_IsHistoricalPeriod,,MATCH(F597,MO_Common_ColumnHeader,0)),"Actual","Estimate")</f>
        <v/>
      </c>
      <c r="N597" s="2087">
        <f>IFERROR(INDEX(INDIRECT(E597),0,MATCH(F597,MO_Common_ColumnHeader,0)),"N/A")</f>
        <v/>
      </c>
      <c r="O597" s="67" t="n"/>
      <c r="P597" s="2169">
        <f>IF(ISNUMBER(N597),N597-K597,"N/A")</f>
        <v/>
      </c>
      <c r="Q597" s="2168">
        <f>IFERROR(IF(ISNUMBER(N597),(N597-K597)/ABS(K597),"N/A"),"N/A")</f>
        <v/>
      </c>
      <c r="R597" s="67" t="n"/>
      <c r="S597" s="80" t="n">
        <v>44312</v>
      </c>
      <c r="T597" s="88" t="inlineStr">
        <is>
          <t>CFO Commentary</t>
        </is>
      </c>
      <c r="U597" s="67" t="n"/>
      <c r="V597" s="1016" t="n"/>
    </row>
    <row r="598" ht="14.4" customHeight="1" s="972">
      <c r="A598" s="64" t="n">
        <v>366</v>
      </c>
      <c r="B598" s="77">
        <f>IF(INDEX(MO_SNA_IsHistoricalPeriod,,MATCH(F598,MO_Common_ColumnHeader,0)),"Historical","Forward")</f>
        <v/>
      </c>
      <c r="C598" s="67" t="n"/>
      <c r="D598" s="84">
        <f>INDEX(INDIRECT(E598),0,COLUMN(MO_Common_Column_A))</f>
        <v/>
      </c>
      <c r="E598" s="78" t="inlineStr">
        <is>
          <t>MO_RIS_NI_GAAP_Diluted</t>
        </is>
      </c>
      <c r="F598" s="77" t="inlineStr">
        <is>
          <t>FY2021</t>
        </is>
      </c>
      <c r="G598" s="77" t="n"/>
      <c r="H598" s="67" t="n"/>
      <c r="I598" s="2087" t="n">
        <v>563</v>
      </c>
      <c r="J598" s="2087" t="n">
        <v>586</v>
      </c>
      <c r="K598" s="2087">
        <f>AVERAGE(I598:J598)</f>
        <v/>
      </c>
      <c r="L598" s="67" t="n"/>
      <c r="M598" s="77">
        <f>IF(INDEX(MO_SNA_IsHistoricalPeriod,,MATCH(F598,MO_Common_ColumnHeader,0)),"Actual","Estimate")</f>
        <v/>
      </c>
      <c r="N598" s="2087">
        <f>IFERROR(INDEX(INDIRECT(E598),0,MATCH(F598,MO_Common_ColumnHeader,0)),"N/A")</f>
        <v/>
      </c>
      <c r="O598" s="67" t="n"/>
      <c r="P598" s="2169">
        <f>IF(ISNUMBER(N598),N598-K598,"N/A")</f>
        <v/>
      </c>
      <c r="Q598" s="2168">
        <f>IFERROR(IF(ISNUMBER(N598),(N598-K598)/ABS(K598),"N/A"),"N/A")</f>
        <v/>
      </c>
      <c r="R598" s="67" t="n"/>
      <c r="S598" s="80" t="n">
        <v>44312</v>
      </c>
      <c r="T598" s="88" t="inlineStr">
        <is>
          <t>Press Release</t>
        </is>
      </c>
      <c r="U598" s="67" t="n"/>
      <c r="V598" s="1016" t="n"/>
    </row>
    <row r="599" ht="14.4" customHeight="1" s="972">
      <c r="A599" s="64" t="n">
        <v>365</v>
      </c>
      <c r="B599" s="77">
        <f>IF(INDEX(MO_SNA_IsHistoricalPeriod,,MATCH(F599,MO_Common_ColumnHeader,0)),"Historical","Forward")</f>
        <v/>
      </c>
      <c r="C599" s="67" t="n"/>
      <c r="D599" s="84">
        <f>INDEX(INDIRECT(E599),0,COLUMN(MO_Common_Column_A))</f>
        <v/>
      </c>
      <c r="E599" s="78" t="inlineStr">
        <is>
          <t>MO_RIS_NI_NONGAAP_Diluted</t>
        </is>
      </c>
      <c r="F599" s="77" t="inlineStr">
        <is>
          <t>FY2021</t>
        </is>
      </c>
      <c r="G599" s="77" t="n"/>
      <c r="H599" s="67" t="n"/>
      <c r="I599" s="2087" t="n">
        <v>838</v>
      </c>
      <c r="J599" s="2087" t="n">
        <v>861</v>
      </c>
      <c r="K599" s="2087">
        <f>AVERAGE(I599:J599)</f>
        <v/>
      </c>
      <c r="L599" s="67" t="n"/>
      <c r="M599" s="77">
        <f>IF(INDEX(MO_SNA_IsHistoricalPeriod,,MATCH(F599,MO_Common_ColumnHeader,0)),"Actual","Estimate")</f>
        <v/>
      </c>
      <c r="N599" s="2087">
        <f>IFERROR(INDEX(INDIRECT(E599),0,MATCH(F599,MO_Common_ColumnHeader,0)),"N/A")</f>
        <v/>
      </c>
      <c r="O599" s="67" t="n"/>
      <c r="P599" s="2169">
        <f>IF(ISNUMBER(N599),N599-K599,"N/A")</f>
        <v/>
      </c>
      <c r="Q599" s="2168">
        <f>IFERROR(IF(ISNUMBER(N599),(N599-K599)/ABS(K599),"N/A"),"N/A")</f>
        <v/>
      </c>
      <c r="R599" s="67" t="n"/>
      <c r="S599" s="80" t="n">
        <v>44312</v>
      </c>
      <c r="T599" s="88" t="inlineStr">
        <is>
          <t>Press Release</t>
        </is>
      </c>
      <c r="U599" s="67" t="n"/>
      <c r="V599" s="1016" t="n"/>
    </row>
    <row r="600" ht="14.4" customHeight="1" s="972">
      <c r="A600" s="64" t="n">
        <v>364</v>
      </c>
      <c r="B600" s="67" t="n"/>
      <c r="C600" s="67" t="n"/>
      <c r="D600" s="68" t="n"/>
      <c r="E600" s="69" t="n"/>
      <c r="F600" s="67" t="n"/>
      <c r="G600" s="67" t="n"/>
      <c r="H600" s="67" t="n"/>
      <c r="I600" s="2072" t="n"/>
      <c r="J600" s="2072" t="n"/>
      <c r="K600" s="2072" t="n"/>
      <c r="L600" s="67" t="n"/>
      <c r="M600" s="67" t="n"/>
      <c r="N600" s="2072" t="n"/>
      <c r="O600" s="67" t="n"/>
      <c r="P600" s="2172" t="n"/>
      <c r="Q600" s="2173" t="n"/>
      <c r="R600" s="67" t="n"/>
      <c r="S600" s="72" t="n"/>
      <c r="T600" s="89" t="n"/>
      <c r="U600" s="67" t="n"/>
      <c r="V600" s="1016" t="n"/>
    </row>
    <row r="601" ht="14.4" customHeight="1" s="972">
      <c r="A601" s="64" t="n">
        <v>363</v>
      </c>
      <c r="B601" s="77">
        <f>IF(INDEX(MO_SNA_IsHistoricalPeriod,,MATCH(F601,MO_Common_ColumnHeader,0)),"Historical","Forward")</f>
        <v/>
      </c>
      <c r="C601" s="67" t="n"/>
      <c r="D601" s="84">
        <f>INDEX(INDIRECT(E601),0,COLUMN(MO_Common_Column_A))</f>
        <v/>
      </c>
      <c r="E601" s="78" t="inlineStr">
        <is>
          <t>MO_RIS_REV</t>
        </is>
      </c>
      <c r="F601" s="77" t="inlineStr">
        <is>
          <t>Q2-2021</t>
        </is>
      </c>
      <c r="G601" s="77" t="n"/>
      <c r="H601" s="67" t="n"/>
      <c r="I601" s="2087" t="n">
        <v>705</v>
      </c>
      <c r="J601" s="2087" t="n">
        <v>725</v>
      </c>
      <c r="K601" s="2087">
        <f>AVERAGE(I601:J601)</f>
        <v/>
      </c>
      <c r="L601" s="67" t="n"/>
      <c r="M601" s="77">
        <f>IF(INDEX(MO_SNA_IsHistoricalPeriod,,MATCH(F601,MO_Common_ColumnHeader,0)),"Actual","Estimate")</f>
        <v/>
      </c>
      <c r="N601" s="2087">
        <f>IFERROR(INDEX(INDIRECT(E601),0,MATCH(F601,MO_Common_ColumnHeader,0)),"N/A")</f>
        <v/>
      </c>
      <c r="O601" s="67" t="n"/>
      <c r="P601" s="2169">
        <f>IF(ISNUMBER(N601),N601-K601,"N/A")</f>
        <v/>
      </c>
      <c r="Q601" s="2168">
        <f>IFERROR(IF(ISNUMBER(N601),(N601-K601)/ABS(K601),"N/A"),"N/A")</f>
        <v/>
      </c>
      <c r="R601" s="67" t="n"/>
      <c r="S601" s="80" t="n">
        <v>44312</v>
      </c>
      <c r="T601" s="88" t="inlineStr">
        <is>
          <t>CFO Commentary</t>
        </is>
      </c>
      <c r="U601" s="67" t="n"/>
      <c r="V601" s="1016" t="n"/>
    </row>
    <row r="602" ht="14.4" customHeight="1" s="972">
      <c r="A602" s="64" t="n">
        <v>362</v>
      </c>
      <c r="B602" s="77">
        <f>IF(INDEX(MO_SNA_IsHistoricalPeriod,,MATCH(F602,MO_Common_ColumnHeader,0)),"Historical","Forward")</f>
        <v/>
      </c>
      <c r="C602" s="67" t="n"/>
      <c r="D602" s="84" t="inlineStr">
        <is>
          <t>GAAP Operating Margin</t>
        </is>
      </c>
      <c r="E602" s="78" t="n"/>
      <c r="F602" s="77" t="inlineStr">
        <is>
          <t>Q2-2021</t>
        </is>
      </c>
      <c r="G602" s="77" t="n"/>
      <c r="H602" s="67" t="n"/>
      <c r="I602" s="2108" t="n">
        <v>0.22</v>
      </c>
      <c r="J602" s="2108" t="n">
        <v>0.22</v>
      </c>
      <c r="K602" s="2108">
        <f>AVERAGE(I602:J602)</f>
        <v/>
      </c>
      <c r="L602" s="67" t="n"/>
      <c r="M602" s="77">
        <f>IF(INDEX(MO_SNA_IsHistoricalPeriod,,MATCH(F602,MO_Common_ColumnHeader,0)),"Actual","Estimate")</f>
        <v/>
      </c>
      <c r="N602" s="2108">
        <f>IFERROR(INDEX(INDIRECT(E602),0,MATCH(F602,MO_Common_ColumnHeader,0)),"N/A")</f>
        <v/>
      </c>
      <c r="O602" s="67" t="n"/>
      <c r="P602" s="2168">
        <f>IF(ISNUMBER(N602),N602-K602,"N/A")</f>
        <v/>
      </c>
      <c r="Q602" s="2168">
        <f>IFERROR(IF(ISNUMBER(N602),(N602-K602)/ABS(K602),"N/A"),"N/A")</f>
        <v/>
      </c>
      <c r="R602" s="67" t="n"/>
      <c r="S602" s="80" t="n">
        <v>44312</v>
      </c>
      <c r="T602" s="88" t="inlineStr">
        <is>
          <t>CFO Commentary</t>
        </is>
      </c>
      <c r="U602" s="67" t="n"/>
      <c r="V602" s="1016" t="n"/>
    </row>
    <row r="603" ht="14.4" customHeight="1" s="972">
      <c r="A603" s="64" t="n">
        <v>361</v>
      </c>
      <c r="B603" s="77">
        <f>IF(INDEX(MO_SNA_IsHistoricalPeriod,,MATCH(F603,MO_Common_ColumnHeader,0)),"Historical","Forward")</f>
        <v/>
      </c>
      <c r="C603" s="67" t="n"/>
      <c r="D603" s="84">
        <f>INDEX(INDIRECT(E603),0,COLUMN(MO_Common_Column_A))</f>
        <v/>
      </c>
      <c r="E603" s="78" t="inlineStr">
        <is>
          <t>MO_MA_OperatingIncome_NONGAAP</t>
        </is>
      </c>
      <c r="F603" s="77" t="inlineStr">
        <is>
          <t>Q2-2021</t>
        </is>
      </c>
      <c r="G603" s="77" t="n"/>
      <c r="H603" s="67" t="n"/>
      <c r="I603" s="2108" t="n">
        <v>0.36</v>
      </c>
      <c r="J603" s="2108" t="n">
        <v>0.36</v>
      </c>
      <c r="K603" s="2108">
        <f>AVERAGE(I603:J603)</f>
        <v/>
      </c>
      <c r="L603" s="67" t="n"/>
      <c r="M603" s="77">
        <f>IF(INDEX(MO_SNA_IsHistoricalPeriod,,MATCH(F603,MO_Common_ColumnHeader,0)),"Actual","Estimate")</f>
        <v/>
      </c>
      <c r="N603" s="2108">
        <f>IFERROR(INDEX(INDIRECT(E603),0,MATCH(F603,MO_Common_ColumnHeader,0)),"N/A")</f>
        <v/>
      </c>
      <c r="O603" s="67" t="n"/>
      <c r="P603" s="2168">
        <f>IF(ISNUMBER(N603),N603-K603,"N/A")</f>
        <v/>
      </c>
      <c r="Q603" s="2168">
        <f>IFERROR(IF(ISNUMBER(N603),(N603-K603)/ABS(K603),"N/A"),"N/A")</f>
        <v/>
      </c>
      <c r="R603" s="67" t="n"/>
      <c r="S603" s="80" t="n">
        <v>44312</v>
      </c>
      <c r="T603" s="88" t="inlineStr">
        <is>
          <t>CFO Commentary</t>
        </is>
      </c>
      <c r="U603" s="67" t="n"/>
      <c r="V603" s="1016" t="n"/>
    </row>
    <row r="604" ht="14.4" customHeight="1" s="972">
      <c r="A604" s="64" t="n">
        <v>360</v>
      </c>
      <c r="B604" s="77">
        <f>IF(INDEX(MO_SNA_IsHistoricalPeriod,,MATCH(F604,MO_Common_ColumnHeader,0)),"Historical","Forward")</f>
        <v/>
      </c>
      <c r="C604" s="67" t="n"/>
      <c r="D604" s="84">
        <f>INDEX(INDIRECT(E604),0,COLUMN(MO_Common_Column_A))</f>
        <v/>
      </c>
      <c r="E604" s="78" t="inlineStr">
        <is>
          <t>MO_RIS_EPS_WAD</t>
        </is>
      </c>
      <c r="F604" s="77" t="inlineStr">
        <is>
          <t>Q2-2021</t>
        </is>
      </c>
      <c r="G604" s="77" t="n"/>
      <c r="H604" s="67" t="n"/>
      <c r="I604" s="2170" t="n">
        <v>0.44</v>
      </c>
      <c r="J604" s="2170" t="n">
        <v>0.48</v>
      </c>
      <c r="K604" s="2170">
        <f>AVERAGE(I604:J604)</f>
        <v/>
      </c>
      <c r="L604" s="67" t="n"/>
      <c r="M604" s="77">
        <f>IF(INDEX(MO_SNA_IsHistoricalPeriod,,MATCH(F604,MO_Common_ColumnHeader,0)),"Actual","Estimate")</f>
        <v/>
      </c>
      <c r="N604" s="2170">
        <f>IFERROR(INDEX(INDIRECT(E604),0,MATCH(F604,MO_Common_ColumnHeader,0)),"N/A")</f>
        <v/>
      </c>
      <c r="O604" s="67" t="n"/>
      <c r="P604" s="2171">
        <f>IF(ISNUMBER(N604),N604-K604,"N/A")</f>
        <v/>
      </c>
      <c r="Q604" s="2168">
        <f>IFERROR(IF(ISNUMBER(N604),(N604-K604)/ABS(K604),"N/A"),"N/A")</f>
        <v/>
      </c>
      <c r="R604" s="67" t="n"/>
      <c r="S604" s="80" t="n">
        <v>44312</v>
      </c>
      <c r="T604" s="88" t="inlineStr">
        <is>
          <t>CFO Commentary</t>
        </is>
      </c>
      <c r="U604" s="67" t="n"/>
      <c r="V604" s="1016" t="n"/>
    </row>
    <row r="605" ht="14.4" customHeight="1" s="972">
      <c r="A605" s="64" t="n">
        <v>359</v>
      </c>
      <c r="B605" s="77">
        <f>IF(INDEX(MO_SNA_IsHistoricalPeriod,,MATCH(F605,MO_Common_ColumnHeader,0)),"Historical","Forward")</f>
        <v/>
      </c>
      <c r="C605" s="67" t="n"/>
      <c r="D605" s="84">
        <f>INDEX(INDIRECT(E605),0,COLUMN(MO_Common_Column_A))</f>
        <v/>
      </c>
      <c r="E605" s="78" t="inlineStr">
        <is>
          <t>MO_RIS_EPS_WAD_Adj</t>
        </is>
      </c>
      <c r="F605" s="77" t="inlineStr">
        <is>
          <t>Q2-2021</t>
        </is>
      </c>
      <c r="G605" s="77" t="n"/>
      <c r="H605" s="67" t="n"/>
      <c r="I605" s="2170" t="n">
        <v>0.74</v>
      </c>
      <c r="J605" s="2170" t="n">
        <v>0.78</v>
      </c>
      <c r="K605" s="2170">
        <f>AVERAGE(I605:J605)</f>
        <v/>
      </c>
      <c r="L605" s="67" t="n"/>
      <c r="M605" s="77">
        <f>IF(INDEX(MO_SNA_IsHistoricalPeriod,,MATCH(F605,MO_Common_ColumnHeader,0)),"Actual","Estimate")</f>
        <v/>
      </c>
      <c r="N605" s="2170">
        <f>IFERROR(INDEX(INDIRECT(E605),0,MATCH(F605,MO_Common_ColumnHeader,0)),"N/A")</f>
        <v/>
      </c>
      <c r="O605" s="67" t="n"/>
      <c r="P605" s="2171">
        <f>IF(ISNUMBER(N605),N605-K605,"N/A")</f>
        <v/>
      </c>
      <c r="Q605" s="2168">
        <f>IFERROR(IF(ISNUMBER(N605),(N605-K605)/ABS(K605),"N/A"),"N/A")</f>
        <v/>
      </c>
      <c r="R605" s="67" t="n"/>
      <c r="S605" s="80" t="n">
        <v>44312</v>
      </c>
      <c r="T605" s="88" t="inlineStr">
        <is>
          <t>CFO Commentary</t>
        </is>
      </c>
      <c r="U605" s="67" t="n"/>
      <c r="V605" s="1016" t="n"/>
    </row>
    <row r="606" ht="14.4" customHeight="1" s="972">
      <c r="A606" s="64" t="n">
        <v>358</v>
      </c>
      <c r="B606" s="77">
        <f>IF(INDEX(MO_SNA_IsHistoricalPeriod,,MATCH(F606,MO_Common_ColumnHeader,0)),"Historical","Forward")</f>
        <v/>
      </c>
      <c r="C606" s="67" t="n"/>
      <c r="D606" s="84">
        <f>INDEX(INDIRECT(E606),0,COLUMN(MO_Common_Column_A))</f>
        <v/>
      </c>
      <c r="E606" s="78" t="inlineStr">
        <is>
          <t>MO_RIS_Daintangibles</t>
        </is>
      </c>
      <c r="F606" s="77" t="inlineStr">
        <is>
          <t>Q2-2021</t>
        </is>
      </c>
      <c r="G606" s="77" t="n"/>
      <c r="H606" s="67" t="n"/>
      <c r="I606" s="2087" t="n">
        <v>17</v>
      </c>
      <c r="J606" s="2087" t="n">
        <v>17</v>
      </c>
      <c r="K606" s="2087">
        <f>AVERAGE(I606:J606)</f>
        <v/>
      </c>
      <c r="L606" s="67" t="n"/>
      <c r="M606" s="77">
        <f>IF(INDEX(MO_SNA_IsHistoricalPeriod,,MATCH(F606,MO_Common_ColumnHeader,0)),"Actual","Estimate")</f>
        <v/>
      </c>
      <c r="N606" s="2087">
        <f>IFERROR(INDEX(INDIRECT(E606),0,MATCH(F606,MO_Common_ColumnHeader,0)),"N/A")</f>
        <v/>
      </c>
      <c r="O606" s="67" t="n"/>
      <c r="P606" s="2169">
        <f>IF(ISNUMBER(N606),N606-K606,"N/A")</f>
        <v/>
      </c>
      <c r="Q606" s="2168">
        <f>IFERROR(IF(ISNUMBER(N606),(N606-K606)/ABS(K606),"N/A"),"N/A")</f>
        <v/>
      </c>
      <c r="R606" s="67" t="n"/>
      <c r="S606" s="80" t="n">
        <v>44312</v>
      </c>
      <c r="T606" s="88" t="inlineStr">
        <is>
          <t>Press Release</t>
        </is>
      </c>
      <c r="U606" s="67" t="n"/>
      <c r="V606" s="1016" t="n"/>
    </row>
    <row r="607" ht="14.4" customHeight="1" s="972">
      <c r="A607" s="64" t="n">
        <v>357</v>
      </c>
      <c r="B607" s="77">
        <f>IF(INDEX(MO_SNA_IsHistoricalPeriod,,MATCH(F607,MO_Common_ColumnHeader,0)),"Historical","Forward")</f>
        <v/>
      </c>
      <c r="C607" s="67" t="n"/>
      <c r="D607" s="84">
        <f>INDEX(INDIRECT(E607),0,COLUMN(MO_Common_Column_A))</f>
        <v/>
      </c>
      <c r="E607" s="78" t="inlineStr">
        <is>
          <t>MO_RIS_SBC</t>
        </is>
      </c>
      <c r="F607" s="77" t="inlineStr">
        <is>
          <t>Q2-2021</t>
        </is>
      </c>
      <c r="G607" s="77" t="n"/>
      <c r="H607" s="67" t="n"/>
      <c r="I607" s="2087" t="n">
        <v>53</v>
      </c>
      <c r="J607" s="2087" t="n">
        <v>53</v>
      </c>
      <c r="K607" s="2087">
        <f>AVERAGE(I607:J607)</f>
        <v/>
      </c>
      <c r="L607" s="67" t="n"/>
      <c r="M607" s="77">
        <f>IF(INDEX(MO_SNA_IsHistoricalPeriod,,MATCH(F607,MO_Common_ColumnHeader,0)),"Actual","Estimate")</f>
        <v/>
      </c>
      <c r="N607" s="2087">
        <f>IFERROR(INDEX(INDIRECT(E607),0,MATCH(F607,MO_Common_ColumnHeader,0)),"N/A")</f>
        <v/>
      </c>
      <c r="O607" s="67" t="n"/>
      <c r="P607" s="2169">
        <f>IF(ISNUMBER(N607),N607-K607,"N/A")</f>
        <v/>
      </c>
      <c r="Q607" s="2168">
        <f>IFERROR(IF(ISNUMBER(N607),(N607-K607)/ABS(K607),"N/A"),"N/A")</f>
        <v/>
      </c>
      <c r="R607" s="67" t="n"/>
      <c r="S607" s="80" t="n">
        <v>44312</v>
      </c>
      <c r="T607" s="88" t="inlineStr">
        <is>
          <t>Press Release</t>
        </is>
      </c>
      <c r="U607" s="67" t="n"/>
      <c r="V607" s="1016" t="n"/>
    </row>
    <row r="608" ht="14.4" customHeight="1" s="972">
      <c r="A608" s="64" t="n">
        <v>356</v>
      </c>
      <c r="B608" s="77">
        <f>IF(INDEX(MO_SNA_IsHistoricalPeriod,,MATCH(F608,MO_Common_ColumnHeader,0)),"Historical","Forward")</f>
        <v/>
      </c>
      <c r="C608" s="67" t="n"/>
      <c r="D608" s="84" t="inlineStr">
        <is>
          <t>Acquisition and integration-related costs</t>
        </is>
      </c>
      <c r="E608" s="78" t="n"/>
      <c r="F608" s="77" t="inlineStr">
        <is>
          <t>Q2-2021</t>
        </is>
      </c>
      <c r="G608" s="77" t="n"/>
      <c r="H608" s="67" t="n"/>
      <c r="I608" s="2087" t="n">
        <v>6</v>
      </c>
      <c r="J608" s="2087" t="n">
        <v>6</v>
      </c>
      <c r="K608" s="2087">
        <f>AVERAGE(I608:J608)</f>
        <v/>
      </c>
      <c r="L608" s="67" t="n"/>
      <c r="M608" s="77">
        <f>IF(INDEX(MO_SNA_IsHistoricalPeriod,,MATCH(F608,MO_Common_ColumnHeader,0)),"Actual","Estimate")</f>
        <v/>
      </c>
      <c r="N608" s="2087">
        <f>IFERROR(INDEX(INDIRECT(E608),0,MATCH(F608,MO_Common_ColumnHeader,0)),"N/A")</f>
        <v/>
      </c>
      <c r="O608" s="67" t="n"/>
      <c r="P608" s="2169">
        <f>IF(ISNUMBER(N608),N608-K608,"N/A")</f>
        <v/>
      </c>
      <c r="Q608" s="2168">
        <f>IFERROR(IF(ISNUMBER(N608),(N608-K608)/ABS(K608),"N/A"),"N/A")</f>
        <v/>
      </c>
      <c r="R608" s="67" t="n"/>
      <c r="S608" s="80" t="n">
        <v>44312</v>
      </c>
      <c r="T608" s="88" t="inlineStr">
        <is>
          <t>Press Release</t>
        </is>
      </c>
      <c r="U608" s="67" t="n"/>
      <c r="V608" s="1016" t="n"/>
    </row>
    <row r="609" ht="14.4" customHeight="1" s="972">
      <c r="A609" s="64" t="n">
        <v>355</v>
      </c>
      <c r="B609" s="77">
        <f>IF(INDEX(MO_SNA_IsHistoricalPeriod,,MATCH(F609,MO_Common_ColumnHeader,0)),"Historical","Forward")</f>
        <v/>
      </c>
      <c r="C609" s="67" t="n"/>
      <c r="D609" s="84" t="inlineStr">
        <is>
          <t>Special charges</t>
        </is>
      </c>
      <c r="E609" s="78" t="n"/>
      <c r="F609" s="77" t="inlineStr">
        <is>
          <t>Q2-2021</t>
        </is>
      </c>
      <c r="G609" s="77" t="n"/>
      <c r="H609" s="67" t="n"/>
      <c r="I609" s="2087" t="n">
        <v>26</v>
      </c>
      <c r="J609" s="2087" t="n">
        <v>26</v>
      </c>
      <c r="K609" s="2087">
        <f>AVERAGE(I609:J609)</f>
        <v/>
      </c>
      <c r="L609" s="67" t="n"/>
      <c r="M609" s="77">
        <f>IF(INDEX(MO_SNA_IsHistoricalPeriod,,MATCH(F609,MO_Common_ColumnHeader,0)),"Actual","Estimate")</f>
        <v/>
      </c>
      <c r="N609" s="2087">
        <f>IFERROR(INDEX(INDIRECT(E609),0,MATCH(F609,MO_Common_ColumnHeader,0)),"N/A")</f>
        <v/>
      </c>
      <c r="O609" s="67" t="n"/>
      <c r="P609" s="2169">
        <f>IF(ISNUMBER(N609),N609-K609,"N/A")</f>
        <v/>
      </c>
      <c r="Q609" s="2168">
        <f>IFERROR(IF(ISNUMBER(N609),(N609-K609)/ABS(K609),"N/A"),"N/A")</f>
        <v/>
      </c>
      <c r="R609" s="67" t="n"/>
      <c r="S609" s="80" t="n">
        <v>44312</v>
      </c>
      <c r="T609" s="88" t="inlineStr">
        <is>
          <t>Press Release</t>
        </is>
      </c>
      <c r="U609" s="67" t="n"/>
      <c r="V609" s="1016" t="n"/>
    </row>
    <row r="610" ht="14.4" customHeight="1" s="972">
      <c r="A610" s="64" t="n">
        <v>354</v>
      </c>
      <c r="B610" s="77">
        <f>IF(INDEX(MO_SNA_IsHistoricalPeriod,,MATCH(F610,MO_Common_ColumnHeader,0)),"Historical","Forward")</f>
        <v/>
      </c>
      <c r="C610" s="67" t="n"/>
      <c r="D610" s="84" t="inlineStr">
        <is>
          <t>Income tax effect on non-GAAP adjustments</t>
        </is>
      </c>
      <c r="E610" s="78" t="n"/>
      <c r="F610" s="77" t="inlineStr">
        <is>
          <t>Q2-2021</t>
        </is>
      </c>
      <c r="G610" s="77" t="n"/>
      <c r="H610" s="67" t="n"/>
      <c r="I610" s="2087" t="n">
        <v>-17</v>
      </c>
      <c r="J610" s="2087" t="n">
        <v>-17</v>
      </c>
      <c r="K610" s="2087">
        <f>AVERAGE(I610:J610)</f>
        <v/>
      </c>
      <c r="L610" s="67" t="n"/>
      <c r="M610" s="77">
        <f>IF(INDEX(MO_SNA_IsHistoricalPeriod,,MATCH(F610,MO_Common_ColumnHeader,0)),"Actual","Estimate")</f>
        <v/>
      </c>
      <c r="N610" s="2087">
        <f>IFERROR(INDEX(INDIRECT(E610),0,MATCH(F610,MO_Common_ColumnHeader,0)),"N/A")</f>
        <v/>
      </c>
      <c r="O610" s="67" t="n"/>
      <c r="P610" s="2169">
        <f>IF(ISNUMBER(N610),N610-K610,"N/A")</f>
        <v/>
      </c>
      <c r="Q610" s="2168">
        <f>IFERROR(IF(ISNUMBER(N610),(N610-K610)/ABS(K610),"N/A"),"N/A")</f>
        <v/>
      </c>
      <c r="R610" s="67" t="n"/>
      <c r="S610" s="80" t="n">
        <v>44312</v>
      </c>
      <c r="T610" s="88" t="inlineStr">
        <is>
          <t>Press Release</t>
        </is>
      </c>
      <c r="U610" s="67" t="n"/>
      <c r="V610" s="1016" t="n"/>
    </row>
    <row r="611" ht="14.4" customHeight="1" s="972">
      <c r="A611" s="64" t="n">
        <v>353</v>
      </c>
      <c r="B611" s="77">
        <f>IF(INDEX(MO_SNA_IsHistoricalPeriod,,MATCH(F611,MO_Common_ColumnHeader,0)),"Historical","Forward")</f>
        <v/>
      </c>
      <c r="C611" s="67" t="n"/>
      <c r="D611" s="84">
        <f>INDEX(INDIRECT(E611),0,COLUMN(MO_Common_Column_A))</f>
        <v/>
      </c>
      <c r="E611" s="78" t="inlineStr">
        <is>
          <t>MO_RIS_NI_GAAP_Diluted</t>
        </is>
      </c>
      <c r="F611" s="77" t="inlineStr">
        <is>
          <t>Q2-2021</t>
        </is>
      </c>
      <c r="G611" s="77" t="n"/>
      <c r="H611" s="67" t="n"/>
      <c r="I611" s="2087" t="n">
        <v>122</v>
      </c>
      <c r="J611" s="2087" t="n">
        <v>133</v>
      </c>
      <c r="K611" s="2087">
        <f>AVERAGE(I611:J611)</f>
        <v/>
      </c>
      <c r="L611" s="67" t="n"/>
      <c r="M611" s="77">
        <f>IF(INDEX(MO_SNA_IsHistoricalPeriod,,MATCH(F611,MO_Common_ColumnHeader,0)),"Actual","Estimate")</f>
        <v/>
      </c>
      <c r="N611" s="2087">
        <f>IFERROR(INDEX(INDIRECT(E611),0,MATCH(F611,MO_Common_ColumnHeader,0)),"N/A")</f>
        <v/>
      </c>
      <c r="O611" s="67" t="n"/>
      <c r="P611" s="2169">
        <f>IF(ISNUMBER(N611),N611-K611,"N/A")</f>
        <v/>
      </c>
      <c r="Q611" s="2168">
        <f>IFERROR(IF(ISNUMBER(N611),(N611-K611)/ABS(K611),"N/A"),"N/A")</f>
        <v/>
      </c>
      <c r="R611" s="67" t="n"/>
      <c r="S611" s="80" t="n">
        <v>44312</v>
      </c>
      <c r="T611" s="88" t="inlineStr">
        <is>
          <t>Press Release</t>
        </is>
      </c>
      <c r="U611" s="67" t="n"/>
      <c r="V611" s="1016" t="n"/>
    </row>
    <row r="612" ht="14.4" customHeight="1" s="972">
      <c r="A612" s="64" t="n">
        <v>352</v>
      </c>
      <c r="B612" s="77">
        <f>IF(INDEX(MO_SNA_IsHistoricalPeriod,,MATCH(F612,MO_Common_ColumnHeader,0)),"Historical","Forward")</f>
        <v/>
      </c>
      <c r="C612" s="67" t="n"/>
      <c r="D612" s="84">
        <f>INDEX(INDIRECT(E612),0,COLUMN(MO_Common_Column_A))</f>
        <v/>
      </c>
      <c r="E612" s="78" t="inlineStr">
        <is>
          <t>MO_RIS_NI_NONGAAP_Diluted</t>
        </is>
      </c>
      <c r="F612" s="77" t="inlineStr">
        <is>
          <t>Q2-2021</t>
        </is>
      </c>
      <c r="G612" s="77" t="n"/>
      <c r="H612" s="67" t="n"/>
      <c r="I612" s="2087" t="n">
        <v>207</v>
      </c>
      <c r="J612" s="2087" t="n">
        <v>218</v>
      </c>
      <c r="K612" s="2087">
        <f>AVERAGE(I612:J612)</f>
        <v/>
      </c>
      <c r="L612" s="67" t="n"/>
      <c r="M612" s="77">
        <f>IF(INDEX(MO_SNA_IsHistoricalPeriod,,MATCH(F612,MO_Common_ColumnHeader,0)),"Actual","Estimate")</f>
        <v/>
      </c>
      <c r="N612" s="2087">
        <f>IFERROR(INDEX(INDIRECT(E612),0,MATCH(F612,MO_Common_ColumnHeader,0)),"N/A")</f>
        <v/>
      </c>
      <c r="O612" s="67" t="n"/>
      <c r="P612" s="2169">
        <f>IF(ISNUMBER(N612),N612-K612,"N/A")</f>
        <v/>
      </c>
      <c r="Q612" s="2168">
        <f>IFERROR(IF(ISNUMBER(N612),(N612-K612)/ABS(K612),"N/A"),"N/A")</f>
        <v/>
      </c>
      <c r="R612" s="67" t="n"/>
      <c r="S612" s="80" t="n">
        <v>44312</v>
      </c>
      <c r="T612" s="88" t="inlineStr">
        <is>
          <t>Press Release</t>
        </is>
      </c>
      <c r="U612" s="67" t="n"/>
      <c r="V612" s="1016" t="n"/>
    </row>
    <row r="613" ht="14.4" customHeight="1" s="972">
      <c r="A613" s="64" t="n">
        <v>351</v>
      </c>
      <c r="B613" s="67" t="n"/>
      <c r="C613" s="67" t="n"/>
      <c r="D613" s="68" t="n"/>
      <c r="E613" s="69" t="n"/>
      <c r="F613" s="67" t="n"/>
      <c r="G613" s="67" t="n"/>
      <c r="H613" s="67" t="n"/>
      <c r="I613" s="2072" t="n"/>
      <c r="J613" s="2072" t="n"/>
      <c r="K613" s="2072" t="n"/>
      <c r="L613" s="67" t="n"/>
      <c r="M613" s="67" t="n"/>
      <c r="N613" s="2072" t="n"/>
      <c r="O613" s="67" t="n"/>
      <c r="P613" s="2172" t="n"/>
      <c r="Q613" s="2173" t="n"/>
      <c r="R613" s="67" t="n"/>
      <c r="S613" s="72" t="n"/>
      <c r="T613" s="89" t="n"/>
      <c r="U613" s="67" t="n"/>
      <c r="V613" s="1016" t="n"/>
    </row>
    <row r="614" ht="14.4" customHeight="1" s="972">
      <c r="A614" s="64" t="n">
        <v>350</v>
      </c>
      <c r="B614" s="77">
        <f>IF(INDEX(MO_SNA_IsHistoricalPeriod,,MATCH(F614,MO_Common_ColumnHeader,0)),"Historical","Forward")</f>
        <v/>
      </c>
      <c r="C614" s="67" t="n"/>
      <c r="D614" s="84" t="inlineStr">
        <is>
          <t>Recurring Revenue %</t>
        </is>
      </c>
      <c r="E614" s="78" t="n"/>
      <c r="F614" s="77" t="inlineStr">
        <is>
          <t>FY2021</t>
        </is>
      </c>
      <c r="G614" s="77" t="n"/>
      <c r="H614" s="67" t="n"/>
      <c r="I614" s="2108" t="n">
        <v>0.85</v>
      </c>
      <c r="J614" s="2108" t="n">
        <v>0.9</v>
      </c>
      <c r="K614" s="2108">
        <f>AVERAGE(I614:J614)</f>
        <v/>
      </c>
      <c r="L614" s="67" t="n"/>
      <c r="M614" s="77">
        <f>IF(INDEX(MO_SNA_IsHistoricalPeriod,,MATCH(F614,MO_Common_ColumnHeader,0)),"Actual","Estimate")</f>
        <v/>
      </c>
      <c r="N614" s="2108">
        <f>IFERROR(INDEX(INDIRECT(E614),0,MATCH(F614,MO_Common_ColumnHeader,0)),"N/A")</f>
        <v/>
      </c>
      <c r="O614" s="2072" t="n"/>
      <c r="P614" s="2168">
        <f>IF(ISNUMBER(N614),N614-K614,"N/A")</f>
        <v/>
      </c>
      <c r="Q614" s="2168">
        <f>IFERROR(IF(ISNUMBER(N614),(N614-K614)/ABS(K614),"N/A"),"N/A")</f>
        <v/>
      </c>
      <c r="R614" s="67" t="n"/>
      <c r="S614" s="80" t="n">
        <v>44249</v>
      </c>
      <c r="T614" s="88" t="inlineStr">
        <is>
          <t>CFO Commentary</t>
        </is>
      </c>
      <c r="U614" s="112" t="n"/>
      <c r="V614" s="1016" t="n"/>
    </row>
    <row r="615" ht="14.4" customHeight="1" s="972">
      <c r="A615" s="64" t="n">
        <v>349</v>
      </c>
      <c r="B615" s="77">
        <f>IF(INDEX(MO_SNA_IsHistoricalPeriod,,MATCH(F615,MO_Common_ColumnHeader,0)),"Historical","Forward")</f>
        <v/>
      </c>
      <c r="C615" s="67" t="n"/>
      <c r="D615" s="84" t="inlineStr">
        <is>
          <t>Revenue from Beginning Backlog %</t>
        </is>
      </c>
      <c r="E615" s="78" t="n"/>
      <c r="F615" s="77" t="inlineStr">
        <is>
          <t>FY2021</t>
        </is>
      </c>
      <c r="G615" s="77" t="n"/>
      <c r="H615" s="67" t="n"/>
      <c r="I615" s="2108" t="n">
        <v>0.75</v>
      </c>
      <c r="J615" s="2108" t="n">
        <v>0.75</v>
      </c>
      <c r="K615" s="2108">
        <f>AVERAGE(I615:J615)</f>
        <v/>
      </c>
      <c r="L615" s="67" t="n"/>
      <c r="M615" s="77">
        <f>IF(INDEX(MO_SNA_IsHistoricalPeriod,,MATCH(F615,MO_Common_ColumnHeader,0)),"Actual","Estimate")</f>
        <v/>
      </c>
      <c r="N615" s="2108">
        <f>IFERROR(INDEX(INDIRECT(E615),0,MATCH(F615,MO_Common_ColumnHeader,0)),"N/A")</f>
        <v/>
      </c>
      <c r="O615" s="2072" t="n"/>
      <c r="P615" s="2168">
        <f>IF(ISNUMBER(N615),N615-K615,"N/A")</f>
        <v/>
      </c>
      <c r="Q615" s="2168">
        <f>IFERROR(IF(ISNUMBER(N615),(N615-K615)/ABS(K615),"N/A"),"N/A")</f>
        <v/>
      </c>
      <c r="R615" s="67" t="n"/>
      <c r="S615" s="80" t="n">
        <v>44249</v>
      </c>
      <c r="T615" s="88" t="inlineStr">
        <is>
          <t>CFO Commentary</t>
        </is>
      </c>
      <c r="U615" s="112" t="n"/>
      <c r="V615" s="1016" t="n"/>
    </row>
    <row r="616" ht="14.4" customHeight="1" s="972">
      <c r="A616" s="64" t="n">
        <v>348</v>
      </c>
      <c r="B616" s="77">
        <f>IF(INDEX(MO_SNA_IsHistoricalPeriod,,MATCH(F616,MO_Common_ColumnHeader,0)),"Historical","Forward")</f>
        <v/>
      </c>
      <c r="C616" s="67" t="n"/>
      <c r="D616" s="84">
        <f>INDEX(INDIRECT(E616),0,COLUMN(MO_Common_Column_A))</f>
        <v/>
      </c>
      <c r="E616" s="78" t="inlineStr">
        <is>
          <t>MO_RIS_REV</t>
        </is>
      </c>
      <c r="F616" s="77" t="inlineStr">
        <is>
          <t>FY2021</t>
        </is>
      </c>
      <c r="G616" s="77" t="n"/>
      <c r="H616" s="67" t="n"/>
      <c r="I616" s="2087" t="n">
        <v>2860</v>
      </c>
      <c r="J616" s="2087" t="n">
        <v>2920</v>
      </c>
      <c r="K616" s="2087">
        <f>AVERAGE(I616:J616)</f>
        <v/>
      </c>
      <c r="L616" s="67" t="n"/>
      <c r="M616" s="77">
        <f>IF(INDEX(MO_SNA_IsHistoricalPeriod,,MATCH(F616,MO_Common_ColumnHeader,0)),"Actual","Estimate")</f>
        <v/>
      </c>
      <c r="N616" s="2087">
        <f>IFERROR(INDEX(INDIRECT(E616),0,MATCH(F616,MO_Common_ColumnHeader,0)),"N/A")</f>
        <v/>
      </c>
      <c r="O616" s="2072" t="n"/>
      <c r="P616" s="2169">
        <f>IF(ISNUMBER(N616),N616-K616,"N/A")</f>
        <v/>
      </c>
      <c r="Q616" s="2168">
        <f>IFERROR(IF(ISNUMBER(N616),(N616-K616)/ABS(K616),"N/A"),"N/A")</f>
        <v/>
      </c>
      <c r="R616" s="67" t="n"/>
      <c r="S616" s="80" t="n">
        <v>44249</v>
      </c>
      <c r="T616" s="88" t="inlineStr">
        <is>
          <t>CFO Commentary</t>
        </is>
      </c>
      <c r="U616" s="112" t="n"/>
      <c r="V616" s="1016" t="n"/>
    </row>
    <row r="617" ht="14.4" customHeight="1" s="972">
      <c r="A617" s="64" t="n">
        <v>347</v>
      </c>
      <c r="B617" s="77">
        <f>IF(INDEX(MO_SNA_IsHistoricalPeriod,,MATCH(F617,MO_Common_ColumnHeader,0)),"Historical","Forward")</f>
        <v/>
      </c>
      <c r="C617" s="67" t="n"/>
      <c r="D617" s="84" t="inlineStr">
        <is>
          <t>GAAP Operating Margin</t>
        </is>
      </c>
      <c r="E617" s="78" t="n"/>
      <c r="F617" s="77" t="inlineStr">
        <is>
          <t>FY2021</t>
        </is>
      </c>
      <c r="G617" s="77" t="n"/>
      <c r="H617" s="67" t="n"/>
      <c r="I617" s="2108" t="n">
        <v>0.245</v>
      </c>
      <c r="J617" s="2108" t="n">
        <v>0.26</v>
      </c>
      <c r="K617" s="2108">
        <f>AVERAGE(I617:J617)</f>
        <v/>
      </c>
      <c r="L617" s="67" t="n"/>
      <c r="M617" s="77">
        <f>IF(INDEX(MO_SNA_IsHistoricalPeriod,,MATCH(F617,MO_Common_ColumnHeader,0)),"Actual","Estimate")</f>
        <v/>
      </c>
      <c r="N617" s="2108">
        <f>IFERROR(INDEX(INDIRECT(E617),0,MATCH(F617,MO_Common_ColumnHeader,0)),"N/A")</f>
        <v/>
      </c>
      <c r="O617" s="67" t="n"/>
      <c r="P617" s="2168">
        <f>IF(ISNUMBER(N617),N617-K617,"N/A")</f>
        <v/>
      </c>
      <c r="Q617" s="2168">
        <f>IFERROR(IF(ISNUMBER(N617),(N617-K617)/ABS(K617),"N/A"),"N/A")</f>
        <v/>
      </c>
      <c r="R617" s="67" t="n"/>
      <c r="S617" s="80" t="n">
        <v>44249</v>
      </c>
      <c r="T617" s="88" t="inlineStr">
        <is>
          <t>CFO Commentary</t>
        </is>
      </c>
      <c r="U617" s="67" t="n"/>
      <c r="V617" s="1016" t="n"/>
    </row>
    <row r="618" ht="14.4" customHeight="1" s="972">
      <c r="A618" s="64" t="n">
        <v>346</v>
      </c>
      <c r="B618" s="77">
        <f>IF(INDEX(MO_SNA_IsHistoricalPeriod,,MATCH(F618,MO_Common_ColumnHeader,0)),"Historical","Forward")</f>
        <v/>
      </c>
      <c r="C618" s="67" t="n"/>
      <c r="D618" s="84">
        <f>INDEX(INDIRECT(E618),0,COLUMN(MO_Common_Column_A))</f>
        <v/>
      </c>
      <c r="E618" s="78" t="inlineStr">
        <is>
          <t>MO_MA_OperatingIncome_NONGAAP</t>
        </is>
      </c>
      <c r="F618" s="77" t="inlineStr">
        <is>
          <t>FY2021</t>
        </is>
      </c>
      <c r="G618" s="77" t="n"/>
      <c r="H618" s="67" t="n"/>
      <c r="I618" s="2108" t="n">
        <v>0.345</v>
      </c>
      <c r="J618" s="2108" t="n">
        <v>0.36</v>
      </c>
      <c r="K618" s="2108">
        <f>AVERAGE(I618:J618)</f>
        <v/>
      </c>
      <c r="L618" s="67" t="n"/>
      <c r="M618" s="77">
        <f>IF(INDEX(MO_SNA_IsHistoricalPeriod,,MATCH(F618,MO_Common_ColumnHeader,0)),"Actual","Estimate")</f>
        <v/>
      </c>
      <c r="N618" s="2108">
        <f>IFERROR(INDEX(INDIRECT(E618),0,MATCH(F618,MO_Common_ColumnHeader,0)),"N/A")</f>
        <v/>
      </c>
      <c r="O618" s="67" t="n"/>
      <c r="P618" s="2168">
        <f>IF(ISNUMBER(N618),N618-K618,"N/A")</f>
        <v/>
      </c>
      <c r="Q618" s="2168">
        <f>IFERROR(IF(ISNUMBER(N618),(N618-K618)/ABS(K618),"N/A"),"N/A")</f>
        <v/>
      </c>
      <c r="R618" s="67" t="n"/>
      <c r="S618" s="80" t="n">
        <v>44249</v>
      </c>
      <c r="T618" s="88" t="inlineStr">
        <is>
          <t>CFO Commentary</t>
        </is>
      </c>
      <c r="U618" s="67" t="n"/>
      <c r="V618" s="1016" t="n"/>
    </row>
    <row r="619" ht="14.4" customHeight="1" s="972">
      <c r="A619" s="64" t="n">
        <v>345</v>
      </c>
      <c r="B619" s="77">
        <f>IF(INDEX(MO_SNA_IsHistoricalPeriod,,MATCH(F619,MO_Common_ColumnHeader,0)),"Historical","Forward")</f>
        <v/>
      </c>
      <c r="C619" s="67" t="n"/>
      <c r="D619" s="84">
        <f>INDEX(INDIRECT(E619),0,COLUMN(MO_Common_Column_A))</f>
        <v/>
      </c>
      <c r="E619" s="78" t="inlineStr">
        <is>
          <t>MO_RIS_EPS_WAD</t>
        </is>
      </c>
      <c r="F619" s="77" t="inlineStr">
        <is>
          <t>FY2021</t>
        </is>
      </c>
      <c r="G619" s="77" t="n"/>
      <c r="H619" s="67" t="n"/>
      <c r="I619" s="2170" t="n">
        <v>2.09</v>
      </c>
      <c r="J619" s="2170" t="n">
        <v>2.19</v>
      </c>
      <c r="K619" s="2170">
        <f>AVERAGE(I619:J619)</f>
        <v/>
      </c>
      <c r="L619" s="67" t="n"/>
      <c r="M619" s="77">
        <f>IF(INDEX(MO_SNA_IsHistoricalPeriod,,MATCH(F619,MO_Common_ColumnHeader,0)),"Actual","Estimate")</f>
        <v/>
      </c>
      <c r="N619" s="2170">
        <f>IFERROR(INDEX(INDIRECT(E619),0,MATCH(F619,MO_Common_ColumnHeader,0)),"N/A")</f>
        <v/>
      </c>
      <c r="O619" s="67" t="n"/>
      <c r="P619" s="2171">
        <f>IF(ISNUMBER(N619),N619-K619,"N/A")</f>
        <v/>
      </c>
      <c r="Q619" s="2168">
        <f>IFERROR(IF(ISNUMBER(N619),(N619-K619)/ABS(K619),"N/A"),"N/A")</f>
        <v/>
      </c>
      <c r="R619" s="67" t="n"/>
      <c r="S619" s="80" t="n">
        <v>44249</v>
      </c>
      <c r="T619" s="88" t="inlineStr">
        <is>
          <t>CFO Commentary</t>
        </is>
      </c>
      <c r="U619" s="112" t="n"/>
      <c r="V619" s="1016" t="n"/>
    </row>
    <row r="620" ht="14.4" customHeight="1" s="972">
      <c r="A620" s="64" t="n">
        <v>344</v>
      </c>
      <c r="B620" s="77">
        <f>IF(INDEX(MO_SNA_IsHistoricalPeriod,,MATCH(F620,MO_Common_ColumnHeader,0)),"Historical","Forward")</f>
        <v/>
      </c>
      <c r="C620" s="67" t="n"/>
      <c r="D620" s="84">
        <f>INDEX(INDIRECT(E620),0,COLUMN(MO_Common_Column_A))</f>
        <v/>
      </c>
      <c r="E620" s="78" t="inlineStr">
        <is>
          <t>MO_RIS_EPS_WAD_Adj</t>
        </is>
      </c>
      <c r="F620" s="77" t="inlineStr">
        <is>
          <t>FY2021</t>
        </is>
      </c>
      <c r="G620" s="77" t="n"/>
      <c r="H620" s="67" t="n"/>
      <c r="I620" s="2170" t="n">
        <v>2.95</v>
      </c>
      <c r="J620" s="2170" t="n">
        <v>3.05</v>
      </c>
      <c r="K620" s="2170">
        <f>AVERAGE(I620:J620)</f>
        <v/>
      </c>
      <c r="L620" s="67" t="n"/>
      <c r="M620" s="77">
        <f>IF(INDEX(MO_SNA_IsHistoricalPeriod,,MATCH(F620,MO_Common_ColumnHeader,0)),"Actual","Estimate")</f>
        <v/>
      </c>
      <c r="N620" s="2170">
        <f>IFERROR(INDEX(INDIRECT(E620),0,MATCH(F620,MO_Common_ColumnHeader,0)),"N/A")</f>
        <v/>
      </c>
      <c r="O620" s="67" t="n"/>
      <c r="P620" s="2171">
        <f>IF(ISNUMBER(N620),N620-K620,"N/A")</f>
        <v/>
      </c>
      <c r="Q620" s="2168">
        <f>IFERROR(IF(ISNUMBER(N620),(N620-K620)/ABS(K620),"N/A"),"N/A")</f>
        <v/>
      </c>
      <c r="R620" s="67" t="n"/>
      <c r="S620" s="80" t="n">
        <v>44249</v>
      </c>
      <c r="T620" s="88" t="inlineStr">
        <is>
          <t>CFO Commentary</t>
        </is>
      </c>
      <c r="U620" s="67" t="n"/>
      <c r="V620" s="1016" t="n"/>
    </row>
    <row r="621" ht="14.4" customHeight="1" s="972">
      <c r="A621" s="64" t="n">
        <v>343</v>
      </c>
      <c r="B621" s="77">
        <f>IF(INDEX(MO_SNA_IsHistoricalPeriod,,MATCH(F621,MO_Common_ColumnHeader,0)),"Historical","Forward")</f>
        <v/>
      </c>
      <c r="C621" s="67" t="n"/>
      <c r="D621" s="84">
        <f>INDEX(INDIRECT(E621),0,COLUMN(MO_Common_Column_A))</f>
        <v/>
      </c>
      <c r="E621" s="78" t="inlineStr">
        <is>
          <t>MO_CFS_CFO</t>
        </is>
      </c>
      <c r="F621" s="77" t="inlineStr">
        <is>
          <t>FY2021</t>
        </is>
      </c>
      <c r="G621" s="77" t="n"/>
      <c r="H621" s="67" t="n"/>
      <c r="I621" s="2087" t="n">
        <v>900</v>
      </c>
      <c r="J621" s="2087" t="n">
        <v>950</v>
      </c>
      <c r="K621" s="2087">
        <f>AVERAGE(I621:J621)</f>
        <v/>
      </c>
      <c r="L621" s="67" t="n"/>
      <c r="M621" s="77">
        <f>IF(INDEX(MO_SNA_IsHistoricalPeriod,,MATCH(F621,MO_Common_ColumnHeader,0)),"Actual","Estimate")</f>
        <v/>
      </c>
      <c r="N621" s="2087">
        <f>IFERROR(INDEX(INDIRECT(E621),0,MATCH(F621,MO_Common_ColumnHeader,0)),"N/A")</f>
        <v/>
      </c>
      <c r="O621" s="67" t="n"/>
      <c r="P621" s="2169">
        <f>IF(ISNUMBER(N621),N621-K621,"N/A")</f>
        <v/>
      </c>
      <c r="Q621" s="2168">
        <f>IFERROR(IF(ISNUMBER(N621),(N621-K621)/ABS(K621),"N/A"),"N/A")</f>
        <v/>
      </c>
      <c r="R621" s="67" t="n"/>
      <c r="S621" s="80" t="n">
        <v>44249</v>
      </c>
      <c r="T621" s="88" t="inlineStr">
        <is>
          <t>CFO Commentary</t>
        </is>
      </c>
      <c r="U621" s="67" t="n"/>
      <c r="V621" s="1016" t="n"/>
    </row>
    <row r="622" ht="14.4" customHeight="1" s="972">
      <c r="A622" s="64" t="n">
        <v>342</v>
      </c>
      <c r="B622" s="77">
        <f>IF(INDEX(MO_SNA_IsHistoricalPeriod,,MATCH(F622,MO_Common_ColumnHeader,0)),"Historical","Forward")</f>
        <v/>
      </c>
      <c r="C622" s="67" t="n"/>
      <c r="D622" s="84" t="inlineStr">
        <is>
          <t>DSO</t>
        </is>
      </c>
      <c r="E622" s="78" t="n"/>
      <c r="F622" s="77" t="inlineStr">
        <is>
          <t>FY2021</t>
        </is>
      </c>
      <c r="G622" s="77" t="n"/>
      <c r="H622" s="67" t="n"/>
      <c r="I622" s="2087" t="n">
        <v>45</v>
      </c>
      <c r="J622" s="2087" t="n">
        <v>45</v>
      </c>
      <c r="K622" s="2087">
        <f>AVERAGE(I622:J622)</f>
        <v/>
      </c>
      <c r="L622" s="67" t="n"/>
      <c r="M622" s="77">
        <f>IF(INDEX(MO_SNA_IsHistoricalPeriod,,MATCH(F622,MO_Common_ColumnHeader,0)),"Actual","Estimate")</f>
        <v/>
      </c>
      <c r="N622" s="2087">
        <f>IFERROR(INDEX(INDIRECT(E622),0,MATCH(F622,MO_Common_ColumnHeader,0)),"N/A")</f>
        <v/>
      </c>
      <c r="O622" s="67" t="n"/>
      <c r="P622" s="2169">
        <f>IF(ISNUMBER(N622),N622-K622,"N/A")</f>
        <v/>
      </c>
      <c r="Q622" s="2168">
        <f>IFERROR(IF(ISNUMBER(N622),(N622-K622)/ABS(K622),"N/A"),"N/A")</f>
        <v/>
      </c>
      <c r="R622" s="67" t="n"/>
      <c r="S622" s="80" t="n">
        <v>44249</v>
      </c>
      <c r="T622" s="88" t="inlineStr">
        <is>
          <t>CFO Commentary</t>
        </is>
      </c>
      <c r="U622" s="67" t="n"/>
      <c r="V622" s="1016" t="n"/>
    </row>
    <row r="623" ht="14.4" customHeight="1" s="972">
      <c r="A623" s="64" t="n">
        <v>341</v>
      </c>
      <c r="B623" s="77">
        <f>IF(INDEX(MO_SNA_IsHistoricalPeriod,,MATCH(F623,MO_Common_ColumnHeader,0)),"Historical","Forward")</f>
        <v/>
      </c>
      <c r="C623" s="67" t="n"/>
      <c r="D623" s="84">
        <f>INDEX(INDIRECT(E623),0,COLUMN(MO_Common_Column_A))</f>
        <v/>
      </c>
      <c r="E623" s="78" t="inlineStr">
        <is>
          <t>MO_CFSum_Capex</t>
        </is>
      </c>
      <c r="F623" s="77" t="inlineStr">
        <is>
          <t>FY2021</t>
        </is>
      </c>
      <c r="G623" s="77" t="n"/>
      <c r="H623" s="67" t="n"/>
      <c r="I623" s="2087" t="n">
        <v>-100</v>
      </c>
      <c r="J623" s="2087" t="n">
        <v>-100</v>
      </c>
      <c r="K623" s="2087">
        <f>AVERAGE(I623:J623)</f>
        <v/>
      </c>
      <c r="L623" s="67" t="n"/>
      <c r="M623" s="77">
        <f>IF(INDEX(MO_SNA_IsHistoricalPeriod,,MATCH(F623,MO_Common_ColumnHeader,0)),"Actual","Estimate")</f>
        <v/>
      </c>
      <c r="N623" s="2087">
        <f>IFERROR(INDEX(INDIRECT(E623),0,MATCH(F623,MO_Common_ColumnHeader,0)),"N/A")</f>
        <v/>
      </c>
      <c r="O623" s="67" t="n"/>
      <c r="P623" s="2169">
        <f>IF(ISNUMBER(N623),N623-K623,"N/A")</f>
        <v/>
      </c>
      <c r="Q623" s="2168">
        <f>IFERROR(IF(ISNUMBER(N623),(N623-K623)/ABS(K623),"N/A"),"N/A")</f>
        <v/>
      </c>
      <c r="R623" s="67" t="n"/>
      <c r="S623" s="80" t="n">
        <v>44249</v>
      </c>
      <c r="T623" s="88" t="inlineStr">
        <is>
          <t>CFO Commentary</t>
        </is>
      </c>
      <c r="U623" s="67" t="n"/>
      <c r="V623" s="1016" t="n"/>
    </row>
    <row r="624" ht="14.4" customHeight="1" s="972">
      <c r="A624" s="64" t="n">
        <v>340</v>
      </c>
      <c r="B624" s="77">
        <f>IF(INDEX(MO_SNA_IsHistoricalPeriod,,MATCH(F624,MO_Common_ColumnHeader,0)),"Historical","Forward")</f>
        <v/>
      </c>
      <c r="C624" s="67" t="n"/>
      <c r="D624" s="84">
        <f>INDEX(INDIRECT(E624),0,COLUMN(MO_Common_Column_A))</f>
        <v/>
      </c>
      <c r="E624" s="78" t="inlineStr">
        <is>
          <t>MO_RIS_Daintangibles</t>
        </is>
      </c>
      <c r="F624" s="77" t="inlineStr">
        <is>
          <t>FY2021</t>
        </is>
      </c>
      <c r="G624" s="77" t="n"/>
      <c r="H624" s="67" t="n"/>
      <c r="I624" s="2087" t="n">
        <v>72</v>
      </c>
      <c r="J624" s="2087" t="n">
        <v>72</v>
      </c>
      <c r="K624" s="2087">
        <f>AVERAGE(I624:J624)</f>
        <v/>
      </c>
      <c r="L624" s="67" t="n"/>
      <c r="M624" s="77">
        <f>IF(INDEX(MO_SNA_IsHistoricalPeriod,,MATCH(F624,MO_Common_ColumnHeader,0)),"Actual","Estimate")</f>
        <v/>
      </c>
      <c r="N624" s="2087">
        <f>IFERROR(INDEX(INDIRECT(E624),0,MATCH(F624,MO_Common_ColumnHeader,0)),"N/A")</f>
        <v/>
      </c>
      <c r="O624" s="67" t="n"/>
      <c r="P624" s="2169">
        <f>IF(ISNUMBER(N624),N624-K624,"N/A")</f>
        <v/>
      </c>
      <c r="Q624" s="2168">
        <f>IFERROR(IF(ISNUMBER(N624),(N624-K624)/ABS(K624),"N/A"),"N/A")</f>
        <v/>
      </c>
      <c r="R624" s="67" t="n"/>
      <c r="S624" s="80" t="n">
        <v>44249</v>
      </c>
      <c r="T624" s="88" t="inlineStr">
        <is>
          <t>Press Release</t>
        </is>
      </c>
      <c r="U624" s="67" t="n"/>
      <c r="V624" s="1016" t="n"/>
    </row>
    <row r="625" ht="14.4" customHeight="1" s="972">
      <c r="A625" s="64" t="n">
        <v>339</v>
      </c>
      <c r="B625" s="77">
        <f>IF(INDEX(MO_SNA_IsHistoricalPeriod,,MATCH(F625,MO_Common_ColumnHeader,0)),"Historical","Forward")</f>
        <v/>
      </c>
      <c r="C625" s="67" t="n"/>
      <c r="D625" s="84">
        <f>INDEX(INDIRECT(E625),0,COLUMN(MO_Common_Column_A))</f>
        <v/>
      </c>
      <c r="E625" s="78" t="inlineStr">
        <is>
          <t>MO_RIS_SBC</t>
        </is>
      </c>
      <c r="F625" s="77" t="inlineStr">
        <is>
          <t>FY2021</t>
        </is>
      </c>
      <c r="G625" s="77" t="n"/>
      <c r="H625" s="67" t="n"/>
      <c r="I625" s="2087" t="n">
        <v>225</v>
      </c>
      <c r="J625" s="2087" t="n">
        <v>225</v>
      </c>
      <c r="K625" s="2087">
        <f>AVERAGE(I625:J625)</f>
        <v/>
      </c>
      <c r="L625" s="67" t="n"/>
      <c r="M625" s="77">
        <f>IF(INDEX(MO_SNA_IsHistoricalPeriod,,MATCH(F625,MO_Common_ColumnHeader,0)),"Actual","Estimate")</f>
        <v/>
      </c>
      <c r="N625" s="2087">
        <f>IFERROR(INDEX(INDIRECT(E625),0,MATCH(F625,MO_Common_ColumnHeader,0)),"N/A")</f>
        <v/>
      </c>
      <c r="O625" s="67" t="n"/>
      <c r="P625" s="2169">
        <f>IF(ISNUMBER(N625),N625-K625,"N/A")</f>
        <v/>
      </c>
      <c r="Q625" s="2168">
        <f>IFERROR(IF(ISNUMBER(N625),(N625-K625)/ABS(K625),"N/A"),"N/A")</f>
        <v/>
      </c>
      <c r="R625" s="67" t="n"/>
      <c r="S625" s="80" t="n">
        <v>44249</v>
      </c>
      <c r="T625" s="88" t="inlineStr">
        <is>
          <t>Press Release</t>
        </is>
      </c>
      <c r="U625" s="67" t="n"/>
      <c r="V625" s="1016" t="n"/>
    </row>
    <row r="626" ht="14.4" customHeight="1" s="972">
      <c r="A626" s="64" t="n">
        <v>338</v>
      </c>
      <c r="B626" s="77">
        <f>IF(INDEX(MO_SNA_IsHistoricalPeriod,,MATCH(F626,MO_Common_ColumnHeader,0)),"Historical","Forward")</f>
        <v/>
      </c>
      <c r="C626" s="67" t="n"/>
      <c r="D626" s="84" t="inlineStr">
        <is>
          <t>Acquisition and integration-related costs</t>
        </is>
      </c>
      <c r="E626" s="78" t="n"/>
      <c r="F626" s="77" t="inlineStr">
        <is>
          <t>FY2021</t>
        </is>
      </c>
      <c r="G626" s="77" t="n"/>
      <c r="H626" s="67" t="n"/>
      <c r="I626" s="2087" t="n">
        <v>8</v>
      </c>
      <c r="J626" s="2087" t="n">
        <v>8</v>
      </c>
      <c r="K626" s="2087">
        <f>AVERAGE(I626:J626)</f>
        <v/>
      </c>
      <c r="L626" s="67" t="n"/>
      <c r="M626" s="77">
        <f>IF(INDEX(MO_SNA_IsHistoricalPeriod,,MATCH(F626,MO_Common_ColumnHeader,0)),"Actual","Estimate")</f>
        <v/>
      </c>
      <c r="N626" s="2087">
        <f>IFERROR(INDEX(INDIRECT(E626),0,MATCH(F626,MO_Common_ColumnHeader,0)),"N/A")</f>
        <v/>
      </c>
      <c r="O626" s="67" t="n"/>
      <c r="P626" s="2169">
        <f>IF(ISNUMBER(N626),N626-K626,"N/A")</f>
        <v/>
      </c>
      <c r="Q626" s="2168">
        <f>IFERROR(IF(ISNUMBER(N626),(N626-K626)/ABS(K626),"N/A"),"N/A")</f>
        <v/>
      </c>
      <c r="R626" s="67" t="n"/>
      <c r="S626" s="80" t="n">
        <v>44249</v>
      </c>
      <c r="T626" s="88" t="inlineStr">
        <is>
          <t>Press Release</t>
        </is>
      </c>
      <c r="U626" s="67" t="n"/>
      <c r="V626" s="1016" t="n"/>
    </row>
    <row r="627" ht="14.4" customHeight="1" s="972">
      <c r="A627" s="64" t="n">
        <v>337</v>
      </c>
      <c r="B627" s="77">
        <f>IF(INDEX(MO_SNA_IsHistoricalPeriod,,MATCH(F627,MO_Common_ColumnHeader,0)),"Historical","Forward")</f>
        <v/>
      </c>
      <c r="C627" s="67" t="n"/>
      <c r="D627" s="84" t="inlineStr">
        <is>
          <t>Other income or expense related to investments and non-qualified deferred compensation plan assets</t>
        </is>
      </c>
      <c r="E627" s="78" t="n"/>
      <c r="F627" s="77" t="inlineStr">
        <is>
          <t>FY2021</t>
        </is>
      </c>
      <c r="G627" s="77" t="n"/>
      <c r="H627" s="67" t="n"/>
      <c r="I627" s="2087" t="n">
        <v>-13</v>
      </c>
      <c r="J627" s="2087" t="n">
        <v>-21</v>
      </c>
      <c r="K627" s="2087">
        <f>AVERAGE(I627:J627)</f>
        <v/>
      </c>
      <c r="L627" s="67" t="n"/>
      <c r="M627" s="77">
        <f>IF(INDEX(MO_SNA_IsHistoricalPeriod,,MATCH(F627,MO_Common_ColumnHeader,0)),"Actual","Estimate")</f>
        <v/>
      </c>
      <c r="N627" s="2087">
        <f>IFERROR(INDEX(INDIRECT(E627),0,MATCH(F627,MO_Common_ColumnHeader,0)),"N/A")</f>
        <v/>
      </c>
      <c r="O627" s="67" t="n"/>
      <c r="P627" s="2169">
        <f>IF(ISNUMBER(N627),N627-K627,"N/A")</f>
        <v/>
      </c>
      <c r="Q627" s="2168">
        <f>IFERROR(IF(ISNUMBER(N627),(N627-K627)/ABS(K627),"N/A"),"N/A")</f>
        <v/>
      </c>
      <c r="R627" s="67" t="n"/>
      <c r="S627" s="80" t="n">
        <v>44249</v>
      </c>
      <c r="T627" s="88" t="inlineStr">
        <is>
          <t>CFO Commentary</t>
        </is>
      </c>
      <c r="U627" s="67" t="n"/>
      <c r="V627" s="1016" t="n"/>
    </row>
    <row r="628" ht="14.4" customHeight="1" s="972">
      <c r="A628" s="64" t="n">
        <v>336</v>
      </c>
      <c r="B628" s="77">
        <f>IF(INDEX(MO_SNA_IsHistoricalPeriod,,MATCH(F628,MO_Common_ColumnHeader,0)),"Historical","Forward")</f>
        <v/>
      </c>
      <c r="C628" s="67" t="n"/>
      <c r="D628" s="84">
        <f>INDEX(INDIRECT(E628),0,COLUMN(MO_Common_Column_A))</f>
        <v/>
      </c>
      <c r="E628" s="78" t="inlineStr">
        <is>
          <t>MO_RIS_TaxRate_NONGAAP</t>
        </is>
      </c>
      <c r="F628" s="77" t="inlineStr">
        <is>
          <t>FY2021</t>
        </is>
      </c>
      <c r="G628" s="77" t="n"/>
      <c r="H628" s="67" t="n"/>
      <c r="I628" s="2108" t="n">
        <v>0.16</v>
      </c>
      <c r="J628" s="2108" t="n">
        <v>0.16</v>
      </c>
      <c r="K628" s="2108">
        <f>AVERAGE(I628:J628)</f>
        <v/>
      </c>
      <c r="L628" s="67" t="n"/>
      <c r="M628" s="77">
        <f>IF(INDEX(MO_SNA_IsHistoricalPeriod,,MATCH(F628,MO_Common_ColumnHeader,0)),"Actual","Estimate")</f>
        <v/>
      </c>
      <c r="N628" s="2108">
        <f>IFERROR(INDEX(INDIRECT(E628),0,MATCH(F628,MO_Common_ColumnHeader,0)),"N/A")</f>
        <v/>
      </c>
      <c r="O628" s="67" t="n"/>
      <c r="P628" s="2168">
        <f>IF(ISNUMBER(N628),N628-K628,"N/A")</f>
        <v/>
      </c>
      <c r="Q628" s="2168">
        <f>IFERROR(IF(ISNUMBER(N628),(N628-K628)/ABS(K628),"N/A"),"N/A")</f>
        <v/>
      </c>
      <c r="R628" s="67" t="n"/>
      <c r="S628" s="80" t="n">
        <v>44249</v>
      </c>
      <c r="T628" s="88" t="inlineStr">
        <is>
          <t>CFO Commentary</t>
        </is>
      </c>
      <c r="U628" s="67" t="n"/>
      <c r="V628" s="1016" t="n"/>
    </row>
    <row r="629" ht="14.4" customHeight="1" s="972">
      <c r="A629" s="64" t="n">
        <v>335</v>
      </c>
      <c r="B629" s="77">
        <f>IF(INDEX(MO_SNA_IsHistoricalPeriod,,MATCH(F629,MO_Common_ColumnHeader,0)),"Historical","Forward")</f>
        <v/>
      </c>
      <c r="C629" s="67" t="n"/>
      <c r="D629" s="84" t="inlineStr">
        <is>
          <t>Income tax effect on non-GAAP adjustments</t>
        </is>
      </c>
      <c r="E629" s="78" t="n"/>
      <c r="F629" s="77" t="inlineStr">
        <is>
          <t>FY2021</t>
        </is>
      </c>
      <c r="G629" s="77" t="n"/>
      <c r="H629" s="67" t="n"/>
      <c r="I629" s="2087" t="n">
        <v>-64</v>
      </c>
      <c r="J629" s="2087" t="n">
        <v>-64</v>
      </c>
      <c r="K629" s="2087">
        <f>AVERAGE(I629:J629)</f>
        <v/>
      </c>
      <c r="L629" s="67" t="n"/>
      <c r="M629" s="77">
        <f>IF(INDEX(MO_SNA_IsHistoricalPeriod,,MATCH(F629,MO_Common_ColumnHeader,0)),"Actual","Estimate")</f>
        <v/>
      </c>
      <c r="N629" s="2087">
        <f>IFERROR(INDEX(INDIRECT(E629),0,MATCH(F629,MO_Common_ColumnHeader,0)),"N/A")</f>
        <v/>
      </c>
      <c r="O629" s="67" t="n"/>
      <c r="P629" s="2169">
        <f>IF(ISNUMBER(N629),N629-K629,"N/A")</f>
        <v/>
      </c>
      <c r="Q629" s="2168">
        <f>IFERROR(IF(ISNUMBER(N629),(N629-K629)/ABS(K629),"N/A"),"N/A")</f>
        <v/>
      </c>
      <c r="R629" s="67" t="n"/>
      <c r="S629" s="80" t="n">
        <v>44249</v>
      </c>
      <c r="T629" s="88" t="inlineStr">
        <is>
          <t>CFO Commentary</t>
        </is>
      </c>
      <c r="U629" s="67" t="n"/>
      <c r="V629" s="1016" t="n"/>
    </row>
    <row r="630" ht="14.4" customHeight="1" s="972">
      <c r="A630" s="64" t="n">
        <v>334</v>
      </c>
      <c r="B630" s="77">
        <f>IF(INDEX(MO_SNA_IsHistoricalPeriod,,MATCH(F630,MO_Common_ColumnHeader,0)),"Historical","Forward")</f>
        <v/>
      </c>
      <c r="C630" s="67" t="n"/>
      <c r="D630" s="84">
        <f>INDEX(INDIRECT(E630),0,COLUMN(MO_Common_Column_A))</f>
        <v/>
      </c>
      <c r="E630" s="78" t="inlineStr">
        <is>
          <t>MO_RIS_ShareCount_WAD</t>
        </is>
      </c>
      <c r="F630" s="77" t="inlineStr">
        <is>
          <t>FY2021</t>
        </is>
      </c>
      <c r="G630" s="77" t="n"/>
      <c r="H630" s="67" t="n"/>
      <c r="I630" s="2087" t="n">
        <v>279</v>
      </c>
      <c r="J630" s="2087" t="n">
        <v>282</v>
      </c>
      <c r="K630" s="2087">
        <f>AVERAGE(I630:J630)</f>
        <v/>
      </c>
      <c r="L630" s="67" t="n"/>
      <c r="M630" s="77">
        <f>IF(INDEX(MO_SNA_IsHistoricalPeriod,,MATCH(F630,MO_Common_ColumnHeader,0)),"Actual","Estimate")</f>
        <v/>
      </c>
      <c r="N630" s="2087">
        <f>IFERROR(INDEX(INDIRECT(E630),0,MATCH(F630,MO_Common_ColumnHeader,0)),"N/A")</f>
        <v/>
      </c>
      <c r="O630" s="67" t="n"/>
      <c r="P630" s="2169">
        <f>IF(ISNUMBER(N630),N630-K630,"N/A")</f>
        <v/>
      </c>
      <c r="Q630" s="2168">
        <f>IFERROR(IF(ISNUMBER(N630),(N630-K630)/ABS(K630),"N/A"),"N/A")</f>
        <v/>
      </c>
      <c r="R630" s="67" t="n"/>
      <c r="S630" s="80" t="n">
        <v>44249</v>
      </c>
      <c r="T630" s="88" t="inlineStr">
        <is>
          <t>CFO Commentary</t>
        </is>
      </c>
      <c r="U630" s="67" t="n"/>
      <c r="V630" s="1016" t="n"/>
    </row>
    <row r="631" ht="14.4" customHeight="1" s="972">
      <c r="A631" s="64" t="n">
        <v>333</v>
      </c>
      <c r="B631" s="77">
        <f>IF(INDEX(MO_SNA_IsHistoricalPeriod,,MATCH(F631,MO_Common_ColumnHeader,0)),"Historical","Forward")</f>
        <v/>
      </c>
      <c r="C631" s="67" t="n"/>
      <c r="D631" s="84">
        <f>INDEX(INDIRECT(E631),0,COLUMN(MO_Common_Column_A))</f>
        <v/>
      </c>
      <c r="E631" s="78" t="inlineStr">
        <is>
          <t>MO_RIS_NI_GAAP_Diluted</t>
        </is>
      </c>
      <c r="F631" s="77" t="inlineStr">
        <is>
          <t>FY2021</t>
        </is>
      </c>
      <c r="G631" s="77" t="n"/>
      <c r="H631" s="67" t="n"/>
      <c r="I631" s="2087" t="n">
        <v>586</v>
      </c>
      <c r="J631" s="2087" t="n">
        <v>614</v>
      </c>
      <c r="K631" s="2087">
        <f>AVERAGE(I631:J631)</f>
        <v/>
      </c>
      <c r="L631" s="67" t="n"/>
      <c r="M631" s="77">
        <f>IF(INDEX(MO_SNA_IsHistoricalPeriod,,MATCH(F631,MO_Common_ColumnHeader,0)),"Actual","Estimate")</f>
        <v/>
      </c>
      <c r="N631" s="2087">
        <f>IFERROR(INDEX(INDIRECT(E631),0,MATCH(F631,MO_Common_ColumnHeader,0)),"N/A")</f>
        <v/>
      </c>
      <c r="O631" s="67" t="n"/>
      <c r="P631" s="2169">
        <f>IF(ISNUMBER(N631),N631-K631,"N/A")</f>
        <v/>
      </c>
      <c r="Q631" s="2168">
        <f>IFERROR(IF(ISNUMBER(N631),(N631-K631)/ABS(K631),"N/A"),"N/A")</f>
        <v/>
      </c>
      <c r="R631" s="67" t="n"/>
      <c r="S631" s="80" t="n">
        <v>44249</v>
      </c>
      <c r="T631" s="88" t="inlineStr">
        <is>
          <t>Press Release</t>
        </is>
      </c>
      <c r="U631" s="67" t="n"/>
      <c r="V631" s="1016" t="n"/>
    </row>
    <row r="632" ht="14.4" customHeight="1" s="972">
      <c r="A632" s="64" t="n">
        <v>332</v>
      </c>
      <c r="B632" s="77">
        <f>IF(INDEX(MO_SNA_IsHistoricalPeriod,,MATCH(F632,MO_Common_ColumnHeader,0)),"Historical","Forward")</f>
        <v/>
      </c>
      <c r="C632" s="67" t="n"/>
      <c r="D632" s="84">
        <f>INDEX(INDIRECT(E632),0,COLUMN(MO_Common_Column_A))</f>
        <v/>
      </c>
      <c r="E632" s="78" t="inlineStr">
        <is>
          <t>MO_RIS_NI_NONGAAP_Diluted</t>
        </is>
      </c>
      <c r="F632" s="77" t="inlineStr">
        <is>
          <t>FY2021</t>
        </is>
      </c>
      <c r="G632" s="77" t="n"/>
      <c r="H632" s="67" t="n"/>
      <c r="I632" s="2087" t="n">
        <v>827</v>
      </c>
      <c r="J632" s="2087" t="n">
        <v>855</v>
      </c>
      <c r="K632" s="2087">
        <f>AVERAGE(I632:J632)</f>
        <v/>
      </c>
      <c r="L632" s="67" t="n"/>
      <c r="M632" s="77">
        <f>IF(INDEX(MO_SNA_IsHistoricalPeriod,,MATCH(F632,MO_Common_ColumnHeader,0)),"Actual","Estimate")</f>
        <v/>
      </c>
      <c r="N632" s="2087">
        <f>IFERROR(INDEX(INDIRECT(E632),0,MATCH(F632,MO_Common_ColumnHeader,0)),"N/A")</f>
        <v/>
      </c>
      <c r="O632" s="67" t="n"/>
      <c r="P632" s="2169">
        <f>IF(ISNUMBER(N632),N632-K632,"N/A")</f>
        <v/>
      </c>
      <c r="Q632" s="2168">
        <f>IFERROR(IF(ISNUMBER(N632),(N632-K632)/ABS(K632),"N/A"),"N/A")</f>
        <v/>
      </c>
      <c r="R632" s="67" t="n"/>
      <c r="S632" s="80" t="n">
        <v>44249</v>
      </c>
      <c r="T632" s="88" t="inlineStr">
        <is>
          <t>Press Release</t>
        </is>
      </c>
      <c r="U632" s="67" t="n"/>
      <c r="V632" s="1016" t="n"/>
    </row>
    <row r="633" ht="14.4" customHeight="1" s="972">
      <c r="A633" s="64" t="n">
        <v>331</v>
      </c>
      <c r="B633" s="67" t="n"/>
      <c r="C633" s="67" t="n"/>
      <c r="D633" s="68" t="n"/>
      <c r="E633" s="69" t="n"/>
      <c r="F633" s="67" t="n"/>
      <c r="G633" s="67" t="n"/>
      <c r="H633" s="67" t="n"/>
      <c r="I633" s="2072" t="n"/>
      <c r="J633" s="2072" t="n"/>
      <c r="K633" s="2072" t="n"/>
      <c r="L633" s="67" t="n"/>
      <c r="M633" s="67" t="n"/>
      <c r="N633" s="2072" t="n"/>
      <c r="O633" s="67" t="n"/>
      <c r="P633" s="2172" t="n"/>
      <c r="Q633" s="2173" t="n"/>
      <c r="R633" s="67" t="n"/>
      <c r="S633" s="72" t="n"/>
      <c r="T633" s="89" t="n"/>
      <c r="U633" s="67" t="n"/>
      <c r="V633" s="1016" t="n"/>
    </row>
    <row r="634" ht="14.4" customHeight="1" s="972">
      <c r="A634" s="64" t="n">
        <v>330</v>
      </c>
      <c r="B634" s="77">
        <f>IF(INDEX(MO_SNA_IsHistoricalPeriod,,MATCH(F634,MO_Common_ColumnHeader,0)),"Historical","Forward")</f>
        <v/>
      </c>
      <c r="C634" s="67" t="n"/>
      <c r="D634" s="84">
        <f>INDEX(INDIRECT(E634),0,COLUMN(MO_Common_Column_A))</f>
        <v/>
      </c>
      <c r="E634" s="78" t="inlineStr">
        <is>
          <t>MO_RIS_REV</t>
        </is>
      </c>
      <c r="F634" s="77" t="inlineStr">
        <is>
          <t>Q1-2021</t>
        </is>
      </c>
      <c r="G634" s="77" t="n"/>
      <c r="H634" s="67" t="n"/>
      <c r="I634" s="2087" t="n">
        <v>710</v>
      </c>
      <c r="J634" s="2087" t="n">
        <v>730</v>
      </c>
      <c r="K634" s="2087">
        <f>AVERAGE(I634:J634)</f>
        <v/>
      </c>
      <c r="L634" s="67" t="n"/>
      <c r="M634" s="77">
        <f>IF(INDEX(MO_SNA_IsHistoricalPeriod,,MATCH(F634,MO_Common_ColumnHeader,0)),"Actual","Estimate")</f>
        <v/>
      </c>
      <c r="N634" s="2087">
        <f>IFERROR(INDEX(INDIRECT(E634),0,MATCH(F634,MO_Common_ColumnHeader,0)),"N/A")</f>
        <v/>
      </c>
      <c r="O634" s="67" t="n"/>
      <c r="P634" s="2169">
        <f>IF(ISNUMBER(N634),N634-K634,"N/A")</f>
        <v/>
      </c>
      <c r="Q634" s="2168">
        <f>IFERROR(IF(ISNUMBER(N634),(N634-K634)/ABS(K634),"N/A"),"N/A")</f>
        <v/>
      </c>
      <c r="R634" s="67" t="n"/>
      <c r="S634" s="80" t="n">
        <v>44249</v>
      </c>
      <c r="T634" s="88" t="inlineStr">
        <is>
          <t>CFO Commentary</t>
        </is>
      </c>
      <c r="U634" s="67" t="n"/>
      <c r="V634" s="1016" t="n"/>
    </row>
    <row r="635" ht="14.4" customHeight="1" s="972">
      <c r="A635" s="64" t="n">
        <v>329</v>
      </c>
      <c r="B635" s="77">
        <f>IF(INDEX(MO_SNA_IsHistoricalPeriod,,MATCH(F635,MO_Common_ColumnHeader,0)),"Historical","Forward")</f>
        <v/>
      </c>
      <c r="C635" s="67" t="n"/>
      <c r="D635" s="84" t="inlineStr">
        <is>
          <t>GAAP Operating Margin</t>
        </is>
      </c>
      <c r="E635" s="78" t="n"/>
      <c r="F635" s="77" t="inlineStr">
        <is>
          <t>Q1-2021</t>
        </is>
      </c>
      <c r="G635" s="77" t="n"/>
      <c r="H635" s="67" t="n"/>
      <c r="I635" s="2108" t="n">
        <v>0.25</v>
      </c>
      <c r="J635" s="2108" t="n">
        <v>0.25</v>
      </c>
      <c r="K635" s="2108">
        <f>AVERAGE(I635:J635)</f>
        <v/>
      </c>
      <c r="L635" s="67" t="n"/>
      <c r="M635" s="77">
        <f>IF(INDEX(MO_SNA_IsHistoricalPeriod,,MATCH(F635,MO_Common_ColumnHeader,0)),"Actual","Estimate")</f>
        <v/>
      </c>
      <c r="N635" s="2108">
        <f>IFERROR(INDEX(INDIRECT(E635),0,MATCH(F635,MO_Common_ColumnHeader,0)),"N/A")</f>
        <v/>
      </c>
      <c r="O635" s="67" t="n"/>
      <c r="P635" s="2168">
        <f>IF(ISNUMBER(N635),N635-K635,"N/A")</f>
        <v/>
      </c>
      <c r="Q635" s="2168">
        <f>IFERROR(IF(ISNUMBER(N635),(N635-K635)/ABS(K635),"N/A"),"N/A")</f>
        <v/>
      </c>
      <c r="R635" s="67" t="n"/>
      <c r="S635" s="80" t="n">
        <v>44249</v>
      </c>
      <c r="T635" s="88" t="inlineStr">
        <is>
          <t>CFO Commentary</t>
        </is>
      </c>
      <c r="U635" s="67" t="n"/>
      <c r="V635" s="1016" t="n"/>
    </row>
    <row r="636" ht="14.4" customHeight="1" s="972">
      <c r="A636" s="64" t="n">
        <v>328</v>
      </c>
      <c r="B636" s="77">
        <f>IF(INDEX(MO_SNA_IsHistoricalPeriod,,MATCH(F636,MO_Common_ColumnHeader,0)),"Historical","Forward")</f>
        <v/>
      </c>
      <c r="C636" s="67" t="n"/>
      <c r="D636" s="84">
        <f>INDEX(INDIRECT(E636),0,COLUMN(MO_Common_Column_A))</f>
        <v/>
      </c>
      <c r="E636" s="78" t="inlineStr">
        <is>
          <t>MO_MA_OperatingIncome_NONGAAP</t>
        </is>
      </c>
      <c r="F636" s="77" t="inlineStr">
        <is>
          <t>Q1-2021</t>
        </is>
      </c>
      <c r="G636" s="77" t="n"/>
      <c r="H636" s="67" t="n"/>
      <c r="I636" s="2108" t="n">
        <v>0.35</v>
      </c>
      <c r="J636" s="2108" t="n">
        <v>0.35</v>
      </c>
      <c r="K636" s="2108">
        <f>AVERAGE(I636:J636)</f>
        <v/>
      </c>
      <c r="L636" s="67" t="n"/>
      <c r="M636" s="77">
        <f>IF(INDEX(MO_SNA_IsHistoricalPeriod,,MATCH(F636,MO_Common_ColumnHeader,0)),"Actual","Estimate")</f>
        <v/>
      </c>
      <c r="N636" s="2108">
        <f>IFERROR(INDEX(INDIRECT(E636),0,MATCH(F636,MO_Common_ColumnHeader,0)),"N/A")</f>
        <v/>
      </c>
      <c r="O636" s="67" t="n"/>
      <c r="P636" s="2168">
        <f>IF(ISNUMBER(N636),N636-K636,"N/A")</f>
        <v/>
      </c>
      <c r="Q636" s="2168">
        <f>IFERROR(IF(ISNUMBER(N636),(N636-K636)/ABS(K636),"N/A"),"N/A")</f>
        <v/>
      </c>
      <c r="R636" s="67" t="n"/>
      <c r="S636" s="80" t="n">
        <v>44249</v>
      </c>
      <c r="T636" s="88" t="inlineStr">
        <is>
          <t>CFO Commentary</t>
        </is>
      </c>
      <c r="U636" s="67" t="n"/>
      <c r="V636" s="1016" t="n"/>
    </row>
    <row r="637" ht="14.4" customHeight="1" s="972">
      <c r="A637" s="64" t="n">
        <v>327</v>
      </c>
      <c r="B637" s="77">
        <f>IF(INDEX(MO_SNA_IsHistoricalPeriod,,MATCH(F637,MO_Common_ColumnHeader,0)),"Historical","Forward")</f>
        <v/>
      </c>
      <c r="C637" s="67" t="n"/>
      <c r="D637" s="84">
        <f>INDEX(INDIRECT(E637),0,COLUMN(MO_Common_Column_A))</f>
        <v/>
      </c>
      <c r="E637" s="78" t="inlineStr">
        <is>
          <t>MO_RIS_EPS_WAD</t>
        </is>
      </c>
      <c r="F637" s="77" t="inlineStr">
        <is>
          <t>Q1-2021</t>
        </is>
      </c>
      <c r="G637" s="77" t="n"/>
      <c r="H637" s="67" t="n"/>
      <c r="I637" s="2170" t="n">
        <v>0.55</v>
      </c>
      <c r="J637" s="2170" t="n">
        <v>0.59</v>
      </c>
      <c r="K637" s="2170">
        <f>AVERAGE(I637:J637)</f>
        <v/>
      </c>
      <c r="L637" s="67" t="n"/>
      <c r="M637" s="77">
        <f>IF(INDEX(MO_SNA_IsHistoricalPeriod,,MATCH(F637,MO_Common_ColumnHeader,0)),"Actual","Estimate")</f>
        <v/>
      </c>
      <c r="N637" s="2170">
        <f>IFERROR(INDEX(INDIRECT(E637),0,MATCH(F637,MO_Common_ColumnHeader,0)),"N/A")</f>
        <v/>
      </c>
      <c r="O637" s="67" t="n"/>
      <c r="P637" s="2171">
        <f>IF(ISNUMBER(N637),N637-K637,"N/A")</f>
        <v/>
      </c>
      <c r="Q637" s="2168">
        <f>IFERROR(IF(ISNUMBER(N637),(N637-K637)/ABS(K637),"N/A"),"N/A")</f>
        <v/>
      </c>
      <c r="R637" s="67" t="n"/>
      <c r="S637" s="80" t="n">
        <v>44249</v>
      </c>
      <c r="T637" s="88" t="inlineStr">
        <is>
          <t>CFO Commentary</t>
        </is>
      </c>
      <c r="U637" s="67" t="n"/>
      <c r="V637" s="1016" t="n"/>
    </row>
    <row r="638" ht="14.4" customHeight="1" s="972">
      <c r="A638" s="64" t="n">
        <v>326</v>
      </c>
      <c r="B638" s="77">
        <f>IF(INDEX(MO_SNA_IsHistoricalPeriod,,MATCH(F638,MO_Common_ColumnHeader,0)),"Historical","Forward")</f>
        <v/>
      </c>
      <c r="C638" s="67" t="n"/>
      <c r="D638" s="84">
        <f>INDEX(INDIRECT(E638),0,COLUMN(MO_Common_Column_A))</f>
        <v/>
      </c>
      <c r="E638" s="78" t="inlineStr">
        <is>
          <t>MO_RIS_EPS_WAD_Adj</t>
        </is>
      </c>
      <c r="F638" s="77" t="inlineStr">
        <is>
          <t>Q1-2021</t>
        </is>
      </c>
      <c r="G638" s="77" t="n"/>
      <c r="H638" s="67" t="n"/>
      <c r="I638" s="2170" t="n">
        <v>0.72</v>
      </c>
      <c r="J638" s="2170" t="n">
        <v>0.76</v>
      </c>
      <c r="K638" s="2170">
        <f>AVERAGE(I638:J638)</f>
        <v/>
      </c>
      <c r="L638" s="67" t="n"/>
      <c r="M638" s="77">
        <f>IF(INDEX(MO_SNA_IsHistoricalPeriod,,MATCH(F638,MO_Common_ColumnHeader,0)),"Actual","Estimate")</f>
        <v/>
      </c>
      <c r="N638" s="2170">
        <f>IFERROR(INDEX(INDIRECT(E638),0,MATCH(F638,MO_Common_ColumnHeader,0)),"N/A")</f>
        <v/>
      </c>
      <c r="O638" s="67" t="n"/>
      <c r="P638" s="2171">
        <f>IF(ISNUMBER(N638),N638-K638,"N/A")</f>
        <v/>
      </c>
      <c r="Q638" s="2168">
        <f>IFERROR(IF(ISNUMBER(N638),(N638-K638)/ABS(K638),"N/A"),"N/A")</f>
        <v/>
      </c>
      <c r="R638" s="67" t="n"/>
      <c r="S638" s="80" t="n">
        <v>44249</v>
      </c>
      <c r="T638" s="88" t="inlineStr">
        <is>
          <t>CFO Commentary</t>
        </is>
      </c>
      <c r="U638" s="67" t="n"/>
      <c r="V638" s="1016" t="n"/>
    </row>
    <row r="639" ht="14.4" customHeight="1" s="972">
      <c r="A639" s="64" t="n">
        <v>325</v>
      </c>
      <c r="B639" s="77">
        <f>IF(INDEX(MO_SNA_IsHistoricalPeriod,,MATCH(F639,MO_Common_ColumnHeader,0)),"Historical","Forward")</f>
        <v/>
      </c>
      <c r="C639" s="67" t="n"/>
      <c r="D639" s="84">
        <f>INDEX(INDIRECT(E639),0,COLUMN(MO_Common_Column_A))</f>
        <v/>
      </c>
      <c r="E639" s="78" t="inlineStr">
        <is>
          <t>MO_RIS_Daintangibles</t>
        </is>
      </c>
      <c r="F639" s="77" t="inlineStr">
        <is>
          <t>Q1-2021</t>
        </is>
      </c>
      <c r="G639" s="77" t="n"/>
      <c r="H639" s="67" t="n"/>
      <c r="I639" s="2087" t="n">
        <v>17</v>
      </c>
      <c r="J639" s="2087" t="n">
        <v>17</v>
      </c>
      <c r="K639" s="2087">
        <f>AVERAGE(I639:J639)</f>
        <v/>
      </c>
      <c r="L639" s="67" t="n"/>
      <c r="M639" s="77">
        <f>IF(INDEX(MO_SNA_IsHistoricalPeriod,,MATCH(F639,MO_Common_ColumnHeader,0)),"Actual","Estimate")</f>
        <v/>
      </c>
      <c r="N639" s="2087">
        <f>IFERROR(INDEX(INDIRECT(E639),0,MATCH(F639,MO_Common_ColumnHeader,0)),"N/A")</f>
        <v/>
      </c>
      <c r="O639" s="67" t="n"/>
      <c r="P639" s="2169">
        <f>IF(ISNUMBER(N639),N639-K639,"N/A")</f>
        <v/>
      </c>
      <c r="Q639" s="2168">
        <f>IFERROR(IF(ISNUMBER(N639),(N639-K639)/ABS(K639),"N/A"),"N/A")</f>
        <v/>
      </c>
      <c r="R639" s="67" t="n"/>
      <c r="S639" s="80" t="n">
        <v>44249</v>
      </c>
      <c r="T639" s="88" t="inlineStr">
        <is>
          <t>Press Release</t>
        </is>
      </c>
      <c r="U639" s="67" t="n"/>
      <c r="V639" s="1016" t="n"/>
    </row>
    <row r="640" ht="14.4" customHeight="1" s="972">
      <c r="A640" s="64" t="n">
        <v>324</v>
      </c>
      <c r="B640" s="77">
        <f>IF(INDEX(MO_SNA_IsHistoricalPeriod,,MATCH(F640,MO_Common_ColumnHeader,0)),"Historical","Forward")</f>
        <v/>
      </c>
      <c r="C640" s="67" t="n"/>
      <c r="D640" s="84">
        <f>INDEX(INDIRECT(E640),0,COLUMN(MO_Common_Column_A))</f>
        <v/>
      </c>
      <c r="E640" s="78" t="inlineStr">
        <is>
          <t>MO_RIS_SBC</t>
        </is>
      </c>
      <c r="F640" s="77" t="inlineStr">
        <is>
          <t>Q1-2021</t>
        </is>
      </c>
      <c r="G640" s="77" t="n"/>
      <c r="H640" s="67" t="n"/>
      <c r="I640" s="2087" t="n">
        <v>55</v>
      </c>
      <c r="J640" s="2087" t="n">
        <v>55</v>
      </c>
      <c r="K640" s="2087">
        <f>AVERAGE(I640:J640)</f>
        <v/>
      </c>
      <c r="L640" s="67" t="n"/>
      <c r="M640" s="77">
        <f>IF(INDEX(MO_SNA_IsHistoricalPeriod,,MATCH(F640,MO_Common_ColumnHeader,0)),"Actual","Estimate")</f>
        <v/>
      </c>
      <c r="N640" s="2087">
        <f>IFERROR(INDEX(INDIRECT(E640),0,MATCH(F640,MO_Common_ColumnHeader,0)),"N/A")</f>
        <v/>
      </c>
      <c r="O640" s="67" t="n"/>
      <c r="P640" s="2169">
        <f>IF(ISNUMBER(N640),N640-K640,"N/A")</f>
        <v/>
      </c>
      <c r="Q640" s="2168">
        <f>IFERROR(IF(ISNUMBER(N640),(N640-K640)/ABS(K640),"N/A"),"N/A")</f>
        <v/>
      </c>
      <c r="R640" s="67" t="n"/>
      <c r="S640" s="80" t="n">
        <v>44249</v>
      </c>
      <c r="T640" s="88" t="inlineStr">
        <is>
          <t>Press Release</t>
        </is>
      </c>
      <c r="U640" s="67" t="n"/>
      <c r="V640" s="1016" t="n"/>
    </row>
    <row r="641" ht="14.4" customHeight="1" s="972">
      <c r="A641" s="64" t="n">
        <v>323</v>
      </c>
      <c r="B641" s="77">
        <f>IF(INDEX(MO_SNA_IsHistoricalPeriod,,MATCH(F641,MO_Common_ColumnHeader,0)),"Historical","Forward")</f>
        <v/>
      </c>
      <c r="C641" s="67" t="n"/>
      <c r="D641" s="84" t="inlineStr">
        <is>
          <t>Acquisition and integration-related costs</t>
        </is>
      </c>
      <c r="E641" s="78" t="n"/>
      <c r="F641" s="77" t="inlineStr">
        <is>
          <t>Q1-2021</t>
        </is>
      </c>
      <c r="G641" s="77" t="n"/>
      <c r="H641" s="67" t="n"/>
      <c r="I641" s="2087" t="n">
        <v>3</v>
      </c>
      <c r="J641" s="2087" t="n">
        <v>3</v>
      </c>
      <c r="K641" s="2087">
        <f>AVERAGE(I641:J641)</f>
        <v/>
      </c>
      <c r="L641" s="67" t="n"/>
      <c r="M641" s="77">
        <f>IF(INDEX(MO_SNA_IsHistoricalPeriod,,MATCH(F641,MO_Common_ColumnHeader,0)),"Actual","Estimate")</f>
        <v/>
      </c>
      <c r="N641" s="2087">
        <f>IFERROR(INDEX(INDIRECT(E641),0,MATCH(F641,MO_Common_ColumnHeader,0)),"N/A")</f>
        <v/>
      </c>
      <c r="O641" s="67" t="n"/>
      <c r="P641" s="2169">
        <f>IF(ISNUMBER(N641),N641-K641,"N/A")</f>
        <v/>
      </c>
      <c r="Q641" s="2168">
        <f>IFERROR(IF(ISNUMBER(N641),(N641-K641)/ABS(K641),"N/A"),"N/A")</f>
        <v/>
      </c>
      <c r="R641" s="67" t="n"/>
      <c r="S641" s="80" t="n">
        <v>44249</v>
      </c>
      <c r="T641" s="88" t="inlineStr">
        <is>
          <t>Press Release</t>
        </is>
      </c>
      <c r="U641" s="67" t="n"/>
      <c r="V641" s="1016" t="n"/>
    </row>
    <row r="642" ht="14.4" customHeight="1" s="972">
      <c r="A642" s="64" t="n">
        <v>322</v>
      </c>
      <c r="B642" s="77">
        <f>IF(INDEX(MO_SNA_IsHistoricalPeriod,,MATCH(F642,MO_Common_ColumnHeader,0)),"Historical","Forward")</f>
        <v/>
      </c>
      <c r="C642" s="67" t="n"/>
      <c r="D642" s="84" t="inlineStr">
        <is>
          <t>Income tax effect on non-GAAP adjustments</t>
        </is>
      </c>
      <c r="E642" s="78" t="n"/>
      <c r="F642" s="77" t="inlineStr">
        <is>
          <t>Q1-2021</t>
        </is>
      </c>
      <c r="G642" s="77" t="n"/>
      <c r="H642" s="67" t="n"/>
      <c r="I642" s="2087" t="n">
        <v>-27</v>
      </c>
      <c r="J642" s="2087" t="n">
        <v>-27</v>
      </c>
      <c r="K642" s="2087">
        <f>AVERAGE(I642:J642)</f>
        <v/>
      </c>
      <c r="L642" s="67" t="n"/>
      <c r="M642" s="77">
        <f>IF(INDEX(MO_SNA_IsHistoricalPeriod,,MATCH(F642,MO_Common_ColumnHeader,0)),"Actual","Estimate")</f>
        <v/>
      </c>
      <c r="N642" s="2087">
        <f>IFERROR(INDEX(INDIRECT(E642),0,MATCH(F642,MO_Common_ColumnHeader,0)),"N/A")</f>
        <v/>
      </c>
      <c r="O642" s="67" t="n"/>
      <c r="P642" s="2169">
        <f>IF(ISNUMBER(N642),N642-K642,"N/A")</f>
        <v/>
      </c>
      <c r="Q642" s="2168">
        <f>IFERROR(IF(ISNUMBER(N642),(N642-K642)/ABS(K642),"N/A"),"N/A")</f>
        <v/>
      </c>
      <c r="R642" s="67" t="n"/>
      <c r="S642" s="80" t="n">
        <v>44249</v>
      </c>
      <c r="T642" s="88" t="inlineStr">
        <is>
          <t>CFO Commentary</t>
        </is>
      </c>
      <c r="U642" s="67" t="n"/>
      <c r="V642" s="1016" t="n"/>
    </row>
    <row r="643" ht="14.4" customHeight="1" s="972">
      <c r="A643" s="64" t="n">
        <v>321</v>
      </c>
      <c r="B643" s="77">
        <f>IF(INDEX(MO_SNA_IsHistoricalPeriod,,MATCH(F643,MO_Common_ColumnHeader,0)),"Historical","Forward")</f>
        <v/>
      </c>
      <c r="C643" s="67" t="n"/>
      <c r="D643" s="84">
        <f>INDEX(INDIRECT(E643),0,COLUMN(MO_Common_Column_A))</f>
        <v/>
      </c>
      <c r="E643" s="78" t="inlineStr">
        <is>
          <t>MO_RIS_NI_GAAP_Diluted</t>
        </is>
      </c>
      <c r="F643" s="77" t="inlineStr">
        <is>
          <t>Q1-2021</t>
        </is>
      </c>
      <c r="G643" s="77" t="n"/>
      <c r="H643" s="67" t="n"/>
      <c r="I643" s="2087" t="n">
        <v>154</v>
      </c>
      <c r="J643" s="2087" t="n">
        <v>166</v>
      </c>
      <c r="K643" s="2087">
        <f>AVERAGE(I643:J643)</f>
        <v/>
      </c>
      <c r="L643" s="67" t="n"/>
      <c r="M643" s="77">
        <f>IF(INDEX(MO_SNA_IsHistoricalPeriod,,MATCH(F643,MO_Common_ColumnHeader,0)),"Actual","Estimate")</f>
        <v/>
      </c>
      <c r="N643" s="2087">
        <f>IFERROR(INDEX(INDIRECT(E643),0,MATCH(F643,MO_Common_ColumnHeader,0)),"N/A")</f>
        <v/>
      </c>
      <c r="O643" s="67" t="n"/>
      <c r="P643" s="2169">
        <f>IF(ISNUMBER(N643),N643-K643,"N/A")</f>
        <v/>
      </c>
      <c r="Q643" s="2168">
        <f>IFERROR(IF(ISNUMBER(N643),(N643-K643)/ABS(K643),"N/A"),"N/A")</f>
        <v/>
      </c>
      <c r="R643" s="67" t="n"/>
      <c r="S643" s="80" t="n">
        <v>44249</v>
      </c>
      <c r="T643" s="88" t="inlineStr">
        <is>
          <t>Press Release</t>
        </is>
      </c>
      <c r="U643" s="67" t="n"/>
      <c r="V643" s="1016" t="n"/>
    </row>
    <row r="644" ht="14.4" customHeight="1" s="972">
      <c r="A644" s="64" t="n">
        <v>320</v>
      </c>
      <c r="B644" s="77">
        <f>IF(INDEX(MO_SNA_IsHistoricalPeriod,,MATCH(F644,MO_Common_ColumnHeader,0)),"Historical","Forward")</f>
        <v/>
      </c>
      <c r="C644" s="67" t="n"/>
      <c r="D644" s="84">
        <f>INDEX(INDIRECT(E644),0,COLUMN(MO_Common_Column_A))</f>
        <v/>
      </c>
      <c r="E644" s="78" t="inlineStr">
        <is>
          <t>MO_RIS_NI_NONGAAP_Diluted</t>
        </is>
      </c>
      <c r="F644" s="77" t="inlineStr">
        <is>
          <t>Q1-2021</t>
        </is>
      </c>
      <c r="G644" s="77" t="n"/>
      <c r="H644" s="67" t="n"/>
      <c r="I644" s="2087" t="n">
        <v>202</v>
      </c>
      <c r="J644" s="2087" t="n">
        <v>214</v>
      </c>
      <c r="K644" s="2087">
        <f>AVERAGE(I644:J644)</f>
        <v/>
      </c>
      <c r="L644" s="67" t="n"/>
      <c r="M644" s="77">
        <f>IF(INDEX(MO_SNA_IsHistoricalPeriod,,MATCH(F644,MO_Common_ColumnHeader,0)),"Actual","Estimate")</f>
        <v/>
      </c>
      <c r="N644" s="2087">
        <f>IFERROR(INDEX(INDIRECT(E644),0,MATCH(F644,MO_Common_ColumnHeader,0)),"N/A")</f>
        <v/>
      </c>
      <c r="O644" s="67" t="n"/>
      <c r="P644" s="2169">
        <f>IF(ISNUMBER(N644),N644-K644,"N/A")</f>
        <v/>
      </c>
      <c r="Q644" s="2168">
        <f>IFERROR(IF(ISNUMBER(N644),(N644-K644)/ABS(K644),"N/A"),"N/A")</f>
        <v/>
      </c>
      <c r="R644" s="67" t="n"/>
      <c r="S644" s="80" t="n">
        <v>44249</v>
      </c>
      <c r="T644" s="88" t="inlineStr">
        <is>
          <t>Press Release</t>
        </is>
      </c>
      <c r="U644" s="67" t="n"/>
      <c r="V644" s="1016" t="n"/>
    </row>
    <row r="645" ht="14.4" customHeight="1" s="972">
      <c r="A645" s="64" t="n">
        <v>319</v>
      </c>
      <c r="B645" s="67" t="n"/>
      <c r="C645" s="67" t="n"/>
      <c r="D645" s="68" t="n"/>
      <c r="E645" s="69" t="n"/>
      <c r="F645" s="67" t="n"/>
      <c r="G645" s="67" t="n"/>
      <c r="H645" s="67" t="n"/>
      <c r="I645" s="2072" t="n"/>
      <c r="J645" s="2072" t="n"/>
      <c r="K645" s="2072" t="n"/>
      <c r="L645" s="67" t="n"/>
      <c r="M645" s="67" t="n"/>
      <c r="N645" s="2072" t="n"/>
      <c r="O645" s="67" t="n"/>
      <c r="P645" s="2172" t="n"/>
      <c r="Q645" s="2173" t="n"/>
      <c r="R645" s="67" t="n"/>
      <c r="S645" s="72" t="n"/>
      <c r="T645" s="89" t="n"/>
      <c r="U645" s="67" t="n"/>
      <c r="V645" s="1016" t="n"/>
    </row>
    <row r="646" ht="14.4" customHeight="1" s="972">
      <c r="A646" s="64" t="n">
        <v>318</v>
      </c>
      <c r="B646" s="77">
        <f>IF(INDEX(MO_SNA_IsHistoricalPeriod,,MATCH(F646,MO_Common_ColumnHeader,0)),"Historical","Forward")</f>
        <v/>
      </c>
      <c r="C646" s="67" t="n"/>
      <c r="D646" s="84">
        <f>INDEX(INDIRECT(E646),0,COLUMN(MO_Common_Column_A))</f>
        <v/>
      </c>
      <c r="E646" s="78" t="inlineStr">
        <is>
          <t>MO_RIS_REV</t>
        </is>
      </c>
      <c r="F646" s="77" t="inlineStr">
        <is>
          <t>FY2020</t>
        </is>
      </c>
      <c r="G646" s="77" t="n"/>
      <c r="H646" s="67" t="n"/>
      <c r="I646" s="2087" t="n">
        <v>2643</v>
      </c>
      <c r="J646" s="2087" t="n">
        <v>2663</v>
      </c>
      <c r="K646" s="2087">
        <f>AVERAGE(I646:J646)</f>
        <v/>
      </c>
      <c r="L646" s="67" t="n"/>
      <c r="M646" s="77">
        <f>IF(INDEX(MO_SNA_IsHistoricalPeriod,,MATCH(F646,MO_Common_ColumnHeader,0)),"Actual","Estimate")</f>
        <v/>
      </c>
      <c r="N646" s="2087">
        <f>IFERROR(INDEX(INDIRECT(E646),0,MATCH(F646,MO_Common_ColumnHeader,0)),"N/A")</f>
        <v/>
      </c>
      <c r="O646" s="2072" t="n"/>
      <c r="P646" s="2169">
        <f>IF(ISNUMBER(N646),N646-K646,"N/A")</f>
        <v/>
      </c>
      <c r="Q646" s="2168">
        <f>IFERROR(IF(ISNUMBER(N646),(N646-K646)/ABS(K646),"N/A"),"N/A")</f>
        <v/>
      </c>
      <c r="R646" s="67" t="n"/>
      <c r="S646" s="80" t="n">
        <v>44123</v>
      </c>
      <c r="T646" s="88" t="inlineStr">
        <is>
          <t>Press Release</t>
        </is>
      </c>
      <c r="U646" s="112" t="n"/>
      <c r="V646" s="1016" t="n"/>
    </row>
    <row r="647" ht="14.4" customHeight="1" s="972">
      <c r="A647" s="64" t="n">
        <v>317</v>
      </c>
      <c r="B647" s="77">
        <f>IF(INDEX(MO_SNA_IsHistoricalPeriod,,MATCH(F647,MO_Common_ColumnHeader,0)),"Historical","Forward")</f>
        <v/>
      </c>
      <c r="C647" s="67" t="n"/>
      <c r="D647" s="84" t="inlineStr">
        <is>
          <t>GAAP Operating Margin</t>
        </is>
      </c>
      <c r="E647" s="78" t="n"/>
      <c r="F647" s="77" t="inlineStr">
        <is>
          <t>FY2020</t>
        </is>
      </c>
      <c r="G647" s="77" t="n"/>
      <c r="H647" s="67" t="n"/>
      <c r="I647" s="2108" t="n">
        <v>0.23</v>
      </c>
      <c r="J647" s="2108" t="n">
        <v>0.24</v>
      </c>
      <c r="K647" s="2108">
        <f>AVERAGE(I647:J647)</f>
        <v/>
      </c>
      <c r="L647" s="67" t="n"/>
      <c r="M647" s="77">
        <f>IF(INDEX(MO_SNA_IsHistoricalPeriod,,MATCH(F647,MO_Common_ColumnHeader,0)),"Actual","Estimate")</f>
        <v/>
      </c>
      <c r="N647" s="2108">
        <f>IFERROR(INDEX(INDIRECT(E647),0,MATCH(F647,MO_Common_ColumnHeader,0)),"N/A")</f>
        <v/>
      </c>
      <c r="O647" s="67" t="n"/>
      <c r="P647" s="2168">
        <f>IF(ISNUMBER(N647),N647-K647,"N/A")</f>
        <v/>
      </c>
      <c r="Q647" s="2168">
        <f>IFERROR(IF(ISNUMBER(N647),(N647-K647)/ABS(K647),"N/A"),"N/A")</f>
        <v/>
      </c>
      <c r="R647" s="67" t="n"/>
      <c r="S647" s="80" t="n">
        <v>44123</v>
      </c>
      <c r="T647" s="88" t="inlineStr">
        <is>
          <t>Press Release</t>
        </is>
      </c>
      <c r="U647" s="67" t="n"/>
      <c r="V647" s="1016" t="n"/>
    </row>
    <row r="648" ht="14.4" customHeight="1" s="972">
      <c r="A648" s="64" t="n">
        <v>316</v>
      </c>
      <c r="B648" s="77">
        <f>IF(INDEX(MO_SNA_IsHistoricalPeriod,,MATCH(F648,MO_Common_ColumnHeader,0)),"Historical","Forward")</f>
        <v/>
      </c>
      <c r="C648" s="67" t="n"/>
      <c r="D648" s="84">
        <f>INDEX(INDIRECT(E648),0,COLUMN(MO_Common_Column_A))</f>
        <v/>
      </c>
      <c r="E648" s="78" t="inlineStr">
        <is>
          <t>MO_MA_OperatingIncome_NONGAAP</t>
        </is>
      </c>
      <c r="F648" s="77" t="inlineStr">
        <is>
          <t>FY2020</t>
        </is>
      </c>
      <c r="G648" s="77" t="n"/>
      <c r="H648" s="67" t="n"/>
      <c r="I648" s="2108" t="n">
        <v>0.34</v>
      </c>
      <c r="J648" s="2108" t="n">
        <v>0.35</v>
      </c>
      <c r="K648" s="2108">
        <f>AVERAGE(I648:J648)</f>
        <v/>
      </c>
      <c r="L648" s="67" t="n"/>
      <c r="M648" s="77">
        <f>IF(INDEX(MO_SNA_IsHistoricalPeriod,,MATCH(F648,MO_Common_ColumnHeader,0)),"Actual","Estimate")</f>
        <v/>
      </c>
      <c r="N648" s="2108">
        <f>IFERROR(INDEX(INDIRECT(E648),0,MATCH(F648,MO_Common_ColumnHeader,0)),"N/A")</f>
        <v/>
      </c>
      <c r="O648" s="67" t="n"/>
      <c r="P648" s="2168">
        <f>IF(ISNUMBER(N648),N648-K648,"N/A")</f>
        <v/>
      </c>
      <c r="Q648" s="2168">
        <f>IFERROR(IF(ISNUMBER(N648),(N648-K648)/ABS(K648),"N/A"),"N/A")</f>
        <v/>
      </c>
      <c r="R648" s="67" t="n"/>
      <c r="S648" s="80" t="n">
        <v>44123</v>
      </c>
      <c r="T648" s="88" t="inlineStr">
        <is>
          <t>Press Release</t>
        </is>
      </c>
      <c r="U648" s="67" t="n"/>
      <c r="V648" s="1016" t="n"/>
    </row>
    <row r="649" ht="14.4" customHeight="1" s="972">
      <c r="A649" s="64" t="n">
        <v>315</v>
      </c>
      <c r="B649" s="77">
        <f>IF(INDEX(MO_SNA_IsHistoricalPeriod,,MATCH(F649,MO_Common_ColumnHeader,0)),"Historical","Forward")</f>
        <v/>
      </c>
      <c r="C649" s="67" t="n"/>
      <c r="D649" s="84">
        <f>INDEX(INDIRECT(E649),0,COLUMN(MO_Common_Column_A))</f>
        <v/>
      </c>
      <c r="E649" s="78" t="inlineStr">
        <is>
          <t>MO_RIS_EPS_WAD</t>
        </is>
      </c>
      <c r="F649" s="77" t="inlineStr">
        <is>
          <t>FY2020</t>
        </is>
      </c>
      <c r="G649" s="77" t="n"/>
      <c r="H649" s="67" t="n"/>
      <c r="I649" s="2170" t="n">
        <v>1.97</v>
      </c>
      <c r="J649" s="2170" t="n">
        <v>2.01</v>
      </c>
      <c r="K649" s="2170">
        <f>AVERAGE(I649:J649)</f>
        <v/>
      </c>
      <c r="L649" s="67" t="n"/>
      <c r="M649" s="77">
        <f>IF(INDEX(MO_SNA_IsHistoricalPeriod,,MATCH(F649,MO_Common_ColumnHeader,0)),"Actual","Estimate")</f>
        <v/>
      </c>
      <c r="N649" s="2170">
        <f>IFERROR(INDEX(INDIRECT(E649),0,MATCH(F649,MO_Common_ColumnHeader,0)),"N/A")</f>
        <v/>
      </c>
      <c r="O649" s="67" t="n"/>
      <c r="P649" s="2171">
        <f>IF(ISNUMBER(N649),N649-K649,"N/A")</f>
        <v/>
      </c>
      <c r="Q649" s="2168">
        <f>IFERROR(IF(ISNUMBER(N649),(N649-K649)/ABS(K649),"N/A"),"N/A")</f>
        <v/>
      </c>
      <c r="R649" s="67" t="n"/>
      <c r="S649" s="80" t="n">
        <v>44123</v>
      </c>
      <c r="T649" s="88" t="inlineStr">
        <is>
          <t>Press Release</t>
        </is>
      </c>
      <c r="U649" s="112" t="n"/>
      <c r="V649" s="1016" t="n"/>
    </row>
    <row r="650" ht="14.4" customHeight="1" s="972">
      <c r="A650" s="64" t="n">
        <v>314</v>
      </c>
      <c r="B650" s="77">
        <f>IF(INDEX(MO_SNA_IsHistoricalPeriod,,MATCH(F650,MO_Common_ColumnHeader,0)),"Historical","Forward")</f>
        <v/>
      </c>
      <c r="C650" s="67" t="n"/>
      <c r="D650" s="84">
        <f>INDEX(INDIRECT(E650),0,COLUMN(MO_Common_Column_A))</f>
        <v/>
      </c>
      <c r="E650" s="78" t="inlineStr">
        <is>
          <t>MO_RIS_EPS_WAD_Adj</t>
        </is>
      </c>
      <c r="F650" s="77" t="inlineStr">
        <is>
          <t>FY2020</t>
        </is>
      </c>
      <c r="G650" s="77" t="n"/>
      <c r="H650" s="67" t="n"/>
      <c r="I650" s="2170" t="n">
        <v>2.68</v>
      </c>
      <c r="J650" s="2170" t="n">
        <v>2.72</v>
      </c>
      <c r="K650" s="2170">
        <f>AVERAGE(I650:J650)</f>
        <v/>
      </c>
      <c r="L650" s="67" t="n"/>
      <c r="M650" s="77">
        <f>IF(INDEX(MO_SNA_IsHistoricalPeriod,,MATCH(F650,MO_Common_ColumnHeader,0)),"Actual","Estimate")</f>
        <v/>
      </c>
      <c r="N650" s="2170">
        <f>IFERROR(INDEX(INDIRECT(E650),0,MATCH(F650,MO_Common_ColumnHeader,0)),"N/A")</f>
        <v/>
      </c>
      <c r="O650" s="67" t="n"/>
      <c r="P650" s="2171">
        <f>IF(ISNUMBER(N650),N650-K650,"N/A")</f>
        <v/>
      </c>
      <c r="Q650" s="2168">
        <f>IFERROR(IF(ISNUMBER(N650),(N650-K650)/ABS(K650),"N/A"),"N/A")</f>
        <v/>
      </c>
      <c r="R650" s="67" t="n"/>
      <c r="S650" s="80" t="n">
        <v>44123</v>
      </c>
      <c r="T650" s="88" t="inlineStr">
        <is>
          <t>Press Release</t>
        </is>
      </c>
      <c r="U650" s="67" t="n"/>
      <c r="V650" s="1016" t="n"/>
    </row>
    <row r="651" ht="14.4" customHeight="1" s="972">
      <c r="A651" s="64" t="n">
        <v>313</v>
      </c>
      <c r="B651" s="77">
        <f>IF(INDEX(MO_SNA_IsHistoricalPeriod,,MATCH(F651,MO_Common_ColumnHeader,0)),"Historical","Forward")</f>
        <v/>
      </c>
      <c r="C651" s="67" t="n"/>
      <c r="D651" s="84">
        <f>INDEX(INDIRECT(E651),0,COLUMN(MO_Common_Column_A))</f>
        <v/>
      </c>
      <c r="E651" s="78" t="inlineStr">
        <is>
          <t>MO_CFS_CFO</t>
        </is>
      </c>
      <c r="F651" s="77" t="inlineStr">
        <is>
          <t>FY2020</t>
        </is>
      </c>
      <c r="G651" s="77" t="n"/>
      <c r="H651" s="67" t="n"/>
      <c r="I651" s="2087" t="n">
        <v>840</v>
      </c>
      <c r="J651" s="2087" t="n">
        <v>870</v>
      </c>
      <c r="K651" s="2087">
        <f>AVERAGE(I651:J651)</f>
        <v/>
      </c>
      <c r="L651" s="67" t="n"/>
      <c r="M651" s="77">
        <f>IF(INDEX(MO_SNA_IsHistoricalPeriod,,MATCH(F651,MO_Common_ColumnHeader,0)),"Actual","Estimate")</f>
        <v/>
      </c>
      <c r="N651" s="2087">
        <f>IFERROR(INDEX(INDIRECT(E651),0,MATCH(F651,MO_Common_ColumnHeader,0)),"N/A")</f>
        <v/>
      </c>
      <c r="O651" s="67" t="n"/>
      <c r="P651" s="2169">
        <f>IF(ISNUMBER(N651),N651-K651,"N/A")</f>
        <v/>
      </c>
      <c r="Q651" s="2168">
        <f>IFERROR(IF(ISNUMBER(N651),(N651-K651)/ABS(K651),"N/A"),"N/A")</f>
        <v/>
      </c>
      <c r="R651" s="67" t="n"/>
      <c r="S651" s="80" t="n">
        <v>44123</v>
      </c>
      <c r="T651" s="88" t="inlineStr">
        <is>
          <t>Press Release</t>
        </is>
      </c>
      <c r="U651" s="67" t="n"/>
      <c r="V651" s="1016" t="n"/>
    </row>
    <row r="652" ht="14.4" customHeight="1" s="972">
      <c r="A652" s="64" t="n">
        <v>312</v>
      </c>
      <c r="B652" s="77">
        <f>IF(INDEX(MO_SNA_IsHistoricalPeriod,,MATCH(F652,MO_Common_ColumnHeader,0)),"Historical","Forward")</f>
        <v/>
      </c>
      <c r="C652" s="67" t="n"/>
      <c r="D652" s="84" t="inlineStr">
        <is>
          <t>DSO</t>
        </is>
      </c>
      <c r="E652" s="78" t="n"/>
      <c r="F652" s="77" t="inlineStr">
        <is>
          <t>FY2020</t>
        </is>
      </c>
      <c r="G652" s="77" t="n"/>
      <c r="H652" s="67" t="n"/>
      <c r="I652" s="2087" t="n">
        <v>45</v>
      </c>
      <c r="J652" s="2087" t="n">
        <v>45</v>
      </c>
      <c r="K652" s="2087">
        <f>AVERAGE(I652:J652)</f>
        <v/>
      </c>
      <c r="L652" s="67" t="n"/>
      <c r="M652" s="77">
        <f>IF(INDEX(MO_SNA_IsHistoricalPeriod,,MATCH(F652,MO_Common_ColumnHeader,0)),"Actual","Estimate")</f>
        <v/>
      </c>
      <c r="N652" s="2087">
        <f>IFERROR(INDEX(INDIRECT(E652),0,MATCH(F652,MO_Common_ColumnHeader,0)),"N/A")</f>
        <v/>
      </c>
      <c r="O652" s="67" t="n"/>
      <c r="P652" s="2169">
        <f>IF(ISNUMBER(N652),N652-K652,"N/A")</f>
        <v/>
      </c>
      <c r="Q652" s="2168">
        <f>IFERROR(IF(ISNUMBER(N652),(N652-K652)/ABS(K652),"N/A"),"N/A")</f>
        <v/>
      </c>
      <c r="R652" s="67" t="n"/>
      <c r="S652" s="80" t="n">
        <v>44123</v>
      </c>
      <c r="T652" s="88" t="inlineStr">
        <is>
          <t>Press Release</t>
        </is>
      </c>
      <c r="U652" s="67" t="n"/>
      <c r="V652" s="1016" t="n"/>
    </row>
    <row r="653" ht="14.4" customHeight="1" s="972">
      <c r="A653" s="64" t="n">
        <v>311</v>
      </c>
      <c r="B653" s="77">
        <f>IF(INDEX(MO_SNA_IsHistoricalPeriod,,MATCH(F653,MO_Common_ColumnHeader,0)),"Historical","Forward")</f>
        <v/>
      </c>
      <c r="C653" s="67" t="n"/>
      <c r="D653" s="84">
        <f>INDEX(INDIRECT(E653),0,COLUMN(MO_Common_Column_A))</f>
        <v/>
      </c>
      <c r="E653" s="78" t="inlineStr">
        <is>
          <t>MO_CFSum_Capex</t>
        </is>
      </c>
      <c r="F653" s="77" t="inlineStr">
        <is>
          <t>FY2020</t>
        </is>
      </c>
      <c r="G653" s="77" t="n"/>
      <c r="H653" s="67" t="n"/>
      <c r="I653" s="2087" t="n">
        <v>-95</v>
      </c>
      <c r="J653" s="2087" t="n">
        <v>-95</v>
      </c>
      <c r="K653" s="2087">
        <f>AVERAGE(I653:J653)</f>
        <v/>
      </c>
      <c r="L653" s="67" t="n"/>
      <c r="M653" s="77">
        <f>IF(INDEX(MO_SNA_IsHistoricalPeriod,,MATCH(F653,MO_Common_ColumnHeader,0)),"Actual","Estimate")</f>
        <v/>
      </c>
      <c r="N653" s="2087">
        <f>IFERROR(INDEX(INDIRECT(E653),0,MATCH(F653,MO_Common_ColumnHeader,0)),"N/A")</f>
        <v/>
      </c>
      <c r="O653" s="67" t="n"/>
      <c r="P653" s="2169">
        <f>IF(ISNUMBER(N653),N653-K653,"N/A")</f>
        <v/>
      </c>
      <c r="Q653" s="2168">
        <f>IFERROR(IF(ISNUMBER(N653),(N653-K653)/ABS(K653),"N/A"),"N/A")</f>
        <v/>
      </c>
      <c r="R653" s="67" t="n"/>
      <c r="S653" s="80" t="n">
        <v>44123</v>
      </c>
      <c r="T653" s="88" t="inlineStr">
        <is>
          <t>Press Release</t>
        </is>
      </c>
      <c r="U653" s="67" t="n"/>
      <c r="V653" s="1016" t="n"/>
    </row>
    <row r="654" ht="14.4" customHeight="1" s="972">
      <c r="A654" s="64" t="n">
        <v>310</v>
      </c>
      <c r="B654" s="77">
        <f>IF(INDEX(MO_SNA_IsHistoricalPeriod,,MATCH(F654,MO_Common_ColumnHeader,0)),"Historical","Forward")</f>
        <v/>
      </c>
      <c r="C654" s="67" t="n"/>
      <c r="D654" s="84">
        <f>INDEX(INDIRECT(E654),0,COLUMN(MO_Common_Column_A))</f>
        <v/>
      </c>
      <c r="E654" s="78" t="inlineStr">
        <is>
          <t>MO_RIS_Daintangibles</t>
        </is>
      </c>
      <c r="F654" s="77" t="inlineStr">
        <is>
          <t>FY2020</t>
        </is>
      </c>
      <c r="G654" s="77" t="n"/>
      <c r="H654" s="67" t="n"/>
      <c r="I654" s="2087" t="n">
        <v>64</v>
      </c>
      <c r="J654" s="2087" t="n">
        <v>64</v>
      </c>
      <c r="K654" s="2087">
        <f>AVERAGE(I654:J654)</f>
        <v/>
      </c>
      <c r="L654" s="67" t="n"/>
      <c r="M654" s="77">
        <f>IF(INDEX(MO_SNA_IsHistoricalPeriod,,MATCH(F654,MO_Common_ColumnHeader,0)),"Actual","Estimate")</f>
        <v/>
      </c>
      <c r="N654" s="2087">
        <f>IFERROR(INDEX(INDIRECT(E654),0,MATCH(F654,MO_Common_ColumnHeader,0)),"N/A")</f>
        <v/>
      </c>
      <c r="O654" s="67" t="n"/>
      <c r="P654" s="2169">
        <f>IF(ISNUMBER(N654),N654-K654,"N/A")</f>
        <v/>
      </c>
      <c r="Q654" s="2168">
        <f>IFERROR(IF(ISNUMBER(N654),(N654-K654)/ABS(K654),"N/A"),"N/A")</f>
        <v/>
      </c>
      <c r="R654" s="67" t="n"/>
      <c r="S654" s="80" t="n">
        <v>44123</v>
      </c>
      <c r="T654" s="88" t="inlineStr">
        <is>
          <t>Press Release</t>
        </is>
      </c>
      <c r="U654" s="67" t="n"/>
      <c r="V654" s="1016" t="n"/>
    </row>
    <row r="655" ht="14.4" customHeight="1" s="972">
      <c r="A655" s="64" t="n">
        <v>309</v>
      </c>
      <c r="B655" s="77">
        <f>IF(INDEX(MO_SNA_IsHistoricalPeriod,,MATCH(F655,MO_Common_ColumnHeader,0)),"Historical","Forward")</f>
        <v/>
      </c>
      <c r="C655" s="67" t="n"/>
      <c r="D655" s="84">
        <f>INDEX(INDIRECT(E655),0,COLUMN(MO_Common_Column_A))</f>
        <v/>
      </c>
      <c r="E655" s="78" t="inlineStr">
        <is>
          <t>MO_RIS_SBC</t>
        </is>
      </c>
      <c r="F655" s="77" t="inlineStr">
        <is>
          <t>FY2020</t>
        </is>
      </c>
      <c r="G655" s="77" t="n"/>
      <c r="H655" s="67" t="n"/>
      <c r="I655" s="2087" t="n">
        <v>196</v>
      </c>
      <c r="J655" s="2087" t="n">
        <v>196</v>
      </c>
      <c r="K655" s="2087">
        <f>AVERAGE(I655:J655)</f>
        <v/>
      </c>
      <c r="L655" s="67" t="n"/>
      <c r="M655" s="77">
        <f>IF(INDEX(MO_SNA_IsHistoricalPeriod,,MATCH(F655,MO_Common_ColumnHeader,0)),"Actual","Estimate")</f>
        <v/>
      </c>
      <c r="N655" s="2087">
        <f>IFERROR(INDEX(INDIRECT(E655),0,MATCH(F655,MO_Common_ColumnHeader,0)),"N/A")</f>
        <v/>
      </c>
      <c r="O655" s="67" t="n"/>
      <c r="P655" s="2169">
        <f>IF(ISNUMBER(N655),N655-K655,"N/A")</f>
        <v/>
      </c>
      <c r="Q655" s="2168">
        <f>IFERROR(IF(ISNUMBER(N655),(N655-K655)/ABS(K655),"N/A"),"N/A")</f>
        <v/>
      </c>
      <c r="R655" s="67" t="n"/>
      <c r="S655" s="80" t="n">
        <v>44123</v>
      </c>
      <c r="T655" s="88" t="inlineStr">
        <is>
          <t>Press Release</t>
        </is>
      </c>
      <c r="U655" s="67" t="n"/>
      <c r="V655" s="1016" t="n"/>
    </row>
    <row r="656" ht="14.4" customHeight="1" s="972">
      <c r="A656" s="64" t="n">
        <v>308</v>
      </c>
      <c r="B656" s="77">
        <f>IF(INDEX(MO_SNA_IsHistoricalPeriod,,MATCH(F656,MO_Common_ColumnHeader,0)),"Historical","Forward")</f>
        <v/>
      </c>
      <c r="C656" s="67" t="n"/>
      <c r="D656" s="84" t="inlineStr">
        <is>
          <t>Non-qualified deferred compensation expenses (credits)</t>
        </is>
      </c>
      <c r="E656" s="78" t="n"/>
      <c r="F656" s="77" t="inlineStr">
        <is>
          <t>FY2020</t>
        </is>
      </c>
      <c r="G656" s="77" t="n"/>
      <c r="H656" s="67" t="n"/>
      <c r="I656" s="2087" t="n">
        <v>1</v>
      </c>
      <c r="J656" s="2087" t="n">
        <v>1</v>
      </c>
      <c r="K656" s="2087">
        <f>AVERAGE(I656:J656)</f>
        <v/>
      </c>
      <c r="L656" s="67" t="n"/>
      <c r="M656" s="77">
        <f>IF(INDEX(MO_SNA_IsHistoricalPeriod,,MATCH(F656,MO_Common_ColumnHeader,0)),"Actual","Estimate")</f>
        <v/>
      </c>
      <c r="N656" s="2087">
        <f>IFERROR(INDEX(INDIRECT(E656),0,MATCH(F656,MO_Common_ColumnHeader,0)),"N/A")</f>
        <v/>
      </c>
      <c r="O656" s="67" t="n"/>
      <c r="P656" s="2169">
        <f>IF(ISNUMBER(N656),N656-K656,"N/A")</f>
        <v/>
      </c>
      <c r="Q656" s="2168">
        <f>IFERROR(IF(ISNUMBER(N656),(N656-K656)/ABS(K656),"N/A"),"N/A")</f>
        <v/>
      </c>
      <c r="R656" s="67" t="n"/>
      <c r="S656" s="80" t="n">
        <v>44123</v>
      </c>
      <c r="T656" s="88" t="inlineStr">
        <is>
          <t>Press Release</t>
        </is>
      </c>
      <c r="U656" s="67" t="n"/>
      <c r="V656" s="1016" t="n"/>
    </row>
    <row r="657" ht="14.4" customHeight="1" s="972">
      <c r="A657" s="64" t="n">
        <v>307</v>
      </c>
      <c r="B657" s="77">
        <f>IF(INDEX(MO_SNA_IsHistoricalPeriod,,MATCH(F657,MO_Common_ColumnHeader,0)),"Historical","Forward")</f>
        <v/>
      </c>
      <c r="C657" s="67" t="n"/>
      <c r="D657" s="84" t="inlineStr">
        <is>
          <t>Restructuring and other charges (credits)</t>
        </is>
      </c>
      <c r="E657" s="78" t="n"/>
      <c r="F657" s="77" t="inlineStr">
        <is>
          <t>FY2020</t>
        </is>
      </c>
      <c r="G657" s="77" t="n"/>
      <c r="H657" s="67" t="n"/>
      <c r="I657" s="2087" t="n">
        <v>-1</v>
      </c>
      <c r="J657" s="2087" t="n">
        <v>-1</v>
      </c>
      <c r="K657" s="2087">
        <f>AVERAGE(I657:J657)</f>
        <v/>
      </c>
      <c r="L657" s="67" t="n"/>
      <c r="M657" s="77">
        <f>IF(INDEX(MO_SNA_IsHistoricalPeriod,,MATCH(F657,MO_Common_ColumnHeader,0)),"Actual","Estimate")</f>
        <v/>
      </c>
      <c r="N657" s="2087">
        <f>IFERROR(INDEX(INDIRECT(E657),0,MATCH(F657,MO_Common_ColumnHeader,0)),"N/A")</f>
        <v/>
      </c>
      <c r="O657" s="67" t="n"/>
      <c r="P657" s="2169">
        <f>IF(ISNUMBER(N657),N657-K657,"N/A")</f>
        <v/>
      </c>
      <c r="Q657" s="2168">
        <f>IFERROR(IF(ISNUMBER(N657),(N657-K657)/ABS(K657),"N/A"),"N/A")</f>
        <v/>
      </c>
      <c r="R657" s="67" t="n"/>
      <c r="S657" s="80" t="n">
        <v>44123</v>
      </c>
      <c r="T657" s="88" t="inlineStr">
        <is>
          <t>Press Release</t>
        </is>
      </c>
      <c r="U657" s="67" t="n"/>
      <c r="V657" s="1016" t="n"/>
    </row>
    <row r="658" ht="14.4" customHeight="1" s="972">
      <c r="A658" s="64" t="n">
        <v>306</v>
      </c>
      <c r="B658" s="77">
        <f>IF(INDEX(MO_SNA_IsHistoricalPeriod,,MATCH(F658,MO_Common_ColumnHeader,0)),"Historical","Forward")</f>
        <v/>
      </c>
      <c r="C658" s="67" t="n"/>
      <c r="D658" s="84" t="inlineStr">
        <is>
          <t>Acquisition and integration-related costs</t>
        </is>
      </c>
      <c r="E658" s="78" t="n"/>
      <c r="F658" s="77" t="inlineStr">
        <is>
          <t>FY2020</t>
        </is>
      </c>
      <c r="G658" s="77" t="n"/>
      <c r="H658" s="67" t="n"/>
      <c r="I658" s="2087" t="n">
        <v>21</v>
      </c>
      <c r="J658" s="2087" t="n">
        <v>21</v>
      </c>
      <c r="K658" s="2087">
        <f>AVERAGE(I658:J658)</f>
        <v/>
      </c>
      <c r="L658" s="67" t="n"/>
      <c r="M658" s="77">
        <f>IF(INDEX(MO_SNA_IsHistoricalPeriod,,MATCH(F658,MO_Common_ColumnHeader,0)),"Actual","Estimate")</f>
        <v/>
      </c>
      <c r="N658" s="2087">
        <f>IFERROR(INDEX(INDIRECT(E658),0,MATCH(F658,MO_Common_ColumnHeader,0)),"N/A")</f>
        <v/>
      </c>
      <c r="O658" s="67" t="n"/>
      <c r="P658" s="2169">
        <f>IF(ISNUMBER(N658),N658-K658,"N/A")</f>
        <v/>
      </c>
      <c r="Q658" s="2168">
        <f>IFERROR(IF(ISNUMBER(N658),(N658-K658)/ABS(K658),"N/A"),"N/A")</f>
        <v/>
      </c>
      <c r="R658" s="67" t="n"/>
      <c r="S658" s="80" t="n">
        <v>44123</v>
      </c>
      <c r="T658" s="88" t="inlineStr">
        <is>
          <t>Press Release</t>
        </is>
      </c>
      <c r="U658" s="67" t="n"/>
      <c r="V658" s="1016" t="n"/>
    </row>
    <row r="659" ht="14.4" customHeight="1" s="972">
      <c r="A659" s="64" t="n">
        <v>305</v>
      </c>
      <c r="B659" s="77">
        <f>IF(INDEX(MO_SNA_IsHistoricalPeriod,,MATCH(F659,MO_Common_ColumnHeader,0)),"Historical","Forward")</f>
        <v/>
      </c>
      <c r="C659" s="67" t="n"/>
      <c r="D659" s="84" t="inlineStr">
        <is>
          <t>Other income or expense related to investments and non-qualified deferred compensation plan assets</t>
        </is>
      </c>
      <c r="E659" s="78" t="n"/>
      <c r="F659" s="77" t="inlineStr">
        <is>
          <t>FY2020</t>
        </is>
      </c>
      <c r="G659" s="77" t="n"/>
      <c r="H659" s="67" t="n"/>
      <c r="I659" s="2087" t="n">
        <v>5</v>
      </c>
      <c r="J659" s="2087" t="n">
        <v>5</v>
      </c>
      <c r="K659" s="2087">
        <f>AVERAGE(I659:J659)</f>
        <v/>
      </c>
      <c r="L659" s="67" t="n"/>
      <c r="M659" s="77">
        <f>IF(INDEX(MO_SNA_IsHistoricalPeriod,,MATCH(F659,MO_Common_ColumnHeader,0)),"Actual","Estimate")</f>
        <v/>
      </c>
      <c r="N659" s="2087">
        <f>IFERROR(INDEX(INDIRECT(E659),0,MATCH(F659,MO_Common_ColumnHeader,0)),"N/A")</f>
        <v/>
      </c>
      <c r="O659" s="67" t="n"/>
      <c r="P659" s="2169">
        <f>IF(ISNUMBER(N659),N659-K659,"N/A")</f>
        <v/>
      </c>
      <c r="Q659" s="2168">
        <f>IFERROR(IF(ISNUMBER(N659),(N659-K659)/ABS(K659),"N/A"),"N/A")</f>
        <v/>
      </c>
      <c r="R659" s="67" t="n"/>
      <c r="S659" s="80" t="n">
        <v>44123</v>
      </c>
      <c r="T659" s="88" t="inlineStr">
        <is>
          <t>Press Release</t>
        </is>
      </c>
      <c r="U659" s="67" t="n"/>
      <c r="V659" s="1016" t="n"/>
    </row>
    <row r="660" ht="14.4" customHeight="1" s="972">
      <c r="A660" s="64" t="n">
        <v>304</v>
      </c>
      <c r="B660" s="77">
        <f>IF(INDEX(MO_SNA_IsHistoricalPeriod,,MATCH(F660,MO_Common_ColumnHeader,0)),"Historical","Forward")</f>
        <v/>
      </c>
      <c r="C660" s="67" t="n"/>
      <c r="D660" s="84" t="inlineStr">
        <is>
          <t>Income tax effect on non-GAAP adjustments</t>
        </is>
      </c>
      <c r="E660" s="78" t="n"/>
      <c r="F660" s="77" t="inlineStr">
        <is>
          <t>FY2020</t>
        </is>
      </c>
      <c r="G660" s="77" t="n"/>
      <c r="H660" s="67" t="n"/>
      <c r="I660" s="2087" t="n">
        <v>-88</v>
      </c>
      <c r="J660" s="2087" t="n">
        <v>-88</v>
      </c>
      <c r="K660" s="2087">
        <f>AVERAGE(I660:J660)</f>
        <v/>
      </c>
      <c r="L660" s="67" t="n"/>
      <c r="M660" s="77">
        <f>IF(INDEX(MO_SNA_IsHistoricalPeriod,,MATCH(F660,MO_Common_ColumnHeader,0)),"Actual","Estimate")</f>
        <v/>
      </c>
      <c r="N660" s="2087">
        <f>IFERROR(INDEX(INDIRECT(E660),0,MATCH(F660,MO_Common_ColumnHeader,0)),"N/A")</f>
        <v/>
      </c>
      <c r="O660" s="67" t="n"/>
      <c r="P660" s="2169">
        <f>IF(ISNUMBER(N660),N660-K660,"N/A")</f>
        <v/>
      </c>
      <c r="Q660" s="2168">
        <f>IFERROR(IF(ISNUMBER(N660),(N660-K660)/ABS(K660),"N/A"),"N/A")</f>
        <v/>
      </c>
      <c r="R660" s="67" t="n"/>
      <c r="S660" s="80" t="n">
        <v>44123</v>
      </c>
      <c r="T660" s="88" t="inlineStr">
        <is>
          <t>Press Release</t>
        </is>
      </c>
      <c r="U660" s="67" t="n"/>
      <c r="V660" s="1016" t="n"/>
    </row>
    <row r="661" ht="14.4" customHeight="1" s="972">
      <c r="A661" s="64" t="n">
        <v>303</v>
      </c>
      <c r="B661" s="77">
        <f>IF(INDEX(MO_SNA_IsHistoricalPeriod,,MATCH(F661,MO_Common_ColumnHeader,0)),"Historical","Forward")</f>
        <v/>
      </c>
      <c r="C661" s="67" t="n"/>
      <c r="D661" s="84">
        <f>INDEX(INDIRECT(E661),0,COLUMN(MO_Common_Column_A))</f>
        <v/>
      </c>
      <c r="E661" s="78" t="inlineStr">
        <is>
          <t>MO_RIS_NI_GAAP_Diluted</t>
        </is>
      </c>
      <c r="F661" s="77" t="inlineStr">
        <is>
          <t>FY2020</t>
        </is>
      </c>
      <c r="G661" s="77" t="n"/>
      <c r="H661" s="67" t="n"/>
      <c r="I661" s="2087" t="n">
        <v>551</v>
      </c>
      <c r="J661" s="2087" t="n">
        <v>563</v>
      </c>
      <c r="K661" s="2087">
        <f>AVERAGE(I661:J661)</f>
        <v/>
      </c>
      <c r="L661" s="67" t="n"/>
      <c r="M661" s="77">
        <f>IF(INDEX(MO_SNA_IsHistoricalPeriod,,MATCH(F661,MO_Common_ColumnHeader,0)),"Actual","Estimate")</f>
        <v/>
      </c>
      <c r="N661" s="2087">
        <f>IFERROR(INDEX(INDIRECT(E661),0,MATCH(F661,MO_Common_ColumnHeader,0)),"N/A")</f>
        <v/>
      </c>
      <c r="O661" s="67" t="n"/>
      <c r="P661" s="2169">
        <f>IF(ISNUMBER(N661),N661-K661,"N/A")</f>
        <v/>
      </c>
      <c r="Q661" s="2168">
        <f>IFERROR(IF(ISNUMBER(N661),(N661-K661)/ABS(K661),"N/A"),"N/A")</f>
        <v/>
      </c>
      <c r="R661" s="67" t="n"/>
      <c r="S661" s="80" t="n">
        <v>44123</v>
      </c>
      <c r="T661" s="88" t="inlineStr">
        <is>
          <t>Press Release</t>
        </is>
      </c>
      <c r="U661" s="67" t="n"/>
      <c r="V661" s="1016" t="n"/>
    </row>
    <row r="662" ht="14.4" customHeight="1" s="972">
      <c r="A662" s="64" t="n">
        <v>302</v>
      </c>
      <c r="B662" s="77">
        <f>IF(INDEX(MO_SNA_IsHistoricalPeriod,,MATCH(F662,MO_Common_ColumnHeader,0)),"Historical","Forward")</f>
        <v/>
      </c>
      <c r="C662" s="67" t="n"/>
      <c r="D662" s="84">
        <f>INDEX(INDIRECT(E662),0,COLUMN(MO_Common_Column_A))</f>
        <v/>
      </c>
      <c r="E662" s="78" t="inlineStr">
        <is>
          <t>MO_RIS_NI_NONGAAP_Diluted</t>
        </is>
      </c>
      <c r="F662" s="77" t="inlineStr">
        <is>
          <t>FY2020</t>
        </is>
      </c>
      <c r="G662" s="77" t="n"/>
      <c r="H662" s="67" t="n"/>
      <c r="I662" s="2087" t="n">
        <v>749</v>
      </c>
      <c r="J662" s="2087" t="n">
        <v>761</v>
      </c>
      <c r="K662" s="2087">
        <f>AVERAGE(I662:J662)</f>
        <v/>
      </c>
      <c r="L662" s="67" t="n"/>
      <c r="M662" s="77">
        <f>IF(INDEX(MO_SNA_IsHistoricalPeriod,,MATCH(F662,MO_Common_ColumnHeader,0)),"Actual","Estimate")</f>
        <v/>
      </c>
      <c r="N662" s="2087">
        <f>IFERROR(INDEX(INDIRECT(E662),0,MATCH(F662,MO_Common_ColumnHeader,0)),"N/A")</f>
        <v/>
      </c>
      <c r="O662" s="67" t="n"/>
      <c r="P662" s="2169">
        <f>IF(ISNUMBER(N662),N662-K662,"N/A")</f>
        <v/>
      </c>
      <c r="Q662" s="2168">
        <f>IFERROR(IF(ISNUMBER(N662),(N662-K662)/ABS(K662),"N/A"),"N/A")</f>
        <v/>
      </c>
      <c r="R662" s="67" t="n"/>
      <c r="S662" s="80" t="n">
        <v>44123</v>
      </c>
      <c r="T662" s="88" t="inlineStr">
        <is>
          <t>Press Release</t>
        </is>
      </c>
      <c r="U662" s="67" t="n"/>
      <c r="V662" s="1016" t="n"/>
    </row>
    <row r="663" ht="14.4" customHeight="1" s="972">
      <c r="A663" s="64" t="n">
        <v>301</v>
      </c>
      <c r="B663" s="67" t="n"/>
      <c r="C663" s="67" t="n"/>
      <c r="D663" s="68" t="n"/>
      <c r="E663" s="69" t="n"/>
      <c r="F663" s="67" t="n"/>
      <c r="G663" s="67" t="n"/>
      <c r="H663" s="67" t="n"/>
      <c r="I663" s="2072" t="n"/>
      <c r="J663" s="2072" t="n"/>
      <c r="K663" s="2072" t="n"/>
      <c r="L663" s="67" t="n"/>
      <c r="M663" s="67" t="n"/>
      <c r="N663" s="2072" t="n"/>
      <c r="O663" s="67" t="n"/>
      <c r="P663" s="2172" t="n"/>
      <c r="Q663" s="2173" t="n"/>
      <c r="R663" s="67" t="n"/>
      <c r="S663" s="72" t="n"/>
      <c r="T663" s="89" t="n"/>
      <c r="U663" s="67" t="n"/>
      <c r="V663" s="1016" t="n"/>
    </row>
    <row r="664" ht="14.4" customHeight="1" s="972">
      <c r="A664" s="64" t="n">
        <v>300</v>
      </c>
      <c r="B664" s="77">
        <f>IF(INDEX(MO_SNA_IsHistoricalPeriod,,MATCH(F664,MO_Common_ColumnHeader,0)),"Historical","Forward")</f>
        <v/>
      </c>
      <c r="C664" s="67" t="n"/>
      <c r="D664" s="84">
        <f>INDEX(INDIRECT(E664),0,COLUMN(MO_Common_Column_A))</f>
        <v/>
      </c>
      <c r="E664" s="78" t="inlineStr">
        <is>
          <t>MO_RIS_REV</t>
        </is>
      </c>
      <c r="F664" s="77" t="inlineStr">
        <is>
          <t>Q4-2020</t>
        </is>
      </c>
      <c r="G664" s="77" t="n"/>
      <c r="H664" s="67" t="n"/>
      <c r="I664" s="2087" t="n">
        <v>720</v>
      </c>
      <c r="J664" s="2087" t="n">
        <v>740</v>
      </c>
      <c r="K664" s="2087">
        <f>AVERAGE(I664:J664)</f>
        <v/>
      </c>
      <c r="L664" s="67" t="n"/>
      <c r="M664" s="77">
        <f>IF(INDEX(MO_SNA_IsHistoricalPeriod,,MATCH(F664,MO_Common_ColumnHeader,0)),"Actual","Estimate")</f>
        <v/>
      </c>
      <c r="N664" s="2087">
        <f>IFERROR(INDEX(INDIRECT(E664),0,MATCH(F664,MO_Common_ColumnHeader,0)),"N/A")</f>
        <v/>
      </c>
      <c r="O664" s="67" t="n"/>
      <c r="P664" s="2169">
        <f>IF(ISNUMBER(N664),N664-K664,"N/A")</f>
        <v/>
      </c>
      <c r="Q664" s="2168">
        <f>IFERROR(IF(ISNUMBER(N664),(N664-K664)/ABS(K664),"N/A"),"N/A")</f>
        <v/>
      </c>
      <c r="R664" s="67" t="n"/>
      <c r="S664" s="80" t="n">
        <v>44123</v>
      </c>
      <c r="T664" s="88" t="inlineStr">
        <is>
          <t>Press Release</t>
        </is>
      </c>
      <c r="U664" s="67" t="n"/>
      <c r="V664" s="1016" t="n"/>
    </row>
    <row r="665" ht="14.4" customHeight="1" s="972">
      <c r="A665" s="64" t="n">
        <v>299</v>
      </c>
      <c r="B665" s="77">
        <f>IF(INDEX(MO_SNA_IsHistoricalPeriod,,MATCH(F665,MO_Common_ColumnHeader,0)),"Historical","Forward")</f>
        <v/>
      </c>
      <c r="C665" s="67" t="n"/>
      <c r="D665" s="84" t="inlineStr">
        <is>
          <t>GAAP Operating Margin</t>
        </is>
      </c>
      <c r="E665" s="78" t="n"/>
      <c r="F665" s="77" t="inlineStr">
        <is>
          <t>Q4-2020</t>
        </is>
      </c>
      <c r="G665" s="77" t="n"/>
      <c r="H665" s="67" t="n"/>
      <c r="I665" s="2108" t="n">
        <v>0.23</v>
      </c>
      <c r="J665" s="2108" t="n">
        <v>0.24</v>
      </c>
      <c r="K665" s="2108">
        <f>AVERAGE(I665:J665)</f>
        <v/>
      </c>
      <c r="L665" s="67" t="n"/>
      <c r="M665" s="77">
        <f>IF(INDEX(MO_SNA_IsHistoricalPeriod,,MATCH(F665,MO_Common_ColumnHeader,0)),"Actual","Estimate")</f>
        <v/>
      </c>
      <c r="N665" s="2108">
        <f>IFERROR(INDEX(INDIRECT(E665),0,MATCH(F665,MO_Common_ColumnHeader,0)),"N/A")</f>
        <v/>
      </c>
      <c r="O665" s="67" t="n"/>
      <c r="P665" s="2168">
        <f>IF(ISNUMBER(N665),N665-K665,"N/A")</f>
        <v/>
      </c>
      <c r="Q665" s="2168">
        <f>IFERROR(IF(ISNUMBER(N665),(N665-K665)/ABS(K665),"N/A"),"N/A")</f>
        <v/>
      </c>
      <c r="R665" s="67" t="n"/>
      <c r="S665" s="80" t="n">
        <v>44123</v>
      </c>
      <c r="T665" s="88" t="inlineStr">
        <is>
          <t>Press Release</t>
        </is>
      </c>
      <c r="U665" s="67" t="n"/>
      <c r="V665" s="1016" t="n"/>
    </row>
    <row r="666" ht="14.4" customHeight="1" s="972">
      <c r="A666" s="64" t="n">
        <v>298</v>
      </c>
      <c r="B666" s="77">
        <f>IF(INDEX(MO_SNA_IsHistoricalPeriod,,MATCH(F666,MO_Common_ColumnHeader,0)),"Historical","Forward")</f>
        <v/>
      </c>
      <c r="C666" s="67" t="n"/>
      <c r="D666" s="84">
        <f>INDEX(INDIRECT(E666),0,COLUMN(MO_Common_Column_A))</f>
        <v/>
      </c>
      <c r="E666" s="78" t="inlineStr">
        <is>
          <t>MO_MA_OperatingIncome_NONGAAP</t>
        </is>
      </c>
      <c r="F666" s="77" t="inlineStr">
        <is>
          <t>Q4-2020</t>
        </is>
      </c>
      <c r="G666" s="77" t="n"/>
      <c r="H666" s="67" t="n"/>
      <c r="I666" s="2108" t="n">
        <v>0.34</v>
      </c>
      <c r="J666" s="2108" t="n">
        <v>0.35</v>
      </c>
      <c r="K666" s="2108">
        <f>AVERAGE(I666:J666)</f>
        <v/>
      </c>
      <c r="L666" s="67" t="n"/>
      <c r="M666" s="77">
        <f>IF(INDEX(MO_SNA_IsHistoricalPeriod,,MATCH(F666,MO_Common_ColumnHeader,0)),"Actual","Estimate")</f>
        <v/>
      </c>
      <c r="N666" s="2108">
        <f>IFERROR(INDEX(INDIRECT(E666),0,MATCH(F666,MO_Common_ColumnHeader,0)),"N/A")</f>
        <v/>
      </c>
      <c r="O666" s="67" t="n"/>
      <c r="P666" s="2168">
        <f>IF(ISNUMBER(N666),N666-K666,"N/A")</f>
        <v/>
      </c>
      <c r="Q666" s="2168">
        <f>IFERROR(IF(ISNUMBER(N666),(N666-K666)/ABS(K666),"N/A"),"N/A")</f>
        <v/>
      </c>
      <c r="R666" s="67" t="n"/>
      <c r="S666" s="80" t="n">
        <v>44123</v>
      </c>
      <c r="T666" s="88" t="inlineStr">
        <is>
          <t>Press Release</t>
        </is>
      </c>
      <c r="U666" s="67" t="n"/>
      <c r="V666" s="1016" t="n"/>
    </row>
    <row r="667" ht="14.4" customHeight="1" s="972">
      <c r="A667" s="64" t="n">
        <v>297</v>
      </c>
      <c r="B667" s="77">
        <f>IF(INDEX(MO_SNA_IsHistoricalPeriod,,MATCH(F667,MO_Common_ColumnHeader,0)),"Historical","Forward")</f>
        <v/>
      </c>
      <c r="C667" s="67" t="n"/>
      <c r="D667" s="84">
        <f>INDEX(INDIRECT(E667),0,COLUMN(MO_Common_Column_A))</f>
        <v/>
      </c>
      <c r="E667" s="78" t="inlineStr">
        <is>
          <t>MO_RIS_EPS_WAD</t>
        </is>
      </c>
      <c r="F667" s="77" t="inlineStr">
        <is>
          <t>Q4-2020</t>
        </is>
      </c>
      <c r="G667" s="77" t="n"/>
      <c r="H667" s="67" t="n"/>
      <c r="I667" s="2170" t="n">
        <v>0.48</v>
      </c>
      <c r="J667" s="2170" t="n">
        <v>0.52</v>
      </c>
      <c r="K667" s="2170">
        <f>AVERAGE(I667:J667)</f>
        <v/>
      </c>
      <c r="L667" s="67" t="n"/>
      <c r="M667" s="77">
        <f>IF(INDEX(MO_SNA_IsHistoricalPeriod,,MATCH(F667,MO_Common_ColumnHeader,0)),"Actual","Estimate")</f>
        <v/>
      </c>
      <c r="N667" s="2170">
        <f>IFERROR(INDEX(INDIRECT(E667),0,MATCH(F667,MO_Common_ColumnHeader,0)),"N/A")</f>
        <v/>
      </c>
      <c r="O667" s="67" t="n"/>
      <c r="P667" s="2171">
        <f>IF(ISNUMBER(N667),N667-K667,"N/A")</f>
        <v/>
      </c>
      <c r="Q667" s="2168">
        <f>IFERROR(IF(ISNUMBER(N667),(N667-K667)/ABS(K667),"N/A"),"N/A")</f>
        <v/>
      </c>
      <c r="R667" s="67" t="n"/>
      <c r="S667" s="80" t="n">
        <v>44123</v>
      </c>
      <c r="T667" s="88" t="inlineStr">
        <is>
          <t>Press Release</t>
        </is>
      </c>
      <c r="U667" s="67" t="n"/>
      <c r="V667" s="1016" t="n"/>
    </row>
    <row r="668" ht="14.4" customHeight="1" s="972">
      <c r="A668" s="64" t="n">
        <v>296</v>
      </c>
      <c r="B668" s="77">
        <f>IF(INDEX(MO_SNA_IsHistoricalPeriod,,MATCH(F668,MO_Common_ColumnHeader,0)),"Historical","Forward")</f>
        <v/>
      </c>
      <c r="C668" s="67" t="n"/>
      <c r="D668" s="84">
        <f>INDEX(INDIRECT(E668),0,COLUMN(MO_Common_Column_A))</f>
        <v/>
      </c>
      <c r="E668" s="78" t="inlineStr">
        <is>
          <t>MO_RIS_EPS_WAD_Adj</t>
        </is>
      </c>
      <c r="F668" s="77" t="inlineStr">
        <is>
          <t>Q4-2020</t>
        </is>
      </c>
      <c r="G668" s="77" t="n"/>
      <c r="H668" s="67" t="n"/>
      <c r="I668" s="2170" t="n">
        <v>0.72</v>
      </c>
      <c r="J668" s="2170" t="n">
        <v>0.76</v>
      </c>
      <c r="K668" s="2170">
        <f>AVERAGE(I668:J668)</f>
        <v/>
      </c>
      <c r="L668" s="67" t="n"/>
      <c r="M668" s="77">
        <f>IF(INDEX(MO_SNA_IsHistoricalPeriod,,MATCH(F668,MO_Common_ColumnHeader,0)),"Actual","Estimate")</f>
        <v/>
      </c>
      <c r="N668" s="2170">
        <f>IFERROR(INDEX(INDIRECT(E668),0,MATCH(F668,MO_Common_ColumnHeader,0)),"N/A")</f>
        <v/>
      </c>
      <c r="O668" s="67" t="n"/>
      <c r="P668" s="2171">
        <f>IF(ISNUMBER(N668),N668-K668,"N/A")</f>
        <v/>
      </c>
      <c r="Q668" s="2168">
        <f>IFERROR(IF(ISNUMBER(N668),(N668-K668)/ABS(K668),"N/A"),"N/A")</f>
        <v/>
      </c>
      <c r="R668" s="67" t="n"/>
      <c r="S668" s="80" t="n">
        <v>44123</v>
      </c>
      <c r="T668" s="88" t="inlineStr">
        <is>
          <t>Press Release</t>
        </is>
      </c>
      <c r="U668" s="67" t="n"/>
      <c r="V668" s="1016" t="n"/>
    </row>
    <row r="669" ht="14.4" customHeight="1" s="972">
      <c r="A669" s="64" t="n">
        <v>295</v>
      </c>
      <c r="B669" s="77">
        <f>IF(INDEX(MO_SNA_IsHistoricalPeriod,,MATCH(F669,MO_Common_ColumnHeader,0)),"Historical","Forward")</f>
        <v/>
      </c>
      <c r="C669" s="67" t="n"/>
      <c r="D669" s="84">
        <f>INDEX(INDIRECT(E669),0,COLUMN(MO_Common_Column_A))</f>
        <v/>
      </c>
      <c r="E669" s="78" t="inlineStr">
        <is>
          <t>MO_RIS_Daintangibles</t>
        </is>
      </c>
      <c r="F669" s="77" t="inlineStr">
        <is>
          <t>Q4-2020</t>
        </is>
      </c>
      <c r="G669" s="77" t="n"/>
      <c r="H669" s="67" t="n"/>
      <c r="I669" s="2087" t="n">
        <v>17</v>
      </c>
      <c r="J669" s="2087" t="n">
        <v>17</v>
      </c>
      <c r="K669" s="2087">
        <f>AVERAGE(I669:J669)</f>
        <v/>
      </c>
      <c r="L669" s="67" t="n"/>
      <c r="M669" s="77">
        <f>IF(INDEX(MO_SNA_IsHistoricalPeriod,,MATCH(F669,MO_Common_ColumnHeader,0)),"Actual","Estimate")</f>
        <v/>
      </c>
      <c r="N669" s="2087">
        <f>IFERROR(INDEX(INDIRECT(E669),0,MATCH(F669,MO_Common_ColumnHeader,0)),"N/A")</f>
        <v/>
      </c>
      <c r="O669" s="67" t="n"/>
      <c r="P669" s="2169">
        <f>IF(ISNUMBER(N669),N669-K669,"N/A")</f>
        <v/>
      </c>
      <c r="Q669" s="2168">
        <f>IFERROR(IF(ISNUMBER(N669),(N669-K669)/ABS(K669),"N/A"),"N/A")</f>
        <v/>
      </c>
      <c r="R669" s="67" t="n"/>
      <c r="S669" s="80" t="n">
        <v>44123</v>
      </c>
      <c r="T669" s="88" t="inlineStr">
        <is>
          <t>Press Release</t>
        </is>
      </c>
      <c r="U669" s="67" t="n"/>
      <c r="V669" s="1016" t="n"/>
    </row>
    <row r="670" ht="14.4" customHeight="1" s="972">
      <c r="A670" s="64" t="n">
        <v>294</v>
      </c>
      <c r="B670" s="77">
        <f>IF(INDEX(MO_SNA_IsHistoricalPeriod,,MATCH(F670,MO_Common_ColumnHeader,0)),"Historical","Forward")</f>
        <v/>
      </c>
      <c r="C670" s="67" t="n"/>
      <c r="D670" s="84">
        <f>INDEX(INDIRECT(E670),0,COLUMN(MO_Common_Column_A))</f>
        <v/>
      </c>
      <c r="E670" s="78" t="inlineStr">
        <is>
          <t>MO_RIS_SBC</t>
        </is>
      </c>
      <c r="F670" s="77" t="inlineStr">
        <is>
          <t>Q4-2020</t>
        </is>
      </c>
      <c r="G670" s="77" t="n"/>
      <c r="H670" s="67" t="n"/>
      <c r="I670" s="2087" t="n">
        <v>58</v>
      </c>
      <c r="J670" s="2087" t="n">
        <v>58</v>
      </c>
      <c r="K670" s="2087">
        <f>AVERAGE(I670:J670)</f>
        <v/>
      </c>
      <c r="L670" s="67" t="n"/>
      <c r="M670" s="77">
        <f>IF(INDEX(MO_SNA_IsHistoricalPeriod,,MATCH(F670,MO_Common_ColumnHeader,0)),"Actual","Estimate")</f>
        <v/>
      </c>
      <c r="N670" s="2087">
        <f>IFERROR(INDEX(INDIRECT(E670),0,MATCH(F670,MO_Common_ColumnHeader,0)),"N/A")</f>
        <v/>
      </c>
      <c r="O670" s="67" t="n"/>
      <c r="P670" s="2169">
        <f>IF(ISNUMBER(N670),N670-K670,"N/A")</f>
        <v/>
      </c>
      <c r="Q670" s="2168">
        <f>IFERROR(IF(ISNUMBER(N670),(N670-K670)/ABS(K670),"N/A"),"N/A")</f>
        <v/>
      </c>
      <c r="R670" s="67" t="n"/>
      <c r="S670" s="80" t="n">
        <v>44123</v>
      </c>
      <c r="T670" s="88" t="inlineStr">
        <is>
          <t>Press Release</t>
        </is>
      </c>
      <c r="U670" s="67" t="n"/>
      <c r="V670" s="1016" t="n"/>
    </row>
    <row r="671" ht="14.4" customHeight="1" s="972">
      <c r="A671" s="64" t="n">
        <v>293</v>
      </c>
      <c r="B671" s="77">
        <f>IF(INDEX(MO_SNA_IsHistoricalPeriod,,MATCH(F671,MO_Common_ColumnHeader,0)),"Historical","Forward")</f>
        <v/>
      </c>
      <c r="C671" s="67" t="n"/>
      <c r="D671" s="84" t="inlineStr">
        <is>
          <t>Acquisition and integration-related costs</t>
        </is>
      </c>
      <c r="E671" s="78" t="n"/>
      <c r="F671" s="77" t="inlineStr">
        <is>
          <t>Q4-2020</t>
        </is>
      </c>
      <c r="G671" s="77" t="n"/>
      <c r="H671" s="67" t="n"/>
      <c r="I671" s="2087" t="n">
        <v>5</v>
      </c>
      <c r="J671" s="2087" t="n">
        <v>5</v>
      </c>
      <c r="K671" s="2087">
        <f>AVERAGE(I671:J671)</f>
        <v/>
      </c>
      <c r="L671" s="67" t="n"/>
      <c r="M671" s="77">
        <f>IF(INDEX(MO_SNA_IsHistoricalPeriod,,MATCH(F671,MO_Common_ColumnHeader,0)),"Actual","Estimate")</f>
        <v/>
      </c>
      <c r="N671" s="2087">
        <f>IFERROR(INDEX(INDIRECT(E671),0,MATCH(F671,MO_Common_ColumnHeader,0)),"N/A")</f>
        <v/>
      </c>
      <c r="O671" s="67" t="n"/>
      <c r="P671" s="2169">
        <f>IF(ISNUMBER(N671),N671-K671,"N/A")</f>
        <v/>
      </c>
      <c r="Q671" s="2168">
        <f>IFERROR(IF(ISNUMBER(N671),(N671-K671)/ABS(K671),"N/A"),"N/A")</f>
        <v/>
      </c>
      <c r="R671" s="67" t="n"/>
      <c r="S671" s="80" t="n">
        <v>44123</v>
      </c>
      <c r="T671" s="88" t="inlineStr">
        <is>
          <t>Press Release</t>
        </is>
      </c>
      <c r="U671" s="67" t="n"/>
      <c r="V671" s="1016" t="n"/>
    </row>
    <row r="672" ht="14.4" customHeight="1" s="972">
      <c r="A672" s="64" t="n">
        <v>292</v>
      </c>
      <c r="B672" s="77">
        <f>IF(INDEX(MO_SNA_IsHistoricalPeriod,,MATCH(F672,MO_Common_ColumnHeader,0)),"Historical","Forward")</f>
        <v/>
      </c>
      <c r="C672" s="67" t="n"/>
      <c r="D672" s="84" t="inlineStr">
        <is>
          <t>Other income or expense related to investments and non-qualified deferred compensation plan assets</t>
        </is>
      </c>
      <c r="E672" s="78" t="n"/>
      <c r="F672" s="77" t="inlineStr">
        <is>
          <t>Q4-2020</t>
        </is>
      </c>
      <c r="G672" s="77" t="n"/>
      <c r="H672" s="67" t="n"/>
      <c r="I672" s="2087" t="n">
        <v>1</v>
      </c>
      <c r="J672" s="2087" t="n">
        <v>1</v>
      </c>
      <c r="K672" s="2087">
        <f>AVERAGE(I672:J672)</f>
        <v/>
      </c>
      <c r="L672" s="67" t="n"/>
      <c r="M672" s="77">
        <f>IF(INDEX(MO_SNA_IsHistoricalPeriod,,MATCH(F672,MO_Common_ColumnHeader,0)),"Actual","Estimate")</f>
        <v/>
      </c>
      <c r="N672" s="2087">
        <f>IFERROR(INDEX(INDIRECT(E672),0,MATCH(F672,MO_Common_ColumnHeader,0)),"N/A")</f>
        <v/>
      </c>
      <c r="O672" s="67" t="n"/>
      <c r="P672" s="2169">
        <f>IF(ISNUMBER(N672),N672-K672,"N/A")</f>
        <v/>
      </c>
      <c r="Q672" s="2168">
        <f>IFERROR(IF(ISNUMBER(N672),(N672-K672)/ABS(K672),"N/A"),"N/A")</f>
        <v/>
      </c>
      <c r="R672" s="67" t="n"/>
      <c r="S672" s="80" t="n">
        <v>44123</v>
      </c>
      <c r="T672" s="88" t="inlineStr">
        <is>
          <t>Press Release</t>
        </is>
      </c>
      <c r="U672" s="67" t="n"/>
      <c r="V672" s="1016" t="n"/>
    </row>
    <row r="673" ht="14.4" customHeight="1" s="972">
      <c r="A673" s="64" t="n">
        <v>291</v>
      </c>
      <c r="B673" s="77">
        <f>IF(INDEX(MO_SNA_IsHistoricalPeriod,,MATCH(F673,MO_Common_ColumnHeader,0)),"Historical","Forward")</f>
        <v/>
      </c>
      <c r="C673" s="67" t="n"/>
      <c r="D673" s="84" t="inlineStr">
        <is>
          <t>Income tax effect on non-GAAP adjustments</t>
        </is>
      </c>
      <c r="E673" s="78" t="n"/>
      <c r="F673" s="77" t="inlineStr">
        <is>
          <t>Q4-2020</t>
        </is>
      </c>
      <c r="G673" s="77" t="n"/>
      <c r="H673" s="67" t="n"/>
      <c r="I673" s="2087" t="n">
        <v>-14</v>
      </c>
      <c r="J673" s="2087" t="n">
        <v>-14</v>
      </c>
      <c r="K673" s="2087">
        <f>AVERAGE(I673:J673)</f>
        <v/>
      </c>
      <c r="L673" s="67" t="n"/>
      <c r="M673" s="77">
        <f>IF(INDEX(MO_SNA_IsHistoricalPeriod,,MATCH(F673,MO_Common_ColumnHeader,0)),"Actual","Estimate")</f>
        <v/>
      </c>
      <c r="N673" s="2087">
        <f>IFERROR(INDEX(INDIRECT(E673),0,MATCH(F673,MO_Common_ColumnHeader,0)),"N/A")</f>
        <v/>
      </c>
      <c r="O673" s="67" t="n"/>
      <c r="P673" s="2169">
        <f>IF(ISNUMBER(N673),N673-K673,"N/A")</f>
        <v/>
      </c>
      <c r="Q673" s="2168">
        <f>IFERROR(IF(ISNUMBER(N673),(N673-K673)/ABS(K673),"N/A"),"N/A")</f>
        <v/>
      </c>
      <c r="R673" s="67" t="n"/>
      <c r="S673" s="80" t="n">
        <v>44123</v>
      </c>
      <c r="T673" s="88" t="inlineStr">
        <is>
          <t>Press Release</t>
        </is>
      </c>
      <c r="U673" s="67" t="n"/>
      <c r="V673" s="1016" t="n"/>
    </row>
    <row r="674" ht="14.4" customHeight="1" s="972">
      <c r="A674" s="64" t="n">
        <v>290</v>
      </c>
      <c r="B674" s="77">
        <f>IF(INDEX(MO_SNA_IsHistoricalPeriod,,MATCH(F674,MO_Common_ColumnHeader,0)),"Historical","Forward")</f>
        <v/>
      </c>
      <c r="C674" s="67" t="n"/>
      <c r="D674" s="84">
        <f>INDEX(INDIRECT(E674),0,COLUMN(MO_Common_Column_A))</f>
        <v/>
      </c>
      <c r="E674" s="78" t="inlineStr">
        <is>
          <t>MO_RIS_NI_GAAP_Diluted</t>
        </is>
      </c>
      <c r="F674" s="77" t="inlineStr">
        <is>
          <t>Q4-2020</t>
        </is>
      </c>
      <c r="G674" s="77" t="n"/>
      <c r="H674" s="67" t="n"/>
      <c r="I674" s="2087" t="n">
        <v>134</v>
      </c>
      <c r="J674" s="2087" t="n">
        <v>146</v>
      </c>
      <c r="K674" s="2087">
        <f>AVERAGE(I674:J674)</f>
        <v/>
      </c>
      <c r="L674" s="67" t="n"/>
      <c r="M674" s="77">
        <f>IF(INDEX(MO_SNA_IsHistoricalPeriod,,MATCH(F674,MO_Common_ColumnHeader,0)),"Actual","Estimate")</f>
        <v/>
      </c>
      <c r="N674" s="2087">
        <f>IFERROR(INDEX(INDIRECT(E674),0,MATCH(F674,MO_Common_ColumnHeader,0)),"N/A")</f>
        <v/>
      </c>
      <c r="O674" s="67" t="n"/>
      <c r="P674" s="2169">
        <f>IF(ISNUMBER(N674),N674-K674,"N/A")</f>
        <v/>
      </c>
      <c r="Q674" s="2168">
        <f>IFERROR(IF(ISNUMBER(N674),(N674-K674)/ABS(K674),"N/A"),"N/A")</f>
        <v/>
      </c>
      <c r="R674" s="67" t="n"/>
      <c r="S674" s="80" t="n">
        <v>44123</v>
      </c>
      <c r="T674" s="88" t="inlineStr">
        <is>
          <t>Press Release</t>
        </is>
      </c>
      <c r="U674" s="67" t="n"/>
      <c r="V674" s="1016" t="n"/>
    </row>
    <row r="675" ht="14.4" customHeight="1" s="972">
      <c r="A675" s="64" t="n">
        <v>289</v>
      </c>
      <c r="B675" s="77">
        <f>IF(INDEX(MO_SNA_IsHistoricalPeriod,,MATCH(F675,MO_Common_ColumnHeader,0)),"Historical","Forward")</f>
        <v/>
      </c>
      <c r="C675" s="67" t="n"/>
      <c r="D675" s="84">
        <f>INDEX(INDIRECT(E675),0,COLUMN(MO_Common_Column_A))</f>
        <v/>
      </c>
      <c r="E675" s="78" t="inlineStr">
        <is>
          <t>MO_RIS_NI_NONGAAP_Diluted</t>
        </is>
      </c>
      <c r="F675" s="77" t="inlineStr">
        <is>
          <t>Q4-2020</t>
        </is>
      </c>
      <c r="G675" s="77" t="n"/>
      <c r="H675" s="67" t="n"/>
      <c r="I675" s="2087" t="n">
        <v>201</v>
      </c>
      <c r="J675" s="2087" t="n">
        <v>213</v>
      </c>
      <c r="K675" s="2087">
        <f>AVERAGE(I675:J675)</f>
        <v/>
      </c>
      <c r="L675" s="67" t="n"/>
      <c r="M675" s="77">
        <f>IF(INDEX(MO_SNA_IsHistoricalPeriod,,MATCH(F675,MO_Common_ColumnHeader,0)),"Actual","Estimate")</f>
        <v/>
      </c>
      <c r="N675" s="2087">
        <f>IFERROR(INDEX(INDIRECT(E675),0,MATCH(F675,MO_Common_ColumnHeader,0)),"N/A")</f>
        <v/>
      </c>
      <c r="O675" s="67" t="n"/>
      <c r="P675" s="2169">
        <f>IF(ISNUMBER(N675),N675-K675,"N/A")</f>
        <v/>
      </c>
      <c r="Q675" s="2168">
        <f>IFERROR(IF(ISNUMBER(N675),(N675-K675)/ABS(K675),"N/A"),"N/A")</f>
        <v/>
      </c>
      <c r="R675" s="67" t="n"/>
      <c r="S675" s="80" t="n">
        <v>44123</v>
      </c>
      <c r="T675" s="88" t="inlineStr">
        <is>
          <t>Press Release</t>
        </is>
      </c>
      <c r="U675" s="67" t="n"/>
      <c r="V675" s="1016" t="n"/>
    </row>
    <row r="676" ht="14.4" customHeight="1" s="972">
      <c r="A676" s="64" t="n">
        <v>288</v>
      </c>
      <c r="B676" s="67" t="n"/>
      <c r="C676" s="67" t="n"/>
      <c r="D676" s="68" t="n"/>
      <c r="E676" s="69" t="n"/>
      <c r="F676" s="67" t="n"/>
      <c r="G676" s="67" t="n"/>
      <c r="H676" s="67" t="n"/>
      <c r="I676" s="2072" t="n"/>
      <c r="J676" s="2072" t="n"/>
      <c r="K676" s="2072" t="n"/>
      <c r="L676" s="67" t="n"/>
      <c r="M676" s="67" t="n"/>
      <c r="N676" s="2072" t="n"/>
      <c r="O676" s="67" t="n"/>
      <c r="P676" s="2172" t="n"/>
      <c r="Q676" s="2173" t="n"/>
      <c r="R676" s="67" t="n"/>
      <c r="S676" s="72" t="n"/>
      <c r="T676" s="89" t="n"/>
      <c r="U676" s="67" t="n"/>
      <c r="V676" s="1016" t="n"/>
    </row>
    <row r="677" ht="14.4" customHeight="1" s="972">
      <c r="A677" s="64" t="n">
        <v>287</v>
      </c>
      <c r="B677" s="77">
        <f>IF(INDEX(MO_SNA_IsHistoricalPeriod,,MATCH(F677,MO_Common_ColumnHeader,0)),"Historical","Forward")</f>
        <v/>
      </c>
      <c r="C677" s="67" t="n"/>
      <c r="D677" s="84">
        <f>INDEX(INDIRECT(E677),0,COLUMN(MO_Common_Column_A))</f>
        <v/>
      </c>
      <c r="E677" s="78" t="inlineStr">
        <is>
          <t>MO_RIS_REV</t>
        </is>
      </c>
      <c r="F677" s="77" t="inlineStr">
        <is>
          <t>FY2020</t>
        </is>
      </c>
      <c r="G677" s="77" t="n"/>
      <c r="H677" s="67" t="n"/>
      <c r="I677" s="2087" t="n">
        <v>2585</v>
      </c>
      <c r="J677" s="2087" t="n">
        <v>2615</v>
      </c>
      <c r="K677" s="2087">
        <f>AVERAGE(I677:J677)</f>
        <v/>
      </c>
      <c r="L677" s="67" t="n"/>
      <c r="M677" s="77">
        <f>IF(INDEX(MO_SNA_IsHistoricalPeriod,,MATCH(F677,MO_Common_ColumnHeader,0)),"Actual","Estimate")</f>
        <v/>
      </c>
      <c r="N677" s="2087">
        <f>IFERROR(INDEX(INDIRECT(E677),0,MATCH(F677,MO_Common_ColumnHeader,0)),"N/A")</f>
        <v/>
      </c>
      <c r="O677" s="2072" t="n"/>
      <c r="P677" s="2169">
        <f>IF(ISNUMBER(N677),N677-K677,"N/A")</f>
        <v/>
      </c>
      <c r="Q677" s="2168">
        <f>IFERROR(IF(ISNUMBER(N677),(N677-K677)/ABS(K677),"N/A"),"N/A")</f>
        <v/>
      </c>
      <c r="R677" s="67" t="n"/>
      <c r="S677" s="80" t="n">
        <v>44032</v>
      </c>
      <c r="T677" s="88" t="inlineStr">
        <is>
          <t>Press Release</t>
        </is>
      </c>
      <c r="U677" s="112" t="n"/>
      <c r="V677" s="1016" t="n"/>
    </row>
    <row r="678" ht="14.4" customHeight="1" s="972">
      <c r="A678" s="64" t="n">
        <v>286</v>
      </c>
      <c r="B678" s="77">
        <f>IF(INDEX(MO_SNA_IsHistoricalPeriod,,MATCH(F678,MO_Common_ColumnHeader,0)),"Historical","Forward")</f>
        <v/>
      </c>
      <c r="C678" s="67" t="n"/>
      <c r="D678" s="84" t="inlineStr">
        <is>
          <t>GAAP Operating Margin</t>
        </is>
      </c>
      <c r="E678" s="78" t="n"/>
      <c r="F678" s="77" t="inlineStr">
        <is>
          <t>FY2020</t>
        </is>
      </c>
      <c r="G678" s="77" t="n"/>
      <c r="H678" s="67" t="n"/>
      <c r="I678" s="2108" t="n">
        <v>0.22</v>
      </c>
      <c r="J678" s="2108" t="n">
        <v>0.22</v>
      </c>
      <c r="K678" s="2108">
        <f>AVERAGE(I678:J678)</f>
        <v/>
      </c>
      <c r="L678" s="67" t="n"/>
      <c r="M678" s="77">
        <f>IF(INDEX(MO_SNA_IsHistoricalPeriod,,MATCH(F678,MO_Common_ColumnHeader,0)),"Actual","Estimate")</f>
        <v/>
      </c>
      <c r="N678" s="2108">
        <f>IFERROR(INDEX(INDIRECT(E678),0,MATCH(F678,MO_Common_ColumnHeader,0)),"N/A")</f>
        <v/>
      </c>
      <c r="O678" s="67" t="n"/>
      <c r="P678" s="2168">
        <f>IF(ISNUMBER(N678),N678-K678,"N/A")</f>
        <v/>
      </c>
      <c r="Q678" s="2168">
        <f>IFERROR(IF(ISNUMBER(N678),(N678-K678)/ABS(K678),"N/A"),"N/A")</f>
        <v/>
      </c>
      <c r="R678" s="67" t="n"/>
      <c r="S678" s="80" t="n">
        <v>44032</v>
      </c>
      <c r="T678" s="88" t="inlineStr">
        <is>
          <t>Press Release</t>
        </is>
      </c>
      <c r="U678" s="67" t="n"/>
      <c r="V678" s="1016" t="n"/>
    </row>
    <row r="679" ht="14.4" customHeight="1" s="972">
      <c r="A679" s="64" t="n">
        <v>285</v>
      </c>
      <c r="B679" s="77">
        <f>IF(INDEX(MO_SNA_IsHistoricalPeriod,,MATCH(F679,MO_Common_ColumnHeader,0)),"Historical","Forward")</f>
        <v/>
      </c>
      <c r="C679" s="67" t="n"/>
      <c r="D679" s="84">
        <f>INDEX(INDIRECT(E679),0,COLUMN(MO_Common_Column_A))</f>
        <v/>
      </c>
      <c r="E679" s="78" t="inlineStr">
        <is>
          <t>MO_MA_OperatingIncome_NONGAAP</t>
        </is>
      </c>
      <c r="F679" s="77" t="inlineStr">
        <is>
          <t>FY2020</t>
        </is>
      </c>
      <c r="G679" s="77" t="n"/>
      <c r="H679" s="67" t="n"/>
      <c r="I679" s="2108" t="n">
        <v>0.33</v>
      </c>
      <c r="J679" s="2108" t="n">
        <v>0.33</v>
      </c>
      <c r="K679" s="2108">
        <f>AVERAGE(I679:J679)</f>
        <v/>
      </c>
      <c r="L679" s="67" t="n"/>
      <c r="M679" s="77">
        <f>IF(INDEX(MO_SNA_IsHistoricalPeriod,,MATCH(F679,MO_Common_ColumnHeader,0)),"Actual","Estimate")</f>
        <v/>
      </c>
      <c r="N679" s="2108">
        <f>IFERROR(INDEX(INDIRECT(E679),0,MATCH(F679,MO_Common_ColumnHeader,0)),"N/A")</f>
        <v/>
      </c>
      <c r="O679" s="67" t="n"/>
      <c r="P679" s="2168">
        <f>IF(ISNUMBER(N679),N679-K679,"N/A")</f>
        <v/>
      </c>
      <c r="Q679" s="2168">
        <f>IFERROR(IF(ISNUMBER(N679),(N679-K679)/ABS(K679),"N/A"),"N/A")</f>
        <v/>
      </c>
      <c r="R679" s="67" t="n"/>
      <c r="S679" s="80" t="n">
        <v>44032</v>
      </c>
      <c r="T679" s="88" t="inlineStr">
        <is>
          <t>Press Release</t>
        </is>
      </c>
      <c r="U679" s="67" t="n"/>
      <c r="V679" s="1016" t="n"/>
    </row>
    <row r="680" ht="14.4" customHeight="1" s="972">
      <c r="A680" s="64" t="n">
        <v>284</v>
      </c>
      <c r="B680" s="77">
        <f>IF(INDEX(MO_SNA_IsHistoricalPeriod,,MATCH(F680,MO_Common_ColumnHeader,0)),"Historical","Forward")</f>
        <v/>
      </c>
      <c r="C680" s="67" t="n"/>
      <c r="D680" s="84">
        <f>INDEX(INDIRECT(E680),0,COLUMN(MO_Common_Column_A))</f>
        <v/>
      </c>
      <c r="E680" s="78" t="inlineStr">
        <is>
          <t>MO_RIS_EPS_WAD</t>
        </is>
      </c>
      <c r="F680" s="77" t="inlineStr">
        <is>
          <t>FY2020</t>
        </is>
      </c>
      <c r="G680" s="77" t="n"/>
      <c r="H680" s="67" t="n"/>
      <c r="I680" s="2170" t="n">
        <v>1.84</v>
      </c>
      <c r="J680" s="2170" t="n">
        <v>1.9</v>
      </c>
      <c r="K680" s="2170">
        <f>AVERAGE(I680:J680)</f>
        <v/>
      </c>
      <c r="L680" s="67" t="n"/>
      <c r="M680" s="77">
        <f>IF(INDEX(MO_SNA_IsHistoricalPeriod,,MATCH(F680,MO_Common_ColumnHeader,0)),"Actual","Estimate")</f>
        <v/>
      </c>
      <c r="N680" s="2170">
        <f>IFERROR(INDEX(INDIRECT(E680),0,MATCH(F680,MO_Common_ColumnHeader,0)),"N/A")</f>
        <v/>
      </c>
      <c r="O680" s="67" t="n"/>
      <c r="P680" s="2171">
        <f>IF(ISNUMBER(N680),N680-K680,"N/A")</f>
        <v/>
      </c>
      <c r="Q680" s="2168">
        <f>IFERROR(IF(ISNUMBER(N680),(N680-K680)/ABS(K680),"N/A"),"N/A")</f>
        <v/>
      </c>
      <c r="R680" s="67" t="n"/>
      <c r="S680" s="80" t="n">
        <v>44032</v>
      </c>
      <c r="T680" s="88" t="inlineStr">
        <is>
          <t>Press Release</t>
        </is>
      </c>
      <c r="U680" s="112" t="n"/>
      <c r="V680" s="1016" t="n"/>
    </row>
    <row r="681" ht="14.4" customHeight="1" s="972">
      <c r="A681" s="64" t="n">
        <v>283</v>
      </c>
      <c r="B681" s="77">
        <f>IF(INDEX(MO_SNA_IsHistoricalPeriod,,MATCH(F681,MO_Common_ColumnHeader,0)),"Historical","Forward")</f>
        <v/>
      </c>
      <c r="C681" s="67" t="n"/>
      <c r="D681" s="84">
        <f>INDEX(INDIRECT(E681),0,COLUMN(MO_Common_Column_A))</f>
        <v/>
      </c>
      <c r="E681" s="78" t="inlineStr">
        <is>
          <t>MO_RIS_EPS_WAD_Adj</t>
        </is>
      </c>
      <c r="F681" s="77" t="inlineStr">
        <is>
          <t>FY2020</t>
        </is>
      </c>
      <c r="G681" s="77" t="n"/>
      <c r="H681" s="67" t="n"/>
      <c r="I681" s="2170" t="n">
        <v>2.5</v>
      </c>
      <c r="J681" s="2170" t="n">
        <v>2.56</v>
      </c>
      <c r="K681" s="2170">
        <f>AVERAGE(I681:J681)</f>
        <v/>
      </c>
      <c r="L681" s="67" t="n"/>
      <c r="M681" s="77">
        <f>IF(INDEX(MO_SNA_IsHistoricalPeriod,,MATCH(F681,MO_Common_ColumnHeader,0)),"Actual","Estimate")</f>
        <v/>
      </c>
      <c r="N681" s="2170">
        <f>IFERROR(INDEX(INDIRECT(E681),0,MATCH(F681,MO_Common_ColumnHeader,0)),"N/A")</f>
        <v/>
      </c>
      <c r="O681" s="67" t="n"/>
      <c r="P681" s="2171">
        <f>IF(ISNUMBER(N681),N681-K681,"N/A")</f>
        <v/>
      </c>
      <c r="Q681" s="2168">
        <f>IFERROR(IF(ISNUMBER(N681),(N681-K681)/ABS(K681),"N/A"),"N/A")</f>
        <v/>
      </c>
      <c r="R681" s="67" t="n"/>
      <c r="S681" s="80" t="n">
        <v>44032</v>
      </c>
      <c r="T681" s="88" t="inlineStr">
        <is>
          <t>Press Release</t>
        </is>
      </c>
      <c r="U681" s="67" t="n"/>
      <c r="V681" s="1016" t="n"/>
    </row>
    <row r="682" ht="14.4" customHeight="1" s="972">
      <c r="A682" s="64" t="n">
        <v>282</v>
      </c>
      <c r="B682" s="77">
        <f>IF(INDEX(MO_SNA_IsHistoricalPeriod,,MATCH(F682,MO_Common_ColumnHeader,0)),"Historical","Forward")</f>
        <v/>
      </c>
      <c r="C682" s="67" t="n"/>
      <c r="D682" s="84">
        <f>INDEX(INDIRECT(E682),0,COLUMN(MO_Common_Column_A))</f>
        <v/>
      </c>
      <c r="E682" s="78" t="inlineStr">
        <is>
          <t>MO_CFS_CFO</t>
        </is>
      </c>
      <c r="F682" s="77" t="inlineStr">
        <is>
          <t>FY2020</t>
        </is>
      </c>
      <c r="G682" s="77" t="n"/>
      <c r="H682" s="67" t="n"/>
      <c r="I682" s="2087" t="n">
        <v>810</v>
      </c>
      <c r="J682" s="2087" t="n">
        <v>840</v>
      </c>
      <c r="K682" s="2087">
        <f>AVERAGE(I682:J682)</f>
        <v/>
      </c>
      <c r="L682" s="67" t="n"/>
      <c r="M682" s="77">
        <f>IF(INDEX(MO_SNA_IsHistoricalPeriod,,MATCH(F682,MO_Common_ColumnHeader,0)),"Actual","Estimate")</f>
        <v/>
      </c>
      <c r="N682" s="2087">
        <f>IFERROR(INDEX(INDIRECT(E682),0,MATCH(F682,MO_Common_ColumnHeader,0)),"N/A")</f>
        <v/>
      </c>
      <c r="O682" s="67" t="n"/>
      <c r="P682" s="2169">
        <f>IF(ISNUMBER(N682),N682-K682,"N/A")</f>
        <v/>
      </c>
      <c r="Q682" s="2168">
        <f>IFERROR(IF(ISNUMBER(N682),(N682-K682)/ABS(K682),"N/A"),"N/A")</f>
        <v/>
      </c>
      <c r="R682" s="67" t="n"/>
      <c r="S682" s="80" t="n">
        <v>44032</v>
      </c>
      <c r="T682" s="88" t="inlineStr">
        <is>
          <t>Press Release</t>
        </is>
      </c>
      <c r="U682" s="67" t="n"/>
      <c r="V682" s="1016" t="n"/>
    </row>
    <row r="683" ht="14.4" customHeight="1" s="972">
      <c r="A683" s="64" t="n">
        <v>281</v>
      </c>
      <c r="B683" s="77">
        <f>IF(INDEX(MO_SNA_IsHistoricalPeriod,,MATCH(F683,MO_Common_ColumnHeader,0)),"Historical","Forward")</f>
        <v/>
      </c>
      <c r="C683" s="67" t="n"/>
      <c r="D683" s="84" t="inlineStr">
        <is>
          <t>DSO</t>
        </is>
      </c>
      <c r="E683" s="78" t="n"/>
      <c r="F683" s="77" t="inlineStr">
        <is>
          <t>FY2020</t>
        </is>
      </c>
      <c r="G683" s="77" t="n"/>
      <c r="H683" s="67" t="n"/>
      <c r="I683" s="2087" t="n">
        <v>45</v>
      </c>
      <c r="J683" s="2087" t="n">
        <v>45</v>
      </c>
      <c r="K683" s="2087">
        <f>AVERAGE(I683:J683)</f>
        <v/>
      </c>
      <c r="L683" s="67" t="n"/>
      <c r="M683" s="77">
        <f>IF(INDEX(MO_SNA_IsHistoricalPeriod,,MATCH(F683,MO_Common_ColumnHeader,0)),"Actual","Estimate")</f>
        <v/>
      </c>
      <c r="N683" s="2087">
        <f>IFERROR(INDEX(INDIRECT(E683),0,MATCH(F683,MO_Common_ColumnHeader,0)),"N/A")</f>
        <v/>
      </c>
      <c r="O683" s="67" t="n"/>
      <c r="P683" s="2169">
        <f>IF(ISNUMBER(N683),N683-K683,"N/A")</f>
        <v/>
      </c>
      <c r="Q683" s="2168">
        <f>IFERROR(IF(ISNUMBER(N683),(N683-K683)/ABS(K683),"N/A"),"N/A")</f>
        <v/>
      </c>
      <c r="R683" s="67" t="n"/>
      <c r="S683" s="80" t="n">
        <v>44032</v>
      </c>
      <c r="T683" s="88" t="inlineStr">
        <is>
          <t>Press Release</t>
        </is>
      </c>
      <c r="U683" s="67" t="n"/>
      <c r="V683" s="1016" t="n"/>
    </row>
    <row r="684" ht="14.4" customHeight="1" s="972">
      <c r="A684" s="64" t="n">
        <v>280</v>
      </c>
      <c r="B684" s="77">
        <f>IF(INDEX(MO_SNA_IsHistoricalPeriod,,MATCH(F684,MO_Common_ColumnHeader,0)),"Historical","Forward")</f>
        <v/>
      </c>
      <c r="C684" s="67" t="n"/>
      <c r="D684" s="84">
        <f>INDEX(INDIRECT(E684),0,COLUMN(MO_Common_Column_A))</f>
        <v/>
      </c>
      <c r="E684" s="78" t="inlineStr">
        <is>
          <t>MO_CFSum_Capex</t>
        </is>
      </c>
      <c r="F684" s="77" t="inlineStr">
        <is>
          <t>FY2020</t>
        </is>
      </c>
      <c r="G684" s="77" t="n"/>
      <c r="H684" s="67" t="n"/>
      <c r="I684" s="2087" t="n">
        <v>-80</v>
      </c>
      <c r="J684" s="2087" t="n">
        <v>-80</v>
      </c>
      <c r="K684" s="2087">
        <f>AVERAGE(I684:J684)</f>
        <v/>
      </c>
      <c r="L684" s="67" t="n"/>
      <c r="M684" s="77">
        <f>IF(INDEX(MO_SNA_IsHistoricalPeriod,,MATCH(F684,MO_Common_ColumnHeader,0)),"Actual","Estimate")</f>
        <v/>
      </c>
      <c r="N684" s="2087">
        <f>IFERROR(INDEX(INDIRECT(E684),0,MATCH(F684,MO_Common_ColumnHeader,0)),"N/A")</f>
        <v/>
      </c>
      <c r="O684" s="67" t="n"/>
      <c r="P684" s="2169">
        <f>IF(ISNUMBER(N684),N684-K684,"N/A")</f>
        <v/>
      </c>
      <c r="Q684" s="2168">
        <f>IFERROR(IF(ISNUMBER(N684),(N684-K684)/ABS(K684),"N/A"),"N/A")</f>
        <v/>
      </c>
      <c r="R684" s="67" t="n"/>
      <c r="S684" s="80" t="n">
        <v>44032</v>
      </c>
      <c r="T684" s="88" t="inlineStr">
        <is>
          <t>Press Release</t>
        </is>
      </c>
      <c r="U684" s="67" t="n"/>
      <c r="V684" s="1016" t="n"/>
    </row>
    <row r="685" ht="14.4" customHeight="1" s="972">
      <c r="A685" s="64" t="n">
        <v>279</v>
      </c>
      <c r="B685" s="77">
        <f>IF(INDEX(MO_SNA_IsHistoricalPeriod,,MATCH(F685,MO_Common_ColumnHeader,0)),"Historical","Forward")</f>
        <v/>
      </c>
      <c r="C685" s="67" t="n"/>
      <c r="D685" s="84">
        <f>INDEX(INDIRECT(E685),0,COLUMN(MO_Common_Column_A))</f>
        <v/>
      </c>
      <c r="E685" s="78" t="inlineStr">
        <is>
          <t>MO_RIS_Daintangibles</t>
        </is>
      </c>
      <c r="F685" s="77" t="inlineStr">
        <is>
          <t>FY2020</t>
        </is>
      </c>
      <c r="G685" s="77" t="n"/>
      <c r="H685" s="67" t="n"/>
      <c r="I685" s="2087" t="n">
        <v>64</v>
      </c>
      <c r="J685" s="2087" t="n">
        <v>64</v>
      </c>
      <c r="K685" s="2087">
        <f>AVERAGE(I685:J685)</f>
        <v/>
      </c>
      <c r="L685" s="67" t="n"/>
      <c r="M685" s="77">
        <f>IF(INDEX(MO_SNA_IsHistoricalPeriod,,MATCH(F685,MO_Common_ColumnHeader,0)),"Actual","Estimate")</f>
        <v/>
      </c>
      <c r="N685" s="2087">
        <f>IFERROR(INDEX(INDIRECT(E685),0,MATCH(F685,MO_Common_ColumnHeader,0)),"N/A")</f>
        <v/>
      </c>
      <c r="O685" s="67" t="n"/>
      <c r="P685" s="2169">
        <f>IF(ISNUMBER(N685),N685-K685,"N/A")</f>
        <v/>
      </c>
      <c r="Q685" s="2168">
        <f>IFERROR(IF(ISNUMBER(N685),(N685-K685)/ABS(K685),"N/A"),"N/A")</f>
        <v/>
      </c>
      <c r="R685" s="67" t="n"/>
      <c r="S685" s="80" t="n">
        <v>44032</v>
      </c>
      <c r="T685" s="88" t="inlineStr">
        <is>
          <t>Press Release</t>
        </is>
      </c>
      <c r="U685" s="67" t="n"/>
      <c r="V685" s="1016" t="n"/>
    </row>
    <row r="686" ht="14.4" customHeight="1" s="972">
      <c r="A686" s="64" t="n">
        <v>278</v>
      </c>
      <c r="B686" s="77">
        <f>IF(INDEX(MO_SNA_IsHistoricalPeriod,,MATCH(F686,MO_Common_ColumnHeader,0)),"Historical","Forward")</f>
        <v/>
      </c>
      <c r="C686" s="67" t="n"/>
      <c r="D686" s="84">
        <f>INDEX(INDIRECT(E686),0,COLUMN(MO_Common_Column_A))</f>
        <v/>
      </c>
      <c r="E686" s="78" t="inlineStr">
        <is>
          <t>MO_RIS_SBC</t>
        </is>
      </c>
      <c r="F686" s="77" t="inlineStr">
        <is>
          <t>FY2020</t>
        </is>
      </c>
      <c r="G686" s="77" t="n"/>
      <c r="H686" s="67" t="n"/>
      <c r="I686" s="2087" t="n">
        <v>197</v>
      </c>
      <c r="J686" s="2087" t="n">
        <v>197</v>
      </c>
      <c r="K686" s="2087">
        <f>AVERAGE(I686:J686)</f>
        <v/>
      </c>
      <c r="L686" s="67" t="n"/>
      <c r="M686" s="77">
        <f>IF(INDEX(MO_SNA_IsHistoricalPeriod,,MATCH(F686,MO_Common_ColumnHeader,0)),"Actual","Estimate")</f>
        <v/>
      </c>
      <c r="N686" s="2087">
        <f>IFERROR(INDEX(INDIRECT(E686),0,MATCH(F686,MO_Common_ColumnHeader,0)),"N/A")</f>
        <v/>
      </c>
      <c r="O686" s="67" t="n"/>
      <c r="P686" s="2169">
        <f>IF(ISNUMBER(N686),N686-K686,"N/A")</f>
        <v/>
      </c>
      <c r="Q686" s="2168">
        <f>IFERROR(IF(ISNUMBER(N686),(N686-K686)/ABS(K686),"N/A"),"N/A")</f>
        <v/>
      </c>
      <c r="R686" s="67" t="n"/>
      <c r="S686" s="80" t="n">
        <v>44032</v>
      </c>
      <c r="T686" s="88" t="inlineStr">
        <is>
          <t>Press Release</t>
        </is>
      </c>
      <c r="U686" s="67" t="n"/>
      <c r="V686" s="1016" t="n"/>
    </row>
    <row r="687" ht="14.4" customHeight="1" s="972">
      <c r="A687" s="64" t="n">
        <v>277</v>
      </c>
      <c r="B687" s="77">
        <f>IF(INDEX(MO_SNA_IsHistoricalPeriod,,MATCH(F687,MO_Common_ColumnHeader,0)),"Historical","Forward")</f>
        <v/>
      </c>
      <c r="C687" s="67" t="n"/>
      <c r="D687" s="84" t="inlineStr">
        <is>
          <t>Non-qualified deferred compensation expenses (credits)</t>
        </is>
      </c>
      <c r="E687" s="78" t="n"/>
      <c r="F687" s="77" t="inlineStr">
        <is>
          <t>FY2020</t>
        </is>
      </c>
      <c r="G687" s="77" t="n"/>
      <c r="H687" s="67" t="n"/>
      <c r="I687" s="2087" t="n">
        <v>-1</v>
      </c>
      <c r="J687" s="2087" t="n">
        <v>-1</v>
      </c>
      <c r="K687" s="2087">
        <f>AVERAGE(I687:J687)</f>
        <v/>
      </c>
      <c r="L687" s="67" t="n"/>
      <c r="M687" s="77">
        <f>IF(INDEX(MO_SNA_IsHistoricalPeriod,,MATCH(F687,MO_Common_ColumnHeader,0)),"Actual","Estimate")</f>
        <v/>
      </c>
      <c r="N687" s="2087">
        <f>IFERROR(INDEX(INDIRECT(E687),0,MATCH(F687,MO_Common_ColumnHeader,0)),"N/A")</f>
        <v/>
      </c>
      <c r="O687" s="67" t="n"/>
      <c r="P687" s="2169">
        <f>IF(ISNUMBER(N687),N687-K687,"N/A")</f>
        <v/>
      </c>
      <c r="Q687" s="2168">
        <f>IFERROR(IF(ISNUMBER(N687),(N687-K687)/ABS(K687),"N/A"),"N/A")</f>
        <v/>
      </c>
      <c r="R687" s="67" t="n"/>
      <c r="S687" s="80" t="n">
        <v>44032</v>
      </c>
      <c r="T687" s="88" t="inlineStr">
        <is>
          <t>Press Release</t>
        </is>
      </c>
      <c r="U687" s="67" t="n"/>
      <c r="V687" s="1016" t="n"/>
    </row>
    <row r="688" ht="14.4" customHeight="1" s="972">
      <c r="A688" s="64" t="n">
        <v>276</v>
      </c>
      <c r="B688" s="77">
        <f>IF(INDEX(MO_SNA_IsHistoricalPeriod,,MATCH(F688,MO_Common_ColumnHeader,0)),"Historical","Forward")</f>
        <v/>
      </c>
      <c r="C688" s="67" t="n"/>
      <c r="D688" s="84" t="inlineStr">
        <is>
          <t>Restructuring and other charges (credits)</t>
        </is>
      </c>
      <c r="E688" s="78" t="n"/>
      <c r="F688" s="77" t="inlineStr">
        <is>
          <t>FY2020</t>
        </is>
      </c>
      <c r="G688" s="77" t="n"/>
      <c r="H688" s="67" t="n"/>
      <c r="I688" s="2087" t="n">
        <v>-1</v>
      </c>
      <c r="J688" s="2087" t="n">
        <v>-1</v>
      </c>
      <c r="K688" s="2087">
        <f>AVERAGE(I688:J688)</f>
        <v/>
      </c>
      <c r="L688" s="67" t="n"/>
      <c r="M688" s="77">
        <f>IF(INDEX(MO_SNA_IsHistoricalPeriod,,MATCH(F688,MO_Common_ColumnHeader,0)),"Actual","Estimate")</f>
        <v/>
      </c>
      <c r="N688" s="2087">
        <f>IFERROR(INDEX(INDIRECT(E688),0,MATCH(F688,MO_Common_ColumnHeader,0)),"N/A")</f>
        <v/>
      </c>
      <c r="O688" s="67" t="n"/>
      <c r="P688" s="2169">
        <f>IF(ISNUMBER(N688),N688-K688,"N/A")</f>
        <v/>
      </c>
      <c r="Q688" s="2168">
        <f>IFERROR(IF(ISNUMBER(N688),(N688-K688)/ABS(K688),"N/A"),"N/A")</f>
        <v/>
      </c>
      <c r="R688" s="67" t="n"/>
      <c r="S688" s="80" t="n">
        <v>44032</v>
      </c>
      <c r="T688" s="88" t="inlineStr">
        <is>
          <t>Press Release</t>
        </is>
      </c>
      <c r="U688" s="67" t="n"/>
      <c r="V688" s="1016" t="n"/>
    </row>
    <row r="689" ht="14.4" customHeight="1" s="972">
      <c r="A689" s="64" t="n">
        <v>275</v>
      </c>
      <c r="B689" s="77">
        <f>IF(INDEX(MO_SNA_IsHistoricalPeriod,,MATCH(F689,MO_Common_ColumnHeader,0)),"Historical","Forward")</f>
        <v/>
      </c>
      <c r="C689" s="67" t="n"/>
      <c r="D689" s="84" t="inlineStr">
        <is>
          <t>Acquisition and integration-related costs</t>
        </is>
      </c>
      <c r="E689" s="78" t="n"/>
      <c r="F689" s="77" t="inlineStr">
        <is>
          <t>FY2020</t>
        </is>
      </c>
      <c r="G689" s="77" t="n"/>
      <c r="H689" s="67" t="n"/>
      <c r="I689" s="2087" t="n">
        <v>19</v>
      </c>
      <c r="J689" s="2087" t="n">
        <v>19</v>
      </c>
      <c r="K689" s="2087">
        <f>AVERAGE(I689:J689)</f>
        <v/>
      </c>
      <c r="L689" s="67" t="n"/>
      <c r="M689" s="77">
        <f>IF(INDEX(MO_SNA_IsHistoricalPeriod,,MATCH(F689,MO_Common_ColumnHeader,0)),"Actual","Estimate")</f>
        <v/>
      </c>
      <c r="N689" s="2087">
        <f>IFERROR(INDEX(INDIRECT(E689),0,MATCH(F689,MO_Common_ColumnHeader,0)),"N/A")</f>
        <v/>
      </c>
      <c r="O689" s="67" t="n"/>
      <c r="P689" s="2169">
        <f>IF(ISNUMBER(N689),N689-K689,"N/A")</f>
        <v/>
      </c>
      <c r="Q689" s="2168">
        <f>IFERROR(IF(ISNUMBER(N689),(N689-K689)/ABS(K689),"N/A"),"N/A")</f>
        <v/>
      </c>
      <c r="R689" s="67" t="n"/>
      <c r="S689" s="80" t="n">
        <v>44032</v>
      </c>
      <c r="T689" s="88" t="inlineStr">
        <is>
          <t>Press Release</t>
        </is>
      </c>
      <c r="U689" s="67" t="n"/>
      <c r="V689" s="1016" t="n"/>
    </row>
    <row r="690" ht="14.4" customHeight="1" s="972">
      <c r="A690" s="64" t="n">
        <v>274</v>
      </c>
      <c r="B690" s="77">
        <f>IF(INDEX(MO_SNA_IsHistoricalPeriod,,MATCH(F690,MO_Common_ColumnHeader,0)),"Historical","Forward")</f>
        <v/>
      </c>
      <c r="C690" s="67" t="n"/>
      <c r="D690" s="84" t="inlineStr">
        <is>
          <t>Other income or expense related to investments and non-qualified deferred compensation plan assets</t>
        </is>
      </c>
      <c r="E690" s="78" t="n"/>
      <c r="F690" s="77" t="inlineStr">
        <is>
          <t>FY2020</t>
        </is>
      </c>
      <c r="G690" s="77" t="n"/>
      <c r="H690" s="67" t="n"/>
      <c r="I690" s="2087" t="n">
        <v>6</v>
      </c>
      <c r="J690" s="2087" t="n">
        <v>6</v>
      </c>
      <c r="K690" s="2087">
        <f>AVERAGE(I690:J690)</f>
        <v/>
      </c>
      <c r="L690" s="67" t="n"/>
      <c r="M690" s="77">
        <f>IF(INDEX(MO_SNA_IsHistoricalPeriod,,MATCH(F690,MO_Common_ColumnHeader,0)),"Actual","Estimate")</f>
        <v/>
      </c>
      <c r="N690" s="2087">
        <f>IFERROR(INDEX(INDIRECT(E690),0,MATCH(F690,MO_Common_ColumnHeader,0)),"N/A")</f>
        <v/>
      </c>
      <c r="O690" s="67" t="n"/>
      <c r="P690" s="2169">
        <f>IF(ISNUMBER(N690),N690-K690,"N/A")</f>
        <v/>
      </c>
      <c r="Q690" s="2168">
        <f>IFERROR(IF(ISNUMBER(N690),(N690-K690)/ABS(K690),"N/A"),"N/A")</f>
        <v/>
      </c>
      <c r="R690" s="67" t="n"/>
      <c r="S690" s="80" t="n">
        <v>44032</v>
      </c>
      <c r="T690" s="88" t="inlineStr">
        <is>
          <t>Press Release</t>
        </is>
      </c>
      <c r="U690" s="67" t="n"/>
      <c r="V690" s="1016" t="n"/>
    </row>
    <row r="691" ht="14.4" customHeight="1" s="972">
      <c r="A691" s="64" t="n">
        <v>273</v>
      </c>
      <c r="B691" s="77">
        <f>IF(INDEX(MO_SNA_IsHistoricalPeriod,,MATCH(F691,MO_Common_ColumnHeader,0)),"Historical","Forward")</f>
        <v/>
      </c>
      <c r="C691" s="67" t="n"/>
      <c r="D691" s="84" t="inlineStr">
        <is>
          <t>Income tax effect on non-GAAP adjustments</t>
        </is>
      </c>
      <c r="E691" s="78" t="n"/>
      <c r="F691" s="77" t="inlineStr">
        <is>
          <t>FY2020</t>
        </is>
      </c>
      <c r="G691" s="77" t="n"/>
      <c r="H691" s="67" t="n"/>
      <c r="I691" s="2087" t="n">
        <v>-100</v>
      </c>
      <c r="J691" s="2087" t="n">
        <v>-100</v>
      </c>
      <c r="K691" s="2087">
        <f>AVERAGE(I691:J691)</f>
        <v/>
      </c>
      <c r="L691" s="67" t="n"/>
      <c r="M691" s="77">
        <f>IF(INDEX(MO_SNA_IsHistoricalPeriod,,MATCH(F691,MO_Common_ColumnHeader,0)),"Actual","Estimate")</f>
        <v/>
      </c>
      <c r="N691" s="2087">
        <f>IFERROR(INDEX(INDIRECT(E691),0,MATCH(F691,MO_Common_ColumnHeader,0)),"N/A")</f>
        <v/>
      </c>
      <c r="O691" s="67" t="n"/>
      <c r="P691" s="2169">
        <f>IF(ISNUMBER(N691),N691-K691,"N/A")</f>
        <v/>
      </c>
      <c r="Q691" s="2168">
        <f>IFERROR(IF(ISNUMBER(N691),(N691-K691)/ABS(K691),"N/A"),"N/A")</f>
        <v/>
      </c>
      <c r="R691" s="67" t="n"/>
      <c r="S691" s="80" t="n">
        <v>44032</v>
      </c>
      <c r="T691" s="88" t="inlineStr">
        <is>
          <t>Press Release</t>
        </is>
      </c>
      <c r="U691" s="67" t="n"/>
      <c r="V691" s="1016" t="n"/>
    </row>
    <row r="692" ht="14.4" customHeight="1" s="972">
      <c r="A692" s="64" t="n">
        <v>272</v>
      </c>
      <c r="B692" s="77">
        <f>IF(INDEX(MO_SNA_IsHistoricalPeriod,,MATCH(F692,MO_Common_ColumnHeader,0)),"Historical","Forward")</f>
        <v/>
      </c>
      <c r="C692" s="67" t="n"/>
      <c r="D692" s="84">
        <f>INDEX(INDIRECT(E692),0,COLUMN(MO_Common_Column_A))</f>
        <v/>
      </c>
      <c r="E692" s="78" t="inlineStr">
        <is>
          <t>MO_RIS_NI_GAAP_Diluted</t>
        </is>
      </c>
      <c r="F692" s="77" t="inlineStr">
        <is>
          <t>FY2020</t>
        </is>
      </c>
      <c r="G692" s="77" t="n"/>
      <c r="H692" s="67" t="n"/>
      <c r="I692" s="2087" t="n">
        <v>516</v>
      </c>
      <c r="J692" s="2087" t="n">
        <v>533</v>
      </c>
      <c r="K692" s="2087">
        <f>AVERAGE(I692:J692)</f>
        <v/>
      </c>
      <c r="L692" s="67" t="n"/>
      <c r="M692" s="77">
        <f>IF(INDEX(MO_SNA_IsHistoricalPeriod,,MATCH(F692,MO_Common_ColumnHeader,0)),"Actual","Estimate")</f>
        <v/>
      </c>
      <c r="N692" s="2087">
        <f>IFERROR(INDEX(INDIRECT(E692),0,MATCH(F692,MO_Common_ColumnHeader,0)),"N/A")</f>
        <v/>
      </c>
      <c r="O692" s="67" t="n"/>
      <c r="P692" s="2169">
        <f>IF(ISNUMBER(N692),N692-K692,"N/A")</f>
        <v/>
      </c>
      <c r="Q692" s="2168">
        <f>IFERROR(IF(ISNUMBER(N692),(N692-K692)/ABS(K692),"N/A"),"N/A")</f>
        <v/>
      </c>
      <c r="R692" s="67" t="n"/>
      <c r="S692" s="80" t="n">
        <v>44032</v>
      </c>
      <c r="T692" s="88" t="inlineStr">
        <is>
          <t>Press Release</t>
        </is>
      </c>
      <c r="U692" s="67" t="n"/>
      <c r="V692" s="1016" t="n"/>
    </row>
    <row r="693" ht="14.4" customHeight="1" s="972">
      <c r="A693" s="64" t="n">
        <v>271</v>
      </c>
      <c r="B693" s="77">
        <f>IF(INDEX(MO_SNA_IsHistoricalPeriod,,MATCH(F693,MO_Common_ColumnHeader,0)),"Historical","Forward")</f>
        <v/>
      </c>
      <c r="C693" s="67" t="n"/>
      <c r="D693" s="84">
        <f>INDEX(INDIRECT(E693),0,COLUMN(MO_Common_Column_A))</f>
        <v/>
      </c>
      <c r="E693" s="78" t="inlineStr">
        <is>
          <t>MO_RIS_NI_NONGAAP_Diluted</t>
        </is>
      </c>
      <c r="F693" s="77" t="inlineStr">
        <is>
          <t>FY2020</t>
        </is>
      </c>
      <c r="G693" s="77" t="n"/>
      <c r="H693" s="67" t="n"/>
      <c r="I693" s="2087" t="n">
        <v>700</v>
      </c>
      <c r="J693" s="2087" t="n">
        <v>717</v>
      </c>
      <c r="K693" s="2087">
        <f>AVERAGE(I693:J693)</f>
        <v/>
      </c>
      <c r="L693" s="67" t="n"/>
      <c r="M693" s="77">
        <f>IF(INDEX(MO_SNA_IsHistoricalPeriod,,MATCH(F693,MO_Common_ColumnHeader,0)),"Actual","Estimate")</f>
        <v/>
      </c>
      <c r="N693" s="2087">
        <f>IFERROR(INDEX(INDIRECT(E693),0,MATCH(F693,MO_Common_ColumnHeader,0)),"N/A")</f>
        <v/>
      </c>
      <c r="O693" s="67" t="n"/>
      <c r="P693" s="2169">
        <f>IF(ISNUMBER(N693),N693-K693,"N/A")</f>
        <v/>
      </c>
      <c r="Q693" s="2168">
        <f>IFERROR(IF(ISNUMBER(N693),(N693-K693)/ABS(K693),"N/A"),"N/A")</f>
        <v/>
      </c>
      <c r="R693" s="67" t="n"/>
      <c r="S693" s="80" t="n">
        <v>44032</v>
      </c>
      <c r="T693" s="88" t="inlineStr">
        <is>
          <t>Press Release</t>
        </is>
      </c>
      <c r="U693" s="67" t="n"/>
      <c r="V693" s="1016" t="n"/>
    </row>
    <row r="694" ht="14.4" customHeight="1" s="972">
      <c r="A694" s="64" t="n">
        <v>270</v>
      </c>
      <c r="B694" s="67" t="n"/>
      <c r="C694" s="67" t="n"/>
      <c r="D694" s="68" t="n"/>
      <c r="E694" s="69" t="n"/>
      <c r="F694" s="67" t="n"/>
      <c r="G694" s="67" t="n"/>
      <c r="H694" s="67" t="n"/>
      <c r="I694" s="2072" t="n"/>
      <c r="J694" s="2072" t="n"/>
      <c r="K694" s="2072" t="n"/>
      <c r="L694" s="67" t="n"/>
      <c r="M694" s="67" t="n"/>
      <c r="N694" s="2072" t="n"/>
      <c r="O694" s="67" t="n"/>
      <c r="P694" s="2172" t="n"/>
      <c r="Q694" s="2173" t="n"/>
      <c r="R694" s="67" t="n"/>
      <c r="S694" s="72" t="n"/>
      <c r="T694" s="89" t="n"/>
      <c r="U694" s="67" t="n"/>
      <c r="V694" s="1016" t="n"/>
    </row>
    <row r="695" ht="14.4" customHeight="1" s="972">
      <c r="A695" s="64" t="n">
        <v>269</v>
      </c>
      <c r="B695" s="77">
        <f>IF(INDEX(MO_SNA_IsHistoricalPeriod,,MATCH(F695,MO_Common_ColumnHeader,0)),"Historical","Forward")</f>
        <v/>
      </c>
      <c r="C695" s="67" t="n"/>
      <c r="D695" s="84">
        <f>INDEX(INDIRECT(E695),0,COLUMN(MO_Common_Column_A))</f>
        <v/>
      </c>
      <c r="E695" s="78" t="inlineStr">
        <is>
          <t>MO_RIS_REV</t>
        </is>
      </c>
      <c r="F695" s="77" t="inlineStr">
        <is>
          <t>Q3-2020</t>
        </is>
      </c>
      <c r="G695" s="77" t="n"/>
      <c r="H695" s="67" t="n"/>
      <c r="I695" s="2087" t="n">
        <v>630</v>
      </c>
      <c r="J695" s="2087" t="n">
        <v>650</v>
      </c>
      <c r="K695" s="2087">
        <f>AVERAGE(I695:J695)</f>
        <v/>
      </c>
      <c r="L695" s="67" t="n"/>
      <c r="M695" s="77">
        <f>IF(INDEX(MO_SNA_IsHistoricalPeriod,,MATCH(F695,MO_Common_ColumnHeader,0)),"Actual","Estimate")</f>
        <v/>
      </c>
      <c r="N695" s="2087">
        <f>IFERROR(INDEX(INDIRECT(E695),0,MATCH(F695,MO_Common_ColumnHeader,0)),"N/A")</f>
        <v/>
      </c>
      <c r="O695" s="67" t="n"/>
      <c r="P695" s="2169">
        <f>IF(ISNUMBER(N695),N695-K695,"N/A")</f>
        <v/>
      </c>
      <c r="Q695" s="2168">
        <f>IFERROR(IF(ISNUMBER(N695),(N695-K695)/ABS(K695),"N/A"),"N/A")</f>
        <v/>
      </c>
      <c r="R695" s="67" t="n"/>
      <c r="S695" s="80" t="n">
        <v>44032</v>
      </c>
      <c r="T695" s="88" t="inlineStr">
        <is>
          <t>Press Release</t>
        </is>
      </c>
      <c r="U695" s="67" t="n"/>
      <c r="V695" s="1016" t="n"/>
    </row>
    <row r="696" ht="14.4" customHeight="1" s="972">
      <c r="A696" s="64" t="n">
        <v>268</v>
      </c>
      <c r="B696" s="77">
        <f>IF(INDEX(MO_SNA_IsHistoricalPeriod,,MATCH(F696,MO_Common_ColumnHeader,0)),"Historical","Forward")</f>
        <v/>
      </c>
      <c r="C696" s="67" t="n"/>
      <c r="D696" s="84" t="inlineStr">
        <is>
          <t>GAAP Operating Margin</t>
        </is>
      </c>
      <c r="E696" s="78" t="n"/>
      <c r="F696" s="77" t="inlineStr">
        <is>
          <t>Q3-2020</t>
        </is>
      </c>
      <c r="G696" s="77" t="n"/>
      <c r="H696" s="67" t="n"/>
      <c r="I696" s="2108" t="n">
        <v>0.22</v>
      </c>
      <c r="J696" s="2108" t="n">
        <v>0.22</v>
      </c>
      <c r="K696" s="2108">
        <f>AVERAGE(I696:J696)</f>
        <v/>
      </c>
      <c r="L696" s="67" t="n"/>
      <c r="M696" s="77">
        <f>IF(INDEX(MO_SNA_IsHistoricalPeriod,,MATCH(F696,MO_Common_ColumnHeader,0)),"Actual","Estimate")</f>
        <v/>
      </c>
      <c r="N696" s="2108">
        <f>IFERROR(INDEX(INDIRECT(E696),0,MATCH(F696,MO_Common_ColumnHeader,0)),"N/A")</f>
        <v/>
      </c>
      <c r="O696" s="67" t="n"/>
      <c r="P696" s="2168">
        <f>IF(ISNUMBER(N696),N696-K696,"N/A")</f>
        <v/>
      </c>
      <c r="Q696" s="2168">
        <f>IFERROR(IF(ISNUMBER(N696),(N696-K696)/ABS(K696),"N/A"),"N/A")</f>
        <v/>
      </c>
      <c r="R696" s="67" t="n"/>
      <c r="S696" s="80" t="n">
        <v>44032</v>
      </c>
      <c r="T696" s="88" t="inlineStr">
        <is>
          <t>Press Release</t>
        </is>
      </c>
      <c r="U696" s="67" t="n"/>
      <c r="V696" s="1016" t="n"/>
    </row>
    <row r="697" ht="14.4" customHeight="1" s="972">
      <c r="A697" s="64" t="n">
        <v>267</v>
      </c>
      <c r="B697" s="77">
        <f>IF(INDEX(MO_SNA_IsHistoricalPeriod,,MATCH(F697,MO_Common_ColumnHeader,0)),"Historical","Forward")</f>
        <v/>
      </c>
      <c r="C697" s="67" t="n"/>
      <c r="D697" s="84">
        <f>INDEX(INDIRECT(E697),0,COLUMN(MO_Common_Column_A))</f>
        <v/>
      </c>
      <c r="E697" s="78" t="inlineStr">
        <is>
          <t>MO_MA_OperatingIncome_NONGAAP</t>
        </is>
      </c>
      <c r="F697" s="77" t="inlineStr">
        <is>
          <t>Q3-2020</t>
        </is>
      </c>
      <c r="G697" s="77" t="n"/>
      <c r="H697" s="67" t="n"/>
      <c r="I697" s="2108" t="n">
        <v>0.32</v>
      </c>
      <c r="J697" s="2108" t="n">
        <v>0.32</v>
      </c>
      <c r="K697" s="2108">
        <f>AVERAGE(I697:J697)</f>
        <v/>
      </c>
      <c r="L697" s="67" t="n"/>
      <c r="M697" s="77">
        <f>IF(INDEX(MO_SNA_IsHistoricalPeriod,,MATCH(F697,MO_Common_ColumnHeader,0)),"Actual","Estimate")</f>
        <v/>
      </c>
      <c r="N697" s="2108">
        <f>IFERROR(INDEX(INDIRECT(E697),0,MATCH(F697,MO_Common_ColumnHeader,0)),"N/A")</f>
        <v/>
      </c>
      <c r="O697" s="67" t="n"/>
      <c r="P697" s="2168">
        <f>IF(ISNUMBER(N697),N697-K697,"N/A")</f>
        <v/>
      </c>
      <c r="Q697" s="2168">
        <f>IFERROR(IF(ISNUMBER(N697),(N697-K697)/ABS(K697),"N/A"),"N/A")</f>
        <v/>
      </c>
      <c r="R697" s="67" t="n"/>
      <c r="S697" s="80" t="n">
        <v>44032</v>
      </c>
      <c r="T697" s="88" t="inlineStr">
        <is>
          <t>Press Release</t>
        </is>
      </c>
      <c r="U697" s="67" t="n"/>
      <c r="V697" s="1016" t="n"/>
    </row>
    <row r="698" ht="14.4" customHeight="1" s="972">
      <c r="A698" s="64" t="n">
        <v>266</v>
      </c>
      <c r="B698" s="77">
        <f>IF(INDEX(MO_SNA_IsHistoricalPeriod,,MATCH(F698,MO_Common_ColumnHeader,0)),"Historical","Forward")</f>
        <v/>
      </c>
      <c r="C698" s="67" t="n"/>
      <c r="D698" s="84">
        <f>INDEX(INDIRECT(E698),0,COLUMN(MO_Common_Column_A))</f>
        <v/>
      </c>
      <c r="E698" s="78" t="inlineStr">
        <is>
          <t>MO_RIS_EPS_WAD</t>
        </is>
      </c>
      <c r="F698" s="77" t="inlineStr">
        <is>
          <t>Q3-2020</t>
        </is>
      </c>
      <c r="G698" s="77" t="n"/>
      <c r="H698" s="67" t="n"/>
      <c r="I698" s="2170" t="n">
        <v>0.49</v>
      </c>
      <c r="J698" s="2170" t="n">
        <v>0.51</v>
      </c>
      <c r="K698" s="2170">
        <f>AVERAGE(I698:J698)</f>
        <v/>
      </c>
      <c r="L698" s="67" t="n"/>
      <c r="M698" s="77">
        <f>IF(INDEX(MO_SNA_IsHistoricalPeriod,,MATCH(F698,MO_Common_ColumnHeader,0)),"Actual","Estimate")</f>
        <v/>
      </c>
      <c r="N698" s="2170">
        <f>IFERROR(INDEX(INDIRECT(E698),0,MATCH(F698,MO_Common_ColumnHeader,0)),"N/A")</f>
        <v/>
      </c>
      <c r="O698" s="67" t="n"/>
      <c r="P698" s="2171">
        <f>IF(ISNUMBER(N698),N698-K698,"N/A")</f>
        <v/>
      </c>
      <c r="Q698" s="2168">
        <f>IFERROR(IF(ISNUMBER(N698),(N698-K698)/ABS(K698),"N/A"),"N/A")</f>
        <v/>
      </c>
      <c r="R698" s="67" t="n"/>
      <c r="S698" s="80" t="n">
        <v>44032</v>
      </c>
      <c r="T698" s="88" t="inlineStr">
        <is>
          <t>Press Release</t>
        </is>
      </c>
      <c r="U698" s="67" t="n"/>
      <c r="V698" s="1016" t="n"/>
    </row>
    <row r="699" ht="14.4" customHeight="1" s="972">
      <c r="A699" s="64" t="n">
        <v>265</v>
      </c>
      <c r="B699" s="77">
        <f>IF(INDEX(MO_SNA_IsHistoricalPeriod,,MATCH(F699,MO_Common_ColumnHeader,0)),"Historical","Forward")</f>
        <v/>
      </c>
      <c r="C699" s="67" t="n"/>
      <c r="D699" s="84">
        <f>INDEX(INDIRECT(E699),0,COLUMN(MO_Common_Column_A))</f>
        <v/>
      </c>
      <c r="E699" s="78" t="inlineStr">
        <is>
          <t>MO_RIS_EPS_WAD_Adj</t>
        </is>
      </c>
      <c r="F699" s="77" t="inlineStr">
        <is>
          <t>Q3-2020</t>
        </is>
      </c>
      <c r="G699" s="77" t="n"/>
      <c r="H699" s="67" t="n"/>
      <c r="I699" s="2170" t="n">
        <v>0.59</v>
      </c>
      <c r="J699" s="2170" t="n">
        <v>0.61</v>
      </c>
      <c r="K699" s="2170">
        <f>AVERAGE(I699:J699)</f>
        <v/>
      </c>
      <c r="L699" s="67" t="n"/>
      <c r="M699" s="77">
        <f>IF(INDEX(MO_SNA_IsHistoricalPeriod,,MATCH(F699,MO_Common_ColumnHeader,0)),"Actual","Estimate")</f>
        <v/>
      </c>
      <c r="N699" s="2170">
        <f>IFERROR(INDEX(INDIRECT(E699),0,MATCH(F699,MO_Common_ColumnHeader,0)),"N/A")</f>
        <v/>
      </c>
      <c r="O699" s="67" t="n"/>
      <c r="P699" s="2171">
        <f>IF(ISNUMBER(N699),N699-K699,"N/A")</f>
        <v/>
      </c>
      <c r="Q699" s="2168">
        <f>IFERROR(IF(ISNUMBER(N699),(N699-K699)/ABS(K699),"N/A"),"N/A")</f>
        <v/>
      </c>
      <c r="R699" s="67" t="n"/>
      <c r="S699" s="80" t="n">
        <v>44032</v>
      </c>
      <c r="T699" s="88" t="inlineStr">
        <is>
          <t>Press Release</t>
        </is>
      </c>
      <c r="U699" s="67" t="n"/>
      <c r="V699" s="1016" t="n"/>
    </row>
    <row r="700" ht="14.4" customHeight="1" s="972">
      <c r="A700" s="64" t="n">
        <v>264</v>
      </c>
      <c r="B700" s="77">
        <f>IF(INDEX(MO_SNA_IsHistoricalPeriod,,MATCH(F700,MO_Common_ColumnHeader,0)),"Historical","Forward")</f>
        <v/>
      </c>
      <c r="C700" s="67" t="n"/>
      <c r="D700" s="84">
        <f>INDEX(INDIRECT(E700),0,COLUMN(MO_Common_Column_A))</f>
        <v/>
      </c>
      <c r="E700" s="78" t="inlineStr">
        <is>
          <t>MO_RIS_Daintangibles</t>
        </is>
      </c>
      <c r="F700" s="77" t="inlineStr">
        <is>
          <t>Q3-2020</t>
        </is>
      </c>
      <c r="G700" s="77" t="n"/>
      <c r="H700" s="67" t="n"/>
      <c r="I700" s="2087" t="n">
        <v>16</v>
      </c>
      <c r="J700" s="2087" t="n">
        <v>16</v>
      </c>
      <c r="K700" s="2087">
        <f>AVERAGE(I700:J700)</f>
        <v/>
      </c>
      <c r="L700" s="67" t="n"/>
      <c r="M700" s="77">
        <f>IF(INDEX(MO_SNA_IsHistoricalPeriod,,MATCH(F700,MO_Common_ColumnHeader,0)),"Actual","Estimate")</f>
        <v/>
      </c>
      <c r="N700" s="2087">
        <f>IFERROR(INDEX(INDIRECT(E700),0,MATCH(F700,MO_Common_ColumnHeader,0)),"N/A")</f>
        <v/>
      </c>
      <c r="O700" s="67" t="n"/>
      <c r="P700" s="2169">
        <f>IF(ISNUMBER(N700),N700-K700,"N/A")</f>
        <v/>
      </c>
      <c r="Q700" s="2168">
        <f>IFERROR(IF(ISNUMBER(N700),(N700-K700)/ABS(K700),"N/A"),"N/A")</f>
        <v/>
      </c>
      <c r="R700" s="67" t="n"/>
      <c r="S700" s="80" t="n">
        <v>44032</v>
      </c>
      <c r="T700" s="88" t="inlineStr">
        <is>
          <t>Press Release</t>
        </is>
      </c>
      <c r="U700" s="67" t="n"/>
      <c r="V700" s="1016" t="n"/>
    </row>
    <row r="701" ht="14.4" customHeight="1" s="972">
      <c r="A701" s="64" t="n">
        <v>263</v>
      </c>
      <c r="B701" s="77">
        <f>IF(INDEX(MO_SNA_IsHistoricalPeriod,,MATCH(F701,MO_Common_ColumnHeader,0)),"Historical","Forward")</f>
        <v/>
      </c>
      <c r="C701" s="67" t="n"/>
      <c r="D701" s="84">
        <f>INDEX(INDIRECT(E701),0,COLUMN(MO_Common_Column_A))</f>
        <v/>
      </c>
      <c r="E701" s="78" t="inlineStr">
        <is>
          <t>MO_RIS_SBC</t>
        </is>
      </c>
      <c r="F701" s="77" t="inlineStr">
        <is>
          <t>Q3-2020</t>
        </is>
      </c>
      <c r="G701" s="77" t="n"/>
      <c r="H701" s="67" t="n"/>
      <c r="I701" s="2087" t="n">
        <v>45</v>
      </c>
      <c r="J701" s="2087" t="n">
        <v>45</v>
      </c>
      <c r="K701" s="2087">
        <f>AVERAGE(I701:J701)</f>
        <v/>
      </c>
      <c r="L701" s="67" t="n"/>
      <c r="M701" s="77">
        <f>IF(INDEX(MO_SNA_IsHistoricalPeriod,,MATCH(F701,MO_Common_ColumnHeader,0)),"Actual","Estimate")</f>
        <v/>
      </c>
      <c r="N701" s="2087">
        <f>IFERROR(INDEX(INDIRECT(E701),0,MATCH(F701,MO_Common_ColumnHeader,0)),"N/A")</f>
        <v/>
      </c>
      <c r="O701" s="67" t="n"/>
      <c r="P701" s="2169">
        <f>IF(ISNUMBER(N701),N701-K701,"N/A")</f>
        <v/>
      </c>
      <c r="Q701" s="2168">
        <f>IFERROR(IF(ISNUMBER(N701),(N701-K701)/ABS(K701),"N/A"),"N/A")</f>
        <v/>
      </c>
      <c r="R701" s="67" t="n"/>
      <c r="S701" s="80" t="n">
        <v>44032</v>
      </c>
      <c r="T701" s="88" t="inlineStr">
        <is>
          <t>Press Release</t>
        </is>
      </c>
      <c r="U701" s="67" t="n"/>
      <c r="V701" s="1016" t="n"/>
    </row>
    <row r="702" ht="14.4" customHeight="1" s="972">
      <c r="A702" s="64" t="n">
        <v>262</v>
      </c>
      <c r="B702" s="77">
        <f>IF(INDEX(MO_SNA_IsHistoricalPeriod,,MATCH(F702,MO_Common_ColumnHeader,0)),"Historical","Forward")</f>
        <v/>
      </c>
      <c r="C702" s="67" t="n"/>
      <c r="D702" s="84" t="inlineStr">
        <is>
          <t>Acquisition and integration-related costs</t>
        </is>
      </c>
      <c r="E702" s="78" t="n"/>
      <c r="F702" s="77" t="inlineStr">
        <is>
          <t>Q3-2020</t>
        </is>
      </c>
      <c r="G702" s="77" t="n"/>
      <c r="H702" s="67" t="n"/>
      <c r="I702" s="2087" t="n">
        <v>4</v>
      </c>
      <c r="J702" s="2087" t="n">
        <v>4</v>
      </c>
      <c r="K702" s="2087">
        <f>AVERAGE(I702:J702)</f>
        <v/>
      </c>
      <c r="L702" s="67" t="n"/>
      <c r="M702" s="77">
        <f>IF(INDEX(MO_SNA_IsHistoricalPeriod,,MATCH(F702,MO_Common_ColumnHeader,0)),"Actual","Estimate")</f>
        <v/>
      </c>
      <c r="N702" s="2087">
        <f>IFERROR(INDEX(INDIRECT(E702),0,MATCH(F702,MO_Common_ColumnHeader,0)),"N/A")</f>
        <v/>
      </c>
      <c r="O702" s="67" t="n"/>
      <c r="P702" s="2169">
        <f>IF(ISNUMBER(N702),N702-K702,"N/A")</f>
        <v/>
      </c>
      <c r="Q702" s="2168">
        <f>IFERROR(IF(ISNUMBER(N702),(N702-K702)/ABS(K702),"N/A"),"N/A")</f>
        <v/>
      </c>
      <c r="R702" s="67" t="n"/>
      <c r="S702" s="80" t="n">
        <v>44032</v>
      </c>
      <c r="T702" s="88" t="inlineStr">
        <is>
          <t>Press Release</t>
        </is>
      </c>
      <c r="U702" s="67" t="n"/>
      <c r="V702" s="1016" t="n"/>
    </row>
    <row r="703" ht="14.4" customHeight="1" s="972">
      <c r="A703" s="64" t="n">
        <v>261</v>
      </c>
      <c r="B703" s="77">
        <f>IF(INDEX(MO_SNA_IsHistoricalPeriod,,MATCH(F703,MO_Common_ColumnHeader,0)),"Historical","Forward")</f>
        <v/>
      </c>
      <c r="C703" s="67" t="n"/>
      <c r="D703" s="84" t="inlineStr">
        <is>
          <t>Other income or expense related to investments and non-qualified deferred compensation plan assets</t>
        </is>
      </c>
      <c r="E703" s="78" t="n"/>
      <c r="F703" s="77" t="inlineStr">
        <is>
          <t>Q3-2020</t>
        </is>
      </c>
      <c r="G703" s="77" t="n"/>
      <c r="H703" s="67" t="n"/>
      <c r="I703" s="2087" t="n">
        <v>1</v>
      </c>
      <c r="J703" s="2087" t="n">
        <v>1</v>
      </c>
      <c r="K703" s="2087">
        <f>AVERAGE(I703:J703)</f>
        <v/>
      </c>
      <c r="L703" s="67" t="n"/>
      <c r="M703" s="77">
        <f>IF(INDEX(MO_SNA_IsHistoricalPeriod,,MATCH(F703,MO_Common_ColumnHeader,0)),"Actual","Estimate")</f>
        <v/>
      </c>
      <c r="N703" s="2087">
        <f>IFERROR(INDEX(INDIRECT(E703),0,MATCH(F703,MO_Common_ColumnHeader,0)),"N/A")</f>
        <v/>
      </c>
      <c r="O703" s="67" t="n"/>
      <c r="P703" s="2169">
        <f>IF(ISNUMBER(N703),N703-K703,"N/A")</f>
        <v/>
      </c>
      <c r="Q703" s="2168">
        <f>IFERROR(IF(ISNUMBER(N703),(N703-K703)/ABS(K703),"N/A"),"N/A")</f>
        <v/>
      </c>
      <c r="R703" s="67" t="n"/>
      <c r="S703" s="80" t="n">
        <v>44032</v>
      </c>
      <c r="T703" s="88" t="inlineStr">
        <is>
          <t>Press Release</t>
        </is>
      </c>
      <c r="U703" s="67" t="n"/>
      <c r="V703" s="1016" t="n"/>
    </row>
    <row r="704" ht="14.4" customHeight="1" s="972">
      <c r="A704" s="64" t="n">
        <v>260</v>
      </c>
      <c r="B704" s="77">
        <f>IF(INDEX(MO_SNA_IsHistoricalPeriod,,MATCH(F704,MO_Common_ColumnHeader,0)),"Historical","Forward")</f>
        <v/>
      </c>
      <c r="C704" s="67" t="n"/>
      <c r="D704" s="84" t="inlineStr">
        <is>
          <t>Income tax effect on non-GAAP adjustments</t>
        </is>
      </c>
      <c r="E704" s="78" t="n"/>
      <c r="F704" s="77" t="inlineStr">
        <is>
          <t>Q3-2020</t>
        </is>
      </c>
      <c r="G704" s="77" t="n"/>
      <c r="H704" s="67" t="n"/>
      <c r="I704" s="2087" t="n">
        <v>-9</v>
      </c>
      <c r="J704" s="2087" t="n">
        <v>-9</v>
      </c>
      <c r="K704" s="2087">
        <f>AVERAGE(I704:J704)</f>
        <v/>
      </c>
      <c r="L704" s="67" t="n"/>
      <c r="M704" s="77">
        <f>IF(INDEX(MO_SNA_IsHistoricalPeriod,,MATCH(F704,MO_Common_ColumnHeader,0)),"Actual","Estimate")</f>
        <v/>
      </c>
      <c r="N704" s="2087">
        <f>IFERROR(INDEX(INDIRECT(E704),0,MATCH(F704,MO_Common_ColumnHeader,0)),"N/A")</f>
        <v/>
      </c>
      <c r="O704" s="67" t="n"/>
      <c r="P704" s="2169">
        <f>IF(ISNUMBER(N704),N704-K704,"N/A")</f>
        <v/>
      </c>
      <c r="Q704" s="2168">
        <f>IFERROR(IF(ISNUMBER(N704),(N704-K704)/ABS(K704),"N/A"),"N/A")</f>
        <v/>
      </c>
      <c r="R704" s="67" t="n"/>
      <c r="S704" s="80" t="n">
        <v>44032</v>
      </c>
      <c r="T704" s="88" t="inlineStr">
        <is>
          <t>Press Release</t>
        </is>
      </c>
      <c r="U704" s="67" t="n"/>
      <c r="V704" s="1016" t="n"/>
    </row>
    <row r="705" ht="14.4" customHeight="1" s="972">
      <c r="A705" s="64" t="n">
        <v>259</v>
      </c>
      <c r="B705" s="77">
        <f>IF(INDEX(MO_SNA_IsHistoricalPeriod,,MATCH(F705,MO_Common_ColumnHeader,0)),"Historical","Forward")</f>
        <v/>
      </c>
      <c r="C705" s="67" t="n"/>
      <c r="D705" s="84">
        <f>INDEX(INDIRECT(E705),0,COLUMN(MO_Common_Column_A))</f>
        <v/>
      </c>
      <c r="E705" s="78" t="inlineStr">
        <is>
          <t>MO_RIS_NI_GAAP_Diluted</t>
        </is>
      </c>
      <c r="F705" s="77" t="inlineStr">
        <is>
          <t>Q3-2020</t>
        </is>
      </c>
      <c r="G705" s="77" t="n"/>
      <c r="H705" s="67" t="n"/>
      <c r="I705" s="2087" t="n">
        <v>138</v>
      </c>
      <c r="J705" s="2087" t="n">
        <v>144</v>
      </c>
      <c r="K705" s="2087">
        <f>AVERAGE(I705:J705)</f>
        <v/>
      </c>
      <c r="L705" s="67" t="n"/>
      <c r="M705" s="77">
        <f>IF(INDEX(MO_SNA_IsHistoricalPeriod,,MATCH(F705,MO_Common_ColumnHeader,0)),"Actual","Estimate")</f>
        <v/>
      </c>
      <c r="N705" s="2087">
        <f>IFERROR(INDEX(INDIRECT(E705),0,MATCH(F705,MO_Common_ColumnHeader,0)),"N/A")</f>
        <v/>
      </c>
      <c r="O705" s="67" t="n"/>
      <c r="P705" s="2169">
        <f>IF(ISNUMBER(N705),N705-K705,"N/A")</f>
        <v/>
      </c>
      <c r="Q705" s="2168">
        <f>IFERROR(IF(ISNUMBER(N705),(N705-K705)/ABS(K705),"N/A"),"N/A")</f>
        <v/>
      </c>
      <c r="R705" s="67" t="n"/>
      <c r="S705" s="80" t="n">
        <v>44032</v>
      </c>
      <c r="T705" s="88" t="inlineStr">
        <is>
          <t>Press Release</t>
        </is>
      </c>
      <c r="U705" s="67" t="n"/>
      <c r="V705" s="1016" t="n"/>
    </row>
    <row r="706" ht="14.4" customHeight="1" s="972">
      <c r="A706" s="64" t="n">
        <v>258</v>
      </c>
      <c r="B706" s="77">
        <f>IF(INDEX(MO_SNA_IsHistoricalPeriod,,MATCH(F706,MO_Common_ColumnHeader,0)),"Historical","Forward")</f>
        <v/>
      </c>
      <c r="C706" s="67" t="n"/>
      <c r="D706" s="84">
        <f>INDEX(INDIRECT(E706),0,COLUMN(MO_Common_Column_A))</f>
        <v/>
      </c>
      <c r="E706" s="78" t="inlineStr">
        <is>
          <t>MO_RIS_NI_NONGAAP_Diluted</t>
        </is>
      </c>
      <c r="F706" s="77" t="inlineStr">
        <is>
          <t>Q3-2020</t>
        </is>
      </c>
      <c r="G706" s="77" t="n"/>
      <c r="H706" s="67" t="n"/>
      <c r="I706" s="2087" t="n">
        <v>165</v>
      </c>
      <c r="J706" s="2087" t="n">
        <v>171</v>
      </c>
      <c r="K706" s="2087">
        <f>AVERAGE(I706:J706)</f>
        <v/>
      </c>
      <c r="L706" s="67" t="n"/>
      <c r="M706" s="77">
        <f>IF(INDEX(MO_SNA_IsHistoricalPeriod,,MATCH(F706,MO_Common_ColumnHeader,0)),"Actual","Estimate")</f>
        <v/>
      </c>
      <c r="N706" s="2087">
        <f>IFERROR(INDEX(INDIRECT(E706),0,MATCH(F706,MO_Common_ColumnHeader,0)),"N/A")</f>
        <v/>
      </c>
      <c r="O706" s="67" t="n"/>
      <c r="P706" s="2169">
        <f>IF(ISNUMBER(N706),N706-K706,"N/A")</f>
        <v/>
      </c>
      <c r="Q706" s="2168">
        <f>IFERROR(IF(ISNUMBER(N706),(N706-K706)/ABS(K706),"N/A"),"N/A")</f>
        <v/>
      </c>
      <c r="R706" s="67" t="n"/>
      <c r="S706" s="80" t="n">
        <v>44032</v>
      </c>
      <c r="T706" s="88" t="inlineStr">
        <is>
          <t>Press Release</t>
        </is>
      </c>
      <c r="U706" s="67" t="n"/>
      <c r="V706" s="1016" t="n"/>
    </row>
    <row r="707" ht="14.4" customHeight="1" s="972">
      <c r="A707" s="64" t="n">
        <v>257</v>
      </c>
      <c r="B707" s="67" t="n"/>
      <c r="C707" s="67" t="n"/>
      <c r="D707" s="68" t="n"/>
      <c r="E707" s="69" t="n"/>
      <c r="F707" s="67" t="n"/>
      <c r="G707" s="67" t="n"/>
      <c r="H707" s="67" t="n"/>
      <c r="I707" s="2072" t="n"/>
      <c r="J707" s="2072" t="n"/>
      <c r="K707" s="2072" t="n"/>
      <c r="L707" s="67" t="n"/>
      <c r="M707" s="67" t="n"/>
      <c r="N707" s="2072" t="n"/>
      <c r="O707" s="67" t="n"/>
      <c r="P707" s="2172" t="n"/>
      <c r="Q707" s="2173" t="n"/>
      <c r="R707" s="67" t="n"/>
      <c r="S707" s="72" t="n"/>
      <c r="T707" s="89" t="n"/>
      <c r="U707" s="67" t="n"/>
      <c r="V707" s="1016" t="n"/>
    </row>
    <row r="708" ht="14.4" customHeight="1" s="972">
      <c r="A708" s="64" t="n">
        <v>256</v>
      </c>
      <c r="B708" s="77">
        <f>IF(INDEX(MO_SNA_IsHistoricalPeriod,,MATCH(F708,MO_Common_ColumnHeader,0)),"Historical","Forward")</f>
        <v/>
      </c>
      <c r="C708" s="67" t="n"/>
      <c r="D708" s="84">
        <f>INDEX(INDIRECT(E708),0,COLUMN(MO_Common_Column_A))</f>
        <v/>
      </c>
      <c r="E708" s="78" t="inlineStr">
        <is>
          <t>MO_RIS_REV</t>
        </is>
      </c>
      <c r="F708" s="77" t="inlineStr">
        <is>
          <t>FY2020</t>
        </is>
      </c>
      <c r="G708" s="77" t="n"/>
      <c r="H708" s="67" t="n"/>
      <c r="I708" s="2087" t="n">
        <v>2545</v>
      </c>
      <c r="J708" s="2087" t="n">
        <v>2585</v>
      </c>
      <c r="K708" s="2087">
        <f>AVERAGE(I708:J708)</f>
        <v/>
      </c>
      <c r="L708" s="67" t="n"/>
      <c r="M708" s="77">
        <f>IF(INDEX(MO_SNA_IsHistoricalPeriod,,MATCH(F708,MO_Common_ColumnHeader,0)),"Actual","Estimate")</f>
        <v/>
      </c>
      <c r="N708" s="2087">
        <f>IFERROR(INDEX(INDIRECT(E708),0,MATCH(F708,MO_Common_ColumnHeader,0)),"N/A")</f>
        <v/>
      </c>
      <c r="O708" s="2072" t="n"/>
      <c r="P708" s="2169">
        <f>IF(ISNUMBER(N708),N708-K708,"N/A")</f>
        <v/>
      </c>
      <c r="Q708" s="2168">
        <f>IFERROR(IF(ISNUMBER(N708),(N708-K708)/ABS(K708),"N/A"),"N/A")</f>
        <v/>
      </c>
      <c r="R708" s="67" t="n"/>
      <c r="S708" s="80" t="n">
        <v>43941</v>
      </c>
      <c r="T708" s="88" t="inlineStr">
        <is>
          <t>Press Release</t>
        </is>
      </c>
      <c r="U708" s="112" t="n"/>
      <c r="V708" s="1016" t="n"/>
    </row>
    <row r="709" ht="14.4" customHeight="1" s="972">
      <c r="A709" s="64" t="n">
        <v>255</v>
      </c>
      <c r="B709" s="77">
        <f>IF(INDEX(MO_SNA_IsHistoricalPeriod,,MATCH(F709,MO_Common_ColumnHeader,0)),"Historical","Forward")</f>
        <v/>
      </c>
      <c r="C709" s="67" t="n"/>
      <c r="D709" s="84" t="inlineStr">
        <is>
          <t>GAAP Operating Margin</t>
        </is>
      </c>
      <c r="E709" s="78" t="n"/>
      <c r="F709" s="77" t="inlineStr">
        <is>
          <t>FY2020</t>
        </is>
      </c>
      <c r="G709" s="77" t="n"/>
      <c r="H709" s="67" t="n"/>
      <c r="I709" s="2108" t="n">
        <v>0.21</v>
      </c>
      <c r="J709" s="2108" t="n">
        <v>0.22</v>
      </c>
      <c r="K709" s="2108">
        <f>AVERAGE(I709:J709)</f>
        <v/>
      </c>
      <c r="L709" s="67" t="n"/>
      <c r="M709" s="77">
        <f>IF(INDEX(MO_SNA_IsHistoricalPeriod,,MATCH(F709,MO_Common_ColumnHeader,0)),"Actual","Estimate")</f>
        <v/>
      </c>
      <c r="N709" s="2108">
        <f>IFERROR(INDEX(INDIRECT(E709),0,MATCH(F709,MO_Common_ColumnHeader,0)),"N/A")</f>
        <v/>
      </c>
      <c r="O709" s="67" t="n"/>
      <c r="P709" s="2168">
        <f>IF(ISNUMBER(N709),N709-K709,"N/A")</f>
        <v/>
      </c>
      <c r="Q709" s="2168">
        <f>IFERROR(IF(ISNUMBER(N709),(N709-K709)/ABS(K709),"N/A"),"N/A")</f>
        <v/>
      </c>
      <c r="R709" s="67" t="n"/>
      <c r="S709" s="80" t="n">
        <v>43941</v>
      </c>
      <c r="T709" s="88" t="inlineStr">
        <is>
          <t>Press Release</t>
        </is>
      </c>
      <c r="U709" s="67" t="n"/>
      <c r="V709" s="1016" t="n"/>
    </row>
    <row r="710" ht="14.4" customHeight="1" s="972">
      <c r="A710" s="64" t="n">
        <v>254</v>
      </c>
      <c r="B710" s="77">
        <f>IF(INDEX(MO_SNA_IsHistoricalPeriod,,MATCH(F710,MO_Common_ColumnHeader,0)),"Historical","Forward")</f>
        <v/>
      </c>
      <c r="C710" s="67" t="n"/>
      <c r="D710" s="84">
        <f>INDEX(INDIRECT(E710),0,COLUMN(MO_Common_Column_A))</f>
        <v/>
      </c>
      <c r="E710" s="78" t="inlineStr">
        <is>
          <t>MO_MA_OperatingIncome_NONGAAP</t>
        </is>
      </c>
      <c r="F710" s="77" t="inlineStr">
        <is>
          <t>FY2020</t>
        </is>
      </c>
      <c r="G710" s="77" t="n"/>
      <c r="H710" s="67" t="n"/>
      <c r="I710" s="2108" t="n">
        <v>0.32</v>
      </c>
      <c r="J710" s="2108" t="n">
        <v>0.33</v>
      </c>
      <c r="K710" s="2108">
        <f>AVERAGE(I710:J710)</f>
        <v/>
      </c>
      <c r="L710" s="67" t="n"/>
      <c r="M710" s="77">
        <f>IF(INDEX(MO_SNA_IsHistoricalPeriod,,MATCH(F710,MO_Common_ColumnHeader,0)),"Actual","Estimate")</f>
        <v/>
      </c>
      <c r="N710" s="2108">
        <f>IFERROR(INDEX(INDIRECT(E710),0,MATCH(F710,MO_Common_ColumnHeader,0)),"N/A")</f>
        <v/>
      </c>
      <c r="O710" s="67" t="n"/>
      <c r="P710" s="2168">
        <f>IF(ISNUMBER(N710),N710-K710,"N/A")</f>
        <v/>
      </c>
      <c r="Q710" s="2168">
        <f>IFERROR(IF(ISNUMBER(N710),(N710-K710)/ABS(K710),"N/A"),"N/A")</f>
        <v/>
      </c>
      <c r="R710" s="67" t="n"/>
      <c r="S710" s="80" t="n">
        <v>43941</v>
      </c>
      <c r="T710" s="88" t="inlineStr">
        <is>
          <t>Press Release</t>
        </is>
      </c>
      <c r="U710" s="67" t="n"/>
      <c r="V710" s="1016" t="n"/>
    </row>
    <row r="711" ht="14.4" customHeight="1" s="972">
      <c r="A711" s="64" t="n">
        <v>253</v>
      </c>
      <c r="B711" s="77">
        <f>IF(INDEX(MO_SNA_IsHistoricalPeriod,,MATCH(F711,MO_Common_ColumnHeader,0)),"Historical","Forward")</f>
        <v/>
      </c>
      <c r="C711" s="67" t="n"/>
      <c r="D711" s="84">
        <f>INDEX(INDIRECT(E711),0,COLUMN(MO_Common_Column_A))</f>
        <v/>
      </c>
      <c r="E711" s="78" t="inlineStr">
        <is>
          <t>MO_RIS_EPS_WAD</t>
        </is>
      </c>
      <c r="F711" s="77" t="inlineStr">
        <is>
          <t>FY2020</t>
        </is>
      </c>
      <c r="G711" s="77" t="n"/>
      <c r="H711" s="67" t="n"/>
      <c r="I711" s="2170" t="n">
        <v>1.58</v>
      </c>
      <c r="J711" s="2170" t="n">
        <v>1.68</v>
      </c>
      <c r="K711" s="2170">
        <f>AVERAGE(I711:J711)</f>
        <v/>
      </c>
      <c r="L711" s="67" t="n"/>
      <c r="M711" s="77">
        <f>IF(INDEX(MO_SNA_IsHistoricalPeriod,,MATCH(F711,MO_Common_ColumnHeader,0)),"Actual","Estimate")</f>
        <v/>
      </c>
      <c r="N711" s="2170">
        <f>IFERROR(INDEX(INDIRECT(E711),0,MATCH(F711,MO_Common_ColumnHeader,0)),"N/A")</f>
        <v/>
      </c>
      <c r="O711" s="67" t="n"/>
      <c r="P711" s="2171">
        <f>IF(ISNUMBER(N711),N711-K711,"N/A")</f>
        <v/>
      </c>
      <c r="Q711" s="2168">
        <f>IFERROR(IF(ISNUMBER(N711),(N711-K711)/ABS(K711),"N/A"),"N/A")</f>
        <v/>
      </c>
      <c r="R711" s="67" t="n"/>
      <c r="S711" s="80" t="n">
        <v>43941</v>
      </c>
      <c r="T711" s="88" t="inlineStr">
        <is>
          <t>Press Release</t>
        </is>
      </c>
      <c r="U711" s="112" t="n"/>
      <c r="V711" s="1016" t="n"/>
    </row>
    <row r="712" ht="14.4" customHeight="1" s="972">
      <c r="A712" s="64" t="n">
        <v>252</v>
      </c>
      <c r="B712" s="77">
        <f>IF(INDEX(MO_SNA_IsHistoricalPeriod,,MATCH(F712,MO_Common_ColumnHeader,0)),"Historical","Forward")</f>
        <v/>
      </c>
      <c r="C712" s="67" t="n"/>
      <c r="D712" s="84">
        <f>INDEX(INDIRECT(E712),0,COLUMN(MO_Common_Column_A))</f>
        <v/>
      </c>
      <c r="E712" s="78" t="inlineStr">
        <is>
          <t>MO_RIS_EPS_WAD_Adj</t>
        </is>
      </c>
      <c r="F712" s="77" t="inlineStr">
        <is>
          <t>FY2020</t>
        </is>
      </c>
      <c r="G712" s="77" t="n"/>
      <c r="H712" s="67" t="n"/>
      <c r="I712" s="2170" t="n">
        <v>2.4</v>
      </c>
      <c r="J712" s="2170" t="n">
        <v>2.5</v>
      </c>
      <c r="K712" s="2170">
        <f>AVERAGE(I712:J712)</f>
        <v/>
      </c>
      <c r="L712" s="67" t="n"/>
      <c r="M712" s="77">
        <f>IF(INDEX(MO_SNA_IsHistoricalPeriod,,MATCH(F712,MO_Common_ColumnHeader,0)),"Actual","Estimate")</f>
        <v/>
      </c>
      <c r="N712" s="2170">
        <f>IFERROR(INDEX(INDIRECT(E712),0,MATCH(F712,MO_Common_ColumnHeader,0)),"N/A")</f>
        <v/>
      </c>
      <c r="O712" s="67" t="n"/>
      <c r="P712" s="2171">
        <f>IF(ISNUMBER(N712),N712-K712,"N/A")</f>
        <v/>
      </c>
      <c r="Q712" s="2168">
        <f>IFERROR(IF(ISNUMBER(N712),(N712-K712)/ABS(K712),"N/A"),"N/A")</f>
        <v/>
      </c>
      <c r="R712" s="67" t="n"/>
      <c r="S712" s="80" t="n">
        <v>43941</v>
      </c>
      <c r="T712" s="88" t="inlineStr">
        <is>
          <t>Press Release</t>
        </is>
      </c>
      <c r="U712" s="67" t="n"/>
      <c r="V712" s="1016" t="n"/>
    </row>
    <row r="713" ht="14.4" customHeight="1" s="972">
      <c r="A713" s="64" t="n">
        <v>251</v>
      </c>
      <c r="B713" s="77">
        <f>IF(INDEX(MO_SNA_IsHistoricalPeriod,,MATCH(F713,MO_Common_ColumnHeader,0)),"Historical","Forward")</f>
        <v/>
      </c>
      <c r="C713" s="67" t="n"/>
      <c r="D713" s="84">
        <f>INDEX(INDIRECT(E713),0,COLUMN(MO_Common_Column_A))</f>
        <v/>
      </c>
      <c r="E713" s="78" t="inlineStr">
        <is>
          <t>MO_RIS_Daintangibles</t>
        </is>
      </c>
      <c r="F713" s="77" t="inlineStr">
        <is>
          <t>FY2020</t>
        </is>
      </c>
      <c r="G713" s="77" t="n"/>
      <c r="H713" s="67" t="n"/>
      <c r="I713" s="2087" t="n">
        <v>64</v>
      </c>
      <c r="J713" s="2087" t="n">
        <v>64</v>
      </c>
      <c r="K713" s="2087">
        <f>AVERAGE(I713:J713)</f>
        <v/>
      </c>
      <c r="L713" s="67" t="n"/>
      <c r="M713" s="77">
        <f>IF(INDEX(MO_SNA_IsHistoricalPeriod,,MATCH(F713,MO_Common_ColumnHeader,0)),"Actual","Estimate")</f>
        <v/>
      </c>
      <c r="N713" s="2087">
        <f>IFERROR(INDEX(INDIRECT(E713),0,MATCH(F713,MO_Common_ColumnHeader,0)),"N/A")</f>
        <v/>
      </c>
      <c r="O713" s="67" t="n"/>
      <c r="P713" s="2169">
        <f>IF(ISNUMBER(N713),N713-K713,"N/A")</f>
        <v/>
      </c>
      <c r="Q713" s="2168">
        <f>IFERROR(IF(ISNUMBER(N713),(N713-K713)/ABS(K713),"N/A"),"N/A")</f>
        <v/>
      </c>
      <c r="R713" s="67" t="n"/>
      <c r="S713" s="80" t="n">
        <v>43941</v>
      </c>
      <c r="T713" s="88" t="inlineStr">
        <is>
          <t>Press Release</t>
        </is>
      </c>
      <c r="U713" s="67" t="n"/>
      <c r="V713" s="1016" t="n"/>
    </row>
    <row r="714" ht="14.4" customHeight="1" s="972">
      <c r="A714" s="64" t="n">
        <v>250</v>
      </c>
      <c r="B714" s="77">
        <f>IF(INDEX(MO_SNA_IsHistoricalPeriod,,MATCH(F714,MO_Common_ColumnHeader,0)),"Historical","Forward")</f>
        <v/>
      </c>
      <c r="C714" s="67" t="n"/>
      <c r="D714" s="84">
        <f>INDEX(INDIRECT(E714),0,COLUMN(MO_Common_Column_A))</f>
        <v/>
      </c>
      <c r="E714" s="78" t="inlineStr">
        <is>
          <t>MO_RIS_SBC</t>
        </is>
      </c>
      <c r="F714" s="77" t="inlineStr">
        <is>
          <t>FY2020</t>
        </is>
      </c>
      <c r="G714" s="77" t="n"/>
      <c r="H714" s="67" t="n"/>
      <c r="I714" s="2087" t="n">
        <v>200</v>
      </c>
      <c r="J714" s="2087" t="n">
        <v>200</v>
      </c>
      <c r="K714" s="2087">
        <f>AVERAGE(I714:J714)</f>
        <v/>
      </c>
      <c r="L714" s="67" t="n"/>
      <c r="M714" s="77">
        <f>IF(INDEX(MO_SNA_IsHistoricalPeriod,,MATCH(F714,MO_Common_ColumnHeader,0)),"Actual","Estimate")</f>
        <v/>
      </c>
      <c r="N714" s="2087">
        <f>IFERROR(INDEX(INDIRECT(E714),0,MATCH(F714,MO_Common_ColumnHeader,0)),"N/A")</f>
        <v/>
      </c>
      <c r="O714" s="67" t="n"/>
      <c r="P714" s="2169">
        <f>IF(ISNUMBER(N714),N714-K714,"N/A")</f>
        <v/>
      </c>
      <c r="Q714" s="2168">
        <f>IFERROR(IF(ISNUMBER(N714),(N714-K714)/ABS(K714),"N/A"),"N/A")</f>
        <v/>
      </c>
      <c r="R714" s="67" t="n"/>
      <c r="S714" s="80" t="n">
        <v>43941</v>
      </c>
      <c r="T714" s="88" t="inlineStr">
        <is>
          <t>Press Release</t>
        </is>
      </c>
      <c r="U714" s="67" t="n"/>
      <c r="V714" s="1016" t="n"/>
    </row>
    <row r="715" ht="14.4" customHeight="1" s="972">
      <c r="A715" s="64" t="n">
        <v>249</v>
      </c>
      <c r="B715" s="77">
        <f>IF(INDEX(MO_SNA_IsHistoricalPeriod,,MATCH(F715,MO_Common_ColumnHeader,0)),"Historical","Forward")</f>
        <v/>
      </c>
      <c r="C715" s="67" t="n"/>
      <c r="D715" s="84" t="inlineStr">
        <is>
          <t>Non-qualified deferred compensation expenses (credits)</t>
        </is>
      </c>
      <c r="E715" s="78" t="n"/>
      <c r="F715" s="77" t="inlineStr">
        <is>
          <t>FY2020</t>
        </is>
      </c>
      <c r="G715" s="77" t="n"/>
      <c r="H715" s="67" t="n"/>
      <c r="I715" s="2087" t="n">
        <v>-5</v>
      </c>
      <c r="J715" s="2087" t="n">
        <v>-5</v>
      </c>
      <c r="K715" s="2087">
        <f>AVERAGE(I715:J715)</f>
        <v/>
      </c>
      <c r="L715" s="67" t="n"/>
      <c r="M715" s="77">
        <f>IF(INDEX(MO_SNA_IsHistoricalPeriod,,MATCH(F715,MO_Common_ColumnHeader,0)),"Actual","Estimate")</f>
        <v/>
      </c>
      <c r="N715" s="2087">
        <f>IFERROR(INDEX(INDIRECT(E715),0,MATCH(F715,MO_Common_ColumnHeader,0)),"N/A")</f>
        <v/>
      </c>
      <c r="O715" s="67" t="n"/>
      <c r="P715" s="2169">
        <f>IF(ISNUMBER(N715),N715-K715,"N/A")</f>
        <v/>
      </c>
      <c r="Q715" s="2168">
        <f>IFERROR(IF(ISNUMBER(N715),(N715-K715)/ABS(K715),"N/A"),"N/A")</f>
        <v/>
      </c>
      <c r="R715" s="67" t="n"/>
      <c r="S715" s="80" t="n">
        <v>43941</v>
      </c>
      <c r="T715" s="88" t="inlineStr">
        <is>
          <t>Press Release</t>
        </is>
      </c>
      <c r="U715" s="67" t="n"/>
      <c r="V715" s="1016" t="n"/>
    </row>
    <row r="716" ht="14.4" customHeight="1" s="972">
      <c r="A716" s="64" t="n">
        <v>248</v>
      </c>
      <c r="B716" s="77">
        <f>IF(INDEX(MO_SNA_IsHistoricalPeriod,,MATCH(F716,MO_Common_ColumnHeader,0)),"Historical","Forward")</f>
        <v/>
      </c>
      <c r="C716" s="67" t="n"/>
      <c r="D716" s="84" t="inlineStr">
        <is>
          <t>Restructuring and other charges (credits)</t>
        </is>
      </c>
      <c r="E716" s="78" t="n"/>
      <c r="F716" s="77" t="inlineStr">
        <is>
          <t>FY2020</t>
        </is>
      </c>
      <c r="G716" s="77" t="n"/>
      <c r="H716" s="67" t="n"/>
      <c r="I716" s="2087" t="n">
        <v>-1</v>
      </c>
      <c r="J716" s="2087" t="n">
        <v>-1</v>
      </c>
      <c r="K716" s="2087">
        <f>AVERAGE(I716:J716)</f>
        <v/>
      </c>
      <c r="L716" s="67" t="n"/>
      <c r="M716" s="77">
        <f>IF(INDEX(MO_SNA_IsHistoricalPeriod,,MATCH(F716,MO_Common_ColumnHeader,0)),"Actual","Estimate")</f>
        <v/>
      </c>
      <c r="N716" s="2087">
        <f>IFERROR(INDEX(INDIRECT(E716),0,MATCH(F716,MO_Common_ColumnHeader,0)),"N/A")</f>
        <v/>
      </c>
      <c r="O716" s="67" t="n"/>
      <c r="P716" s="2169">
        <f>IF(ISNUMBER(N716),N716-K716,"N/A")</f>
        <v/>
      </c>
      <c r="Q716" s="2168">
        <f>IFERROR(IF(ISNUMBER(N716),(N716-K716)/ABS(K716),"N/A"),"N/A")</f>
        <v/>
      </c>
      <c r="R716" s="67" t="n"/>
      <c r="S716" s="80" t="n">
        <v>43941</v>
      </c>
      <c r="T716" s="88" t="inlineStr">
        <is>
          <t>Press Release</t>
        </is>
      </c>
      <c r="U716" s="67" t="n"/>
      <c r="V716" s="1016" t="n"/>
    </row>
    <row r="717" ht="14.4" customHeight="1" s="972">
      <c r="A717" s="64" t="n">
        <v>247</v>
      </c>
      <c r="B717" s="77">
        <f>IF(INDEX(MO_SNA_IsHistoricalPeriod,,MATCH(F717,MO_Common_ColumnHeader,0)),"Historical","Forward")</f>
        <v/>
      </c>
      <c r="C717" s="67" t="n"/>
      <c r="D717" s="84" t="inlineStr">
        <is>
          <t>Acquisition and integration-related costs</t>
        </is>
      </c>
      <c r="E717" s="78" t="n"/>
      <c r="F717" s="77" t="inlineStr">
        <is>
          <t>FY2020</t>
        </is>
      </c>
      <c r="G717" s="77" t="n"/>
      <c r="H717" s="67" t="n"/>
      <c r="I717" s="2087" t="n">
        <v>16</v>
      </c>
      <c r="J717" s="2087" t="n">
        <v>16</v>
      </c>
      <c r="K717" s="2087">
        <f>AVERAGE(I717:J717)</f>
        <v/>
      </c>
      <c r="L717" s="67" t="n"/>
      <c r="M717" s="77">
        <f>IF(INDEX(MO_SNA_IsHistoricalPeriod,,MATCH(F717,MO_Common_ColumnHeader,0)),"Actual","Estimate")</f>
        <v/>
      </c>
      <c r="N717" s="2087">
        <f>IFERROR(INDEX(INDIRECT(E717),0,MATCH(F717,MO_Common_ColumnHeader,0)),"N/A")</f>
        <v/>
      </c>
      <c r="O717" s="67" t="n"/>
      <c r="P717" s="2169">
        <f>IF(ISNUMBER(N717),N717-K717,"N/A")</f>
        <v/>
      </c>
      <c r="Q717" s="2168">
        <f>IFERROR(IF(ISNUMBER(N717),(N717-K717)/ABS(K717),"N/A"),"N/A")</f>
        <v/>
      </c>
      <c r="R717" s="67" t="n"/>
      <c r="S717" s="80" t="n">
        <v>43941</v>
      </c>
      <c r="T717" s="88" t="inlineStr">
        <is>
          <t>Press Release</t>
        </is>
      </c>
      <c r="U717" s="67" t="n"/>
      <c r="V717" s="1016" t="n"/>
    </row>
    <row r="718" ht="14.4" customHeight="1" s="972">
      <c r="A718" s="64" t="n">
        <v>246</v>
      </c>
      <c r="B718" s="77">
        <f>IF(INDEX(MO_SNA_IsHistoricalPeriod,,MATCH(F718,MO_Common_ColumnHeader,0)),"Historical","Forward")</f>
        <v/>
      </c>
      <c r="C718" s="67" t="n"/>
      <c r="D718" s="84" t="inlineStr">
        <is>
          <t>Other income or expense related to investments and non-qualified deferred compensation plan assets</t>
        </is>
      </c>
      <c r="E718" s="78" t="n"/>
      <c r="F718" s="77" t="inlineStr">
        <is>
          <t>FY2020</t>
        </is>
      </c>
      <c r="G718" s="77" t="n"/>
      <c r="H718" s="67" t="n"/>
      <c r="I718" s="2087" t="n">
        <v>10</v>
      </c>
      <c r="J718" s="2087" t="n">
        <v>10</v>
      </c>
      <c r="K718" s="2087">
        <f>AVERAGE(I718:J718)</f>
        <v/>
      </c>
      <c r="L718" s="67" t="n"/>
      <c r="M718" s="77">
        <f>IF(INDEX(MO_SNA_IsHistoricalPeriod,,MATCH(F718,MO_Common_ColumnHeader,0)),"Actual","Estimate")</f>
        <v/>
      </c>
      <c r="N718" s="2087">
        <f>IFERROR(INDEX(INDIRECT(E718),0,MATCH(F718,MO_Common_ColumnHeader,0)),"N/A")</f>
        <v/>
      </c>
      <c r="O718" s="67" t="n"/>
      <c r="P718" s="2169">
        <f>IF(ISNUMBER(N718),N718-K718,"N/A")</f>
        <v/>
      </c>
      <c r="Q718" s="2168">
        <f>IFERROR(IF(ISNUMBER(N718),(N718-K718)/ABS(K718),"N/A"),"N/A")</f>
        <v/>
      </c>
      <c r="R718" s="67" t="n"/>
      <c r="S718" s="80" t="n">
        <v>43941</v>
      </c>
      <c r="T718" s="88" t="inlineStr">
        <is>
          <t>Press Release</t>
        </is>
      </c>
      <c r="U718" s="67" t="n"/>
      <c r="V718" s="1016" t="n"/>
    </row>
    <row r="719" ht="14.4" customHeight="1" s="972">
      <c r="A719" s="64" t="n">
        <v>245</v>
      </c>
      <c r="B719" s="77">
        <f>IF(INDEX(MO_SNA_IsHistoricalPeriod,,MATCH(F719,MO_Common_ColumnHeader,0)),"Historical","Forward")</f>
        <v/>
      </c>
      <c r="C719" s="67" t="n"/>
      <c r="D719" s="84" t="inlineStr">
        <is>
          <t>Income tax effect on non-GAAP adjustments</t>
        </is>
      </c>
      <c r="E719" s="78" t="n"/>
      <c r="F719" s="77" t="inlineStr">
        <is>
          <t>FY2020</t>
        </is>
      </c>
      <c r="G719" s="77" t="n"/>
      <c r="H719" s="67" t="n"/>
      <c r="I719" s="2087" t="n">
        <v>-53</v>
      </c>
      <c r="J719" s="2087" t="n">
        <v>-53</v>
      </c>
      <c r="K719" s="2087">
        <f>AVERAGE(I719:J719)</f>
        <v/>
      </c>
      <c r="L719" s="67" t="n"/>
      <c r="M719" s="77">
        <f>IF(INDEX(MO_SNA_IsHistoricalPeriod,,MATCH(F719,MO_Common_ColumnHeader,0)),"Actual","Estimate")</f>
        <v/>
      </c>
      <c r="N719" s="2087">
        <f>IFERROR(INDEX(INDIRECT(E719),0,MATCH(F719,MO_Common_ColumnHeader,0)),"N/A")</f>
        <v/>
      </c>
      <c r="O719" s="67" t="n"/>
      <c r="P719" s="2169">
        <f>IF(ISNUMBER(N719),N719-K719,"N/A")</f>
        <v/>
      </c>
      <c r="Q719" s="2168">
        <f>IFERROR(IF(ISNUMBER(N719),(N719-K719)/ABS(K719),"N/A"),"N/A")</f>
        <v/>
      </c>
      <c r="R719" s="67" t="n"/>
      <c r="S719" s="80" t="n">
        <v>43941</v>
      </c>
      <c r="T719" s="88" t="inlineStr">
        <is>
          <t>Press Release</t>
        </is>
      </c>
      <c r="U719" s="67" t="n"/>
      <c r="V719" s="1016" t="n"/>
    </row>
    <row r="720" ht="14.4" customHeight="1" s="972">
      <c r="A720" s="64" t="n">
        <v>244</v>
      </c>
      <c r="B720" s="77">
        <f>IF(INDEX(MO_SNA_IsHistoricalPeriod,,MATCH(F720,MO_Common_ColumnHeader,0)),"Historical","Forward")</f>
        <v/>
      </c>
      <c r="C720" s="67" t="n"/>
      <c r="D720" s="84">
        <f>INDEX(INDIRECT(E720),0,COLUMN(MO_Common_Column_A))</f>
        <v/>
      </c>
      <c r="E720" s="78" t="inlineStr">
        <is>
          <t>MO_RIS_NI_GAAP_Diluted</t>
        </is>
      </c>
      <c r="F720" s="77" t="inlineStr">
        <is>
          <t>FY2020</t>
        </is>
      </c>
      <c r="G720" s="77" t="n"/>
      <c r="H720" s="67" t="n"/>
      <c r="I720" s="2087" t="n">
        <v>441</v>
      </c>
      <c r="J720" s="2087" t="n">
        <v>469</v>
      </c>
      <c r="K720" s="2087">
        <f>AVERAGE(I720:J720)</f>
        <v/>
      </c>
      <c r="L720" s="67" t="n"/>
      <c r="M720" s="77">
        <f>IF(INDEX(MO_SNA_IsHistoricalPeriod,,MATCH(F720,MO_Common_ColumnHeader,0)),"Actual","Estimate")</f>
        <v/>
      </c>
      <c r="N720" s="2087">
        <f>IFERROR(INDEX(INDIRECT(E720),0,MATCH(F720,MO_Common_ColumnHeader,0)),"N/A")</f>
        <v/>
      </c>
      <c r="O720" s="67" t="n"/>
      <c r="P720" s="2169">
        <f>IF(ISNUMBER(N720),N720-K720,"N/A")</f>
        <v/>
      </c>
      <c r="Q720" s="2168">
        <f>IFERROR(IF(ISNUMBER(N720),(N720-K720)/ABS(K720),"N/A"),"N/A")</f>
        <v/>
      </c>
      <c r="R720" s="67" t="n"/>
      <c r="S720" s="80" t="n">
        <v>43941</v>
      </c>
      <c r="T720" s="88" t="inlineStr">
        <is>
          <t>Press Release</t>
        </is>
      </c>
      <c r="U720" s="67" t="n"/>
      <c r="V720" s="1016" t="n"/>
    </row>
    <row r="721" ht="14.4" customHeight="1" s="972">
      <c r="A721" s="64" t="n">
        <v>243</v>
      </c>
      <c r="B721" s="77">
        <f>IF(INDEX(MO_SNA_IsHistoricalPeriod,,MATCH(F721,MO_Common_ColumnHeader,0)),"Historical","Forward")</f>
        <v/>
      </c>
      <c r="C721" s="67" t="n"/>
      <c r="D721" s="84">
        <f>INDEX(INDIRECT(E721),0,COLUMN(MO_Common_Column_A))</f>
        <v/>
      </c>
      <c r="E721" s="78" t="inlineStr">
        <is>
          <t>MO_RIS_NI_NONGAAP_Diluted</t>
        </is>
      </c>
      <c r="F721" s="77" t="inlineStr">
        <is>
          <t>FY2020</t>
        </is>
      </c>
      <c r="G721" s="77" t="n"/>
      <c r="H721" s="67" t="n"/>
      <c r="I721" s="2087" t="n">
        <v>672</v>
      </c>
      <c r="J721" s="2087" t="n">
        <v>700</v>
      </c>
      <c r="K721" s="2087">
        <f>AVERAGE(I721:J721)</f>
        <v/>
      </c>
      <c r="L721" s="67" t="n"/>
      <c r="M721" s="77">
        <f>IF(INDEX(MO_SNA_IsHistoricalPeriod,,MATCH(F721,MO_Common_ColumnHeader,0)),"Actual","Estimate")</f>
        <v/>
      </c>
      <c r="N721" s="2087">
        <f>IFERROR(INDEX(INDIRECT(E721),0,MATCH(F721,MO_Common_ColumnHeader,0)),"N/A")</f>
        <v/>
      </c>
      <c r="O721" s="67" t="n"/>
      <c r="P721" s="2169">
        <f>IF(ISNUMBER(N721),N721-K721,"N/A")</f>
        <v/>
      </c>
      <c r="Q721" s="2168">
        <f>IFERROR(IF(ISNUMBER(N721),(N721-K721)/ABS(K721),"N/A"),"N/A")</f>
        <v/>
      </c>
      <c r="R721" s="67" t="n"/>
      <c r="S721" s="80" t="n">
        <v>43941</v>
      </c>
      <c r="T721" s="88" t="inlineStr">
        <is>
          <t>Press Release</t>
        </is>
      </c>
      <c r="U721" s="67" t="n"/>
      <c r="V721" s="1016" t="n"/>
    </row>
    <row r="722" ht="14.4" customHeight="1" s="972">
      <c r="A722" s="64" t="n">
        <v>242</v>
      </c>
      <c r="B722" s="67" t="n"/>
      <c r="C722" s="67" t="n"/>
      <c r="D722" s="68" t="n"/>
      <c r="E722" s="69" t="n"/>
      <c r="F722" s="67" t="n"/>
      <c r="G722" s="67" t="n"/>
      <c r="H722" s="67" t="n"/>
      <c r="I722" s="2072" t="n"/>
      <c r="J722" s="2072" t="n"/>
      <c r="K722" s="2072" t="n"/>
      <c r="L722" s="67" t="n"/>
      <c r="M722" s="67" t="n"/>
      <c r="N722" s="2072" t="n"/>
      <c r="O722" s="67" t="n"/>
      <c r="P722" s="2172" t="n"/>
      <c r="Q722" s="2173" t="n"/>
      <c r="R722" s="67" t="n"/>
      <c r="S722" s="72" t="n"/>
      <c r="T722" s="89" t="n"/>
      <c r="U722" s="67" t="n"/>
      <c r="V722" s="1016" t="n"/>
    </row>
    <row r="723" ht="14.4" customHeight="1" s="972">
      <c r="A723" s="64" t="n">
        <v>241</v>
      </c>
      <c r="B723" s="77">
        <f>IF(INDEX(MO_SNA_IsHistoricalPeriod,,MATCH(F723,MO_Common_ColumnHeader,0)),"Historical","Forward")</f>
        <v/>
      </c>
      <c r="C723" s="67" t="n"/>
      <c r="D723" s="84">
        <f>INDEX(INDIRECT(E723),0,COLUMN(MO_Common_Column_A))</f>
        <v/>
      </c>
      <c r="E723" s="78" t="inlineStr">
        <is>
          <t>MO_RIS_REV</t>
        </is>
      </c>
      <c r="F723" s="77" t="inlineStr">
        <is>
          <t>Q2-2020</t>
        </is>
      </c>
      <c r="G723" s="77" t="n"/>
      <c r="H723" s="67" t="n"/>
      <c r="I723" s="2087" t="n">
        <v>580</v>
      </c>
      <c r="J723" s="2087" t="n">
        <v>600</v>
      </c>
      <c r="K723" s="2087">
        <f>AVERAGE(I723:J723)</f>
        <v/>
      </c>
      <c r="L723" s="67" t="n"/>
      <c r="M723" s="77">
        <f>IF(INDEX(MO_SNA_IsHistoricalPeriod,,MATCH(F723,MO_Common_ColumnHeader,0)),"Actual","Estimate")</f>
        <v/>
      </c>
      <c r="N723" s="2087">
        <f>IFERROR(INDEX(INDIRECT(E723),0,MATCH(F723,MO_Common_ColumnHeader,0)),"N/A")</f>
        <v/>
      </c>
      <c r="O723" s="67" t="n"/>
      <c r="P723" s="2169">
        <f>IF(ISNUMBER(N723),N723-K723,"N/A")</f>
        <v/>
      </c>
      <c r="Q723" s="2168">
        <f>IFERROR(IF(ISNUMBER(N723),(N723-K723)/ABS(K723),"N/A"),"N/A")</f>
        <v/>
      </c>
      <c r="R723" s="67" t="n"/>
      <c r="S723" s="80" t="n">
        <v>43941</v>
      </c>
      <c r="T723" s="88" t="inlineStr">
        <is>
          <t>Press Release</t>
        </is>
      </c>
      <c r="U723" s="67" t="n"/>
      <c r="V723" s="1016" t="n"/>
    </row>
    <row r="724" ht="14.4" customHeight="1" s="972">
      <c r="A724" s="64" t="n">
        <v>240</v>
      </c>
      <c r="B724" s="77">
        <f>IF(INDEX(MO_SNA_IsHistoricalPeriod,,MATCH(F724,MO_Common_ColumnHeader,0)),"Historical","Forward")</f>
        <v/>
      </c>
      <c r="C724" s="67" t="n"/>
      <c r="D724" s="84" t="inlineStr">
        <is>
          <t>GAAP Operating Margin</t>
        </is>
      </c>
      <c r="E724" s="78" t="n"/>
      <c r="F724" s="77" t="inlineStr">
        <is>
          <t>Q2-2020</t>
        </is>
      </c>
      <c r="G724" s="77" t="n"/>
      <c r="H724" s="67" t="n"/>
      <c r="I724" s="2108" t="n">
        <v>0.18</v>
      </c>
      <c r="J724" s="2108" t="n">
        <v>0.18</v>
      </c>
      <c r="K724" s="2108">
        <f>AVERAGE(I724:J724)</f>
        <v/>
      </c>
      <c r="L724" s="67" t="n"/>
      <c r="M724" s="77">
        <f>IF(INDEX(MO_SNA_IsHistoricalPeriod,,MATCH(F724,MO_Common_ColumnHeader,0)),"Actual","Estimate")</f>
        <v/>
      </c>
      <c r="N724" s="2108">
        <f>IFERROR(INDEX(INDIRECT(E724),0,MATCH(F724,MO_Common_ColumnHeader,0)),"N/A")</f>
        <v/>
      </c>
      <c r="O724" s="67" t="n"/>
      <c r="P724" s="2168">
        <f>IF(ISNUMBER(N724),N724-K724,"N/A")</f>
        <v/>
      </c>
      <c r="Q724" s="2168">
        <f>IFERROR(IF(ISNUMBER(N724),(N724-K724)/ABS(K724),"N/A"),"N/A")</f>
        <v/>
      </c>
      <c r="R724" s="67" t="n"/>
      <c r="S724" s="80" t="n">
        <v>43941</v>
      </c>
      <c r="T724" s="88" t="inlineStr">
        <is>
          <t>Press Release</t>
        </is>
      </c>
      <c r="U724" s="67" t="n"/>
      <c r="V724" s="1016" t="n"/>
    </row>
    <row r="725" ht="14.4" customHeight="1" s="972">
      <c r="A725" s="64" t="n">
        <v>239</v>
      </c>
      <c r="B725" s="77">
        <f>IF(INDEX(MO_SNA_IsHistoricalPeriod,,MATCH(F725,MO_Common_ColumnHeader,0)),"Historical","Forward")</f>
        <v/>
      </c>
      <c r="C725" s="67" t="n"/>
      <c r="D725" s="84">
        <f>INDEX(INDIRECT(E725),0,COLUMN(MO_Common_Column_A))</f>
        <v/>
      </c>
      <c r="E725" s="78" t="inlineStr">
        <is>
          <t>MO_MA_OperatingIncome_NONGAAP</t>
        </is>
      </c>
      <c r="F725" s="77" t="inlineStr">
        <is>
          <t>Q2-2020</t>
        </is>
      </c>
      <c r="G725" s="77" t="n"/>
      <c r="H725" s="67" t="n"/>
      <c r="I725" s="2108" t="n">
        <v>0.3</v>
      </c>
      <c r="J725" s="2108" t="n">
        <v>0.3</v>
      </c>
      <c r="K725" s="2108">
        <f>AVERAGE(I725:J725)</f>
        <v/>
      </c>
      <c r="L725" s="67" t="n"/>
      <c r="M725" s="77">
        <f>IF(INDEX(MO_SNA_IsHistoricalPeriod,,MATCH(F725,MO_Common_ColumnHeader,0)),"Actual","Estimate")</f>
        <v/>
      </c>
      <c r="N725" s="2108">
        <f>IFERROR(INDEX(INDIRECT(E725),0,MATCH(F725,MO_Common_ColumnHeader,0)),"N/A")</f>
        <v/>
      </c>
      <c r="O725" s="67" t="n"/>
      <c r="P725" s="2168">
        <f>IF(ISNUMBER(N725),N725-K725,"N/A")</f>
        <v/>
      </c>
      <c r="Q725" s="2168">
        <f>IFERROR(IF(ISNUMBER(N725),(N725-K725)/ABS(K725),"N/A"),"N/A")</f>
        <v/>
      </c>
      <c r="R725" s="67" t="n"/>
      <c r="S725" s="80" t="n">
        <v>43941</v>
      </c>
      <c r="T725" s="88" t="inlineStr">
        <is>
          <t>Press Release</t>
        </is>
      </c>
      <c r="U725" s="67" t="n"/>
      <c r="V725" s="1016" t="n"/>
    </row>
    <row r="726" ht="14.4" customHeight="1" s="972">
      <c r="A726" s="64" t="n">
        <v>238</v>
      </c>
      <c r="B726" s="77">
        <f>IF(INDEX(MO_SNA_IsHistoricalPeriod,,MATCH(F726,MO_Common_ColumnHeader,0)),"Historical","Forward")</f>
        <v/>
      </c>
      <c r="C726" s="67" t="n"/>
      <c r="D726" s="84">
        <f>INDEX(INDIRECT(E726),0,COLUMN(MO_Common_Column_A))</f>
        <v/>
      </c>
      <c r="E726" s="78" t="inlineStr">
        <is>
          <t>MO_RIS_EPS_WAD</t>
        </is>
      </c>
      <c r="F726" s="77" t="inlineStr">
        <is>
          <t>Q2-2020</t>
        </is>
      </c>
      <c r="G726" s="77" t="n"/>
      <c r="H726" s="67" t="n"/>
      <c r="I726" s="2170" t="n">
        <v>0.28</v>
      </c>
      <c r="J726" s="2170" t="n">
        <v>0.32</v>
      </c>
      <c r="K726" s="2170">
        <f>AVERAGE(I726:J726)</f>
        <v/>
      </c>
      <c r="L726" s="67" t="n"/>
      <c r="M726" s="77">
        <f>IF(INDEX(MO_SNA_IsHistoricalPeriod,,MATCH(F726,MO_Common_ColumnHeader,0)),"Actual","Estimate")</f>
        <v/>
      </c>
      <c r="N726" s="2170">
        <f>IFERROR(INDEX(INDIRECT(E726),0,MATCH(F726,MO_Common_ColumnHeader,0)),"N/A")</f>
        <v/>
      </c>
      <c r="O726" s="67" t="n"/>
      <c r="P726" s="2171">
        <f>IF(ISNUMBER(N726),N726-K726,"N/A")</f>
        <v/>
      </c>
      <c r="Q726" s="2168">
        <f>IFERROR(IF(ISNUMBER(N726),(N726-K726)/ABS(K726),"N/A"),"N/A")</f>
        <v/>
      </c>
      <c r="R726" s="67" t="n"/>
      <c r="S726" s="80" t="n">
        <v>43941</v>
      </c>
      <c r="T726" s="88" t="inlineStr">
        <is>
          <t>Press Release</t>
        </is>
      </c>
      <c r="U726" s="67" t="n"/>
      <c r="V726" s="1016" t="n"/>
    </row>
    <row r="727" ht="14.4" customHeight="1" s="972">
      <c r="A727" s="64" t="n">
        <v>237</v>
      </c>
      <c r="B727" s="77">
        <f>IF(INDEX(MO_SNA_IsHistoricalPeriod,,MATCH(F727,MO_Common_ColumnHeader,0)),"Historical","Forward")</f>
        <v/>
      </c>
      <c r="C727" s="67" t="n"/>
      <c r="D727" s="84">
        <f>INDEX(INDIRECT(E727),0,COLUMN(MO_Common_Column_A))</f>
        <v/>
      </c>
      <c r="E727" s="78" t="inlineStr">
        <is>
          <t>MO_RIS_EPS_WAD_Adj</t>
        </is>
      </c>
      <c r="F727" s="77" t="inlineStr">
        <is>
          <t>Q2-2020</t>
        </is>
      </c>
      <c r="G727" s="77" t="n"/>
      <c r="H727" s="67" t="n"/>
      <c r="I727" s="2170" t="n">
        <v>0.5</v>
      </c>
      <c r="J727" s="2170" t="n">
        <v>0.54</v>
      </c>
      <c r="K727" s="2170">
        <f>AVERAGE(I727:J727)</f>
        <v/>
      </c>
      <c r="L727" s="67" t="n"/>
      <c r="M727" s="77">
        <f>IF(INDEX(MO_SNA_IsHistoricalPeriod,,MATCH(F727,MO_Common_ColumnHeader,0)),"Actual","Estimate")</f>
        <v/>
      </c>
      <c r="N727" s="2170">
        <f>IFERROR(INDEX(INDIRECT(E727),0,MATCH(F727,MO_Common_ColumnHeader,0)),"N/A")</f>
        <v/>
      </c>
      <c r="O727" s="67" t="n"/>
      <c r="P727" s="2171">
        <f>IF(ISNUMBER(N727),N727-K727,"N/A")</f>
        <v/>
      </c>
      <c r="Q727" s="2168">
        <f>IFERROR(IF(ISNUMBER(N727),(N727-K727)/ABS(K727),"N/A"),"N/A")</f>
        <v/>
      </c>
      <c r="R727" s="67" t="n"/>
      <c r="S727" s="80" t="n">
        <v>43941</v>
      </c>
      <c r="T727" s="88" t="inlineStr">
        <is>
          <t>Press Release</t>
        </is>
      </c>
      <c r="U727" s="67" t="n"/>
      <c r="V727" s="1016" t="n"/>
    </row>
    <row r="728" ht="14.4" customHeight="1" s="972">
      <c r="A728" s="64" t="n">
        <v>236</v>
      </c>
      <c r="B728" s="77">
        <f>IF(INDEX(MO_SNA_IsHistoricalPeriod,,MATCH(F728,MO_Common_ColumnHeader,0)),"Historical","Forward")</f>
        <v/>
      </c>
      <c r="C728" s="67" t="n"/>
      <c r="D728" s="84">
        <f>INDEX(INDIRECT(E728),0,COLUMN(MO_Common_Column_A))</f>
        <v/>
      </c>
      <c r="E728" s="78" t="inlineStr">
        <is>
          <t>MO_RIS_Daintangibles</t>
        </is>
      </c>
      <c r="F728" s="77" t="inlineStr">
        <is>
          <t>Q2-2020</t>
        </is>
      </c>
      <c r="G728" s="77" t="n"/>
      <c r="H728" s="67" t="n"/>
      <c r="I728" s="2087" t="n">
        <v>16</v>
      </c>
      <c r="J728" s="2087" t="n">
        <v>16</v>
      </c>
      <c r="K728" s="2087">
        <f>AVERAGE(I728:J728)</f>
        <v/>
      </c>
      <c r="L728" s="67" t="n"/>
      <c r="M728" s="77">
        <f>IF(INDEX(MO_SNA_IsHistoricalPeriod,,MATCH(F728,MO_Common_ColumnHeader,0)),"Actual","Estimate")</f>
        <v/>
      </c>
      <c r="N728" s="2087">
        <f>IFERROR(INDEX(INDIRECT(E728),0,MATCH(F728,MO_Common_ColumnHeader,0)),"N/A")</f>
        <v/>
      </c>
      <c r="O728" s="67" t="n"/>
      <c r="P728" s="2169">
        <f>IF(ISNUMBER(N728),N728-K728,"N/A")</f>
        <v/>
      </c>
      <c r="Q728" s="2168">
        <f>IFERROR(IF(ISNUMBER(N728),(N728-K728)/ABS(K728),"N/A"),"N/A")</f>
        <v/>
      </c>
      <c r="R728" s="67" t="n"/>
      <c r="S728" s="80" t="n">
        <v>43941</v>
      </c>
      <c r="T728" s="88" t="inlineStr">
        <is>
          <t>Press Release</t>
        </is>
      </c>
      <c r="U728" s="67" t="n"/>
      <c r="V728" s="1016" t="n"/>
    </row>
    <row r="729" ht="14.4" customHeight="1" s="972">
      <c r="A729" s="64" t="n">
        <v>235</v>
      </c>
      <c r="B729" s="77">
        <f>IF(INDEX(MO_SNA_IsHistoricalPeriod,,MATCH(F729,MO_Common_ColumnHeader,0)),"Historical","Forward")</f>
        <v/>
      </c>
      <c r="C729" s="67" t="n"/>
      <c r="D729" s="84">
        <f>INDEX(INDIRECT(E729),0,COLUMN(MO_Common_Column_A))</f>
        <v/>
      </c>
      <c r="E729" s="78" t="inlineStr">
        <is>
          <t>MO_RIS_SBC</t>
        </is>
      </c>
      <c r="F729" s="77" t="inlineStr">
        <is>
          <t>Q2-2020</t>
        </is>
      </c>
      <c r="G729" s="77" t="n"/>
      <c r="H729" s="67" t="n"/>
      <c r="I729" s="2087" t="n">
        <v>48</v>
      </c>
      <c r="J729" s="2087" t="n">
        <v>48</v>
      </c>
      <c r="K729" s="2087">
        <f>AVERAGE(I729:J729)</f>
        <v/>
      </c>
      <c r="L729" s="67" t="n"/>
      <c r="M729" s="77">
        <f>IF(INDEX(MO_SNA_IsHistoricalPeriod,,MATCH(F729,MO_Common_ColumnHeader,0)),"Actual","Estimate")</f>
        <v/>
      </c>
      <c r="N729" s="2087">
        <f>IFERROR(INDEX(INDIRECT(E729),0,MATCH(F729,MO_Common_ColumnHeader,0)),"N/A")</f>
        <v/>
      </c>
      <c r="O729" s="67" t="n"/>
      <c r="P729" s="2169">
        <f>IF(ISNUMBER(N729),N729-K729,"N/A")</f>
        <v/>
      </c>
      <c r="Q729" s="2168">
        <f>IFERROR(IF(ISNUMBER(N729),(N729-K729)/ABS(K729),"N/A"),"N/A")</f>
        <v/>
      </c>
      <c r="R729" s="67" t="n"/>
      <c r="S729" s="80" t="n">
        <v>43941</v>
      </c>
      <c r="T729" s="88" t="inlineStr">
        <is>
          <t>Press Release</t>
        </is>
      </c>
      <c r="U729" s="67" t="n"/>
      <c r="V729" s="1016" t="n"/>
    </row>
    <row r="730" ht="14.4" customHeight="1" s="972">
      <c r="A730" s="64" t="n">
        <v>234</v>
      </c>
      <c r="B730" s="77">
        <f>IF(INDEX(MO_SNA_IsHistoricalPeriod,,MATCH(F730,MO_Common_ColumnHeader,0)),"Historical","Forward")</f>
        <v/>
      </c>
      <c r="C730" s="67" t="n"/>
      <c r="D730" s="84" t="inlineStr">
        <is>
          <t>Acquisition and integration-related costs</t>
        </is>
      </c>
      <c r="E730" s="78" t="n"/>
      <c r="F730" s="77" t="inlineStr">
        <is>
          <t>Q2-2020</t>
        </is>
      </c>
      <c r="G730" s="77" t="n"/>
      <c r="H730" s="67" t="n"/>
      <c r="I730" s="2087" t="n">
        <v>4</v>
      </c>
      <c r="J730" s="2087" t="n">
        <v>4</v>
      </c>
      <c r="K730" s="2087">
        <f>AVERAGE(I730:J730)</f>
        <v/>
      </c>
      <c r="L730" s="67" t="n"/>
      <c r="M730" s="77">
        <f>IF(INDEX(MO_SNA_IsHistoricalPeriod,,MATCH(F730,MO_Common_ColumnHeader,0)),"Actual","Estimate")</f>
        <v/>
      </c>
      <c r="N730" s="2087">
        <f>IFERROR(INDEX(INDIRECT(E730),0,MATCH(F730,MO_Common_ColumnHeader,0)),"N/A")</f>
        <v/>
      </c>
      <c r="O730" s="67" t="n"/>
      <c r="P730" s="2169">
        <f>IF(ISNUMBER(N730),N730-K730,"N/A")</f>
        <v/>
      </c>
      <c r="Q730" s="2168">
        <f>IFERROR(IF(ISNUMBER(N730),(N730-K730)/ABS(K730),"N/A"),"N/A")</f>
        <v/>
      </c>
      <c r="R730" s="67" t="n"/>
      <c r="S730" s="80" t="n">
        <v>43941</v>
      </c>
      <c r="T730" s="88" t="inlineStr">
        <is>
          <t>Press Release</t>
        </is>
      </c>
      <c r="U730" s="67" t="n"/>
      <c r="V730" s="1016" t="n"/>
    </row>
    <row r="731" ht="14.4" customHeight="1" s="972">
      <c r="A731" s="64" t="n">
        <v>233</v>
      </c>
      <c r="B731" s="77">
        <f>IF(INDEX(MO_SNA_IsHistoricalPeriod,,MATCH(F731,MO_Common_ColumnHeader,0)),"Historical","Forward")</f>
        <v/>
      </c>
      <c r="C731" s="67" t="n"/>
      <c r="D731" s="84" t="inlineStr">
        <is>
          <t>Other income or expense related to investments and non-qualified deferred compensation plan assets</t>
        </is>
      </c>
      <c r="E731" s="78" t="n"/>
      <c r="F731" s="77" t="inlineStr">
        <is>
          <t>Q2-2020</t>
        </is>
      </c>
      <c r="G731" s="77" t="n"/>
      <c r="H731" s="67" t="n"/>
      <c r="I731" s="2087" t="n">
        <v>1</v>
      </c>
      <c r="J731" s="2087" t="n">
        <v>1</v>
      </c>
      <c r="K731" s="2087">
        <f>AVERAGE(I731:J731)</f>
        <v/>
      </c>
      <c r="L731" s="67" t="n"/>
      <c r="M731" s="77">
        <f>IF(INDEX(MO_SNA_IsHistoricalPeriod,,MATCH(F731,MO_Common_ColumnHeader,0)),"Actual","Estimate")</f>
        <v/>
      </c>
      <c r="N731" s="2087">
        <f>IFERROR(INDEX(INDIRECT(E731),0,MATCH(F731,MO_Common_ColumnHeader,0)),"N/A")</f>
        <v/>
      </c>
      <c r="O731" s="67" t="n"/>
      <c r="P731" s="2169">
        <f>IF(ISNUMBER(N731),N731-K731,"N/A")</f>
        <v/>
      </c>
      <c r="Q731" s="2168">
        <f>IFERROR(IF(ISNUMBER(N731),(N731-K731)/ABS(K731),"N/A"),"N/A")</f>
        <v/>
      </c>
      <c r="R731" s="67" t="n"/>
      <c r="S731" s="80" t="n">
        <v>43941</v>
      </c>
      <c r="T731" s="88" t="inlineStr">
        <is>
          <t>Press Release</t>
        </is>
      </c>
      <c r="U731" s="67" t="n"/>
      <c r="V731" s="1016" t="n"/>
    </row>
    <row r="732" ht="14.4" customHeight="1" s="972">
      <c r="A732" s="64" t="n">
        <v>232</v>
      </c>
      <c r="B732" s="77">
        <f>IF(INDEX(MO_SNA_IsHistoricalPeriod,,MATCH(F732,MO_Common_ColumnHeader,0)),"Historical","Forward")</f>
        <v/>
      </c>
      <c r="C732" s="67" t="n"/>
      <c r="D732" s="84" t="inlineStr">
        <is>
          <t>Income tax effect on non-GAAP adjustments</t>
        </is>
      </c>
      <c r="E732" s="78" t="n"/>
      <c r="F732" s="77" t="inlineStr">
        <is>
          <t>Q2-2020</t>
        </is>
      </c>
      <c r="G732" s="77" t="n"/>
      <c r="H732" s="67" t="n"/>
      <c r="I732" s="2087" t="n">
        <v>-9</v>
      </c>
      <c r="J732" s="2087" t="n">
        <v>-9</v>
      </c>
      <c r="K732" s="2087">
        <f>AVERAGE(I732:J732)</f>
        <v/>
      </c>
      <c r="L732" s="67" t="n"/>
      <c r="M732" s="77">
        <f>IF(INDEX(MO_SNA_IsHistoricalPeriod,,MATCH(F732,MO_Common_ColumnHeader,0)),"Actual","Estimate")</f>
        <v/>
      </c>
      <c r="N732" s="2087">
        <f>IFERROR(INDEX(INDIRECT(E732),0,MATCH(F732,MO_Common_ColumnHeader,0)),"N/A")</f>
        <v/>
      </c>
      <c r="O732" s="67" t="n"/>
      <c r="P732" s="2169">
        <f>IF(ISNUMBER(N732),N732-K732,"N/A")</f>
        <v/>
      </c>
      <c r="Q732" s="2168">
        <f>IFERROR(IF(ISNUMBER(N732),(N732-K732)/ABS(K732),"N/A"),"N/A")</f>
        <v/>
      </c>
      <c r="R732" s="67" t="n"/>
      <c r="S732" s="80" t="n">
        <v>43941</v>
      </c>
      <c r="T732" s="88" t="inlineStr">
        <is>
          <t>Press Release</t>
        </is>
      </c>
      <c r="U732" s="67" t="n"/>
      <c r="V732" s="1016" t="n"/>
    </row>
    <row r="733" ht="14.4" customHeight="1" s="972">
      <c r="A733" s="64" t="n">
        <v>231</v>
      </c>
      <c r="B733" s="77">
        <f>IF(INDEX(MO_SNA_IsHistoricalPeriod,,MATCH(F733,MO_Common_ColumnHeader,0)),"Historical","Forward")</f>
        <v/>
      </c>
      <c r="C733" s="67" t="n"/>
      <c r="D733" s="84">
        <f>INDEX(INDIRECT(E733),0,COLUMN(MO_Common_Column_A))</f>
        <v/>
      </c>
      <c r="E733" s="78" t="inlineStr">
        <is>
          <t>MO_RIS_NI_GAAP_Diluted</t>
        </is>
      </c>
      <c r="F733" s="77" t="inlineStr">
        <is>
          <t>Q2-2020</t>
        </is>
      </c>
      <c r="G733" s="77" t="n"/>
      <c r="H733" s="67" t="n"/>
      <c r="I733" s="2087" t="n">
        <v>79</v>
      </c>
      <c r="J733" s="2087" t="n">
        <v>89</v>
      </c>
      <c r="K733" s="2087">
        <f>AVERAGE(I733:J733)</f>
        <v/>
      </c>
      <c r="L733" s="67" t="n"/>
      <c r="M733" s="77">
        <f>IF(INDEX(MO_SNA_IsHistoricalPeriod,,MATCH(F733,MO_Common_ColumnHeader,0)),"Actual","Estimate")</f>
        <v/>
      </c>
      <c r="N733" s="2087">
        <f>IFERROR(INDEX(INDIRECT(E733),0,MATCH(F733,MO_Common_ColumnHeader,0)),"N/A")</f>
        <v/>
      </c>
      <c r="O733" s="67" t="n"/>
      <c r="P733" s="2169">
        <f>IF(ISNUMBER(N733),N733-K733,"N/A")</f>
        <v/>
      </c>
      <c r="Q733" s="2168">
        <f>IFERROR(IF(ISNUMBER(N733),(N733-K733)/ABS(K733),"N/A"),"N/A")</f>
        <v/>
      </c>
      <c r="R733" s="67" t="n"/>
      <c r="S733" s="80" t="n">
        <v>43941</v>
      </c>
      <c r="T733" s="88" t="inlineStr">
        <is>
          <t>Press Release</t>
        </is>
      </c>
      <c r="U733" s="67" t="n"/>
      <c r="V733" s="1016" t="n"/>
    </row>
    <row r="734" ht="14.4" customHeight="1" s="972">
      <c r="A734" s="64" t="n">
        <v>230</v>
      </c>
      <c r="B734" s="77">
        <f>IF(INDEX(MO_SNA_IsHistoricalPeriod,,MATCH(F734,MO_Common_ColumnHeader,0)),"Historical","Forward")</f>
        <v/>
      </c>
      <c r="C734" s="67" t="n"/>
      <c r="D734" s="84">
        <f>INDEX(INDIRECT(E734),0,COLUMN(MO_Common_Column_A))</f>
        <v/>
      </c>
      <c r="E734" s="78" t="inlineStr">
        <is>
          <t>MO_RIS_NI_NONGAAP_Diluted</t>
        </is>
      </c>
      <c r="F734" s="77" t="inlineStr">
        <is>
          <t>Q2-2020</t>
        </is>
      </c>
      <c r="G734" s="77" t="n"/>
      <c r="H734" s="67" t="n"/>
      <c r="I734" s="2087" t="n">
        <v>139</v>
      </c>
      <c r="J734" s="2087" t="n">
        <v>149</v>
      </c>
      <c r="K734" s="2087">
        <f>AVERAGE(I734:J734)</f>
        <v/>
      </c>
      <c r="L734" s="67" t="n"/>
      <c r="M734" s="77">
        <f>IF(INDEX(MO_SNA_IsHistoricalPeriod,,MATCH(F734,MO_Common_ColumnHeader,0)),"Actual","Estimate")</f>
        <v/>
      </c>
      <c r="N734" s="2087">
        <f>IFERROR(INDEX(INDIRECT(E734),0,MATCH(F734,MO_Common_ColumnHeader,0)),"N/A")</f>
        <v/>
      </c>
      <c r="O734" s="67" t="n"/>
      <c r="P734" s="2169">
        <f>IF(ISNUMBER(N734),N734-K734,"N/A")</f>
        <v/>
      </c>
      <c r="Q734" s="2168">
        <f>IFERROR(IF(ISNUMBER(N734),(N734-K734)/ABS(K734),"N/A"),"N/A")</f>
        <v/>
      </c>
      <c r="R734" s="67" t="n"/>
      <c r="S734" s="80" t="n">
        <v>43941</v>
      </c>
      <c r="T734" s="88" t="inlineStr">
        <is>
          <t>Press Release</t>
        </is>
      </c>
      <c r="U734" s="67" t="n"/>
      <c r="V734" s="1016" t="n"/>
    </row>
    <row r="735" ht="14.4" customHeight="1" s="972">
      <c r="A735" s="64" t="n">
        <v>229</v>
      </c>
      <c r="B735" s="67" t="n"/>
      <c r="C735" s="67" t="n"/>
      <c r="D735" s="68" t="n"/>
      <c r="E735" s="69" t="n"/>
      <c r="F735" s="67" t="n"/>
      <c r="G735" s="67" t="n"/>
      <c r="H735" s="67" t="n"/>
      <c r="I735" s="2072" t="n"/>
      <c r="J735" s="2072" t="n"/>
      <c r="K735" s="2072" t="n"/>
      <c r="L735" s="67" t="n"/>
      <c r="M735" s="67" t="n"/>
      <c r="N735" s="2072" t="n"/>
      <c r="O735" s="67" t="n"/>
      <c r="P735" s="2172" t="n"/>
      <c r="Q735" s="2173" t="n"/>
      <c r="R735" s="67" t="n"/>
      <c r="S735" s="72" t="n"/>
      <c r="T735" s="89" t="n"/>
      <c r="U735" s="67" t="n"/>
      <c r="V735" s="1016" t="n"/>
    </row>
    <row r="736" ht="14.4" customHeight="1" s="972">
      <c r="A736" s="64" t="n">
        <v>228</v>
      </c>
      <c r="B736" s="77">
        <f>IF(INDEX(MO_SNA_IsHistoricalPeriod,,MATCH(F736,MO_Common_ColumnHeader,0)),"Historical","Forward")</f>
        <v/>
      </c>
      <c r="C736" s="67" t="n"/>
      <c r="D736" s="84">
        <f>INDEX(INDIRECT(E736),0,COLUMN(MO_Common_Column_A))</f>
        <v/>
      </c>
      <c r="E736" s="78" t="inlineStr">
        <is>
          <t>MO_RIS_REV</t>
        </is>
      </c>
      <c r="F736" s="77" t="inlineStr">
        <is>
          <t>FY2020</t>
        </is>
      </c>
      <c r="G736" s="77" t="n"/>
      <c r="H736" s="67" t="n"/>
      <c r="I736" s="2087" t="n">
        <v>2545</v>
      </c>
      <c r="J736" s="2087" t="n">
        <v>2585</v>
      </c>
      <c r="K736" s="2087">
        <f>AVERAGE(I736:J736)</f>
        <v/>
      </c>
      <c r="L736" s="67" t="n"/>
      <c r="M736" s="77">
        <f>IF(INDEX(MO_SNA_IsHistoricalPeriod,,MATCH(F736,MO_Common_ColumnHeader,0)),"Actual","Estimate")</f>
        <v/>
      </c>
      <c r="N736" s="2087">
        <f>IFERROR(INDEX(INDIRECT(E736),0,MATCH(F736,MO_Common_ColumnHeader,0)),"N/A")</f>
        <v/>
      </c>
      <c r="O736" s="2072" t="n"/>
      <c r="P736" s="2169">
        <f>IF(ISNUMBER(N736),N736-K736,"N/A")</f>
        <v/>
      </c>
      <c r="Q736" s="2168">
        <f>IFERROR(IF(ISNUMBER(N736),(N736-K736)/ABS(K736),"N/A"),"N/A")</f>
        <v/>
      </c>
      <c r="R736" s="67" t="n"/>
      <c r="S736" s="80" t="n">
        <v>43873</v>
      </c>
      <c r="T736" s="88" t="inlineStr">
        <is>
          <t>Press Release</t>
        </is>
      </c>
      <c r="U736" s="112" t="n"/>
      <c r="V736" s="1016" t="n"/>
    </row>
    <row r="737" ht="14.4" customHeight="1" s="972">
      <c r="A737" s="64" t="n">
        <v>227</v>
      </c>
      <c r="B737" s="77">
        <f>IF(INDEX(MO_SNA_IsHistoricalPeriod,,MATCH(F737,MO_Common_ColumnHeader,0)),"Historical","Forward")</f>
        <v/>
      </c>
      <c r="C737" s="67" t="n"/>
      <c r="D737" s="84" t="inlineStr">
        <is>
          <t>GAAP Operating Margin</t>
        </is>
      </c>
      <c r="E737" s="78" t="n"/>
      <c r="F737" s="77" t="inlineStr">
        <is>
          <t>FY2020</t>
        </is>
      </c>
      <c r="G737" s="77" t="n"/>
      <c r="H737" s="67" t="n"/>
      <c r="I737" s="2108" t="n">
        <v>0.21</v>
      </c>
      <c r="J737" s="2108" t="n">
        <v>0.22</v>
      </c>
      <c r="K737" s="2108">
        <f>AVERAGE(I737:J737)</f>
        <v/>
      </c>
      <c r="L737" s="67" t="n"/>
      <c r="M737" s="77">
        <f>IF(INDEX(MO_SNA_IsHistoricalPeriod,,MATCH(F737,MO_Common_ColumnHeader,0)),"Actual","Estimate")</f>
        <v/>
      </c>
      <c r="N737" s="2108">
        <f>IFERROR(INDEX(INDIRECT(E737),0,MATCH(F737,MO_Common_ColumnHeader,0)),"N/A")</f>
        <v/>
      </c>
      <c r="O737" s="67" t="n"/>
      <c r="P737" s="2168">
        <f>IF(ISNUMBER(N737),N737-K737,"N/A")</f>
        <v/>
      </c>
      <c r="Q737" s="2168">
        <f>IFERROR(IF(ISNUMBER(N737),(N737-K737)/ABS(K737),"N/A"),"N/A")</f>
        <v/>
      </c>
      <c r="R737" s="67" t="n"/>
      <c r="S737" s="80" t="n">
        <v>43873</v>
      </c>
      <c r="T737" s="88" t="inlineStr">
        <is>
          <t>Press Release</t>
        </is>
      </c>
      <c r="U737" s="67" t="n"/>
      <c r="V737" s="1016" t="n"/>
    </row>
    <row r="738" ht="14.4" customHeight="1" s="972">
      <c r="A738" s="64" t="n">
        <v>226</v>
      </c>
      <c r="B738" s="77">
        <f>IF(INDEX(MO_SNA_IsHistoricalPeriod,,MATCH(F738,MO_Common_ColumnHeader,0)),"Historical","Forward")</f>
        <v/>
      </c>
      <c r="C738" s="67" t="n"/>
      <c r="D738" s="84">
        <f>INDEX(INDIRECT(E738),0,COLUMN(MO_Common_Column_A))</f>
        <v/>
      </c>
      <c r="E738" s="78" t="inlineStr">
        <is>
          <t>MO_MA_OperatingIncome_NONGAAP</t>
        </is>
      </c>
      <c r="F738" s="77" t="inlineStr">
        <is>
          <t>FY2020</t>
        </is>
      </c>
      <c r="G738" s="77" t="n"/>
      <c r="H738" s="67" t="n"/>
      <c r="I738" s="2108" t="n">
        <v>0.32</v>
      </c>
      <c r="J738" s="2108" t="n">
        <v>0.33</v>
      </c>
      <c r="K738" s="2108">
        <f>AVERAGE(I738:J738)</f>
        <v/>
      </c>
      <c r="L738" s="67" t="n"/>
      <c r="M738" s="77">
        <f>IF(INDEX(MO_SNA_IsHistoricalPeriod,,MATCH(F738,MO_Common_ColumnHeader,0)),"Actual","Estimate")</f>
        <v/>
      </c>
      <c r="N738" s="2108">
        <f>IFERROR(INDEX(INDIRECT(E738),0,MATCH(F738,MO_Common_ColumnHeader,0)),"N/A")</f>
        <v/>
      </c>
      <c r="O738" s="67" t="n"/>
      <c r="P738" s="2168">
        <f>IF(ISNUMBER(N738),N738-K738,"N/A")</f>
        <v/>
      </c>
      <c r="Q738" s="2168">
        <f>IFERROR(IF(ISNUMBER(N738),(N738-K738)/ABS(K738),"N/A"),"N/A")</f>
        <v/>
      </c>
      <c r="R738" s="67" t="n"/>
      <c r="S738" s="80" t="n">
        <v>43873</v>
      </c>
      <c r="T738" s="88" t="inlineStr">
        <is>
          <t>Press Release</t>
        </is>
      </c>
      <c r="U738" s="67" t="n"/>
      <c r="V738" s="1016" t="n"/>
    </row>
    <row r="739" ht="14.4" customHeight="1" s="972">
      <c r="A739" s="64" t="n">
        <v>225</v>
      </c>
      <c r="B739" s="77">
        <f>IF(INDEX(MO_SNA_IsHistoricalPeriod,,MATCH(F739,MO_Common_ColumnHeader,0)),"Historical","Forward")</f>
        <v/>
      </c>
      <c r="C739" s="67" t="n"/>
      <c r="D739" s="84">
        <f>INDEX(INDIRECT(E739),0,COLUMN(MO_Common_Column_A))</f>
        <v/>
      </c>
      <c r="E739" s="78" t="inlineStr">
        <is>
          <t>MO_RIS_EPS_WAD</t>
        </is>
      </c>
      <c r="F739" s="77" t="inlineStr">
        <is>
          <t>FY2020</t>
        </is>
      </c>
      <c r="G739" s="77" t="n"/>
      <c r="H739" s="67" t="n"/>
      <c r="I739" s="2170" t="n">
        <v>1.46</v>
      </c>
      <c r="J739" s="2170" t="n">
        <v>1.56</v>
      </c>
      <c r="K739" s="2170">
        <f>AVERAGE(I739:J739)</f>
        <v/>
      </c>
      <c r="L739" s="67" t="n"/>
      <c r="M739" s="77">
        <f>IF(INDEX(MO_SNA_IsHistoricalPeriod,,MATCH(F739,MO_Common_ColumnHeader,0)),"Actual","Estimate")</f>
        <v/>
      </c>
      <c r="N739" s="2170">
        <f>IFERROR(INDEX(INDIRECT(E739),0,MATCH(F739,MO_Common_ColumnHeader,0)),"N/A")</f>
        <v/>
      </c>
      <c r="O739" s="67" t="n"/>
      <c r="P739" s="2171">
        <f>IF(ISNUMBER(N739),N739-K739,"N/A")</f>
        <v/>
      </c>
      <c r="Q739" s="2168">
        <f>IFERROR(IF(ISNUMBER(N739),(N739-K739)/ABS(K739),"N/A"),"N/A")</f>
        <v/>
      </c>
      <c r="R739" s="67" t="n"/>
      <c r="S739" s="80" t="n">
        <v>43873</v>
      </c>
      <c r="T739" s="88" t="inlineStr">
        <is>
          <t>Press Release</t>
        </is>
      </c>
      <c r="U739" s="112" t="n"/>
      <c r="V739" s="1016" t="n"/>
    </row>
    <row r="740" ht="14.4" customHeight="1" s="972">
      <c r="A740" s="64" t="n">
        <v>224</v>
      </c>
      <c r="B740" s="77">
        <f>IF(INDEX(MO_SNA_IsHistoricalPeriod,,MATCH(F740,MO_Common_ColumnHeader,0)),"Historical","Forward")</f>
        <v/>
      </c>
      <c r="C740" s="67" t="n"/>
      <c r="D740" s="84">
        <f>INDEX(INDIRECT(E740),0,COLUMN(MO_Common_Column_A))</f>
        <v/>
      </c>
      <c r="E740" s="78" t="inlineStr">
        <is>
          <t>MO_RIS_EPS_WAD_Adj</t>
        </is>
      </c>
      <c r="F740" s="77" t="inlineStr">
        <is>
          <t>FY2020</t>
        </is>
      </c>
      <c r="G740" s="77" t="n"/>
      <c r="H740" s="67" t="n"/>
      <c r="I740" s="2170" t="n">
        <v>2.4</v>
      </c>
      <c r="J740" s="2170" t="n">
        <v>2.5</v>
      </c>
      <c r="K740" s="2170">
        <f>AVERAGE(I740:J740)</f>
        <v/>
      </c>
      <c r="L740" s="67" t="n"/>
      <c r="M740" s="77">
        <f>IF(INDEX(MO_SNA_IsHistoricalPeriod,,MATCH(F740,MO_Common_ColumnHeader,0)),"Actual","Estimate")</f>
        <v/>
      </c>
      <c r="N740" s="2170">
        <f>IFERROR(INDEX(INDIRECT(E740),0,MATCH(F740,MO_Common_ColumnHeader,0)),"N/A")</f>
        <v/>
      </c>
      <c r="O740" s="67" t="n"/>
      <c r="P740" s="2171">
        <f>IF(ISNUMBER(N740),N740-K740,"N/A")</f>
        <v/>
      </c>
      <c r="Q740" s="2168">
        <f>IFERROR(IF(ISNUMBER(N740),(N740-K740)/ABS(K740),"N/A"),"N/A")</f>
        <v/>
      </c>
      <c r="R740" s="67" t="n"/>
      <c r="S740" s="80" t="n">
        <v>43873</v>
      </c>
      <c r="T740" s="88" t="inlineStr">
        <is>
          <t>Press Release</t>
        </is>
      </c>
      <c r="U740" s="67" t="n"/>
      <c r="V740" s="1016" t="n"/>
    </row>
    <row r="741" ht="14.4" customHeight="1" s="972">
      <c r="A741" s="64" t="n">
        <v>223</v>
      </c>
      <c r="B741" s="77">
        <f>IF(INDEX(MO_SNA_IsHistoricalPeriod,,MATCH(F741,MO_Common_ColumnHeader,0)),"Historical","Forward")</f>
        <v/>
      </c>
      <c r="C741" s="67" t="n"/>
      <c r="D741" s="84">
        <f>INDEX(INDIRECT(E741),0,COLUMN(MO_Common_Column_A))</f>
        <v/>
      </c>
      <c r="E741" s="78" t="inlineStr">
        <is>
          <t>MO_RIS_Daintangibles</t>
        </is>
      </c>
      <c r="F741" s="77" t="inlineStr">
        <is>
          <t>FY2020</t>
        </is>
      </c>
      <c r="G741" s="77" t="n"/>
      <c r="H741" s="67" t="n"/>
      <c r="I741" s="2087" t="n">
        <v>65</v>
      </c>
      <c r="J741" s="2087" t="n">
        <v>65</v>
      </c>
      <c r="K741" s="2087">
        <f>AVERAGE(I741:J741)</f>
        <v/>
      </c>
      <c r="L741" s="67" t="n"/>
      <c r="M741" s="77">
        <f>IF(INDEX(MO_SNA_IsHistoricalPeriod,,MATCH(F741,MO_Common_ColumnHeader,0)),"Actual","Estimate")</f>
        <v/>
      </c>
      <c r="N741" s="2087">
        <f>IFERROR(INDEX(INDIRECT(E741),0,MATCH(F741,MO_Common_ColumnHeader,0)),"N/A")</f>
        <v/>
      </c>
      <c r="O741" s="67" t="n"/>
      <c r="P741" s="2169">
        <f>IF(ISNUMBER(N741),N741-K741,"N/A")</f>
        <v/>
      </c>
      <c r="Q741" s="2168">
        <f>IFERROR(IF(ISNUMBER(N741),(N741-K741)/ABS(K741),"N/A"),"N/A")</f>
        <v/>
      </c>
      <c r="R741" s="67" t="n"/>
      <c r="S741" s="80" t="n">
        <v>43873</v>
      </c>
      <c r="T741" s="88" t="inlineStr">
        <is>
          <t>Press Release</t>
        </is>
      </c>
      <c r="U741" s="67" t="n"/>
      <c r="V741" s="1016" t="n"/>
    </row>
    <row r="742" ht="14.4" customHeight="1" s="972">
      <c r="A742" s="64" t="n">
        <v>222</v>
      </c>
      <c r="B742" s="77">
        <f>IF(INDEX(MO_SNA_IsHistoricalPeriod,,MATCH(F742,MO_Common_ColumnHeader,0)),"Historical","Forward")</f>
        <v/>
      </c>
      <c r="C742" s="67" t="n"/>
      <c r="D742" s="84">
        <f>INDEX(INDIRECT(E742),0,COLUMN(MO_Common_Column_A))</f>
        <v/>
      </c>
      <c r="E742" s="78" t="inlineStr">
        <is>
          <t>MO_RIS_SBC</t>
        </is>
      </c>
      <c r="F742" s="77" t="inlineStr">
        <is>
          <t>FY2020</t>
        </is>
      </c>
      <c r="G742" s="77" t="n"/>
      <c r="H742" s="67" t="n"/>
      <c r="I742" s="2087" t="n">
        <v>198</v>
      </c>
      <c r="J742" s="2087" t="n">
        <v>198</v>
      </c>
      <c r="K742" s="2087">
        <f>AVERAGE(I742:J742)</f>
        <v/>
      </c>
      <c r="L742" s="67" t="n"/>
      <c r="M742" s="77">
        <f>IF(INDEX(MO_SNA_IsHistoricalPeriod,,MATCH(F742,MO_Common_ColumnHeader,0)),"Actual","Estimate")</f>
        <v/>
      </c>
      <c r="N742" s="2087">
        <f>IFERROR(INDEX(INDIRECT(E742),0,MATCH(F742,MO_Common_ColumnHeader,0)),"N/A")</f>
        <v/>
      </c>
      <c r="O742" s="67" t="n"/>
      <c r="P742" s="2169">
        <f>IF(ISNUMBER(N742),N742-K742,"N/A")</f>
        <v/>
      </c>
      <c r="Q742" s="2168">
        <f>IFERROR(IF(ISNUMBER(N742),(N742-K742)/ABS(K742),"N/A"),"N/A")</f>
        <v/>
      </c>
      <c r="R742" s="67" t="n"/>
      <c r="S742" s="80" t="n">
        <v>43873</v>
      </c>
      <c r="T742" s="88" t="inlineStr">
        <is>
          <t>Press Release</t>
        </is>
      </c>
      <c r="U742" s="67" t="n"/>
      <c r="V742" s="1016" t="n"/>
    </row>
    <row r="743" ht="14.4" customHeight="1" s="972">
      <c r="A743" s="64" t="n">
        <v>221</v>
      </c>
      <c r="B743" s="77">
        <f>IF(INDEX(MO_SNA_IsHistoricalPeriod,,MATCH(F743,MO_Common_ColumnHeader,0)),"Historical","Forward")</f>
        <v/>
      </c>
      <c r="C743" s="67" t="n"/>
      <c r="D743" s="84" t="inlineStr">
        <is>
          <t>Acquisition and integration-related costs</t>
        </is>
      </c>
      <c r="E743" s="78" t="n"/>
      <c r="F743" s="77" t="inlineStr">
        <is>
          <t>FY2020</t>
        </is>
      </c>
      <c r="G743" s="77" t="n"/>
      <c r="H743" s="67" t="n"/>
      <c r="I743" s="2087" t="n">
        <v>18</v>
      </c>
      <c r="J743" s="2087" t="n">
        <v>18</v>
      </c>
      <c r="K743" s="2087">
        <f>AVERAGE(I743:J743)</f>
        <v/>
      </c>
      <c r="L743" s="67" t="n"/>
      <c r="M743" s="77">
        <f>IF(INDEX(MO_SNA_IsHistoricalPeriod,,MATCH(F743,MO_Common_ColumnHeader,0)),"Actual","Estimate")</f>
        <v/>
      </c>
      <c r="N743" s="2087">
        <f>IFERROR(INDEX(INDIRECT(E743),0,MATCH(F743,MO_Common_ColumnHeader,0)),"N/A")</f>
        <v/>
      </c>
      <c r="O743" s="67" t="n"/>
      <c r="P743" s="2169">
        <f>IF(ISNUMBER(N743),N743-K743,"N/A")</f>
        <v/>
      </c>
      <c r="Q743" s="2168">
        <f>IFERROR(IF(ISNUMBER(N743),(N743-K743)/ABS(K743),"N/A"),"N/A")</f>
        <v/>
      </c>
      <c r="R743" s="67" t="n"/>
      <c r="S743" s="80" t="n">
        <v>43873</v>
      </c>
      <c r="T743" s="88" t="inlineStr">
        <is>
          <t>Press Release</t>
        </is>
      </c>
      <c r="U743" s="67" t="n"/>
      <c r="V743" s="1016" t="n"/>
    </row>
    <row r="744" ht="14.4" customHeight="1" s="972">
      <c r="A744" s="64" t="n">
        <v>220</v>
      </c>
      <c r="B744" s="77">
        <f>IF(INDEX(MO_SNA_IsHistoricalPeriod,,MATCH(F744,MO_Common_ColumnHeader,0)),"Historical","Forward")</f>
        <v/>
      </c>
      <c r="C744" s="67" t="n"/>
      <c r="D744" s="84" t="inlineStr">
        <is>
          <t>Other income or expense related to investments and non-qualified deferred compensation plan assets</t>
        </is>
      </c>
      <c r="E744" s="78" t="n"/>
      <c r="F744" s="77" t="inlineStr">
        <is>
          <t>FY2020</t>
        </is>
      </c>
      <c r="G744" s="77" t="n"/>
      <c r="H744" s="67" t="n"/>
      <c r="I744" s="2087" t="n">
        <v>4</v>
      </c>
      <c r="J744" s="2087" t="n">
        <v>4</v>
      </c>
      <c r="K744" s="2087">
        <f>AVERAGE(I744:J744)</f>
        <v/>
      </c>
      <c r="L744" s="67" t="n"/>
      <c r="M744" s="77">
        <f>IF(INDEX(MO_SNA_IsHistoricalPeriod,,MATCH(F744,MO_Common_ColumnHeader,0)),"Actual","Estimate")</f>
        <v/>
      </c>
      <c r="N744" s="2087">
        <f>IFERROR(INDEX(INDIRECT(E744),0,MATCH(F744,MO_Common_ColumnHeader,0)),"N/A")</f>
        <v/>
      </c>
      <c r="O744" s="67" t="n"/>
      <c r="P744" s="2169">
        <f>IF(ISNUMBER(N744),N744-K744,"N/A")</f>
        <v/>
      </c>
      <c r="Q744" s="2168">
        <f>IFERROR(IF(ISNUMBER(N744),(N744-K744)/ABS(K744),"N/A"),"N/A")</f>
        <v/>
      </c>
      <c r="R744" s="67" t="n"/>
      <c r="S744" s="80" t="n">
        <v>43873</v>
      </c>
      <c r="T744" s="88" t="inlineStr">
        <is>
          <t>Press Release</t>
        </is>
      </c>
      <c r="U744" s="67" t="n"/>
      <c r="V744" s="1016" t="n"/>
    </row>
    <row r="745" ht="14.4" customHeight="1" s="972">
      <c r="A745" s="64" t="n">
        <v>219</v>
      </c>
      <c r="B745" s="77">
        <f>IF(INDEX(MO_SNA_IsHistoricalPeriod,,MATCH(F745,MO_Common_ColumnHeader,0)),"Historical","Forward")</f>
        <v/>
      </c>
      <c r="C745" s="67" t="n"/>
      <c r="D745" s="84" t="inlineStr">
        <is>
          <t>Income tax effect on non-GAAP adjustments</t>
        </is>
      </c>
      <c r="E745" s="78" t="n"/>
      <c r="F745" s="77" t="inlineStr">
        <is>
          <t>FY2020</t>
        </is>
      </c>
      <c r="G745" s="77" t="n"/>
      <c r="H745" s="67" t="n"/>
      <c r="I745" s="2087" t="n">
        <v>-23</v>
      </c>
      <c r="J745" s="2087" t="n">
        <v>-23</v>
      </c>
      <c r="K745" s="2087">
        <f>AVERAGE(I745:J745)</f>
        <v/>
      </c>
      <c r="L745" s="67" t="n"/>
      <c r="M745" s="77">
        <f>IF(INDEX(MO_SNA_IsHistoricalPeriod,,MATCH(F745,MO_Common_ColumnHeader,0)),"Actual","Estimate")</f>
        <v/>
      </c>
      <c r="N745" s="2087">
        <f>IFERROR(INDEX(INDIRECT(E745),0,MATCH(F745,MO_Common_ColumnHeader,0)),"N/A")</f>
        <v/>
      </c>
      <c r="O745" s="67" t="n"/>
      <c r="P745" s="2169">
        <f>IF(ISNUMBER(N745),N745-K745,"N/A")</f>
        <v/>
      </c>
      <c r="Q745" s="2168">
        <f>IFERROR(IF(ISNUMBER(N745),(N745-K745)/ABS(K745),"N/A"),"N/A")</f>
        <v/>
      </c>
      <c r="R745" s="67" t="n"/>
      <c r="S745" s="80" t="n">
        <v>43873</v>
      </c>
      <c r="T745" s="88" t="inlineStr">
        <is>
          <t>Press Release</t>
        </is>
      </c>
      <c r="U745" s="67" t="n"/>
      <c r="V745" s="1016" t="n"/>
    </row>
    <row r="746" ht="14.4" customHeight="1" s="972">
      <c r="A746" s="64" t="n">
        <v>218</v>
      </c>
      <c r="B746" s="77">
        <f>IF(INDEX(MO_SNA_IsHistoricalPeriod,,MATCH(F746,MO_Common_ColumnHeader,0)),"Historical","Forward")</f>
        <v/>
      </c>
      <c r="C746" s="67" t="n"/>
      <c r="D746" s="84">
        <f>INDEX(INDIRECT(E746),0,COLUMN(MO_Common_Column_A))</f>
        <v/>
      </c>
      <c r="E746" s="78" t="inlineStr">
        <is>
          <t>MO_RIS_NI_GAAP_Diluted</t>
        </is>
      </c>
      <c r="F746" s="77" t="inlineStr">
        <is>
          <t>FY2020</t>
        </is>
      </c>
      <c r="G746" s="77" t="n"/>
      <c r="H746" s="67" t="n"/>
      <c r="I746" s="2087" t="n">
        <v>410</v>
      </c>
      <c r="J746" s="2087" t="n">
        <v>438</v>
      </c>
      <c r="K746" s="2087">
        <f>AVERAGE(I746:J746)</f>
        <v/>
      </c>
      <c r="L746" s="67" t="n"/>
      <c r="M746" s="77">
        <f>IF(INDEX(MO_SNA_IsHistoricalPeriod,,MATCH(F746,MO_Common_ColumnHeader,0)),"Actual","Estimate")</f>
        <v/>
      </c>
      <c r="N746" s="2087">
        <f>IFERROR(INDEX(INDIRECT(E746),0,MATCH(F746,MO_Common_ColumnHeader,0)),"N/A")</f>
        <v/>
      </c>
      <c r="O746" s="67" t="n"/>
      <c r="P746" s="2169">
        <f>IF(ISNUMBER(N746),N746-K746,"N/A")</f>
        <v/>
      </c>
      <c r="Q746" s="2168">
        <f>IFERROR(IF(ISNUMBER(N746),(N746-K746)/ABS(K746),"N/A"),"N/A")</f>
        <v/>
      </c>
      <c r="R746" s="67" t="n"/>
      <c r="S746" s="80" t="n">
        <v>43873</v>
      </c>
      <c r="T746" s="88" t="inlineStr">
        <is>
          <t>Press Release</t>
        </is>
      </c>
      <c r="U746" s="67" t="n"/>
      <c r="V746" s="1016" t="n"/>
    </row>
    <row r="747" ht="14.4" customHeight="1" s="972">
      <c r="A747" s="64" t="n">
        <v>217</v>
      </c>
      <c r="B747" s="77">
        <f>IF(INDEX(MO_SNA_IsHistoricalPeriod,,MATCH(F747,MO_Common_ColumnHeader,0)),"Historical","Forward")</f>
        <v/>
      </c>
      <c r="C747" s="67" t="n"/>
      <c r="D747" s="84">
        <f>INDEX(INDIRECT(E747),0,COLUMN(MO_Common_Column_A))</f>
        <v/>
      </c>
      <c r="E747" s="78" t="inlineStr">
        <is>
          <t>MO_RIS_NI_NONGAAP_Diluted</t>
        </is>
      </c>
      <c r="F747" s="77" t="inlineStr">
        <is>
          <t>FY2020</t>
        </is>
      </c>
      <c r="G747" s="77" t="n"/>
      <c r="H747" s="67" t="n"/>
      <c r="I747" s="2087" t="n">
        <v>672</v>
      </c>
      <c r="J747" s="2087" t="n">
        <v>700</v>
      </c>
      <c r="K747" s="2087">
        <f>AVERAGE(I747:J747)</f>
        <v/>
      </c>
      <c r="L747" s="67" t="n"/>
      <c r="M747" s="77">
        <f>IF(INDEX(MO_SNA_IsHistoricalPeriod,,MATCH(F747,MO_Common_ColumnHeader,0)),"Actual","Estimate")</f>
        <v/>
      </c>
      <c r="N747" s="2087">
        <f>IFERROR(INDEX(INDIRECT(E747),0,MATCH(F747,MO_Common_ColumnHeader,0)),"N/A")</f>
        <v/>
      </c>
      <c r="O747" s="67" t="n"/>
      <c r="P747" s="2169">
        <f>IF(ISNUMBER(N747),N747-K747,"N/A")</f>
        <v/>
      </c>
      <c r="Q747" s="2168">
        <f>IFERROR(IF(ISNUMBER(N747),(N747-K747)/ABS(K747),"N/A"),"N/A")</f>
        <v/>
      </c>
      <c r="R747" s="67" t="n"/>
      <c r="S747" s="80" t="n">
        <v>43873</v>
      </c>
      <c r="T747" s="88" t="inlineStr">
        <is>
          <t>Press Release</t>
        </is>
      </c>
      <c r="U747" s="67" t="n"/>
      <c r="V747" s="1016" t="n"/>
    </row>
    <row r="748" ht="14.4" customHeight="1" s="972">
      <c r="A748" s="64" t="n">
        <v>216</v>
      </c>
      <c r="B748" s="67" t="n"/>
      <c r="C748" s="67" t="n"/>
      <c r="D748" s="68" t="n"/>
      <c r="E748" s="69" t="n"/>
      <c r="F748" s="67" t="n"/>
      <c r="G748" s="67" t="n"/>
      <c r="H748" s="67" t="n"/>
      <c r="I748" s="2072" t="n"/>
      <c r="J748" s="2072" t="n"/>
      <c r="K748" s="2072" t="n"/>
      <c r="L748" s="67" t="n"/>
      <c r="M748" s="67" t="n"/>
      <c r="N748" s="2072" t="n"/>
      <c r="O748" s="67" t="n"/>
      <c r="P748" s="2172" t="n"/>
      <c r="Q748" s="2173" t="n"/>
      <c r="R748" s="67" t="n"/>
      <c r="S748" s="72" t="n"/>
      <c r="T748" s="89" t="n"/>
      <c r="U748" s="67" t="n"/>
      <c r="V748" s="1016" t="n"/>
    </row>
    <row r="749" ht="14.4" customHeight="1" s="972">
      <c r="A749" s="64" t="n">
        <v>215</v>
      </c>
      <c r="B749" s="77">
        <f>IF(INDEX(MO_SNA_IsHistoricalPeriod,,MATCH(F749,MO_Common_ColumnHeader,0)),"Historical","Forward")</f>
        <v/>
      </c>
      <c r="C749" s="67" t="n"/>
      <c r="D749" s="84">
        <f>INDEX(INDIRECT(E749),0,COLUMN(MO_Common_Column_A))</f>
        <v/>
      </c>
      <c r="E749" s="78" t="inlineStr">
        <is>
          <t>MO_RIS_REV</t>
        </is>
      </c>
      <c r="F749" s="77" t="inlineStr">
        <is>
          <t>Q1-2020</t>
        </is>
      </c>
      <c r="G749" s="77" t="n"/>
      <c r="H749" s="67" t="n"/>
      <c r="I749" s="2087" t="n">
        <v>610</v>
      </c>
      <c r="J749" s="2087" t="n">
        <v>620</v>
      </c>
      <c r="K749" s="2087">
        <f>AVERAGE(I749:J749)</f>
        <v/>
      </c>
      <c r="L749" s="67" t="n"/>
      <c r="M749" s="77">
        <f>IF(INDEX(MO_SNA_IsHistoricalPeriod,,MATCH(F749,MO_Common_ColumnHeader,0)),"Actual","Estimate")</f>
        <v/>
      </c>
      <c r="N749" s="2087">
        <f>IFERROR(INDEX(INDIRECT(E749),0,MATCH(F749,MO_Common_ColumnHeader,0)),"N/A")</f>
        <v/>
      </c>
      <c r="O749" s="67" t="n"/>
      <c r="P749" s="2169">
        <f>IF(ISNUMBER(N749),N749-K749,"N/A")</f>
        <v/>
      </c>
      <c r="Q749" s="2168">
        <f>IFERROR(IF(ISNUMBER(N749),(N749-K749)/ABS(K749),"N/A"),"N/A")</f>
        <v/>
      </c>
      <c r="R749" s="67" t="n"/>
      <c r="S749" s="80" t="n">
        <v>43873</v>
      </c>
      <c r="T749" s="88" t="inlineStr">
        <is>
          <t>Press Release</t>
        </is>
      </c>
      <c r="U749" s="67" t="n"/>
      <c r="V749" s="1016" t="n"/>
    </row>
    <row r="750" ht="14.4" customHeight="1" s="972">
      <c r="A750" s="64" t="n">
        <v>214</v>
      </c>
      <c r="B750" s="77">
        <f>IF(INDEX(MO_SNA_IsHistoricalPeriod,,MATCH(F750,MO_Common_ColumnHeader,0)),"Historical","Forward")</f>
        <v/>
      </c>
      <c r="C750" s="67" t="n"/>
      <c r="D750" s="84" t="inlineStr">
        <is>
          <t>GAAP Operating Margin</t>
        </is>
      </c>
      <c r="E750" s="78" t="n"/>
      <c r="F750" s="77" t="inlineStr">
        <is>
          <t>Q1-2020</t>
        </is>
      </c>
      <c r="G750" s="77" t="n"/>
      <c r="H750" s="67" t="n"/>
      <c r="I750" s="2108" t="n">
        <v>0.19</v>
      </c>
      <c r="J750" s="2108" t="n">
        <v>0.19</v>
      </c>
      <c r="K750" s="2108">
        <f>AVERAGE(I750:J750)</f>
        <v/>
      </c>
      <c r="L750" s="67" t="n"/>
      <c r="M750" s="77">
        <f>IF(INDEX(MO_SNA_IsHistoricalPeriod,,MATCH(F750,MO_Common_ColumnHeader,0)),"Actual","Estimate")</f>
        <v/>
      </c>
      <c r="N750" s="2108">
        <f>IFERROR(INDEX(INDIRECT(E750),0,MATCH(F750,MO_Common_ColumnHeader,0)),"N/A")</f>
        <v/>
      </c>
      <c r="O750" s="67" t="n"/>
      <c r="P750" s="2168">
        <f>IF(ISNUMBER(N750),N750-K750,"N/A")</f>
        <v/>
      </c>
      <c r="Q750" s="2168">
        <f>IFERROR(IF(ISNUMBER(N750),(N750-K750)/ABS(K750),"N/A"),"N/A")</f>
        <v/>
      </c>
      <c r="R750" s="67" t="n"/>
      <c r="S750" s="80" t="n">
        <v>43873</v>
      </c>
      <c r="T750" s="88" t="inlineStr">
        <is>
          <t>Press Release</t>
        </is>
      </c>
      <c r="U750" s="67" t="n"/>
      <c r="V750" s="1016" t="n"/>
    </row>
    <row r="751" ht="14.4" customHeight="1" s="972">
      <c r="A751" s="64" t="n">
        <v>213</v>
      </c>
      <c r="B751" s="77">
        <f>IF(INDEX(MO_SNA_IsHistoricalPeriod,,MATCH(F751,MO_Common_ColumnHeader,0)),"Historical","Forward")</f>
        <v/>
      </c>
      <c r="C751" s="67" t="n"/>
      <c r="D751" s="84">
        <f>INDEX(INDIRECT(E751),0,COLUMN(MO_Common_Column_A))</f>
        <v/>
      </c>
      <c r="E751" s="78" t="inlineStr">
        <is>
          <t>MO_MA_OperatingIncome_NONGAAP</t>
        </is>
      </c>
      <c r="F751" s="77" t="inlineStr">
        <is>
          <t>Q1-2020</t>
        </is>
      </c>
      <c r="G751" s="77" t="n"/>
      <c r="H751" s="67" t="n"/>
      <c r="I751" s="2108" t="n">
        <v>0.3</v>
      </c>
      <c r="J751" s="2108" t="n">
        <v>0.3</v>
      </c>
      <c r="K751" s="2108">
        <f>AVERAGE(I751:J751)</f>
        <v/>
      </c>
      <c r="L751" s="67" t="n"/>
      <c r="M751" s="77">
        <f>IF(INDEX(MO_SNA_IsHistoricalPeriod,,MATCH(F751,MO_Common_ColumnHeader,0)),"Actual","Estimate")</f>
        <v/>
      </c>
      <c r="N751" s="2108">
        <f>IFERROR(INDEX(INDIRECT(E751),0,MATCH(F751,MO_Common_ColumnHeader,0)),"N/A")</f>
        <v/>
      </c>
      <c r="O751" s="67" t="n"/>
      <c r="P751" s="2168">
        <f>IF(ISNUMBER(N751),N751-K751,"N/A")</f>
        <v/>
      </c>
      <c r="Q751" s="2168">
        <f>IFERROR(IF(ISNUMBER(N751),(N751-K751)/ABS(K751),"N/A"),"N/A")</f>
        <v/>
      </c>
      <c r="R751" s="67" t="n"/>
      <c r="S751" s="80" t="n">
        <v>43873</v>
      </c>
      <c r="T751" s="88" t="inlineStr">
        <is>
          <t>Press Release</t>
        </is>
      </c>
      <c r="U751" s="67" t="n"/>
      <c r="V751" s="1016" t="n"/>
    </row>
    <row r="752" ht="14.4" customHeight="1" s="972">
      <c r="A752" s="64" t="n">
        <v>212</v>
      </c>
      <c r="B752" s="77">
        <f>IF(INDEX(MO_SNA_IsHistoricalPeriod,,MATCH(F752,MO_Common_ColumnHeader,0)),"Historical","Forward")</f>
        <v/>
      </c>
      <c r="C752" s="67" t="n"/>
      <c r="D752" s="84">
        <f>INDEX(INDIRECT(E752),0,COLUMN(MO_Common_Column_A))</f>
        <v/>
      </c>
      <c r="E752" s="78" t="inlineStr">
        <is>
          <t>MO_RIS_EPS_WAD</t>
        </is>
      </c>
      <c r="F752" s="77" t="inlineStr">
        <is>
          <t>Q1-2020</t>
        </is>
      </c>
      <c r="G752" s="77" t="n"/>
      <c r="H752" s="67" t="n"/>
      <c r="I752" s="2170" t="n">
        <v>0.32</v>
      </c>
      <c r="J752" s="2170" t="n">
        <v>0.34</v>
      </c>
      <c r="K752" s="2170">
        <f>AVERAGE(I752:J752)</f>
        <v/>
      </c>
      <c r="L752" s="67" t="n"/>
      <c r="M752" s="77">
        <f>IF(INDEX(MO_SNA_IsHistoricalPeriod,,MATCH(F752,MO_Common_ColumnHeader,0)),"Actual","Estimate")</f>
        <v/>
      </c>
      <c r="N752" s="2170">
        <f>IFERROR(INDEX(INDIRECT(E752),0,MATCH(F752,MO_Common_ColumnHeader,0)),"N/A")</f>
        <v/>
      </c>
      <c r="O752" s="67" t="n"/>
      <c r="P752" s="2171">
        <f>IF(ISNUMBER(N752),N752-K752,"N/A")</f>
        <v/>
      </c>
      <c r="Q752" s="2168">
        <f>IFERROR(IF(ISNUMBER(N752),(N752-K752)/ABS(K752),"N/A"),"N/A")</f>
        <v/>
      </c>
      <c r="R752" s="67" t="n"/>
      <c r="S752" s="80" t="n">
        <v>43873</v>
      </c>
      <c r="T752" s="88" t="inlineStr">
        <is>
          <t>Press Release</t>
        </is>
      </c>
      <c r="U752" s="67" t="n"/>
      <c r="V752" s="1016" t="n"/>
    </row>
    <row r="753" ht="14.4" customHeight="1" s="972">
      <c r="A753" s="64" t="n">
        <v>211</v>
      </c>
      <c r="B753" s="77">
        <f>IF(INDEX(MO_SNA_IsHistoricalPeriod,,MATCH(F753,MO_Common_ColumnHeader,0)),"Historical","Forward")</f>
        <v/>
      </c>
      <c r="C753" s="67" t="n"/>
      <c r="D753" s="84">
        <f>INDEX(INDIRECT(E753),0,COLUMN(MO_Common_Column_A))</f>
        <v/>
      </c>
      <c r="E753" s="78" t="inlineStr">
        <is>
          <t>MO_RIS_EPS_WAD_Adj</t>
        </is>
      </c>
      <c r="F753" s="77" t="inlineStr">
        <is>
          <t>Q1-2020</t>
        </is>
      </c>
      <c r="G753" s="77" t="n"/>
      <c r="H753" s="67" t="n"/>
      <c r="I753" s="2170" t="n">
        <v>0.53</v>
      </c>
      <c r="J753" s="2170" t="n">
        <v>0.55</v>
      </c>
      <c r="K753" s="2170">
        <f>AVERAGE(I753:J753)</f>
        <v/>
      </c>
      <c r="L753" s="67" t="n"/>
      <c r="M753" s="77">
        <f>IF(INDEX(MO_SNA_IsHistoricalPeriod,,MATCH(F753,MO_Common_ColumnHeader,0)),"Actual","Estimate")</f>
        <v/>
      </c>
      <c r="N753" s="2170">
        <f>IFERROR(INDEX(INDIRECT(E753),0,MATCH(F753,MO_Common_ColumnHeader,0)),"N/A")</f>
        <v/>
      </c>
      <c r="O753" s="67" t="n"/>
      <c r="P753" s="2171">
        <f>IF(ISNUMBER(N753),N753-K753,"N/A")</f>
        <v/>
      </c>
      <c r="Q753" s="2168">
        <f>IFERROR(IF(ISNUMBER(N753),(N753-K753)/ABS(K753),"N/A"),"N/A")</f>
        <v/>
      </c>
      <c r="R753" s="67" t="n"/>
      <c r="S753" s="80" t="n">
        <v>43873</v>
      </c>
      <c r="T753" s="88" t="inlineStr">
        <is>
          <t>Press Release</t>
        </is>
      </c>
      <c r="U753" s="67" t="n"/>
      <c r="V753" s="1016" t="n"/>
    </row>
    <row r="754" ht="14.4" customHeight="1" s="972">
      <c r="A754" s="64" t="n">
        <v>210</v>
      </c>
      <c r="B754" s="77">
        <f>IF(INDEX(MO_SNA_IsHistoricalPeriod,,MATCH(F754,MO_Common_ColumnHeader,0)),"Historical","Forward")</f>
        <v/>
      </c>
      <c r="C754" s="67" t="n"/>
      <c r="D754" s="84">
        <f>INDEX(INDIRECT(E754),0,COLUMN(MO_Common_Column_A))</f>
        <v/>
      </c>
      <c r="E754" s="78" t="inlineStr">
        <is>
          <t>MO_RIS_Daintangibles</t>
        </is>
      </c>
      <c r="F754" s="77" t="inlineStr">
        <is>
          <t>Q1-2020</t>
        </is>
      </c>
      <c r="G754" s="77" t="n"/>
      <c r="H754" s="67" t="n"/>
      <c r="I754" s="2087" t="n">
        <v>15</v>
      </c>
      <c r="J754" s="2087" t="n">
        <v>15</v>
      </c>
      <c r="K754" s="2087">
        <f>AVERAGE(I754:J754)</f>
        <v/>
      </c>
      <c r="L754" s="67" t="n"/>
      <c r="M754" s="77">
        <f>IF(INDEX(MO_SNA_IsHistoricalPeriod,,MATCH(F754,MO_Common_ColumnHeader,0)),"Actual","Estimate")</f>
        <v/>
      </c>
      <c r="N754" s="2087">
        <f>IFERROR(INDEX(INDIRECT(E754),0,MATCH(F754,MO_Common_ColumnHeader,0)),"N/A")</f>
        <v/>
      </c>
      <c r="O754" s="67" t="n"/>
      <c r="P754" s="2169">
        <f>IF(ISNUMBER(N754),N754-K754,"N/A")</f>
        <v/>
      </c>
      <c r="Q754" s="2168">
        <f>IFERROR(IF(ISNUMBER(N754),(N754-K754)/ABS(K754),"N/A"),"N/A")</f>
        <v/>
      </c>
      <c r="R754" s="67" t="n"/>
      <c r="S754" s="80" t="n">
        <v>43873</v>
      </c>
      <c r="T754" s="88" t="inlineStr">
        <is>
          <t>Press Release</t>
        </is>
      </c>
      <c r="U754" s="67" t="n"/>
      <c r="V754" s="1016" t="n"/>
    </row>
    <row r="755" ht="14.4" customHeight="1" s="972">
      <c r="A755" s="64" t="n">
        <v>209</v>
      </c>
      <c r="B755" s="77">
        <f>IF(INDEX(MO_SNA_IsHistoricalPeriod,,MATCH(F755,MO_Common_ColumnHeader,0)),"Historical","Forward")</f>
        <v/>
      </c>
      <c r="C755" s="67" t="n"/>
      <c r="D755" s="84">
        <f>INDEX(INDIRECT(E755),0,COLUMN(MO_Common_Column_A))</f>
        <v/>
      </c>
      <c r="E755" s="78" t="inlineStr">
        <is>
          <t>MO_RIS_SBC</t>
        </is>
      </c>
      <c r="F755" s="77" t="inlineStr">
        <is>
          <t>Q1-2020</t>
        </is>
      </c>
      <c r="G755" s="77" t="n"/>
      <c r="H755" s="67" t="n"/>
      <c r="I755" s="2087" t="n">
        <v>47</v>
      </c>
      <c r="J755" s="2087" t="n">
        <v>47</v>
      </c>
      <c r="K755" s="2087">
        <f>AVERAGE(I755:J755)</f>
        <v/>
      </c>
      <c r="L755" s="67" t="n"/>
      <c r="M755" s="77">
        <f>IF(INDEX(MO_SNA_IsHistoricalPeriod,,MATCH(F755,MO_Common_ColumnHeader,0)),"Actual","Estimate")</f>
        <v/>
      </c>
      <c r="N755" s="2087">
        <f>IFERROR(INDEX(INDIRECT(E755),0,MATCH(F755,MO_Common_ColumnHeader,0)),"N/A")</f>
        <v/>
      </c>
      <c r="O755" s="67" t="n"/>
      <c r="P755" s="2169">
        <f>IF(ISNUMBER(N755),N755-K755,"N/A")</f>
        <v/>
      </c>
      <c r="Q755" s="2168">
        <f>IFERROR(IF(ISNUMBER(N755),(N755-K755)/ABS(K755),"N/A"),"N/A")</f>
        <v/>
      </c>
      <c r="R755" s="67" t="n"/>
      <c r="S755" s="80" t="n">
        <v>43873</v>
      </c>
      <c r="T755" s="88" t="inlineStr">
        <is>
          <t>Press Release</t>
        </is>
      </c>
      <c r="U755" s="67" t="n"/>
      <c r="V755" s="1016" t="n"/>
    </row>
    <row r="756" ht="14.4" customHeight="1" s="972">
      <c r="A756" s="64" t="n">
        <v>208</v>
      </c>
      <c r="B756" s="77">
        <f>IF(INDEX(MO_SNA_IsHistoricalPeriod,,MATCH(F756,MO_Common_ColumnHeader,0)),"Historical","Forward")</f>
        <v/>
      </c>
      <c r="C756" s="67" t="n"/>
      <c r="D756" s="84" t="inlineStr">
        <is>
          <t>Acquisition and integration-related costs</t>
        </is>
      </c>
      <c r="E756" s="78" t="n"/>
      <c r="F756" s="77" t="inlineStr">
        <is>
          <t>Q1-2020</t>
        </is>
      </c>
      <c r="G756" s="77" t="n"/>
      <c r="H756" s="67" t="n"/>
      <c r="I756" s="2087" t="n">
        <v>4</v>
      </c>
      <c r="J756" s="2087" t="n">
        <v>4</v>
      </c>
      <c r="K756" s="2087">
        <f>AVERAGE(I756:J756)</f>
        <v/>
      </c>
      <c r="L756" s="67" t="n"/>
      <c r="M756" s="77">
        <f>IF(INDEX(MO_SNA_IsHistoricalPeriod,,MATCH(F756,MO_Common_ColumnHeader,0)),"Actual","Estimate")</f>
        <v/>
      </c>
      <c r="N756" s="2087">
        <f>IFERROR(INDEX(INDIRECT(E756),0,MATCH(F756,MO_Common_ColumnHeader,0)),"N/A")</f>
        <v/>
      </c>
      <c r="O756" s="67" t="n"/>
      <c r="P756" s="2169">
        <f>IF(ISNUMBER(N756),N756-K756,"N/A")</f>
        <v/>
      </c>
      <c r="Q756" s="2168">
        <f>IFERROR(IF(ISNUMBER(N756),(N756-K756)/ABS(K756),"N/A"),"N/A")</f>
        <v/>
      </c>
      <c r="R756" s="67" t="n"/>
      <c r="S756" s="80" t="n">
        <v>43873</v>
      </c>
      <c r="T756" s="88" t="inlineStr">
        <is>
          <t>Press Release</t>
        </is>
      </c>
      <c r="U756" s="67" t="n"/>
      <c r="V756" s="1016" t="n"/>
    </row>
    <row r="757" ht="14.4" customHeight="1" s="972">
      <c r="A757" s="64" t="n">
        <v>207</v>
      </c>
      <c r="B757" s="77">
        <f>IF(INDEX(MO_SNA_IsHistoricalPeriod,,MATCH(F757,MO_Common_ColumnHeader,0)),"Historical","Forward")</f>
        <v/>
      </c>
      <c r="C757" s="67" t="n"/>
      <c r="D757" s="84" t="inlineStr">
        <is>
          <t>Other income or expense related to investments and non-qualified deferred compensation plan assets</t>
        </is>
      </c>
      <c r="E757" s="78" t="n"/>
      <c r="F757" s="77" t="inlineStr">
        <is>
          <t>Q1-2020</t>
        </is>
      </c>
      <c r="G757" s="77" t="n"/>
      <c r="H757" s="67" t="n"/>
      <c r="I757" s="2087" t="n">
        <v>2</v>
      </c>
      <c r="J757" s="2087" t="n">
        <v>2</v>
      </c>
      <c r="K757" s="2087">
        <f>AVERAGE(I757:J757)</f>
        <v/>
      </c>
      <c r="L757" s="67" t="n"/>
      <c r="M757" s="77">
        <f>IF(INDEX(MO_SNA_IsHistoricalPeriod,,MATCH(F757,MO_Common_ColumnHeader,0)),"Actual","Estimate")</f>
        <v/>
      </c>
      <c r="N757" s="2087">
        <f>IFERROR(INDEX(INDIRECT(E757),0,MATCH(F757,MO_Common_ColumnHeader,0)),"N/A")</f>
        <v/>
      </c>
      <c r="O757" s="67" t="n"/>
      <c r="P757" s="2169">
        <f>IF(ISNUMBER(N757),N757-K757,"N/A")</f>
        <v/>
      </c>
      <c r="Q757" s="2168">
        <f>IFERROR(IF(ISNUMBER(N757),(N757-K757)/ABS(K757),"N/A"),"N/A")</f>
        <v/>
      </c>
      <c r="R757" s="67" t="n"/>
      <c r="S757" s="80" t="n">
        <v>43873</v>
      </c>
      <c r="T757" s="88" t="inlineStr">
        <is>
          <t>Press Release</t>
        </is>
      </c>
      <c r="U757" s="67" t="n"/>
      <c r="V757" s="1016" t="n"/>
    </row>
    <row r="758" ht="14.4" customHeight="1" s="972">
      <c r="A758" s="64" t="n">
        <v>206</v>
      </c>
      <c r="B758" s="77">
        <f>IF(INDEX(MO_SNA_IsHistoricalPeriod,,MATCH(F758,MO_Common_ColumnHeader,0)),"Historical","Forward")</f>
        <v/>
      </c>
      <c r="C758" s="67" t="n"/>
      <c r="D758" s="84" t="inlineStr">
        <is>
          <t>Income tax effect on non-GAAP adjustments</t>
        </is>
      </c>
      <c r="E758" s="78" t="n"/>
      <c r="F758" s="77" t="inlineStr">
        <is>
          <t>Q1-2020</t>
        </is>
      </c>
      <c r="G758" s="77" t="n"/>
      <c r="H758" s="67" t="n"/>
      <c r="I758" s="2087" t="n">
        <v>-10</v>
      </c>
      <c r="J758" s="2087" t="n">
        <v>-10</v>
      </c>
      <c r="K758" s="2087">
        <f>AVERAGE(I758:J758)</f>
        <v/>
      </c>
      <c r="L758" s="67" t="n"/>
      <c r="M758" s="77">
        <f>IF(INDEX(MO_SNA_IsHistoricalPeriod,,MATCH(F758,MO_Common_ColumnHeader,0)),"Actual","Estimate")</f>
        <v/>
      </c>
      <c r="N758" s="2087">
        <f>IFERROR(INDEX(INDIRECT(E758),0,MATCH(F758,MO_Common_ColumnHeader,0)),"N/A")</f>
        <v/>
      </c>
      <c r="O758" s="67" t="n"/>
      <c r="P758" s="2169">
        <f>IF(ISNUMBER(N758),N758-K758,"N/A")</f>
        <v/>
      </c>
      <c r="Q758" s="2168">
        <f>IFERROR(IF(ISNUMBER(N758),(N758-K758)/ABS(K758),"N/A"),"N/A")</f>
        <v/>
      </c>
      <c r="R758" s="67" t="n"/>
      <c r="S758" s="80" t="n">
        <v>43873</v>
      </c>
      <c r="T758" s="88" t="inlineStr">
        <is>
          <t>Press Release</t>
        </is>
      </c>
      <c r="U758" s="67" t="n"/>
      <c r="V758" s="1016" t="n"/>
    </row>
    <row r="759" ht="14.4" customHeight="1" s="972">
      <c r="A759" s="64" t="n">
        <v>205</v>
      </c>
      <c r="B759" s="77">
        <f>IF(INDEX(MO_SNA_IsHistoricalPeriod,,MATCH(F759,MO_Common_ColumnHeader,0)),"Historical","Forward")</f>
        <v/>
      </c>
      <c r="C759" s="67" t="n"/>
      <c r="D759" s="84">
        <f>INDEX(INDIRECT(E759),0,COLUMN(MO_Common_Column_A))</f>
        <v/>
      </c>
      <c r="E759" s="78" t="inlineStr">
        <is>
          <t>MO_RIS_NI_GAAP_Diluted</t>
        </is>
      </c>
      <c r="F759" s="77" t="inlineStr">
        <is>
          <t>Q1-2020</t>
        </is>
      </c>
      <c r="G759" s="77" t="n"/>
      <c r="H759" s="67" t="n"/>
      <c r="I759" s="2087" t="n">
        <v>91</v>
      </c>
      <c r="J759" s="2087" t="n">
        <v>97</v>
      </c>
      <c r="K759" s="2087">
        <f>AVERAGE(I759:J759)</f>
        <v/>
      </c>
      <c r="L759" s="67" t="n"/>
      <c r="M759" s="77">
        <f>IF(INDEX(MO_SNA_IsHistoricalPeriod,,MATCH(F759,MO_Common_ColumnHeader,0)),"Actual","Estimate")</f>
        <v/>
      </c>
      <c r="N759" s="2087">
        <f>IFERROR(INDEX(INDIRECT(E759),0,MATCH(F759,MO_Common_ColumnHeader,0)),"N/A")</f>
        <v/>
      </c>
      <c r="O759" s="67" t="n"/>
      <c r="P759" s="2169">
        <f>IF(ISNUMBER(N759),N759-K759,"N/A")</f>
        <v/>
      </c>
      <c r="Q759" s="2168">
        <f>IFERROR(IF(ISNUMBER(N759),(N759-K759)/ABS(K759),"N/A"),"N/A")</f>
        <v/>
      </c>
      <c r="R759" s="67" t="n"/>
      <c r="S759" s="80" t="n">
        <v>43873</v>
      </c>
      <c r="T759" s="88" t="inlineStr">
        <is>
          <t>Press Release</t>
        </is>
      </c>
      <c r="U759" s="67" t="n"/>
      <c r="V759" s="1016" t="n"/>
    </row>
    <row r="760" ht="14.4" customHeight="1" s="972">
      <c r="A760" s="64" t="n">
        <v>204</v>
      </c>
      <c r="B760" s="77">
        <f>IF(INDEX(MO_SNA_IsHistoricalPeriod,,MATCH(F760,MO_Common_ColumnHeader,0)),"Historical","Forward")</f>
        <v/>
      </c>
      <c r="C760" s="67" t="n"/>
      <c r="D760" s="84">
        <f>INDEX(INDIRECT(E760),0,COLUMN(MO_Common_Column_A))</f>
        <v/>
      </c>
      <c r="E760" s="78" t="inlineStr">
        <is>
          <t>MO_RIS_NI_NONGAAP_Diluted</t>
        </is>
      </c>
      <c r="F760" s="77" t="inlineStr">
        <is>
          <t>Q1-2020</t>
        </is>
      </c>
      <c r="G760" s="77" t="n"/>
      <c r="H760" s="67" t="n"/>
      <c r="I760" s="2087" t="n">
        <v>149</v>
      </c>
      <c r="J760" s="2087" t="n">
        <v>155</v>
      </c>
      <c r="K760" s="2087">
        <f>AVERAGE(I760:J760)</f>
        <v/>
      </c>
      <c r="L760" s="67" t="n"/>
      <c r="M760" s="77">
        <f>IF(INDEX(MO_SNA_IsHistoricalPeriod,,MATCH(F760,MO_Common_ColumnHeader,0)),"Actual","Estimate")</f>
        <v/>
      </c>
      <c r="N760" s="2087">
        <f>IFERROR(INDEX(INDIRECT(E760),0,MATCH(F760,MO_Common_ColumnHeader,0)),"N/A")</f>
        <v/>
      </c>
      <c r="O760" s="67" t="n"/>
      <c r="P760" s="2169">
        <f>IF(ISNUMBER(N760),N760-K760,"N/A")</f>
        <v/>
      </c>
      <c r="Q760" s="2168">
        <f>IFERROR(IF(ISNUMBER(N760),(N760-K760)/ABS(K760),"N/A"),"N/A")</f>
        <v/>
      </c>
      <c r="R760" s="67" t="n"/>
      <c r="S760" s="80" t="n">
        <v>43873</v>
      </c>
      <c r="T760" s="88" t="inlineStr">
        <is>
          <t>Press Release</t>
        </is>
      </c>
      <c r="U760" s="67" t="n"/>
      <c r="V760" s="1016" t="n"/>
    </row>
    <row r="761" ht="14.4" customHeight="1" s="972">
      <c r="A761" s="64" t="n">
        <v>203</v>
      </c>
      <c r="B761" s="67" t="n"/>
      <c r="C761" s="67" t="n"/>
      <c r="D761" s="68" t="n"/>
      <c r="E761" s="69" t="n"/>
      <c r="F761" s="67" t="n"/>
      <c r="G761" s="67" t="n"/>
      <c r="H761" s="67" t="n"/>
      <c r="I761" s="2072" t="n"/>
      <c r="J761" s="2072" t="n"/>
      <c r="K761" s="2072" t="n"/>
      <c r="L761" s="67" t="n"/>
      <c r="M761" s="67" t="n"/>
      <c r="N761" s="2072" t="n"/>
      <c r="O761" s="67" t="n"/>
      <c r="P761" s="2172" t="n"/>
      <c r="Q761" s="2173" t="n"/>
      <c r="R761" s="67" t="n"/>
      <c r="S761" s="72" t="n"/>
      <c r="T761" s="89" t="n"/>
      <c r="U761" s="67" t="n"/>
      <c r="V761" s="1016" t="n"/>
    </row>
    <row r="762" ht="14.4" customHeight="1" s="972">
      <c r="A762" s="64" t="n">
        <v>202</v>
      </c>
      <c r="B762" s="77">
        <f>IF(INDEX(MO_SNA_IsHistoricalPeriod,,MATCH(F762,MO_Common_ColumnHeader,0)),"Historical","Forward")</f>
        <v/>
      </c>
      <c r="C762" s="67" t="n"/>
      <c r="D762" s="84">
        <f>INDEX(INDIRECT(E762),0,COLUMN(MO_Common_Column_A))</f>
        <v/>
      </c>
      <c r="E762" s="78" t="inlineStr">
        <is>
          <t>MO_RIS_REV</t>
        </is>
      </c>
      <c r="F762" s="77" t="inlineStr">
        <is>
          <t>FY2019</t>
        </is>
      </c>
      <c r="G762" s="77" t="n"/>
      <c r="H762" s="67" t="n"/>
      <c r="I762" s="2087" t="n">
        <v>2327</v>
      </c>
      <c r="J762" s="2087" t="n">
        <v>2337</v>
      </c>
      <c r="K762" s="2087">
        <f>AVERAGE(I762:J762)</f>
        <v/>
      </c>
      <c r="L762" s="67" t="n"/>
      <c r="M762" s="77">
        <f>IF(INDEX(MO_SNA_IsHistoricalPeriod,,MATCH(F762,MO_Common_ColumnHeader,0)),"Actual","Estimate")</f>
        <v/>
      </c>
      <c r="N762" s="2087">
        <f>IFERROR(INDEX(INDIRECT(E762),0,MATCH(F762,MO_Common_ColumnHeader,0)),"N/A")</f>
        <v/>
      </c>
      <c r="O762" s="2072" t="n"/>
      <c r="P762" s="2169">
        <f>IF(ISNUMBER(N762),N762-K762,"N/A")</f>
        <v/>
      </c>
      <c r="Q762" s="2168">
        <f>IFERROR(IF(ISNUMBER(N762),(N762-K762)/ABS(K762),"N/A"),"N/A")</f>
        <v/>
      </c>
      <c r="R762" s="67" t="n"/>
      <c r="S762" s="80" t="n">
        <v>43759</v>
      </c>
      <c r="T762" s="88" t="inlineStr">
        <is>
          <t>Press Release</t>
        </is>
      </c>
      <c r="U762" s="112" t="n"/>
      <c r="V762" s="1016" t="n"/>
    </row>
    <row r="763" ht="14.4" customHeight="1" s="972">
      <c r="A763" s="64" t="n">
        <v>201</v>
      </c>
      <c r="B763" s="77">
        <f>IF(INDEX(MO_SNA_IsHistoricalPeriod,,MATCH(F763,MO_Common_ColumnHeader,0)),"Historical","Forward")</f>
        <v/>
      </c>
      <c r="C763" s="67" t="n"/>
      <c r="D763" s="84" t="inlineStr">
        <is>
          <t>GAAP Operating Margin</t>
        </is>
      </c>
      <c r="E763" s="78" t="n"/>
      <c r="F763" s="77" t="inlineStr">
        <is>
          <t>FY2019</t>
        </is>
      </c>
      <c r="G763" s="77" t="n"/>
      <c r="H763" s="67" t="n"/>
      <c r="I763" s="2108" t="n">
        <v>0.213</v>
      </c>
      <c r="J763" s="2108" t="n">
        <v>0.218</v>
      </c>
      <c r="K763" s="2108">
        <f>AVERAGE(I763:J763)</f>
        <v/>
      </c>
      <c r="L763" s="67" t="n"/>
      <c r="M763" s="77">
        <f>IF(INDEX(MO_SNA_IsHistoricalPeriod,,MATCH(F763,MO_Common_ColumnHeader,0)),"Actual","Estimate")</f>
        <v/>
      </c>
      <c r="N763" s="2108">
        <f>IFERROR(INDEX(INDIRECT(E763),0,MATCH(F763,MO_Common_ColumnHeader,0)),"N/A")</f>
        <v/>
      </c>
      <c r="O763" s="67" t="n"/>
      <c r="P763" s="2168">
        <f>IF(ISNUMBER(N763),N763-K763,"N/A")</f>
        <v/>
      </c>
      <c r="Q763" s="2168">
        <f>IFERROR(IF(ISNUMBER(N763),(N763-K763)/ABS(K763),"N/A"),"N/A")</f>
        <v/>
      </c>
      <c r="R763" s="67" t="n"/>
      <c r="S763" s="80" t="n">
        <v>43759</v>
      </c>
      <c r="T763" s="88" t="inlineStr">
        <is>
          <t>Press Release</t>
        </is>
      </c>
      <c r="U763" s="67" t="n"/>
      <c r="V763" s="1016" t="n"/>
    </row>
    <row r="764" ht="14.4" customHeight="1" s="972">
      <c r="A764" s="64" t="n">
        <v>200</v>
      </c>
      <c r="B764" s="77">
        <f>IF(INDEX(MO_SNA_IsHistoricalPeriod,,MATCH(F764,MO_Common_ColumnHeader,0)),"Historical","Forward")</f>
        <v/>
      </c>
      <c r="C764" s="67" t="n"/>
      <c r="D764" s="84">
        <f>INDEX(INDIRECT(E764),0,COLUMN(MO_Common_Column_A))</f>
        <v/>
      </c>
      <c r="E764" s="78" t="inlineStr">
        <is>
          <t>MO_MA_OperatingIncome_NONGAAP</t>
        </is>
      </c>
      <c r="F764" s="77" t="inlineStr">
        <is>
          <t>FY2019</t>
        </is>
      </c>
      <c r="G764" s="77" t="n"/>
      <c r="H764" s="67" t="n"/>
      <c r="I764" s="2108" t="n">
        <v>0.315</v>
      </c>
      <c r="J764" s="2108" t="n">
        <v>0.32</v>
      </c>
      <c r="K764" s="2108">
        <f>AVERAGE(I764:J764)</f>
        <v/>
      </c>
      <c r="L764" s="67" t="n"/>
      <c r="M764" s="77">
        <f>IF(INDEX(MO_SNA_IsHistoricalPeriod,,MATCH(F764,MO_Common_ColumnHeader,0)),"Actual","Estimate")</f>
        <v/>
      </c>
      <c r="N764" s="2108">
        <f>IFERROR(INDEX(INDIRECT(E764),0,MATCH(F764,MO_Common_ColumnHeader,0)),"N/A")</f>
        <v/>
      </c>
      <c r="O764" s="67" t="n"/>
      <c r="P764" s="2168">
        <f>IF(ISNUMBER(N764),N764-K764,"N/A")</f>
        <v/>
      </c>
      <c r="Q764" s="2168">
        <f>IFERROR(IF(ISNUMBER(N764),(N764-K764)/ABS(K764),"N/A"),"N/A")</f>
        <v/>
      </c>
      <c r="R764" s="67" t="n"/>
      <c r="S764" s="80" t="n">
        <v>43759</v>
      </c>
      <c r="T764" s="88" t="inlineStr">
        <is>
          <t>Press Release</t>
        </is>
      </c>
      <c r="U764" s="67" t="n"/>
      <c r="V764" s="1016" t="n"/>
    </row>
    <row r="765" ht="14.4" customHeight="1" s="972">
      <c r="A765" s="64" t="n">
        <v>199</v>
      </c>
      <c r="B765" s="77">
        <f>IF(INDEX(MO_SNA_IsHistoricalPeriod,,MATCH(F765,MO_Common_ColumnHeader,0)),"Historical","Forward")</f>
        <v/>
      </c>
      <c r="C765" s="67" t="n"/>
      <c r="D765" s="84">
        <f>INDEX(INDIRECT(E765),0,COLUMN(MO_Common_Column_A))</f>
        <v/>
      </c>
      <c r="E765" s="78" t="inlineStr">
        <is>
          <t>MO_RIS_EPS_WAD</t>
        </is>
      </c>
      <c r="F765" s="77" t="inlineStr">
        <is>
          <t>FY2019</t>
        </is>
      </c>
      <c r="G765" s="77" t="n"/>
      <c r="H765" s="67" t="n"/>
      <c r="I765" s="2170" t="n">
        <v>1.5</v>
      </c>
      <c r="J765" s="2170" t="n">
        <v>1.52</v>
      </c>
      <c r="K765" s="2170">
        <f>AVERAGE(I765:J765)</f>
        <v/>
      </c>
      <c r="L765" s="67" t="n"/>
      <c r="M765" s="77">
        <f>IF(INDEX(MO_SNA_IsHistoricalPeriod,,MATCH(F765,MO_Common_ColumnHeader,0)),"Actual","Estimate")</f>
        <v/>
      </c>
      <c r="N765" s="2170">
        <f>IFERROR(INDEX(INDIRECT(E765),0,MATCH(F765,MO_Common_ColumnHeader,0)),"N/A")</f>
        <v/>
      </c>
      <c r="O765" s="67" t="n"/>
      <c r="P765" s="2171">
        <f>IF(ISNUMBER(N765),N765-K765,"N/A")</f>
        <v/>
      </c>
      <c r="Q765" s="2168">
        <f>IFERROR(IF(ISNUMBER(N765),(N765-K765)/ABS(K765),"N/A"),"N/A")</f>
        <v/>
      </c>
      <c r="R765" s="67" t="n"/>
      <c r="S765" s="80" t="n">
        <v>43759</v>
      </c>
      <c r="T765" s="88" t="inlineStr">
        <is>
          <t>Press Release</t>
        </is>
      </c>
      <c r="U765" s="112" t="n"/>
      <c r="V765" s="1016" t="n"/>
    </row>
    <row r="766" ht="14.4" customHeight="1" s="972">
      <c r="A766" s="64" t="n">
        <v>198</v>
      </c>
      <c r="B766" s="77">
        <f>IF(INDEX(MO_SNA_IsHistoricalPeriod,,MATCH(F766,MO_Common_ColumnHeader,0)),"Historical","Forward")</f>
        <v/>
      </c>
      <c r="C766" s="67" t="n"/>
      <c r="D766" s="84">
        <f>INDEX(INDIRECT(E766),0,COLUMN(MO_Common_Column_A))</f>
        <v/>
      </c>
      <c r="E766" s="78" t="inlineStr">
        <is>
          <t>MO_RIS_EPS_WAD_Adj</t>
        </is>
      </c>
      <c r="F766" s="77" t="inlineStr">
        <is>
          <t>FY2019</t>
        </is>
      </c>
      <c r="G766" s="77" t="n"/>
      <c r="H766" s="67" t="n"/>
      <c r="I766" s="2170" t="n">
        <v>2.18</v>
      </c>
      <c r="J766" s="2170" t="n">
        <v>2.2</v>
      </c>
      <c r="K766" s="2170">
        <f>AVERAGE(I766:J766)</f>
        <v/>
      </c>
      <c r="L766" s="67" t="n"/>
      <c r="M766" s="77">
        <f>IF(INDEX(MO_SNA_IsHistoricalPeriod,,MATCH(F766,MO_Common_ColumnHeader,0)),"Actual","Estimate")</f>
        <v/>
      </c>
      <c r="N766" s="2170">
        <f>IFERROR(INDEX(INDIRECT(E766),0,MATCH(F766,MO_Common_ColumnHeader,0)),"N/A")</f>
        <v/>
      </c>
      <c r="O766" s="67" t="n"/>
      <c r="P766" s="2171">
        <f>IF(ISNUMBER(N766),N766-K766,"N/A")</f>
        <v/>
      </c>
      <c r="Q766" s="2168">
        <f>IFERROR(IF(ISNUMBER(N766),(N766-K766)/ABS(K766),"N/A"),"N/A")</f>
        <v/>
      </c>
      <c r="R766" s="67" t="n"/>
      <c r="S766" s="80" t="n">
        <v>43759</v>
      </c>
      <c r="T766" s="88" t="inlineStr">
        <is>
          <t>Press Release</t>
        </is>
      </c>
      <c r="U766" s="67" t="n"/>
      <c r="V766" s="1016" t="n"/>
    </row>
    <row r="767" ht="14.4" customHeight="1" s="972">
      <c r="A767" s="64" t="n">
        <v>197</v>
      </c>
      <c r="B767" s="77">
        <f>IF(INDEX(MO_SNA_IsHistoricalPeriod,,MATCH(F767,MO_Common_ColumnHeader,0)),"Historical","Forward")</f>
        <v/>
      </c>
      <c r="C767" s="67" t="n"/>
      <c r="D767" s="84">
        <f>INDEX(INDIRECT(E767),0,COLUMN(MO_Common_Column_A))</f>
        <v/>
      </c>
      <c r="E767" s="78" t="inlineStr">
        <is>
          <t>MO_CFS_CFO</t>
        </is>
      </c>
      <c r="F767" s="77" t="inlineStr">
        <is>
          <t>FY2019</t>
        </is>
      </c>
      <c r="G767" s="77" t="n"/>
      <c r="H767" s="67" t="n"/>
      <c r="I767" s="2087" t="n">
        <v>700</v>
      </c>
      <c r="J767" s="2087" t="n">
        <v>740</v>
      </c>
      <c r="K767" s="2087">
        <f>AVERAGE(I767:J767)</f>
        <v/>
      </c>
      <c r="L767" s="67" t="n"/>
      <c r="M767" s="77">
        <f>IF(INDEX(MO_SNA_IsHistoricalPeriod,,MATCH(F767,MO_Common_ColumnHeader,0)),"Actual","Estimate")</f>
        <v/>
      </c>
      <c r="N767" s="2087">
        <f>IFERROR(INDEX(INDIRECT(E767),0,MATCH(F767,MO_Common_ColumnHeader,0)),"N/A")</f>
        <v/>
      </c>
      <c r="O767" s="67" t="n"/>
      <c r="P767" s="2169">
        <f>IF(ISNUMBER(N767),N767-K767,"N/A")</f>
        <v/>
      </c>
      <c r="Q767" s="2168">
        <f>IFERROR(IF(ISNUMBER(N767),(N767-K767)/ABS(K767),"N/A"),"N/A")</f>
        <v/>
      </c>
      <c r="R767" s="67" t="n"/>
      <c r="S767" s="80" t="n">
        <v>43759</v>
      </c>
      <c r="T767" s="88" t="inlineStr">
        <is>
          <t>Press Release</t>
        </is>
      </c>
      <c r="U767" s="67" t="n"/>
      <c r="V767" s="1016" t="n"/>
    </row>
    <row r="768" ht="14.4" customHeight="1" s="972">
      <c r="A768" s="64" t="n">
        <v>196</v>
      </c>
      <c r="B768" s="77">
        <f>IF(INDEX(MO_SNA_IsHistoricalPeriod,,MATCH(F768,MO_Common_ColumnHeader,0)),"Historical","Forward")</f>
        <v/>
      </c>
      <c r="C768" s="67" t="n"/>
      <c r="D768" s="84">
        <f>INDEX(INDIRECT(E768),0,COLUMN(MO_Common_Column_A))</f>
        <v/>
      </c>
      <c r="E768" s="78" t="inlineStr">
        <is>
          <t>MO_RIS_Daintangibles</t>
        </is>
      </c>
      <c r="F768" s="77" t="inlineStr">
        <is>
          <t>FY2019</t>
        </is>
      </c>
      <c r="G768" s="77" t="n"/>
      <c r="H768" s="67" t="n"/>
      <c r="I768" s="2087" t="n">
        <v>53</v>
      </c>
      <c r="J768" s="2087" t="n">
        <v>53</v>
      </c>
      <c r="K768" s="2087">
        <f>AVERAGE(I768:J768)</f>
        <v/>
      </c>
      <c r="L768" s="67" t="n"/>
      <c r="M768" s="77">
        <f>IF(INDEX(MO_SNA_IsHistoricalPeriod,,MATCH(F768,MO_Common_ColumnHeader,0)),"Actual","Estimate")</f>
        <v/>
      </c>
      <c r="N768" s="2087">
        <f>IFERROR(INDEX(INDIRECT(E768),0,MATCH(F768,MO_Common_ColumnHeader,0)),"N/A")</f>
        <v/>
      </c>
      <c r="O768" s="67" t="n"/>
      <c r="P768" s="2169">
        <f>IF(ISNUMBER(N768),N768-K768,"N/A")</f>
        <v/>
      </c>
      <c r="Q768" s="2168">
        <f>IFERROR(IF(ISNUMBER(N768),(N768-K768)/ABS(K768),"N/A"),"N/A")</f>
        <v/>
      </c>
      <c r="R768" s="67" t="n"/>
      <c r="S768" s="80" t="n">
        <v>43759</v>
      </c>
      <c r="T768" s="88" t="inlineStr">
        <is>
          <t>Press Release</t>
        </is>
      </c>
      <c r="U768" s="67" t="n"/>
      <c r="V768" s="1016" t="n"/>
    </row>
    <row r="769" ht="14.4" customHeight="1" s="972">
      <c r="A769" s="64" t="n">
        <v>195</v>
      </c>
      <c r="B769" s="77">
        <f>IF(INDEX(MO_SNA_IsHistoricalPeriod,,MATCH(F769,MO_Common_ColumnHeader,0)),"Historical","Forward")</f>
        <v/>
      </c>
      <c r="C769" s="67" t="n"/>
      <c r="D769" s="84">
        <f>INDEX(INDIRECT(E769),0,COLUMN(MO_Common_Column_A))</f>
        <v/>
      </c>
      <c r="E769" s="78" t="inlineStr">
        <is>
          <t>MO_RIS_SBC</t>
        </is>
      </c>
      <c r="F769" s="77" t="inlineStr">
        <is>
          <t>FY2019</t>
        </is>
      </c>
      <c r="G769" s="77" t="n"/>
      <c r="H769" s="67" t="n"/>
      <c r="I769" s="2087" t="n">
        <v>182</v>
      </c>
      <c r="J769" s="2087" t="n">
        <v>182</v>
      </c>
      <c r="K769" s="2087">
        <f>AVERAGE(I769:J769)</f>
        <v/>
      </c>
      <c r="L769" s="67" t="n"/>
      <c r="M769" s="77">
        <f>IF(INDEX(MO_SNA_IsHistoricalPeriod,,MATCH(F769,MO_Common_ColumnHeader,0)),"Actual","Estimate")</f>
        <v/>
      </c>
      <c r="N769" s="2087">
        <f>IFERROR(INDEX(INDIRECT(E769),0,MATCH(F769,MO_Common_ColumnHeader,0)),"N/A")</f>
        <v/>
      </c>
      <c r="O769" s="67" t="n"/>
      <c r="P769" s="2169">
        <f>IF(ISNUMBER(N769),N769-K769,"N/A")</f>
        <v/>
      </c>
      <c r="Q769" s="2168">
        <f>IFERROR(IF(ISNUMBER(N769),(N769-K769)/ABS(K769),"N/A"),"N/A")</f>
        <v/>
      </c>
      <c r="R769" s="67" t="n"/>
      <c r="S769" s="80" t="n">
        <v>43759</v>
      </c>
      <c r="T769" s="88" t="inlineStr">
        <is>
          <t>Press Release</t>
        </is>
      </c>
      <c r="U769" s="67" t="n"/>
      <c r="V769" s="1016" t="n"/>
    </row>
    <row r="770" ht="14.4" customHeight="1" s="972">
      <c r="A770" s="64" t="n">
        <v>194</v>
      </c>
      <c r="B770" s="77">
        <f>IF(INDEX(MO_SNA_IsHistoricalPeriod,,MATCH(F770,MO_Common_ColumnHeader,0)),"Historical","Forward")</f>
        <v/>
      </c>
      <c r="C770" s="67" t="n"/>
      <c r="D770" s="84" t="inlineStr">
        <is>
          <t>Non-qualified deferred compensation expenses</t>
        </is>
      </c>
      <c r="E770" s="78" t="n"/>
      <c r="F770" s="77" t="inlineStr">
        <is>
          <t>FY2019</t>
        </is>
      </c>
      <c r="G770" s="77" t="n"/>
      <c r="H770" s="67" t="n"/>
      <c r="I770" s="2087" t="n">
        <v>3</v>
      </c>
      <c r="J770" s="2087" t="n">
        <v>3</v>
      </c>
      <c r="K770" s="2087">
        <f>AVERAGE(I770:J770)</f>
        <v/>
      </c>
      <c r="L770" s="67" t="n"/>
      <c r="M770" s="77">
        <f>IF(INDEX(MO_SNA_IsHistoricalPeriod,,MATCH(F770,MO_Common_ColumnHeader,0)),"Actual","Estimate")</f>
        <v/>
      </c>
      <c r="N770" s="2087">
        <f>IFERROR(INDEX(INDIRECT(E770),0,MATCH(F770,MO_Common_ColumnHeader,0)),"N/A")</f>
        <v/>
      </c>
      <c r="O770" s="67" t="n"/>
      <c r="P770" s="2169">
        <f>IF(ISNUMBER(N770),N770-K770,"N/A")</f>
        <v/>
      </c>
      <c r="Q770" s="2168">
        <f>IFERROR(IF(ISNUMBER(N770),(N770-K770)/ABS(K770),"N/A"),"N/A")</f>
        <v/>
      </c>
      <c r="R770" s="67" t="n"/>
      <c r="S770" s="80" t="n">
        <v>43759</v>
      </c>
      <c r="T770" s="88" t="inlineStr">
        <is>
          <t>Press Release</t>
        </is>
      </c>
      <c r="U770" s="67" t="n"/>
      <c r="V770" s="1016" t="n"/>
    </row>
    <row r="771" ht="14.4" customHeight="1" s="972">
      <c r="A771" s="64" t="n">
        <v>193</v>
      </c>
      <c r="B771" s="77">
        <f>IF(INDEX(MO_SNA_IsHistoricalPeriod,,MATCH(F771,MO_Common_ColumnHeader,0)),"Historical","Forward")</f>
        <v/>
      </c>
      <c r="C771" s="67" t="n"/>
      <c r="D771" s="84" t="inlineStr">
        <is>
          <t>Restructuring and other charges (credits)</t>
        </is>
      </c>
      <c r="E771" s="78" t="n"/>
      <c r="F771" s="77" t="inlineStr">
        <is>
          <t>FY2019</t>
        </is>
      </c>
      <c r="G771" s="77" t="n"/>
      <c r="H771" s="67" t="n"/>
      <c r="I771" s="2087" t="n">
        <v>-1</v>
      </c>
      <c r="J771" s="2087" t="n">
        <v>-1</v>
      </c>
      <c r="K771" s="2087">
        <f>AVERAGE(I771:J771)</f>
        <v/>
      </c>
      <c r="L771" s="67" t="n"/>
      <c r="M771" s="77">
        <f>IF(INDEX(MO_SNA_IsHistoricalPeriod,,MATCH(F771,MO_Common_ColumnHeader,0)),"Actual","Estimate")</f>
        <v/>
      </c>
      <c r="N771" s="2087">
        <f>IFERROR(INDEX(INDIRECT(E771),0,MATCH(F771,MO_Common_ColumnHeader,0)),"N/A")</f>
        <v/>
      </c>
      <c r="O771" s="67" t="n"/>
      <c r="P771" s="2169">
        <f>IF(ISNUMBER(N771),N771-K771,"N/A")</f>
        <v/>
      </c>
      <c r="Q771" s="2168">
        <f>IFERROR(IF(ISNUMBER(N771),(N771-K771)/ABS(K771),"N/A"),"N/A")</f>
        <v/>
      </c>
      <c r="R771" s="67" t="n"/>
      <c r="S771" s="80" t="n">
        <v>43759</v>
      </c>
      <c r="T771" s="88" t="inlineStr">
        <is>
          <t>Press Release</t>
        </is>
      </c>
      <c r="U771" s="67" t="n"/>
      <c r="V771" s="1016" t="n"/>
    </row>
    <row r="772" ht="14.4" customHeight="1" s="972">
      <c r="A772" s="64" t="n">
        <v>192</v>
      </c>
      <c r="B772" s="77">
        <f>IF(INDEX(MO_SNA_IsHistoricalPeriod,,MATCH(F772,MO_Common_ColumnHeader,0)),"Historical","Forward")</f>
        <v/>
      </c>
      <c r="C772" s="67" t="n"/>
      <c r="D772" s="84" t="inlineStr">
        <is>
          <t>Acquisition and integration-related costs</t>
        </is>
      </c>
      <c r="E772" s="78" t="n"/>
      <c r="F772" s="77" t="inlineStr">
        <is>
          <t>FY2019</t>
        </is>
      </c>
      <c r="G772" s="77" t="n"/>
      <c r="H772" s="67" t="n"/>
      <c r="I772" s="2087" t="n">
        <v>6</v>
      </c>
      <c r="J772" s="2087" t="n">
        <v>6</v>
      </c>
      <c r="K772" s="2087">
        <f>AVERAGE(I772:J772)</f>
        <v/>
      </c>
      <c r="L772" s="67" t="n"/>
      <c r="M772" s="77">
        <f>IF(INDEX(MO_SNA_IsHistoricalPeriod,,MATCH(F772,MO_Common_ColumnHeader,0)),"Actual","Estimate")</f>
        <v/>
      </c>
      <c r="N772" s="2087">
        <f>IFERROR(INDEX(INDIRECT(E772),0,MATCH(F772,MO_Common_ColumnHeader,0)),"N/A")</f>
        <v/>
      </c>
      <c r="O772" s="67" t="n"/>
      <c r="P772" s="2169">
        <f>IF(ISNUMBER(N772),N772-K772,"N/A")</f>
        <v/>
      </c>
      <c r="Q772" s="2168">
        <f>IFERROR(IF(ISNUMBER(N772),(N772-K772)/ABS(K772),"N/A"),"N/A")</f>
        <v/>
      </c>
      <c r="R772" s="67" t="n"/>
      <c r="S772" s="80" t="n">
        <v>43759</v>
      </c>
      <c r="T772" s="88" t="inlineStr">
        <is>
          <t>Press Release</t>
        </is>
      </c>
      <c r="U772" s="67" t="n"/>
      <c r="V772" s="1016" t="n"/>
    </row>
    <row r="773" ht="14.4" customHeight="1" s="972">
      <c r="A773" s="64" t="n">
        <v>191</v>
      </c>
      <c r="B773" s="77">
        <f>IF(INDEX(MO_SNA_IsHistoricalPeriod,,MATCH(F773,MO_Common_ColumnHeader,0)),"Historical","Forward")</f>
        <v/>
      </c>
      <c r="C773" s="67" t="n"/>
      <c r="D773" s="84" t="inlineStr">
        <is>
          <t>Other income or expense related to investments and non-qualified deferred compensation plan assets</t>
        </is>
      </c>
      <c r="E773" s="78" t="n"/>
      <c r="F773" s="77" t="inlineStr">
        <is>
          <t>FY2019</t>
        </is>
      </c>
      <c r="G773" s="77" t="n"/>
      <c r="H773" s="67" t="n"/>
      <c r="I773" s="2087" t="n">
        <v>1</v>
      </c>
      <c r="J773" s="2087" t="n">
        <v>1</v>
      </c>
      <c r="K773" s="2087">
        <f>AVERAGE(I773:J773)</f>
        <v/>
      </c>
      <c r="L773" s="67" t="n"/>
      <c r="M773" s="77">
        <f>IF(INDEX(MO_SNA_IsHistoricalPeriod,,MATCH(F773,MO_Common_ColumnHeader,0)),"Actual","Estimate")</f>
        <v/>
      </c>
      <c r="N773" s="2087">
        <f>IFERROR(INDEX(INDIRECT(E773),0,MATCH(F773,MO_Common_ColumnHeader,0)),"N/A")</f>
        <v/>
      </c>
      <c r="O773" s="67" t="n"/>
      <c r="P773" s="2169">
        <f>IF(ISNUMBER(N773),N773-K773,"N/A")</f>
        <v/>
      </c>
      <c r="Q773" s="2168">
        <f>IFERROR(IF(ISNUMBER(N773),(N773-K773)/ABS(K773),"N/A"),"N/A")</f>
        <v/>
      </c>
      <c r="R773" s="67" t="n"/>
      <c r="S773" s="80" t="n">
        <v>43759</v>
      </c>
      <c r="T773" s="88" t="inlineStr">
        <is>
          <t>Press Release</t>
        </is>
      </c>
      <c r="U773" s="67" t="n"/>
      <c r="V773" s="1016" t="n"/>
    </row>
    <row r="774" ht="14.4" customHeight="1" s="972">
      <c r="A774" s="64" t="n">
        <v>190</v>
      </c>
      <c r="B774" s="77">
        <f>IF(INDEX(MO_SNA_IsHistoricalPeriod,,MATCH(F774,MO_Common_ColumnHeader,0)),"Historical","Forward")</f>
        <v/>
      </c>
      <c r="C774" s="67" t="n"/>
      <c r="D774" s="84" t="inlineStr">
        <is>
          <t>Income tax effect on non-GAAP adjustments</t>
        </is>
      </c>
      <c r="E774" s="78" t="n"/>
      <c r="F774" s="77" t="inlineStr">
        <is>
          <t>FY2019</t>
        </is>
      </c>
      <c r="G774" s="77" t="n"/>
      <c r="H774" s="67" t="n"/>
      <c r="I774" s="2087" t="n">
        <v>-53</v>
      </c>
      <c r="J774" s="2087" t="n">
        <v>-53</v>
      </c>
      <c r="K774" s="2087">
        <f>AVERAGE(I774:J774)</f>
        <v/>
      </c>
      <c r="L774" s="67" t="n"/>
      <c r="M774" s="77">
        <f>IF(INDEX(MO_SNA_IsHistoricalPeriod,,MATCH(F774,MO_Common_ColumnHeader,0)),"Actual","Estimate")</f>
        <v/>
      </c>
      <c r="N774" s="2087">
        <f>IFERROR(INDEX(INDIRECT(E774),0,MATCH(F774,MO_Common_ColumnHeader,0)),"N/A")</f>
        <v/>
      </c>
      <c r="O774" s="67" t="n"/>
      <c r="P774" s="2169">
        <f>IF(ISNUMBER(N774),N774-K774,"N/A")</f>
        <v/>
      </c>
      <c r="Q774" s="2168">
        <f>IFERROR(IF(ISNUMBER(N774),(N774-K774)/ABS(K774),"N/A"),"N/A")</f>
        <v/>
      </c>
      <c r="R774" s="67" t="n"/>
      <c r="S774" s="80" t="n">
        <v>43759</v>
      </c>
      <c r="T774" s="88" t="inlineStr">
        <is>
          <t>Press Release</t>
        </is>
      </c>
      <c r="U774" s="67" t="n"/>
      <c r="V774" s="1016" t="n"/>
    </row>
    <row r="775" ht="14.4" customHeight="1" s="972">
      <c r="A775" s="64" t="n">
        <v>189</v>
      </c>
      <c r="B775" s="77">
        <f>IF(INDEX(MO_SNA_IsHistoricalPeriod,,MATCH(F775,MO_Common_ColumnHeader,0)),"Historical","Forward")</f>
        <v/>
      </c>
      <c r="C775" s="67" t="n"/>
      <c r="D775" s="84">
        <f>INDEX(INDIRECT(E775),0,COLUMN(MO_Common_Column_A))</f>
        <v/>
      </c>
      <c r="E775" s="78" t="inlineStr">
        <is>
          <t>MO_RIS_NI_GAAP_Diluted</t>
        </is>
      </c>
      <c r="F775" s="77" t="inlineStr">
        <is>
          <t>FY2019</t>
        </is>
      </c>
      <c r="G775" s="77" t="n"/>
      <c r="H775" s="67" t="n"/>
      <c r="I775" s="2087" t="n">
        <v>421</v>
      </c>
      <c r="J775" s="2087" t="n">
        <v>427</v>
      </c>
      <c r="K775" s="2087">
        <f>AVERAGE(I775:J775)</f>
        <v/>
      </c>
      <c r="L775" s="67" t="n"/>
      <c r="M775" s="77">
        <f>IF(INDEX(MO_SNA_IsHistoricalPeriod,,MATCH(F775,MO_Common_ColumnHeader,0)),"Actual","Estimate")</f>
        <v/>
      </c>
      <c r="N775" s="2087">
        <f>IFERROR(INDEX(INDIRECT(E775),0,MATCH(F775,MO_Common_ColumnHeader,0)),"N/A")</f>
        <v/>
      </c>
      <c r="O775" s="67" t="n"/>
      <c r="P775" s="2169">
        <f>IF(ISNUMBER(N775),N775-K775,"N/A")</f>
        <v/>
      </c>
      <c r="Q775" s="2168">
        <f>IFERROR(IF(ISNUMBER(N775),(N775-K775)/ABS(K775),"N/A"),"N/A")</f>
        <v/>
      </c>
      <c r="R775" s="67" t="n"/>
      <c r="S775" s="80" t="n">
        <v>43759</v>
      </c>
      <c r="T775" s="88" t="inlineStr">
        <is>
          <t>Press Release</t>
        </is>
      </c>
      <c r="U775" s="67" t="n"/>
      <c r="V775" s="1016" t="n"/>
    </row>
    <row r="776" ht="14.4" customHeight="1" s="972">
      <c r="A776" s="64" t="n">
        <v>188</v>
      </c>
      <c r="B776" s="77">
        <f>IF(INDEX(MO_SNA_IsHistoricalPeriod,,MATCH(F776,MO_Common_ColumnHeader,0)),"Historical","Forward")</f>
        <v/>
      </c>
      <c r="C776" s="67" t="n"/>
      <c r="D776" s="84">
        <f>INDEX(INDIRECT(E776),0,COLUMN(MO_Common_Column_A))</f>
        <v/>
      </c>
      <c r="E776" s="78" t="inlineStr">
        <is>
          <t>MO_RIS_NI_NONGAAP_Diluted</t>
        </is>
      </c>
      <c r="F776" s="77" t="inlineStr">
        <is>
          <t>FY2019</t>
        </is>
      </c>
      <c r="G776" s="77" t="n"/>
      <c r="H776" s="67" t="n"/>
      <c r="I776" s="2087" t="n">
        <v>612</v>
      </c>
      <c r="J776" s="2087" t="n">
        <v>618</v>
      </c>
      <c r="K776" s="2087">
        <f>AVERAGE(I776:J776)</f>
        <v/>
      </c>
      <c r="L776" s="67" t="n"/>
      <c r="M776" s="77">
        <f>IF(INDEX(MO_SNA_IsHistoricalPeriod,,MATCH(F776,MO_Common_ColumnHeader,0)),"Actual","Estimate")</f>
        <v/>
      </c>
      <c r="N776" s="2087">
        <f>IFERROR(INDEX(INDIRECT(E776),0,MATCH(F776,MO_Common_ColumnHeader,0)),"N/A")</f>
        <v/>
      </c>
      <c r="O776" s="67" t="n"/>
      <c r="P776" s="2169">
        <f>IF(ISNUMBER(N776),N776-K776,"N/A")</f>
        <v/>
      </c>
      <c r="Q776" s="2168">
        <f>IFERROR(IF(ISNUMBER(N776),(N776-K776)/ABS(K776),"N/A"),"N/A")</f>
        <v/>
      </c>
      <c r="R776" s="67" t="n"/>
      <c r="S776" s="80" t="n">
        <v>43759</v>
      </c>
      <c r="T776" s="88" t="inlineStr">
        <is>
          <t>Press Release</t>
        </is>
      </c>
      <c r="U776" s="67" t="n"/>
      <c r="V776" s="1016" t="n"/>
    </row>
    <row r="777" ht="14.4" customHeight="1" s="972">
      <c r="A777" s="64" t="n">
        <v>187</v>
      </c>
      <c r="B777" s="67" t="n"/>
      <c r="C777" s="67" t="n"/>
      <c r="D777" s="68" t="n"/>
      <c r="E777" s="69" t="n"/>
      <c r="F777" s="67" t="n"/>
      <c r="G777" s="67" t="n"/>
      <c r="H777" s="67" t="n"/>
      <c r="I777" s="2072" t="n"/>
      <c r="J777" s="2072" t="n"/>
      <c r="K777" s="2072" t="n"/>
      <c r="L777" s="67" t="n"/>
      <c r="M777" s="67" t="n"/>
      <c r="N777" s="2072" t="n"/>
      <c r="O777" s="67" t="n"/>
      <c r="P777" s="2172" t="n"/>
      <c r="Q777" s="2173" t="n"/>
      <c r="R777" s="67" t="n"/>
      <c r="S777" s="72" t="n"/>
      <c r="T777" s="89" t="n"/>
      <c r="U777" s="67" t="n"/>
      <c r="V777" s="1016" t="n"/>
    </row>
    <row r="778" ht="14.4" customHeight="1" s="972">
      <c r="A778" s="64" t="n">
        <v>186</v>
      </c>
      <c r="B778" s="77">
        <f>IF(INDEX(MO_SNA_IsHistoricalPeriod,,MATCH(F778,MO_Common_ColumnHeader,0)),"Historical","Forward")</f>
        <v/>
      </c>
      <c r="C778" s="67" t="n"/>
      <c r="D778" s="84">
        <f>INDEX(INDIRECT(E778),0,COLUMN(MO_Common_Column_A))</f>
        <v/>
      </c>
      <c r="E778" s="78" t="inlineStr">
        <is>
          <t>MO_RIS_REV</t>
        </is>
      </c>
      <c r="F778" s="77" t="inlineStr">
        <is>
          <t>Q4-2019</t>
        </is>
      </c>
      <c r="G778" s="77" t="n"/>
      <c r="H778" s="67" t="n"/>
      <c r="I778" s="2087" t="n">
        <v>590</v>
      </c>
      <c r="J778" s="2087" t="n">
        <v>600</v>
      </c>
      <c r="K778" s="2087">
        <f>AVERAGE(I778:J778)</f>
        <v/>
      </c>
      <c r="L778" s="67" t="n"/>
      <c r="M778" s="77">
        <f>IF(INDEX(MO_SNA_IsHistoricalPeriod,,MATCH(F778,MO_Common_ColumnHeader,0)),"Actual","Estimate")</f>
        <v/>
      </c>
      <c r="N778" s="2087">
        <f>IFERROR(INDEX(INDIRECT(E778),0,MATCH(F778,MO_Common_ColumnHeader,0)),"N/A")</f>
        <v/>
      </c>
      <c r="O778" s="67" t="n"/>
      <c r="P778" s="2169">
        <f>IF(ISNUMBER(N778),N778-K778,"N/A")</f>
        <v/>
      </c>
      <c r="Q778" s="2168">
        <f>IFERROR(IF(ISNUMBER(N778),(N778-K778)/ABS(K778),"N/A"),"N/A")</f>
        <v/>
      </c>
      <c r="R778" s="67" t="n"/>
      <c r="S778" s="80" t="n">
        <v>43759</v>
      </c>
      <c r="T778" s="88" t="inlineStr">
        <is>
          <t>Press Release</t>
        </is>
      </c>
      <c r="U778" s="67" t="n"/>
      <c r="V778" s="1016" t="n"/>
    </row>
    <row r="779" ht="14.4" customHeight="1" s="972">
      <c r="A779" s="64" t="n">
        <v>185</v>
      </c>
      <c r="B779" s="77">
        <f>IF(INDEX(MO_SNA_IsHistoricalPeriod,,MATCH(F779,MO_Common_ColumnHeader,0)),"Historical","Forward")</f>
        <v/>
      </c>
      <c r="C779" s="67" t="n"/>
      <c r="D779" s="84" t="inlineStr">
        <is>
          <t>GAAP Operating Margin</t>
        </is>
      </c>
      <c r="E779" s="78" t="n"/>
      <c r="F779" s="77" t="inlineStr">
        <is>
          <t>Q4-2019</t>
        </is>
      </c>
      <c r="G779" s="77" t="n"/>
      <c r="H779" s="67" t="n"/>
      <c r="I779" s="2108" t="n">
        <v>0.2</v>
      </c>
      <c r="J779" s="2108" t="n">
        <v>0.2</v>
      </c>
      <c r="K779" s="2108">
        <f>AVERAGE(I779:J779)</f>
        <v/>
      </c>
      <c r="L779" s="67" t="n"/>
      <c r="M779" s="77">
        <f>IF(INDEX(MO_SNA_IsHistoricalPeriod,,MATCH(F779,MO_Common_ColumnHeader,0)),"Actual","Estimate")</f>
        <v/>
      </c>
      <c r="N779" s="2108">
        <f>IFERROR(INDEX(INDIRECT(E779),0,MATCH(F779,MO_Common_ColumnHeader,0)),"N/A")</f>
        <v/>
      </c>
      <c r="O779" s="67" t="n"/>
      <c r="P779" s="2168">
        <f>IF(ISNUMBER(N779),N779-K779,"N/A")</f>
        <v/>
      </c>
      <c r="Q779" s="2168">
        <f>IFERROR(IF(ISNUMBER(N779),(N779-K779)/ABS(K779),"N/A"),"N/A")</f>
        <v/>
      </c>
      <c r="R779" s="67" t="n"/>
      <c r="S779" s="80" t="n">
        <v>43759</v>
      </c>
      <c r="T779" s="88" t="inlineStr">
        <is>
          <t>Press Release</t>
        </is>
      </c>
      <c r="U779" s="67" t="n"/>
      <c r="V779" s="1016" t="n"/>
    </row>
    <row r="780" ht="14.4" customHeight="1" s="972">
      <c r="A780" s="64" t="n">
        <v>184</v>
      </c>
      <c r="B780" s="77">
        <f>IF(INDEX(MO_SNA_IsHistoricalPeriod,,MATCH(F780,MO_Common_ColumnHeader,0)),"Historical","Forward")</f>
        <v/>
      </c>
      <c r="C780" s="67" t="n"/>
      <c r="D780" s="84">
        <f>INDEX(INDIRECT(E780),0,COLUMN(MO_Common_Column_A))</f>
        <v/>
      </c>
      <c r="E780" s="78" t="inlineStr">
        <is>
          <t>MO_MA_OperatingIncome_NONGAAP</t>
        </is>
      </c>
      <c r="F780" s="77" t="inlineStr">
        <is>
          <t>Q4-2019</t>
        </is>
      </c>
      <c r="G780" s="77" t="n"/>
      <c r="H780" s="67" t="n"/>
      <c r="I780" s="2108" t="n">
        <v>0.3</v>
      </c>
      <c r="J780" s="2108" t="n">
        <v>0.3</v>
      </c>
      <c r="K780" s="2108">
        <f>AVERAGE(I780:J780)</f>
        <v/>
      </c>
      <c r="L780" s="67" t="n"/>
      <c r="M780" s="77">
        <f>IF(INDEX(MO_SNA_IsHistoricalPeriod,,MATCH(F780,MO_Common_ColumnHeader,0)),"Actual","Estimate")</f>
        <v/>
      </c>
      <c r="N780" s="2108">
        <f>IFERROR(INDEX(INDIRECT(E780),0,MATCH(F780,MO_Common_ColumnHeader,0)),"N/A")</f>
        <v/>
      </c>
      <c r="O780" s="67" t="n"/>
      <c r="P780" s="2168">
        <f>IF(ISNUMBER(N780),N780-K780,"N/A")</f>
        <v/>
      </c>
      <c r="Q780" s="2168">
        <f>IFERROR(IF(ISNUMBER(N780),(N780-K780)/ABS(K780),"N/A"),"N/A")</f>
        <v/>
      </c>
      <c r="R780" s="67" t="n"/>
      <c r="S780" s="80" t="n">
        <v>43759</v>
      </c>
      <c r="T780" s="88" t="inlineStr">
        <is>
          <t>Press Release</t>
        </is>
      </c>
      <c r="U780" s="67" t="n"/>
      <c r="V780" s="1016" t="n"/>
    </row>
    <row r="781" ht="14.4" customHeight="1" s="972">
      <c r="A781" s="64" t="n">
        <v>183</v>
      </c>
      <c r="B781" s="77">
        <f>IF(INDEX(MO_SNA_IsHistoricalPeriod,,MATCH(F781,MO_Common_ColumnHeader,0)),"Historical","Forward")</f>
        <v/>
      </c>
      <c r="C781" s="67" t="n"/>
      <c r="D781" s="84">
        <f>INDEX(INDIRECT(E781),0,COLUMN(MO_Common_Column_A))</f>
        <v/>
      </c>
      <c r="E781" s="78" t="inlineStr">
        <is>
          <t>MO_RIS_EPS_WAD</t>
        </is>
      </c>
      <c r="F781" s="77" t="inlineStr">
        <is>
          <t>Q4-2019</t>
        </is>
      </c>
      <c r="G781" s="77" t="n"/>
      <c r="H781" s="67" t="n"/>
      <c r="I781" s="2170" t="n">
        <v>0.33</v>
      </c>
      <c r="J781" s="2170" t="n">
        <v>0.35</v>
      </c>
      <c r="K781" s="2170">
        <f>AVERAGE(I781:J781)</f>
        <v/>
      </c>
      <c r="L781" s="67" t="n"/>
      <c r="M781" s="77">
        <f>IF(INDEX(MO_SNA_IsHistoricalPeriod,,MATCH(F781,MO_Common_ColumnHeader,0)),"Actual","Estimate")</f>
        <v/>
      </c>
      <c r="N781" s="2170">
        <f>IFERROR(INDEX(INDIRECT(E781),0,MATCH(F781,MO_Common_ColumnHeader,0)),"N/A")</f>
        <v/>
      </c>
      <c r="O781" s="67" t="n"/>
      <c r="P781" s="2171">
        <f>IF(ISNUMBER(N781),N781-K781,"N/A")</f>
        <v/>
      </c>
      <c r="Q781" s="2168">
        <f>IFERROR(IF(ISNUMBER(N781),(N781-K781)/ABS(K781),"N/A"),"N/A")</f>
        <v/>
      </c>
      <c r="R781" s="67" t="n"/>
      <c r="S781" s="80" t="n">
        <v>43759</v>
      </c>
      <c r="T781" s="88" t="inlineStr">
        <is>
          <t>Press Release</t>
        </is>
      </c>
      <c r="U781" s="67" t="n"/>
      <c r="V781" s="1016" t="n"/>
    </row>
    <row r="782" ht="14.4" customHeight="1" s="972">
      <c r="A782" s="64" t="n">
        <v>182</v>
      </c>
      <c r="B782" s="77">
        <f>IF(INDEX(MO_SNA_IsHistoricalPeriod,,MATCH(F782,MO_Common_ColumnHeader,0)),"Historical","Forward")</f>
        <v/>
      </c>
      <c r="C782" s="67" t="n"/>
      <c r="D782" s="84">
        <f>INDEX(INDIRECT(E782),0,COLUMN(MO_Common_Column_A))</f>
        <v/>
      </c>
      <c r="E782" s="78" t="inlineStr">
        <is>
          <t>MO_RIS_EPS_WAD_Adj</t>
        </is>
      </c>
      <c r="F782" s="77" t="inlineStr">
        <is>
          <t>Q4-2019</t>
        </is>
      </c>
      <c r="G782" s="77" t="n"/>
      <c r="H782" s="67" t="n"/>
      <c r="I782" s="2170" t="n">
        <v>0.52</v>
      </c>
      <c r="J782" s="2170" t="n">
        <v>0.54</v>
      </c>
      <c r="K782" s="2170">
        <f>AVERAGE(I782:J782)</f>
        <v/>
      </c>
      <c r="L782" s="67" t="n"/>
      <c r="M782" s="77">
        <f>IF(INDEX(MO_SNA_IsHistoricalPeriod,,MATCH(F782,MO_Common_ColumnHeader,0)),"Actual","Estimate")</f>
        <v/>
      </c>
      <c r="N782" s="2170">
        <f>IFERROR(INDEX(INDIRECT(E782),0,MATCH(F782,MO_Common_ColumnHeader,0)),"N/A")</f>
        <v/>
      </c>
      <c r="O782" s="67" t="n"/>
      <c r="P782" s="2171">
        <f>IF(ISNUMBER(N782),N782-K782,"N/A")</f>
        <v/>
      </c>
      <c r="Q782" s="2168">
        <f>IFERROR(IF(ISNUMBER(N782),(N782-K782)/ABS(K782),"N/A"),"N/A")</f>
        <v/>
      </c>
      <c r="R782" s="67" t="n"/>
      <c r="S782" s="80" t="n">
        <v>43759</v>
      </c>
      <c r="T782" s="88" t="inlineStr">
        <is>
          <t>Press Release</t>
        </is>
      </c>
      <c r="U782" s="67" t="n"/>
      <c r="V782" s="1016" t="n"/>
    </row>
    <row r="783" ht="14.4" customHeight="1" s="972">
      <c r="A783" s="64" t="n">
        <v>181</v>
      </c>
      <c r="B783" s="77">
        <f>IF(INDEX(MO_SNA_IsHistoricalPeriod,,MATCH(F783,MO_Common_ColumnHeader,0)),"Historical","Forward")</f>
        <v/>
      </c>
      <c r="C783" s="67" t="n"/>
      <c r="D783" s="84">
        <f>INDEX(INDIRECT(E783),0,COLUMN(MO_Common_Column_A))</f>
        <v/>
      </c>
      <c r="E783" s="78" t="inlineStr">
        <is>
          <t>MO_RIS_Daintangibles</t>
        </is>
      </c>
      <c r="F783" s="77" t="inlineStr">
        <is>
          <t>Q4-2019</t>
        </is>
      </c>
      <c r="G783" s="77" t="n"/>
      <c r="H783" s="67" t="n"/>
      <c r="I783" s="2087" t="n">
        <v>13</v>
      </c>
      <c r="J783" s="2087" t="n">
        <v>13</v>
      </c>
      <c r="K783" s="2087">
        <f>AVERAGE(I783:J783)</f>
        <v/>
      </c>
      <c r="L783" s="67" t="n"/>
      <c r="M783" s="77">
        <f>IF(INDEX(MO_SNA_IsHistoricalPeriod,,MATCH(F783,MO_Common_ColumnHeader,0)),"Actual","Estimate")</f>
        <v/>
      </c>
      <c r="N783" s="2087">
        <f>IFERROR(INDEX(INDIRECT(E783),0,MATCH(F783,MO_Common_ColumnHeader,0)),"N/A")</f>
        <v/>
      </c>
      <c r="O783" s="67" t="n"/>
      <c r="P783" s="2169">
        <f>IF(ISNUMBER(N783),N783-K783,"N/A")</f>
        <v/>
      </c>
      <c r="Q783" s="2168">
        <f>IFERROR(IF(ISNUMBER(N783),(N783-K783)/ABS(K783),"N/A"),"N/A")</f>
        <v/>
      </c>
      <c r="R783" s="67" t="n"/>
      <c r="S783" s="80" t="n">
        <v>43759</v>
      </c>
      <c r="T783" s="88" t="inlineStr">
        <is>
          <t>Press Release</t>
        </is>
      </c>
      <c r="U783" s="67" t="n"/>
      <c r="V783" s="1016" t="n"/>
    </row>
    <row r="784" ht="14.4" customHeight="1" s="972">
      <c r="A784" s="64" t="n">
        <v>180</v>
      </c>
      <c r="B784" s="77">
        <f>IF(INDEX(MO_SNA_IsHistoricalPeriod,,MATCH(F784,MO_Common_ColumnHeader,0)),"Historical","Forward")</f>
        <v/>
      </c>
      <c r="C784" s="67" t="n"/>
      <c r="D784" s="84">
        <f>INDEX(INDIRECT(E784),0,COLUMN(MO_Common_Column_A))</f>
        <v/>
      </c>
      <c r="E784" s="78" t="inlineStr">
        <is>
          <t>MO_RIS_SBC</t>
        </is>
      </c>
      <c r="F784" s="77" t="inlineStr">
        <is>
          <t>Q4-2019</t>
        </is>
      </c>
      <c r="G784" s="77" t="n"/>
      <c r="H784" s="67" t="n"/>
      <c r="I784" s="2087" t="n">
        <v>47</v>
      </c>
      <c r="J784" s="2087" t="n">
        <v>47</v>
      </c>
      <c r="K784" s="2087">
        <f>AVERAGE(I784:J784)</f>
        <v/>
      </c>
      <c r="L784" s="67" t="n"/>
      <c r="M784" s="77">
        <f>IF(INDEX(MO_SNA_IsHistoricalPeriod,,MATCH(F784,MO_Common_ColumnHeader,0)),"Actual","Estimate")</f>
        <v/>
      </c>
      <c r="N784" s="2087">
        <f>IFERROR(INDEX(INDIRECT(E784),0,MATCH(F784,MO_Common_ColumnHeader,0)),"N/A")</f>
        <v/>
      </c>
      <c r="O784" s="67" t="n"/>
      <c r="P784" s="2169">
        <f>IF(ISNUMBER(N784),N784-K784,"N/A")</f>
        <v/>
      </c>
      <c r="Q784" s="2168">
        <f>IFERROR(IF(ISNUMBER(N784),(N784-K784)/ABS(K784),"N/A"),"N/A")</f>
        <v/>
      </c>
      <c r="R784" s="67" t="n"/>
      <c r="S784" s="80" t="n">
        <v>43759</v>
      </c>
      <c r="T784" s="88" t="inlineStr">
        <is>
          <t>Press Release</t>
        </is>
      </c>
      <c r="U784" s="67" t="n"/>
      <c r="V784" s="1016" t="n"/>
    </row>
    <row r="785" ht="14.4" customHeight="1" s="972">
      <c r="A785" s="64" t="n">
        <v>179</v>
      </c>
      <c r="B785" s="77">
        <f>IF(INDEX(MO_SNA_IsHistoricalPeriod,,MATCH(F785,MO_Common_ColumnHeader,0)),"Historical","Forward")</f>
        <v/>
      </c>
      <c r="C785" s="67" t="n"/>
      <c r="D785" s="84" t="inlineStr">
        <is>
          <t>Acquisition and integration-related costs</t>
        </is>
      </c>
      <c r="E785" s="78" t="n"/>
      <c r="F785" s="77" t="inlineStr">
        <is>
          <t>Q4-2019</t>
        </is>
      </c>
      <c r="G785" s="77" t="n"/>
      <c r="H785" s="67" t="n"/>
      <c r="I785" s="2087" t="n">
        <v>1</v>
      </c>
      <c r="J785" s="2087" t="n">
        <v>1</v>
      </c>
      <c r="K785" s="2087">
        <f>AVERAGE(I785:J785)</f>
        <v/>
      </c>
      <c r="L785" s="67" t="n"/>
      <c r="M785" s="77">
        <f>IF(INDEX(MO_SNA_IsHistoricalPeriod,,MATCH(F785,MO_Common_ColumnHeader,0)),"Actual","Estimate")</f>
        <v/>
      </c>
      <c r="N785" s="2087">
        <f>IFERROR(INDEX(INDIRECT(E785),0,MATCH(F785,MO_Common_ColumnHeader,0)),"N/A")</f>
        <v/>
      </c>
      <c r="O785" s="67" t="n"/>
      <c r="P785" s="2169">
        <f>IF(ISNUMBER(N785),N785-K785,"N/A")</f>
        <v/>
      </c>
      <c r="Q785" s="2168">
        <f>IFERROR(IF(ISNUMBER(N785),(N785-K785)/ABS(K785),"N/A"),"N/A")</f>
        <v/>
      </c>
      <c r="R785" s="67" t="n"/>
      <c r="S785" s="80" t="n">
        <v>43759</v>
      </c>
      <c r="T785" s="88" t="inlineStr">
        <is>
          <t>Press Release</t>
        </is>
      </c>
      <c r="U785" s="67" t="n"/>
      <c r="V785" s="1016" t="n"/>
    </row>
    <row r="786" ht="14.4" customHeight="1" s="972">
      <c r="A786" s="64" t="n">
        <v>178</v>
      </c>
      <c r="B786" s="77">
        <f>IF(INDEX(MO_SNA_IsHistoricalPeriod,,MATCH(F786,MO_Common_ColumnHeader,0)),"Historical","Forward")</f>
        <v/>
      </c>
      <c r="C786" s="67" t="n"/>
      <c r="D786" s="84" t="inlineStr">
        <is>
          <t>Other income or expense related to investments and non-qualified deferred compensation plan assets</t>
        </is>
      </c>
      <c r="E786" s="78" t="n"/>
      <c r="F786" s="77" t="inlineStr">
        <is>
          <t>Q4-2019</t>
        </is>
      </c>
      <c r="G786" s="77" t="n"/>
      <c r="H786" s="67" t="n"/>
      <c r="I786" s="2087" t="n">
        <v>2</v>
      </c>
      <c r="J786" s="2087" t="n">
        <v>2</v>
      </c>
      <c r="K786" s="2087">
        <f>AVERAGE(I786:J786)</f>
        <v/>
      </c>
      <c r="L786" s="67" t="n"/>
      <c r="M786" s="77">
        <f>IF(INDEX(MO_SNA_IsHistoricalPeriod,,MATCH(F786,MO_Common_ColumnHeader,0)),"Actual","Estimate")</f>
        <v/>
      </c>
      <c r="N786" s="2087">
        <f>IFERROR(INDEX(INDIRECT(E786),0,MATCH(F786,MO_Common_ColumnHeader,0)),"N/A")</f>
        <v/>
      </c>
      <c r="O786" s="67" t="n"/>
      <c r="P786" s="2169">
        <f>IF(ISNUMBER(N786),N786-K786,"N/A")</f>
        <v/>
      </c>
      <c r="Q786" s="2168">
        <f>IFERROR(IF(ISNUMBER(N786),(N786-K786)/ABS(K786),"N/A"),"N/A")</f>
        <v/>
      </c>
      <c r="R786" s="67" t="n"/>
      <c r="S786" s="80" t="n">
        <v>43759</v>
      </c>
      <c r="T786" s="88" t="inlineStr">
        <is>
          <t>Press Release</t>
        </is>
      </c>
      <c r="U786" s="67" t="n"/>
      <c r="V786" s="1016" t="n"/>
    </row>
    <row r="787" ht="14.4" customHeight="1" s="972">
      <c r="A787" s="64" t="n">
        <v>177</v>
      </c>
      <c r="B787" s="77">
        <f>IF(INDEX(MO_SNA_IsHistoricalPeriod,,MATCH(F787,MO_Common_ColumnHeader,0)),"Historical","Forward")</f>
        <v/>
      </c>
      <c r="C787" s="67" t="n"/>
      <c r="D787" s="84" t="inlineStr">
        <is>
          <t>Income tax effect on non-GAAP adjustments</t>
        </is>
      </c>
      <c r="E787" s="78" t="n"/>
      <c r="F787" s="77" t="inlineStr">
        <is>
          <t>Q4-2019</t>
        </is>
      </c>
      <c r="G787" s="77" t="n"/>
      <c r="H787" s="67" t="n"/>
      <c r="I787" s="2087" t="n">
        <v>-9</v>
      </c>
      <c r="J787" s="2087" t="n">
        <v>-9</v>
      </c>
      <c r="K787" s="2087">
        <f>AVERAGE(I787:J787)</f>
        <v/>
      </c>
      <c r="L787" s="67" t="n"/>
      <c r="M787" s="77">
        <f>IF(INDEX(MO_SNA_IsHistoricalPeriod,,MATCH(F787,MO_Common_ColumnHeader,0)),"Actual","Estimate")</f>
        <v/>
      </c>
      <c r="N787" s="2087">
        <f>IFERROR(INDEX(INDIRECT(E787),0,MATCH(F787,MO_Common_ColumnHeader,0)),"N/A")</f>
        <v/>
      </c>
      <c r="O787" s="67" t="n"/>
      <c r="P787" s="2169">
        <f>IF(ISNUMBER(N787),N787-K787,"N/A")</f>
        <v/>
      </c>
      <c r="Q787" s="2168">
        <f>IFERROR(IF(ISNUMBER(N787),(N787-K787)/ABS(K787),"N/A"),"N/A")</f>
        <v/>
      </c>
      <c r="R787" s="67" t="n"/>
      <c r="S787" s="80" t="n">
        <v>43759</v>
      </c>
      <c r="T787" s="88" t="inlineStr">
        <is>
          <t>Press Release</t>
        </is>
      </c>
      <c r="U787" s="67" t="n"/>
      <c r="V787" s="1016" t="n"/>
    </row>
    <row r="788" ht="14.4" customHeight="1" s="972">
      <c r="A788" s="64" t="n">
        <v>176</v>
      </c>
      <c r="B788" s="77">
        <f>IF(INDEX(MO_SNA_IsHistoricalPeriod,,MATCH(F788,MO_Common_ColumnHeader,0)),"Historical","Forward")</f>
        <v/>
      </c>
      <c r="C788" s="67" t="n"/>
      <c r="D788" s="84">
        <f>INDEX(INDIRECT(E788),0,COLUMN(MO_Common_Column_A))</f>
        <v/>
      </c>
      <c r="E788" s="78" t="inlineStr">
        <is>
          <t>MO_RIS_NI_GAAP_Diluted</t>
        </is>
      </c>
      <c r="F788" s="77" t="inlineStr">
        <is>
          <t>Q4-2019</t>
        </is>
      </c>
      <c r="G788" s="77" t="n"/>
      <c r="H788" s="67" t="n"/>
      <c r="I788" s="2087" t="n">
        <v>92</v>
      </c>
      <c r="J788" s="2087" t="n">
        <v>98</v>
      </c>
      <c r="K788" s="2087">
        <f>AVERAGE(I788:J788)</f>
        <v/>
      </c>
      <c r="L788" s="67" t="n"/>
      <c r="M788" s="77">
        <f>IF(INDEX(MO_SNA_IsHistoricalPeriod,,MATCH(F788,MO_Common_ColumnHeader,0)),"Actual","Estimate")</f>
        <v/>
      </c>
      <c r="N788" s="2087">
        <f>IFERROR(INDEX(INDIRECT(E788),0,MATCH(F788,MO_Common_ColumnHeader,0)),"N/A")</f>
        <v/>
      </c>
      <c r="O788" s="67" t="n"/>
      <c r="P788" s="2169">
        <f>IF(ISNUMBER(N788),N788-K788,"N/A")</f>
        <v/>
      </c>
      <c r="Q788" s="2168">
        <f>IFERROR(IF(ISNUMBER(N788),(N788-K788)/ABS(K788),"N/A"),"N/A")</f>
        <v/>
      </c>
      <c r="R788" s="67" t="n"/>
      <c r="S788" s="80" t="n">
        <v>43759</v>
      </c>
      <c r="T788" s="88" t="inlineStr">
        <is>
          <t>Press Release</t>
        </is>
      </c>
      <c r="U788" s="67" t="n"/>
      <c r="V788" s="1016" t="n"/>
    </row>
    <row r="789" ht="14.4" customHeight="1" s="972">
      <c r="A789" s="64" t="n">
        <v>175</v>
      </c>
      <c r="B789" s="77">
        <f>IF(INDEX(MO_SNA_IsHistoricalPeriod,,MATCH(F789,MO_Common_ColumnHeader,0)),"Historical","Forward")</f>
        <v/>
      </c>
      <c r="C789" s="67" t="n"/>
      <c r="D789" s="84">
        <f>INDEX(INDIRECT(E789),0,COLUMN(MO_Common_Column_A))</f>
        <v/>
      </c>
      <c r="E789" s="78" t="inlineStr">
        <is>
          <t>MO_RIS_NI_NONGAAP_Diluted</t>
        </is>
      </c>
      <c r="F789" s="77" t="inlineStr">
        <is>
          <t>Q4-2019</t>
        </is>
      </c>
      <c r="G789" s="77" t="n"/>
      <c r="H789" s="67" t="n"/>
      <c r="I789" s="2087" t="n">
        <v>146</v>
      </c>
      <c r="J789" s="2087" t="n">
        <v>152</v>
      </c>
      <c r="K789" s="2087">
        <f>AVERAGE(I789:J789)</f>
        <v/>
      </c>
      <c r="L789" s="67" t="n"/>
      <c r="M789" s="77">
        <f>IF(INDEX(MO_SNA_IsHistoricalPeriod,,MATCH(F789,MO_Common_ColumnHeader,0)),"Actual","Estimate")</f>
        <v/>
      </c>
      <c r="N789" s="2087">
        <f>IFERROR(INDEX(INDIRECT(E789),0,MATCH(F789,MO_Common_ColumnHeader,0)),"N/A")</f>
        <v/>
      </c>
      <c r="O789" s="67" t="n"/>
      <c r="P789" s="2169">
        <f>IF(ISNUMBER(N789),N789-K789,"N/A")</f>
        <v/>
      </c>
      <c r="Q789" s="2168">
        <f>IFERROR(IF(ISNUMBER(N789),(N789-K789)/ABS(K789),"N/A"),"N/A")</f>
        <v/>
      </c>
      <c r="R789" s="67" t="n"/>
      <c r="S789" s="80" t="n">
        <v>43759</v>
      </c>
      <c r="T789" s="88" t="inlineStr">
        <is>
          <t>Press Release</t>
        </is>
      </c>
      <c r="U789" s="67" t="n"/>
      <c r="V789" s="1016" t="n"/>
    </row>
    <row r="790" ht="14.4" customHeight="1" s="972">
      <c r="A790" s="64" t="n">
        <v>174</v>
      </c>
      <c r="B790" s="77">
        <f>IF(INDEX(MO_SNA_IsHistoricalPeriod,,MATCH(F790,MO_Common_ColumnHeader,0)),"Historical","Forward")</f>
        <v/>
      </c>
      <c r="C790" s="67" t="n"/>
      <c r="D790" s="84">
        <f>INDEX(INDIRECT(E790),0,COLUMN(MO_Common_Column_A))</f>
        <v/>
      </c>
      <c r="E790" s="78" t="inlineStr">
        <is>
          <t>MO_CFS_Buyback</t>
        </is>
      </c>
      <c r="F790" s="77" t="inlineStr">
        <is>
          <t>Q4-2019</t>
        </is>
      </c>
      <c r="G790" s="77" t="n"/>
      <c r="H790" s="67" t="n"/>
      <c r="I790" s="2087" t="n">
        <v>-75</v>
      </c>
      <c r="J790" s="2087" t="n">
        <v>-75</v>
      </c>
      <c r="K790" s="2087">
        <f>AVERAGE(I790:J790)</f>
        <v/>
      </c>
      <c r="L790" s="67" t="n"/>
      <c r="M790" s="77">
        <f>IF(INDEX(MO_SNA_IsHistoricalPeriod,,MATCH(F790,MO_Common_ColumnHeader,0)),"Actual","Estimate")</f>
        <v/>
      </c>
      <c r="N790" s="2087">
        <f>IFERROR(INDEX(INDIRECT(E790),0,MATCH(F790,MO_Common_ColumnHeader,0)),"N/A")</f>
        <v/>
      </c>
      <c r="O790" s="67" t="n"/>
      <c r="P790" s="2169">
        <f>IF(ISNUMBER(N790),N790-K790,"N/A")</f>
        <v/>
      </c>
      <c r="Q790" s="2168">
        <f>IFERROR(IF(ISNUMBER(N790),(N790-K790)/ABS(K790),"N/A"),"N/A")</f>
        <v/>
      </c>
      <c r="R790" s="67" t="n"/>
      <c r="S790" s="80" t="n">
        <v>43759</v>
      </c>
      <c r="T790" s="88" t="inlineStr">
        <is>
          <t>Press Release</t>
        </is>
      </c>
      <c r="U790" s="67" t="n"/>
      <c r="V790" s="1016" t="n"/>
    </row>
    <row r="791" ht="14.4" customHeight="1" s="972">
      <c r="A791" s="64" t="n">
        <v>173</v>
      </c>
      <c r="B791" s="67" t="n"/>
      <c r="C791" s="67" t="n"/>
      <c r="D791" s="68" t="n"/>
      <c r="E791" s="69" t="n"/>
      <c r="F791" s="67" t="n"/>
      <c r="G791" s="67" t="n"/>
      <c r="H791" s="67" t="n"/>
      <c r="I791" s="2072" t="n"/>
      <c r="J791" s="2072" t="n"/>
      <c r="K791" s="2072" t="n"/>
      <c r="L791" s="67" t="n"/>
      <c r="M791" s="67" t="n"/>
      <c r="N791" s="2072" t="n"/>
      <c r="O791" s="67" t="n"/>
      <c r="P791" s="2172" t="n"/>
      <c r="Q791" s="2173" t="n"/>
      <c r="R791" s="67" t="n"/>
      <c r="S791" s="72" t="n"/>
      <c r="T791" s="89" t="n"/>
      <c r="U791" s="67" t="n"/>
      <c r="V791" s="1016" t="n"/>
    </row>
    <row r="792" ht="14.4" customHeight="1" s="972">
      <c r="A792" s="64" t="n">
        <v>172</v>
      </c>
      <c r="B792" s="77">
        <f>IF(INDEX(MO_SNA_IsHistoricalPeriod,,MATCH(F792,MO_Common_ColumnHeader,0)),"Historical","Forward")</f>
        <v/>
      </c>
      <c r="C792" s="67" t="n"/>
      <c r="D792" s="84">
        <f>INDEX(INDIRECT(E792),0,COLUMN(MO_Common_Column_A))</f>
        <v/>
      </c>
      <c r="E792" s="78" t="inlineStr">
        <is>
          <t>MO_RIS_REV</t>
        </is>
      </c>
      <c r="F792" s="77" t="inlineStr">
        <is>
          <t>FY2019</t>
        </is>
      </c>
      <c r="G792" s="77" t="n"/>
      <c r="H792" s="67" t="n"/>
      <c r="I792" s="2087" t="n">
        <v>2315</v>
      </c>
      <c r="J792" s="2087" t="n">
        <v>2335</v>
      </c>
      <c r="K792" s="2087">
        <f>AVERAGE(I792:J792)</f>
        <v/>
      </c>
      <c r="L792" s="67" t="n"/>
      <c r="M792" s="77">
        <f>IF(INDEX(MO_SNA_IsHistoricalPeriod,,MATCH(F792,MO_Common_ColumnHeader,0)),"Actual","Estimate")</f>
        <v/>
      </c>
      <c r="N792" s="2087">
        <f>IFERROR(INDEX(INDIRECT(E792),0,MATCH(F792,MO_Common_ColumnHeader,0)),"N/A")</f>
        <v/>
      </c>
      <c r="O792" s="2072" t="n"/>
      <c r="P792" s="2169">
        <f>IF(ISNUMBER(N792),N792-K792,"N/A")</f>
        <v/>
      </c>
      <c r="Q792" s="2168">
        <f>IFERROR(IF(ISNUMBER(N792),(N792-K792)/ABS(K792),"N/A"),"N/A")</f>
        <v/>
      </c>
      <c r="R792" s="67" t="n"/>
      <c r="S792" s="80" t="n">
        <v>43668</v>
      </c>
      <c r="T792" s="88" t="inlineStr">
        <is>
          <t>Press Release</t>
        </is>
      </c>
      <c r="U792" s="67" t="n"/>
      <c r="V792" s="1016" t="n"/>
    </row>
    <row r="793" ht="14.4" customHeight="1" s="972">
      <c r="A793" s="64" t="n">
        <v>171</v>
      </c>
      <c r="B793" s="77">
        <f>IF(INDEX(MO_SNA_IsHistoricalPeriod,,MATCH(F793,MO_Common_ColumnHeader,0)),"Historical","Forward")</f>
        <v/>
      </c>
      <c r="C793" s="67" t="n"/>
      <c r="D793" s="84" t="inlineStr">
        <is>
          <t>GAAP Operating Margin</t>
        </is>
      </c>
      <c r="E793" s="78" t="n"/>
      <c r="F793" s="77" t="inlineStr">
        <is>
          <t>FY2019</t>
        </is>
      </c>
      <c r="G793" s="77" t="n"/>
      <c r="H793" s="67" t="n"/>
      <c r="I793" s="2108" t="n">
        <v>0.21</v>
      </c>
      <c r="J793" s="2108" t="n">
        <v>0.22</v>
      </c>
      <c r="K793" s="2108">
        <f>AVERAGE(I793:J793)</f>
        <v/>
      </c>
      <c r="L793" s="67" t="n"/>
      <c r="M793" s="77">
        <f>IF(INDEX(MO_SNA_IsHistoricalPeriod,,MATCH(F793,MO_Common_ColumnHeader,0)),"Actual","Estimate")</f>
        <v/>
      </c>
      <c r="N793" s="2108">
        <f>IFERROR(INDEX(INDIRECT(E793),0,MATCH(F793,MO_Common_ColumnHeader,0)),"N/A")</f>
        <v/>
      </c>
      <c r="O793" s="67" t="n"/>
      <c r="P793" s="2168">
        <f>IF(ISNUMBER(N793),N793-K793,"N/A")</f>
        <v/>
      </c>
      <c r="Q793" s="2168">
        <f>IFERROR(IF(ISNUMBER(N793),(N793-K793)/ABS(K793),"N/A"),"N/A")</f>
        <v/>
      </c>
      <c r="R793" s="67" t="n"/>
      <c r="S793" s="80" t="n">
        <v>43668</v>
      </c>
      <c r="T793" s="88" t="inlineStr">
        <is>
          <t>Press Release</t>
        </is>
      </c>
      <c r="U793" s="67" t="n"/>
      <c r="V793" s="1016" t="n"/>
    </row>
    <row r="794" ht="14.4" customHeight="1" s="972">
      <c r="A794" s="64" t="n">
        <v>170</v>
      </c>
      <c r="B794" s="77">
        <f>IF(INDEX(MO_SNA_IsHistoricalPeriod,,MATCH(F794,MO_Common_ColumnHeader,0)),"Historical","Forward")</f>
        <v/>
      </c>
      <c r="C794" s="67" t="n"/>
      <c r="D794" s="84">
        <f>INDEX(INDIRECT(E794),0,COLUMN(MO_Common_Column_A))</f>
        <v/>
      </c>
      <c r="E794" s="78" t="inlineStr">
        <is>
          <t>MO_MA_OperatingIncome_NONGAAP</t>
        </is>
      </c>
      <c r="F794" s="77" t="inlineStr">
        <is>
          <t>FY2019</t>
        </is>
      </c>
      <c r="G794" s="77" t="n"/>
      <c r="H794" s="67" t="n"/>
      <c r="I794" s="2108" t="n">
        <v>0.31</v>
      </c>
      <c r="J794" s="2108" t="n">
        <v>0.32</v>
      </c>
      <c r="K794" s="2108">
        <f>AVERAGE(I794:J794)</f>
        <v/>
      </c>
      <c r="L794" s="67" t="n"/>
      <c r="M794" s="77">
        <f>IF(INDEX(MO_SNA_IsHistoricalPeriod,,MATCH(F794,MO_Common_ColumnHeader,0)),"Actual","Estimate")</f>
        <v/>
      </c>
      <c r="N794" s="2108">
        <f>IFERROR(INDEX(INDIRECT(E794),0,MATCH(F794,MO_Common_ColumnHeader,0)),"N/A")</f>
        <v/>
      </c>
      <c r="O794" s="67" t="n"/>
      <c r="P794" s="2168">
        <f>IF(ISNUMBER(N794),N794-K794,"N/A")</f>
        <v/>
      </c>
      <c r="Q794" s="2168">
        <f>IFERROR(IF(ISNUMBER(N794),(N794-K794)/ABS(K794),"N/A"),"N/A")</f>
        <v/>
      </c>
      <c r="R794" s="67" t="n"/>
      <c r="S794" s="80" t="n">
        <v>43668</v>
      </c>
      <c r="T794" s="88" t="inlineStr">
        <is>
          <t>Press Release</t>
        </is>
      </c>
      <c r="U794" s="112" t="n"/>
      <c r="V794" s="1016" t="n"/>
    </row>
    <row r="795" ht="14.4" customHeight="1" s="972">
      <c r="A795" s="64" t="n">
        <v>169</v>
      </c>
      <c r="B795" s="77">
        <f>IF(INDEX(MO_SNA_IsHistoricalPeriod,,MATCH(F795,MO_Common_ColumnHeader,0)),"Historical","Forward")</f>
        <v/>
      </c>
      <c r="C795" s="67" t="n"/>
      <c r="D795" s="84">
        <f>INDEX(INDIRECT(E795),0,COLUMN(MO_Common_Column_A))</f>
        <v/>
      </c>
      <c r="E795" s="78" t="inlineStr">
        <is>
          <t>MO_RIS_EPS_WAD</t>
        </is>
      </c>
      <c r="F795" s="77" t="inlineStr">
        <is>
          <t>FY2019</t>
        </is>
      </c>
      <c r="G795" s="77" t="n"/>
      <c r="H795" s="67" t="n"/>
      <c r="I795" s="2170" t="n">
        <v>1.44</v>
      </c>
      <c r="J795" s="2170" t="n">
        <v>1.5</v>
      </c>
      <c r="K795" s="2170">
        <f>AVERAGE(I795:J795)</f>
        <v/>
      </c>
      <c r="L795" s="67" t="n"/>
      <c r="M795" s="77">
        <f>IF(INDEX(MO_SNA_IsHistoricalPeriod,,MATCH(F795,MO_Common_ColumnHeader,0)),"Actual","Estimate")</f>
        <v/>
      </c>
      <c r="N795" s="2170">
        <f>IFERROR(INDEX(INDIRECT(E795),0,MATCH(F795,MO_Common_ColumnHeader,0)),"N/A")</f>
        <v/>
      </c>
      <c r="O795" s="67" t="n"/>
      <c r="P795" s="2171">
        <f>IF(ISNUMBER(N795),N795-K795,"N/A")</f>
        <v/>
      </c>
      <c r="Q795" s="2168">
        <f>IFERROR(IF(ISNUMBER(N795),(N795-K795)/ABS(K795),"N/A"),"N/A")</f>
        <v/>
      </c>
      <c r="R795" s="67" t="n"/>
      <c r="S795" s="80" t="n">
        <v>43668</v>
      </c>
      <c r="T795" s="88" t="inlineStr">
        <is>
          <t>Press Release</t>
        </is>
      </c>
      <c r="U795" s="112" t="n"/>
      <c r="V795" s="1016" t="n"/>
    </row>
    <row r="796" ht="14.4" customHeight="1" s="972">
      <c r="A796" s="64" t="n">
        <v>168</v>
      </c>
      <c r="B796" s="77">
        <f>IF(INDEX(MO_SNA_IsHistoricalPeriod,,MATCH(F796,MO_Common_ColumnHeader,0)),"Historical","Forward")</f>
        <v/>
      </c>
      <c r="C796" s="67" t="n"/>
      <c r="D796" s="84">
        <f>INDEX(INDIRECT(E796),0,COLUMN(MO_Common_Column_A))</f>
        <v/>
      </c>
      <c r="E796" s="78" t="inlineStr">
        <is>
          <t>MO_RIS_EPS_WAD_Adj</t>
        </is>
      </c>
      <c r="F796" s="77" t="inlineStr">
        <is>
          <t>FY2019</t>
        </is>
      </c>
      <c r="G796" s="77" t="n"/>
      <c r="H796" s="67" t="n"/>
      <c r="I796" s="2170" t="n">
        <v>2.11</v>
      </c>
      <c r="J796" s="2170" t="n">
        <v>2.17</v>
      </c>
      <c r="K796" s="2170">
        <f>AVERAGE(I796:J796)</f>
        <v/>
      </c>
      <c r="L796" s="67" t="n"/>
      <c r="M796" s="77">
        <f>IF(INDEX(MO_SNA_IsHistoricalPeriod,,MATCH(F796,MO_Common_ColumnHeader,0)),"Actual","Estimate")</f>
        <v/>
      </c>
      <c r="N796" s="2170">
        <f>IFERROR(INDEX(INDIRECT(E796),0,MATCH(F796,MO_Common_ColumnHeader,0)),"N/A")</f>
        <v/>
      </c>
      <c r="O796" s="67" t="n"/>
      <c r="P796" s="2171">
        <f>IF(ISNUMBER(N796),N796-K796,"N/A")</f>
        <v/>
      </c>
      <c r="Q796" s="2168">
        <f>IFERROR(IF(ISNUMBER(N796),(N796-K796)/ABS(K796),"N/A"),"N/A")</f>
        <v/>
      </c>
      <c r="R796" s="67" t="n"/>
      <c r="S796" s="80" t="n">
        <v>43668</v>
      </c>
      <c r="T796" s="88" t="inlineStr">
        <is>
          <t>Press Release</t>
        </is>
      </c>
      <c r="U796" s="67" t="n"/>
      <c r="V796" s="1016" t="n"/>
    </row>
    <row r="797" ht="14.4" customHeight="1" s="972">
      <c r="A797" s="64" t="n">
        <v>167</v>
      </c>
      <c r="B797" s="77">
        <f>IF(INDEX(MO_SNA_IsHistoricalPeriod,,MATCH(F797,MO_Common_ColumnHeader,0)),"Historical","Forward")</f>
        <v/>
      </c>
      <c r="C797" s="67" t="n"/>
      <c r="D797" s="84">
        <f>INDEX(INDIRECT(E797),0,COLUMN(MO_Common_Column_A))</f>
        <v/>
      </c>
      <c r="E797" s="78" t="inlineStr">
        <is>
          <t>MO_RIS_Daintangibles</t>
        </is>
      </c>
      <c r="F797" s="77" t="inlineStr">
        <is>
          <t>FY2019</t>
        </is>
      </c>
      <c r="G797" s="77" t="n"/>
      <c r="H797" s="67" t="n"/>
      <c r="I797" s="2087" t="n">
        <v>53</v>
      </c>
      <c r="J797" s="2087" t="n">
        <v>53</v>
      </c>
      <c r="K797" s="2087">
        <f>AVERAGE(I797:J797)</f>
        <v/>
      </c>
      <c r="L797" s="67" t="n"/>
      <c r="M797" s="77">
        <f>IF(INDEX(MO_SNA_IsHistoricalPeriod,,MATCH(F797,MO_Common_ColumnHeader,0)),"Actual","Estimate")</f>
        <v/>
      </c>
      <c r="N797" s="2087">
        <f>IFERROR(INDEX(INDIRECT(E797),0,MATCH(F797,MO_Common_ColumnHeader,0)),"N/A")</f>
        <v/>
      </c>
      <c r="O797" s="67" t="n"/>
      <c r="P797" s="2169">
        <f>IF(ISNUMBER(N797),N797-K797,"N/A")</f>
        <v/>
      </c>
      <c r="Q797" s="2168">
        <f>IFERROR(IF(ISNUMBER(N797),(N797-K797)/ABS(K797),"N/A"),"N/A")</f>
        <v/>
      </c>
      <c r="R797" s="67" t="n"/>
      <c r="S797" s="80" t="n">
        <v>43668</v>
      </c>
      <c r="T797" s="88" t="inlineStr">
        <is>
          <t>Press Release</t>
        </is>
      </c>
      <c r="U797" s="67" t="n"/>
      <c r="V797" s="1016" t="n"/>
    </row>
    <row r="798" ht="14.4" customHeight="1" s="972">
      <c r="A798" s="64" t="n">
        <v>166</v>
      </c>
      <c r="B798" s="77">
        <f>IF(INDEX(MO_SNA_IsHistoricalPeriod,,MATCH(F798,MO_Common_ColumnHeader,0)),"Historical","Forward")</f>
        <v/>
      </c>
      <c r="C798" s="67" t="n"/>
      <c r="D798" s="84">
        <f>INDEX(INDIRECT(E798),0,COLUMN(MO_Common_Column_A))</f>
        <v/>
      </c>
      <c r="E798" s="78" t="inlineStr">
        <is>
          <t>MO_RIS_SBC</t>
        </is>
      </c>
      <c r="F798" s="77" t="inlineStr">
        <is>
          <t>FY2019</t>
        </is>
      </c>
      <c r="G798" s="77" t="n"/>
      <c r="H798" s="67" t="n"/>
      <c r="I798" s="2087" t="n">
        <v>182</v>
      </c>
      <c r="J798" s="2087" t="n">
        <v>182</v>
      </c>
      <c r="K798" s="2087">
        <f>AVERAGE(I798:J798)</f>
        <v/>
      </c>
      <c r="L798" s="67" t="n"/>
      <c r="M798" s="77">
        <f>IF(INDEX(MO_SNA_IsHistoricalPeriod,,MATCH(F798,MO_Common_ColumnHeader,0)),"Actual","Estimate")</f>
        <v/>
      </c>
      <c r="N798" s="2087">
        <f>IFERROR(INDEX(INDIRECT(E798),0,MATCH(F798,MO_Common_ColumnHeader,0)),"N/A")</f>
        <v/>
      </c>
      <c r="O798" s="67" t="n"/>
      <c r="P798" s="2169">
        <f>IF(ISNUMBER(N798),N798-K798,"N/A")</f>
        <v/>
      </c>
      <c r="Q798" s="2168">
        <f>IFERROR(IF(ISNUMBER(N798),(N798-K798)/ABS(K798),"N/A"),"N/A")</f>
        <v/>
      </c>
      <c r="R798" s="67" t="n"/>
      <c r="S798" s="80" t="n">
        <v>43668</v>
      </c>
      <c r="T798" s="88" t="inlineStr">
        <is>
          <t>Press Release</t>
        </is>
      </c>
      <c r="U798" s="67" t="n"/>
      <c r="V798" s="1016" t="n"/>
    </row>
    <row r="799" ht="14.4" customHeight="1" s="972">
      <c r="A799" s="64" t="n">
        <v>165</v>
      </c>
      <c r="B799" s="77">
        <f>IF(INDEX(MO_SNA_IsHistoricalPeriod,,MATCH(F799,MO_Common_ColumnHeader,0)),"Historical","Forward")</f>
        <v/>
      </c>
      <c r="C799" s="67" t="n"/>
      <c r="D799" s="84" t="inlineStr">
        <is>
          <t>Non-qualified deferred compensation expenses</t>
        </is>
      </c>
      <c r="E799" s="78" t="n"/>
      <c r="F799" s="77" t="inlineStr">
        <is>
          <t>FY2019</t>
        </is>
      </c>
      <c r="G799" s="77" t="n"/>
      <c r="H799" s="67" t="n"/>
      <c r="I799" s="2087" t="n">
        <v>3</v>
      </c>
      <c r="J799" s="2087" t="n">
        <v>3</v>
      </c>
      <c r="K799" s="2087">
        <f>AVERAGE(I799:J799)</f>
        <v/>
      </c>
      <c r="L799" s="67" t="n"/>
      <c r="M799" s="77">
        <f>IF(INDEX(MO_SNA_IsHistoricalPeriod,,MATCH(F799,MO_Common_ColumnHeader,0)),"Actual","Estimate")</f>
        <v/>
      </c>
      <c r="N799" s="2087">
        <f>IFERROR(INDEX(INDIRECT(E799),0,MATCH(F799,MO_Common_ColumnHeader,0)),"N/A")</f>
        <v/>
      </c>
      <c r="O799" s="67" t="n"/>
      <c r="P799" s="2169">
        <f>IF(ISNUMBER(N799),N799-K799,"N/A")</f>
        <v/>
      </c>
      <c r="Q799" s="2168">
        <f>IFERROR(IF(ISNUMBER(N799),(N799-K799)/ABS(K799),"N/A"),"N/A")</f>
        <v/>
      </c>
      <c r="R799" s="67" t="n"/>
      <c r="S799" s="80" t="n">
        <v>43668</v>
      </c>
      <c r="T799" s="88" t="inlineStr">
        <is>
          <t>Press Release</t>
        </is>
      </c>
      <c r="U799" s="67" t="n"/>
      <c r="V799" s="1016" t="n"/>
    </row>
    <row r="800" ht="14.4" customHeight="1" s="972">
      <c r="A800" s="64" t="n">
        <v>164</v>
      </c>
      <c r="B800" s="77">
        <f>IF(INDEX(MO_SNA_IsHistoricalPeriod,,MATCH(F800,MO_Common_ColumnHeader,0)),"Historical","Forward")</f>
        <v/>
      </c>
      <c r="C800" s="67" t="n"/>
      <c r="D800" s="84" t="inlineStr">
        <is>
          <t>Restructuring and other charges (credits)</t>
        </is>
      </c>
      <c r="E800" s="78" t="n"/>
      <c r="F800" s="77" t="inlineStr">
        <is>
          <t>FY2019</t>
        </is>
      </c>
      <c r="G800" s="77" t="n"/>
      <c r="H800" s="67" t="n"/>
      <c r="I800" s="2087" t="n">
        <v>-1</v>
      </c>
      <c r="J800" s="2087" t="n">
        <v>-1</v>
      </c>
      <c r="K800" s="2087">
        <f>AVERAGE(I800:J800)</f>
        <v/>
      </c>
      <c r="L800" s="67" t="n"/>
      <c r="M800" s="77">
        <f>IF(INDEX(MO_SNA_IsHistoricalPeriod,,MATCH(F800,MO_Common_ColumnHeader,0)),"Actual","Estimate")</f>
        <v/>
      </c>
      <c r="N800" s="2087">
        <f>IFERROR(INDEX(INDIRECT(E800),0,MATCH(F800,MO_Common_ColumnHeader,0)),"N/A")</f>
        <v/>
      </c>
      <c r="O800" s="67" t="n"/>
      <c r="P800" s="2169">
        <f>IF(ISNUMBER(N800),N800-K800,"N/A")</f>
        <v/>
      </c>
      <c r="Q800" s="2168">
        <f>IFERROR(IF(ISNUMBER(N800),(N800-K800)/ABS(K800),"N/A"),"N/A")</f>
        <v/>
      </c>
      <c r="R800" s="67" t="n"/>
      <c r="S800" s="80" t="n">
        <v>43668</v>
      </c>
      <c r="T800" s="88" t="inlineStr">
        <is>
          <t>Press Release</t>
        </is>
      </c>
      <c r="U800" s="67" t="n"/>
      <c r="V800" s="1016" t="n"/>
    </row>
    <row r="801" ht="14.4" customHeight="1" s="972">
      <c r="A801" s="64" t="n">
        <v>163</v>
      </c>
      <c r="B801" s="77">
        <f>IF(INDEX(MO_SNA_IsHistoricalPeriod,,MATCH(F801,MO_Common_ColumnHeader,0)),"Historical","Forward")</f>
        <v/>
      </c>
      <c r="C801" s="67" t="n"/>
      <c r="D801" s="84" t="inlineStr">
        <is>
          <t>Acquisition and integration-related costs</t>
        </is>
      </c>
      <c r="E801" s="78" t="n"/>
      <c r="F801" s="77" t="inlineStr">
        <is>
          <t>FY2019</t>
        </is>
      </c>
      <c r="G801" s="77" t="n"/>
      <c r="H801" s="67" t="n"/>
      <c r="I801" s="2087" t="n">
        <v>6</v>
      </c>
      <c r="J801" s="2087" t="n">
        <v>6</v>
      </c>
      <c r="K801" s="2087">
        <f>AVERAGE(I801:J801)</f>
        <v/>
      </c>
      <c r="L801" s="67" t="n"/>
      <c r="M801" s="77">
        <f>IF(INDEX(MO_SNA_IsHistoricalPeriod,,MATCH(F801,MO_Common_ColumnHeader,0)),"Actual","Estimate")</f>
        <v/>
      </c>
      <c r="N801" s="2087">
        <f>IFERROR(INDEX(INDIRECT(E801),0,MATCH(F801,MO_Common_ColumnHeader,0)),"N/A")</f>
        <v/>
      </c>
      <c r="O801" s="67" t="n"/>
      <c r="P801" s="2169">
        <f>IF(ISNUMBER(N801),N801-K801,"N/A")</f>
        <v/>
      </c>
      <c r="Q801" s="2168">
        <f>IFERROR(IF(ISNUMBER(N801),(N801-K801)/ABS(K801),"N/A"),"N/A")</f>
        <v/>
      </c>
      <c r="R801" s="67" t="n"/>
      <c r="S801" s="80" t="n">
        <v>43668</v>
      </c>
      <c r="T801" s="88" t="inlineStr">
        <is>
          <t>Press Release</t>
        </is>
      </c>
      <c r="U801" s="67" t="n"/>
      <c r="V801" s="1016" t="n"/>
    </row>
    <row r="802" ht="14.4" customHeight="1" s="972">
      <c r="A802" s="64" t="n">
        <v>162</v>
      </c>
      <c r="B802" s="77">
        <f>IF(INDEX(MO_SNA_IsHistoricalPeriod,,MATCH(F802,MO_Common_ColumnHeader,0)),"Historical","Forward")</f>
        <v/>
      </c>
      <c r="C802" s="67" t="n"/>
      <c r="D802" s="84" t="inlineStr">
        <is>
          <t>Other income or expense related to investments and non-qualified deferred compensation plan assets</t>
        </is>
      </c>
      <c r="E802" s="78" t="n"/>
      <c r="F802" s="77" t="inlineStr">
        <is>
          <t>FY2019</t>
        </is>
      </c>
      <c r="G802" s="77" t="n"/>
      <c r="H802" s="67" t="n"/>
      <c r="I802" s="2087" t="n">
        <v>0</v>
      </c>
      <c r="J802" s="2087" t="n">
        <v>0</v>
      </c>
      <c r="K802" s="2087">
        <f>AVERAGE(I802:J802)</f>
        <v/>
      </c>
      <c r="L802" s="67" t="n"/>
      <c r="M802" s="77">
        <f>IF(INDEX(MO_SNA_IsHistoricalPeriod,,MATCH(F802,MO_Common_ColumnHeader,0)),"Actual","Estimate")</f>
        <v/>
      </c>
      <c r="N802" s="2087">
        <f>IFERROR(INDEX(INDIRECT(E802),0,MATCH(F802,MO_Common_ColumnHeader,0)),"N/A")</f>
        <v/>
      </c>
      <c r="O802" s="67" t="n"/>
      <c r="P802" s="2169">
        <f>IF(ISNUMBER(N802),N802-K802,"N/A")</f>
        <v/>
      </c>
      <c r="Q802" s="2168">
        <f>IFERROR(IF(ISNUMBER(N802),(N802-K802)/ABS(K802),"N/A"),"N/A")</f>
        <v/>
      </c>
      <c r="R802" s="67" t="n"/>
      <c r="S802" s="80" t="n">
        <v>43668</v>
      </c>
      <c r="T802" s="88" t="inlineStr">
        <is>
          <t>Press Release</t>
        </is>
      </c>
      <c r="U802" s="67" t="n"/>
      <c r="V802" s="1016" t="n"/>
    </row>
    <row r="803" ht="14.4" customHeight="1" s="972">
      <c r="A803" s="64" t="n">
        <v>161</v>
      </c>
      <c r="B803" s="77">
        <f>IF(INDEX(MO_SNA_IsHistoricalPeriod,,MATCH(F803,MO_Common_ColumnHeader,0)),"Historical","Forward")</f>
        <v/>
      </c>
      <c r="C803" s="67" t="n"/>
      <c r="D803" s="84" t="inlineStr">
        <is>
          <t>Income tax effect on non-GAAP adjustments</t>
        </is>
      </c>
      <c r="E803" s="78" t="n"/>
      <c r="F803" s="77" t="inlineStr">
        <is>
          <t>FY2019</t>
        </is>
      </c>
      <c r="G803" s="77" t="n"/>
      <c r="H803" s="67" t="n"/>
      <c r="I803" s="2087" t="n">
        <v>-56</v>
      </c>
      <c r="J803" s="2087" t="n">
        <v>-56</v>
      </c>
      <c r="K803" s="2087">
        <f>AVERAGE(I803:J803)</f>
        <v/>
      </c>
      <c r="L803" s="67" t="n"/>
      <c r="M803" s="77">
        <f>IF(INDEX(MO_SNA_IsHistoricalPeriod,,MATCH(F803,MO_Common_ColumnHeader,0)),"Actual","Estimate")</f>
        <v/>
      </c>
      <c r="N803" s="2087">
        <f>IFERROR(INDEX(INDIRECT(E803),0,MATCH(F803,MO_Common_ColumnHeader,0)),"N/A")</f>
        <v/>
      </c>
      <c r="O803" s="67" t="n"/>
      <c r="P803" s="2169">
        <f>IF(ISNUMBER(N803),N803-K803,"N/A")</f>
        <v/>
      </c>
      <c r="Q803" s="2168">
        <f>IFERROR(IF(ISNUMBER(N803),(N803-K803)/ABS(K803),"N/A"),"N/A")</f>
        <v/>
      </c>
      <c r="R803" s="67" t="n"/>
      <c r="S803" s="80" t="n">
        <v>43668</v>
      </c>
      <c r="T803" s="88" t="inlineStr">
        <is>
          <t>Press Release</t>
        </is>
      </c>
      <c r="U803" s="67" t="n"/>
      <c r="V803" s="1016" t="n"/>
    </row>
    <row r="804" ht="14.4" customHeight="1" s="972">
      <c r="A804" s="64" t="n">
        <v>160</v>
      </c>
      <c r="B804" s="77">
        <f>IF(INDEX(MO_SNA_IsHistoricalPeriod,,MATCH(F804,MO_Common_ColumnHeader,0)),"Historical","Forward")</f>
        <v/>
      </c>
      <c r="C804" s="67" t="n"/>
      <c r="D804" s="84">
        <f>INDEX(INDIRECT(E804),0,COLUMN(MO_Common_Column_A))</f>
        <v/>
      </c>
      <c r="E804" s="78" t="inlineStr">
        <is>
          <t>MO_RIS_NI_GAAP_Diluted</t>
        </is>
      </c>
      <c r="F804" s="77" t="inlineStr">
        <is>
          <t>FY2019</t>
        </is>
      </c>
      <c r="G804" s="77" t="n"/>
      <c r="H804" s="67" t="n"/>
      <c r="I804" s="2087" t="n">
        <v>406</v>
      </c>
      <c r="J804" s="2087" t="n">
        <v>423</v>
      </c>
      <c r="K804" s="2087">
        <f>AVERAGE(I804:J804)</f>
        <v/>
      </c>
      <c r="L804" s="67" t="n"/>
      <c r="M804" s="77">
        <f>IF(INDEX(MO_SNA_IsHistoricalPeriod,,MATCH(F804,MO_Common_ColumnHeader,0)),"Actual","Estimate")</f>
        <v/>
      </c>
      <c r="N804" s="2087">
        <f>IFERROR(INDEX(INDIRECT(E804),0,MATCH(F804,MO_Common_ColumnHeader,0)),"N/A")</f>
        <v/>
      </c>
      <c r="O804" s="67" t="n"/>
      <c r="P804" s="2169">
        <f>IF(ISNUMBER(N804),N804-K804,"N/A")</f>
        <v/>
      </c>
      <c r="Q804" s="2168">
        <f>IFERROR(IF(ISNUMBER(N804),(N804-K804)/ABS(K804),"N/A"),"N/A")</f>
        <v/>
      </c>
      <c r="R804" s="67" t="n"/>
      <c r="S804" s="80" t="n">
        <v>43668</v>
      </c>
      <c r="T804" s="88" t="inlineStr">
        <is>
          <t>Press Release</t>
        </is>
      </c>
      <c r="U804" s="67" t="n"/>
      <c r="V804" s="1016" t="n"/>
    </row>
    <row r="805" ht="14.4" customHeight="1" s="972">
      <c r="A805" s="64" t="n">
        <v>159</v>
      </c>
      <c r="B805" s="77">
        <f>IF(INDEX(MO_SNA_IsHistoricalPeriod,,MATCH(F805,MO_Common_ColumnHeader,0)),"Historical","Forward")</f>
        <v/>
      </c>
      <c r="C805" s="67" t="n"/>
      <c r="D805" s="84">
        <f>INDEX(INDIRECT(E805),0,COLUMN(MO_Common_Column_A))</f>
        <v/>
      </c>
      <c r="E805" s="78" t="inlineStr">
        <is>
          <t>MO_RIS_NI_NONGAAP_Diluted</t>
        </is>
      </c>
      <c r="F805" s="77" t="inlineStr">
        <is>
          <t>FY2019</t>
        </is>
      </c>
      <c r="G805" s="77" t="n"/>
      <c r="H805" s="67" t="n"/>
      <c r="I805" s="2087" t="n">
        <v>593</v>
      </c>
      <c r="J805" s="2087" t="n">
        <v>610</v>
      </c>
      <c r="K805" s="2087">
        <f>AVERAGE(I805:J805)</f>
        <v/>
      </c>
      <c r="L805" s="67" t="n"/>
      <c r="M805" s="77">
        <f>IF(INDEX(MO_SNA_IsHistoricalPeriod,,MATCH(F805,MO_Common_ColumnHeader,0)),"Actual","Estimate")</f>
        <v/>
      </c>
      <c r="N805" s="2087">
        <f>IFERROR(INDEX(INDIRECT(E805),0,MATCH(F805,MO_Common_ColumnHeader,0)),"N/A")</f>
        <v/>
      </c>
      <c r="O805" s="67" t="n"/>
      <c r="P805" s="2169">
        <f>IF(ISNUMBER(N805),N805-K805,"N/A")</f>
        <v/>
      </c>
      <c r="Q805" s="2168">
        <f>IFERROR(IF(ISNUMBER(N805),(N805-K805)/ABS(K805),"N/A"),"N/A")</f>
        <v/>
      </c>
      <c r="R805" s="67" t="n"/>
      <c r="S805" s="80" t="n">
        <v>43668</v>
      </c>
      <c r="T805" s="88" t="inlineStr">
        <is>
          <t>Press Release</t>
        </is>
      </c>
      <c r="U805" s="67" t="n"/>
      <c r="V805" s="1016" t="n"/>
    </row>
    <row r="806" ht="14.4" customHeight="1" s="972">
      <c r="A806" s="64" t="n">
        <v>158</v>
      </c>
      <c r="B806" s="67" t="n"/>
      <c r="C806" s="67" t="n"/>
      <c r="D806" s="68" t="n"/>
      <c r="E806" s="69" t="n"/>
      <c r="F806" s="67" t="n"/>
      <c r="G806" s="67" t="n"/>
      <c r="H806" s="67" t="n"/>
      <c r="I806" s="2072" t="n"/>
      <c r="J806" s="2072" t="n"/>
      <c r="K806" s="2072" t="n"/>
      <c r="L806" s="67" t="n"/>
      <c r="M806" s="67" t="n"/>
      <c r="N806" s="2072" t="n"/>
      <c r="O806" s="67" t="n"/>
      <c r="P806" s="2172" t="n"/>
      <c r="Q806" s="2173" t="n"/>
      <c r="R806" s="67" t="n"/>
      <c r="S806" s="72" t="n"/>
      <c r="T806" s="89" t="n"/>
      <c r="U806" s="67" t="n"/>
      <c r="V806" s="1016" t="n"/>
    </row>
    <row r="807" ht="14.4" customHeight="1" s="972">
      <c r="A807" s="64" t="n">
        <v>157</v>
      </c>
      <c r="B807" s="77">
        <f>IF(INDEX(MO_SNA_IsHistoricalPeriod,,MATCH(F807,MO_Common_ColumnHeader,0)),"Historical","Forward")</f>
        <v/>
      </c>
      <c r="C807" s="67" t="n"/>
      <c r="D807" s="84">
        <f>INDEX(INDIRECT(E807),0,COLUMN(MO_Common_Column_A))</f>
        <v/>
      </c>
      <c r="E807" s="78" t="inlineStr">
        <is>
          <t>MO_RIS_REV</t>
        </is>
      </c>
      <c r="F807" s="77" t="inlineStr">
        <is>
          <t>Q3-2019</t>
        </is>
      </c>
      <c r="G807" s="77" t="n"/>
      <c r="H807" s="67" t="n"/>
      <c r="I807" s="2087" t="n">
        <v>570</v>
      </c>
      <c r="J807" s="2087" t="n">
        <v>580</v>
      </c>
      <c r="K807" s="2087">
        <f>AVERAGE(I807:J807)</f>
        <v/>
      </c>
      <c r="L807" s="67" t="n"/>
      <c r="M807" s="77">
        <f>IF(INDEX(MO_SNA_IsHistoricalPeriod,,MATCH(F807,MO_Common_ColumnHeader,0)),"Actual","Estimate")</f>
        <v/>
      </c>
      <c r="N807" s="2087">
        <f>IFERROR(INDEX(INDIRECT(E807),0,MATCH(F807,MO_Common_ColumnHeader,0)),"N/A")</f>
        <v/>
      </c>
      <c r="O807" s="67" t="n"/>
      <c r="P807" s="2169">
        <f>IF(ISNUMBER(N807),N807-K807,"N/A")</f>
        <v/>
      </c>
      <c r="Q807" s="2168">
        <f>IFERROR(IF(ISNUMBER(N807),(N807-K807)/ABS(K807),"N/A"),"N/A")</f>
        <v/>
      </c>
      <c r="R807" s="67" t="n"/>
      <c r="S807" s="80" t="n">
        <v>43668</v>
      </c>
      <c r="T807" s="88" t="inlineStr">
        <is>
          <t>Press Release</t>
        </is>
      </c>
      <c r="U807" s="67" t="n"/>
      <c r="V807" s="1016" t="n"/>
    </row>
    <row r="808" ht="14.4" customHeight="1" s="972">
      <c r="A808" s="64" t="n">
        <v>156</v>
      </c>
      <c r="B808" s="77">
        <f>IF(INDEX(MO_SNA_IsHistoricalPeriod,,MATCH(F808,MO_Common_ColumnHeader,0)),"Historical","Forward")</f>
        <v/>
      </c>
      <c r="C808" s="67" t="n"/>
      <c r="D808" s="84" t="inlineStr">
        <is>
          <t>GAAP Operating Margin</t>
        </is>
      </c>
      <c r="E808" s="78" t="n"/>
      <c r="F808" s="77" t="inlineStr">
        <is>
          <t>Q3-2019</t>
        </is>
      </c>
      <c r="G808" s="77" t="n"/>
      <c r="H808" s="67" t="n"/>
      <c r="I808" s="2108" t="n">
        <v>0.19</v>
      </c>
      <c r="J808" s="2108" t="n">
        <v>0.19</v>
      </c>
      <c r="K808" s="2108">
        <f>AVERAGE(I808:J808)</f>
        <v/>
      </c>
      <c r="L808" s="67" t="n"/>
      <c r="M808" s="77">
        <f>IF(INDEX(MO_SNA_IsHistoricalPeriod,,MATCH(F808,MO_Common_ColumnHeader,0)),"Actual","Estimate")</f>
        <v/>
      </c>
      <c r="N808" s="2108">
        <f>IFERROR(INDEX(INDIRECT(E808),0,MATCH(F808,MO_Common_ColumnHeader,0)),"N/A")</f>
        <v/>
      </c>
      <c r="O808" s="67" t="n"/>
      <c r="P808" s="2168">
        <f>IF(ISNUMBER(N808),N808-K808,"N/A")</f>
        <v/>
      </c>
      <c r="Q808" s="2168">
        <f>IFERROR(IF(ISNUMBER(N808),(N808-K808)/ABS(K808),"N/A"),"N/A")</f>
        <v/>
      </c>
      <c r="R808" s="67" t="n"/>
      <c r="S808" s="80" t="n">
        <v>43668</v>
      </c>
      <c r="T808" s="88" t="inlineStr">
        <is>
          <t>Press Release</t>
        </is>
      </c>
      <c r="U808" s="67" t="n"/>
      <c r="V808" s="1016" t="n"/>
    </row>
    <row r="809" ht="14.4" customHeight="1" s="972">
      <c r="A809" s="64" t="n">
        <v>155</v>
      </c>
      <c r="B809" s="77">
        <f>IF(INDEX(MO_SNA_IsHistoricalPeriod,,MATCH(F809,MO_Common_ColumnHeader,0)),"Historical","Forward")</f>
        <v/>
      </c>
      <c r="C809" s="67" t="n"/>
      <c r="D809" s="84">
        <f>INDEX(INDIRECT(E809),0,COLUMN(MO_Common_Column_A))</f>
        <v/>
      </c>
      <c r="E809" s="78" t="inlineStr">
        <is>
          <t>MO_MA_OperatingIncome_NONGAAP</t>
        </is>
      </c>
      <c r="F809" s="77" t="inlineStr">
        <is>
          <t>Q3-2019</t>
        </is>
      </c>
      <c r="G809" s="77" t="n"/>
      <c r="H809" s="67" t="n"/>
      <c r="I809" s="2108" t="n">
        <v>0.3</v>
      </c>
      <c r="J809" s="2108" t="n">
        <v>0.3</v>
      </c>
      <c r="K809" s="2108">
        <f>AVERAGE(I809:J809)</f>
        <v/>
      </c>
      <c r="L809" s="67" t="n"/>
      <c r="M809" s="77">
        <f>IF(INDEX(MO_SNA_IsHistoricalPeriod,,MATCH(F809,MO_Common_ColumnHeader,0)),"Actual","Estimate")</f>
        <v/>
      </c>
      <c r="N809" s="2108">
        <f>IFERROR(INDEX(INDIRECT(E809),0,MATCH(F809,MO_Common_ColumnHeader,0)),"N/A")</f>
        <v/>
      </c>
      <c r="O809" s="67" t="n"/>
      <c r="P809" s="2168">
        <f>IF(ISNUMBER(N809),N809-K809,"N/A")</f>
        <v/>
      </c>
      <c r="Q809" s="2168">
        <f>IFERROR(IF(ISNUMBER(N809),(N809-K809)/ABS(K809),"N/A"),"N/A")</f>
        <v/>
      </c>
      <c r="R809" s="67" t="n"/>
      <c r="S809" s="80" t="n">
        <v>43668</v>
      </c>
      <c r="T809" s="88" t="inlineStr">
        <is>
          <t>Press Release</t>
        </is>
      </c>
      <c r="U809" s="67" t="n"/>
      <c r="V809" s="1016" t="n"/>
    </row>
    <row r="810" ht="14.4" customHeight="1" s="972">
      <c r="A810" s="64" t="n">
        <v>154</v>
      </c>
      <c r="B810" s="77">
        <f>IF(INDEX(MO_SNA_IsHistoricalPeriod,,MATCH(F810,MO_Common_ColumnHeader,0)),"Historical","Forward")</f>
        <v/>
      </c>
      <c r="C810" s="67" t="n"/>
      <c r="D810" s="84">
        <f>INDEX(INDIRECT(E810),0,COLUMN(MO_Common_Column_A))</f>
        <v/>
      </c>
      <c r="E810" s="78" t="inlineStr">
        <is>
          <t>MO_RIS_EPS_WAD</t>
        </is>
      </c>
      <c r="F810" s="77" t="inlineStr">
        <is>
          <t>Q3-2019</t>
        </is>
      </c>
      <c r="G810" s="77" t="n"/>
      <c r="H810" s="67" t="n"/>
      <c r="I810" s="2170" t="n">
        <v>0.32</v>
      </c>
      <c r="J810" s="2170" t="n">
        <v>0.34</v>
      </c>
      <c r="K810" s="2170">
        <f>AVERAGE(I810:J810)</f>
        <v/>
      </c>
      <c r="L810" s="67" t="n"/>
      <c r="M810" s="77">
        <f>IF(INDEX(MO_SNA_IsHistoricalPeriod,,MATCH(F810,MO_Common_ColumnHeader,0)),"Actual","Estimate")</f>
        <v/>
      </c>
      <c r="N810" s="2170">
        <f>IFERROR(INDEX(INDIRECT(E810),0,MATCH(F810,MO_Common_ColumnHeader,0)),"N/A")</f>
        <v/>
      </c>
      <c r="O810" s="67" t="n"/>
      <c r="P810" s="2171">
        <f>IF(ISNUMBER(N810),N810-K810,"N/A")</f>
        <v/>
      </c>
      <c r="Q810" s="2168">
        <f>IFERROR(IF(ISNUMBER(N810),(N810-K810)/ABS(K810),"N/A"),"N/A")</f>
        <v/>
      </c>
      <c r="R810" s="67" t="n"/>
      <c r="S810" s="80" t="n">
        <v>43668</v>
      </c>
      <c r="T810" s="88" t="inlineStr">
        <is>
          <t>Press Release</t>
        </is>
      </c>
      <c r="U810" s="67" t="n"/>
      <c r="V810" s="1016" t="n"/>
    </row>
    <row r="811" ht="14.4" customHeight="1" s="972">
      <c r="A811" s="64" t="n">
        <v>153</v>
      </c>
      <c r="B811" s="77">
        <f>IF(INDEX(MO_SNA_IsHistoricalPeriod,,MATCH(F811,MO_Common_ColumnHeader,0)),"Historical","Forward")</f>
        <v/>
      </c>
      <c r="C811" s="67" t="n"/>
      <c r="D811" s="84">
        <f>INDEX(INDIRECT(E811),0,COLUMN(MO_Common_Column_A))</f>
        <v/>
      </c>
      <c r="E811" s="78" t="inlineStr">
        <is>
          <t>MO_RIS_EPS_WAD_Adj</t>
        </is>
      </c>
      <c r="F811" s="77" t="inlineStr">
        <is>
          <t>Q3-2019</t>
        </is>
      </c>
      <c r="G811" s="77" t="n"/>
      <c r="H811" s="67" t="n"/>
      <c r="I811" s="2170" t="n">
        <v>0.5</v>
      </c>
      <c r="J811" s="2170" t="n">
        <v>0.52</v>
      </c>
      <c r="K811" s="2170">
        <f>AVERAGE(I811:J811)</f>
        <v/>
      </c>
      <c r="L811" s="67" t="n"/>
      <c r="M811" s="77">
        <f>IF(INDEX(MO_SNA_IsHistoricalPeriod,,MATCH(F811,MO_Common_ColumnHeader,0)),"Actual","Estimate")</f>
        <v/>
      </c>
      <c r="N811" s="2170">
        <f>IFERROR(INDEX(INDIRECT(E811),0,MATCH(F811,MO_Common_ColumnHeader,0)),"N/A")</f>
        <v/>
      </c>
      <c r="O811" s="67" t="n"/>
      <c r="P811" s="2171">
        <f>IF(ISNUMBER(N811),N811-K811,"N/A")</f>
        <v/>
      </c>
      <c r="Q811" s="2168">
        <f>IFERROR(IF(ISNUMBER(N811),(N811-K811)/ABS(K811),"N/A"),"N/A")</f>
        <v/>
      </c>
      <c r="R811" s="67" t="n"/>
      <c r="S811" s="80" t="n">
        <v>43668</v>
      </c>
      <c r="T811" s="88" t="inlineStr">
        <is>
          <t>Press Release</t>
        </is>
      </c>
      <c r="U811" s="67" t="n"/>
      <c r="V811" s="1016" t="n"/>
    </row>
    <row r="812" ht="14.4" customHeight="1" s="972">
      <c r="A812" s="64" t="n">
        <v>152</v>
      </c>
      <c r="B812" s="77">
        <f>IF(INDEX(MO_SNA_IsHistoricalPeriod,,MATCH(F812,MO_Common_ColumnHeader,0)),"Historical","Forward")</f>
        <v/>
      </c>
      <c r="C812" s="67" t="n"/>
      <c r="D812" s="84">
        <f>INDEX(INDIRECT(E812),0,COLUMN(MO_Common_Column_A))</f>
        <v/>
      </c>
      <c r="E812" s="78" t="inlineStr">
        <is>
          <t>MO_RIS_Daintangibles</t>
        </is>
      </c>
      <c r="F812" s="77" t="inlineStr">
        <is>
          <t>Q3-2019</t>
        </is>
      </c>
      <c r="G812" s="77" t="n"/>
      <c r="H812" s="67" t="n"/>
      <c r="I812" s="2087" t="n">
        <v>13</v>
      </c>
      <c r="J812" s="2087" t="n">
        <v>13</v>
      </c>
      <c r="K812" s="2087">
        <f>AVERAGE(I812:J812)</f>
        <v/>
      </c>
      <c r="L812" s="67" t="n"/>
      <c r="M812" s="77">
        <f>IF(INDEX(MO_SNA_IsHistoricalPeriod,,MATCH(F812,MO_Common_ColumnHeader,0)),"Actual","Estimate")</f>
        <v/>
      </c>
      <c r="N812" s="2087">
        <f>IFERROR(INDEX(INDIRECT(E812),0,MATCH(F812,MO_Common_ColumnHeader,0)),"N/A")</f>
        <v/>
      </c>
      <c r="O812" s="67" t="n"/>
      <c r="P812" s="2169">
        <f>IF(ISNUMBER(N812),N812-K812,"N/A")</f>
        <v/>
      </c>
      <c r="Q812" s="2168">
        <f>IFERROR(IF(ISNUMBER(N812),(N812-K812)/ABS(K812),"N/A"),"N/A")</f>
        <v/>
      </c>
      <c r="R812" s="67" t="n"/>
      <c r="S812" s="80" t="n">
        <v>43668</v>
      </c>
      <c r="T812" s="88" t="inlineStr">
        <is>
          <t>Press Release</t>
        </is>
      </c>
      <c r="U812" s="67" t="n"/>
      <c r="V812" s="1016" t="n"/>
    </row>
    <row r="813" ht="14.4" customHeight="1" s="972">
      <c r="A813" s="64" t="n">
        <v>151</v>
      </c>
      <c r="B813" s="77">
        <f>IF(INDEX(MO_SNA_IsHistoricalPeriod,,MATCH(F813,MO_Common_ColumnHeader,0)),"Historical","Forward")</f>
        <v/>
      </c>
      <c r="C813" s="67" t="n"/>
      <c r="D813" s="84">
        <f>INDEX(INDIRECT(E813),0,COLUMN(MO_Common_Column_A))</f>
        <v/>
      </c>
      <c r="E813" s="78" t="inlineStr">
        <is>
          <t>MO_RIS_SBC</t>
        </is>
      </c>
      <c r="F813" s="77" t="inlineStr">
        <is>
          <t>Q3-2019</t>
        </is>
      </c>
      <c r="G813" s="77" t="n"/>
      <c r="H813" s="67" t="n"/>
      <c r="I813" s="2087" t="n">
        <v>47</v>
      </c>
      <c r="J813" s="2087" t="n">
        <v>47</v>
      </c>
      <c r="K813" s="2087">
        <f>AVERAGE(I813:J813)</f>
        <v/>
      </c>
      <c r="L813" s="67" t="n"/>
      <c r="M813" s="77">
        <f>IF(INDEX(MO_SNA_IsHistoricalPeriod,,MATCH(F813,MO_Common_ColumnHeader,0)),"Actual","Estimate")</f>
        <v/>
      </c>
      <c r="N813" s="2087">
        <f>IFERROR(INDEX(INDIRECT(E813),0,MATCH(F813,MO_Common_ColumnHeader,0)),"N/A")</f>
        <v/>
      </c>
      <c r="O813" s="67" t="n"/>
      <c r="P813" s="2169">
        <f>IF(ISNUMBER(N813),N813-K813,"N/A")</f>
        <v/>
      </c>
      <c r="Q813" s="2168">
        <f>IFERROR(IF(ISNUMBER(N813),(N813-K813)/ABS(K813),"N/A"),"N/A")</f>
        <v/>
      </c>
      <c r="R813" s="67" t="n"/>
      <c r="S813" s="80" t="n">
        <v>43668</v>
      </c>
      <c r="T813" s="88" t="inlineStr">
        <is>
          <t>Press Release</t>
        </is>
      </c>
      <c r="U813" s="67" t="n"/>
      <c r="V813" s="1016" t="n"/>
    </row>
    <row r="814" ht="14.4" customHeight="1" s="972">
      <c r="A814" s="64" t="n">
        <v>150</v>
      </c>
      <c r="B814" s="77">
        <f>IF(INDEX(MO_SNA_IsHistoricalPeriod,,MATCH(F814,MO_Common_ColumnHeader,0)),"Historical","Forward")</f>
        <v/>
      </c>
      <c r="C814" s="67" t="n"/>
      <c r="D814" s="84" t="inlineStr">
        <is>
          <t>Acquisition and integration-related costs</t>
        </is>
      </c>
      <c r="E814" s="78" t="n"/>
      <c r="F814" s="77" t="inlineStr">
        <is>
          <t>Q3-2019</t>
        </is>
      </c>
      <c r="G814" s="77" t="n"/>
      <c r="H814" s="67" t="n"/>
      <c r="I814" s="2087" t="n">
        <v>2</v>
      </c>
      <c r="J814" s="2087" t="n">
        <v>2</v>
      </c>
      <c r="K814" s="2087">
        <f>AVERAGE(I814:J814)</f>
        <v/>
      </c>
      <c r="L814" s="67" t="n"/>
      <c r="M814" s="77">
        <f>IF(INDEX(MO_SNA_IsHistoricalPeriod,,MATCH(F814,MO_Common_ColumnHeader,0)),"Actual","Estimate")</f>
        <v/>
      </c>
      <c r="N814" s="2087">
        <f>IFERROR(INDEX(INDIRECT(E814),0,MATCH(F814,MO_Common_ColumnHeader,0)),"N/A")</f>
        <v/>
      </c>
      <c r="O814" s="67" t="n"/>
      <c r="P814" s="2169">
        <f>IF(ISNUMBER(N814),N814-K814,"N/A")</f>
        <v/>
      </c>
      <c r="Q814" s="2168">
        <f>IFERROR(IF(ISNUMBER(N814),(N814-K814)/ABS(K814),"N/A"),"N/A")</f>
        <v/>
      </c>
      <c r="R814" s="67" t="n"/>
      <c r="S814" s="80" t="n">
        <v>43668</v>
      </c>
      <c r="T814" s="88" t="inlineStr">
        <is>
          <t>Press Release</t>
        </is>
      </c>
      <c r="U814" s="67" t="n"/>
      <c r="V814" s="1016" t="n"/>
    </row>
    <row r="815" ht="14.4" customHeight="1" s="972">
      <c r="A815" s="64" t="n">
        <v>149</v>
      </c>
      <c r="B815" s="77">
        <f>IF(INDEX(MO_SNA_IsHistoricalPeriod,,MATCH(F815,MO_Common_ColumnHeader,0)),"Historical","Forward")</f>
        <v/>
      </c>
      <c r="C815" s="67" t="n"/>
      <c r="D815" s="84" t="inlineStr">
        <is>
          <t>Other income or expense related to investments and non-qualified deferred compensation plan assets</t>
        </is>
      </c>
      <c r="E815" s="78" t="n"/>
      <c r="F815" s="77" t="inlineStr">
        <is>
          <t>Q3-2019</t>
        </is>
      </c>
      <c r="G815" s="77" t="n"/>
      <c r="H815" s="67" t="n"/>
      <c r="I815" s="2087" t="n">
        <v>1</v>
      </c>
      <c r="J815" s="2087" t="n">
        <v>1</v>
      </c>
      <c r="K815" s="2087">
        <f>AVERAGE(I815:J815)</f>
        <v/>
      </c>
      <c r="L815" s="67" t="n"/>
      <c r="M815" s="77">
        <f>IF(INDEX(MO_SNA_IsHistoricalPeriod,,MATCH(F815,MO_Common_ColumnHeader,0)),"Actual","Estimate")</f>
        <v/>
      </c>
      <c r="N815" s="2087">
        <f>IFERROR(INDEX(INDIRECT(E815),0,MATCH(F815,MO_Common_ColumnHeader,0)),"N/A")</f>
        <v/>
      </c>
      <c r="O815" s="67" t="n"/>
      <c r="P815" s="2169">
        <f>IF(ISNUMBER(N815),N815-K815,"N/A")</f>
        <v/>
      </c>
      <c r="Q815" s="2168">
        <f>IFERROR(IF(ISNUMBER(N815),(N815-K815)/ABS(K815),"N/A"),"N/A")</f>
        <v/>
      </c>
      <c r="R815" s="67" t="n"/>
      <c r="S815" s="80" t="n">
        <v>43668</v>
      </c>
      <c r="T815" s="88" t="inlineStr">
        <is>
          <t>Press Release</t>
        </is>
      </c>
      <c r="U815" s="67" t="n"/>
      <c r="V815" s="1016" t="n"/>
    </row>
    <row r="816" ht="14.4" customHeight="1" s="972">
      <c r="A816" s="64" t="n">
        <v>148</v>
      </c>
      <c r="B816" s="77">
        <f>IF(INDEX(MO_SNA_IsHistoricalPeriod,,MATCH(F816,MO_Common_ColumnHeader,0)),"Historical","Forward")</f>
        <v/>
      </c>
      <c r="C816" s="67" t="n"/>
      <c r="D816" s="84" t="inlineStr">
        <is>
          <t>Income tax effect on non-GAAP adjustments</t>
        </is>
      </c>
      <c r="E816" s="78" t="n"/>
      <c r="F816" s="77" t="inlineStr">
        <is>
          <t>Q3-2019</t>
        </is>
      </c>
      <c r="G816" s="77" t="n"/>
      <c r="H816" s="67" t="n"/>
      <c r="I816" s="2087" t="n">
        <v>-13</v>
      </c>
      <c r="J816" s="2087" t="n">
        <v>-13</v>
      </c>
      <c r="K816" s="2087">
        <f>AVERAGE(I816:J816)</f>
        <v/>
      </c>
      <c r="L816" s="67" t="n"/>
      <c r="M816" s="77">
        <f>IF(INDEX(MO_SNA_IsHistoricalPeriod,,MATCH(F816,MO_Common_ColumnHeader,0)),"Actual","Estimate")</f>
        <v/>
      </c>
      <c r="N816" s="2087">
        <f>IFERROR(INDEX(INDIRECT(E816),0,MATCH(F816,MO_Common_ColumnHeader,0)),"N/A")</f>
        <v/>
      </c>
      <c r="O816" s="67" t="n"/>
      <c r="P816" s="2169">
        <f>IF(ISNUMBER(N816),N816-K816,"N/A")</f>
        <v/>
      </c>
      <c r="Q816" s="2168">
        <f>IFERROR(IF(ISNUMBER(N816),(N816-K816)/ABS(K816),"N/A"),"N/A")</f>
        <v/>
      </c>
      <c r="R816" s="67" t="n"/>
      <c r="S816" s="80" t="n">
        <v>43668</v>
      </c>
      <c r="T816" s="88" t="inlineStr">
        <is>
          <t>Press Release</t>
        </is>
      </c>
      <c r="U816" s="67" t="n"/>
      <c r="V816" s="1016" t="n"/>
    </row>
    <row r="817" ht="14.4" customHeight="1" s="972">
      <c r="A817" s="64" t="n">
        <v>147</v>
      </c>
      <c r="B817" s="77">
        <f>IF(INDEX(MO_SNA_IsHistoricalPeriod,,MATCH(F817,MO_Common_ColumnHeader,0)),"Historical","Forward")</f>
        <v/>
      </c>
      <c r="C817" s="67" t="n"/>
      <c r="D817" s="84">
        <f>INDEX(INDIRECT(E817),0,COLUMN(MO_Common_Column_A))</f>
        <v/>
      </c>
      <c r="E817" s="78" t="inlineStr">
        <is>
          <t>MO_RIS_NI_GAAP_Diluted</t>
        </is>
      </c>
      <c r="F817" s="77" t="inlineStr">
        <is>
          <t>Q3-2019</t>
        </is>
      </c>
      <c r="G817" s="77" t="n"/>
      <c r="H817" s="67" t="n"/>
      <c r="I817" s="2087" t="n">
        <v>90</v>
      </c>
      <c r="J817" s="2087" t="n">
        <v>96</v>
      </c>
      <c r="K817" s="2087">
        <f>AVERAGE(I817:J817)</f>
        <v/>
      </c>
      <c r="L817" s="67" t="n"/>
      <c r="M817" s="77">
        <f>IF(INDEX(MO_SNA_IsHistoricalPeriod,,MATCH(F817,MO_Common_ColumnHeader,0)),"Actual","Estimate")</f>
        <v/>
      </c>
      <c r="N817" s="2087">
        <f>IFERROR(INDEX(INDIRECT(E817),0,MATCH(F817,MO_Common_ColumnHeader,0)),"N/A")</f>
        <v/>
      </c>
      <c r="O817" s="67" t="n"/>
      <c r="P817" s="2169">
        <f>IF(ISNUMBER(N817),N817-K817,"N/A")</f>
        <v/>
      </c>
      <c r="Q817" s="2168">
        <f>IFERROR(IF(ISNUMBER(N817),(N817-K817)/ABS(K817),"N/A"),"N/A")</f>
        <v/>
      </c>
      <c r="R817" s="67" t="n"/>
      <c r="S817" s="80" t="n">
        <v>43668</v>
      </c>
      <c r="T817" s="88" t="inlineStr">
        <is>
          <t>Press Release</t>
        </is>
      </c>
      <c r="U817" s="112" t="n"/>
      <c r="V817" s="1016" t="n"/>
    </row>
    <row r="818" ht="14.4" customHeight="1" s="972">
      <c r="A818" s="64" t="n">
        <v>146</v>
      </c>
      <c r="B818" s="77">
        <f>IF(INDEX(MO_SNA_IsHistoricalPeriod,,MATCH(F818,MO_Common_ColumnHeader,0)),"Historical","Forward")</f>
        <v/>
      </c>
      <c r="C818" s="67" t="n"/>
      <c r="D818" s="84">
        <f>INDEX(INDIRECT(E818),0,COLUMN(MO_Common_Column_A))</f>
        <v/>
      </c>
      <c r="E818" s="78" t="inlineStr">
        <is>
          <t>MO_RIS_NI_NONGAAP_Diluted</t>
        </is>
      </c>
      <c r="F818" s="77" t="inlineStr">
        <is>
          <t>Q3-2019</t>
        </is>
      </c>
      <c r="G818" s="77" t="n"/>
      <c r="H818" s="67" t="n"/>
      <c r="I818" s="2087" t="n">
        <v>140</v>
      </c>
      <c r="J818" s="2087" t="n">
        <v>146</v>
      </c>
      <c r="K818" s="2087">
        <f>AVERAGE(I818:J818)</f>
        <v/>
      </c>
      <c r="L818" s="67" t="n"/>
      <c r="M818" s="77">
        <f>IF(INDEX(MO_SNA_IsHistoricalPeriod,,MATCH(F818,MO_Common_ColumnHeader,0)),"Actual","Estimate")</f>
        <v/>
      </c>
      <c r="N818" s="2087">
        <f>IFERROR(INDEX(INDIRECT(E818),0,MATCH(F818,MO_Common_ColumnHeader,0)),"N/A")</f>
        <v/>
      </c>
      <c r="O818" s="67" t="n"/>
      <c r="P818" s="2169">
        <f>IF(ISNUMBER(N818),N818-K818,"N/A")</f>
        <v/>
      </c>
      <c r="Q818" s="2168">
        <f>IFERROR(IF(ISNUMBER(N818),(N818-K818)/ABS(K818),"N/A"),"N/A")</f>
        <v/>
      </c>
      <c r="R818" s="67" t="n"/>
      <c r="S818" s="80" t="n">
        <v>43668</v>
      </c>
      <c r="T818" s="88" t="inlineStr">
        <is>
          <t>Press Release</t>
        </is>
      </c>
      <c r="U818" s="112" t="n"/>
      <c r="V818" s="1016" t="n"/>
    </row>
    <row r="819" ht="14.4" customHeight="1" s="972">
      <c r="A819" s="64" t="n">
        <v>145</v>
      </c>
      <c r="B819" s="67" t="n"/>
      <c r="C819" s="67" t="n"/>
      <c r="D819" s="68" t="n"/>
      <c r="E819" s="69" t="n"/>
      <c r="F819" s="67" t="n"/>
      <c r="G819" s="67" t="n"/>
      <c r="H819" s="67" t="n"/>
      <c r="I819" s="2072" t="n"/>
      <c r="J819" s="2072" t="n"/>
      <c r="K819" s="2072" t="n"/>
      <c r="L819" s="67" t="n"/>
      <c r="M819" s="67" t="n"/>
      <c r="N819" s="2072" t="n"/>
      <c r="O819" s="67" t="n"/>
      <c r="P819" s="2172" t="n"/>
      <c r="Q819" s="2173" t="n"/>
      <c r="R819" s="67" t="n"/>
      <c r="S819" s="72" t="n"/>
      <c r="T819" s="89" t="n"/>
      <c r="U819" s="67" t="n"/>
      <c r="V819" s="1016" t="n"/>
    </row>
    <row r="820" ht="14.4" customHeight="1" s="972">
      <c r="A820" s="64" t="n">
        <v>144</v>
      </c>
      <c r="B820" s="77">
        <f>IF(INDEX(MO_SNA_IsHistoricalPeriod,,MATCH(F820,MO_Common_ColumnHeader,0)),"Historical","Forward")</f>
        <v/>
      </c>
      <c r="C820" s="67" t="n"/>
      <c r="D820" s="84">
        <f>INDEX(INDIRECT(E820),0,COLUMN(MO_Common_Column_A))</f>
        <v/>
      </c>
      <c r="E820" s="78" t="inlineStr">
        <is>
          <t>MO_RIS_REV</t>
        </is>
      </c>
      <c r="F820" s="77" t="inlineStr">
        <is>
          <t>FY2019</t>
        </is>
      </c>
      <c r="G820" s="77" t="n"/>
      <c r="H820" s="67" t="n"/>
      <c r="I820" s="2087" t="n">
        <v>2305</v>
      </c>
      <c r="J820" s="2087" t="n">
        <v>2335</v>
      </c>
      <c r="K820" s="2087">
        <f>AVERAGE(I820:J820)</f>
        <v/>
      </c>
      <c r="L820" s="67" t="n"/>
      <c r="M820" s="77">
        <f>IF(INDEX(MO_SNA_IsHistoricalPeriod,,MATCH(F820,MO_Common_ColumnHeader,0)),"Actual","Estimate")</f>
        <v/>
      </c>
      <c r="N820" s="2087">
        <f>IFERROR(INDEX(INDIRECT(E820),0,MATCH(F820,MO_Common_ColumnHeader,0)),"N/A")</f>
        <v/>
      </c>
      <c r="O820" s="2072" t="n"/>
      <c r="P820" s="2169">
        <f>IF(ISNUMBER(N820),N820-K820,"N/A")</f>
        <v/>
      </c>
      <c r="Q820" s="2168">
        <f>IFERROR(IF(ISNUMBER(N820),(N820-K820)/ABS(K820),"N/A"),"N/A")</f>
        <v/>
      </c>
      <c r="R820" s="67" t="n"/>
      <c r="S820" s="80" t="n">
        <v>43577</v>
      </c>
      <c r="T820" s="88" t="inlineStr">
        <is>
          <t>Press Release</t>
        </is>
      </c>
      <c r="U820" s="67" t="n"/>
      <c r="V820" s="1016" t="n"/>
    </row>
    <row r="821" ht="14.4" customHeight="1" s="972">
      <c r="A821" s="64" t="n">
        <v>143</v>
      </c>
      <c r="B821" s="77">
        <f>IF(INDEX(MO_SNA_IsHistoricalPeriod,,MATCH(F821,MO_Common_ColumnHeader,0)),"Historical","Forward")</f>
        <v/>
      </c>
      <c r="C821" s="67" t="n"/>
      <c r="D821" s="84">
        <f>INDEX(INDIRECT(E821),0,COLUMN(MO_Common_Column_A))</f>
        <v/>
      </c>
      <c r="E821" s="78" t="inlineStr">
        <is>
          <t>MO_RIS_EPS_WAD</t>
        </is>
      </c>
      <c r="F821" s="77" t="inlineStr">
        <is>
          <t>FY2019</t>
        </is>
      </c>
      <c r="G821" s="77" t="n"/>
      <c r="H821" s="67" t="n"/>
      <c r="I821" s="2170" t="n">
        <v>1.39</v>
      </c>
      <c r="J821" s="2170" t="n">
        <v>1.47</v>
      </c>
      <c r="K821" s="2170">
        <f>AVERAGE(I821:J821)</f>
        <v/>
      </c>
      <c r="L821" s="67" t="n"/>
      <c r="M821" s="77">
        <f>IF(INDEX(MO_SNA_IsHistoricalPeriod,,MATCH(F821,MO_Common_ColumnHeader,0)),"Actual","Estimate")</f>
        <v/>
      </c>
      <c r="N821" s="2170">
        <f>IFERROR(INDEX(INDIRECT(E821),0,MATCH(F821,MO_Common_ColumnHeader,0)),"N/A")</f>
        <v/>
      </c>
      <c r="O821" s="67" t="n"/>
      <c r="P821" s="2171">
        <f>IF(ISNUMBER(N821),N821-K821,"N/A")</f>
        <v/>
      </c>
      <c r="Q821" s="2168">
        <f>IFERROR(IF(ISNUMBER(N821),(N821-K821)/ABS(K821),"N/A"),"N/A")</f>
        <v/>
      </c>
      <c r="R821" s="67" t="n"/>
      <c r="S821" s="80" t="n">
        <v>43577</v>
      </c>
      <c r="T821" s="88" t="inlineStr">
        <is>
          <t>Press Release</t>
        </is>
      </c>
      <c r="U821" s="67" t="n"/>
      <c r="V821" s="1016" t="n"/>
    </row>
    <row r="822" ht="14.4" customHeight="1" s="972">
      <c r="A822" s="64" t="n">
        <v>142</v>
      </c>
      <c r="B822" s="77">
        <f>IF(INDEX(MO_SNA_IsHistoricalPeriod,,MATCH(F822,MO_Common_ColumnHeader,0)),"Historical","Forward")</f>
        <v/>
      </c>
      <c r="C822" s="67" t="n"/>
      <c r="D822" s="84">
        <f>INDEX(INDIRECT(E822),0,COLUMN(MO_Common_Column_A))</f>
        <v/>
      </c>
      <c r="E822" s="78" t="inlineStr">
        <is>
          <t>MO_RIS_EPS_WAD_Adj</t>
        </is>
      </c>
      <c r="F822" s="77" t="inlineStr">
        <is>
          <t>FY2019</t>
        </is>
      </c>
      <c r="G822" s="77" t="n"/>
      <c r="H822" s="67" t="n"/>
      <c r="I822" s="2170" t="n">
        <v>2.04</v>
      </c>
      <c r="J822" s="2170" t="n">
        <v>2.12</v>
      </c>
      <c r="K822" s="2170">
        <f>AVERAGE(I822:J822)</f>
        <v/>
      </c>
      <c r="L822" s="67" t="n"/>
      <c r="M822" s="77">
        <f>IF(INDEX(MO_SNA_IsHistoricalPeriod,,MATCH(F822,MO_Common_ColumnHeader,0)),"Actual","Estimate")</f>
        <v/>
      </c>
      <c r="N822" s="2170">
        <f>IFERROR(INDEX(INDIRECT(E822),0,MATCH(F822,MO_Common_ColumnHeader,0)),"N/A")</f>
        <v/>
      </c>
      <c r="O822" s="67" t="n"/>
      <c r="P822" s="2171">
        <f>IF(ISNUMBER(N822),N822-K822,"N/A")</f>
        <v/>
      </c>
      <c r="Q822" s="2168">
        <f>IFERROR(IF(ISNUMBER(N822),(N822-K822)/ABS(K822),"N/A"),"N/A")</f>
        <v/>
      </c>
      <c r="R822" s="67" t="n"/>
      <c r="S822" s="80" t="n">
        <v>43577</v>
      </c>
      <c r="T822" s="88" t="inlineStr">
        <is>
          <t>Press Release</t>
        </is>
      </c>
      <c r="U822" s="67" t="n"/>
      <c r="V822" s="1016" t="n"/>
    </row>
    <row r="823" ht="14.4" customHeight="1" s="972">
      <c r="A823" s="64" t="n">
        <v>141</v>
      </c>
      <c r="B823" s="77">
        <f>IF(INDEX(MO_SNA_IsHistoricalPeriod,,MATCH(F823,MO_Common_ColumnHeader,0)),"Historical","Forward")</f>
        <v/>
      </c>
      <c r="C823" s="67" t="n"/>
      <c r="D823" s="84">
        <f>INDEX(INDIRECT(E823),0,COLUMN(MO_Common_Column_A))</f>
        <v/>
      </c>
      <c r="E823" s="78" t="inlineStr">
        <is>
          <t>MO_RIS_Daintangibles</t>
        </is>
      </c>
      <c r="F823" s="77" t="inlineStr">
        <is>
          <t>FY2019</t>
        </is>
      </c>
      <c r="G823" s="77" t="n"/>
      <c r="H823" s="67" t="n"/>
      <c r="I823" s="2087" t="n">
        <v>53</v>
      </c>
      <c r="J823" s="2087" t="n">
        <v>53</v>
      </c>
      <c r="K823" s="2087">
        <f>AVERAGE(I823:J823)</f>
        <v/>
      </c>
      <c r="L823" s="67" t="n"/>
      <c r="M823" s="77">
        <f>IF(INDEX(MO_SNA_IsHistoricalPeriod,,MATCH(F823,MO_Common_ColumnHeader,0)),"Actual","Estimate")</f>
        <v/>
      </c>
      <c r="N823" s="2087">
        <f>IFERROR(INDEX(INDIRECT(E823),0,MATCH(F823,MO_Common_ColumnHeader,0)),"N/A")</f>
        <v/>
      </c>
      <c r="O823" s="67" t="n"/>
      <c r="P823" s="2169">
        <f>IF(ISNUMBER(N823),N823-K823,"N/A")</f>
        <v/>
      </c>
      <c r="Q823" s="2168">
        <f>IFERROR(IF(ISNUMBER(N823),(N823-K823)/ABS(K823),"N/A"),"N/A")</f>
        <v/>
      </c>
      <c r="R823" s="67" t="n"/>
      <c r="S823" s="80" t="n">
        <v>43577</v>
      </c>
      <c r="T823" s="88" t="inlineStr">
        <is>
          <t>Press Release</t>
        </is>
      </c>
      <c r="U823" s="67" t="n"/>
      <c r="V823" s="1016" t="n"/>
    </row>
    <row r="824" ht="14.4" customHeight="1" s="972">
      <c r="A824" s="64" t="n">
        <v>140</v>
      </c>
      <c r="B824" s="77">
        <f>IF(INDEX(MO_SNA_IsHistoricalPeriod,,MATCH(F824,MO_Common_ColumnHeader,0)),"Historical","Forward")</f>
        <v/>
      </c>
      <c r="C824" s="67" t="n"/>
      <c r="D824" s="84">
        <f>INDEX(INDIRECT(E824),0,COLUMN(MO_Common_Column_A))</f>
        <v/>
      </c>
      <c r="E824" s="78" t="inlineStr">
        <is>
          <t>MO_RIS_SBC</t>
        </is>
      </c>
      <c r="F824" s="77" t="inlineStr">
        <is>
          <t>FY2019</t>
        </is>
      </c>
      <c r="G824" s="77" t="n"/>
      <c r="H824" s="67" t="n"/>
      <c r="I824" s="2087" t="n">
        <v>182</v>
      </c>
      <c r="J824" s="2087" t="n">
        <v>182</v>
      </c>
      <c r="K824" s="2087">
        <f>AVERAGE(I824:J824)</f>
        <v/>
      </c>
      <c r="L824" s="67" t="n"/>
      <c r="M824" s="77">
        <f>IF(INDEX(MO_SNA_IsHistoricalPeriod,,MATCH(F824,MO_Common_ColumnHeader,0)),"Actual","Estimate")</f>
        <v/>
      </c>
      <c r="N824" s="2087">
        <f>IFERROR(INDEX(INDIRECT(E824),0,MATCH(F824,MO_Common_ColumnHeader,0)),"N/A")</f>
        <v/>
      </c>
      <c r="O824" s="67" t="n"/>
      <c r="P824" s="2169">
        <f>IF(ISNUMBER(N824),N824-K824,"N/A")</f>
        <v/>
      </c>
      <c r="Q824" s="2168">
        <f>IFERROR(IF(ISNUMBER(N824),(N824-K824)/ABS(K824),"N/A"),"N/A")</f>
        <v/>
      </c>
      <c r="R824" s="67" t="n"/>
      <c r="S824" s="80" t="n">
        <v>43577</v>
      </c>
      <c r="T824" s="88" t="inlineStr">
        <is>
          <t>Press Release</t>
        </is>
      </c>
      <c r="U824" s="67" t="n"/>
      <c r="V824" s="1016" t="n"/>
    </row>
    <row r="825" ht="14.4" customHeight="1" s="972">
      <c r="A825" s="64" t="n">
        <v>139</v>
      </c>
      <c r="B825" s="77">
        <f>IF(INDEX(MO_SNA_IsHistoricalPeriod,,MATCH(F825,MO_Common_ColumnHeader,0)),"Historical","Forward")</f>
        <v/>
      </c>
      <c r="C825" s="67" t="n"/>
      <c r="D825" s="84" t="inlineStr">
        <is>
          <t>Non-qualified deferred compensation expenses</t>
        </is>
      </c>
      <c r="E825" s="78" t="n"/>
      <c r="F825" s="77" t="inlineStr">
        <is>
          <t>FY2019</t>
        </is>
      </c>
      <c r="G825" s="77" t="n"/>
      <c r="H825" s="67" t="n"/>
      <c r="I825" s="2087" t="n">
        <v>3</v>
      </c>
      <c r="J825" s="2087" t="n">
        <v>3</v>
      </c>
      <c r="K825" s="2087">
        <f>AVERAGE(I825:J825)</f>
        <v/>
      </c>
      <c r="L825" s="67" t="n"/>
      <c r="M825" s="77">
        <f>IF(INDEX(MO_SNA_IsHistoricalPeriod,,MATCH(F825,MO_Common_ColumnHeader,0)),"Actual","Estimate")</f>
        <v/>
      </c>
      <c r="N825" s="2087">
        <f>IFERROR(INDEX(INDIRECT(E825),0,MATCH(F825,MO_Common_ColumnHeader,0)),"N/A")</f>
        <v/>
      </c>
      <c r="O825" s="67" t="n"/>
      <c r="P825" s="2169">
        <f>IF(ISNUMBER(N825),N825-K825,"N/A")</f>
        <v/>
      </c>
      <c r="Q825" s="2168">
        <f>IFERROR(IF(ISNUMBER(N825),(N825-K825)/ABS(K825),"N/A"),"N/A")</f>
        <v/>
      </c>
      <c r="R825" s="67" t="n"/>
      <c r="S825" s="80" t="n">
        <v>43577</v>
      </c>
      <c r="T825" s="88" t="inlineStr">
        <is>
          <t>Press Release</t>
        </is>
      </c>
      <c r="U825" s="67" t="n"/>
      <c r="V825" s="1016" t="n"/>
    </row>
    <row r="826" ht="14.4" customHeight="1" s="972">
      <c r="A826" s="64" t="n">
        <v>138</v>
      </c>
      <c r="B826" s="77">
        <f>IF(INDEX(MO_SNA_IsHistoricalPeriod,,MATCH(F826,MO_Common_ColumnHeader,0)),"Historical","Forward")</f>
        <v/>
      </c>
      <c r="C826" s="67" t="n"/>
      <c r="D826" s="84" t="inlineStr">
        <is>
          <t>Restructuring and other charges (credits)</t>
        </is>
      </c>
      <c r="E826" s="78" t="n"/>
      <c r="F826" s="77" t="inlineStr">
        <is>
          <t>FY2019</t>
        </is>
      </c>
      <c r="G826" s="77" t="n"/>
      <c r="H826" s="67" t="n"/>
      <c r="I826" s="2087" t="n">
        <v>-1</v>
      </c>
      <c r="J826" s="2087" t="n">
        <v>-1</v>
      </c>
      <c r="K826" s="2087">
        <f>AVERAGE(I826:J826)</f>
        <v/>
      </c>
      <c r="L826" s="67" t="n"/>
      <c r="M826" s="77">
        <f>IF(INDEX(MO_SNA_IsHistoricalPeriod,,MATCH(F826,MO_Common_ColumnHeader,0)),"Actual","Estimate")</f>
        <v/>
      </c>
      <c r="N826" s="2087">
        <f>IFERROR(INDEX(INDIRECT(E826),0,MATCH(F826,MO_Common_ColumnHeader,0)),"N/A")</f>
        <v/>
      </c>
      <c r="O826" s="67" t="n"/>
      <c r="P826" s="2169">
        <f>IF(ISNUMBER(N826),N826-K826,"N/A")</f>
        <v/>
      </c>
      <c r="Q826" s="2168">
        <f>IFERROR(IF(ISNUMBER(N826),(N826-K826)/ABS(K826),"N/A"),"N/A")</f>
        <v/>
      </c>
      <c r="R826" s="67" t="n"/>
      <c r="S826" s="80" t="n">
        <v>43577</v>
      </c>
      <c r="T826" s="88" t="inlineStr">
        <is>
          <t>Press Release</t>
        </is>
      </c>
      <c r="U826" s="67" t="n"/>
      <c r="V826" s="1016" t="n"/>
    </row>
    <row r="827" ht="14.4" customHeight="1" s="972">
      <c r="A827" s="64" t="n">
        <v>137</v>
      </c>
      <c r="B827" s="77">
        <f>IF(INDEX(MO_SNA_IsHistoricalPeriod,,MATCH(F827,MO_Common_ColumnHeader,0)),"Historical","Forward")</f>
        <v/>
      </c>
      <c r="C827" s="67" t="n"/>
      <c r="D827" s="84" t="inlineStr">
        <is>
          <t>Acquisition and integration-related costs</t>
        </is>
      </c>
      <c r="E827" s="78" t="n"/>
      <c r="F827" s="77" t="inlineStr">
        <is>
          <t>FY2019</t>
        </is>
      </c>
      <c r="G827" s="77" t="n"/>
      <c r="H827" s="67" t="n"/>
      <c r="I827" s="2087" t="n">
        <v>6</v>
      </c>
      <c r="J827" s="2087" t="n">
        <v>6</v>
      </c>
      <c r="K827" s="2087">
        <f>AVERAGE(I827:J827)</f>
        <v/>
      </c>
      <c r="L827" s="67" t="n"/>
      <c r="M827" s="77">
        <f>IF(INDEX(MO_SNA_IsHistoricalPeriod,,MATCH(F827,MO_Common_ColumnHeader,0)),"Actual","Estimate")</f>
        <v/>
      </c>
      <c r="N827" s="2087">
        <f>IFERROR(INDEX(INDIRECT(E827),0,MATCH(F827,MO_Common_ColumnHeader,0)),"N/A")</f>
        <v/>
      </c>
      <c r="O827" s="67" t="n"/>
      <c r="P827" s="2169">
        <f>IF(ISNUMBER(N827),N827-K827,"N/A")</f>
        <v/>
      </c>
      <c r="Q827" s="2168">
        <f>IFERROR(IF(ISNUMBER(N827),(N827-K827)/ABS(K827),"N/A"),"N/A")</f>
        <v/>
      </c>
      <c r="R827" s="67" t="n"/>
      <c r="S827" s="80" t="n">
        <v>43577</v>
      </c>
      <c r="T827" s="88" t="inlineStr">
        <is>
          <t>Press Release</t>
        </is>
      </c>
      <c r="U827" s="67" t="n"/>
      <c r="V827" s="1016" t="n"/>
    </row>
    <row r="828" ht="14.4" customHeight="1" s="972">
      <c r="A828" s="64" t="n">
        <v>136</v>
      </c>
      <c r="B828" s="77">
        <f>IF(INDEX(MO_SNA_IsHistoricalPeriod,,MATCH(F828,MO_Common_ColumnHeader,0)),"Historical","Forward")</f>
        <v/>
      </c>
      <c r="C828" s="67" t="n"/>
      <c r="D828" s="84" t="inlineStr">
        <is>
          <t>Income tax effect on non-GAAP adjustments</t>
        </is>
      </c>
      <c r="E828" s="78" t="n"/>
      <c r="F828" s="77" t="inlineStr">
        <is>
          <t>FY2019</t>
        </is>
      </c>
      <c r="G828" s="77" t="n"/>
      <c r="H828" s="67" t="n"/>
      <c r="I828" s="2087" t="n">
        <v>56</v>
      </c>
      <c r="J828" s="2087" t="n">
        <v>56</v>
      </c>
      <c r="K828" s="2087">
        <f>AVERAGE(I828:J828)</f>
        <v/>
      </c>
      <c r="L828" s="67" t="n"/>
      <c r="M828" s="77">
        <f>IF(INDEX(MO_SNA_IsHistoricalPeriod,,MATCH(F828,MO_Common_ColumnHeader,0)),"Actual","Estimate")</f>
        <v/>
      </c>
      <c r="N828" s="2087">
        <f>IFERROR(INDEX(INDIRECT(E828),0,MATCH(F828,MO_Common_ColumnHeader,0)),"N/A")</f>
        <v/>
      </c>
      <c r="O828" s="67" t="n"/>
      <c r="P828" s="2169">
        <f>IF(ISNUMBER(N828),N828-K828,"N/A")</f>
        <v/>
      </c>
      <c r="Q828" s="2168">
        <f>IFERROR(IF(ISNUMBER(N828),(N828-K828)/ABS(K828),"N/A"),"N/A")</f>
        <v/>
      </c>
      <c r="R828" s="67" t="n"/>
      <c r="S828" s="80" t="n">
        <v>43577</v>
      </c>
      <c r="T828" s="88" t="inlineStr">
        <is>
          <t>Press Release</t>
        </is>
      </c>
      <c r="U828" s="67" t="n"/>
      <c r="V828" s="1016" t="n"/>
    </row>
    <row r="829" ht="14.4" customHeight="1" s="972">
      <c r="A829" s="64" t="n">
        <v>135</v>
      </c>
      <c r="B829" s="77">
        <f>IF(INDEX(MO_SNA_IsHistoricalPeriod,,MATCH(F829,MO_Common_ColumnHeader,0)),"Historical","Forward")</f>
        <v/>
      </c>
      <c r="C829" s="67" t="n"/>
      <c r="D829" s="84" t="inlineStr">
        <is>
          <t>Other income or expense related to investments and non-qualified deferred compensation plan assets</t>
        </is>
      </c>
      <c r="E829" s="78" t="n"/>
      <c r="F829" s="77" t="inlineStr">
        <is>
          <t>FY2019</t>
        </is>
      </c>
      <c r="G829" s="77" t="n"/>
      <c r="H829" s="67" t="n"/>
      <c r="I829" s="2087" t="n">
        <v>-5</v>
      </c>
      <c r="J829" s="2087" t="n">
        <v>-5</v>
      </c>
      <c r="K829" s="2087">
        <f>AVERAGE(I829:J829)</f>
        <v/>
      </c>
      <c r="L829" s="67" t="n"/>
      <c r="M829" s="77">
        <f>IF(INDEX(MO_SNA_IsHistoricalPeriod,,MATCH(F829,MO_Common_ColumnHeader,0)),"Actual","Estimate")</f>
        <v/>
      </c>
      <c r="N829" s="2087">
        <f>IFERROR(INDEX(INDIRECT(E829),0,MATCH(F829,MO_Common_ColumnHeader,0)),"N/A")</f>
        <v/>
      </c>
      <c r="O829" s="67" t="n"/>
      <c r="P829" s="2169">
        <f>IF(ISNUMBER(N829),N829-K829,"N/A")</f>
        <v/>
      </c>
      <c r="Q829" s="2168">
        <f>IFERROR(IF(ISNUMBER(N829),(N829-K829)/ABS(K829),"N/A"),"N/A")</f>
        <v/>
      </c>
      <c r="R829" s="67" t="n"/>
      <c r="S829" s="80" t="n">
        <v>43577</v>
      </c>
      <c r="T829" s="88" t="inlineStr">
        <is>
          <t>Press Release</t>
        </is>
      </c>
      <c r="U829" s="67" t="n"/>
      <c r="V829" s="1016" t="n"/>
    </row>
    <row r="830" ht="14.4" customHeight="1" s="972">
      <c r="A830" s="64" t="n">
        <v>134</v>
      </c>
      <c r="B830" s="77">
        <f>IF(INDEX(MO_SNA_IsHistoricalPeriod,,MATCH(F830,MO_Common_ColumnHeader,0)),"Historical","Forward")</f>
        <v/>
      </c>
      <c r="C830" s="67" t="n"/>
      <c r="D830" s="84">
        <f>INDEX(INDIRECT(E830),0,COLUMN(MO_Common_Column_A))</f>
        <v/>
      </c>
      <c r="E830" s="78" t="inlineStr">
        <is>
          <t>MO_RIS_NI_GAAP_Diluted</t>
        </is>
      </c>
      <c r="F830" s="77" t="inlineStr">
        <is>
          <t>FY2019</t>
        </is>
      </c>
      <c r="G830" s="77" t="n"/>
      <c r="H830" s="67" t="n"/>
      <c r="I830" s="2087" t="n">
        <v>390</v>
      </c>
      <c r="J830" s="2087" t="n">
        <v>412</v>
      </c>
      <c r="K830" s="2087">
        <f>AVERAGE(I830:J830)</f>
        <v/>
      </c>
      <c r="L830" s="67" t="n"/>
      <c r="M830" s="77">
        <f>IF(INDEX(MO_SNA_IsHistoricalPeriod,,MATCH(F830,MO_Common_ColumnHeader,0)),"Actual","Estimate")</f>
        <v/>
      </c>
      <c r="N830" s="2087">
        <f>IFERROR(INDEX(INDIRECT(E830),0,MATCH(F830,MO_Common_ColumnHeader,0)),"N/A")</f>
        <v/>
      </c>
      <c r="O830" s="67" t="n"/>
      <c r="P830" s="2169">
        <f>IF(ISNUMBER(N830),N830-K830,"N/A")</f>
        <v/>
      </c>
      <c r="Q830" s="2168">
        <f>IFERROR(IF(ISNUMBER(N830),(N830-K830)/ABS(K830),"N/A"),"N/A")</f>
        <v/>
      </c>
      <c r="R830" s="67" t="n"/>
      <c r="S830" s="80" t="n">
        <v>43577</v>
      </c>
      <c r="T830" s="88" t="inlineStr">
        <is>
          <t>Press Release</t>
        </is>
      </c>
      <c r="U830" s="67" t="n"/>
      <c r="V830" s="1016" t="n"/>
    </row>
    <row r="831" ht="14.4" customHeight="1" s="972">
      <c r="A831" s="64" t="n">
        <v>133</v>
      </c>
      <c r="B831" s="77">
        <f>IF(INDEX(MO_SNA_IsHistoricalPeriod,,MATCH(F831,MO_Common_ColumnHeader,0)),"Historical","Forward")</f>
        <v/>
      </c>
      <c r="C831" s="67" t="n"/>
      <c r="D831" s="84">
        <f>INDEX(INDIRECT(E831),0,COLUMN(MO_Common_Column_A))</f>
        <v/>
      </c>
      <c r="E831" s="78" t="inlineStr">
        <is>
          <t>MO_RIS_NI_NONGAAP_Diluted</t>
        </is>
      </c>
      <c r="F831" s="77" t="inlineStr">
        <is>
          <t>FY2019</t>
        </is>
      </c>
      <c r="G831" s="77" t="n"/>
      <c r="H831" s="67" t="n"/>
      <c r="I831" s="2087" t="n">
        <v>572</v>
      </c>
      <c r="J831" s="2087" t="n">
        <v>594</v>
      </c>
      <c r="K831" s="2087">
        <f>AVERAGE(I831:J831)</f>
        <v/>
      </c>
      <c r="L831" s="67" t="n"/>
      <c r="M831" s="77">
        <f>IF(INDEX(MO_SNA_IsHistoricalPeriod,,MATCH(F831,MO_Common_ColumnHeader,0)),"Actual","Estimate")</f>
        <v/>
      </c>
      <c r="N831" s="2087">
        <f>IFERROR(INDEX(INDIRECT(E831),0,MATCH(F831,MO_Common_ColumnHeader,0)),"N/A")</f>
        <v/>
      </c>
      <c r="O831" s="67" t="n"/>
      <c r="P831" s="2169">
        <f>IF(ISNUMBER(N831),N831-K831,"N/A")</f>
        <v/>
      </c>
      <c r="Q831" s="2168">
        <f>IFERROR(IF(ISNUMBER(N831),(N831-K831)/ABS(K831),"N/A"),"N/A")</f>
        <v/>
      </c>
      <c r="R831" s="67" t="n"/>
      <c r="S831" s="80" t="n">
        <v>43577</v>
      </c>
      <c r="T831" s="88" t="inlineStr">
        <is>
          <t>Press Release</t>
        </is>
      </c>
      <c r="U831" s="67" t="n"/>
      <c r="V831" s="1016" t="n"/>
    </row>
    <row r="832" ht="14.4" customHeight="1" s="972">
      <c r="A832" s="64" t="n">
        <v>132</v>
      </c>
      <c r="B832" s="67" t="n"/>
      <c r="C832" s="67" t="n"/>
      <c r="D832" s="68" t="n"/>
      <c r="E832" s="69" t="n"/>
      <c r="F832" s="67" t="n"/>
      <c r="G832" s="67" t="n"/>
      <c r="H832" s="67" t="n"/>
      <c r="I832" s="2072" t="n"/>
      <c r="J832" s="2072" t="n"/>
      <c r="K832" s="2072" t="n"/>
      <c r="L832" s="67" t="n"/>
      <c r="M832" s="67" t="n"/>
      <c r="N832" s="2072" t="n"/>
      <c r="O832" s="67" t="n"/>
      <c r="P832" s="2172" t="n"/>
      <c r="Q832" s="2173" t="n"/>
      <c r="R832" s="67" t="n"/>
      <c r="S832" s="72" t="n"/>
      <c r="T832" s="89" t="n"/>
      <c r="U832" s="67" t="n"/>
      <c r="V832" s="1016" t="n"/>
    </row>
    <row r="833" ht="14.4" customHeight="1" s="972">
      <c r="A833" s="64" t="n">
        <v>131</v>
      </c>
      <c r="B833" s="77">
        <f>IF(INDEX(MO_SNA_IsHistoricalPeriod,,MATCH(F833,MO_Common_ColumnHeader,0)),"Historical","Forward")</f>
        <v/>
      </c>
      <c r="C833" s="67" t="n"/>
      <c r="D833" s="84">
        <f>INDEX(INDIRECT(E833),0,COLUMN(MO_Common_Column_A))</f>
        <v/>
      </c>
      <c r="E833" s="78" t="inlineStr">
        <is>
          <t>MO_RIS_REV</t>
        </is>
      </c>
      <c r="F833" s="77" t="inlineStr">
        <is>
          <t>Q2-2019</t>
        </is>
      </c>
      <c r="G833" s="77" t="n"/>
      <c r="H833" s="67" t="n"/>
      <c r="I833" s="2087" t="n">
        <v>575</v>
      </c>
      <c r="J833" s="2087" t="n">
        <v>585</v>
      </c>
      <c r="K833" s="2087">
        <f>AVERAGE(I833:J833)</f>
        <v/>
      </c>
      <c r="L833" s="67" t="n"/>
      <c r="M833" s="77">
        <f>IF(INDEX(MO_SNA_IsHistoricalPeriod,,MATCH(F833,MO_Common_ColumnHeader,0)),"Actual","Estimate")</f>
        <v/>
      </c>
      <c r="N833" s="2087">
        <f>IFERROR(INDEX(INDIRECT(E833),0,MATCH(F833,MO_Common_ColumnHeader,0)),"N/A")</f>
        <v/>
      </c>
      <c r="O833" s="67" t="n"/>
      <c r="P833" s="2169">
        <f>IF(ISNUMBER(N833),N833-K833,"N/A")</f>
        <v/>
      </c>
      <c r="Q833" s="2168">
        <f>IFERROR(IF(ISNUMBER(N833),(N833-K833)/ABS(K833),"N/A"),"N/A")</f>
        <v/>
      </c>
      <c r="R833" s="67" t="n"/>
      <c r="S833" s="80" t="n">
        <v>43577</v>
      </c>
      <c r="T833" s="88" t="inlineStr">
        <is>
          <t>Press Release</t>
        </is>
      </c>
      <c r="U833" s="67" t="n"/>
      <c r="V833" s="1016" t="n"/>
    </row>
    <row r="834" ht="14.4" customHeight="1" s="972">
      <c r="A834" s="64" t="n">
        <v>130</v>
      </c>
      <c r="B834" s="77">
        <f>IF(INDEX(MO_SNA_IsHistoricalPeriod,,MATCH(F834,MO_Common_ColumnHeader,0)),"Historical","Forward")</f>
        <v/>
      </c>
      <c r="C834" s="67" t="n"/>
      <c r="D834" s="84">
        <f>INDEX(INDIRECT(E834),0,COLUMN(MO_Common_Column_A))</f>
        <v/>
      </c>
      <c r="E834" s="78" t="inlineStr">
        <is>
          <t>MO_RIS_EPS_WAD</t>
        </is>
      </c>
      <c r="F834" s="77" t="inlineStr">
        <is>
          <t>Q2-2019</t>
        </is>
      </c>
      <c r="G834" s="77" t="n"/>
      <c r="H834" s="67" t="n"/>
      <c r="I834" s="2170" t="n">
        <v>0.34</v>
      </c>
      <c r="J834" s="2170" t="n">
        <v>0.36</v>
      </c>
      <c r="K834" s="2170">
        <f>AVERAGE(I834:J834)</f>
        <v/>
      </c>
      <c r="L834" s="67" t="n"/>
      <c r="M834" s="77">
        <f>IF(INDEX(MO_SNA_IsHistoricalPeriod,,MATCH(F834,MO_Common_ColumnHeader,0)),"Actual","Estimate")</f>
        <v/>
      </c>
      <c r="N834" s="2170">
        <f>IFERROR(INDEX(INDIRECT(E834),0,MATCH(F834,MO_Common_ColumnHeader,0)),"N/A")</f>
        <v/>
      </c>
      <c r="O834" s="67" t="n"/>
      <c r="P834" s="2171">
        <f>IF(ISNUMBER(N834),N834-K834,"N/A")</f>
        <v/>
      </c>
      <c r="Q834" s="2168">
        <f>IFERROR(IF(ISNUMBER(N834),(N834-K834)/ABS(K834),"N/A"),"N/A")</f>
        <v/>
      </c>
      <c r="R834" s="67" t="n"/>
      <c r="S834" s="80" t="n">
        <v>43577</v>
      </c>
      <c r="T834" s="88" t="inlineStr">
        <is>
          <t>Press Release</t>
        </is>
      </c>
      <c r="U834" s="67" t="n"/>
      <c r="V834" s="1016" t="n"/>
    </row>
    <row r="835" ht="14.4" customHeight="1" s="972">
      <c r="A835" s="64" t="n">
        <v>129</v>
      </c>
      <c r="B835" s="77">
        <f>IF(INDEX(MO_SNA_IsHistoricalPeriod,,MATCH(F835,MO_Common_ColumnHeader,0)),"Historical","Forward")</f>
        <v/>
      </c>
      <c r="C835" s="67" t="n"/>
      <c r="D835" s="84">
        <f>INDEX(INDIRECT(E835),0,COLUMN(MO_Common_Column_A))</f>
        <v/>
      </c>
      <c r="E835" s="78" t="inlineStr">
        <is>
          <t>MO_RIS_EPS_WAD_Adj</t>
        </is>
      </c>
      <c r="F835" s="77" t="inlineStr">
        <is>
          <t>Q2-2019</t>
        </is>
      </c>
      <c r="G835" s="77" t="n"/>
      <c r="H835" s="67" t="n"/>
      <c r="I835" s="2170" t="n">
        <v>0.52</v>
      </c>
      <c r="J835" s="2170" t="n">
        <v>0.54</v>
      </c>
      <c r="K835" s="2170">
        <f>AVERAGE(I835:J835)</f>
        <v/>
      </c>
      <c r="L835" s="67" t="n"/>
      <c r="M835" s="77">
        <f>IF(INDEX(MO_SNA_IsHistoricalPeriod,,MATCH(F835,MO_Common_ColumnHeader,0)),"Actual","Estimate")</f>
        <v/>
      </c>
      <c r="N835" s="2170">
        <f>IFERROR(INDEX(INDIRECT(E835),0,MATCH(F835,MO_Common_ColumnHeader,0)),"N/A")</f>
        <v/>
      </c>
      <c r="O835" s="67" t="n"/>
      <c r="P835" s="2171">
        <f>IF(ISNUMBER(N835),N835-K835,"N/A")</f>
        <v/>
      </c>
      <c r="Q835" s="2168">
        <f>IFERROR(IF(ISNUMBER(N835),(N835-K835)/ABS(K835),"N/A"),"N/A")</f>
        <v/>
      </c>
      <c r="R835" s="67" t="n"/>
      <c r="S835" s="80" t="n">
        <v>43577</v>
      </c>
      <c r="T835" s="88" t="inlineStr">
        <is>
          <t>Press Release</t>
        </is>
      </c>
      <c r="U835" s="67" t="n"/>
      <c r="V835" s="1016" t="n"/>
    </row>
    <row r="836" ht="14.4" customHeight="1" s="972">
      <c r="A836" s="64" t="n">
        <v>128</v>
      </c>
      <c r="B836" s="77">
        <f>IF(INDEX(MO_SNA_IsHistoricalPeriod,,MATCH(F836,MO_Common_ColumnHeader,0)),"Historical","Forward")</f>
        <v/>
      </c>
      <c r="C836" s="67" t="n"/>
      <c r="D836" s="84">
        <f>INDEX(INDIRECT(E836),0,COLUMN(MO_Common_Column_A))</f>
        <v/>
      </c>
      <c r="E836" s="78" t="inlineStr">
        <is>
          <t>MO_RIS_Daintangibles</t>
        </is>
      </c>
      <c r="F836" s="77" t="inlineStr">
        <is>
          <t>Q2-2019</t>
        </is>
      </c>
      <c r="G836" s="77" t="n"/>
      <c r="H836" s="67" t="n"/>
      <c r="I836" s="2087" t="n">
        <v>14</v>
      </c>
      <c r="J836" s="2087" t="n">
        <v>14</v>
      </c>
      <c r="K836" s="2087">
        <f>AVERAGE(I836:J836)</f>
        <v/>
      </c>
      <c r="L836" s="67" t="n"/>
      <c r="M836" s="77">
        <f>IF(INDEX(MO_SNA_IsHistoricalPeriod,,MATCH(F836,MO_Common_ColumnHeader,0)),"Actual","Estimate")</f>
        <v/>
      </c>
      <c r="N836" s="2087">
        <f>IFERROR(INDEX(INDIRECT(E836),0,MATCH(F836,MO_Common_ColumnHeader,0)),"N/A")</f>
        <v/>
      </c>
      <c r="O836" s="67" t="n"/>
      <c r="P836" s="2169">
        <f>IF(ISNUMBER(N836),N836-K836,"N/A")</f>
        <v/>
      </c>
      <c r="Q836" s="2168">
        <f>IFERROR(IF(ISNUMBER(N836),(N836-K836)/ABS(K836),"N/A"),"N/A")</f>
        <v/>
      </c>
      <c r="R836" s="67" t="n"/>
      <c r="S836" s="80" t="n">
        <v>43577</v>
      </c>
      <c r="T836" s="88" t="inlineStr">
        <is>
          <t>Press Release</t>
        </is>
      </c>
      <c r="U836" s="67" t="n"/>
      <c r="V836" s="1016" t="n"/>
    </row>
    <row r="837" ht="14.4" customHeight="1" s="972">
      <c r="A837" s="64" t="n">
        <v>127</v>
      </c>
      <c r="B837" s="77">
        <f>IF(INDEX(MO_SNA_IsHistoricalPeriod,,MATCH(F837,MO_Common_ColumnHeader,0)),"Historical","Forward")</f>
        <v/>
      </c>
      <c r="C837" s="67" t="n"/>
      <c r="D837" s="84">
        <f>INDEX(INDIRECT(E837),0,COLUMN(MO_Common_Column_A))</f>
        <v/>
      </c>
      <c r="E837" s="78" t="inlineStr">
        <is>
          <t>MO_RIS_SBC</t>
        </is>
      </c>
      <c r="F837" s="77" t="inlineStr">
        <is>
          <t>Q2-2019</t>
        </is>
      </c>
      <c r="G837" s="77" t="n"/>
      <c r="H837" s="67" t="n"/>
      <c r="I837" s="2087" t="n">
        <v>44</v>
      </c>
      <c r="J837" s="2087" t="n">
        <v>44</v>
      </c>
      <c r="K837" s="2087">
        <f>AVERAGE(I837:J837)</f>
        <v/>
      </c>
      <c r="L837" s="67" t="n"/>
      <c r="M837" s="77">
        <f>IF(INDEX(MO_SNA_IsHistoricalPeriod,,MATCH(F837,MO_Common_ColumnHeader,0)),"Actual","Estimate")</f>
        <v/>
      </c>
      <c r="N837" s="2087">
        <f>IFERROR(INDEX(INDIRECT(E837),0,MATCH(F837,MO_Common_ColumnHeader,0)),"N/A")</f>
        <v/>
      </c>
      <c r="O837" s="67" t="n"/>
      <c r="P837" s="2169">
        <f>IF(ISNUMBER(N837),N837-K837,"N/A")</f>
        <v/>
      </c>
      <c r="Q837" s="2168">
        <f>IFERROR(IF(ISNUMBER(N837),(N837-K837)/ABS(K837),"N/A"),"N/A")</f>
        <v/>
      </c>
      <c r="R837" s="67" t="n"/>
      <c r="S837" s="80" t="n">
        <v>43577</v>
      </c>
      <c r="T837" s="88" t="inlineStr">
        <is>
          <t>Press Release</t>
        </is>
      </c>
      <c r="U837" s="112" t="n"/>
      <c r="V837" s="1016" t="n"/>
    </row>
    <row r="838" ht="14.4" customHeight="1" s="972">
      <c r="A838" s="64" t="n">
        <v>126</v>
      </c>
      <c r="B838" s="77">
        <f>IF(INDEX(MO_SNA_IsHistoricalPeriod,,MATCH(F838,MO_Common_ColumnHeader,0)),"Historical","Forward")</f>
        <v/>
      </c>
      <c r="C838" s="67" t="n"/>
      <c r="D838" s="84" t="inlineStr">
        <is>
          <t>Acquisition and integration-related costs</t>
        </is>
      </c>
      <c r="E838" s="78" t="n"/>
      <c r="F838" s="77" t="inlineStr">
        <is>
          <t>Q2-2019</t>
        </is>
      </c>
      <c r="G838" s="77" t="n"/>
      <c r="H838" s="67" t="n"/>
      <c r="I838" s="2087" t="n">
        <v>2</v>
      </c>
      <c r="J838" s="2087" t="n">
        <v>2</v>
      </c>
      <c r="K838" s="2087">
        <f>AVERAGE(I838:J838)</f>
        <v/>
      </c>
      <c r="L838" s="67" t="n"/>
      <c r="M838" s="77">
        <f>IF(INDEX(MO_SNA_IsHistoricalPeriod,,MATCH(F838,MO_Common_ColumnHeader,0)),"Actual","Estimate")</f>
        <v/>
      </c>
      <c r="N838" s="2087">
        <f>IFERROR(INDEX(INDIRECT(E838),0,MATCH(F838,MO_Common_ColumnHeader,0)),"N/A")</f>
        <v/>
      </c>
      <c r="O838" s="67" t="n"/>
      <c r="P838" s="2169">
        <f>IF(ISNUMBER(N838),N838-K838,"N/A")</f>
        <v/>
      </c>
      <c r="Q838" s="2168">
        <f>IFERROR(IF(ISNUMBER(N838),(N838-K838)/ABS(K838),"N/A"),"N/A")</f>
        <v/>
      </c>
      <c r="R838" s="67" t="n"/>
      <c r="S838" s="80" t="n">
        <v>43577</v>
      </c>
      <c r="T838" s="88" t="inlineStr">
        <is>
          <t>Press Release</t>
        </is>
      </c>
      <c r="U838" s="112" t="n"/>
      <c r="V838" s="1016" t="n"/>
    </row>
    <row r="839" ht="14.4" customHeight="1" s="972">
      <c r="A839" s="64" t="n">
        <v>125</v>
      </c>
      <c r="B839" s="77">
        <f>IF(INDEX(MO_SNA_IsHistoricalPeriod,,MATCH(F839,MO_Common_ColumnHeader,0)),"Historical","Forward")</f>
        <v/>
      </c>
      <c r="C839" s="67" t="n"/>
      <c r="D839" s="84" t="inlineStr">
        <is>
          <t>Income tax effect on non-GAAP adjustments</t>
        </is>
      </c>
      <c r="E839" s="78" t="n"/>
      <c r="F839" s="77" t="inlineStr">
        <is>
          <t>Q2-2019</t>
        </is>
      </c>
      <c r="G839" s="77" t="n"/>
      <c r="H839" s="67" t="n"/>
      <c r="I839" s="2087" t="n">
        <v>-11</v>
      </c>
      <c r="J839" s="2087" t="n">
        <v>-11</v>
      </c>
      <c r="K839" s="2087">
        <f>AVERAGE(I839:J839)</f>
        <v/>
      </c>
      <c r="L839" s="67" t="n"/>
      <c r="M839" s="77">
        <f>IF(INDEX(MO_SNA_IsHistoricalPeriod,,MATCH(F839,MO_Common_ColumnHeader,0)),"Actual","Estimate")</f>
        <v/>
      </c>
      <c r="N839" s="2087">
        <f>IFERROR(INDEX(INDIRECT(E839),0,MATCH(F839,MO_Common_ColumnHeader,0)),"N/A")</f>
        <v/>
      </c>
      <c r="O839" s="67" t="n"/>
      <c r="P839" s="2169">
        <f>IF(ISNUMBER(N839),N839-K839,"N/A")</f>
        <v/>
      </c>
      <c r="Q839" s="2168">
        <f>IFERROR(IF(ISNUMBER(N839),(N839-K839)/ABS(K839),"N/A"),"N/A")</f>
        <v/>
      </c>
      <c r="R839" s="67" t="n"/>
      <c r="S839" s="80" t="n">
        <v>43577</v>
      </c>
      <c r="T839" s="88" t="inlineStr">
        <is>
          <t>Press Release</t>
        </is>
      </c>
      <c r="U839" s="67" t="n"/>
      <c r="V839" s="1016" t="n"/>
    </row>
    <row r="840" ht="14.4" customHeight="1" s="972">
      <c r="A840" s="64" t="n">
        <v>124</v>
      </c>
      <c r="B840" s="77">
        <f>IF(INDEX(MO_SNA_IsHistoricalPeriod,,MATCH(F840,MO_Common_ColumnHeader,0)),"Historical","Forward")</f>
        <v/>
      </c>
      <c r="C840" s="67" t="n"/>
      <c r="D840" s="84">
        <f>INDEX(INDIRECT(E840),0,COLUMN(MO_Common_Column_A))</f>
        <v/>
      </c>
      <c r="E840" s="78" t="inlineStr">
        <is>
          <t>MO_RIS_NI_GAAP_Diluted</t>
        </is>
      </c>
      <c r="F840" s="77" t="inlineStr">
        <is>
          <t>Q2-2019</t>
        </is>
      </c>
      <c r="G840" s="77" t="n"/>
      <c r="H840" s="67" t="n"/>
      <c r="I840" s="2087" t="n">
        <v>96</v>
      </c>
      <c r="J840" s="2087" t="n">
        <v>102</v>
      </c>
      <c r="K840" s="2087">
        <f>AVERAGE(I840:J840)</f>
        <v/>
      </c>
      <c r="L840" s="67" t="n"/>
      <c r="M840" s="77">
        <f>IF(INDEX(MO_SNA_IsHistoricalPeriod,,MATCH(F840,MO_Common_ColumnHeader,0)),"Actual","Estimate")</f>
        <v/>
      </c>
      <c r="N840" s="2087">
        <f>IFERROR(INDEX(INDIRECT(E840),0,MATCH(F840,MO_Common_ColumnHeader,0)),"N/A")</f>
        <v/>
      </c>
      <c r="O840" s="67" t="n"/>
      <c r="P840" s="2169">
        <f>IF(ISNUMBER(N840),N840-K840,"N/A")</f>
        <v/>
      </c>
      <c r="Q840" s="2168">
        <f>IFERROR(IF(ISNUMBER(N840),(N840-K840)/ABS(K840),"N/A"),"N/A")</f>
        <v/>
      </c>
      <c r="R840" s="67" t="n"/>
      <c r="S840" s="80" t="n">
        <v>43577</v>
      </c>
      <c r="T840" s="88" t="inlineStr">
        <is>
          <t>Press Release</t>
        </is>
      </c>
      <c r="U840" s="67" t="n"/>
      <c r="V840" s="1016" t="n"/>
    </row>
    <row r="841" ht="14.4" customHeight="1" s="972">
      <c r="A841" s="64" t="n">
        <v>123</v>
      </c>
      <c r="B841" s="77">
        <f>IF(INDEX(MO_SNA_IsHistoricalPeriod,,MATCH(F841,MO_Common_ColumnHeader,0)),"Historical","Forward")</f>
        <v/>
      </c>
      <c r="C841" s="67" t="n"/>
      <c r="D841" s="84">
        <f>INDEX(INDIRECT(E841),0,COLUMN(MO_Common_Column_A))</f>
        <v/>
      </c>
      <c r="E841" s="78" t="inlineStr">
        <is>
          <t>MO_RIS_NI_NONGAAP_Diluted</t>
        </is>
      </c>
      <c r="F841" s="77" t="inlineStr">
        <is>
          <t>Q2-2019</t>
        </is>
      </c>
      <c r="G841" s="77" t="n"/>
      <c r="H841" s="67" t="n"/>
      <c r="I841" s="2087" t="n">
        <v>145</v>
      </c>
      <c r="J841" s="2087" t="n">
        <v>151</v>
      </c>
      <c r="K841" s="2087">
        <f>AVERAGE(I841:J841)</f>
        <v/>
      </c>
      <c r="L841" s="67" t="n"/>
      <c r="M841" s="77">
        <f>IF(INDEX(MO_SNA_IsHistoricalPeriod,,MATCH(F841,MO_Common_ColumnHeader,0)),"Actual","Estimate")</f>
        <v/>
      </c>
      <c r="N841" s="2087">
        <f>IFERROR(INDEX(INDIRECT(E841),0,MATCH(F841,MO_Common_ColumnHeader,0)),"N/A")</f>
        <v/>
      </c>
      <c r="O841" s="67" t="n"/>
      <c r="P841" s="2169">
        <f>IF(ISNUMBER(N841),N841-K841,"N/A")</f>
        <v/>
      </c>
      <c r="Q841" s="2168">
        <f>IFERROR(IF(ISNUMBER(N841),(N841-K841)/ABS(K841),"N/A"),"N/A")</f>
        <v/>
      </c>
      <c r="R841" s="67" t="n"/>
      <c r="S841" s="80" t="n">
        <v>43577</v>
      </c>
      <c r="T841" s="88" t="inlineStr">
        <is>
          <t>Press Release</t>
        </is>
      </c>
      <c r="U841" s="67" t="n"/>
      <c r="V841" s="1016" t="n"/>
    </row>
    <row r="842" ht="14.4" customHeight="1" s="972">
      <c r="A842" s="64" t="n">
        <v>122</v>
      </c>
      <c r="B842" s="67" t="n"/>
      <c r="C842" s="67" t="n"/>
      <c r="D842" s="68" t="n"/>
      <c r="E842" s="69" t="n"/>
      <c r="F842" s="67" t="n"/>
      <c r="G842" s="67" t="n"/>
      <c r="H842" s="67" t="n"/>
      <c r="I842" s="2072" t="n"/>
      <c r="J842" s="2072" t="n"/>
      <c r="K842" s="2072" t="n"/>
      <c r="L842" s="67" t="n"/>
      <c r="M842" s="67" t="n"/>
      <c r="N842" s="2072" t="n"/>
      <c r="O842" s="67" t="n"/>
      <c r="P842" s="2172" t="n"/>
      <c r="Q842" s="2173" t="n"/>
      <c r="R842" s="67" t="n"/>
      <c r="S842" s="72" t="n"/>
      <c r="T842" s="89" t="n"/>
      <c r="U842" s="67" t="n"/>
      <c r="V842" s="1016" t="n"/>
    </row>
    <row r="843" ht="14.4" customHeight="1" s="972">
      <c r="A843" s="64" t="n">
        <v>121</v>
      </c>
      <c r="B843" s="77">
        <f>IF(INDEX(MO_SNA_IsHistoricalPeriod,,MATCH(F843,MO_Common_ColumnHeader,0)),"Historical","Forward")</f>
        <v/>
      </c>
      <c r="C843" s="67" t="n"/>
      <c r="D843" s="84">
        <f>INDEX(INDIRECT(E843),0,COLUMN(MO_Common_Column_A))</f>
        <v/>
      </c>
      <c r="E843" s="78" t="inlineStr">
        <is>
          <t>MO_RIS_REV</t>
        </is>
      </c>
      <c r="F843" s="77" t="inlineStr">
        <is>
          <t>FY2019</t>
        </is>
      </c>
      <c r="G843" s="77" t="n"/>
      <c r="H843" s="67" t="n"/>
      <c r="I843" s="2087" t="n">
        <v>2270</v>
      </c>
      <c r="J843" s="2087" t="n">
        <v>2310</v>
      </c>
      <c r="K843" s="2087">
        <f>AVERAGE(I843:J843)</f>
        <v/>
      </c>
      <c r="L843" s="67" t="n"/>
      <c r="M843" s="77">
        <f>IF(INDEX(MO_SNA_IsHistoricalPeriod,,MATCH(F843,MO_Common_ColumnHeader,0)),"Actual","Estimate")</f>
        <v/>
      </c>
      <c r="N843" s="2087">
        <f>IFERROR(INDEX(INDIRECT(E843),0,MATCH(F843,MO_Common_ColumnHeader,0)),"N/A")</f>
        <v/>
      </c>
      <c r="O843" s="2072" t="n"/>
      <c r="P843" s="2169">
        <f>IF(ISNUMBER(N843),N843-K843,"N/A")</f>
        <v/>
      </c>
      <c r="Q843" s="2168">
        <f>IFERROR(IF(ISNUMBER(N843),(N843-K843)/ABS(K843),"N/A"),"N/A")</f>
        <v/>
      </c>
      <c r="R843" s="67" t="n"/>
      <c r="S843" s="80" t="n">
        <v>43515</v>
      </c>
      <c r="T843" s="88" t="inlineStr">
        <is>
          <t>Press Release</t>
        </is>
      </c>
      <c r="U843" s="67" t="n"/>
      <c r="V843" s="1016" t="n"/>
    </row>
    <row r="844" ht="14.4" customHeight="1" s="972">
      <c r="A844" s="64" t="n">
        <v>120</v>
      </c>
      <c r="B844" s="77">
        <f>IF(INDEX(MO_SNA_IsHistoricalPeriod,,MATCH(F844,MO_Common_ColumnHeader,0)),"Historical","Forward")</f>
        <v/>
      </c>
      <c r="C844" s="67" t="n"/>
      <c r="D844" s="84">
        <f>INDEX(INDIRECT(E844),0,COLUMN(MO_Common_Column_A))</f>
        <v/>
      </c>
      <c r="E844" s="78" t="inlineStr">
        <is>
          <t>MO_RIS_EPS_WAD</t>
        </is>
      </c>
      <c r="F844" s="77" t="inlineStr">
        <is>
          <t>FY2019</t>
        </is>
      </c>
      <c r="G844" s="77" t="n"/>
      <c r="H844" s="67" t="n"/>
      <c r="I844" s="2170" t="n">
        <v>1.33</v>
      </c>
      <c r="J844" s="2170" t="n">
        <v>1.43</v>
      </c>
      <c r="K844" s="2170">
        <f>AVERAGE(I844:J844)</f>
        <v/>
      </c>
      <c r="L844" s="67" t="n"/>
      <c r="M844" s="77">
        <f>IF(INDEX(MO_SNA_IsHistoricalPeriod,,MATCH(F844,MO_Common_ColumnHeader,0)),"Actual","Estimate")</f>
        <v/>
      </c>
      <c r="N844" s="2170">
        <f>IFERROR(INDEX(INDIRECT(E844),0,MATCH(F844,MO_Common_ColumnHeader,0)),"N/A")</f>
        <v/>
      </c>
      <c r="O844" s="67" t="n"/>
      <c r="P844" s="2171">
        <f>IF(ISNUMBER(N844),N844-K844,"N/A")</f>
        <v/>
      </c>
      <c r="Q844" s="2168">
        <f>IFERROR(IF(ISNUMBER(N844),(N844-K844)/ABS(K844),"N/A"),"N/A")</f>
        <v/>
      </c>
      <c r="R844" s="67" t="n"/>
      <c r="S844" s="80" t="n">
        <v>43515</v>
      </c>
      <c r="T844" s="88" t="inlineStr">
        <is>
          <t>Press Release</t>
        </is>
      </c>
      <c r="U844" s="67" t="n"/>
    </row>
    <row r="845" ht="14.4" customHeight="1" s="972">
      <c r="A845" s="64" t="n">
        <v>119</v>
      </c>
      <c r="B845" s="77">
        <f>IF(INDEX(MO_SNA_IsHistoricalPeriod,,MATCH(F845,MO_Common_ColumnHeader,0)),"Historical","Forward")</f>
        <v/>
      </c>
      <c r="C845" s="67" t="n"/>
      <c r="D845" s="84">
        <f>INDEX(INDIRECT(E845),0,COLUMN(MO_Common_Column_A))</f>
        <v/>
      </c>
      <c r="E845" s="78" t="inlineStr">
        <is>
          <t>MO_RIS_EPS_WAD_Adj</t>
        </is>
      </c>
      <c r="F845" s="77" t="inlineStr">
        <is>
          <t>FY2019</t>
        </is>
      </c>
      <c r="G845" s="77" t="n"/>
      <c r="H845" s="67" t="n"/>
      <c r="I845" s="2170" t="n">
        <v>1.97</v>
      </c>
      <c r="J845" s="2170" t="n">
        <v>2.07</v>
      </c>
      <c r="K845" s="2170">
        <f>AVERAGE(I845:J845)</f>
        <v/>
      </c>
      <c r="L845" s="67" t="n"/>
      <c r="M845" s="77">
        <f>IF(INDEX(MO_SNA_IsHistoricalPeriod,,MATCH(F845,MO_Common_ColumnHeader,0)),"Actual","Estimate")</f>
        <v/>
      </c>
      <c r="N845" s="2170">
        <f>IFERROR(INDEX(INDIRECT(E845),0,MATCH(F845,MO_Common_ColumnHeader,0)),"N/A")</f>
        <v/>
      </c>
      <c r="O845" s="67" t="n"/>
      <c r="P845" s="2171">
        <f>IF(ISNUMBER(N845),N845-K845,"N/A")</f>
        <v/>
      </c>
      <c r="Q845" s="2168">
        <f>IFERROR(IF(ISNUMBER(N845),(N845-K845)/ABS(K845),"N/A"),"N/A")</f>
        <v/>
      </c>
      <c r="R845" s="67" t="n"/>
      <c r="S845" s="80" t="n">
        <v>43515</v>
      </c>
      <c r="T845" s="88" t="inlineStr">
        <is>
          <t>Press Release</t>
        </is>
      </c>
      <c r="U845" s="67" t="n"/>
      <c r="V845" s="1016" t="n"/>
    </row>
    <row r="846" ht="14.4" customHeight="1" s="972">
      <c r="A846" s="64" t="n">
        <v>118</v>
      </c>
      <c r="B846" s="77">
        <f>IF(INDEX(MO_SNA_IsHistoricalPeriod,,MATCH(F846,MO_Common_ColumnHeader,0)),"Historical","Forward")</f>
        <v/>
      </c>
      <c r="C846" s="67" t="n"/>
      <c r="D846" s="84">
        <f>INDEX(INDIRECT(E846),0,COLUMN(MO_Common_Column_A))</f>
        <v/>
      </c>
      <c r="E846" s="78" t="inlineStr">
        <is>
          <t>MO_RIS_Daintangibles</t>
        </is>
      </c>
      <c r="F846" s="77" t="inlineStr">
        <is>
          <t>FY2019</t>
        </is>
      </c>
      <c r="G846" s="77" t="n"/>
      <c r="H846" s="67" t="n"/>
      <c r="I846" s="2087" t="n">
        <v>53</v>
      </c>
      <c r="J846" s="2087" t="n">
        <v>53</v>
      </c>
      <c r="K846" s="2087">
        <f>AVERAGE(I846:J846)</f>
        <v/>
      </c>
      <c r="L846" s="67" t="n"/>
      <c r="M846" s="77">
        <f>IF(INDEX(MO_SNA_IsHistoricalPeriod,,MATCH(F846,MO_Common_ColumnHeader,0)),"Actual","Estimate")</f>
        <v/>
      </c>
      <c r="N846" s="2087">
        <f>IFERROR(INDEX(INDIRECT(E846),0,MATCH(F846,MO_Common_ColumnHeader,0)),"N/A")</f>
        <v/>
      </c>
      <c r="O846" s="67" t="n"/>
      <c r="P846" s="2169">
        <f>IF(ISNUMBER(N846),N846-K846,"N/A")</f>
        <v/>
      </c>
      <c r="Q846" s="2168">
        <f>IFERROR(IF(ISNUMBER(N846),(N846-K846)/ABS(K846),"N/A"),"N/A")</f>
        <v/>
      </c>
      <c r="R846" s="67" t="n"/>
      <c r="S846" s="80" t="n">
        <v>43515</v>
      </c>
      <c r="T846" s="88" t="inlineStr">
        <is>
          <t>Press Release</t>
        </is>
      </c>
      <c r="U846" s="67" t="n"/>
      <c r="V846" s="1016" t="n"/>
    </row>
    <row r="847" ht="14.4" customHeight="1" s="972">
      <c r="A847" s="64" t="n">
        <v>117</v>
      </c>
      <c r="B847" s="77">
        <f>IF(INDEX(MO_SNA_IsHistoricalPeriod,,MATCH(F847,MO_Common_ColumnHeader,0)),"Historical","Forward")</f>
        <v/>
      </c>
      <c r="C847" s="67" t="n"/>
      <c r="D847" s="84">
        <f>INDEX(INDIRECT(E847),0,COLUMN(MO_Common_Column_A))</f>
        <v/>
      </c>
      <c r="E847" s="78" t="inlineStr">
        <is>
          <t>MO_RIS_SBC</t>
        </is>
      </c>
      <c r="F847" s="77" t="inlineStr">
        <is>
          <t>FY2019</t>
        </is>
      </c>
      <c r="G847" s="77" t="n"/>
      <c r="H847" s="67" t="n"/>
      <c r="I847" s="2087" t="n">
        <v>182</v>
      </c>
      <c r="J847" s="2087" t="n">
        <v>182</v>
      </c>
      <c r="K847" s="2087">
        <f>AVERAGE(I847:J847)</f>
        <v/>
      </c>
      <c r="L847" s="67" t="n"/>
      <c r="M847" s="77">
        <f>IF(INDEX(MO_SNA_IsHistoricalPeriod,,MATCH(F847,MO_Common_ColumnHeader,0)),"Actual","Estimate")</f>
        <v/>
      </c>
      <c r="N847" s="2087">
        <f>IFERROR(INDEX(INDIRECT(E847),0,MATCH(F847,MO_Common_ColumnHeader,0)),"N/A")</f>
        <v/>
      </c>
      <c r="O847" s="67" t="n"/>
      <c r="P847" s="2169">
        <f>IF(ISNUMBER(N847),N847-K847,"N/A")</f>
        <v/>
      </c>
      <c r="Q847" s="2168">
        <f>IFERROR(IF(ISNUMBER(N847),(N847-K847)/ABS(K847),"N/A"),"N/A")</f>
        <v/>
      </c>
      <c r="R847" s="67" t="n"/>
      <c r="S847" s="80" t="n">
        <v>43515</v>
      </c>
      <c r="T847" s="88" t="inlineStr">
        <is>
          <t>Press Release</t>
        </is>
      </c>
      <c r="U847" s="67" t="n"/>
      <c r="V847" s="1016" t="n"/>
    </row>
    <row r="848" ht="14.4" customHeight="1" s="972">
      <c r="A848" s="64" t="n">
        <v>116</v>
      </c>
      <c r="B848" s="77">
        <f>IF(INDEX(MO_SNA_IsHistoricalPeriod,,MATCH(F848,MO_Common_ColumnHeader,0)),"Historical","Forward")</f>
        <v/>
      </c>
      <c r="C848" s="67" t="n"/>
      <c r="D848" s="84" t="inlineStr">
        <is>
          <t>Acquisition and integration-related costs</t>
        </is>
      </c>
      <c r="E848" s="78" t="n"/>
      <c r="F848" s="77" t="inlineStr">
        <is>
          <t>FY2019</t>
        </is>
      </c>
      <c r="G848" s="77" t="n"/>
      <c r="H848" s="67" t="n"/>
      <c r="I848" s="2087" t="n">
        <v>8</v>
      </c>
      <c r="J848" s="2087" t="n">
        <v>8</v>
      </c>
      <c r="K848" s="2087">
        <f>AVERAGE(I848:J848)</f>
        <v/>
      </c>
      <c r="L848" s="67" t="n"/>
      <c r="M848" s="77">
        <f>IF(INDEX(MO_SNA_IsHistoricalPeriod,,MATCH(F848,MO_Common_ColumnHeader,0)),"Actual","Estimate")</f>
        <v/>
      </c>
      <c r="N848" s="2087">
        <f>IFERROR(INDEX(INDIRECT(E848),0,MATCH(F848,MO_Common_ColumnHeader,0)),"N/A")</f>
        <v/>
      </c>
      <c r="O848" s="67" t="n"/>
      <c r="P848" s="2169">
        <f>IF(ISNUMBER(N848),N848-K848,"N/A")</f>
        <v/>
      </c>
      <c r="Q848" s="2168">
        <f>IFERROR(IF(ISNUMBER(N848),(N848-K848)/ABS(K848),"N/A"),"N/A")</f>
        <v/>
      </c>
      <c r="R848" s="67" t="n"/>
      <c r="S848" s="80" t="n">
        <v>43515</v>
      </c>
      <c r="T848" s="88" t="inlineStr">
        <is>
          <t>Press Release</t>
        </is>
      </c>
      <c r="U848" s="67" t="n"/>
      <c r="V848" s="1016" t="n"/>
    </row>
    <row r="849" ht="14.4" customHeight="1" s="972">
      <c r="A849" s="64" t="n">
        <v>115</v>
      </c>
      <c r="B849" s="77">
        <f>IF(INDEX(MO_SNA_IsHistoricalPeriod,,MATCH(F849,MO_Common_ColumnHeader,0)),"Historical","Forward")</f>
        <v/>
      </c>
      <c r="C849" s="67" t="n"/>
      <c r="D849" s="84" t="inlineStr">
        <is>
          <t>Income tax effect on non-GAAP adjustments</t>
        </is>
      </c>
      <c r="E849" s="78" t="n"/>
      <c r="F849" s="77" t="inlineStr">
        <is>
          <t>FY2019</t>
        </is>
      </c>
      <c r="G849" s="77" t="n"/>
      <c r="H849" s="67" t="n"/>
      <c r="I849" s="2087" t="n">
        <v>-63</v>
      </c>
      <c r="J849" s="2087" t="n">
        <v>-63</v>
      </c>
      <c r="K849" s="2087">
        <f>AVERAGE(I849:J849)</f>
        <v/>
      </c>
      <c r="L849" s="67" t="n"/>
      <c r="M849" s="77">
        <f>IF(INDEX(MO_SNA_IsHistoricalPeriod,,MATCH(F849,MO_Common_ColumnHeader,0)),"Actual","Estimate")</f>
        <v/>
      </c>
      <c r="N849" s="2087">
        <f>IFERROR(INDEX(INDIRECT(E849),0,MATCH(F849,MO_Common_ColumnHeader,0)),"N/A")</f>
        <v/>
      </c>
      <c r="O849" s="67" t="n"/>
      <c r="P849" s="2169">
        <f>IF(ISNUMBER(N849),N849-K849,"N/A")</f>
        <v/>
      </c>
      <c r="Q849" s="2168">
        <f>IFERROR(IF(ISNUMBER(N849),(N849-K849)/ABS(K849),"N/A"),"N/A")</f>
        <v/>
      </c>
      <c r="R849" s="67" t="n"/>
      <c r="S849" s="80" t="n">
        <v>43515</v>
      </c>
      <c r="T849" s="88" t="inlineStr">
        <is>
          <t>Press Release</t>
        </is>
      </c>
      <c r="U849" s="67" t="n"/>
      <c r="V849" s="1016" t="n"/>
    </row>
    <row r="850" ht="14.4" customHeight="1" s="972">
      <c r="A850" s="64" t="n">
        <v>114</v>
      </c>
      <c r="B850" s="77">
        <f>IF(INDEX(MO_SNA_IsHistoricalPeriod,,MATCH(F850,MO_Common_ColumnHeader,0)),"Historical","Forward")</f>
        <v/>
      </c>
      <c r="C850" s="67" t="n"/>
      <c r="D850" s="84">
        <f>INDEX(INDIRECT(E850),0,COLUMN(MO_Common_Column_A))</f>
        <v/>
      </c>
      <c r="E850" s="78" t="inlineStr">
        <is>
          <t>MO_RIS_NI_GAAP_Diluted</t>
        </is>
      </c>
      <c r="F850" s="77" t="inlineStr">
        <is>
          <t>FY2019</t>
        </is>
      </c>
      <c r="G850" s="77" t="n"/>
      <c r="H850" s="67" t="n"/>
      <c r="I850" s="2087" t="n">
        <v>371</v>
      </c>
      <c r="J850" s="2087" t="n">
        <v>399</v>
      </c>
      <c r="K850" s="2087">
        <f>AVERAGE(I850:J850)</f>
        <v/>
      </c>
      <c r="L850" s="67" t="n"/>
      <c r="M850" s="77">
        <f>IF(INDEX(MO_SNA_IsHistoricalPeriod,,MATCH(F850,MO_Common_ColumnHeader,0)),"Actual","Estimate")</f>
        <v/>
      </c>
      <c r="N850" s="2087">
        <f>IFERROR(INDEX(INDIRECT(E850),0,MATCH(F850,MO_Common_ColumnHeader,0)),"N/A")</f>
        <v/>
      </c>
      <c r="O850" s="67" t="n"/>
      <c r="P850" s="2169">
        <f>IF(ISNUMBER(N850),N850-K850,"N/A")</f>
        <v/>
      </c>
      <c r="Q850" s="2168">
        <f>IFERROR(IF(ISNUMBER(N850),(N850-K850)/ABS(K850),"N/A"),"N/A")</f>
        <v/>
      </c>
      <c r="R850" s="67" t="n"/>
      <c r="S850" s="80" t="n">
        <v>43515</v>
      </c>
      <c r="T850" s="88" t="inlineStr">
        <is>
          <t>Press Release</t>
        </is>
      </c>
      <c r="U850" s="67" t="n"/>
      <c r="V850" s="1016" t="n"/>
    </row>
    <row r="851" ht="14.4" customHeight="1" s="972">
      <c r="A851" s="64" t="n">
        <v>113</v>
      </c>
      <c r="B851" s="77">
        <f>IF(INDEX(MO_SNA_IsHistoricalPeriod,,MATCH(F851,MO_Common_ColumnHeader,0)),"Historical","Forward")</f>
        <v/>
      </c>
      <c r="C851" s="67" t="n"/>
      <c r="D851" s="84">
        <f>INDEX(INDIRECT(E851),0,COLUMN(MO_Common_Column_A))</f>
        <v/>
      </c>
      <c r="E851" s="78" t="inlineStr">
        <is>
          <t>MO_RIS_NI_NONGAAP_Diluted</t>
        </is>
      </c>
      <c r="F851" s="77" t="inlineStr">
        <is>
          <t>FY2019</t>
        </is>
      </c>
      <c r="G851" s="77" t="n"/>
      <c r="H851" s="67" t="n"/>
      <c r="I851" s="2087" t="n">
        <v>551</v>
      </c>
      <c r="J851" s="2087" t="n">
        <v>579</v>
      </c>
      <c r="K851" s="2087">
        <f>AVERAGE(I851:J851)</f>
        <v/>
      </c>
      <c r="L851" s="67" t="n"/>
      <c r="M851" s="77">
        <f>IF(INDEX(MO_SNA_IsHistoricalPeriod,,MATCH(F851,MO_Common_ColumnHeader,0)),"Actual","Estimate")</f>
        <v/>
      </c>
      <c r="N851" s="2087">
        <f>IFERROR(INDEX(INDIRECT(E851),0,MATCH(F851,MO_Common_ColumnHeader,0)),"N/A")</f>
        <v/>
      </c>
      <c r="O851" s="67" t="n"/>
      <c r="P851" s="2169">
        <f>IF(ISNUMBER(N851),N851-K851,"N/A")</f>
        <v/>
      </c>
      <c r="Q851" s="2168">
        <f>IFERROR(IF(ISNUMBER(N851),(N851-K851)/ABS(K851),"N/A"),"N/A")</f>
        <v/>
      </c>
      <c r="R851" s="67" t="n"/>
      <c r="S851" s="80" t="n">
        <v>43515</v>
      </c>
      <c r="T851" s="88" t="inlineStr">
        <is>
          <t>Press Release</t>
        </is>
      </c>
      <c r="U851" s="67" t="n"/>
      <c r="V851" s="1016" t="n"/>
    </row>
    <row r="852" ht="14.4" customHeight="1" s="972">
      <c r="A852" s="64" t="n">
        <v>112</v>
      </c>
      <c r="B852" s="67" t="n"/>
      <c r="C852" s="67" t="n"/>
      <c r="D852" s="68" t="n"/>
      <c r="E852" s="69" t="n"/>
      <c r="F852" s="67" t="n"/>
      <c r="G852" s="67" t="n"/>
      <c r="H852" s="67" t="n"/>
      <c r="I852" s="2072" t="n"/>
      <c r="J852" s="2072" t="n"/>
      <c r="K852" s="2072" t="n"/>
      <c r="L852" s="67" t="n"/>
      <c r="M852" s="67" t="n"/>
      <c r="N852" s="2072" t="n"/>
      <c r="O852" s="67" t="n"/>
      <c r="P852" s="2172" t="n"/>
      <c r="Q852" s="2173" t="n"/>
      <c r="R852" s="67" t="n"/>
      <c r="S852" s="72" t="n"/>
      <c r="T852" s="89" t="n"/>
      <c r="U852" s="67" t="n"/>
      <c r="V852" s="1016" t="n"/>
    </row>
    <row r="853" ht="14.4" customHeight="1" s="972">
      <c r="A853" s="64" t="n">
        <v>111</v>
      </c>
      <c r="B853" s="77">
        <f>IF(INDEX(MO_SNA_IsHistoricalPeriod,,MATCH(F853,MO_Common_ColumnHeader,0)),"Historical","Forward")</f>
        <v/>
      </c>
      <c r="C853" s="67" t="n"/>
      <c r="D853" s="84">
        <f>INDEX(INDIRECT(E853),0,COLUMN(MO_Common_Column_A))</f>
        <v/>
      </c>
      <c r="E853" s="78" t="inlineStr">
        <is>
          <t>MO_RIS_REV</t>
        </is>
      </c>
      <c r="F853" s="77" t="inlineStr">
        <is>
          <t>Q1-2019</t>
        </is>
      </c>
      <c r="G853" s="77" t="n"/>
      <c r="H853" s="67" t="n"/>
      <c r="I853" s="2087" t="n">
        <v>565</v>
      </c>
      <c r="J853" s="2087" t="n">
        <v>575</v>
      </c>
      <c r="K853" s="2087">
        <f>AVERAGE(I853:J853)</f>
        <v/>
      </c>
      <c r="L853" s="67" t="n"/>
      <c r="M853" s="77">
        <f>IF(INDEX(MO_SNA_IsHistoricalPeriod,,MATCH(F853,MO_Common_ColumnHeader,0)),"Actual","Estimate")</f>
        <v/>
      </c>
      <c r="N853" s="2087">
        <f>IFERROR(INDEX(INDIRECT(E853),0,MATCH(F853,MO_Common_ColumnHeader,0)),"N/A")</f>
        <v/>
      </c>
      <c r="O853" s="67" t="n"/>
      <c r="P853" s="2169">
        <f>IF(ISNUMBER(N853),N853-K853,"N/A")</f>
        <v/>
      </c>
      <c r="Q853" s="2168">
        <f>IFERROR(IF(ISNUMBER(N853),(N853-K853)/ABS(K853),"N/A"),"N/A")</f>
        <v/>
      </c>
      <c r="R853" s="67" t="n"/>
      <c r="S853" s="80" t="n">
        <v>43515</v>
      </c>
      <c r="T853" s="88" t="inlineStr">
        <is>
          <t>Press Release</t>
        </is>
      </c>
      <c r="U853" s="67" t="n"/>
      <c r="V853" s="1016" t="n"/>
    </row>
    <row r="854" ht="14.4" customHeight="1" s="972">
      <c r="A854" s="64" t="n">
        <v>110</v>
      </c>
      <c r="B854" s="77">
        <f>IF(INDEX(MO_SNA_IsHistoricalPeriod,,MATCH(F854,MO_Common_ColumnHeader,0)),"Historical","Forward")</f>
        <v/>
      </c>
      <c r="C854" s="67" t="n"/>
      <c r="D854" s="84">
        <f>INDEX(INDIRECT(E854),0,COLUMN(MO_Common_Column_A))</f>
        <v/>
      </c>
      <c r="E854" s="78" t="inlineStr">
        <is>
          <t>MO_RIS_EPS_WAD</t>
        </is>
      </c>
      <c r="F854" s="77" t="inlineStr">
        <is>
          <t>Q1-2019</t>
        </is>
      </c>
      <c r="G854" s="77" t="n"/>
      <c r="H854" s="67" t="n"/>
      <c r="I854" s="2170" t="n">
        <v>0.36</v>
      </c>
      <c r="J854" s="2170" t="n">
        <v>0.38</v>
      </c>
      <c r="K854" s="2170">
        <f>AVERAGE(I854:J854)</f>
        <v/>
      </c>
      <c r="L854" s="67" t="n"/>
      <c r="M854" s="77">
        <f>IF(INDEX(MO_SNA_IsHistoricalPeriod,,MATCH(F854,MO_Common_ColumnHeader,0)),"Actual","Estimate")</f>
        <v/>
      </c>
      <c r="N854" s="2170">
        <f>IFERROR(INDEX(INDIRECT(E854),0,MATCH(F854,MO_Common_ColumnHeader,0)),"N/A")</f>
        <v/>
      </c>
      <c r="O854" s="67" t="n"/>
      <c r="P854" s="2171">
        <f>IF(ISNUMBER(N854),N854-K854,"N/A")</f>
        <v/>
      </c>
      <c r="Q854" s="2168">
        <f>IFERROR(IF(ISNUMBER(N854),(N854-K854)/ABS(K854),"N/A"),"N/A")</f>
        <v/>
      </c>
      <c r="R854" s="67" t="n"/>
      <c r="S854" s="80" t="n">
        <v>43515</v>
      </c>
      <c r="T854" s="88" t="inlineStr">
        <is>
          <t>Press Release</t>
        </is>
      </c>
      <c r="U854" s="67" t="n"/>
      <c r="V854" s="1016" t="n"/>
    </row>
    <row r="855" ht="14.4" customHeight="1" s="972">
      <c r="A855" s="64" t="n">
        <v>109</v>
      </c>
      <c r="B855" s="77">
        <f>IF(INDEX(MO_SNA_IsHistoricalPeriod,,MATCH(F855,MO_Common_ColumnHeader,0)),"Historical","Forward")</f>
        <v/>
      </c>
      <c r="C855" s="67" t="n"/>
      <c r="D855" s="84">
        <f>INDEX(INDIRECT(E855),0,COLUMN(MO_Common_Column_A))</f>
        <v/>
      </c>
      <c r="E855" s="78" t="inlineStr">
        <is>
          <t>MO_RIS_EPS_WAD_Adj</t>
        </is>
      </c>
      <c r="F855" s="77" t="inlineStr">
        <is>
          <t>Q1-2019</t>
        </is>
      </c>
      <c r="G855" s="77" t="n"/>
      <c r="H855" s="67" t="n"/>
      <c r="I855" s="2170" t="n">
        <v>0.48</v>
      </c>
      <c r="J855" s="2170" t="n">
        <v>0.5</v>
      </c>
      <c r="K855" s="2170">
        <f>AVERAGE(I855:J855)</f>
        <v/>
      </c>
      <c r="L855" s="67" t="n"/>
      <c r="M855" s="77">
        <f>IF(INDEX(MO_SNA_IsHistoricalPeriod,,MATCH(F855,MO_Common_ColumnHeader,0)),"Actual","Estimate")</f>
        <v/>
      </c>
      <c r="N855" s="2170">
        <f>IFERROR(INDEX(INDIRECT(E855),0,MATCH(F855,MO_Common_ColumnHeader,0)),"N/A")</f>
        <v/>
      </c>
      <c r="O855" s="67" t="n"/>
      <c r="P855" s="2171">
        <f>IF(ISNUMBER(N855),N855-K855,"N/A")</f>
        <v/>
      </c>
      <c r="Q855" s="2168">
        <f>IFERROR(IF(ISNUMBER(N855),(N855-K855)/ABS(K855),"N/A"),"N/A")</f>
        <v/>
      </c>
      <c r="R855" s="67" t="n"/>
      <c r="S855" s="80" t="n">
        <v>43515</v>
      </c>
      <c r="T855" s="88" t="inlineStr">
        <is>
          <t>Press Release</t>
        </is>
      </c>
      <c r="U855" s="67" t="n"/>
      <c r="V855" s="1016" t="n"/>
    </row>
    <row r="856" ht="14.4" customHeight="1" s="972">
      <c r="A856" s="64" t="n">
        <v>108</v>
      </c>
      <c r="B856" s="77">
        <f>IF(INDEX(MO_SNA_IsHistoricalPeriod,,MATCH(F856,MO_Common_ColumnHeader,0)),"Historical","Forward")</f>
        <v/>
      </c>
      <c r="C856" s="67" t="n"/>
      <c r="D856" s="84">
        <f>INDEX(INDIRECT(E856),0,COLUMN(MO_Common_Column_A))</f>
        <v/>
      </c>
      <c r="E856" s="78" t="inlineStr">
        <is>
          <t>MO_RIS_Daintangibles</t>
        </is>
      </c>
      <c r="F856" s="77" t="inlineStr">
        <is>
          <t>Q1-2019</t>
        </is>
      </c>
      <c r="G856" s="77" t="n"/>
      <c r="H856" s="67" t="n"/>
      <c r="I856" s="2087" t="n">
        <v>13</v>
      </c>
      <c r="J856" s="2087" t="n">
        <v>13</v>
      </c>
      <c r="K856" s="2087">
        <f>AVERAGE(I856:J856)</f>
        <v/>
      </c>
      <c r="L856" s="67" t="n"/>
      <c r="M856" s="77">
        <f>IF(INDEX(MO_SNA_IsHistoricalPeriod,,MATCH(F856,MO_Common_ColumnHeader,0)),"Actual","Estimate")</f>
        <v/>
      </c>
      <c r="N856" s="2087">
        <f>IFERROR(INDEX(INDIRECT(E856),0,MATCH(F856,MO_Common_ColumnHeader,0)),"N/A")</f>
        <v/>
      </c>
      <c r="O856" s="67" t="n"/>
      <c r="P856" s="2169">
        <f>IF(ISNUMBER(N856),N856-K856,"N/A")</f>
        <v/>
      </c>
      <c r="Q856" s="2168">
        <f>IFERROR(IF(ISNUMBER(N856),(N856-K856)/ABS(K856),"N/A"),"N/A")</f>
        <v/>
      </c>
      <c r="R856" s="67" t="n"/>
      <c r="S856" s="80" t="n">
        <v>43515</v>
      </c>
      <c r="T856" s="88" t="inlineStr">
        <is>
          <t>Press Release</t>
        </is>
      </c>
      <c r="U856" s="67" t="n"/>
      <c r="V856" s="1016" t="n"/>
    </row>
    <row r="857" ht="14.4" customHeight="1" s="972">
      <c r="A857" s="64" t="n">
        <v>107</v>
      </c>
      <c r="B857" s="77">
        <f>IF(INDEX(MO_SNA_IsHistoricalPeriod,,MATCH(F857,MO_Common_ColumnHeader,0)),"Historical","Forward")</f>
        <v/>
      </c>
      <c r="C857" s="67" t="n"/>
      <c r="D857" s="84">
        <f>INDEX(INDIRECT(E857),0,COLUMN(MO_Common_Column_A))</f>
        <v/>
      </c>
      <c r="E857" s="78" t="inlineStr">
        <is>
          <t>MO_RIS_SBC</t>
        </is>
      </c>
      <c r="F857" s="77" t="inlineStr">
        <is>
          <t>Q1-2019</t>
        </is>
      </c>
      <c r="G857" s="77" t="n"/>
      <c r="H857" s="67" t="n"/>
      <c r="I857" s="2087" t="n">
        <v>42</v>
      </c>
      <c r="J857" s="2087" t="n">
        <v>42</v>
      </c>
      <c r="K857" s="2087">
        <f>AVERAGE(I857:J857)</f>
        <v/>
      </c>
      <c r="L857" s="67" t="n"/>
      <c r="M857" s="77">
        <f>IF(INDEX(MO_SNA_IsHistoricalPeriod,,MATCH(F857,MO_Common_ColumnHeader,0)),"Actual","Estimate")</f>
        <v/>
      </c>
      <c r="N857" s="2087">
        <f>IFERROR(INDEX(INDIRECT(E857),0,MATCH(F857,MO_Common_ColumnHeader,0)),"N/A")</f>
        <v/>
      </c>
      <c r="O857" s="67" t="n"/>
      <c r="P857" s="2169">
        <f>IF(ISNUMBER(N857),N857-K857,"N/A")</f>
        <v/>
      </c>
      <c r="Q857" s="2168">
        <f>IFERROR(IF(ISNUMBER(N857),(N857-K857)/ABS(K857),"N/A"),"N/A")</f>
        <v/>
      </c>
      <c r="R857" s="67" t="n"/>
      <c r="S857" s="80" t="n">
        <v>43515</v>
      </c>
      <c r="T857" s="88" t="inlineStr">
        <is>
          <t>Press Release</t>
        </is>
      </c>
      <c r="U857" s="67" t="n"/>
      <c r="V857" s="1016" t="n"/>
    </row>
    <row r="858" ht="14.4" customHeight="1" s="972">
      <c r="A858" s="64" t="n">
        <v>106</v>
      </c>
      <c r="B858" s="77">
        <f>IF(INDEX(MO_SNA_IsHistoricalPeriod,,MATCH(F858,MO_Common_ColumnHeader,0)),"Historical","Forward")</f>
        <v/>
      </c>
      <c r="C858" s="67" t="n"/>
      <c r="D858" s="84" t="inlineStr">
        <is>
          <t>Acquisition and integration-related costs</t>
        </is>
      </c>
      <c r="E858" s="78" t="n"/>
      <c r="F858" s="77" t="inlineStr">
        <is>
          <t>Q1-2019</t>
        </is>
      </c>
      <c r="G858" s="77" t="n"/>
      <c r="H858" s="67" t="n"/>
      <c r="I858" s="2087" t="n">
        <v>3</v>
      </c>
      <c r="J858" s="2087" t="n">
        <v>3</v>
      </c>
      <c r="K858" s="2087">
        <f>AVERAGE(I858:J858)</f>
        <v/>
      </c>
      <c r="L858" s="67" t="n"/>
      <c r="M858" s="77">
        <f>IF(INDEX(MO_SNA_IsHistoricalPeriod,,MATCH(F858,MO_Common_ColumnHeader,0)),"Actual","Estimate")</f>
        <v/>
      </c>
      <c r="N858" s="2087">
        <f>IFERROR(INDEX(INDIRECT(E858),0,MATCH(F858,MO_Common_ColumnHeader,0)),"N/A")</f>
        <v/>
      </c>
      <c r="O858" s="67" t="n"/>
      <c r="P858" s="2169">
        <f>IF(ISNUMBER(N858),N858-K858,"N/A")</f>
        <v/>
      </c>
      <c r="Q858" s="2168">
        <f>IFERROR(IF(ISNUMBER(N858),(N858-K858)/ABS(K858),"N/A"),"N/A")</f>
        <v/>
      </c>
      <c r="R858" s="67" t="n"/>
      <c r="S858" s="80" t="n">
        <v>43515</v>
      </c>
      <c r="T858" s="88" t="inlineStr">
        <is>
          <t>Press Release</t>
        </is>
      </c>
      <c r="U858" s="67" t="n"/>
      <c r="V858" s="1016" t="n"/>
    </row>
    <row r="859" ht="14.4" customHeight="1" s="972">
      <c r="A859" s="64" t="n">
        <v>105</v>
      </c>
      <c r="B859" s="77">
        <f>IF(INDEX(MO_SNA_IsHistoricalPeriod,,MATCH(F859,MO_Common_ColumnHeader,0)),"Historical","Forward")</f>
        <v/>
      </c>
      <c r="C859" s="67" t="n"/>
      <c r="D859" s="84" t="inlineStr">
        <is>
          <t>Income tax effect on non-GAAP adjustments</t>
        </is>
      </c>
      <c r="E859" s="78" t="n"/>
      <c r="F859" s="77" t="inlineStr">
        <is>
          <t>Q1-2019</t>
        </is>
      </c>
      <c r="G859" s="77" t="n"/>
      <c r="H859" s="67" t="n"/>
      <c r="I859" s="2087" t="n">
        <v>-24</v>
      </c>
      <c r="J859" s="2087" t="n">
        <v>-24</v>
      </c>
      <c r="K859" s="2087">
        <f>AVERAGE(I859:J859)</f>
        <v/>
      </c>
      <c r="L859" s="67" t="n"/>
      <c r="M859" s="77">
        <f>IF(INDEX(MO_SNA_IsHistoricalPeriod,,MATCH(F859,MO_Common_ColumnHeader,0)),"Actual","Estimate")</f>
        <v/>
      </c>
      <c r="N859" s="2087">
        <f>IFERROR(INDEX(INDIRECT(E859),0,MATCH(F859,MO_Common_ColumnHeader,0)),"N/A")</f>
        <v/>
      </c>
      <c r="O859" s="67" t="n"/>
      <c r="P859" s="2169">
        <f>IF(ISNUMBER(N859),N859-K859,"N/A")</f>
        <v/>
      </c>
      <c r="Q859" s="2168">
        <f>IFERROR(IF(ISNUMBER(N859),(N859-K859)/ABS(K859),"N/A"),"N/A")</f>
        <v/>
      </c>
      <c r="R859" s="67" t="n"/>
      <c r="S859" s="80" t="n">
        <v>43515</v>
      </c>
      <c r="T859" s="88" t="inlineStr">
        <is>
          <t>Press Release</t>
        </is>
      </c>
      <c r="U859" s="67" t="n"/>
      <c r="V859" s="1016" t="n"/>
    </row>
    <row r="860" ht="14.4" customHeight="1" s="972">
      <c r="A860" s="64" t="n">
        <v>104</v>
      </c>
      <c r="B860" s="77">
        <f>IF(INDEX(MO_SNA_IsHistoricalPeriod,,MATCH(F860,MO_Common_ColumnHeader,0)),"Historical","Forward")</f>
        <v/>
      </c>
      <c r="C860" s="67" t="n"/>
      <c r="D860" s="84">
        <f>INDEX(INDIRECT(E860),0,COLUMN(MO_Common_Column_A))</f>
        <v/>
      </c>
      <c r="E860" s="78" t="inlineStr">
        <is>
          <t>MO_RIS_NI_GAAP_Diluted</t>
        </is>
      </c>
      <c r="F860" s="77" t="inlineStr">
        <is>
          <t>Q1-2019</t>
        </is>
      </c>
      <c r="G860" s="77" t="n"/>
      <c r="H860" s="67" t="n"/>
      <c r="I860" s="2087" t="n">
        <v>101</v>
      </c>
      <c r="J860" s="2087" t="n">
        <v>107</v>
      </c>
      <c r="K860" s="2087">
        <f>AVERAGE(I860:J860)</f>
        <v/>
      </c>
      <c r="L860" s="67" t="n"/>
      <c r="M860" s="77">
        <f>IF(INDEX(MO_SNA_IsHistoricalPeriod,,MATCH(F860,MO_Common_ColumnHeader,0)),"Actual","Estimate")</f>
        <v/>
      </c>
      <c r="N860" s="2087">
        <f>IFERROR(INDEX(INDIRECT(E860),0,MATCH(F860,MO_Common_ColumnHeader,0)),"N/A")</f>
        <v/>
      </c>
      <c r="O860" s="67" t="n"/>
      <c r="P860" s="2169">
        <f>IF(ISNUMBER(N860),N860-K860,"N/A")</f>
        <v/>
      </c>
      <c r="Q860" s="2168">
        <f>IFERROR(IF(ISNUMBER(N860),(N860-K860)/ABS(K860),"N/A"),"N/A")</f>
        <v/>
      </c>
      <c r="R860" s="67" t="n"/>
      <c r="S860" s="80" t="n">
        <v>43515</v>
      </c>
      <c r="T860" s="88" t="inlineStr">
        <is>
          <t>Press Release</t>
        </is>
      </c>
      <c r="U860" s="67" t="n"/>
      <c r="V860" s="1016" t="n"/>
    </row>
    <row r="861" ht="14.4" customHeight="1" s="972">
      <c r="A861" s="64" t="n">
        <v>103</v>
      </c>
      <c r="B861" s="77">
        <f>IF(INDEX(MO_SNA_IsHistoricalPeriod,,MATCH(F861,MO_Common_ColumnHeader,0)),"Historical","Forward")</f>
        <v/>
      </c>
      <c r="C861" s="67" t="n"/>
      <c r="D861" s="84">
        <f>INDEX(INDIRECT(E861),0,COLUMN(MO_Common_Column_A))</f>
        <v/>
      </c>
      <c r="E861" s="78" t="inlineStr">
        <is>
          <t>MO_RIS_NI_NONGAAP_Diluted</t>
        </is>
      </c>
      <c r="F861" s="77" t="inlineStr">
        <is>
          <t>Q1-2019</t>
        </is>
      </c>
      <c r="G861" s="77" t="n"/>
      <c r="H861" s="67" t="n"/>
      <c r="I861" s="2087" t="n">
        <v>135</v>
      </c>
      <c r="J861" s="2087" t="n">
        <v>141</v>
      </c>
      <c r="K861" s="2087">
        <f>AVERAGE(I861:J861)</f>
        <v/>
      </c>
      <c r="L861" s="67" t="n"/>
      <c r="M861" s="77">
        <f>IF(INDEX(MO_SNA_IsHistoricalPeriod,,MATCH(F861,MO_Common_ColumnHeader,0)),"Actual","Estimate")</f>
        <v/>
      </c>
      <c r="N861" s="2087">
        <f>IFERROR(INDEX(INDIRECT(E861),0,MATCH(F861,MO_Common_ColumnHeader,0)),"N/A")</f>
        <v/>
      </c>
      <c r="O861" s="67" t="n"/>
      <c r="P861" s="2169">
        <f>IF(ISNUMBER(N861),N861-K861,"N/A")</f>
        <v/>
      </c>
      <c r="Q861" s="2168">
        <f>IFERROR(IF(ISNUMBER(N861),(N861-K861)/ABS(K861),"N/A"),"N/A")</f>
        <v/>
      </c>
      <c r="R861" s="67" t="n"/>
      <c r="S861" s="80" t="n">
        <v>43515</v>
      </c>
      <c r="T861" s="88" t="inlineStr">
        <is>
          <t>Press Release</t>
        </is>
      </c>
      <c r="U861" s="67" t="n"/>
      <c r="V861" s="1016" t="n"/>
    </row>
    <row r="862" ht="14.4" customHeight="1" s="972">
      <c r="A862" s="64" t="n">
        <v>102</v>
      </c>
      <c r="B862" s="67" t="n"/>
      <c r="C862" s="67" t="n"/>
      <c r="D862" s="68" t="n"/>
      <c r="E862" s="69" t="n"/>
      <c r="F862" s="67" t="n"/>
      <c r="G862" s="67" t="n"/>
      <c r="H862" s="67" t="n"/>
      <c r="I862" s="2072" t="n"/>
      <c r="J862" s="2072" t="n"/>
      <c r="K862" s="2072" t="n"/>
      <c r="L862" s="67" t="n"/>
      <c r="M862" s="67" t="n"/>
      <c r="N862" s="2072" t="n"/>
      <c r="O862" s="67" t="n"/>
      <c r="P862" s="2172" t="n"/>
      <c r="Q862" s="2173" t="n"/>
      <c r="R862" s="67" t="n"/>
      <c r="S862" s="72" t="n"/>
      <c r="T862" s="89" t="n"/>
      <c r="U862" s="67" t="n"/>
      <c r="V862" s="1016" t="n"/>
    </row>
    <row r="863" ht="14.4" customHeight="1" s="972">
      <c r="A863" s="64" t="n">
        <v>101</v>
      </c>
      <c r="B863" s="77">
        <f>IF(INDEX(MO_SNA_IsHistoricalPeriod,,MATCH(F863,MO_Common_ColumnHeader,0)),"Historical","Forward")</f>
        <v/>
      </c>
      <c r="C863" s="67" t="n"/>
      <c r="D863" s="84">
        <f>INDEX(INDIRECT(E863),0,COLUMN(MO_Common_Column_A))</f>
        <v/>
      </c>
      <c r="E863" s="78" t="inlineStr">
        <is>
          <t>MO_RIS_REV</t>
        </is>
      </c>
      <c r="F863" s="77" t="inlineStr">
        <is>
          <t>Q4-2018</t>
        </is>
      </c>
      <c r="G863" s="77" t="n"/>
      <c r="H863" s="67" t="n"/>
      <c r="I863" s="2087" t="n">
        <v>545</v>
      </c>
      <c r="J863" s="2087" t="n">
        <v>555</v>
      </c>
      <c r="K863" s="2087">
        <f>AVERAGE(I863:J863)</f>
        <v/>
      </c>
      <c r="L863" s="67" t="n"/>
      <c r="M863" s="77">
        <f>IF(INDEX(MO_SNA_IsHistoricalPeriod,,MATCH(F863,MO_Common_ColumnHeader,0)),"Actual","Estimate")</f>
        <v/>
      </c>
      <c r="N863" s="2087">
        <f>IFERROR(INDEX(INDIRECT(E863),0,MATCH(F863,MO_Common_ColumnHeader,0)),"N/A")</f>
        <v/>
      </c>
      <c r="O863" s="2072" t="n"/>
      <c r="P863" s="2169">
        <f>IF(ISNUMBER(N863),N863-K863,"N/A")</f>
        <v/>
      </c>
      <c r="Q863" s="2168">
        <f>IFERROR(IF(ISNUMBER(N863),(N863-K863)/ABS(K863),"N/A"),"N/A")</f>
        <v/>
      </c>
      <c r="R863" s="67" t="n"/>
      <c r="S863" s="80" t="n">
        <v>43395</v>
      </c>
      <c r="T863" s="88" t="inlineStr">
        <is>
          <t>Press Release</t>
        </is>
      </c>
      <c r="U863" s="112" t="n"/>
      <c r="V863" s="1016" t="n"/>
    </row>
    <row r="864" ht="14.4" customHeight="1" s="972">
      <c r="A864" s="64" t="n">
        <v>100</v>
      </c>
      <c r="B864" s="77">
        <f>IF(INDEX(MO_SNA_IsHistoricalPeriod,,MATCH(F864,MO_Common_ColumnHeader,0)),"Historical","Forward")</f>
        <v/>
      </c>
      <c r="C864" s="67" t="n"/>
      <c r="D864" s="84">
        <f>INDEX(INDIRECT(E864),0,COLUMN(MO_Common_Column_A))</f>
        <v/>
      </c>
      <c r="E864" s="78" t="inlineStr">
        <is>
          <t>MO_RIS_EPS_WAD</t>
        </is>
      </c>
      <c r="F864" s="77" t="inlineStr">
        <is>
          <t>Q4-2018</t>
        </is>
      </c>
      <c r="G864" s="77" t="n"/>
      <c r="H864" s="67" t="n"/>
      <c r="I864" s="2170" t="n">
        <v>0.27</v>
      </c>
      <c r="J864" s="2170" t="n">
        <v>0.29</v>
      </c>
      <c r="K864" s="2170">
        <f>AVERAGE(I864:J864)</f>
        <v/>
      </c>
      <c r="L864" s="67" t="n"/>
      <c r="M864" s="77">
        <f>IF(INDEX(MO_SNA_IsHistoricalPeriod,,MATCH(F864,MO_Common_ColumnHeader,0)),"Actual","Estimate")</f>
        <v/>
      </c>
      <c r="N864" s="2170">
        <f>IFERROR(INDEX(INDIRECT(E864),0,MATCH(F864,MO_Common_ColumnHeader,0)),"N/A")</f>
        <v/>
      </c>
      <c r="O864" s="67" t="n"/>
      <c r="P864" s="2171">
        <f>IF(ISNUMBER(N864),N864-K864,"N/A")</f>
        <v/>
      </c>
      <c r="Q864" s="2168">
        <f>IFERROR(IF(ISNUMBER(N864),(N864-K864)/ABS(K864),"N/A"),"N/A")</f>
        <v/>
      </c>
      <c r="R864" s="67" t="n"/>
      <c r="S864" s="80" t="n">
        <v>43395</v>
      </c>
      <c r="T864" s="88" t="inlineStr">
        <is>
          <t>Press Release</t>
        </is>
      </c>
      <c r="U864" s="112" t="n"/>
      <c r="V864" s="1016" t="n"/>
    </row>
    <row r="865" ht="14.4" customHeight="1" s="972">
      <c r="A865" s="64" t="n">
        <v>99</v>
      </c>
      <c r="B865" s="77">
        <f>IF(INDEX(MO_SNA_IsHistoricalPeriod,,MATCH(F865,MO_Common_ColumnHeader,0)),"Historical","Forward")</f>
        <v/>
      </c>
      <c r="C865" s="67" t="n"/>
      <c r="D865" s="84">
        <f>INDEX(INDIRECT(E865),0,COLUMN(MO_Common_Column_A))</f>
        <v/>
      </c>
      <c r="E865" s="78" t="inlineStr">
        <is>
          <t>MO_RIS_EPS_WAD_Adj</t>
        </is>
      </c>
      <c r="F865" s="77" t="inlineStr">
        <is>
          <t>Q4-2018</t>
        </is>
      </c>
      <c r="G865" s="77" t="n"/>
      <c r="H865" s="67" t="n"/>
      <c r="I865" s="2170" t="n">
        <v>0.46</v>
      </c>
      <c r="J865" s="2170" t="n">
        <v>0.48</v>
      </c>
      <c r="K865" s="2170">
        <f>AVERAGE(I865:J865)</f>
        <v/>
      </c>
      <c r="L865" s="67" t="n"/>
      <c r="M865" s="77">
        <f>IF(INDEX(MO_SNA_IsHistoricalPeriod,,MATCH(F865,MO_Common_ColumnHeader,0)),"Actual","Estimate")</f>
        <v/>
      </c>
      <c r="N865" s="2170">
        <f>IFERROR(INDEX(INDIRECT(E865),0,MATCH(F865,MO_Common_ColumnHeader,0)),"N/A")</f>
        <v/>
      </c>
      <c r="O865" s="67" t="n"/>
      <c r="P865" s="2171">
        <f>IF(ISNUMBER(N865),N865-K865,"N/A")</f>
        <v/>
      </c>
      <c r="Q865" s="2168">
        <f>IFERROR(IF(ISNUMBER(N865),(N865-K865)/ABS(K865),"N/A"),"N/A")</f>
        <v/>
      </c>
      <c r="R865" s="67" t="n"/>
      <c r="S865" s="80" t="n">
        <v>43395</v>
      </c>
      <c r="T865" s="88" t="inlineStr">
        <is>
          <t>Press Release</t>
        </is>
      </c>
      <c r="U865" s="67" t="n"/>
      <c r="V865" s="1016" t="n"/>
    </row>
    <row r="866" ht="14.4" customHeight="1" s="972">
      <c r="A866" s="64" t="n">
        <v>98</v>
      </c>
      <c r="B866" s="77">
        <f>IF(INDEX(MO_SNA_IsHistoricalPeriod,,MATCH(F866,MO_Common_ColumnHeader,0)),"Historical","Forward")</f>
        <v/>
      </c>
      <c r="C866" s="67" t="n"/>
      <c r="D866" s="84">
        <f>INDEX(INDIRECT(E866),0,COLUMN(MO_Common_Column_A))</f>
        <v/>
      </c>
      <c r="E866" s="78" t="inlineStr">
        <is>
          <t>MO_RIS_Daintangibles</t>
        </is>
      </c>
      <c r="F866" s="77" t="inlineStr">
        <is>
          <t>Q4-2018</t>
        </is>
      </c>
      <c r="G866" s="77" t="n"/>
      <c r="H866" s="67" t="n"/>
      <c r="I866" s="2087" t="n">
        <v>13</v>
      </c>
      <c r="J866" s="2087" t="n">
        <v>13</v>
      </c>
      <c r="K866" s="2087">
        <f>AVERAGE(I866:J866)</f>
        <v/>
      </c>
      <c r="L866" s="67" t="n"/>
      <c r="M866" s="77">
        <f>IF(INDEX(MO_SNA_IsHistoricalPeriod,,MATCH(F866,MO_Common_ColumnHeader,0)),"Actual","Estimate")</f>
        <v/>
      </c>
      <c r="N866" s="2087">
        <f>IFERROR(INDEX(INDIRECT(E866),0,MATCH(F866,MO_Common_ColumnHeader,0)),"N/A")</f>
        <v/>
      </c>
      <c r="O866" s="67" t="n"/>
      <c r="P866" s="2169">
        <f>IF(ISNUMBER(N866),N866-K866,"N/A")</f>
        <v/>
      </c>
      <c r="Q866" s="2168">
        <f>IFERROR(IF(ISNUMBER(N866),(N866-K866)/ABS(K866),"N/A"),"N/A")</f>
        <v/>
      </c>
      <c r="R866" s="67" t="n"/>
      <c r="S866" s="80" t="n">
        <v>43395</v>
      </c>
      <c r="T866" s="88" t="inlineStr">
        <is>
          <t>Press Release</t>
        </is>
      </c>
      <c r="U866" s="67" t="n"/>
      <c r="V866" s="1016" t="n"/>
    </row>
    <row r="867" ht="14.4" customHeight="1" s="972">
      <c r="A867" s="64" t="n">
        <v>97</v>
      </c>
      <c r="B867" s="77">
        <f>IF(INDEX(MO_SNA_IsHistoricalPeriod,,MATCH(F867,MO_Common_ColumnHeader,0)),"Historical","Forward")</f>
        <v/>
      </c>
      <c r="C867" s="67" t="n"/>
      <c r="D867" s="84">
        <f>INDEX(INDIRECT(E867),0,COLUMN(MO_Common_Column_A))</f>
        <v/>
      </c>
      <c r="E867" s="78" t="inlineStr">
        <is>
          <t>MO_RIS_SBC</t>
        </is>
      </c>
      <c r="F867" s="77" t="inlineStr">
        <is>
          <t>Q4-2018</t>
        </is>
      </c>
      <c r="G867" s="77" t="n"/>
      <c r="H867" s="67" t="n"/>
      <c r="I867" s="2087" t="n">
        <v>44</v>
      </c>
      <c r="J867" s="2087" t="n">
        <v>44</v>
      </c>
      <c r="K867" s="2087">
        <f>AVERAGE(I867:J867)</f>
        <v/>
      </c>
      <c r="L867" s="67" t="n"/>
      <c r="M867" s="77">
        <f>IF(INDEX(MO_SNA_IsHistoricalPeriod,,MATCH(F867,MO_Common_ColumnHeader,0)),"Actual","Estimate")</f>
        <v/>
      </c>
      <c r="N867" s="2087">
        <f>IFERROR(INDEX(INDIRECT(E867),0,MATCH(F867,MO_Common_ColumnHeader,0)),"N/A")</f>
        <v/>
      </c>
      <c r="O867" s="67" t="n"/>
      <c r="P867" s="2169">
        <f>IF(ISNUMBER(N867),N867-K867,"N/A")</f>
        <v/>
      </c>
      <c r="Q867" s="2168">
        <f>IFERROR(IF(ISNUMBER(N867),(N867-K867)/ABS(K867),"N/A"),"N/A")</f>
        <v/>
      </c>
      <c r="R867" s="67" t="n"/>
      <c r="S867" s="80" t="n">
        <v>43395</v>
      </c>
      <c r="T867" s="88" t="inlineStr">
        <is>
          <t>Press Release</t>
        </is>
      </c>
      <c r="U867" s="67" t="n"/>
      <c r="V867" s="1016" t="n"/>
    </row>
    <row r="868" ht="14.4" customHeight="1" s="972">
      <c r="A868" s="64" t="n">
        <v>96</v>
      </c>
      <c r="B868" s="77">
        <f>IF(INDEX(MO_SNA_IsHistoricalPeriod,,MATCH(F868,MO_Common_ColumnHeader,0)),"Historical","Forward")</f>
        <v/>
      </c>
      <c r="C868" s="67" t="n"/>
      <c r="D868" s="84" t="inlineStr">
        <is>
          <t>Acquisition and integration-related costs</t>
        </is>
      </c>
      <c r="E868" s="78" t="n"/>
      <c r="F868" s="77" t="inlineStr">
        <is>
          <t>Q4-2018</t>
        </is>
      </c>
      <c r="G868" s="77" t="n"/>
      <c r="H868" s="67" t="n"/>
      <c r="I868" s="2087" t="n">
        <v>5</v>
      </c>
      <c r="J868" s="2087" t="n">
        <v>5</v>
      </c>
      <c r="K868" s="2087">
        <f>AVERAGE(I868:J868)</f>
        <v/>
      </c>
      <c r="L868" s="67" t="n"/>
      <c r="M868" s="77">
        <f>IF(INDEX(MO_SNA_IsHistoricalPeriod,,MATCH(F868,MO_Common_ColumnHeader,0)),"Actual","Estimate")</f>
        <v/>
      </c>
      <c r="N868" s="2087">
        <f>IFERROR(INDEX(INDIRECT(E868),0,MATCH(F868,MO_Common_ColumnHeader,0)),"N/A")</f>
        <v/>
      </c>
      <c r="O868" s="67" t="n"/>
      <c r="P868" s="2169">
        <f>IF(ISNUMBER(N868),N868-K868,"N/A")</f>
        <v/>
      </c>
      <c r="Q868" s="2168">
        <f>IFERROR(IF(ISNUMBER(N868),(N868-K868)/ABS(K868),"N/A"),"N/A")</f>
        <v/>
      </c>
      <c r="R868" s="67" t="n"/>
      <c r="S868" s="80" t="n">
        <v>43395</v>
      </c>
      <c r="T868" s="88" t="inlineStr">
        <is>
          <t>Press Release</t>
        </is>
      </c>
      <c r="U868" s="67" t="n"/>
      <c r="V868" s="1016" t="n"/>
    </row>
    <row r="869" ht="14.4" customHeight="1" s="972">
      <c r="A869" s="64" t="n">
        <v>95</v>
      </c>
      <c r="B869" s="77">
        <f>IF(INDEX(MO_SNA_IsHistoricalPeriod,,MATCH(F869,MO_Common_ColumnHeader,0)),"Historical","Forward")</f>
        <v/>
      </c>
      <c r="C869" s="67" t="n"/>
      <c r="D869" s="84" t="inlineStr">
        <is>
          <t>Income tax effect on non-GAAP adjustments</t>
        </is>
      </c>
      <c r="E869" s="78" t="n"/>
      <c r="F869" s="77" t="inlineStr">
        <is>
          <t>Q4-2018</t>
        </is>
      </c>
      <c r="G869" s="77" t="n"/>
      <c r="H869" s="67" t="n"/>
      <c r="I869" s="2087" t="n">
        <v>-9</v>
      </c>
      <c r="J869" s="2087" t="n">
        <v>-9</v>
      </c>
      <c r="K869" s="2087">
        <f>AVERAGE(I869:J869)</f>
        <v/>
      </c>
      <c r="L869" s="67" t="n"/>
      <c r="M869" s="77">
        <f>IF(INDEX(MO_SNA_IsHistoricalPeriod,,MATCH(F869,MO_Common_ColumnHeader,0)),"Actual","Estimate")</f>
        <v/>
      </c>
      <c r="N869" s="2087">
        <f>IFERROR(INDEX(INDIRECT(E869),0,MATCH(F869,MO_Common_ColumnHeader,0)),"N/A")</f>
        <v/>
      </c>
      <c r="O869" s="67" t="n"/>
      <c r="P869" s="2169">
        <f>IF(ISNUMBER(N869),N869-K869,"N/A")</f>
        <v/>
      </c>
      <c r="Q869" s="2168">
        <f>IFERROR(IF(ISNUMBER(N869),(N869-K869)/ABS(K869),"N/A"),"N/A")</f>
        <v/>
      </c>
      <c r="R869" s="67" t="n"/>
      <c r="S869" s="80" t="n">
        <v>43395</v>
      </c>
      <c r="T869" s="88" t="inlineStr">
        <is>
          <t>Press Release</t>
        </is>
      </c>
      <c r="U869" s="67" t="n"/>
      <c r="V869" s="1016" t="n"/>
    </row>
    <row r="870" ht="14.4" customHeight="1" s="972">
      <c r="A870" s="64" t="n">
        <v>94</v>
      </c>
      <c r="B870" s="77">
        <f>IF(INDEX(MO_SNA_IsHistoricalPeriod,,MATCH(F870,MO_Common_ColumnHeader,0)),"Historical","Forward")</f>
        <v/>
      </c>
      <c r="C870" s="67" t="n"/>
      <c r="D870" s="84">
        <f>INDEX(INDIRECT(E870),0,COLUMN(MO_Common_Column_A))</f>
        <v/>
      </c>
      <c r="E870" s="78" t="inlineStr">
        <is>
          <t>MO_MA_OperatingIncome</t>
        </is>
      </c>
      <c r="F870" s="77" t="inlineStr">
        <is>
          <t>Q4-2018</t>
        </is>
      </c>
      <c r="G870" s="77" t="n"/>
      <c r="H870" s="67" t="n"/>
      <c r="I870" s="2108" t="n">
        <v>0.29</v>
      </c>
      <c r="J870" s="2108" t="n">
        <v>0.3</v>
      </c>
      <c r="K870" s="2108">
        <f>AVERAGE(I870:J870)</f>
        <v/>
      </c>
      <c r="L870" s="67" t="n"/>
      <c r="M870" s="77">
        <f>IF(INDEX(MO_SNA_IsHistoricalPeriod,,MATCH(F870,MO_Common_ColumnHeader,0)),"Actual","Estimate")</f>
        <v/>
      </c>
      <c r="N870" s="2108">
        <f>IFERROR(INDEX(INDIRECT(E870),0,MATCH(F870,MO_Common_ColumnHeader,0)),"N/A")</f>
        <v/>
      </c>
      <c r="O870" s="67" t="n"/>
      <c r="P870" s="2168">
        <f>IF(ISNUMBER(N870),N870-K870,"N/A")</f>
        <v/>
      </c>
      <c r="Q870" s="2168">
        <f>IFERROR(IF(ISNUMBER(N870),(N870-K870)/ABS(K870),"N/A"),"N/A")</f>
        <v/>
      </c>
      <c r="R870" s="67" t="n"/>
      <c r="S870" s="80" t="n">
        <v>43395</v>
      </c>
      <c r="T870" s="88" t="inlineStr">
        <is>
          <t>Press Release</t>
        </is>
      </c>
      <c r="U870" s="67" t="n"/>
      <c r="V870" s="1016" t="n"/>
    </row>
    <row r="871" ht="14.4" customHeight="1" s="972">
      <c r="A871" s="64" t="n">
        <v>93</v>
      </c>
      <c r="B871" s="77">
        <f>IF(INDEX(MO_SNA_IsHistoricalPeriod,,MATCH(F871,MO_Common_ColumnHeader,0)),"Historical","Forward")</f>
        <v/>
      </c>
      <c r="C871" s="67" t="n"/>
      <c r="D871" s="84">
        <f>INDEX(INDIRECT(E871),0,COLUMN(MO_Common_Column_A))</f>
        <v/>
      </c>
      <c r="E871" s="78" t="inlineStr">
        <is>
          <t>MO_RIS_NI_GAAP_Diluted</t>
        </is>
      </c>
      <c r="F871" s="77" t="inlineStr">
        <is>
          <t>Q4-2018</t>
        </is>
      </c>
      <c r="G871" s="77" t="n"/>
      <c r="H871" s="67" t="n"/>
      <c r="I871" s="2087" t="n">
        <v>76</v>
      </c>
      <c r="J871" s="2087" t="n">
        <v>82</v>
      </c>
      <c r="K871" s="2087">
        <f>AVERAGE(I871:J871)</f>
        <v/>
      </c>
      <c r="L871" s="67" t="n"/>
      <c r="M871" s="77">
        <f>IF(INDEX(MO_SNA_IsHistoricalPeriod,,MATCH(F871,MO_Common_ColumnHeader,0)),"Actual","Estimate")</f>
        <v/>
      </c>
      <c r="N871" s="2087">
        <f>IFERROR(INDEX(INDIRECT(E871),0,MATCH(F871,MO_Common_ColumnHeader,0)),"N/A")</f>
        <v/>
      </c>
      <c r="O871" s="67" t="n"/>
      <c r="P871" s="2169">
        <f>IF(ISNUMBER(N871),N871-K871,"N/A")</f>
        <v/>
      </c>
      <c r="Q871" s="2168">
        <f>IFERROR(IF(ISNUMBER(N871),(N871-K871)/ABS(K871),"N/A"),"N/A")</f>
        <v/>
      </c>
      <c r="R871" s="67" t="n"/>
      <c r="S871" s="80" t="n">
        <v>43395</v>
      </c>
      <c r="T871" s="88" t="inlineStr">
        <is>
          <t>Press Release</t>
        </is>
      </c>
      <c r="U871" s="67" t="n"/>
      <c r="V871" s="1016" t="n"/>
    </row>
    <row r="872" ht="14.4" customHeight="1" s="972">
      <c r="A872" s="64" t="n">
        <v>92</v>
      </c>
      <c r="B872" s="77">
        <f>IF(INDEX(MO_SNA_IsHistoricalPeriod,,MATCH(F872,MO_Common_ColumnHeader,0)),"Historical","Forward")</f>
        <v/>
      </c>
      <c r="C872" s="67" t="n"/>
      <c r="D872" s="84">
        <f>INDEX(INDIRECT(E872),0,COLUMN(MO_Common_Column_A))</f>
        <v/>
      </c>
      <c r="E872" s="78" t="inlineStr">
        <is>
          <t>MO_RIS_NI_NONGAAP_Diluted</t>
        </is>
      </c>
      <c r="F872" s="77" t="inlineStr">
        <is>
          <t>Q4-2018</t>
        </is>
      </c>
      <c r="G872" s="77" t="n"/>
      <c r="H872" s="67" t="n"/>
      <c r="I872" s="2087" t="n">
        <v>129</v>
      </c>
      <c r="J872" s="2087" t="n">
        <v>135</v>
      </c>
      <c r="K872" s="2087">
        <f>AVERAGE(I872:J872)</f>
        <v/>
      </c>
      <c r="L872" s="67" t="n"/>
      <c r="M872" s="77">
        <f>IF(INDEX(MO_SNA_IsHistoricalPeriod,,MATCH(F872,MO_Common_ColumnHeader,0)),"Actual","Estimate")</f>
        <v/>
      </c>
      <c r="N872" s="2087">
        <f>IFERROR(INDEX(INDIRECT(E872),0,MATCH(F872,MO_Common_ColumnHeader,0)),"N/A")</f>
        <v/>
      </c>
      <c r="O872" s="67" t="n"/>
      <c r="P872" s="2169">
        <f>IF(ISNUMBER(N872),N872-K872,"N/A")</f>
        <v/>
      </c>
      <c r="Q872" s="2168">
        <f>IFERROR(IF(ISNUMBER(N872),(N872-K872)/ABS(K872),"N/A"),"N/A")</f>
        <v/>
      </c>
      <c r="R872" s="67" t="n"/>
      <c r="S872" s="80" t="n">
        <v>43395</v>
      </c>
      <c r="T872" s="88" t="inlineStr">
        <is>
          <t>Press Release</t>
        </is>
      </c>
      <c r="U872" s="67" t="n"/>
      <c r="V872" s="1016" t="n"/>
    </row>
    <row r="873" ht="14.4" customHeight="1" s="972">
      <c r="A873" s="64" t="n">
        <v>91</v>
      </c>
      <c r="B873" s="77">
        <f>IF(INDEX(MO_SNA_IsHistoricalPeriod,,MATCH(F873,MO_Common_ColumnHeader,0)),"Historical","Forward")</f>
        <v/>
      </c>
      <c r="C873" s="67" t="n"/>
      <c r="D873" s="84" t="inlineStr">
        <is>
          <t>GAAP operating margin</t>
        </is>
      </c>
      <c r="E873" s="78" t="n"/>
      <c r="F873" s="77" t="inlineStr">
        <is>
          <t>Q4-2018</t>
        </is>
      </c>
      <c r="G873" s="77" t="n"/>
      <c r="H873" s="67" t="n"/>
      <c r="I873" s="2108" t="n">
        <v>0.18</v>
      </c>
      <c r="J873" s="2108" t="n">
        <v>0.19</v>
      </c>
      <c r="K873" s="2108">
        <f>AVERAGE(I873:J873)</f>
        <v/>
      </c>
      <c r="L873" s="67" t="n"/>
      <c r="M873" s="77">
        <f>IF(INDEX(MO_SNA_IsHistoricalPeriod,,MATCH(F873,MO_Common_ColumnHeader,0)),"Actual","Estimate")</f>
        <v/>
      </c>
      <c r="N873" s="2108">
        <f>IFERROR(INDEX(INDIRECT(E873),0,MATCH(F873,MO_Common_ColumnHeader,0)),"N/A")</f>
        <v/>
      </c>
      <c r="O873" s="67" t="n"/>
      <c r="P873" s="2168">
        <f>IF(ISNUMBER(N873),N873-K873,"N/A")</f>
        <v/>
      </c>
      <c r="Q873" s="2168">
        <f>IFERROR(IF(ISNUMBER(N873),(N873-K873)/ABS(K873),"N/A"),"N/A")</f>
        <v/>
      </c>
      <c r="R873" s="67" t="n"/>
      <c r="S873" s="80" t="n">
        <v>43395</v>
      </c>
      <c r="T873" s="88" t="inlineStr">
        <is>
          <t>Press Release</t>
        </is>
      </c>
      <c r="U873" s="67" t="n"/>
      <c r="V873" s="1016" t="n"/>
    </row>
    <row r="874" ht="14.4" customHeight="1" s="972">
      <c r="A874" s="64" t="n">
        <v>90</v>
      </c>
      <c r="B874" s="77">
        <f>IF(INDEX(MO_SNA_IsHistoricalPeriod,,MATCH(F874,MO_Common_ColumnHeader,0)),"Historical","Forward")</f>
        <v/>
      </c>
      <c r="C874" s="67" t="n"/>
      <c r="D874" s="84">
        <f>INDEX(INDIRECT(E874),0,COLUMN(MO_Common_Column_A))</f>
        <v/>
      </c>
      <c r="E874" s="78" t="inlineStr">
        <is>
          <t>MO_RIS_REV</t>
        </is>
      </c>
      <c r="F874" s="77" t="inlineStr">
        <is>
          <t>FY2018</t>
        </is>
      </c>
      <c r="G874" s="77" t="n"/>
      <c r="H874" s="67" t="n"/>
      <c r="I874" s="2087" t="n">
        <v>2113</v>
      </c>
      <c r="J874" s="2087" t="n">
        <v>2123</v>
      </c>
      <c r="K874" s="2087">
        <f>AVERAGE(I874:J874)</f>
        <v/>
      </c>
      <c r="L874" s="67" t="n"/>
      <c r="M874" s="77">
        <f>IF(INDEX(MO_SNA_IsHistoricalPeriod,,MATCH(F874,MO_Common_ColumnHeader,0)),"Actual","Estimate")</f>
        <v/>
      </c>
      <c r="N874" s="2087">
        <f>IFERROR(INDEX(INDIRECT(E874),0,MATCH(F874,MO_Common_ColumnHeader,0)),"N/A")</f>
        <v/>
      </c>
      <c r="O874" s="67" t="n"/>
      <c r="P874" s="2169">
        <f>IF(ISNUMBER(N874),N874-K874,"N/A")</f>
        <v/>
      </c>
      <c r="Q874" s="2168">
        <f>IFERROR(IF(ISNUMBER(N874),(N874-K874)/ABS(K874),"N/A"),"N/A")</f>
        <v/>
      </c>
      <c r="R874" s="67" t="n"/>
      <c r="S874" s="80" t="n">
        <v>43395</v>
      </c>
      <c r="T874" s="88" t="inlineStr">
        <is>
          <t>Press Release</t>
        </is>
      </c>
      <c r="U874" s="67" t="n"/>
      <c r="V874" s="1016" t="n"/>
    </row>
    <row r="875" ht="14.4" customHeight="1" s="972">
      <c r="A875" s="64" t="n">
        <v>89</v>
      </c>
      <c r="B875" s="77">
        <f>IF(INDEX(MO_SNA_IsHistoricalPeriod,,MATCH(F875,MO_Common_ColumnHeader,0)),"Historical","Forward")</f>
        <v/>
      </c>
      <c r="C875" s="67" t="n"/>
      <c r="D875" s="84">
        <f>INDEX(INDIRECT(E875),0,COLUMN(MO_Common_Column_A))</f>
        <v/>
      </c>
      <c r="E875" s="78" t="inlineStr">
        <is>
          <t>MO_RIS_EPS_WAD</t>
        </is>
      </c>
      <c r="F875" s="77" t="inlineStr">
        <is>
          <t>FY2018</t>
        </is>
      </c>
      <c r="G875" s="77" t="n"/>
      <c r="H875" s="67" t="n"/>
      <c r="I875" s="2170" t="n">
        <v>1.15</v>
      </c>
      <c r="J875" s="2170" t="n">
        <v>1.17</v>
      </c>
      <c r="K875" s="2170">
        <f>AVERAGE(I875:J875)</f>
        <v/>
      </c>
      <c r="L875" s="67" t="n"/>
      <c r="M875" s="77">
        <f>IF(INDEX(MO_SNA_IsHistoricalPeriod,,MATCH(F875,MO_Common_ColumnHeader,0)),"Actual","Estimate")</f>
        <v/>
      </c>
      <c r="N875" s="2170">
        <f>IFERROR(INDEX(INDIRECT(E875),0,MATCH(F875,MO_Common_ColumnHeader,0)),"N/A")</f>
        <v/>
      </c>
      <c r="O875" s="67" t="n"/>
      <c r="P875" s="2171">
        <f>IF(ISNUMBER(N875),N875-K875,"N/A")</f>
        <v/>
      </c>
      <c r="Q875" s="2168">
        <f>IFERROR(IF(ISNUMBER(N875),(N875-K875)/ABS(K875),"N/A"),"N/A")</f>
        <v/>
      </c>
      <c r="R875" s="67" t="n"/>
      <c r="S875" s="80" t="n">
        <v>43395</v>
      </c>
      <c r="T875" s="88" t="inlineStr">
        <is>
          <t>Press Release</t>
        </is>
      </c>
      <c r="U875" s="67" t="n"/>
      <c r="V875" s="1016" t="n"/>
    </row>
    <row r="876" ht="14.4" customHeight="1" s="972">
      <c r="A876" s="64" t="n">
        <v>88</v>
      </c>
      <c r="B876" s="77">
        <f>IF(INDEX(MO_SNA_IsHistoricalPeriod,,MATCH(F876,MO_Common_ColumnHeader,0)),"Historical","Forward")</f>
        <v/>
      </c>
      <c r="C876" s="67" t="n"/>
      <c r="D876" s="84">
        <f>INDEX(INDIRECT(E876),0,COLUMN(MO_Common_Column_A))</f>
        <v/>
      </c>
      <c r="E876" s="78" t="inlineStr">
        <is>
          <t>MO_RIS_EPS_WAD_Adj</t>
        </is>
      </c>
      <c r="F876" s="77" t="inlineStr">
        <is>
          <t>FY2018</t>
        </is>
      </c>
      <c r="G876" s="77" t="n"/>
      <c r="H876" s="67" t="n"/>
      <c r="I876" s="2170" t="n">
        <v>1.8</v>
      </c>
      <c r="J876" s="2170" t="n">
        <v>1.82</v>
      </c>
      <c r="K876" s="2170">
        <f>AVERAGE(I876:J876)</f>
        <v/>
      </c>
      <c r="L876" s="67" t="n"/>
      <c r="M876" s="77">
        <f>IF(INDEX(MO_SNA_IsHistoricalPeriod,,MATCH(F876,MO_Common_ColumnHeader,0)),"Actual","Estimate")</f>
        <v/>
      </c>
      <c r="N876" s="2170">
        <f>IFERROR(INDEX(INDIRECT(E876),0,MATCH(F876,MO_Common_ColumnHeader,0)),"N/A")</f>
        <v/>
      </c>
      <c r="O876" s="67" t="n"/>
      <c r="P876" s="2171">
        <f>IF(ISNUMBER(N876),N876-K876,"N/A")</f>
        <v/>
      </c>
      <c r="Q876" s="2168">
        <f>IFERROR(IF(ISNUMBER(N876),(N876-K876)/ABS(K876),"N/A"),"N/A")</f>
        <v/>
      </c>
      <c r="R876" s="67" t="n"/>
      <c r="S876" s="80" t="n">
        <v>43395</v>
      </c>
      <c r="T876" s="88" t="inlineStr">
        <is>
          <t>Press Release</t>
        </is>
      </c>
      <c r="U876" s="67" t="n"/>
      <c r="V876" s="1016" t="n"/>
    </row>
    <row r="877" ht="14.4" customHeight="1" s="972">
      <c r="A877" s="64" t="n">
        <v>87</v>
      </c>
      <c r="B877" s="77">
        <f>IF(INDEX(MO_SNA_IsHistoricalPeriod,,MATCH(F877,MO_Common_ColumnHeader,0)),"Historical","Forward")</f>
        <v/>
      </c>
      <c r="C877" s="67" t="n"/>
      <c r="D877" s="84">
        <f>INDEX(INDIRECT(E877),0,COLUMN(MO_Common_Column_A))</f>
        <v/>
      </c>
      <c r="E877" s="78" t="inlineStr">
        <is>
          <t>MO_RIS_TaxRate_NONGAAP</t>
        </is>
      </c>
      <c r="F877" s="77" t="inlineStr">
        <is>
          <t>FY2018</t>
        </is>
      </c>
      <c r="G877" s="77" t="n"/>
      <c r="H877" s="67" t="n"/>
      <c r="I877" s="2108" t="n">
        <v>0.16</v>
      </c>
      <c r="J877" s="2108" t="n">
        <v>0.16</v>
      </c>
      <c r="K877" s="2108">
        <f>AVERAGE(I877:J877)</f>
        <v/>
      </c>
      <c r="L877" s="67" t="n"/>
      <c r="M877" s="77">
        <f>IF(INDEX(MO_SNA_IsHistoricalPeriod,,MATCH(F877,MO_Common_ColumnHeader,0)),"Actual","Estimate")</f>
        <v/>
      </c>
      <c r="N877" s="2108">
        <f>IFERROR(INDEX(INDIRECT(E877),0,MATCH(F877,MO_Common_ColumnHeader,0)),"N/A")</f>
        <v/>
      </c>
      <c r="O877" s="67" t="n"/>
      <c r="P877" s="2168">
        <f>IF(ISNUMBER(N877),N877-K877,"N/A")</f>
        <v/>
      </c>
      <c r="Q877" s="2168">
        <f>IFERROR(IF(ISNUMBER(N877),(N877-K877)/ABS(K877),"N/A"),"N/A")</f>
        <v/>
      </c>
      <c r="R877" s="67" t="n"/>
      <c r="S877" s="80" t="n">
        <v>43395</v>
      </c>
      <c r="T877" s="88" t="inlineStr">
        <is>
          <t>Press Release</t>
        </is>
      </c>
      <c r="U877" s="67" t="n"/>
      <c r="V877" s="1016" t="n"/>
    </row>
    <row r="878" ht="14.4" customHeight="1" s="972">
      <c r="A878" s="64" t="n">
        <v>86</v>
      </c>
      <c r="B878" s="77">
        <f>IF(INDEX(MO_SNA_IsHistoricalPeriod,,MATCH(F878,MO_Common_ColumnHeader,0)),"Historical","Forward")</f>
        <v/>
      </c>
      <c r="C878" s="67" t="n"/>
      <c r="D878" s="84">
        <f>INDEX(INDIRECT(E878),0,COLUMN(MO_Common_Column_A))</f>
        <v/>
      </c>
      <c r="E878" s="78" t="inlineStr">
        <is>
          <t>MO_RIS_Daintangibles</t>
        </is>
      </c>
      <c r="F878" s="77" t="inlineStr">
        <is>
          <t>FY2018</t>
        </is>
      </c>
      <c r="G878" s="77" t="n"/>
      <c r="H878" s="67" t="n"/>
      <c r="I878" s="2087" t="n">
        <v>54</v>
      </c>
      <c r="J878" s="2087" t="n">
        <v>54</v>
      </c>
      <c r="K878" s="2087">
        <f>AVERAGE(I878:J878)</f>
        <v/>
      </c>
      <c r="L878" s="67" t="n"/>
      <c r="M878" s="77">
        <f>IF(INDEX(MO_SNA_IsHistoricalPeriod,,MATCH(F878,MO_Common_ColumnHeader,0)),"Actual","Estimate")</f>
        <v/>
      </c>
      <c r="N878" s="2087">
        <f>IFERROR(INDEX(INDIRECT(E878),0,MATCH(F878,MO_Common_ColumnHeader,0)),"N/A")</f>
        <v/>
      </c>
      <c r="O878" s="67" t="n"/>
      <c r="P878" s="2169">
        <f>IF(ISNUMBER(N878),N878-K878,"N/A")</f>
        <v/>
      </c>
      <c r="Q878" s="2168">
        <f>IFERROR(IF(ISNUMBER(N878),(N878-K878)/ABS(K878),"N/A"),"N/A")</f>
        <v/>
      </c>
      <c r="R878" s="67" t="n"/>
      <c r="S878" s="80" t="n">
        <v>43395</v>
      </c>
      <c r="T878" s="88" t="inlineStr">
        <is>
          <t>Press Release</t>
        </is>
      </c>
      <c r="U878" s="67" t="n"/>
      <c r="V878" s="1016" t="n"/>
    </row>
    <row r="879" ht="14.4" customHeight="1" s="972">
      <c r="A879" s="64" t="n">
        <v>85</v>
      </c>
      <c r="B879" s="77">
        <f>IF(INDEX(MO_SNA_IsHistoricalPeriod,,MATCH(F879,MO_Common_ColumnHeader,0)),"Historical","Forward")</f>
        <v/>
      </c>
      <c r="C879" s="67" t="n"/>
      <c r="D879" s="84">
        <f>INDEX(INDIRECT(E879),0,COLUMN(MO_Common_Column_A))</f>
        <v/>
      </c>
      <c r="E879" s="78" t="inlineStr">
        <is>
          <t>MO_RIS_SBC</t>
        </is>
      </c>
      <c r="F879" s="77" t="inlineStr">
        <is>
          <t>FY2018</t>
        </is>
      </c>
      <c r="G879" s="77" t="n"/>
      <c r="H879" s="67" t="n"/>
      <c r="I879" s="2087" t="n">
        <v>169</v>
      </c>
      <c r="J879" s="2087" t="n">
        <v>169</v>
      </c>
      <c r="K879" s="2087">
        <f>AVERAGE(I879:J879)</f>
        <v/>
      </c>
      <c r="L879" s="67" t="n"/>
      <c r="M879" s="77">
        <f>IF(INDEX(MO_SNA_IsHistoricalPeriod,,MATCH(F879,MO_Common_ColumnHeader,0)),"Actual","Estimate")</f>
        <v/>
      </c>
      <c r="N879" s="2087">
        <f>IFERROR(INDEX(INDIRECT(E879),0,MATCH(F879,MO_Common_ColumnHeader,0)),"N/A")</f>
        <v/>
      </c>
      <c r="O879" s="67" t="n"/>
      <c r="P879" s="2169">
        <f>IF(ISNUMBER(N879),N879-K879,"N/A")</f>
        <v/>
      </c>
      <c r="Q879" s="2168">
        <f>IFERROR(IF(ISNUMBER(N879),(N879-K879)/ABS(K879),"N/A"),"N/A")</f>
        <v/>
      </c>
      <c r="R879" s="67" t="n"/>
      <c r="S879" s="80" t="n">
        <v>43395</v>
      </c>
      <c r="T879" s="88" t="inlineStr">
        <is>
          <t>Press Release</t>
        </is>
      </c>
      <c r="U879" s="67" t="n"/>
      <c r="V879" s="1016" t="n"/>
    </row>
    <row r="880" ht="14.4" customHeight="1" s="972">
      <c r="A880" s="64" t="n">
        <v>84</v>
      </c>
      <c r="B880" s="77">
        <f>IF(INDEX(MO_SNA_IsHistoricalPeriod,,MATCH(F880,MO_Common_ColumnHeader,0)),"Historical","Forward")</f>
        <v/>
      </c>
      <c r="C880" s="67" t="n"/>
      <c r="D880" s="84" t="inlineStr">
        <is>
          <t>Restructuring and other charges</t>
        </is>
      </c>
      <c r="E880" s="78" t="n"/>
      <c r="F880" s="77" t="inlineStr">
        <is>
          <t>FY2018</t>
        </is>
      </c>
      <c r="G880" s="77" t="n"/>
      <c r="H880" s="67" t="n"/>
      <c r="I880" s="2087" t="n">
        <v>-3</v>
      </c>
      <c r="J880" s="2087" t="n">
        <v>-3</v>
      </c>
      <c r="K880" s="2087">
        <f>AVERAGE(I880:J880)</f>
        <v/>
      </c>
      <c r="L880" s="67" t="n"/>
      <c r="M880" s="77">
        <f>IF(INDEX(MO_SNA_IsHistoricalPeriod,,MATCH(F880,MO_Common_ColumnHeader,0)),"Actual","Estimate")</f>
        <v/>
      </c>
      <c r="N880" s="2087">
        <f>IFERROR(INDEX(INDIRECT(E880),0,MATCH(F880,MO_Common_ColumnHeader,0)),"N/A")</f>
        <v/>
      </c>
      <c r="O880" s="67" t="n"/>
      <c r="P880" s="2169">
        <f>IF(ISNUMBER(N880),N880-K880,"N/A")</f>
        <v/>
      </c>
      <c r="Q880" s="2168">
        <f>IFERROR(IF(ISNUMBER(N880),(N880-K880)/ABS(K880),"N/A"),"N/A")</f>
        <v/>
      </c>
      <c r="R880" s="67" t="n"/>
      <c r="S880" s="80" t="n">
        <v>43395</v>
      </c>
      <c r="T880" s="88" t="inlineStr">
        <is>
          <t>Press Release</t>
        </is>
      </c>
      <c r="U880" s="67" t="n"/>
      <c r="V880" s="1016" t="n"/>
    </row>
    <row r="881" ht="14.4" customHeight="1" s="972">
      <c r="A881" s="64" t="n">
        <v>83</v>
      </c>
      <c r="B881" s="77">
        <f>IF(INDEX(MO_SNA_IsHistoricalPeriod,,MATCH(F881,MO_Common_ColumnHeader,0)),"Historical","Forward")</f>
        <v/>
      </c>
      <c r="C881" s="67" t="n"/>
      <c r="D881" s="84" t="inlineStr">
        <is>
          <t>Acquisition and integration-related costs</t>
        </is>
      </c>
      <c r="E881" s="78" t="n"/>
      <c r="F881" s="77" t="inlineStr">
        <is>
          <t>FY2018</t>
        </is>
      </c>
      <c r="G881" s="77" t="n"/>
      <c r="H881" s="67" t="n"/>
      <c r="I881" s="2087" t="n">
        <v>26</v>
      </c>
      <c r="J881" s="2087" t="n">
        <v>26</v>
      </c>
      <c r="K881" s="2087">
        <f>AVERAGE(I881:J881)</f>
        <v/>
      </c>
      <c r="L881" s="67" t="n"/>
      <c r="M881" s="77">
        <f>IF(INDEX(MO_SNA_IsHistoricalPeriod,,MATCH(F881,MO_Common_ColumnHeader,0)),"Actual","Estimate")</f>
        <v/>
      </c>
      <c r="N881" s="2087">
        <f>IFERROR(INDEX(INDIRECT(E881),0,MATCH(F881,MO_Common_ColumnHeader,0)),"N/A")</f>
        <v/>
      </c>
      <c r="O881" s="67" t="n"/>
      <c r="P881" s="2169">
        <f>IF(ISNUMBER(N881),N881-K881,"N/A")</f>
        <v/>
      </c>
      <c r="Q881" s="2168">
        <f>IFERROR(IF(ISNUMBER(N881),(N881-K881)/ABS(K881),"N/A"),"N/A")</f>
        <v/>
      </c>
      <c r="R881" s="67" t="n"/>
      <c r="S881" s="80" t="n">
        <v>43395</v>
      </c>
      <c r="T881" s="88" t="inlineStr">
        <is>
          <t>Press Release</t>
        </is>
      </c>
      <c r="U881" s="67" t="n"/>
      <c r="V881" s="1016" t="n"/>
    </row>
    <row r="882" ht="14.4" customHeight="1" s="972">
      <c r="A882" s="64" t="n">
        <v>82</v>
      </c>
      <c r="B882" s="77">
        <f>IF(INDEX(MO_SNA_IsHistoricalPeriod,,MATCH(F882,MO_Common_ColumnHeader,0)),"Historical","Forward")</f>
        <v/>
      </c>
      <c r="C882" s="67" t="n"/>
      <c r="D882" s="84" t="inlineStr">
        <is>
          <t>Income tax effect on non-GAAP adjustments</t>
        </is>
      </c>
      <c r="E882" s="78" t="n"/>
      <c r="F882" s="77" t="inlineStr">
        <is>
          <t>FY2018</t>
        </is>
      </c>
      <c r="G882" s="77" t="n"/>
      <c r="H882" s="67" t="n"/>
      <c r="I882" s="2087" t="n">
        <v>-61</v>
      </c>
      <c r="J882" s="2087" t="n">
        <v>-61</v>
      </c>
      <c r="K882" s="2087">
        <f>AVERAGE(I882:J882)</f>
        <v/>
      </c>
      <c r="L882" s="67" t="n"/>
      <c r="M882" s="77">
        <f>IF(INDEX(MO_SNA_IsHistoricalPeriod,,MATCH(F882,MO_Common_ColumnHeader,0)),"Actual","Estimate")</f>
        <v/>
      </c>
      <c r="N882" s="2087">
        <f>IFERROR(INDEX(INDIRECT(E882),0,MATCH(F882,MO_Common_ColumnHeader,0)),"N/A")</f>
        <v/>
      </c>
      <c r="O882" s="67" t="n"/>
      <c r="P882" s="2169">
        <f>IF(ISNUMBER(N882),N882-K882,"N/A")</f>
        <v/>
      </c>
      <c r="Q882" s="2168">
        <f>IFERROR(IF(ISNUMBER(N882),(N882-K882)/ABS(K882),"N/A"),"N/A")</f>
        <v/>
      </c>
      <c r="R882" s="67" t="n"/>
      <c r="S882" s="80" t="n">
        <v>43395</v>
      </c>
      <c r="T882" s="88" t="inlineStr">
        <is>
          <t>Press Release</t>
        </is>
      </c>
      <c r="U882" s="67" t="n"/>
      <c r="V882" s="1016" t="n"/>
    </row>
    <row r="883" ht="14.4" customHeight="1" s="972">
      <c r="A883" s="64" t="n">
        <v>81</v>
      </c>
      <c r="B883" s="77">
        <f>IF(INDEX(MO_SNA_IsHistoricalPeriod,,MATCH(F883,MO_Common_ColumnHeader,0)),"Historical","Forward")</f>
        <v/>
      </c>
      <c r="C883" s="67" t="n"/>
      <c r="D883" s="84">
        <f>INDEX(INDIRECT(E883),0,COLUMN(MO_Common_Column_A))</f>
        <v/>
      </c>
      <c r="E883" s="78" t="inlineStr">
        <is>
          <t>MO_RIS_NI_GAAP_Diluted</t>
        </is>
      </c>
      <c r="F883" s="77" t="inlineStr">
        <is>
          <t>FY2018</t>
        </is>
      </c>
      <c r="G883" s="77" t="n"/>
      <c r="H883" s="67" t="n"/>
      <c r="I883" s="2087" t="n">
        <v>324</v>
      </c>
      <c r="J883" s="2087" t="n">
        <v>330</v>
      </c>
      <c r="K883" s="2087">
        <f>AVERAGE(I883:J883)</f>
        <v/>
      </c>
      <c r="L883" s="67" t="n"/>
      <c r="M883" s="77">
        <f>IF(INDEX(MO_SNA_IsHistoricalPeriod,,MATCH(F883,MO_Common_ColumnHeader,0)),"Actual","Estimate")</f>
        <v/>
      </c>
      <c r="N883" s="2087">
        <f>IFERROR(INDEX(INDIRECT(E883),0,MATCH(F883,MO_Common_ColumnHeader,0)),"N/A")</f>
        <v/>
      </c>
      <c r="O883" s="67" t="n"/>
      <c r="P883" s="2169">
        <f>IF(ISNUMBER(N883),N883-K883,"N/A")</f>
        <v/>
      </c>
      <c r="Q883" s="2168">
        <f>IFERROR(IF(ISNUMBER(N883),(N883-K883)/ABS(K883),"N/A"),"N/A")</f>
        <v/>
      </c>
      <c r="R883" s="67" t="n"/>
      <c r="S883" s="80" t="n">
        <v>43395</v>
      </c>
      <c r="T883" s="88" t="inlineStr">
        <is>
          <t>Press Release</t>
        </is>
      </c>
      <c r="U883" s="67" t="n"/>
      <c r="V883" s="1016" t="n"/>
    </row>
    <row r="884" ht="14.4" customHeight="1" s="972">
      <c r="A884" s="64" t="n">
        <v>80</v>
      </c>
      <c r="B884" s="77">
        <f>IF(INDEX(MO_SNA_IsHistoricalPeriod,,MATCH(F884,MO_Common_ColumnHeader,0)),"Historical","Forward")</f>
        <v/>
      </c>
      <c r="C884" s="67" t="n"/>
      <c r="D884" s="84">
        <f>INDEX(INDIRECT(E884),0,COLUMN(MO_Common_Column_A))</f>
        <v/>
      </c>
      <c r="E884" s="78" t="inlineStr">
        <is>
          <t>MO_RIS_NI_NONGAAP_Diluted</t>
        </is>
      </c>
      <c r="F884" s="77" t="inlineStr">
        <is>
          <t>FY2018</t>
        </is>
      </c>
      <c r="G884" s="77" t="n"/>
      <c r="H884" s="67" t="n"/>
      <c r="I884" s="2087" t="n">
        <v>508</v>
      </c>
      <c r="J884" s="2087" t="n">
        <v>514</v>
      </c>
      <c r="K884" s="2087">
        <f>AVERAGE(I884:J884)</f>
        <v/>
      </c>
      <c r="L884" s="67" t="n"/>
      <c r="M884" s="77">
        <f>IF(INDEX(MO_SNA_IsHistoricalPeriod,,MATCH(F884,MO_Common_ColumnHeader,0)),"Actual","Estimate")</f>
        <v/>
      </c>
      <c r="N884" s="2087">
        <f>IFERROR(INDEX(INDIRECT(E884),0,MATCH(F884,MO_Common_ColumnHeader,0)),"N/A")</f>
        <v/>
      </c>
      <c r="O884" s="67" t="n"/>
      <c r="P884" s="2169">
        <f>IF(ISNUMBER(N884),N884-K884,"N/A")</f>
        <v/>
      </c>
      <c r="Q884" s="2168">
        <f>IFERROR(IF(ISNUMBER(N884),(N884-K884)/ABS(K884),"N/A"),"N/A")</f>
        <v/>
      </c>
      <c r="R884" s="67" t="n"/>
      <c r="S884" s="80" t="n">
        <v>43395</v>
      </c>
      <c r="T884" s="88" t="inlineStr">
        <is>
          <t>Press Release</t>
        </is>
      </c>
      <c r="U884" s="67" t="n"/>
      <c r="V884" s="1016" t="n"/>
    </row>
    <row r="885" ht="14.4" customHeight="1" s="972">
      <c r="A885" s="64" t="n">
        <v>79</v>
      </c>
      <c r="B885" s="77">
        <f>IF(INDEX(MO_SNA_IsHistoricalPeriod,,MATCH(F885,MO_Common_ColumnHeader,0)),"Historical","Forward")</f>
        <v/>
      </c>
      <c r="C885" s="67" t="n"/>
      <c r="D885" s="84" t="inlineStr">
        <is>
          <t>GAAP operating margin</t>
        </is>
      </c>
      <c r="E885" s="78" t="n"/>
      <c r="F885" s="77" t="inlineStr">
        <is>
          <t>FY2018</t>
        </is>
      </c>
      <c r="G885" s="77" t="n"/>
      <c r="H885" s="67" t="n"/>
      <c r="I885" s="2108" t="n">
        <v>0.178</v>
      </c>
      <c r="J885" s="2108" t="n">
        <v>0.183</v>
      </c>
      <c r="K885" s="2108">
        <f>AVERAGE(I885:J885)</f>
        <v/>
      </c>
      <c r="L885" s="67" t="n"/>
      <c r="M885" s="77">
        <f>IF(INDEX(MO_SNA_IsHistoricalPeriod,,MATCH(F885,MO_Common_ColumnHeader,0)),"Actual","Estimate")</f>
        <v/>
      </c>
      <c r="N885" s="2108">
        <f>IFERROR(INDEX(INDIRECT(E885),0,MATCH(F885,MO_Common_ColumnHeader,0)),"N/A")</f>
        <v/>
      </c>
      <c r="O885" s="67" t="n"/>
      <c r="P885" s="2168">
        <f>IF(ISNUMBER(N885),N885-K885,"N/A")</f>
        <v/>
      </c>
      <c r="Q885" s="2168">
        <f>IFERROR(IF(ISNUMBER(N885),(N885-K885)/ABS(K885),"N/A"),"N/A")</f>
        <v/>
      </c>
      <c r="R885" s="67" t="n"/>
      <c r="S885" s="80" t="n">
        <v>43395</v>
      </c>
      <c r="T885" s="88" t="inlineStr">
        <is>
          <t>Press Release</t>
        </is>
      </c>
      <c r="U885" s="67" t="n"/>
      <c r="V885" s="1016" t="n"/>
    </row>
    <row r="886" ht="14.4" customHeight="1" s="972">
      <c r="A886" s="64" t="n">
        <v>78</v>
      </c>
      <c r="B886" s="77">
        <f>IF(INDEX(MO_SNA_IsHistoricalPeriod,,MATCH(F886,MO_Common_ColumnHeader,0)),"Historical","Forward")</f>
        <v/>
      </c>
      <c r="C886" s="67" t="n"/>
      <c r="D886" s="84">
        <f>INDEX(INDIRECT(E886),0,COLUMN(MO_Common_Column_A))</f>
        <v/>
      </c>
      <c r="E886" s="78" t="inlineStr">
        <is>
          <t>MO_MA_OperatingIncome</t>
        </is>
      </c>
      <c r="F886" s="77" t="inlineStr">
        <is>
          <t>FY2018</t>
        </is>
      </c>
      <c r="G886" s="77" t="n"/>
      <c r="H886" s="67" t="n"/>
      <c r="I886" s="2108" t="n">
        <v>0.295</v>
      </c>
      <c r="J886" s="2108" t="n">
        <v>0.3</v>
      </c>
      <c r="K886" s="2108">
        <f>AVERAGE(I886:J886)</f>
        <v/>
      </c>
      <c r="L886" s="67" t="n"/>
      <c r="M886" s="77">
        <f>IF(INDEX(MO_SNA_IsHistoricalPeriod,,MATCH(F886,MO_Common_ColumnHeader,0)),"Actual","Estimate")</f>
        <v/>
      </c>
      <c r="N886" s="2108">
        <f>IFERROR(INDEX(INDIRECT(E886),0,MATCH(F886,MO_Common_ColumnHeader,0)),"N/A")</f>
        <v/>
      </c>
      <c r="O886" s="67" t="n"/>
      <c r="P886" s="2168">
        <f>IF(ISNUMBER(N886),N886-K886,"N/A")</f>
        <v/>
      </c>
      <c r="Q886" s="2168">
        <f>IFERROR(IF(ISNUMBER(N886),(N886-K886)/ABS(K886),"N/A"),"N/A")</f>
        <v/>
      </c>
      <c r="R886" s="67" t="n"/>
      <c r="S886" s="80" t="n">
        <v>43395</v>
      </c>
      <c r="T886" s="88" t="inlineStr">
        <is>
          <t>Press Release</t>
        </is>
      </c>
      <c r="U886" s="67" t="n"/>
      <c r="V886" s="1016" t="n"/>
    </row>
    <row r="887" ht="14.4" customHeight="1" s="972">
      <c r="A887" s="64" t="n">
        <v>77</v>
      </c>
      <c r="B887" s="67" t="n"/>
      <c r="C887" s="67" t="n"/>
      <c r="D887" s="68" t="n"/>
      <c r="E887" s="69" t="n"/>
      <c r="F887" s="67" t="n"/>
      <c r="G887" s="67" t="n"/>
      <c r="H887" s="67" t="n"/>
      <c r="I887" s="2072" t="n"/>
      <c r="J887" s="2072" t="n"/>
      <c r="K887" s="2072" t="n"/>
      <c r="L887" s="67" t="n"/>
      <c r="M887" s="67" t="n"/>
      <c r="N887" s="2072" t="n"/>
      <c r="O887" s="67" t="n"/>
      <c r="P887" s="2172" t="n"/>
      <c r="Q887" s="2173" t="n"/>
      <c r="R887" s="67" t="n"/>
      <c r="S887" s="72" t="n"/>
      <c r="T887" s="89" t="n"/>
      <c r="U887" s="67" t="n"/>
      <c r="V887" s="1016" t="n"/>
    </row>
    <row r="888" ht="14.4" customHeight="1" s="972">
      <c r="A888" s="64" t="n">
        <v>76</v>
      </c>
      <c r="B888" s="77">
        <f>IF(INDEX(MO_SNA_IsHistoricalPeriod,,MATCH(F888,MO_Common_ColumnHeader,0)),"Historical","Forward")</f>
        <v/>
      </c>
      <c r="C888" s="67" t="n"/>
      <c r="D888" s="84">
        <f>INDEX(INDIRECT(E888),0,COLUMN(MO_Common_Column_A))</f>
        <v/>
      </c>
      <c r="E888" s="78" t="inlineStr">
        <is>
          <t>MO_RIS_REV</t>
        </is>
      </c>
      <c r="F888" s="77" t="inlineStr">
        <is>
          <t>Q3-2018</t>
        </is>
      </c>
      <c r="G888" s="77" t="n"/>
      <c r="H888" s="67" t="n"/>
      <c r="I888" s="2087" t="n">
        <v>510</v>
      </c>
      <c r="J888" s="2087" t="n">
        <v>520</v>
      </c>
      <c r="K888" s="2087">
        <f>AVERAGE(I888:J888)</f>
        <v/>
      </c>
      <c r="L888" s="67" t="n"/>
      <c r="M888" s="77">
        <f>IF(INDEX(MO_SNA_IsHistoricalPeriod,,MATCH(F888,MO_Common_ColumnHeader,0)),"Actual","Estimate")</f>
        <v/>
      </c>
      <c r="N888" s="2087">
        <f>IFERROR(INDEX(INDIRECT(E888),0,MATCH(F888,MO_Common_ColumnHeader,0)),"N/A")</f>
        <v/>
      </c>
      <c r="O888" s="2072" t="n"/>
      <c r="P888" s="2169">
        <f>IF(ISNUMBER(N888),N888-K888,"N/A")</f>
        <v/>
      </c>
      <c r="Q888" s="2168">
        <f>IFERROR(IF(ISNUMBER(N888),(N888-K888)/ABS(K888),"N/A"),"N/A")</f>
        <v/>
      </c>
      <c r="R888" s="67" t="n"/>
      <c r="S888" s="80" t="n">
        <v>43304</v>
      </c>
      <c r="T888" s="88" t="inlineStr">
        <is>
          <t>Press Release</t>
        </is>
      </c>
      <c r="U888" s="67" t="n"/>
      <c r="V888" s="1016" t="n"/>
    </row>
    <row r="889" ht="14.4" customHeight="1" s="972">
      <c r="A889" s="64" t="n">
        <v>75</v>
      </c>
      <c r="B889" s="77">
        <f>IF(INDEX(MO_SNA_IsHistoricalPeriod,,MATCH(F889,MO_Common_ColumnHeader,0)),"Historical","Forward")</f>
        <v/>
      </c>
      <c r="C889" s="67" t="n"/>
      <c r="D889" s="84">
        <f>INDEX(INDIRECT(E889),0,COLUMN(MO_Common_Column_A))</f>
        <v/>
      </c>
      <c r="E889" s="78" t="inlineStr">
        <is>
          <t>MO_RIS_EPS_WAD</t>
        </is>
      </c>
      <c r="F889" s="77" t="inlineStr">
        <is>
          <t>Q3-2018</t>
        </is>
      </c>
      <c r="G889" s="77" t="n"/>
      <c r="H889" s="67" t="n"/>
      <c r="I889" s="2170" t="n">
        <v>0.22</v>
      </c>
      <c r="J889" s="2170" t="n">
        <v>0.24</v>
      </c>
      <c r="K889" s="2170">
        <f>AVERAGE(I889:J889)</f>
        <v/>
      </c>
      <c r="L889" s="67" t="n"/>
      <c r="M889" s="77">
        <f>IF(INDEX(MO_SNA_IsHistoricalPeriod,,MATCH(F889,MO_Common_ColumnHeader,0)),"Actual","Estimate")</f>
        <v/>
      </c>
      <c r="N889" s="2170">
        <f>IFERROR(INDEX(INDIRECT(E889),0,MATCH(F889,MO_Common_ColumnHeader,0)),"N/A")</f>
        <v/>
      </c>
      <c r="O889" s="67" t="n"/>
      <c r="P889" s="2171">
        <f>IF(ISNUMBER(N889),N889-K889,"N/A")</f>
        <v/>
      </c>
      <c r="Q889" s="2168">
        <f>IFERROR(IF(ISNUMBER(N889),(N889-K889)/ABS(K889),"N/A"),"N/A")</f>
        <v/>
      </c>
      <c r="R889" s="67" t="n"/>
      <c r="S889" s="80" t="n">
        <v>43304</v>
      </c>
      <c r="T889" s="88" t="inlineStr">
        <is>
          <t>Press Release</t>
        </is>
      </c>
      <c r="U889" s="67" t="n"/>
      <c r="V889" s="1016" t="n"/>
    </row>
    <row r="890" ht="14.4" customHeight="1" s="972">
      <c r="A890" s="64" t="n">
        <v>74</v>
      </c>
      <c r="B890" s="77">
        <f>IF(INDEX(MO_SNA_IsHistoricalPeriod,,MATCH(F890,MO_Common_ColumnHeader,0)),"Historical","Forward")</f>
        <v/>
      </c>
      <c r="C890" s="67" t="n"/>
      <c r="D890" s="84">
        <f>INDEX(INDIRECT(E890),0,COLUMN(MO_Common_Column_A))</f>
        <v/>
      </c>
      <c r="E890" s="78" t="inlineStr">
        <is>
          <t>MO_RIS_EPS_WAD_Adj</t>
        </is>
      </c>
      <c r="F890" s="77" t="inlineStr">
        <is>
          <t>Q3-2018</t>
        </is>
      </c>
      <c r="G890" s="77" t="n"/>
      <c r="H890" s="67" t="n"/>
      <c r="I890" s="2170" t="n">
        <v>0.4</v>
      </c>
      <c r="J890" s="2170" t="n">
        <v>0.42</v>
      </c>
      <c r="K890" s="2170">
        <f>AVERAGE(I890:J890)</f>
        <v/>
      </c>
      <c r="L890" s="67" t="n"/>
      <c r="M890" s="77">
        <f>IF(INDEX(MO_SNA_IsHistoricalPeriod,,MATCH(F890,MO_Common_ColumnHeader,0)),"Actual","Estimate")</f>
        <v/>
      </c>
      <c r="N890" s="2170">
        <f>IFERROR(INDEX(INDIRECT(E890),0,MATCH(F890,MO_Common_ColumnHeader,0)),"N/A")</f>
        <v/>
      </c>
      <c r="O890" s="67" t="n"/>
      <c r="P890" s="2171">
        <f>IF(ISNUMBER(N890),N890-K890,"N/A")</f>
        <v/>
      </c>
      <c r="Q890" s="2168">
        <f>IFERROR(IF(ISNUMBER(N890),(N890-K890)/ABS(K890),"N/A"),"N/A")</f>
        <v/>
      </c>
      <c r="R890" s="67" t="n"/>
      <c r="S890" s="80" t="n">
        <v>43304</v>
      </c>
      <c r="T890" s="88" t="inlineStr">
        <is>
          <t>Press Release</t>
        </is>
      </c>
      <c r="U890" s="67" t="n"/>
      <c r="V890" s="1016" t="n"/>
    </row>
    <row r="891" ht="14.4" customHeight="1" s="972">
      <c r="A891" s="64" t="n">
        <v>73</v>
      </c>
      <c r="B891" s="77">
        <f>IF(INDEX(MO_SNA_IsHistoricalPeriod,,MATCH(F891,MO_Common_ColumnHeader,0)),"Historical","Forward")</f>
        <v/>
      </c>
      <c r="C891" s="67" t="n"/>
      <c r="D891" s="84">
        <f>INDEX(INDIRECT(E891),0,COLUMN(MO_Common_Column_A))</f>
        <v/>
      </c>
      <c r="E891" s="78" t="inlineStr">
        <is>
          <t>MO_RIS_REV</t>
        </is>
      </c>
      <c r="F891" s="77" t="inlineStr">
        <is>
          <t>FY2018</t>
        </is>
      </c>
      <c r="G891" s="77" t="n"/>
      <c r="H891" s="67" t="n"/>
      <c r="I891" s="2087" t="n">
        <v>2070</v>
      </c>
      <c r="J891" s="2087" t="n">
        <v>2090</v>
      </c>
      <c r="K891" s="2087">
        <f>AVERAGE(I891:J891)</f>
        <v/>
      </c>
      <c r="L891" s="67" t="n"/>
      <c r="M891" s="77">
        <f>IF(INDEX(MO_SNA_IsHistoricalPeriod,,MATCH(F891,MO_Common_ColumnHeader,0)),"Actual","Estimate")</f>
        <v/>
      </c>
      <c r="N891" s="2087">
        <f>IFERROR(INDEX(INDIRECT(E891),0,MATCH(F891,MO_Common_ColumnHeader,0)),"N/A")</f>
        <v/>
      </c>
      <c r="O891" s="67" t="n"/>
      <c r="P891" s="2169">
        <f>IF(ISNUMBER(N891),N891-K891,"N/A")</f>
        <v/>
      </c>
      <c r="Q891" s="2168">
        <f>IFERROR(IF(ISNUMBER(N891),(N891-K891)/ABS(K891),"N/A"),"N/A")</f>
        <v/>
      </c>
      <c r="R891" s="67" t="n"/>
      <c r="S891" s="80" t="n">
        <v>43304</v>
      </c>
      <c r="T891" s="88" t="inlineStr">
        <is>
          <t>Press Release</t>
        </is>
      </c>
      <c r="U891" s="67" t="n"/>
      <c r="V891" s="1016" t="n"/>
    </row>
    <row r="892" ht="14.4" customHeight="1" s="972">
      <c r="A892" s="64" t="n">
        <v>72</v>
      </c>
      <c r="B892" s="77">
        <f>IF(INDEX(MO_SNA_IsHistoricalPeriod,,MATCH(F892,MO_Common_ColumnHeader,0)),"Historical","Forward")</f>
        <v/>
      </c>
      <c r="C892" s="67" t="n"/>
      <c r="D892" s="84">
        <f>INDEX(INDIRECT(E892),0,COLUMN(MO_Common_Column_A))</f>
        <v/>
      </c>
      <c r="E892" s="78" t="inlineStr">
        <is>
          <t>MO_RIS_EPS_WAD</t>
        </is>
      </c>
      <c r="F892" s="77" t="inlineStr">
        <is>
          <t>FY2018</t>
        </is>
      </c>
      <c r="G892" s="77" t="n"/>
      <c r="H892" s="67" t="n"/>
      <c r="I892" s="2170" t="n">
        <v>0.95</v>
      </c>
      <c r="J892" s="2170" t="n">
        <v>1.01</v>
      </c>
      <c r="K892" s="2170">
        <f>AVERAGE(I892:J892)</f>
        <v/>
      </c>
      <c r="L892" s="67" t="n"/>
      <c r="M892" s="77">
        <f>IF(INDEX(MO_SNA_IsHistoricalPeriod,,MATCH(F892,MO_Common_ColumnHeader,0)),"Actual","Estimate")</f>
        <v/>
      </c>
      <c r="N892" s="2170">
        <f>IFERROR(INDEX(INDIRECT(E892),0,MATCH(F892,MO_Common_ColumnHeader,0)),"N/A")</f>
        <v/>
      </c>
      <c r="O892" s="67" t="n"/>
      <c r="P892" s="2171">
        <f>IF(ISNUMBER(N892),N892-K892,"N/A")</f>
        <v/>
      </c>
      <c r="Q892" s="2168">
        <f>IFERROR(IF(ISNUMBER(N892),(N892-K892)/ABS(K892),"N/A"),"N/A")</f>
        <v/>
      </c>
      <c r="R892" s="67" t="n"/>
      <c r="S892" s="80" t="n">
        <v>43304</v>
      </c>
      <c r="T892" s="88" t="inlineStr">
        <is>
          <t>Press Release</t>
        </is>
      </c>
      <c r="U892" s="67" t="n"/>
      <c r="V892" s="1016" t="n"/>
    </row>
    <row r="893" ht="14.4" customHeight="1" s="972">
      <c r="A893" s="64" t="n">
        <v>71</v>
      </c>
      <c r="B893" s="77">
        <f>IF(INDEX(MO_SNA_IsHistoricalPeriod,,MATCH(F893,MO_Common_ColumnHeader,0)),"Historical","Forward")</f>
        <v/>
      </c>
      <c r="C893" s="67" t="n"/>
      <c r="D893" s="84">
        <f>INDEX(INDIRECT(E893),0,COLUMN(MO_Common_Column_A))</f>
        <v/>
      </c>
      <c r="E893" s="78" t="inlineStr">
        <is>
          <t>MO_RIS_EPS_WAD_Adj</t>
        </is>
      </c>
      <c r="F893" s="77" t="inlineStr">
        <is>
          <t>FY2018</t>
        </is>
      </c>
      <c r="G893" s="77" t="n"/>
      <c r="H893" s="67" t="n"/>
      <c r="I893" s="2170" t="n">
        <v>1.64</v>
      </c>
      <c r="J893" s="2170" t="n">
        <v>1.7</v>
      </c>
      <c r="K893" s="2170">
        <f>AVERAGE(I893:J893)</f>
        <v/>
      </c>
      <c r="L893" s="67" t="n"/>
      <c r="M893" s="77">
        <f>IF(INDEX(MO_SNA_IsHistoricalPeriod,,MATCH(F893,MO_Common_ColumnHeader,0)),"Actual","Estimate")</f>
        <v/>
      </c>
      <c r="N893" s="2170">
        <f>IFERROR(INDEX(INDIRECT(E893),0,MATCH(F893,MO_Common_ColumnHeader,0)),"N/A")</f>
        <v/>
      </c>
      <c r="O893" s="67" t="n"/>
      <c r="P893" s="2171">
        <f>IF(ISNUMBER(N893),N893-K893,"N/A")</f>
        <v/>
      </c>
      <c r="Q893" s="2168">
        <f>IFERROR(IF(ISNUMBER(N893),(N893-K893)/ABS(K893),"N/A"),"N/A")</f>
        <v/>
      </c>
      <c r="R893" s="67" t="n"/>
      <c r="S893" s="80" t="n">
        <v>43304</v>
      </c>
      <c r="T893" s="88" t="inlineStr">
        <is>
          <t>Press Release</t>
        </is>
      </c>
      <c r="U893" s="67" t="n"/>
      <c r="V893" s="1016" t="n"/>
    </row>
    <row r="894" ht="14.4" customHeight="1" s="972">
      <c r="A894" s="64" t="n">
        <v>70</v>
      </c>
      <c r="B894" s="77">
        <f>IF(INDEX(MO_SNA_IsHistoricalPeriod,,MATCH(F894,MO_Common_ColumnHeader,0)),"Historical","Forward")</f>
        <v/>
      </c>
      <c r="C894" s="67" t="n"/>
      <c r="D894" s="84">
        <f>INDEX(INDIRECT(E894),0,COLUMN(MO_Common_Column_A))</f>
        <v/>
      </c>
      <c r="E894" s="78" t="inlineStr">
        <is>
          <t>MO_RIS_TaxRate_NONGAAP</t>
        </is>
      </c>
      <c r="F894" s="77" t="inlineStr">
        <is>
          <t>FY2018</t>
        </is>
      </c>
      <c r="G894" s="77" t="n"/>
      <c r="H894" s="67" t="n"/>
      <c r="I894" s="2108" t="n">
        <v>0.16</v>
      </c>
      <c r="J894" s="2108" t="n">
        <v>0.16</v>
      </c>
      <c r="K894" s="2108">
        <f>AVERAGE(I894:J894)</f>
        <v/>
      </c>
      <c r="L894" s="67" t="n"/>
      <c r="M894" s="77">
        <f>IF(INDEX(MO_SNA_IsHistoricalPeriod,,MATCH(F894,MO_Common_ColumnHeader,0)),"Actual","Estimate")</f>
        <v/>
      </c>
      <c r="N894" s="2108">
        <f>IFERROR(INDEX(INDIRECT(E894),0,MATCH(F894,MO_Common_ColumnHeader,0)),"N/A")</f>
        <v/>
      </c>
      <c r="O894" s="67" t="n"/>
      <c r="P894" s="2168">
        <f>IF(ISNUMBER(N894),N894-K894,"N/A")</f>
        <v/>
      </c>
      <c r="Q894" s="2168">
        <f>IFERROR(IF(ISNUMBER(N894),(N894-K894)/ABS(K894),"N/A"),"N/A")</f>
        <v/>
      </c>
      <c r="R894" s="67" t="n"/>
      <c r="S894" s="80" t="n">
        <v>43304</v>
      </c>
      <c r="T894" s="88" t="inlineStr">
        <is>
          <t>Press Release</t>
        </is>
      </c>
      <c r="U894" s="67" t="n"/>
      <c r="V894" s="1016" t="n"/>
    </row>
    <row r="895" ht="14.4" customHeight="1" s="972">
      <c r="A895" s="64" t="n">
        <v>69</v>
      </c>
      <c r="B895" s="77">
        <f>IF(INDEX(MO_SNA_IsHistoricalPeriod,,MATCH(F895,MO_Common_ColumnHeader,0)),"Historical","Forward")</f>
        <v/>
      </c>
      <c r="C895" s="67" t="n"/>
      <c r="D895" s="84">
        <f>INDEX(INDIRECT(E895),0,COLUMN(MO_Common_Column_A))</f>
        <v/>
      </c>
      <c r="E895" s="78" t="inlineStr">
        <is>
          <t>MO_RIS_Daintangibles</t>
        </is>
      </c>
      <c r="F895" s="77" t="inlineStr">
        <is>
          <t>Q3-2018</t>
        </is>
      </c>
      <c r="G895" s="77" t="n"/>
      <c r="H895" s="67" t="n"/>
      <c r="I895" s="2087" t="n">
        <v>13</v>
      </c>
      <c r="J895" s="2087" t="n">
        <v>13</v>
      </c>
      <c r="K895" s="2087">
        <f>AVERAGE(I895:J895)</f>
        <v/>
      </c>
      <c r="L895" s="67" t="n"/>
      <c r="M895" s="77">
        <f>IF(INDEX(MO_SNA_IsHistoricalPeriod,,MATCH(F895,MO_Common_ColumnHeader,0)),"Actual","Estimate")</f>
        <v/>
      </c>
      <c r="N895" s="2087">
        <f>IFERROR(INDEX(INDIRECT(E895),0,MATCH(F895,MO_Common_ColumnHeader,0)),"N/A")</f>
        <v/>
      </c>
      <c r="O895" s="67" t="n"/>
      <c r="P895" s="2169">
        <f>IF(ISNUMBER(N895),N895-K895,"N/A")</f>
        <v/>
      </c>
      <c r="Q895" s="2168">
        <f>IFERROR(IF(ISNUMBER(N895),(N895-K895)/ABS(K895),"N/A"),"N/A")</f>
        <v/>
      </c>
      <c r="R895" s="67" t="n"/>
      <c r="S895" s="80" t="n">
        <v>43304</v>
      </c>
      <c r="T895" s="88" t="inlineStr">
        <is>
          <t>Press Release</t>
        </is>
      </c>
      <c r="U895" s="67" t="n"/>
      <c r="V895" s="1016" t="n"/>
    </row>
    <row r="896" ht="14.4" customHeight="1" s="972">
      <c r="A896" s="64" t="n">
        <v>68</v>
      </c>
      <c r="B896" s="77">
        <f>IF(INDEX(MO_SNA_IsHistoricalPeriod,,MATCH(F896,MO_Common_ColumnHeader,0)),"Historical","Forward")</f>
        <v/>
      </c>
      <c r="C896" s="67" t="n"/>
      <c r="D896" s="84">
        <f>INDEX(INDIRECT(E896),0,COLUMN(MO_Common_Column_A))</f>
        <v/>
      </c>
      <c r="E896" s="78" t="inlineStr">
        <is>
          <t>MO_RIS_SBC</t>
        </is>
      </c>
      <c r="F896" s="77" t="inlineStr">
        <is>
          <t>Q3-2018</t>
        </is>
      </c>
      <c r="G896" s="77" t="n"/>
      <c r="H896" s="67" t="n"/>
      <c r="I896" s="2087" t="n">
        <v>47</v>
      </c>
      <c r="J896" s="2087" t="n">
        <v>47</v>
      </c>
      <c r="K896" s="2087">
        <f>AVERAGE(I896:J896)</f>
        <v/>
      </c>
      <c r="L896" s="67" t="n"/>
      <c r="M896" s="77">
        <f>IF(INDEX(MO_SNA_IsHistoricalPeriod,,MATCH(F896,MO_Common_ColumnHeader,0)),"Actual","Estimate")</f>
        <v/>
      </c>
      <c r="N896" s="2087">
        <f>IFERROR(INDEX(INDIRECT(E896),0,MATCH(F896,MO_Common_ColumnHeader,0)),"N/A")</f>
        <v/>
      </c>
      <c r="O896" s="67" t="n"/>
      <c r="P896" s="2169">
        <f>IF(ISNUMBER(N896),N896-K896,"N/A")</f>
        <v/>
      </c>
      <c r="Q896" s="2168">
        <f>IFERROR(IF(ISNUMBER(N896),(N896-K896)/ABS(K896),"N/A"),"N/A")</f>
        <v/>
      </c>
      <c r="R896" s="67" t="n"/>
      <c r="S896" s="80" t="n">
        <v>43304</v>
      </c>
      <c r="T896" s="88" t="inlineStr">
        <is>
          <t>Press Release</t>
        </is>
      </c>
      <c r="U896" s="67" t="n"/>
      <c r="V896" s="1016" t="n"/>
    </row>
    <row r="897" ht="14.4" customHeight="1" s="972">
      <c r="A897" s="64" t="n">
        <v>67</v>
      </c>
      <c r="B897" s="77">
        <f>IF(INDEX(MO_SNA_IsHistoricalPeriod,,MATCH(F897,MO_Common_ColumnHeader,0)),"Historical","Forward")</f>
        <v/>
      </c>
      <c r="C897" s="67" t="n"/>
      <c r="D897" s="84" t="inlineStr">
        <is>
          <t>Acquisition and integration-related costs</t>
        </is>
      </c>
      <c r="E897" s="78" t="n"/>
      <c r="F897" s="77" t="inlineStr">
        <is>
          <t>Q3-2018</t>
        </is>
      </c>
      <c r="G897" s="77" t="n"/>
      <c r="H897" s="67" t="n"/>
      <c r="I897" s="2087" t="n">
        <v>6</v>
      </c>
      <c r="J897" s="2087" t="n">
        <v>6</v>
      </c>
      <c r="K897" s="2087">
        <f>AVERAGE(I897:J897)</f>
        <v/>
      </c>
      <c r="L897" s="67" t="n"/>
      <c r="M897" s="77">
        <f>IF(INDEX(MO_SNA_IsHistoricalPeriod,,MATCH(F897,MO_Common_ColumnHeader,0)),"Actual","Estimate")</f>
        <v/>
      </c>
      <c r="N897" s="2087">
        <f>IFERROR(INDEX(INDIRECT(E897),0,MATCH(F897,MO_Common_ColumnHeader,0)),"N/A")</f>
        <v/>
      </c>
      <c r="O897" s="67" t="n"/>
      <c r="P897" s="2169">
        <f>IF(ISNUMBER(N897),N897-K897,"N/A")</f>
        <v/>
      </c>
      <c r="Q897" s="2168">
        <f>IFERROR(IF(ISNUMBER(N897),(N897-K897)/ABS(K897),"N/A"),"N/A")</f>
        <v/>
      </c>
      <c r="R897" s="67" t="n"/>
      <c r="S897" s="80" t="n">
        <v>43304</v>
      </c>
      <c r="T897" s="88" t="inlineStr">
        <is>
          <t>Press Release</t>
        </is>
      </c>
      <c r="U897" s="67" t="n"/>
      <c r="V897" s="1016" t="n"/>
    </row>
    <row r="898" ht="14.4" customHeight="1" s="972">
      <c r="A898" s="64" t="n">
        <v>66</v>
      </c>
      <c r="B898" s="77">
        <f>IF(INDEX(MO_SNA_IsHistoricalPeriod,,MATCH(F898,MO_Common_ColumnHeader,0)),"Historical","Forward")</f>
        <v/>
      </c>
      <c r="C898" s="67" t="n"/>
      <c r="D898" s="84" t="inlineStr">
        <is>
          <t>Income tax effect on non-GAAP adjustments</t>
        </is>
      </c>
      <c r="E898" s="78" t="n"/>
      <c r="F898" s="77" t="inlineStr">
        <is>
          <t>Q3-2018</t>
        </is>
      </c>
      <c r="G898" s="77" t="n"/>
      <c r="H898" s="67" t="n"/>
      <c r="I898" s="2087" t="n">
        <v>-16</v>
      </c>
      <c r="J898" s="2087" t="n">
        <v>-16</v>
      </c>
      <c r="K898" s="2087">
        <f>AVERAGE(I898:J898)</f>
        <v/>
      </c>
      <c r="L898" s="67" t="n"/>
      <c r="M898" s="77">
        <f>IF(INDEX(MO_SNA_IsHistoricalPeriod,,MATCH(F898,MO_Common_ColumnHeader,0)),"Actual","Estimate")</f>
        <v/>
      </c>
      <c r="N898" s="2087">
        <f>IFERROR(INDEX(INDIRECT(E898),0,MATCH(F898,MO_Common_ColumnHeader,0)),"N/A")</f>
        <v/>
      </c>
      <c r="O898" s="67" t="n"/>
      <c r="P898" s="2169">
        <f>IF(ISNUMBER(N898),N898-K898,"N/A")</f>
        <v/>
      </c>
      <c r="Q898" s="2168">
        <f>IFERROR(IF(ISNUMBER(N898),(N898-K898)/ABS(K898),"N/A"),"N/A")</f>
        <v/>
      </c>
      <c r="R898" s="67" t="n"/>
      <c r="S898" s="80" t="n">
        <v>43304</v>
      </c>
      <c r="T898" s="88" t="inlineStr">
        <is>
          <t>Press Release</t>
        </is>
      </c>
      <c r="U898" s="67" t="n"/>
      <c r="V898" s="1016" t="n"/>
    </row>
    <row r="899" ht="14.4" customHeight="1" s="972">
      <c r="A899" s="64" t="n">
        <v>65</v>
      </c>
      <c r="B899" s="77">
        <f>IF(INDEX(MO_SNA_IsHistoricalPeriod,,MATCH(F899,MO_Common_ColumnHeader,0)),"Historical","Forward")</f>
        <v/>
      </c>
      <c r="C899" s="67" t="n"/>
      <c r="D899" s="84">
        <f>INDEX(INDIRECT(E899),0,COLUMN(MO_Common_Column_A))</f>
        <v/>
      </c>
      <c r="E899" s="78" t="inlineStr">
        <is>
          <t>MO_RIS_Daintangibles</t>
        </is>
      </c>
      <c r="F899" s="77" t="inlineStr">
        <is>
          <t>FY2018</t>
        </is>
      </c>
      <c r="G899" s="77" t="n"/>
      <c r="H899" s="67" t="n"/>
      <c r="I899" s="2087" t="n">
        <v>54</v>
      </c>
      <c r="J899" s="2087" t="n">
        <v>54</v>
      </c>
      <c r="K899" s="2087">
        <f>AVERAGE(I899:J899)</f>
        <v/>
      </c>
      <c r="L899" s="67" t="n"/>
      <c r="M899" s="77">
        <f>IF(INDEX(MO_SNA_IsHistoricalPeriod,,MATCH(F899,MO_Common_ColumnHeader,0)),"Actual","Estimate")</f>
        <v/>
      </c>
      <c r="N899" s="2087">
        <f>IFERROR(INDEX(INDIRECT(E899),0,MATCH(F899,MO_Common_ColumnHeader,0)),"N/A")</f>
        <v/>
      </c>
      <c r="O899" s="67" t="n"/>
      <c r="P899" s="2169">
        <f>IF(ISNUMBER(N899),N899-K899,"N/A")</f>
        <v/>
      </c>
      <c r="Q899" s="2168">
        <f>IFERROR(IF(ISNUMBER(N899),(N899-K899)/ABS(K899),"N/A"),"N/A")</f>
        <v/>
      </c>
      <c r="R899" s="67" t="n"/>
      <c r="S899" s="80" t="n">
        <v>43304</v>
      </c>
      <c r="T899" s="88" t="inlineStr">
        <is>
          <t>Press Release</t>
        </is>
      </c>
      <c r="U899" s="67" t="n"/>
      <c r="V899" s="1016" t="n"/>
    </row>
    <row r="900" ht="14.4" customHeight="1" s="972">
      <c r="A900" s="64" t="n">
        <v>64</v>
      </c>
      <c r="B900" s="77">
        <f>IF(INDEX(MO_SNA_IsHistoricalPeriod,,MATCH(F900,MO_Common_ColumnHeader,0)),"Historical","Forward")</f>
        <v/>
      </c>
      <c r="C900" s="67" t="n"/>
      <c r="D900" s="84">
        <f>INDEX(INDIRECT(E900),0,COLUMN(MO_Common_Column_A))</f>
        <v/>
      </c>
      <c r="E900" s="78" t="inlineStr">
        <is>
          <t>MO_RIS_SBC</t>
        </is>
      </c>
      <c r="F900" s="77" t="inlineStr">
        <is>
          <t>FY2018</t>
        </is>
      </c>
      <c r="G900" s="77" t="n"/>
      <c r="H900" s="67" t="n"/>
      <c r="I900" s="2087" t="n">
        <v>169</v>
      </c>
      <c r="J900" s="2087" t="n">
        <v>169</v>
      </c>
      <c r="K900" s="2087">
        <f>AVERAGE(I900:J900)</f>
        <v/>
      </c>
      <c r="L900" s="67" t="n"/>
      <c r="M900" s="77">
        <f>IF(INDEX(MO_SNA_IsHistoricalPeriod,,MATCH(F900,MO_Common_ColumnHeader,0)),"Actual","Estimate")</f>
        <v/>
      </c>
      <c r="N900" s="2087">
        <f>IFERROR(INDEX(INDIRECT(E900),0,MATCH(F900,MO_Common_ColumnHeader,0)),"N/A")</f>
        <v/>
      </c>
      <c r="O900" s="67" t="n"/>
      <c r="P900" s="2169">
        <f>IF(ISNUMBER(N900),N900-K900,"N/A")</f>
        <v/>
      </c>
      <c r="Q900" s="2168">
        <f>IFERROR(IF(ISNUMBER(N900),(N900-K900)/ABS(K900),"N/A"),"N/A")</f>
        <v/>
      </c>
      <c r="R900" s="67" t="n"/>
      <c r="S900" s="80" t="n">
        <v>43304</v>
      </c>
      <c r="T900" s="88" t="inlineStr">
        <is>
          <t>Press Release</t>
        </is>
      </c>
      <c r="U900" s="67" t="n"/>
      <c r="V900" s="1016" t="n"/>
    </row>
    <row r="901" ht="14.4" customHeight="1" s="972">
      <c r="A901" s="64" t="n">
        <v>63</v>
      </c>
      <c r="B901" s="77">
        <f>IF(INDEX(MO_SNA_IsHistoricalPeriod,,MATCH(F901,MO_Common_ColumnHeader,0)),"Historical","Forward")</f>
        <v/>
      </c>
      <c r="C901" s="67" t="n"/>
      <c r="D901" s="84" t="inlineStr">
        <is>
          <t>Restructuring and other charges</t>
        </is>
      </c>
      <c r="E901" s="78" t="n"/>
      <c r="F901" s="77" t="inlineStr">
        <is>
          <t>FY2018</t>
        </is>
      </c>
      <c r="G901" s="77" t="n"/>
      <c r="H901" s="67" t="n"/>
      <c r="I901" s="2087" t="n">
        <v>-2</v>
      </c>
      <c r="J901" s="2087" t="n">
        <v>-2</v>
      </c>
      <c r="K901" s="2087">
        <f>AVERAGE(I901:J901)</f>
        <v/>
      </c>
      <c r="L901" s="67" t="n"/>
      <c r="M901" s="77">
        <f>IF(INDEX(MO_SNA_IsHistoricalPeriod,,MATCH(F901,MO_Common_ColumnHeader,0)),"Actual","Estimate")</f>
        <v/>
      </c>
      <c r="N901" s="2087">
        <f>IFERROR(INDEX(INDIRECT(E901),0,MATCH(F901,MO_Common_ColumnHeader,0)),"N/A")</f>
        <v/>
      </c>
      <c r="O901" s="67" t="n"/>
      <c r="P901" s="2169">
        <f>IF(ISNUMBER(N901),N901-K901,"N/A")</f>
        <v/>
      </c>
      <c r="Q901" s="2168">
        <f>IFERROR(IF(ISNUMBER(N901),(N901-K901)/ABS(K901),"N/A"),"N/A")</f>
        <v/>
      </c>
      <c r="R901" s="67" t="n"/>
      <c r="S901" s="80" t="n">
        <v>43304</v>
      </c>
      <c r="T901" s="88" t="inlineStr">
        <is>
          <t>Press Release</t>
        </is>
      </c>
      <c r="U901" s="67" t="n"/>
      <c r="V901" s="1016" t="n"/>
    </row>
    <row r="902" ht="14.4" customHeight="1" s="972">
      <c r="A902" s="64" t="n">
        <v>62</v>
      </c>
      <c r="B902" s="77">
        <f>IF(INDEX(MO_SNA_IsHistoricalPeriod,,MATCH(F902,MO_Common_ColumnHeader,0)),"Historical","Forward")</f>
        <v/>
      </c>
      <c r="C902" s="67" t="n"/>
      <c r="D902" s="84" t="inlineStr">
        <is>
          <t>Acquisition and integration-related costs</t>
        </is>
      </c>
      <c r="E902" s="78" t="n"/>
      <c r="F902" s="77" t="inlineStr">
        <is>
          <t>FY2018</t>
        </is>
      </c>
      <c r="G902" s="77" t="n"/>
      <c r="H902" s="67" t="n"/>
      <c r="I902" s="2087" t="n">
        <v>26</v>
      </c>
      <c r="J902" s="2087" t="n">
        <v>26</v>
      </c>
      <c r="K902" s="2087">
        <f>AVERAGE(I902:J902)</f>
        <v/>
      </c>
      <c r="L902" s="67" t="n"/>
      <c r="M902" s="77">
        <f>IF(INDEX(MO_SNA_IsHistoricalPeriod,,MATCH(F902,MO_Common_ColumnHeader,0)),"Actual","Estimate")</f>
        <v/>
      </c>
      <c r="N902" s="2087">
        <f>IFERROR(INDEX(INDIRECT(E902),0,MATCH(F902,MO_Common_ColumnHeader,0)),"N/A")</f>
        <v/>
      </c>
      <c r="O902" s="67" t="n"/>
      <c r="P902" s="2169">
        <f>IF(ISNUMBER(N902),N902-K902,"N/A")</f>
        <v/>
      </c>
      <c r="Q902" s="2168">
        <f>IFERROR(IF(ISNUMBER(N902),(N902-K902)/ABS(K902),"N/A"),"N/A")</f>
        <v/>
      </c>
      <c r="R902" s="67" t="n"/>
      <c r="S902" s="80" t="n">
        <v>43304</v>
      </c>
      <c r="T902" s="88" t="inlineStr">
        <is>
          <t>Press Release</t>
        </is>
      </c>
      <c r="U902" s="67" t="n"/>
      <c r="V902" s="1016" t="n"/>
    </row>
    <row r="903" ht="14.4" customHeight="1" s="972">
      <c r="A903" s="64" t="n">
        <v>61</v>
      </c>
      <c r="B903" s="77">
        <f>IF(INDEX(MO_SNA_IsHistoricalPeriod,,MATCH(F903,MO_Common_ColumnHeader,0)),"Historical","Forward")</f>
        <v/>
      </c>
      <c r="C903" s="67" t="n"/>
      <c r="D903" s="84" t="inlineStr">
        <is>
          <t>Income tax effect on non-GAAP adjustments</t>
        </is>
      </c>
      <c r="E903" s="78" t="n"/>
      <c r="F903" s="77" t="inlineStr">
        <is>
          <t>FY2018</t>
        </is>
      </c>
      <c r="G903" s="77" t="n"/>
      <c r="H903" s="67" t="n"/>
      <c r="I903" s="2087" t="n">
        <v>-49</v>
      </c>
      <c r="J903" s="2087" t="n">
        <v>-49</v>
      </c>
      <c r="K903" s="2087">
        <f>AVERAGE(I903:J903)</f>
        <v/>
      </c>
      <c r="L903" s="67" t="n"/>
      <c r="M903" s="77">
        <f>IF(INDEX(MO_SNA_IsHistoricalPeriod,,MATCH(F903,MO_Common_ColumnHeader,0)),"Actual","Estimate")</f>
        <v/>
      </c>
      <c r="N903" s="2087">
        <f>IFERROR(INDEX(INDIRECT(E903),0,MATCH(F903,MO_Common_ColumnHeader,0)),"N/A")</f>
        <v/>
      </c>
      <c r="O903" s="67" t="n"/>
      <c r="P903" s="2169">
        <f>IF(ISNUMBER(N903),N903-K903,"N/A")</f>
        <v/>
      </c>
      <c r="Q903" s="2168">
        <f>IFERROR(IF(ISNUMBER(N903),(N903-K903)/ABS(K903),"N/A"),"N/A")</f>
        <v/>
      </c>
      <c r="R903" s="67" t="n"/>
      <c r="S903" s="80" t="n">
        <v>43304</v>
      </c>
      <c r="T903" s="88" t="inlineStr">
        <is>
          <t>Press Release</t>
        </is>
      </c>
      <c r="U903" s="67" t="n"/>
      <c r="V903" s="1016" t="n"/>
    </row>
    <row r="904" ht="14.4" customHeight="1" s="972">
      <c r="A904" s="64" t="n">
        <v>60</v>
      </c>
      <c r="B904" s="77">
        <f>IF(INDEX(MO_SNA_IsHistoricalPeriod,,MATCH(F904,MO_Common_ColumnHeader,0)),"Historical","Forward")</f>
        <v/>
      </c>
      <c r="C904" s="67" t="n"/>
      <c r="D904" s="84">
        <f>INDEX(INDIRECT(E904),0,COLUMN(MO_Common_Column_A))</f>
        <v/>
      </c>
      <c r="E904" s="78" t="inlineStr">
        <is>
          <t>MO_RIS_NI_GAAP_Diluted</t>
        </is>
      </c>
      <c r="F904" s="77" t="inlineStr">
        <is>
          <t>Q3-2018</t>
        </is>
      </c>
      <c r="G904" s="77" t="n"/>
      <c r="H904" s="67" t="n"/>
      <c r="I904" s="2087" t="n">
        <v>61</v>
      </c>
      <c r="J904" s="2087" t="n">
        <v>67</v>
      </c>
      <c r="K904" s="2087">
        <f>AVERAGE(I904:J904)</f>
        <v/>
      </c>
      <c r="L904" s="67" t="n"/>
      <c r="M904" s="77">
        <f>IF(INDEX(MO_SNA_IsHistoricalPeriod,,MATCH(F904,MO_Common_ColumnHeader,0)),"Actual","Estimate")</f>
        <v/>
      </c>
      <c r="N904" s="2087">
        <f>IFERROR(INDEX(INDIRECT(E904),0,MATCH(F904,MO_Common_ColumnHeader,0)),"N/A")</f>
        <v/>
      </c>
      <c r="O904" s="67" t="n"/>
      <c r="P904" s="2169">
        <f>IF(ISNUMBER(N904),N904-K904,"N/A")</f>
        <v/>
      </c>
      <c r="Q904" s="2168">
        <f>IFERROR(IF(ISNUMBER(N904),(N904-K904)/ABS(K904),"N/A"),"N/A")</f>
        <v/>
      </c>
      <c r="R904" s="67" t="n"/>
      <c r="S904" s="80" t="n">
        <v>43304</v>
      </c>
      <c r="T904" s="88" t="inlineStr">
        <is>
          <t>Press Release</t>
        </is>
      </c>
      <c r="U904" s="67" t="n"/>
      <c r="V904" s="1016" t="n"/>
    </row>
    <row r="905" ht="14.4" customHeight="1" s="972">
      <c r="A905" s="64" t="n">
        <v>59</v>
      </c>
      <c r="B905" s="77">
        <f>IF(INDEX(MO_SNA_IsHistoricalPeriod,,MATCH(F905,MO_Common_ColumnHeader,0)),"Historical","Forward")</f>
        <v/>
      </c>
      <c r="C905" s="67" t="n"/>
      <c r="D905" s="84">
        <f>INDEX(INDIRECT(E905),0,COLUMN(MO_Common_Column_A))</f>
        <v/>
      </c>
      <c r="E905" s="78" t="inlineStr">
        <is>
          <t>MO_RIS_NI_NONGAAP_Diluted</t>
        </is>
      </c>
      <c r="F905" s="77" t="inlineStr">
        <is>
          <t>Q3-2018</t>
        </is>
      </c>
      <c r="G905" s="77" t="n"/>
      <c r="H905" s="67" t="n"/>
      <c r="I905" s="2087" t="n">
        <v>111</v>
      </c>
      <c r="J905" s="2087" t="n">
        <v>117</v>
      </c>
      <c r="K905" s="2087">
        <f>AVERAGE(I905:J905)</f>
        <v/>
      </c>
      <c r="L905" s="67" t="n"/>
      <c r="M905" s="77">
        <f>IF(INDEX(MO_SNA_IsHistoricalPeriod,,MATCH(F905,MO_Common_ColumnHeader,0)),"Actual","Estimate")</f>
        <v/>
      </c>
      <c r="N905" s="2087">
        <f>IFERROR(INDEX(INDIRECT(E905),0,MATCH(F905,MO_Common_ColumnHeader,0)),"N/A")</f>
        <v/>
      </c>
      <c r="O905" s="67" t="n"/>
      <c r="P905" s="2169">
        <f>IF(ISNUMBER(N905),N905-K905,"N/A")</f>
        <v/>
      </c>
      <c r="Q905" s="2168">
        <f>IFERROR(IF(ISNUMBER(N905),(N905-K905)/ABS(K905),"N/A"),"N/A")</f>
        <v/>
      </c>
      <c r="R905" s="67" t="n"/>
      <c r="S905" s="80" t="n">
        <v>43304</v>
      </c>
      <c r="T905" s="88" t="inlineStr">
        <is>
          <t>Press Release</t>
        </is>
      </c>
      <c r="U905" s="67" t="n"/>
      <c r="V905" s="1016" t="n"/>
    </row>
    <row r="906" ht="14.4" customHeight="1" s="972">
      <c r="A906" s="64" t="n">
        <v>58</v>
      </c>
      <c r="B906" s="77">
        <f>IF(INDEX(MO_SNA_IsHistoricalPeriod,,MATCH(F906,MO_Common_ColumnHeader,0)),"Historical","Forward")</f>
        <v/>
      </c>
      <c r="C906" s="67" t="n"/>
      <c r="D906" s="84">
        <f>INDEX(INDIRECT(E906),0,COLUMN(MO_Common_Column_A))</f>
        <v/>
      </c>
      <c r="E906" s="78" t="inlineStr">
        <is>
          <t>MO_RIS_NI_GAAP_Diluted</t>
        </is>
      </c>
      <c r="F906" s="77" t="inlineStr">
        <is>
          <t>FY2018</t>
        </is>
      </c>
      <c r="G906" s="77" t="n"/>
      <c r="H906" s="67" t="n"/>
      <c r="I906" s="2087" t="n">
        <v>267</v>
      </c>
      <c r="J906" s="2087" t="n">
        <v>283</v>
      </c>
      <c r="K906" s="2087">
        <f>AVERAGE(I906:J906)</f>
        <v/>
      </c>
      <c r="L906" s="67" t="n"/>
      <c r="M906" s="77">
        <f>IF(INDEX(MO_SNA_IsHistoricalPeriod,,MATCH(F906,MO_Common_ColumnHeader,0)),"Actual","Estimate")</f>
        <v/>
      </c>
      <c r="N906" s="2087">
        <f>IFERROR(INDEX(INDIRECT(E906),0,MATCH(F906,MO_Common_ColumnHeader,0)),"N/A")</f>
        <v/>
      </c>
      <c r="O906" s="67" t="n"/>
      <c r="P906" s="2169">
        <f>IF(ISNUMBER(N906),N906-K906,"N/A")</f>
        <v/>
      </c>
      <c r="Q906" s="2168">
        <f>IFERROR(IF(ISNUMBER(N906),(N906-K906)/ABS(K906),"N/A"),"N/A")</f>
        <v/>
      </c>
      <c r="R906" s="67" t="n"/>
      <c r="S906" s="80" t="n">
        <v>43304</v>
      </c>
      <c r="T906" s="88" t="inlineStr">
        <is>
          <t>Press Release</t>
        </is>
      </c>
      <c r="U906" s="67" t="n"/>
      <c r="V906" s="1016" t="n"/>
    </row>
    <row r="907" ht="14.4" customHeight="1" s="972">
      <c r="A907" s="64" t="n">
        <v>57</v>
      </c>
      <c r="B907" s="77">
        <f>IF(INDEX(MO_SNA_IsHistoricalPeriod,,MATCH(F907,MO_Common_ColumnHeader,0)),"Historical","Forward")</f>
        <v/>
      </c>
      <c r="C907" s="67" t="n"/>
      <c r="D907" s="84">
        <f>INDEX(INDIRECT(E907),0,COLUMN(MO_Common_Column_A))</f>
        <v/>
      </c>
      <c r="E907" s="78" t="inlineStr">
        <is>
          <t>MO_RIS_NI_NONGAAP_Diluted</t>
        </is>
      </c>
      <c r="F907" s="77" t="inlineStr">
        <is>
          <t>FY2018</t>
        </is>
      </c>
      <c r="G907" s="77" t="n"/>
      <c r="H907" s="67" t="n"/>
      <c r="I907" s="2087" t="n">
        <v>463</v>
      </c>
      <c r="J907" s="2087" t="n">
        <v>479</v>
      </c>
      <c r="K907" s="2087">
        <f>AVERAGE(I907:J907)</f>
        <v/>
      </c>
      <c r="L907" s="67" t="n"/>
      <c r="M907" s="77">
        <f>IF(INDEX(MO_SNA_IsHistoricalPeriod,,MATCH(F907,MO_Common_ColumnHeader,0)),"Actual","Estimate")</f>
        <v/>
      </c>
      <c r="N907" s="2087">
        <f>IFERROR(INDEX(INDIRECT(E907),0,MATCH(F907,MO_Common_ColumnHeader,0)),"N/A")</f>
        <v/>
      </c>
      <c r="O907" s="67" t="n"/>
      <c r="P907" s="2169">
        <f>IF(ISNUMBER(N907),N907-K907,"N/A")</f>
        <v/>
      </c>
      <c r="Q907" s="2168">
        <f>IFERROR(IF(ISNUMBER(N907),(N907-K907)/ABS(K907),"N/A"),"N/A")</f>
        <v/>
      </c>
      <c r="R907" s="67" t="n"/>
      <c r="S907" s="80" t="n">
        <v>43304</v>
      </c>
      <c r="T907" s="88" t="inlineStr">
        <is>
          <t>Press Release</t>
        </is>
      </c>
      <c r="U907" s="67" t="n"/>
      <c r="V907" s="1016" t="n"/>
    </row>
    <row r="908" ht="14.4" customHeight="1" s="972">
      <c r="A908" s="64" t="n">
        <v>56</v>
      </c>
      <c r="B908" s="77">
        <f>IF(INDEX(MO_SNA_IsHistoricalPeriod,,MATCH(F908,MO_Common_ColumnHeader,0)),"Historical","Forward")</f>
        <v/>
      </c>
      <c r="C908" s="67" t="n"/>
      <c r="D908" s="84" t="inlineStr">
        <is>
          <t>GAAP operating margin</t>
        </is>
      </c>
      <c r="E908" s="78" t="n"/>
      <c r="F908" s="77" t="inlineStr">
        <is>
          <t>Q3-2018</t>
        </is>
      </c>
      <c r="G908" s="77" t="n"/>
      <c r="H908" s="67" t="n"/>
      <c r="I908" s="2108" t="n">
        <v>0.14</v>
      </c>
      <c r="J908" s="2108" t="n">
        <v>0.15</v>
      </c>
      <c r="K908" s="2108">
        <f>AVERAGE(I908:J908)</f>
        <v/>
      </c>
      <c r="L908" s="67" t="n"/>
      <c r="M908" s="77">
        <f>IF(INDEX(MO_SNA_IsHistoricalPeriod,,MATCH(F908,MO_Common_ColumnHeader,0)),"Actual","Estimate")</f>
        <v/>
      </c>
      <c r="N908" s="2108">
        <f>IFERROR(INDEX(INDIRECT(E908),0,MATCH(F908,MO_Common_ColumnHeader,0)),"N/A")</f>
        <v/>
      </c>
      <c r="O908" s="67" t="n"/>
      <c r="P908" s="2168">
        <f>IF(ISNUMBER(N908),N908-K908,"N/A")</f>
        <v/>
      </c>
      <c r="Q908" s="2168">
        <f>IFERROR(IF(ISNUMBER(N908),(N908-K908)/ABS(K908),"N/A"),"N/A")</f>
        <v/>
      </c>
      <c r="R908" s="67" t="n"/>
      <c r="S908" s="80" t="n">
        <v>43304</v>
      </c>
      <c r="T908" s="88" t="inlineStr">
        <is>
          <t>Press Release</t>
        </is>
      </c>
      <c r="U908" s="67" t="n"/>
      <c r="V908" s="1016" t="n"/>
    </row>
    <row r="909" ht="14.4" customHeight="1" s="972">
      <c r="A909" s="64" t="n">
        <v>55</v>
      </c>
      <c r="B909" s="77">
        <f>IF(INDEX(MO_SNA_IsHistoricalPeriod,,MATCH(F909,MO_Common_ColumnHeader,0)),"Historical","Forward")</f>
        <v/>
      </c>
      <c r="C909" s="67" t="n"/>
      <c r="D909" s="84" t="inlineStr">
        <is>
          <t>GAAP operating margin</t>
        </is>
      </c>
      <c r="E909" s="78" t="n"/>
      <c r="F909" s="77" t="inlineStr">
        <is>
          <t>FY2018</t>
        </is>
      </c>
      <c r="G909" s="77" t="n"/>
      <c r="H909" s="67" t="n"/>
      <c r="I909" s="2108" t="n">
        <v>0.16</v>
      </c>
      <c r="J909" s="2108" t="n">
        <v>0.16</v>
      </c>
      <c r="K909" s="2108">
        <f>AVERAGE(I909:J909)</f>
        <v/>
      </c>
      <c r="L909" s="67" t="n"/>
      <c r="M909" s="77">
        <f>IF(INDEX(MO_SNA_IsHistoricalPeriod,,MATCH(F909,MO_Common_ColumnHeader,0)),"Actual","Estimate")</f>
        <v/>
      </c>
      <c r="N909" s="2108">
        <f>IFERROR(INDEX(INDIRECT(E909),0,MATCH(F909,MO_Common_ColumnHeader,0)),"N/A")</f>
        <v/>
      </c>
      <c r="O909" s="67" t="n"/>
      <c r="P909" s="2168">
        <f>IF(ISNUMBER(N909),N909-K909,"N/A")</f>
        <v/>
      </c>
      <c r="Q909" s="2168">
        <f>IFERROR(IF(ISNUMBER(N909),(N909-K909)/ABS(K909),"N/A"),"N/A")</f>
        <v/>
      </c>
      <c r="R909" s="67" t="n"/>
      <c r="S909" s="80" t="n">
        <v>43304</v>
      </c>
      <c r="T909" s="88" t="inlineStr">
        <is>
          <t>Press Release</t>
        </is>
      </c>
      <c r="U909" s="67" t="n"/>
      <c r="V909" s="1016" t="n"/>
    </row>
    <row r="910" ht="14.4" customHeight="1" s="972">
      <c r="A910" s="64" t="n">
        <v>54</v>
      </c>
      <c r="B910" s="77">
        <f>IF(INDEX(MO_SNA_IsHistoricalPeriod,,MATCH(F910,MO_Common_ColumnHeader,0)),"Historical","Forward")</f>
        <v/>
      </c>
      <c r="C910" s="67" t="n"/>
      <c r="D910" s="84">
        <f>INDEX(INDIRECT(E910),0,COLUMN(MO_Common_Column_A))</f>
        <v/>
      </c>
      <c r="E910" s="78" t="inlineStr">
        <is>
          <t>MO_MA_OperatingIncome</t>
        </is>
      </c>
      <c r="F910" s="77" t="inlineStr">
        <is>
          <t>FY2018</t>
        </is>
      </c>
      <c r="G910" s="77" t="n"/>
      <c r="H910" s="67" t="n"/>
      <c r="I910" s="2108" t="n">
        <v>0.27</v>
      </c>
      <c r="J910" s="2108" t="n">
        <v>0.28</v>
      </c>
      <c r="K910" s="2108">
        <f>AVERAGE(I910:J910)</f>
        <v/>
      </c>
      <c r="L910" s="67" t="n"/>
      <c r="M910" s="77">
        <f>IF(INDEX(MO_SNA_IsHistoricalPeriod,,MATCH(F910,MO_Common_ColumnHeader,0)),"Actual","Estimate")</f>
        <v/>
      </c>
      <c r="N910" s="2108">
        <f>IFERROR(INDEX(INDIRECT(E910),0,MATCH(F910,MO_Common_ColumnHeader,0)),"N/A")</f>
        <v/>
      </c>
      <c r="O910" s="67" t="n"/>
      <c r="P910" s="2168">
        <f>IF(ISNUMBER(N910),N910-K910,"N/A")</f>
        <v/>
      </c>
      <c r="Q910" s="2168">
        <f>IFERROR(IF(ISNUMBER(N910),(N910-K910)/ABS(K910),"N/A"),"N/A")</f>
        <v/>
      </c>
      <c r="R910" s="67" t="n"/>
      <c r="S910" s="80" t="n">
        <v>43304</v>
      </c>
      <c r="T910" s="88" t="inlineStr">
        <is>
          <t>Press Release</t>
        </is>
      </c>
      <c r="U910" s="67" t="n"/>
      <c r="V910" s="1016" t="n"/>
    </row>
    <row r="911" ht="14.4" customHeight="1" s="972">
      <c r="A911" s="64" t="n">
        <v>53</v>
      </c>
      <c r="B911" s="77">
        <f>IF(INDEX(MO_SNA_IsHistoricalPeriod,,MATCH(F911,MO_Common_ColumnHeader,0)),"Historical","Forward")</f>
        <v/>
      </c>
      <c r="C911" s="67" t="n"/>
      <c r="D911" s="84">
        <f>INDEX(INDIRECT(E911),0,COLUMN(MO_Common_Column_A))</f>
        <v/>
      </c>
      <c r="E911" s="78" t="inlineStr">
        <is>
          <t>MO_MA_OperatingIncome</t>
        </is>
      </c>
      <c r="F911" s="77" t="inlineStr">
        <is>
          <t>FY2018</t>
        </is>
      </c>
      <c r="G911" s="77" t="n"/>
      <c r="H911" s="67" t="n"/>
      <c r="I911" s="2108" t="n">
        <v>0.28</v>
      </c>
      <c r="J911" s="2108" t="n">
        <v>0.28</v>
      </c>
      <c r="K911" s="2108">
        <f>AVERAGE(I911:J911)</f>
        <v/>
      </c>
      <c r="L911" s="67" t="n"/>
      <c r="M911" s="77">
        <f>IF(INDEX(MO_SNA_IsHistoricalPeriod,,MATCH(F911,MO_Common_ColumnHeader,0)),"Actual","Estimate")</f>
        <v/>
      </c>
      <c r="N911" s="2108">
        <f>IFERROR(INDEX(INDIRECT(E911),0,MATCH(F911,MO_Common_ColumnHeader,0)),"N/A")</f>
        <v/>
      </c>
      <c r="O911" s="67" t="n"/>
      <c r="P911" s="2168">
        <f>IF(ISNUMBER(N911),N911-K911,"N/A")</f>
        <v/>
      </c>
      <c r="Q911" s="2168">
        <f>IFERROR(IF(ISNUMBER(N911),(N911-K911)/ABS(K911),"N/A"),"N/A")</f>
        <v/>
      </c>
      <c r="R911" s="67" t="n"/>
      <c r="S911" s="80" t="n">
        <v>43304</v>
      </c>
      <c r="T911" s="88" t="inlineStr">
        <is>
          <t>Press Release</t>
        </is>
      </c>
      <c r="U911" s="67" t="n"/>
      <c r="V911" s="1016" t="n"/>
    </row>
    <row r="912" ht="14.4" customHeight="1" s="972">
      <c r="A912" s="64" t="n">
        <v>52</v>
      </c>
      <c r="B912" s="67" t="n"/>
      <c r="C912" s="67" t="n"/>
      <c r="D912" s="68" t="n"/>
      <c r="E912" s="69" t="n"/>
      <c r="F912" s="67" t="n"/>
      <c r="G912" s="67" t="n"/>
      <c r="H912" s="67" t="n"/>
      <c r="I912" s="2072" t="n"/>
      <c r="J912" s="2072" t="n"/>
      <c r="K912" s="2072" t="n"/>
      <c r="L912" s="67" t="n"/>
      <c r="M912" s="67" t="n"/>
      <c r="N912" s="2072" t="n"/>
      <c r="O912" s="67" t="n"/>
      <c r="P912" s="2172" t="n"/>
      <c r="Q912" s="2173" t="n"/>
      <c r="R912" s="67" t="n"/>
      <c r="S912" s="72" t="n"/>
      <c r="T912" s="89" t="n"/>
      <c r="U912" s="67" t="n"/>
      <c r="V912" s="1016" t="n"/>
    </row>
    <row r="913" ht="14.4" customHeight="1" s="972">
      <c r="A913" s="64" t="n">
        <v>51</v>
      </c>
      <c r="B913" s="77">
        <f>IF(INDEX(MO_SNA_IsHistoricalPeriod,,MATCH(F913,MO_Common_ColumnHeader,0)),"Historical","Forward")</f>
        <v/>
      </c>
      <c r="C913" s="67" t="n"/>
      <c r="D913" s="84">
        <f>INDEX(INDIRECT(E913),0,COLUMN(MO_Common_Column_A))</f>
        <v/>
      </c>
      <c r="E913" s="78" t="inlineStr">
        <is>
          <t>MO_RIS_REV</t>
        </is>
      </c>
      <c r="F913" s="77" t="inlineStr">
        <is>
          <t>Q2-2018</t>
        </is>
      </c>
      <c r="G913" s="77" t="n"/>
      <c r="H913" s="67" t="n"/>
      <c r="I913" s="2087" t="n">
        <v>510</v>
      </c>
      <c r="J913" s="2087" t="n">
        <v>520</v>
      </c>
      <c r="K913" s="2087">
        <f>AVERAGE(I913:J913)</f>
        <v/>
      </c>
      <c r="L913" s="67" t="n"/>
      <c r="M913" s="77">
        <f>IF(INDEX(MO_SNA_IsHistoricalPeriod,,MATCH(F913,MO_Common_ColumnHeader,0)),"Actual","Estimate")</f>
        <v/>
      </c>
      <c r="N913" s="2087">
        <f>IFERROR(INDEX(INDIRECT(E913),0,MATCH(F913,MO_Common_ColumnHeader,0)),"N/A")</f>
        <v/>
      </c>
      <c r="O913" s="67" t="n"/>
      <c r="P913" s="2169">
        <f>IF(ISNUMBER(N913),N913-K913,"N/A")</f>
        <v/>
      </c>
      <c r="Q913" s="2168">
        <f>IFERROR(IF(ISNUMBER(N913),(N913-K913)/ABS(K913),"N/A"),"N/A")</f>
        <v/>
      </c>
      <c r="R913" s="67" t="n"/>
      <c r="S913" s="80" t="n">
        <v>43213</v>
      </c>
      <c r="T913" s="88" t="inlineStr">
        <is>
          <t>Press Release</t>
        </is>
      </c>
      <c r="U913" s="67" t="n"/>
      <c r="V913" s="1016" t="n"/>
    </row>
    <row r="914" ht="14.4" customHeight="1" s="972">
      <c r="A914" s="64" t="n">
        <v>50</v>
      </c>
      <c r="B914" s="77">
        <f>IF(INDEX(MO_SNA_IsHistoricalPeriod,,MATCH(F914,MO_Common_ColumnHeader,0)),"Historical","Forward")</f>
        <v/>
      </c>
      <c r="C914" s="67" t="n"/>
      <c r="D914" s="84">
        <f>INDEX(INDIRECT(E914),0,COLUMN(MO_Common_Column_A))</f>
        <v/>
      </c>
      <c r="E914" s="78" t="inlineStr">
        <is>
          <t>MO_RIS_EPS_WAD</t>
        </is>
      </c>
      <c r="F914" s="77" t="inlineStr">
        <is>
          <t>Q2-2018</t>
        </is>
      </c>
      <c r="G914" s="77" t="n"/>
      <c r="H914" s="67" t="n"/>
      <c r="I914" s="2170" t="n">
        <v>0.2</v>
      </c>
      <c r="J914" s="2170" t="n">
        <v>0.22</v>
      </c>
      <c r="K914" s="2170">
        <f>AVERAGE(I914:J914)</f>
        <v/>
      </c>
      <c r="L914" s="67" t="n"/>
      <c r="M914" s="77">
        <f>IF(INDEX(MO_SNA_IsHistoricalPeriod,,MATCH(F914,MO_Common_ColumnHeader,0)),"Actual","Estimate")</f>
        <v/>
      </c>
      <c r="N914" s="2170">
        <f>IFERROR(INDEX(INDIRECT(E914),0,MATCH(F914,MO_Common_ColumnHeader,0)),"N/A")</f>
        <v/>
      </c>
      <c r="O914" s="67" t="n"/>
      <c r="P914" s="2171">
        <f>IF(ISNUMBER(N914),N914-K914,"N/A")</f>
        <v/>
      </c>
      <c r="Q914" s="2168">
        <f>IFERROR(IF(ISNUMBER(N914),(N914-K914)/ABS(K914),"N/A"),"N/A")</f>
        <v/>
      </c>
      <c r="R914" s="67" t="n"/>
      <c r="S914" s="80" t="n">
        <v>43213</v>
      </c>
      <c r="T914" s="88" t="inlineStr">
        <is>
          <t>Press Release</t>
        </is>
      </c>
      <c r="U914" s="67" t="n"/>
      <c r="V914" s="1016" t="n"/>
    </row>
    <row r="915" ht="14.4" customHeight="1" s="972">
      <c r="A915" s="64" t="n">
        <v>49</v>
      </c>
      <c r="B915" s="77">
        <f>IF(INDEX(MO_SNA_IsHistoricalPeriod,,MATCH(F915,MO_Common_ColumnHeader,0)),"Historical","Forward")</f>
        <v/>
      </c>
      <c r="C915" s="67" t="n"/>
      <c r="D915" s="84">
        <f>INDEX(INDIRECT(E915),0,COLUMN(MO_Common_Column_A))</f>
        <v/>
      </c>
      <c r="E915" s="78" t="inlineStr">
        <is>
          <t>MO_RIS_EPS_WAD_Adj</t>
        </is>
      </c>
      <c r="F915" s="77" t="inlineStr">
        <is>
          <t>Q2-2018</t>
        </is>
      </c>
      <c r="G915" s="77" t="n"/>
      <c r="H915" s="67" t="n"/>
      <c r="I915" s="2170" t="n">
        <v>0.39</v>
      </c>
      <c r="J915" s="2170" t="n">
        <v>0.41</v>
      </c>
      <c r="K915" s="2170">
        <f>AVERAGE(I915:J915)</f>
        <v/>
      </c>
      <c r="L915" s="67" t="n"/>
      <c r="M915" s="77">
        <f>IF(INDEX(MO_SNA_IsHistoricalPeriod,,MATCH(F915,MO_Common_ColumnHeader,0)),"Actual","Estimate")</f>
        <v/>
      </c>
      <c r="N915" s="2170">
        <f>IFERROR(INDEX(INDIRECT(E915),0,MATCH(F915,MO_Common_ColumnHeader,0)),"N/A")</f>
        <v/>
      </c>
      <c r="O915" s="67" t="n"/>
      <c r="P915" s="2171">
        <f>IF(ISNUMBER(N915),N915-K915,"N/A")</f>
        <v/>
      </c>
      <c r="Q915" s="2168">
        <f>IFERROR(IF(ISNUMBER(N915),(N915-K915)/ABS(K915),"N/A"),"N/A")</f>
        <v/>
      </c>
      <c r="R915" s="67" t="n"/>
      <c r="S915" s="80" t="n">
        <v>43213</v>
      </c>
      <c r="T915" s="88" t="inlineStr">
        <is>
          <t>Press Release</t>
        </is>
      </c>
      <c r="U915" s="67" t="n"/>
      <c r="V915" s="1016" t="n"/>
    </row>
    <row r="916" ht="14.4" customHeight="1" s="972">
      <c r="A916" s="64" t="n">
        <v>48</v>
      </c>
      <c r="B916" s="77">
        <f>IF(INDEX(MO_SNA_IsHistoricalPeriod,,MATCH(F916,MO_Common_ColumnHeader,0)),"Historical","Forward")</f>
        <v/>
      </c>
      <c r="C916" s="67" t="n"/>
      <c r="D916" s="84">
        <f>INDEX(INDIRECT(E916),0,COLUMN(MO_Common_Column_A))</f>
        <v/>
      </c>
      <c r="E916" s="78" t="inlineStr">
        <is>
          <t>MO_RIS_REV</t>
        </is>
      </c>
      <c r="F916" s="77" t="inlineStr">
        <is>
          <t>FY2018</t>
        </is>
      </c>
      <c r="G916" s="77" t="n"/>
      <c r="H916" s="67" t="n"/>
      <c r="I916" s="2087" t="n">
        <v>2055</v>
      </c>
      <c r="J916" s="2087" t="n">
        <v>2085</v>
      </c>
      <c r="K916" s="2087">
        <f>AVERAGE(I916:J916)</f>
        <v/>
      </c>
      <c r="L916" s="67" t="n"/>
      <c r="M916" s="77">
        <f>IF(INDEX(MO_SNA_IsHistoricalPeriod,,MATCH(F916,MO_Common_ColumnHeader,0)),"Actual","Estimate")</f>
        <v/>
      </c>
      <c r="N916" s="2087">
        <f>IFERROR(INDEX(INDIRECT(E916),0,MATCH(F916,MO_Common_ColumnHeader,0)),"N/A")</f>
        <v/>
      </c>
      <c r="O916" s="67" t="n"/>
      <c r="P916" s="2169">
        <f>IF(ISNUMBER(N916),N916-K916,"N/A")</f>
        <v/>
      </c>
      <c r="Q916" s="2168">
        <f>IFERROR(IF(ISNUMBER(N916),(N916-K916)/ABS(K916),"N/A"),"N/A")</f>
        <v/>
      </c>
      <c r="R916" s="67" t="n"/>
      <c r="S916" s="80" t="n">
        <v>43213</v>
      </c>
      <c r="T916" s="88" t="inlineStr">
        <is>
          <t>Press Release</t>
        </is>
      </c>
      <c r="U916" s="67" t="n"/>
      <c r="V916" s="1016" t="n"/>
    </row>
    <row r="917" ht="14.4" customHeight="1" s="972">
      <c r="A917" s="64" t="n">
        <v>47</v>
      </c>
      <c r="B917" s="77">
        <f>IF(INDEX(MO_SNA_IsHistoricalPeriod,,MATCH(F917,MO_Common_ColumnHeader,0)),"Historical","Forward")</f>
        <v/>
      </c>
      <c r="C917" s="67" t="n"/>
      <c r="D917" s="84">
        <f>INDEX(INDIRECT(E917),0,COLUMN(MO_Common_Column_A))</f>
        <v/>
      </c>
      <c r="E917" s="78" t="inlineStr">
        <is>
          <t>MO_RIS_EPS_WAD</t>
        </is>
      </c>
      <c r="F917" s="77" t="inlineStr">
        <is>
          <t>FY2018</t>
        </is>
      </c>
      <c r="G917" s="77" t="n"/>
      <c r="H917" s="67" t="n"/>
      <c r="I917" s="2170" t="n">
        <v>0.86</v>
      </c>
      <c r="J917" s="2170" t="n">
        <v>0.9399999999999999</v>
      </c>
      <c r="K917" s="2170">
        <f>AVERAGE(I917:J917)</f>
        <v/>
      </c>
      <c r="L917" s="67" t="n"/>
      <c r="M917" s="77">
        <f>IF(INDEX(MO_SNA_IsHistoricalPeriod,,MATCH(F917,MO_Common_ColumnHeader,0)),"Actual","Estimate")</f>
        <v/>
      </c>
      <c r="N917" s="2170">
        <f>IFERROR(INDEX(INDIRECT(E917),0,MATCH(F917,MO_Common_ColumnHeader,0)),"N/A")</f>
        <v/>
      </c>
      <c r="O917" s="67" t="n"/>
      <c r="P917" s="2171">
        <f>IF(ISNUMBER(N917),N917-K917,"N/A")</f>
        <v/>
      </c>
      <c r="Q917" s="2168">
        <f>IFERROR(IF(ISNUMBER(N917),(N917-K917)/ABS(K917),"N/A"),"N/A")</f>
        <v/>
      </c>
      <c r="R917" s="67" t="n"/>
      <c r="S917" s="80" t="n">
        <v>43213</v>
      </c>
      <c r="T917" s="88" t="inlineStr">
        <is>
          <t>Press Release</t>
        </is>
      </c>
      <c r="U917" s="67" t="n"/>
      <c r="V917" s="1016" t="n"/>
    </row>
    <row r="918" ht="14.4" customHeight="1" s="972">
      <c r="A918" s="64" t="n">
        <v>46</v>
      </c>
      <c r="B918" s="77">
        <f>IF(INDEX(MO_SNA_IsHistoricalPeriod,,MATCH(F918,MO_Common_ColumnHeader,0)),"Historical","Forward")</f>
        <v/>
      </c>
      <c r="C918" s="67" t="n"/>
      <c r="D918" s="84">
        <f>INDEX(INDIRECT(E918),0,COLUMN(MO_Common_Column_A))</f>
        <v/>
      </c>
      <c r="E918" s="78" t="inlineStr">
        <is>
          <t>MO_RIS_EPS_WAD_Adj</t>
        </is>
      </c>
      <c r="F918" s="77" t="inlineStr">
        <is>
          <t>FY2018</t>
        </is>
      </c>
      <c r="G918" s="77" t="n"/>
      <c r="H918" s="67" t="n"/>
      <c r="I918" s="2170" t="n">
        <v>1.57</v>
      </c>
      <c r="J918" s="2170" t="n">
        <v>1.65</v>
      </c>
      <c r="K918" s="2170">
        <f>AVERAGE(I918:J918)</f>
        <v/>
      </c>
      <c r="L918" s="67" t="n"/>
      <c r="M918" s="77">
        <f>IF(INDEX(MO_SNA_IsHistoricalPeriod,,MATCH(F918,MO_Common_ColumnHeader,0)),"Actual","Estimate")</f>
        <v/>
      </c>
      <c r="N918" s="2170">
        <f>IFERROR(INDEX(INDIRECT(E918),0,MATCH(F918,MO_Common_ColumnHeader,0)),"N/A")</f>
        <v/>
      </c>
      <c r="O918" s="67" t="n"/>
      <c r="P918" s="2171">
        <f>IF(ISNUMBER(N918),N918-K918,"N/A")</f>
        <v/>
      </c>
      <c r="Q918" s="2168">
        <f>IFERROR(IF(ISNUMBER(N918),(N918-K918)/ABS(K918),"N/A"),"N/A")</f>
        <v/>
      </c>
      <c r="R918" s="67" t="n"/>
      <c r="S918" s="80" t="n">
        <v>43213</v>
      </c>
      <c r="T918" s="88" t="inlineStr">
        <is>
          <t>Press Release</t>
        </is>
      </c>
      <c r="U918" s="67" t="n"/>
    </row>
    <row r="919" ht="14.4" customHeight="1" s="972">
      <c r="A919" s="64" t="n">
        <v>45</v>
      </c>
      <c r="B919" s="77">
        <f>IF(INDEX(MO_SNA_IsHistoricalPeriod,,MATCH(F919,MO_Common_ColumnHeader,0)),"Historical","Forward")</f>
        <v/>
      </c>
      <c r="C919" s="67" t="n"/>
      <c r="D919" s="84">
        <f>INDEX(INDIRECT(E919),0,COLUMN(MO_Common_Column_A))</f>
        <v/>
      </c>
      <c r="E919" s="78" t="inlineStr">
        <is>
          <t>MO_RIS_TaxRate_NONGAAP</t>
        </is>
      </c>
      <c r="F919" s="77" t="inlineStr">
        <is>
          <t>FY2018</t>
        </is>
      </c>
      <c r="G919" s="77" t="n"/>
      <c r="H919" s="67" t="n"/>
      <c r="I919" s="2108" t="n">
        <v>0.16</v>
      </c>
      <c r="J919" s="2108" t="n">
        <v>0.16</v>
      </c>
      <c r="K919" s="2108">
        <f>AVERAGE(I919:J919)</f>
        <v/>
      </c>
      <c r="L919" s="67" t="n"/>
      <c r="M919" s="77">
        <f>IF(INDEX(MO_SNA_IsHistoricalPeriod,,MATCH(F919,MO_Common_ColumnHeader,0)),"Actual","Estimate")</f>
        <v/>
      </c>
      <c r="N919" s="2108">
        <f>IFERROR(INDEX(INDIRECT(E919),0,MATCH(F919,MO_Common_ColumnHeader,0)),"N/A")</f>
        <v/>
      </c>
      <c r="O919" s="67" t="n"/>
      <c r="P919" s="2168">
        <f>IF(ISNUMBER(N919),N919-K919,"N/A")</f>
        <v/>
      </c>
      <c r="Q919" s="2168">
        <f>IFERROR(IF(ISNUMBER(N919),(N919-K919)/ABS(K919),"N/A"),"N/A")</f>
        <v/>
      </c>
      <c r="R919" s="67" t="n"/>
      <c r="S919" s="80" t="n">
        <v>43213</v>
      </c>
      <c r="T919" s="88" t="inlineStr">
        <is>
          <t>Press Release</t>
        </is>
      </c>
      <c r="U919" s="67" t="n"/>
    </row>
    <row r="920" ht="14.4" customHeight="1" s="972">
      <c r="A920" s="64" t="n">
        <v>44</v>
      </c>
      <c r="B920" s="77">
        <f>IF(INDEX(MO_SNA_IsHistoricalPeriod,,MATCH(F920,MO_Common_ColumnHeader,0)),"Historical","Forward")</f>
        <v/>
      </c>
      <c r="C920" s="67" t="n"/>
      <c r="D920" s="84">
        <f>INDEX(INDIRECT(E920),0,COLUMN(MO_Common_Column_A))</f>
        <v/>
      </c>
      <c r="E920" s="78" t="inlineStr">
        <is>
          <t>MO_RIS_Daintangibles</t>
        </is>
      </c>
      <c r="F920" s="77" t="inlineStr">
        <is>
          <t>Q2-2018</t>
        </is>
      </c>
      <c r="G920" s="77" t="n"/>
      <c r="H920" s="67" t="n"/>
      <c r="I920" s="2087" t="n">
        <v>14</v>
      </c>
      <c r="J920" s="2087" t="n">
        <v>14</v>
      </c>
      <c r="K920" s="2087">
        <f>AVERAGE(I920:J920)</f>
        <v/>
      </c>
      <c r="L920" s="67" t="n"/>
      <c r="M920" s="77">
        <f>IF(INDEX(MO_SNA_IsHistoricalPeriod,,MATCH(F920,MO_Common_ColumnHeader,0)),"Actual","Estimate")</f>
        <v/>
      </c>
      <c r="N920" s="2087">
        <f>IFERROR(INDEX(INDIRECT(E920),0,MATCH(F920,MO_Common_ColumnHeader,0)),"N/A")</f>
        <v/>
      </c>
      <c r="O920" s="67" t="n"/>
      <c r="P920" s="2169">
        <f>IF(ISNUMBER(N920),N920-K920,"N/A")</f>
        <v/>
      </c>
      <c r="Q920" s="2168">
        <f>IFERROR(IF(ISNUMBER(N920),(N920-K920)/ABS(K920),"N/A"),"N/A")</f>
        <v/>
      </c>
      <c r="R920" s="67" t="n"/>
      <c r="S920" s="80" t="n">
        <v>43213</v>
      </c>
      <c r="T920" s="88" t="inlineStr">
        <is>
          <t>Press Release</t>
        </is>
      </c>
      <c r="U920" s="67" t="n"/>
    </row>
    <row r="921" ht="14.4" customHeight="1" s="972">
      <c r="A921" s="64" t="n">
        <v>43</v>
      </c>
      <c r="B921" s="77">
        <f>IF(INDEX(MO_SNA_IsHistoricalPeriod,,MATCH(F921,MO_Common_ColumnHeader,0)),"Historical","Forward")</f>
        <v/>
      </c>
      <c r="C921" s="67" t="n"/>
      <c r="D921" s="84">
        <f>INDEX(INDIRECT(E921),0,COLUMN(MO_Common_Column_A))</f>
        <v/>
      </c>
      <c r="E921" s="78" t="inlineStr">
        <is>
          <t>MO_RIS_SBC</t>
        </is>
      </c>
      <c r="F921" s="77" t="inlineStr">
        <is>
          <t>Q2-2018</t>
        </is>
      </c>
      <c r="G921" s="77" t="n"/>
      <c r="H921" s="67" t="n"/>
      <c r="I921" s="2087" t="n">
        <v>39</v>
      </c>
      <c r="J921" s="2087" t="n">
        <v>39</v>
      </c>
      <c r="K921" s="2087">
        <f>AVERAGE(I921:J921)</f>
        <v/>
      </c>
      <c r="L921" s="67" t="n"/>
      <c r="M921" s="77">
        <f>IF(INDEX(MO_SNA_IsHistoricalPeriod,,MATCH(F921,MO_Common_ColumnHeader,0)),"Actual","Estimate")</f>
        <v/>
      </c>
      <c r="N921" s="2087">
        <f>IFERROR(INDEX(INDIRECT(E921),0,MATCH(F921,MO_Common_ColumnHeader,0)),"N/A")</f>
        <v/>
      </c>
      <c r="O921" s="67" t="n"/>
      <c r="P921" s="2169">
        <f>IF(ISNUMBER(N921),N921-K921,"N/A")</f>
        <v/>
      </c>
      <c r="Q921" s="2168">
        <f>IFERROR(IF(ISNUMBER(N921),(N921-K921)/ABS(K921),"N/A"),"N/A")</f>
        <v/>
      </c>
      <c r="R921" s="67" t="n"/>
      <c r="S921" s="80" t="n">
        <v>43213</v>
      </c>
      <c r="T921" s="88" t="inlineStr">
        <is>
          <t>Press Release</t>
        </is>
      </c>
      <c r="U921" s="67" t="n"/>
    </row>
    <row r="922" ht="14.4" customHeight="1" s="972">
      <c r="A922" s="64" t="n">
        <v>42</v>
      </c>
      <c r="B922" s="77">
        <f>IF(INDEX(MO_SNA_IsHistoricalPeriod,,MATCH(F922,MO_Common_ColumnHeader,0)),"Historical","Forward")</f>
        <v/>
      </c>
      <c r="C922" s="67" t="n"/>
      <c r="D922" s="84" t="inlineStr">
        <is>
          <t>Acquisition and integration-related costs</t>
        </is>
      </c>
      <c r="E922" s="78" t="n"/>
      <c r="F922" s="77" t="inlineStr">
        <is>
          <t>Q2-2018</t>
        </is>
      </c>
      <c r="G922" s="77" t="n"/>
      <c r="H922" s="67" t="n"/>
      <c r="I922" s="2087" t="n">
        <v>7</v>
      </c>
      <c r="J922" s="2087" t="n">
        <v>7</v>
      </c>
      <c r="K922" s="2087">
        <f>AVERAGE(I922:J922)</f>
        <v/>
      </c>
      <c r="L922" s="67" t="n"/>
      <c r="M922" s="77">
        <f>IF(INDEX(MO_SNA_IsHistoricalPeriod,,MATCH(F922,MO_Common_ColumnHeader,0)),"Actual","Estimate")</f>
        <v/>
      </c>
      <c r="N922" s="2087">
        <f>IFERROR(INDEX(INDIRECT(E922),0,MATCH(F922,MO_Common_ColumnHeader,0)),"N/A")</f>
        <v/>
      </c>
      <c r="O922" s="67" t="n"/>
      <c r="P922" s="2169">
        <f>IF(ISNUMBER(N922),N922-K922,"N/A")</f>
        <v/>
      </c>
      <c r="Q922" s="2168">
        <f>IFERROR(IF(ISNUMBER(N922),(N922-K922)/ABS(K922),"N/A"),"N/A")</f>
        <v/>
      </c>
      <c r="R922" s="67" t="n"/>
      <c r="S922" s="80" t="n">
        <v>43213</v>
      </c>
      <c r="T922" s="88" t="inlineStr">
        <is>
          <t>Press Release</t>
        </is>
      </c>
      <c r="U922" s="67" t="n"/>
    </row>
    <row r="923" ht="14.4" customHeight="1" s="972">
      <c r="A923" s="64" t="n">
        <v>41</v>
      </c>
      <c r="B923" s="77">
        <f>IF(INDEX(MO_SNA_IsHistoricalPeriod,,MATCH(F923,MO_Common_ColumnHeader,0)),"Historical","Forward")</f>
        <v/>
      </c>
      <c r="C923" s="67" t="n"/>
      <c r="D923" s="84" t="inlineStr">
        <is>
          <t>Income tax effect on non-GAAP adjustments</t>
        </is>
      </c>
      <c r="E923" s="78" t="n"/>
      <c r="F923" s="77" t="inlineStr">
        <is>
          <t>Q2-2018</t>
        </is>
      </c>
      <c r="G923" s="77" t="n"/>
      <c r="H923" s="67" t="n"/>
      <c r="I923" s="2087" t="n">
        <v>-7</v>
      </c>
      <c r="J923" s="2087" t="n">
        <v>-4</v>
      </c>
      <c r="K923" s="2087">
        <f>AVERAGE(I923:J923)</f>
        <v/>
      </c>
      <c r="L923" s="67" t="n"/>
      <c r="M923" s="77">
        <f>IF(INDEX(MO_SNA_IsHistoricalPeriod,,MATCH(F923,MO_Common_ColumnHeader,0)),"Actual","Estimate")</f>
        <v/>
      </c>
      <c r="N923" s="2087">
        <f>IFERROR(INDEX(INDIRECT(E923),0,MATCH(F923,MO_Common_ColumnHeader,0)),"N/A")</f>
        <v/>
      </c>
      <c r="O923" s="67" t="n"/>
      <c r="P923" s="2169">
        <f>IF(ISNUMBER(N923),N923-K923,"N/A")</f>
        <v/>
      </c>
      <c r="Q923" s="2168">
        <f>IFERROR(IF(ISNUMBER(N923),(N923-K923)/ABS(K923),"N/A"),"N/A")</f>
        <v/>
      </c>
      <c r="R923" s="67" t="n"/>
      <c r="S923" s="80" t="n">
        <v>43213</v>
      </c>
      <c r="T923" s="88" t="inlineStr">
        <is>
          <t>Press Release</t>
        </is>
      </c>
      <c r="U923" s="67" t="n"/>
    </row>
    <row r="924" ht="14.4" customHeight="1" s="972">
      <c r="A924" s="64" t="n">
        <v>40</v>
      </c>
      <c r="B924" s="77">
        <f>IF(INDEX(MO_SNA_IsHistoricalPeriod,,MATCH(F924,MO_Common_ColumnHeader,0)),"Historical","Forward")</f>
        <v/>
      </c>
      <c r="C924" s="67" t="n"/>
      <c r="D924" s="84">
        <f>INDEX(INDIRECT(E924),0,COLUMN(MO_Common_Column_A))</f>
        <v/>
      </c>
      <c r="E924" s="78" t="inlineStr">
        <is>
          <t>MO_RIS_Daintangibles</t>
        </is>
      </c>
      <c r="F924" s="77" t="inlineStr">
        <is>
          <t>FY2018</t>
        </is>
      </c>
      <c r="G924" s="77" t="n"/>
      <c r="H924" s="67" t="n"/>
      <c r="I924" s="2087" t="n">
        <v>54</v>
      </c>
      <c r="J924" s="2087" t="n">
        <v>54</v>
      </c>
      <c r="K924" s="2087">
        <f>AVERAGE(I924:J924)</f>
        <v/>
      </c>
      <c r="L924" s="67" t="n"/>
      <c r="M924" s="77">
        <f>IF(INDEX(MO_SNA_IsHistoricalPeriod,,MATCH(F924,MO_Common_ColumnHeader,0)),"Actual","Estimate")</f>
        <v/>
      </c>
      <c r="N924" s="2087">
        <f>IFERROR(INDEX(INDIRECT(E924),0,MATCH(F924,MO_Common_ColumnHeader,0)),"N/A")</f>
        <v/>
      </c>
      <c r="O924" s="67" t="n"/>
      <c r="P924" s="2169">
        <f>IF(ISNUMBER(N924),N924-K924,"N/A")</f>
        <v/>
      </c>
      <c r="Q924" s="2168">
        <f>IFERROR(IF(ISNUMBER(N924),(N924-K924)/ABS(K924),"N/A"),"N/A")</f>
        <v/>
      </c>
      <c r="R924" s="67" t="n"/>
      <c r="S924" s="80" t="n">
        <v>43213</v>
      </c>
      <c r="T924" s="88" t="inlineStr">
        <is>
          <t>Press Release</t>
        </is>
      </c>
      <c r="U924" s="67" t="n"/>
    </row>
    <row r="925" ht="14.4" customHeight="1" s="972">
      <c r="A925" s="64" t="n">
        <v>39</v>
      </c>
      <c r="B925" s="77">
        <f>IF(INDEX(MO_SNA_IsHistoricalPeriod,,MATCH(F925,MO_Common_ColumnHeader,0)),"Historical","Forward")</f>
        <v/>
      </c>
      <c r="C925" s="67" t="n"/>
      <c r="D925" s="84">
        <f>INDEX(INDIRECT(E925),0,COLUMN(MO_Common_Column_A))</f>
        <v/>
      </c>
      <c r="E925" s="78" t="inlineStr">
        <is>
          <t>MO_RIS_SBC</t>
        </is>
      </c>
      <c r="F925" s="77" t="inlineStr">
        <is>
          <t>FY2018</t>
        </is>
      </c>
      <c r="G925" s="77" t="n"/>
      <c r="H925" s="67" t="n"/>
      <c r="I925" s="2087" t="n">
        <v>166</v>
      </c>
      <c r="J925" s="2087" t="n">
        <v>166</v>
      </c>
      <c r="K925" s="2087">
        <f>AVERAGE(I925:J925)</f>
        <v/>
      </c>
      <c r="L925" s="67" t="n"/>
      <c r="M925" s="77">
        <f>IF(INDEX(MO_SNA_IsHistoricalPeriod,,MATCH(F925,MO_Common_ColumnHeader,0)),"Actual","Estimate")</f>
        <v/>
      </c>
      <c r="N925" s="2087">
        <f>IFERROR(INDEX(INDIRECT(E925),0,MATCH(F925,MO_Common_ColumnHeader,0)),"N/A")</f>
        <v/>
      </c>
      <c r="O925" s="67" t="n"/>
      <c r="P925" s="2169">
        <f>IF(ISNUMBER(N925),N925-K925,"N/A")</f>
        <v/>
      </c>
      <c r="Q925" s="2168">
        <f>IFERROR(IF(ISNUMBER(N925),(N925-K925)/ABS(K925),"N/A"),"N/A")</f>
        <v/>
      </c>
      <c r="R925" s="67" t="n"/>
      <c r="S925" s="80" t="n">
        <v>43213</v>
      </c>
      <c r="T925" s="88" t="inlineStr">
        <is>
          <t>Press Release</t>
        </is>
      </c>
      <c r="U925" s="67" t="n"/>
    </row>
    <row r="926" ht="14.4" customHeight="1" s="972">
      <c r="A926" s="64" t="n">
        <v>38</v>
      </c>
      <c r="B926" s="77">
        <f>IF(INDEX(MO_SNA_IsHistoricalPeriod,,MATCH(F926,MO_Common_ColumnHeader,0)),"Historical","Forward")</f>
        <v/>
      </c>
      <c r="C926" s="67" t="n"/>
      <c r="D926" s="84" t="inlineStr">
        <is>
          <t>Restructuring and other charges</t>
        </is>
      </c>
      <c r="E926" s="78" t="n"/>
      <c r="F926" s="77" t="inlineStr">
        <is>
          <t>FY2018</t>
        </is>
      </c>
      <c r="G926" s="77" t="n"/>
      <c r="H926" s="67" t="n"/>
      <c r="I926" s="2087" t="n">
        <v>-2</v>
      </c>
      <c r="J926" s="2087" t="n">
        <v>-2</v>
      </c>
      <c r="K926" s="2087">
        <f>AVERAGE(I926:J926)</f>
        <v/>
      </c>
      <c r="L926" s="67" t="n"/>
      <c r="M926" s="77">
        <f>IF(INDEX(MO_SNA_IsHistoricalPeriod,,MATCH(F926,MO_Common_ColumnHeader,0)),"Actual","Estimate")</f>
        <v/>
      </c>
      <c r="N926" s="2087">
        <f>IFERROR(INDEX(INDIRECT(E926),0,MATCH(F926,MO_Common_ColumnHeader,0)),"N/A")</f>
        <v/>
      </c>
      <c r="O926" s="67" t="n"/>
      <c r="P926" s="2169">
        <f>IF(ISNUMBER(N926),N926-K926,"N/A")</f>
        <v/>
      </c>
      <c r="Q926" s="2168">
        <f>IFERROR(IF(ISNUMBER(N926),(N926-K926)/ABS(K926),"N/A"),"N/A")</f>
        <v/>
      </c>
      <c r="R926" s="67" t="n"/>
      <c r="S926" s="80" t="n">
        <v>43213</v>
      </c>
      <c r="T926" s="88" t="inlineStr">
        <is>
          <t>Press Release</t>
        </is>
      </c>
      <c r="U926" s="67" t="n"/>
    </row>
    <row r="927" ht="14.4" customHeight="1" s="972">
      <c r="A927" s="64" t="n">
        <v>37</v>
      </c>
      <c r="B927" s="77">
        <f>IF(INDEX(MO_SNA_IsHistoricalPeriod,,MATCH(F927,MO_Common_ColumnHeader,0)),"Historical","Forward")</f>
        <v/>
      </c>
      <c r="C927" s="67" t="n"/>
      <c r="D927" s="84" t="inlineStr">
        <is>
          <t>Acquisition and integration-related costs</t>
        </is>
      </c>
      <c r="E927" s="78" t="n"/>
      <c r="F927" s="77" t="inlineStr">
        <is>
          <t>FY2018</t>
        </is>
      </c>
      <c r="G927" s="77" t="n"/>
      <c r="H927" s="67" t="n"/>
      <c r="I927" s="2087" t="n">
        <v>26</v>
      </c>
      <c r="J927" s="2087" t="n">
        <v>26</v>
      </c>
      <c r="K927" s="2087">
        <f>AVERAGE(I927:J927)</f>
        <v/>
      </c>
      <c r="L927" s="67" t="n"/>
      <c r="M927" s="77">
        <f>IF(INDEX(MO_SNA_IsHistoricalPeriod,,MATCH(F927,MO_Common_ColumnHeader,0)),"Actual","Estimate")</f>
        <v/>
      </c>
      <c r="N927" s="2087">
        <f>IFERROR(INDEX(INDIRECT(E927),0,MATCH(F927,MO_Common_ColumnHeader,0)),"N/A")</f>
        <v/>
      </c>
      <c r="O927" s="67" t="n"/>
      <c r="P927" s="2169">
        <f>IF(ISNUMBER(N927),N927-K927,"N/A")</f>
        <v/>
      </c>
      <c r="Q927" s="2168">
        <f>IFERROR(IF(ISNUMBER(N927),(N927-K927)/ABS(K927),"N/A"),"N/A")</f>
        <v/>
      </c>
      <c r="R927" s="67" t="n"/>
      <c r="S927" s="80" t="n">
        <v>43213</v>
      </c>
      <c r="T927" s="88" t="inlineStr">
        <is>
          <t>Press Release</t>
        </is>
      </c>
      <c r="U927" s="67" t="n"/>
    </row>
    <row r="928" ht="14.4" customHeight="1" s="972">
      <c r="A928" s="64" t="n">
        <v>36</v>
      </c>
      <c r="B928" s="77">
        <f>IF(INDEX(MO_SNA_IsHistoricalPeriod,,MATCH(F928,MO_Common_ColumnHeader,0)),"Historical","Forward")</f>
        <v/>
      </c>
      <c r="C928" s="67" t="n"/>
      <c r="D928" s="84" t="inlineStr">
        <is>
          <t>Income tax effect on non-GAAP adjustments</t>
        </is>
      </c>
      <c r="E928" s="78" t="n"/>
      <c r="F928" s="77" t="inlineStr">
        <is>
          <t>FY2018</t>
        </is>
      </c>
      <c r="G928" s="77" t="n"/>
      <c r="H928" s="67" t="n"/>
      <c r="I928" s="2087" t="n">
        <v>-1</v>
      </c>
      <c r="J928" s="2087" t="n">
        <v>-1</v>
      </c>
      <c r="K928" s="2087">
        <f>AVERAGE(I928:J928)</f>
        <v/>
      </c>
      <c r="L928" s="67" t="n"/>
      <c r="M928" s="77">
        <f>IF(INDEX(MO_SNA_IsHistoricalPeriod,,MATCH(F928,MO_Common_ColumnHeader,0)),"Actual","Estimate")</f>
        <v/>
      </c>
      <c r="N928" s="2087">
        <f>IFERROR(INDEX(INDIRECT(E928),0,MATCH(F928,MO_Common_ColumnHeader,0)),"N/A")</f>
        <v/>
      </c>
      <c r="O928" s="67" t="n"/>
      <c r="P928" s="2169">
        <f>IF(ISNUMBER(N928),N928-K928,"N/A")</f>
        <v/>
      </c>
      <c r="Q928" s="2168">
        <f>IFERROR(IF(ISNUMBER(N928),(N928-K928)/ABS(K928),"N/A"),"N/A")</f>
        <v/>
      </c>
      <c r="R928" s="67" t="n"/>
      <c r="S928" s="80" t="n">
        <v>43213</v>
      </c>
      <c r="T928" s="88" t="inlineStr">
        <is>
          <t>Press Release</t>
        </is>
      </c>
      <c r="U928" s="67" t="n"/>
    </row>
    <row r="929" ht="14.4" customHeight="1" s="972">
      <c r="A929" s="64" t="n">
        <v>35</v>
      </c>
      <c r="B929" s="77">
        <f>IF(INDEX(MO_SNA_IsHistoricalPeriod,,MATCH(F929,MO_Common_ColumnHeader,0)),"Historical","Forward")</f>
        <v/>
      </c>
      <c r="C929" s="67" t="n"/>
      <c r="D929" s="84">
        <f>INDEX(INDIRECT(E929),0,COLUMN(MO_Common_Column_A))</f>
        <v/>
      </c>
      <c r="E929" s="78" t="inlineStr">
        <is>
          <t>MO_RIS_NI_GAAP_Diluted</t>
        </is>
      </c>
      <c r="F929" s="77" t="inlineStr">
        <is>
          <t>Q2-2018</t>
        </is>
      </c>
      <c r="G929" s="77" t="n"/>
      <c r="H929" s="67" t="n"/>
      <c r="I929" s="2087" t="n">
        <v>57</v>
      </c>
      <c r="J929" s="2087" t="n">
        <v>63</v>
      </c>
      <c r="K929" s="2087">
        <f>AVERAGE(I929:J929)</f>
        <v/>
      </c>
      <c r="L929" s="67" t="n"/>
      <c r="M929" s="77">
        <f>IF(INDEX(MO_SNA_IsHistoricalPeriod,,MATCH(F929,MO_Common_ColumnHeader,0)),"Actual","Estimate")</f>
        <v/>
      </c>
      <c r="N929" s="2087">
        <f>IFERROR(INDEX(INDIRECT(E929),0,MATCH(F929,MO_Common_ColumnHeader,0)),"N/A")</f>
        <v/>
      </c>
      <c r="O929" s="67" t="n"/>
      <c r="P929" s="2169">
        <f>IF(ISNUMBER(N929),N929-K929,"N/A")</f>
        <v/>
      </c>
      <c r="Q929" s="2168">
        <f>IFERROR(IF(ISNUMBER(N929),(N929-K929)/ABS(K929),"N/A"),"N/A")</f>
        <v/>
      </c>
      <c r="R929" s="67" t="n"/>
      <c r="S929" s="80" t="n">
        <v>43213</v>
      </c>
      <c r="T929" s="88" t="inlineStr">
        <is>
          <t>Press Release</t>
        </is>
      </c>
      <c r="U929" s="67" t="n"/>
    </row>
    <row r="930" ht="14.4" customHeight="1" s="972">
      <c r="A930" s="64" t="n">
        <v>34</v>
      </c>
      <c r="B930" s="77">
        <f>IF(INDEX(MO_SNA_IsHistoricalPeriod,,MATCH(F930,MO_Common_ColumnHeader,0)),"Historical","Forward")</f>
        <v/>
      </c>
      <c r="C930" s="67" t="n"/>
      <c r="D930" s="84">
        <f>INDEX(INDIRECT(E930),0,COLUMN(MO_Common_Column_A))</f>
        <v/>
      </c>
      <c r="E930" s="78" t="inlineStr">
        <is>
          <t>MO_RIS_NI_NONGAAP_Diluted</t>
        </is>
      </c>
      <c r="F930" s="77" t="inlineStr">
        <is>
          <t>Q2-2018</t>
        </is>
      </c>
      <c r="G930" s="77" t="n"/>
      <c r="H930" s="67" t="n"/>
      <c r="I930" s="2087" t="n">
        <v>110</v>
      </c>
      <c r="J930" s="2087" t="n">
        <v>116</v>
      </c>
      <c r="K930" s="2087">
        <f>AVERAGE(I930:J930)</f>
        <v/>
      </c>
      <c r="L930" s="67" t="n"/>
      <c r="M930" s="77">
        <f>IF(INDEX(MO_SNA_IsHistoricalPeriod,,MATCH(F930,MO_Common_ColumnHeader,0)),"Actual","Estimate")</f>
        <v/>
      </c>
      <c r="N930" s="2087">
        <f>IFERROR(INDEX(INDIRECT(E930),0,MATCH(F930,MO_Common_ColumnHeader,0)),"N/A")</f>
        <v/>
      </c>
      <c r="O930" s="67" t="n"/>
      <c r="P930" s="2169">
        <f>IF(ISNUMBER(N930),N930-K930,"N/A")</f>
        <v/>
      </c>
      <c r="Q930" s="2168">
        <f>IFERROR(IF(ISNUMBER(N930),(N930-K930)/ABS(K930),"N/A"),"N/A")</f>
        <v/>
      </c>
      <c r="R930" s="67" t="n"/>
      <c r="S930" s="80" t="n">
        <v>43213</v>
      </c>
      <c r="T930" s="88" t="inlineStr">
        <is>
          <t>Press Release</t>
        </is>
      </c>
      <c r="U930" s="67" t="n"/>
    </row>
    <row r="931" ht="14.4" customHeight="1" s="972">
      <c r="A931" s="64" t="n">
        <v>33</v>
      </c>
      <c r="B931" s="77">
        <f>IF(INDEX(MO_SNA_IsHistoricalPeriod,,MATCH(F931,MO_Common_ColumnHeader,0)),"Historical","Forward")</f>
        <v/>
      </c>
      <c r="C931" s="67" t="n"/>
      <c r="D931" s="84">
        <f>INDEX(INDIRECT(E931),0,COLUMN(MO_Common_Column_A))</f>
        <v/>
      </c>
      <c r="E931" s="78" t="inlineStr">
        <is>
          <t>MO_RIS_NI_GAAP_Diluted</t>
        </is>
      </c>
      <c r="F931" s="77" t="inlineStr">
        <is>
          <t>FY2018</t>
        </is>
      </c>
      <c r="G931" s="77" t="n"/>
      <c r="H931" s="67" t="n"/>
      <c r="I931" s="2087" t="n">
        <v>243</v>
      </c>
      <c r="J931" s="2087" t="n">
        <v>265</v>
      </c>
      <c r="K931" s="2087">
        <f>AVERAGE(I931:J931)</f>
        <v/>
      </c>
      <c r="L931" s="67" t="n"/>
      <c r="M931" s="77">
        <f>IF(INDEX(MO_SNA_IsHistoricalPeriod,,MATCH(F931,MO_Common_ColumnHeader,0)),"Actual","Estimate")</f>
        <v/>
      </c>
      <c r="N931" s="2087">
        <f>IFERROR(INDEX(INDIRECT(E931),0,MATCH(F931,MO_Common_ColumnHeader,0)),"N/A")</f>
        <v/>
      </c>
      <c r="O931" s="67" t="n"/>
      <c r="P931" s="2169">
        <f>IF(ISNUMBER(N931),N931-K931,"N/A")</f>
        <v/>
      </c>
      <c r="Q931" s="2168">
        <f>IFERROR(IF(ISNUMBER(N931),(N931-K931)/ABS(K931),"N/A"),"N/A")</f>
        <v/>
      </c>
      <c r="R931" s="67" t="n"/>
      <c r="S931" s="80" t="n">
        <v>43213</v>
      </c>
      <c r="T931" s="88" t="inlineStr">
        <is>
          <t>Press Release</t>
        </is>
      </c>
      <c r="U931" s="67" t="n"/>
    </row>
    <row r="932" ht="14.4" customHeight="1" s="972">
      <c r="A932" s="64" t="n">
        <v>32</v>
      </c>
      <c r="B932" s="77">
        <f>IF(INDEX(MO_SNA_IsHistoricalPeriod,,MATCH(F932,MO_Common_ColumnHeader,0)),"Historical","Forward")</f>
        <v/>
      </c>
      <c r="C932" s="67" t="n"/>
      <c r="D932" s="84">
        <f>INDEX(INDIRECT(E932),0,COLUMN(MO_Common_Column_A))</f>
        <v/>
      </c>
      <c r="E932" s="78" t="inlineStr">
        <is>
          <t>MO_RIS_NI_NONGAAP_Diluted</t>
        </is>
      </c>
      <c r="F932" s="77" t="inlineStr">
        <is>
          <t>FY2018</t>
        </is>
      </c>
      <c r="G932" s="77" t="n"/>
      <c r="H932" s="67" t="n"/>
      <c r="I932" s="2087" t="n">
        <v>443</v>
      </c>
      <c r="J932" s="2087" t="n">
        <v>465</v>
      </c>
      <c r="K932" s="2087">
        <f>AVERAGE(I932:J932)</f>
        <v/>
      </c>
      <c r="L932" s="67" t="n"/>
      <c r="M932" s="77">
        <f>IF(INDEX(MO_SNA_IsHistoricalPeriod,,MATCH(F932,MO_Common_ColumnHeader,0)),"Actual","Estimate")</f>
        <v/>
      </c>
      <c r="N932" s="2087">
        <f>IFERROR(INDEX(INDIRECT(E932),0,MATCH(F932,MO_Common_ColumnHeader,0)),"N/A")</f>
        <v/>
      </c>
      <c r="O932" s="67" t="n"/>
      <c r="P932" s="2169">
        <f>IF(ISNUMBER(N932),N932-K932,"N/A")</f>
        <v/>
      </c>
      <c r="Q932" s="2168">
        <f>IFERROR(IF(ISNUMBER(N932),(N932-K932)/ABS(K932),"N/A"),"N/A")</f>
        <v/>
      </c>
      <c r="R932" s="67" t="n"/>
      <c r="S932" s="80" t="n">
        <v>43213</v>
      </c>
      <c r="T932" s="88" t="inlineStr">
        <is>
          <t>Press Release</t>
        </is>
      </c>
      <c r="U932" s="67" t="n"/>
    </row>
    <row r="933" ht="14.4" customHeight="1" s="972">
      <c r="A933" s="64" t="n">
        <v>31</v>
      </c>
      <c r="B933" s="77">
        <f>IF(INDEX(MO_SNA_IsHistoricalPeriod,,MATCH(F933,MO_Common_ColumnHeader,0)),"Historical","Forward")</f>
        <v/>
      </c>
      <c r="C933" s="67" t="n"/>
      <c r="D933" s="84" t="inlineStr">
        <is>
          <t>GAAP operating margin</t>
        </is>
      </c>
      <c r="E933" s="78" t="n"/>
      <c r="F933" s="77" t="inlineStr">
        <is>
          <t>Q2-2018</t>
        </is>
      </c>
      <c r="G933" s="77" t="n"/>
      <c r="H933" s="67" t="n"/>
      <c r="I933" s="2108" t="n">
        <v>0.15</v>
      </c>
      <c r="J933" s="2108" t="n">
        <v>0.16</v>
      </c>
      <c r="K933" s="2108">
        <f>AVERAGE(I933:J933)</f>
        <v/>
      </c>
      <c r="L933" s="67" t="n"/>
      <c r="M933" s="77">
        <f>IF(INDEX(MO_SNA_IsHistoricalPeriod,,MATCH(F933,MO_Common_ColumnHeader,0)),"Actual","Estimate")</f>
        <v/>
      </c>
      <c r="N933" s="2108">
        <f>IFERROR(INDEX(INDIRECT(E933),0,MATCH(F933,MO_Common_ColumnHeader,0)),"N/A")</f>
        <v/>
      </c>
      <c r="O933" s="67" t="n"/>
      <c r="P933" s="2168">
        <f>IF(ISNUMBER(N933),N933-K933,"N/A")</f>
        <v/>
      </c>
      <c r="Q933" s="2168">
        <f>IFERROR(IF(ISNUMBER(N933),(N933-K933)/ABS(K933),"N/A"),"N/A")</f>
        <v/>
      </c>
      <c r="R933" s="67" t="n"/>
      <c r="S933" s="80" t="n">
        <v>43213</v>
      </c>
      <c r="T933" s="88" t="inlineStr">
        <is>
          <t>Press Release</t>
        </is>
      </c>
      <c r="U933" s="67" t="n"/>
    </row>
    <row r="934" ht="14.4" customHeight="1" s="972">
      <c r="A934" s="64" t="n">
        <v>30</v>
      </c>
      <c r="B934" s="77">
        <f>IF(INDEX(MO_SNA_IsHistoricalPeriod,,MATCH(F934,MO_Common_ColumnHeader,0)),"Historical","Forward")</f>
        <v/>
      </c>
      <c r="C934" s="67" t="n"/>
      <c r="D934" s="84" t="inlineStr">
        <is>
          <t>GAAP operating margin</t>
        </is>
      </c>
      <c r="E934" s="78" t="n"/>
      <c r="F934" s="77" t="inlineStr">
        <is>
          <t>FY2018</t>
        </is>
      </c>
      <c r="G934" s="77" t="n"/>
      <c r="H934" s="67" t="n"/>
      <c r="I934" s="2108" t="n">
        <v>0.15</v>
      </c>
      <c r="J934" s="2108" t="n">
        <v>0.16</v>
      </c>
      <c r="K934" s="2108">
        <f>AVERAGE(I934:J934)</f>
        <v/>
      </c>
      <c r="L934" s="67" t="n"/>
      <c r="M934" s="77">
        <f>IF(INDEX(MO_SNA_IsHistoricalPeriod,,MATCH(F934,MO_Common_ColumnHeader,0)),"Actual","Estimate")</f>
        <v/>
      </c>
      <c r="N934" s="2108">
        <f>IFERROR(INDEX(INDIRECT(E934),0,MATCH(F934,MO_Common_ColumnHeader,0)),"N/A")</f>
        <v/>
      </c>
      <c r="O934" s="67" t="n"/>
      <c r="P934" s="2168">
        <f>IF(ISNUMBER(N934),N934-K934,"N/A")</f>
        <v/>
      </c>
      <c r="Q934" s="2168">
        <f>IFERROR(IF(ISNUMBER(N934),(N934-K934)/ABS(K934),"N/A"),"N/A")</f>
        <v/>
      </c>
      <c r="R934" s="67" t="n"/>
      <c r="S934" s="80" t="n">
        <v>43213</v>
      </c>
      <c r="T934" s="88" t="inlineStr">
        <is>
          <t>Press Release</t>
        </is>
      </c>
      <c r="U934" s="67" t="n"/>
    </row>
    <row r="935" ht="14.4" customHeight="1" s="972">
      <c r="A935" s="64" t="n">
        <v>29</v>
      </c>
      <c r="B935" s="67" t="n"/>
      <c r="C935" s="67" t="n"/>
      <c r="D935" s="68" t="n"/>
      <c r="E935" s="69" t="n"/>
      <c r="F935" s="67" t="n"/>
      <c r="G935" s="67" t="n"/>
      <c r="H935" s="67" t="n"/>
      <c r="I935" s="2072" t="n"/>
      <c r="J935" s="2072" t="n"/>
      <c r="K935" s="2072" t="n"/>
      <c r="L935" s="67" t="n"/>
      <c r="M935" s="67" t="n"/>
      <c r="N935" s="2072" t="n"/>
      <c r="O935" s="67" t="n"/>
      <c r="P935" s="2172" t="n"/>
      <c r="Q935" s="2173" t="n"/>
      <c r="R935" s="67" t="n"/>
      <c r="S935" s="72" t="n"/>
      <c r="T935" s="89" t="n"/>
      <c r="U935" s="67" t="n"/>
    </row>
    <row r="936" ht="14.4" customHeight="1" s="972">
      <c r="A936" s="64" t="n">
        <v>28</v>
      </c>
      <c r="B936" s="77">
        <f>IF(INDEX(MO_SNA_IsHistoricalPeriod,,MATCH(F936,MO_Common_ColumnHeader,0)),"Historical","Forward")</f>
        <v/>
      </c>
      <c r="C936" s="67" t="n"/>
      <c r="D936" s="84">
        <f>INDEX(INDIRECT(E936),0,COLUMN(MO_Common_Column_A))</f>
        <v/>
      </c>
      <c r="E936" s="78" t="inlineStr">
        <is>
          <t>MO_RIS_REV</t>
        </is>
      </c>
      <c r="F936" s="77" t="inlineStr">
        <is>
          <t>Q1-2018</t>
        </is>
      </c>
      <c r="G936" s="77" t="n"/>
      <c r="H936" s="67" t="n"/>
      <c r="I936" s="2087" t="n">
        <v>500</v>
      </c>
      <c r="J936" s="2087" t="n">
        <v>510</v>
      </c>
      <c r="K936" s="2087">
        <f>AVERAGE(I936:J936)</f>
        <v/>
      </c>
      <c r="L936" s="67" t="n"/>
      <c r="M936" s="77">
        <f>IF(INDEX(MO_SNA_IsHistoricalPeriod,,MATCH(F936,MO_Common_ColumnHeader,0)),"Actual","Estimate")</f>
        <v/>
      </c>
      <c r="N936" s="2087">
        <f>IFERROR(INDEX(INDIRECT(E936),0,MATCH(F936,MO_Common_ColumnHeader,0)),"N/A")</f>
        <v/>
      </c>
      <c r="O936" s="67" t="n"/>
      <c r="P936" s="2169">
        <f>IF(ISNUMBER(N936),N936-K936,"N/A")</f>
        <v/>
      </c>
      <c r="Q936" s="2168">
        <f>IFERROR(IF(ISNUMBER(N936),(N936-K936)/ABS(K936),"N/A"),"N/A")</f>
        <v/>
      </c>
      <c r="R936" s="67" t="n"/>
      <c r="S936" s="80" t="n">
        <v>43131</v>
      </c>
      <c r="T936" s="88" t="inlineStr">
        <is>
          <t>Press Release</t>
        </is>
      </c>
      <c r="U936" s="67" t="n"/>
    </row>
    <row r="937" ht="14.4" customHeight="1" s="972">
      <c r="A937" s="64" t="n">
        <v>27</v>
      </c>
      <c r="B937" s="77">
        <f>IF(INDEX(MO_SNA_IsHistoricalPeriod,,MATCH(F937,MO_Common_ColumnHeader,0)),"Historical","Forward")</f>
        <v/>
      </c>
      <c r="C937" s="67" t="n"/>
      <c r="D937" s="84">
        <f>INDEX(INDIRECT(E937),0,COLUMN(MO_Common_Column_A))</f>
        <v/>
      </c>
      <c r="E937" s="78" t="inlineStr">
        <is>
          <t>MO_RIS_EPS_WAD</t>
        </is>
      </c>
      <c r="F937" s="77" t="inlineStr">
        <is>
          <t>Q1-2018</t>
        </is>
      </c>
      <c r="G937" s="77" t="n"/>
      <c r="H937" s="67" t="n"/>
      <c r="I937" s="2170" t="n">
        <v>0.2</v>
      </c>
      <c r="J937" s="2170" t="n">
        <v>0.22</v>
      </c>
      <c r="K937" s="2170">
        <f>AVERAGE(I937:J937)</f>
        <v/>
      </c>
      <c r="L937" s="67" t="n"/>
      <c r="M937" s="77">
        <f>IF(INDEX(MO_SNA_IsHistoricalPeriod,,MATCH(F937,MO_Common_ColumnHeader,0)),"Actual","Estimate")</f>
        <v/>
      </c>
      <c r="N937" s="2170">
        <f>IFERROR(INDEX(INDIRECT(E937),0,MATCH(F937,MO_Common_ColumnHeader,0)),"N/A")</f>
        <v/>
      </c>
      <c r="O937" s="67" t="n"/>
      <c r="P937" s="2171">
        <f>IF(ISNUMBER(N937),N937-K937,"N/A")</f>
        <v/>
      </c>
      <c r="Q937" s="2168">
        <f>IFERROR(IF(ISNUMBER(N937),(N937-K937)/ABS(K937),"N/A"),"N/A")</f>
        <v/>
      </c>
      <c r="R937" s="67" t="n"/>
      <c r="S937" s="80" t="n">
        <v>43131</v>
      </c>
      <c r="T937" s="88" t="inlineStr">
        <is>
          <t>Press Release</t>
        </is>
      </c>
      <c r="U937" s="67" t="n"/>
    </row>
    <row r="938" ht="14.4" customHeight="1" s="972">
      <c r="A938" s="64" t="n">
        <v>26</v>
      </c>
      <c r="B938" s="77">
        <f>IF(INDEX(MO_SNA_IsHistoricalPeriod,,MATCH(F938,MO_Common_ColumnHeader,0)),"Historical","Forward")</f>
        <v/>
      </c>
      <c r="C938" s="67" t="n"/>
      <c r="D938" s="84">
        <f>INDEX(INDIRECT(E938),0,COLUMN(MO_Common_Column_A))</f>
        <v/>
      </c>
      <c r="E938" s="78" t="inlineStr">
        <is>
          <t>MO_RIS_EPS_WAD_Adj</t>
        </is>
      </c>
      <c r="F938" s="77" t="inlineStr">
        <is>
          <t>Q1-2018</t>
        </is>
      </c>
      <c r="G938" s="77" t="n"/>
      <c r="H938" s="67" t="n"/>
      <c r="I938" s="2170" t="n">
        <v>0.36</v>
      </c>
      <c r="J938" s="2170" t="n">
        <v>0.38</v>
      </c>
      <c r="K938" s="2170">
        <f>AVERAGE(I938:J938)</f>
        <v/>
      </c>
      <c r="L938" s="67" t="n"/>
      <c r="M938" s="77">
        <f>IF(INDEX(MO_SNA_IsHistoricalPeriod,,MATCH(F938,MO_Common_ColumnHeader,0)),"Actual","Estimate")</f>
        <v/>
      </c>
      <c r="N938" s="2170">
        <f>IFERROR(INDEX(INDIRECT(E938),0,MATCH(F938,MO_Common_ColumnHeader,0)),"N/A")</f>
        <v/>
      </c>
      <c r="O938" s="67" t="n"/>
      <c r="P938" s="2171">
        <f>IF(ISNUMBER(N938),N938-K938,"N/A")</f>
        <v/>
      </c>
      <c r="Q938" s="2168">
        <f>IFERROR(IF(ISNUMBER(N938),(N938-K938)/ABS(K938),"N/A"),"N/A")</f>
        <v/>
      </c>
      <c r="R938" s="67" t="n"/>
      <c r="S938" s="80" t="n">
        <v>43131</v>
      </c>
      <c r="T938" s="88" t="inlineStr">
        <is>
          <t>Press Release</t>
        </is>
      </c>
      <c r="U938" s="67" t="n"/>
    </row>
    <row r="939" ht="14.4" customHeight="1" s="972">
      <c r="A939" s="64" t="n">
        <v>25</v>
      </c>
      <c r="B939" s="77">
        <f>IF(INDEX(MO_SNA_IsHistoricalPeriod,,MATCH(F939,MO_Common_ColumnHeader,0)),"Historical","Forward")</f>
        <v/>
      </c>
      <c r="C939" s="67" t="n"/>
      <c r="D939" s="84">
        <f>INDEX(INDIRECT(E939),0,COLUMN(MO_Common_Column_A))</f>
        <v/>
      </c>
      <c r="E939" s="78" t="inlineStr">
        <is>
          <t>MO_RIS_REV</t>
        </is>
      </c>
      <c r="F939" s="77" t="inlineStr">
        <is>
          <t>FY2018</t>
        </is>
      </c>
      <c r="G939" s="77" t="n"/>
      <c r="H939" s="67" t="n"/>
      <c r="I939" s="2087" t="n">
        <v>2015</v>
      </c>
      <c r="J939" s="2087" t="n">
        <v>2055</v>
      </c>
      <c r="K939" s="2087">
        <f>AVERAGE(I939:J939)</f>
        <v/>
      </c>
      <c r="L939" s="67" t="n"/>
      <c r="M939" s="77">
        <f>IF(INDEX(MO_SNA_IsHistoricalPeriod,,MATCH(F939,MO_Common_ColumnHeader,0)),"Actual","Estimate")</f>
        <v/>
      </c>
      <c r="N939" s="2087">
        <f>IFERROR(INDEX(INDIRECT(E939),0,MATCH(F939,MO_Common_ColumnHeader,0)),"N/A")</f>
        <v/>
      </c>
      <c r="O939" s="67" t="n"/>
      <c r="P939" s="2169">
        <f>IF(ISNUMBER(N939),N939-K939,"N/A")</f>
        <v/>
      </c>
      <c r="Q939" s="2168">
        <f>IFERROR(IF(ISNUMBER(N939),(N939-K939)/ABS(K939),"N/A"),"N/A")</f>
        <v/>
      </c>
      <c r="R939" s="67" t="n"/>
      <c r="S939" s="80" t="n">
        <v>43131</v>
      </c>
      <c r="T939" s="88" t="inlineStr">
        <is>
          <t>Press Release</t>
        </is>
      </c>
      <c r="U939" s="67" t="n"/>
    </row>
    <row r="940" ht="14.4" customHeight="1" s="972">
      <c r="A940" s="64" t="n">
        <v>24</v>
      </c>
      <c r="B940" s="77">
        <f>IF(INDEX(MO_SNA_IsHistoricalPeriod,,MATCH(F940,MO_Common_ColumnHeader,0)),"Historical","Forward")</f>
        <v/>
      </c>
      <c r="C940" s="67" t="n"/>
      <c r="D940" s="84">
        <f>INDEX(INDIRECT(E940),0,COLUMN(MO_Common_Column_A))</f>
        <v/>
      </c>
      <c r="E940" s="78" t="inlineStr">
        <is>
          <t>MO_RIS_EPS_WAD</t>
        </is>
      </c>
      <c r="F940" s="77" t="inlineStr">
        <is>
          <t>FY2018</t>
        </is>
      </c>
      <c r="G940" s="77" t="n"/>
      <c r="H940" s="67" t="n"/>
      <c r="I940" s="2170" t="n">
        <v>0.8</v>
      </c>
      <c r="J940" s="2170" t="n">
        <v>0.9</v>
      </c>
      <c r="K940" s="2170">
        <f>AVERAGE(I940:J940)</f>
        <v/>
      </c>
      <c r="L940" s="67" t="n"/>
      <c r="M940" s="77">
        <f>IF(INDEX(MO_SNA_IsHistoricalPeriod,,MATCH(F940,MO_Common_ColumnHeader,0)),"Actual","Estimate")</f>
        <v/>
      </c>
      <c r="N940" s="2170">
        <f>IFERROR(INDEX(INDIRECT(E940),0,MATCH(F940,MO_Common_ColumnHeader,0)),"N/A")</f>
        <v/>
      </c>
      <c r="O940" s="67" t="n"/>
      <c r="P940" s="2171">
        <f>IF(ISNUMBER(N940),N940-K940,"N/A")</f>
        <v/>
      </c>
      <c r="Q940" s="2168">
        <f>IFERROR(IF(ISNUMBER(N940),(N940-K940)/ABS(K940),"N/A"),"N/A")</f>
        <v/>
      </c>
      <c r="R940" s="67" t="n"/>
      <c r="S940" s="80" t="n">
        <v>43131</v>
      </c>
      <c r="T940" s="88" t="inlineStr">
        <is>
          <t>Press Release</t>
        </is>
      </c>
      <c r="U940" s="67" t="n"/>
    </row>
    <row r="941" ht="14.4" customHeight="1" s="972">
      <c r="A941" s="64" t="n">
        <v>23</v>
      </c>
      <c r="B941" s="77">
        <f>IF(INDEX(MO_SNA_IsHistoricalPeriod,,MATCH(F941,MO_Common_ColumnHeader,0)),"Historical","Forward")</f>
        <v/>
      </c>
      <c r="C941" s="67" t="n"/>
      <c r="D941" s="84">
        <f>INDEX(INDIRECT(E941),0,COLUMN(MO_Common_Column_A))</f>
        <v/>
      </c>
      <c r="E941" s="78" t="inlineStr">
        <is>
          <t>MO_RIS_EPS_WAD_Adj</t>
        </is>
      </c>
      <c r="F941" s="77" t="inlineStr">
        <is>
          <t>FY2018</t>
        </is>
      </c>
      <c r="G941" s="77" t="n"/>
      <c r="H941" s="67" t="n"/>
      <c r="I941" s="2170" t="n">
        <v>1.5</v>
      </c>
      <c r="J941" s="2170" t="n">
        <v>1.6</v>
      </c>
      <c r="K941" s="2170">
        <f>AVERAGE(I941:J941)</f>
        <v/>
      </c>
      <c r="L941" s="67" t="n"/>
      <c r="M941" s="77">
        <f>IF(INDEX(MO_SNA_IsHistoricalPeriod,,MATCH(F941,MO_Common_ColumnHeader,0)),"Actual","Estimate")</f>
        <v/>
      </c>
      <c r="N941" s="2170">
        <f>IFERROR(INDEX(INDIRECT(E941),0,MATCH(F941,MO_Common_ColumnHeader,0)),"N/A")</f>
        <v/>
      </c>
      <c r="O941" s="67" t="n"/>
      <c r="P941" s="2171">
        <f>IF(ISNUMBER(N941),N941-K941,"N/A")</f>
        <v/>
      </c>
      <c r="Q941" s="2168">
        <f>IFERROR(IF(ISNUMBER(N941),(N941-K941)/ABS(K941),"N/A"),"N/A")</f>
        <v/>
      </c>
      <c r="R941" s="67" t="n"/>
      <c r="S941" s="80" t="n">
        <v>43131</v>
      </c>
      <c r="T941" s="88" t="inlineStr">
        <is>
          <t>Press Release</t>
        </is>
      </c>
      <c r="U941" s="67" t="n"/>
    </row>
    <row r="942" ht="14.4" customHeight="1" s="972">
      <c r="A942" s="64" t="n">
        <v>22</v>
      </c>
      <c r="B942" s="77">
        <f>IF(INDEX(MO_SNA_IsHistoricalPeriod,,MATCH(F942,MO_Common_ColumnHeader,0)),"Historical","Forward")</f>
        <v/>
      </c>
      <c r="C942" s="67" t="n"/>
      <c r="D942" s="84">
        <f>INDEX(INDIRECT(E942),0,COLUMN(MO_Common_Column_A))</f>
        <v/>
      </c>
      <c r="E942" s="78" t="inlineStr">
        <is>
          <t>MO_RIS_TaxRate_NONGAAP</t>
        </is>
      </c>
      <c r="F942" s="77" t="inlineStr">
        <is>
          <t>FY2018</t>
        </is>
      </c>
      <c r="G942" s="77" t="n"/>
      <c r="H942" s="67" t="n"/>
      <c r="I942" s="2108" t="n">
        <v>0.16</v>
      </c>
      <c r="J942" s="2108" t="n">
        <v>0.16</v>
      </c>
      <c r="K942" s="2108">
        <f>AVERAGE(I942:J942)</f>
        <v/>
      </c>
      <c r="L942" s="67" t="n"/>
      <c r="M942" s="77">
        <f>IF(INDEX(MO_SNA_IsHistoricalPeriod,,MATCH(F942,MO_Common_ColumnHeader,0)),"Actual","Estimate")</f>
        <v/>
      </c>
      <c r="N942" s="2108">
        <f>IFERROR(INDEX(INDIRECT(E942),0,MATCH(F942,MO_Common_ColumnHeader,0)),"N/A")</f>
        <v/>
      </c>
      <c r="O942" s="67" t="n"/>
      <c r="P942" s="2168">
        <f>IF(ISNUMBER(N942),N942-K942,"N/A")</f>
        <v/>
      </c>
      <c r="Q942" s="2168">
        <f>IFERROR(IF(ISNUMBER(N942),(N942-K942)/ABS(K942),"N/A"),"N/A")</f>
        <v/>
      </c>
      <c r="R942" s="67" t="n"/>
      <c r="S942" s="80" t="n">
        <v>43131</v>
      </c>
      <c r="T942" s="88" t="inlineStr">
        <is>
          <t>Press Release</t>
        </is>
      </c>
      <c r="U942" s="67" t="n"/>
    </row>
    <row r="943" ht="14.4" customHeight="1" s="972">
      <c r="A943" s="64" t="n">
        <v>21</v>
      </c>
      <c r="B943" s="77">
        <f>IF(INDEX(MO_SNA_IsHistoricalPeriod,,MATCH(F943,MO_Common_ColumnHeader,0)),"Historical","Forward")</f>
        <v/>
      </c>
      <c r="C943" s="67" t="n"/>
      <c r="D943" s="84">
        <f>INDEX(INDIRECT(E943),0,COLUMN(MO_Common_Column_A))</f>
        <v/>
      </c>
      <c r="E943" s="78" t="inlineStr">
        <is>
          <t>MO_RIS_Daintangibles</t>
        </is>
      </c>
      <c r="F943" s="77" t="inlineStr">
        <is>
          <t>Q1-2018</t>
        </is>
      </c>
      <c r="G943" s="77" t="n"/>
      <c r="H943" s="67" t="n"/>
      <c r="I943" s="2087" t="n">
        <v>14</v>
      </c>
      <c r="J943" s="2087" t="n">
        <v>14</v>
      </c>
      <c r="K943" s="2087">
        <f>AVERAGE(I943:J943)</f>
        <v/>
      </c>
      <c r="L943" s="67" t="n"/>
      <c r="M943" s="77">
        <f>IF(INDEX(MO_SNA_IsHistoricalPeriod,,MATCH(F943,MO_Common_ColumnHeader,0)),"Actual","Estimate")</f>
        <v/>
      </c>
      <c r="N943" s="2087">
        <f>IFERROR(INDEX(INDIRECT(E943),0,MATCH(F943,MO_Common_ColumnHeader,0)),"N/A")</f>
        <v/>
      </c>
      <c r="O943" s="67" t="n"/>
      <c r="P943" s="2169">
        <f>IF(ISNUMBER(N943),N943-K943,"N/A")</f>
        <v/>
      </c>
      <c r="Q943" s="2168">
        <f>IFERROR(IF(ISNUMBER(N943),(N943-K943)/ABS(K943),"N/A"),"N/A")</f>
        <v/>
      </c>
      <c r="R943" s="67" t="n"/>
      <c r="S943" s="80" t="n">
        <v>43131</v>
      </c>
      <c r="T943" s="88" t="inlineStr">
        <is>
          <t>Press Release</t>
        </is>
      </c>
      <c r="U943" s="67" t="n"/>
    </row>
    <row r="944" ht="14.4" customHeight="1" s="972">
      <c r="A944" s="64" t="n">
        <v>20</v>
      </c>
      <c r="B944" s="77">
        <f>IF(INDEX(MO_SNA_IsHistoricalPeriod,,MATCH(F944,MO_Common_ColumnHeader,0)),"Historical","Forward")</f>
        <v/>
      </c>
      <c r="C944" s="67" t="n"/>
      <c r="D944" s="84">
        <f>INDEX(INDIRECT(E944),0,COLUMN(MO_Common_Column_A))</f>
        <v/>
      </c>
      <c r="E944" s="78" t="inlineStr">
        <is>
          <t>MO_RIS_SBC</t>
        </is>
      </c>
      <c r="F944" s="77" t="inlineStr">
        <is>
          <t>Q1-2018</t>
        </is>
      </c>
      <c r="G944" s="77" t="n"/>
      <c r="H944" s="67" t="n"/>
      <c r="I944" s="2087" t="n">
        <v>39</v>
      </c>
      <c r="J944" s="2087" t="n">
        <v>39</v>
      </c>
      <c r="K944" s="2087">
        <f>AVERAGE(I944:J944)</f>
        <v/>
      </c>
      <c r="L944" s="67" t="n"/>
      <c r="M944" s="77">
        <f>IF(INDEX(MO_SNA_IsHistoricalPeriod,,MATCH(F944,MO_Common_ColumnHeader,0)),"Actual","Estimate")</f>
        <v/>
      </c>
      <c r="N944" s="2087">
        <f>IFERROR(INDEX(INDIRECT(E944),0,MATCH(F944,MO_Common_ColumnHeader,0)),"N/A")</f>
        <v/>
      </c>
      <c r="O944" s="67" t="n"/>
      <c r="P944" s="2169">
        <f>IF(ISNUMBER(N944),N944-K944,"N/A")</f>
        <v/>
      </c>
      <c r="Q944" s="2168">
        <f>IFERROR(IF(ISNUMBER(N944),(N944-K944)/ABS(K944),"N/A"),"N/A")</f>
        <v/>
      </c>
      <c r="R944" s="67" t="n"/>
      <c r="S944" s="80" t="n">
        <v>43131</v>
      </c>
      <c r="T944" s="88" t="inlineStr">
        <is>
          <t>Press Release</t>
        </is>
      </c>
      <c r="U944" s="67" t="n"/>
    </row>
    <row r="945" ht="14.4" customHeight="1" s="972">
      <c r="A945" s="64" t="n">
        <v>19</v>
      </c>
      <c r="B945" s="77">
        <f>IF(INDEX(MO_SNA_IsHistoricalPeriod,,MATCH(F945,MO_Common_ColumnHeader,0)),"Historical","Forward")</f>
        <v/>
      </c>
      <c r="C945" s="67" t="n"/>
      <c r="D945" s="84" t="inlineStr">
        <is>
          <t>Income tax effect on non-GAAP adjustments</t>
        </is>
      </c>
      <c r="E945" s="78" t="n"/>
      <c r="F945" s="77" t="inlineStr">
        <is>
          <t>Q1-2018</t>
        </is>
      </c>
      <c r="G945" s="77" t="n"/>
      <c r="H945" s="67" t="n"/>
      <c r="I945" s="2087" t="n">
        <v>-16</v>
      </c>
      <c r="J945" s="2087" t="n">
        <v>-16</v>
      </c>
      <c r="K945" s="2087">
        <f>AVERAGE(I945:J945)</f>
        <v/>
      </c>
      <c r="L945" s="67" t="n"/>
      <c r="M945" s="77">
        <f>IF(INDEX(MO_SNA_IsHistoricalPeriod,,MATCH(F945,MO_Common_ColumnHeader,0)),"Actual","Estimate")</f>
        <v/>
      </c>
      <c r="N945" s="2087">
        <f>IFERROR(INDEX(INDIRECT(E945),0,MATCH(F945,MO_Common_ColumnHeader,0)),"N/A")</f>
        <v/>
      </c>
      <c r="O945" s="67" t="n"/>
      <c r="P945" s="2169">
        <f>IF(ISNUMBER(N945),N945-K945,"N/A")</f>
        <v/>
      </c>
      <c r="Q945" s="2168">
        <f>IFERROR(IF(ISNUMBER(N945),(N945-K945)/ABS(K945),"N/A"),"N/A")</f>
        <v/>
      </c>
      <c r="R945" s="67" t="n"/>
      <c r="S945" s="80" t="n">
        <v>43131</v>
      </c>
      <c r="T945" s="88" t="inlineStr">
        <is>
          <t>Press Release</t>
        </is>
      </c>
      <c r="U945" s="67" t="n"/>
    </row>
    <row r="946" ht="14.4" customHeight="1" s="972">
      <c r="A946" s="64" t="n">
        <v>18</v>
      </c>
      <c r="B946" s="77">
        <f>IF(INDEX(MO_SNA_IsHistoricalPeriod,,MATCH(F946,MO_Common_ColumnHeader,0)),"Historical","Forward")</f>
        <v/>
      </c>
      <c r="C946" s="67" t="n"/>
      <c r="D946" s="84">
        <f>INDEX(INDIRECT(E946),0,COLUMN(MO_Common_Column_A))</f>
        <v/>
      </c>
      <c r="E946" s="78" t="inlineStr">
        <is>
          <t>MO_RIS_Daintangibles</t>
        </is>
      </c>
      <c r="F946" s="77" t="inlineStr">
        <is>
          <t>FY2018</t>
        </is>
      </c>
      <c r="G946" s="77" t="n"/>
      <c r="H946" s="67" t="n"/>
      <c r="I946" s="2087" t="n">
        <v>54</v>
      </c>
      <c r="J946" s="2087" t="n">
        <v>54</v>
      </c>
      <c r="K946" s="2087">
        <f>AVERAGE(I946:J946)</f>
        <v/>
      </c>
      <c r="L946" s="67" t="n"/>
      <c r="M946" s="77">
        <f>IF(INDEX(MO_SNA_IsHistoricalPeriod,,MATCH(F946,MO_Common_ColumnHeader,0)),"Actual","Estimate")</f>
        <v/>
      </c>
      <c r="N946" s="2087">
        <f>IFERROR(INDEX(INDIRECT(E946),0,MATCH(F946,MO_Common_ColumnHeader,0)),"N/A")</f>
        <v/>
      </c>
      <c r="O946" s="67" t="n"/>
      <c r="P946" s="2169">
        <f>IF(ISNUMBER(N946),N946-K946,"N/A")</f>
        <v/>
      </c>
      <c r="Q946" s="2168">
        <f>IFERROR(IF(ISNUMBER(N946),(N946-K946)/ABS(K946),"N/A"),"N/A")</f>
        <v/>
      </c>
      <c r="R946" s="67" t="n"/>
      <c r="S946" s="80" t="n">
        <v>43131</v>
      </c>
      <c r="T946" s="88" t="inlineStr">
        <is>
          <t>Press Release</t>
        </is>
      </c>
      <c r="U946" s="67" t="n"/>
    </row>
    <row r="947" ht="14.4" customHeight="1" s="972">
      <c r="A947" s="64" t="n">
        <v>17</v>
      </c>
      <c r="B947" s="77">
        <f>IF(INDEX(MO_SNA_IsHistoricalPeriod,,MATCH(F947,MO_Common_ColumnHeader,0)),"Historical","Forward")</f>
        <v/>
      </c>
      <c r="C947" s="67" t="n"/>
      <c r="D947" s="84">
        <f>INDEX(INDIRECT(E947),0,COLUMN(MO_Common_Column_A))</f>
        <v/>
      </c>
      <c r="E947" s="78" t="inlineStr">
        <is>
          <t>MO_RIS_SBC</t>
        </is>
      </c>
      <c r="F947" s="77" t="inlineStr">
        <is>
          <t>FY2018</t>
        </is>
      </c>
      <c r="G947" s="77" t="n"/>
      <c r="H947" s="67" t="n"/>
      <c r="I947" s="2087" t="n">
        <v>167</v>
      </c>
      <c r="J947" s="2087" t="n">
        <v>167</v>
      </c>
      <c r="K947" s="2087">
        <f>AVERAGE(I947:J947)</f>
        <v/>
      </c>
      <c r="L947" s="67" t="n"/>
      <c r="M947" s="77">
        <f>IF(INDEX(MO_SNA_IsHistoricalPeriod,,MATCH(F947,MO_Common_ColumnHeader,0)),"Actual","Estimate")</f>
        <v/>
      </c>
      <c r="N947" s="2087">
        <f>IFERROR(INDEX(INDIRECT(E947),0,MATCH(F947,MO_Common_ColumnHeader,0)),"N/A")</f>
        <v/>
      </c>
      <c r="O947" s="67" t="n"/>
      <c r="P947" s="2169">
        <f>IF(ISNUMBER(N947),N947-K947,"N/A")</f>
        <v/>
      </c>
      <c r="Q947" s="2168">
        <f>IFERROR(IF(ISNUMBER(N947),(N947-K947)/ABS(K947),"N/A"),"N/A")</f>
        <v/>
      </c>
      <c r="R947" s="67" t="n"/>
      <c r="S947" s="80" t="n">
        <v>43131</v>
      </c>
      <c r="T947" s="88" t="inlineStr">
        <is>
          <t>Press Release</t>
        </is>
      </c>
      <c r="U947" s="67" t="n"/>
    </row>
    <row r="948" ht="14.4" customHeight="1" s="972">
      <c r="A948" s="64" t="n">
        <v>16</v>
      </c>
      <c r="B948" s="77">
        <f>IF(INDEX(MO_SNA_IsHistoricalPeriod,,MATCH(F948,MO_Common_ColumnHeader,0)),"Historical","Forward")</f>
        <v/>
      </c>
      <c r="C948" s="67" t="n"/>
      <c r="D948" s="84" t="inlineStr">
        <is>
          <t>Income tax effect on non-GAAP adjustments</t>
        </is>
      </c>
      <c r="E948" s="78" t="n"/>
      <c r="F948" s="77" t="inlineStr">
        <is>
          <t>FY2018</t>
        </is>
      </c>
      <c r="G948" s="77" t="n"/>
      <c r="H948" s="67" t="n"/>
      <c r="I948" s="2087" t="n">
        <v>-48</v>
      </c>
      <c r="J948" s="2087" t="n">
        <v>-48</v>
      </c>
      <c r="K948" s="2087">
        <f>AVERAGE(I948:J948)</f>
        <v/>
      </c>
      <c r="L948" s="67" t="n"/>
      <c r="M948" s="77">
        <f>IF(INDEX(MO_SNA_IsHistoricalPeriod,,MATCH(F948,MO_Common_ColumnHeader,0)),"Actual","Estimate")</f>
        <v/>
      </c>
      <c r="N948" s="2087">
        <f>IFERROR(INDEX(INDIRECT(E948),0,MATCH(F948,MO_Common_ColumnHeader,0)),"N/A")</f>
        <v/>
      </c>
      <c r="O948" s="67" t="n"/>
      <c r="P948" s="2169">
        <f>IF(ISNUMBER(N948),N948-K948,"N/A")</f>
        <v/>
      </c>
      <c r="Q948" s="2168">
        <f>IFERROR(IF(ISNUMBER(N948),(N948-K948)/ABS(K948),"N/A"),"N/A")</f>
        <v/>
      </c>
      <c r="R948" s="67" t="n"/>
      <c r="S948" s="80" t="n">
        <v>43131</v>
      </c>
      <c r="T948" s="88" t="inlineStr">
        <is>
          <t>Press Release</t>
        </is>
      </c>
      <c r="U948" s="67" t="n"/>
    </row>
    <row r="949" ht="14.4" customHeight="1" s="972">
      <c r="A949" s="64" t="n">
        <v>15</v>
      </c>
      <c r="B949" s="77">
        <f>IF(INDEX(MO_SNA_IsHistoricalPeriod,,MATCH(F949,MO_Common_ColumnHeader,0)),"Historical","Forward")</f>
        <v/>
      </c>
      <c r="C949" s="67" t="n"/>
      <c r="D949" s="84">
        <f>INDEX(INDIRECT(E949),0,COLUMN(MO_Common_Column_A))</f>
        <v/>
      </c>
      <c r="E949" s="78" t="inlineStr">
        <is>
          <t>MO_RIS_NI_GAAP_Diluted</t>
        </is>
      </c>
      <c r="F949" s="77" t="inlineStr">
        <is>
          <t>Q1-2018</t>
        </is>
      </c>
      <c r="G949" s="77" t="n"/>
      <c r="H949" s="67" t="n"/>
      <c r="I949" s="2087" t="n">
        <v>58</v>
      </c>
      <c r="J949" s="2087" t="n">
        <v>64</v>
      </c>
      <c r="K949" s="2087">
        <f>AVERAGE(I949:J949)</f>
        <v/>
      </c>
      <c r="L949" s="67" t="n"/>
      <c r="M949" s="77">
        <f>IF(INDEX(MO_SNA_IsHistoricalPeriod,,MATCH(F949,MO_Common_ColumnHeader,0)),"Actual","Estimate")</f>
        <v/>
      </c>
      <c r="N949" s="2087">
        <f>IFERROR(INDEX(INDIRECT(E949),0,MATCH(F949,MO_Common_ColumnHeader,0)),"N/A")</f>
        <v/>
      </c>
      <c r="O949" s="67" t="n"/>
      <c r="P949" s="2169">
        <f>IF(ISNUMBER(N949),N949-K949,"N/A")</f>
        <v/>
      </c>
      <c r="Q949" s="2168">
        <f>IFERROR(IF(ISNUMBER(N949),(N949-K949)/ABS(K949),"N/A"),"N/A")</f>
        <v/>
      </c>
      <c r="R949" s="67" t="n"/>
      <c r="S949" s="80" t="n">
        <v>43131</v>
      </c>
      <c r="T949" s="88" t="inlineStr">
        <is>
          <t>Press Release</t>
        </is>
      </c>
      <c r="U949" s="67" t="n"/>
    </row>
    <row r="950" ht="14.4" customHeight="1" s="972">
      <c r="A950" s="64" t="n">
        <v>14</v>
      </c>
      <c r="B950" s="77">
        <f>IF(INDEX(MO_SNA_IsHistoricalPeriod,,MATCH(F950,MO_Common_ColumnHeader,0)),"Historical","Forward")</f>
        <v/>
      </c>
      <c r="C950" s="67" t="n"/>
      <c r="D950" s="84">
        <f>INDEX(INDIRECT(E950),0,COLUMN(MO_Common_Column_A))</f>
        <v/>
      </c>
      <c r="E950" s="78" t="inlineStr">
        <is>
          <t>MO_RIS_NI_NONGAAP_Diluted</t>
        </is>
      </c>
      <c r="F950" s="77" t="inlineStr">
        <is>
          <t>Q1-2018</t>
        </is>
      </c>
      <c r="G950" s="77" t="n"/>
      <c r="H950" s="67" t="n"/>
      <c r="I950" s="2087" t="n">
        <v>103</v>
      </c>
      <c r="J950" s="2087" t="n">
        <v>109</v>
      </c>
      <c r="K950" s="2087">
        <f>AVERAGE(I950:J950)</f>
        <v/>
      </c>
      <c r="L950" s="67" t="n"/>
      <c r="M950" s="77">
        <f>IF(INDEX(MO_SNA_IsHistoricalPeriod,,MATCH(F950,MO_Common_ColumnHeader,0)),"Actual","Estimate")</f>
        <v/>
      </c>
      <c r="N950" s="2087">
        <f>IFERROR(INDEX(INDIRECT(E950),0,MATCH(F950,MO_Common_ColumnHeader,0)),"N/A")</f>
        <v/>
      </c>
      <c r="O950" s="67" t="n"/>
      <c r="P950" s="2169">
        <f>IF(ISNUMBER(N950),N950-K950,"N/A")</f>
        <v/>
      </c>
      <c r="Q950" s="2168">
        <f>IFERROR(IF(ISNUMBER(N950),(N950-K950)/ABS(K950),"N/A"),"N/A")</f>
        <v/>
      </c>
      <c r="R950" s="67" t="n"/>
      <c r="S950" s="80" t="n">
        <v>43131</v>
      </c>
      <c r="T950" s="88" t="inlineStr">
        <is>
          <t>Press Release</t>
        </is>
      </c>
      <c r="U950" s="67" t="n"/>
    </row>
    <row r="951" ht="14.4" customHeight="1" s="972">
      <c r="A951" s="64" t="n">
        <v>13</v>
      </c>
      <c r="B951" s="77">
        <f>IF(INDEX(MO_SNA_IsHistoricalPeriod,,MATCH(F951,MO_Common_ColumnHeader,0)),"Historical","Forward")</f>
        <v/>
      </c>
      <c r="C951" s="67" t="n"/>
      <c r="D951" s="84">
        <f>INDEX(INDIRECT(E951),0,COLUMN(MO_Common_Column_A))</f>
        <v/>
      </c>
      <c r="E951" s="78" t="inlineStr">
        <is>
          <t>MO_RIS_NI_GAAP_Diluted</t>
        </is>
      </c>
      <c r="F951" s="77" t="inlineStr">
        <is>
          <t>FY2018</t>
        </is>
      </c>
      <c r="G951" s="77" t="n"/>
      <c r="H951" s="67" t="n"/>
      <c r="I951" s="2087" t="n">
        <v>226</v>
      </c>
      <c r="J951" s="2087" t="n">
        <v>254</v>
      </c>
      <c r="K951" s="2087">
        <f>AVERAGE(I951:J951)</f>
        <v/>
      </c>
      <c r="L951" s="67" t="n"/>
      <c r="M951" s="77">
        <f>IF(INDEX(MO_SNA_IsHistoricalPeriod,,MATCH(F951,MO_Common_ColumnHeader,0)),"Actual","Estimate")</f>
        <v/>
      </c>
      <c r="N951" s="2087">
        <f>IFERROR(INDEX(INDIRECT(E951),0,MATCH(F951,MO_Common_ColumnHeader,0)),"N/A")</f>
        <v/>
      </c>
      <c r="O951" s="67" t="n"/>
      <c r="P951" s="2169">
        <f>IF(ISNUMBER(N951),N951-K951,"N/A")</f>
        <v/>
      </c>
      <c r="Q951" s="2168">
        <f>IFERROR(IF(ISNUMBER(N951),(N951-K951)/ABS(K951),"N/A"),"N/A")</f>
        <v/>
      </c>
      <c r="R951" s="67" t="n"/>
      <c r="S951" s="80" t="n">
        <v>43131</v>
      </c>
      <c r="T951" s="88" t="inlineStr">
        <is>
          <t>Press Release</t>
        </is>
      </c>
      <c r="U951" s="67" t="n"/>
    </row>
    <row r="952" ht="14.4" customHeight="1" s="972">
      <c r="A952" s="64" t="n">
        <v>12</v>
      </c>
      <c r="B952" s="77">
        <f>IF(INDEX(MO_SNA_IsHistoricalPeriod,,MATCH(F952,MO_Common_ColumnHeader,0)),"Historical","Forward")</f>
        <v/>
      </c>
      <c r="C952" s="67" t="n"/>
      <c r="D952" s="84">
        <f>INDEX(INDIRECT(E952),0,COLUMN(MO_Common_Column_A))</f>
        <v/>
      </c>
      <c r="E952" s="78" t="inlineStr">
        <is>
          <t>MO_RIS_NI_NONGAAP_Diluted</t>
        </is>
      </c>
      <c r="F952" s="77" t="inlineStr">
        <is>
          <t>FY2018</t>
        </is>
      </c>
      <c r="G952" s="77" t="n"/>
      <c r="H952" s="67" t="n"/>
      <c r="I952" s="2087" t="n">
        <v>426</v>
      </c>
      <c r="J952" s="2087" t="n">
        <v>454</v>
      </c>
      <c r="K952" s="2087">
        <f>AVERAGE(I952:J952)</f>
        <v/>
      </c>
      <c r="L952" s="67" t="n"/>
      <c r="M952" s="77">
        <f>IF(INDEX(MO_SNA_IsHistoricalPeriod,,MATCH(F952,MO_Common_ColumnHeader,0)),"Actual","Estimate")</f>
        <v/>
      </c>
      <c r="N952" s="2087">
        <f>IFERROR(INDEX(INDIRECT(E952),0,MATCH(F952,MO_Common_ColumnHeader,0)),"N/A")</f>
        <v/>
      </c>
      <c r="O952" s="67" t="n"/>
      <c r="P952" s="2169">
        <f>IF(ISNUMBER(N952),N952-K952,"N/A")</f>
        <v/>
      </c>
      <c r="Q952" s="2168">
        <f>IFERROR(IF(ISNUMBER(N952),(N952-K952)/ABS(K952),"N/A"),"N/A")</f>
        <v/>
      </c>
      <c r="R952" s="67" t="n"/>
      <c r="S952" s="80" t="n">
        <v>43131</v>
      </c>
      <c r="T952" s="88" t="inlineStr">
        <is>
          <t>Press Release</t>
        </is>
      </c>
      <c r="U952" s="67" t="n"/>
    </row>
    <row r="953" ht="14.4" customHeight="1" s="972">
      <c r="A953" s="64" t="n">
        <v>11</v>
      </c>
      <c r="B953" s="77">
        <f>IF(INDEX(MO_SNA_IsHistoricalPeriod,,MATCH(F953,MO_Common_ColumnHeader,0)),"Historical","Forward")</f>
        <v/>
      </c>
      <c r="C953" s="67" t="n"/>
      <c r="D953" s="84" t="inlineStr">
        <is>
          <t>GAAP operating margin</t>
        </is>
      </c>
      <c r="E953" s="78" t="n"/>
      <c r="F953" s="77" t="inlineStr">
        <is>
          <t>Q1-2018</t>
        </is>
      </c>
      <c r="G953" s="77" t="n"/>
      <c r="H953" s="67" t="n"/>
      <c r="I953" s="2108" t="n">
        <v>0.14</v>
      </c>
      <c r="J953" s="2108" t="n">
        <v>0.14</v>
      </c>
      <c r="K953" s="2108">
        <f>AVERAGE(I953:J953)</f>
        <v/>
      </c>
      <c r="L953" s="67" t="n"/>
      <c r="M953" s="77">
        <f>IF(INDEX(MO_SNA_IsHistoricalPeriod,,MATCH(F953,MO_Common_ColumnHeader,0)),"Actual","Estimate")</f>
        <v/>
      </c>
      <c r="N953" s="2108">
        <f>IFERROR(INDEX(INDIRECT(E953),0,MATCH(F953,MO_Common_ColumnHeader,0)),"N/A")</f>
        <v/>
      </c>
      <c r="O953" s="67" t="n"/>
      <c r="P953" s="2168">
        <f>IF(ISNUMBER(N953),N953-K953,"N/A")</f>
        <v/>
      </c>
      <c r="Q953" s="2168">
        <f>IFERROR(IF(ISNUMBER(N953),(N953-K953)/ABS(K953),"N/A"),"N/A")</f>
        <v/>
      </c>
      <c r="R953" s="67" t="n"/>
      <c r="S953" s="80" t="n">
        <v>43131</v>
      </c>
      <c r="T953" s="88" t="inlineStr">
        <is>
          <t>Press Release</t>
        </is>
      </c>
      <c r="U953" s="67" t="n"/>
    </row>
    <row r="954" ht="14.4" customHeight="1" s="972">
      <c r="A954" s="64" t="n">
        <v>10</v>
      </c>
      <c r="B954" s="77">
        <f>IF(INDEX(MO_SNA_IsHistoricalPeriod,,MATCH(F954,MO_Common_ColumnHeader,0)),"Historical","Forward")</f>
        <v/>
      </c>
      <c r="C954" s="67" t="n"/>
      <c r="D954" s="84">
        <f>INDEX(INDIRECT(E954),0,COLUMN(MO_Common_Column_A))</f>
        <v/>
      </c>
      <c r="E954" s="78" t="inlineStr">
        <is>
          <t>MO_MA_OperatingIncome</t>
        </is>
      </c>
      <c r="F954" s="77" t="inlineStr">
        <is>
          <t>Q1-2018</t>
        </is>
      </c>
      <c r="G954" s="77" t="n"/>
      <c r="H954" s="67" t="n"/>
      <c r="I954" s="2108" t="n">
        <v>0.26</v>
      </c>
      <c r="J954" s="2108" t="n">
        <v>0.26</v>
      </c>
      <c r="K954" s="2108">
        <f>AVERAGE(I954:J954)</f>
        <v/>
      </c>
      <c r="L954" s="67" t="n"/>
      <c r="M954" s="77">
        <f>IF(INDEX(MO_SNA_IsHistoricalPeriod,,MATCH(F954,MO_Common_ColumnHeader,0)),"Actual","Estimate")</f>
        <v/>
      </c>
      <c r="N954" s="2108">
        <f>IFERROR(INDEX(INDIRECT(E954),0,MATCH(F954,MO_Common_ColumnHeader,0)),"N/A")</f>
        <v/>
      </c>
      <c r="O954" s="67" t="n"/>
      <c r="P954" s="2168">
        <f>IF(ISNUMBER(N954),N954-K954,"N/A")</f>
        <v/>
      </c>
      <c r="Q954" s="2168">
        <f>IFERROR(IF(ISNUMBER(N954),(N954-K954)/ABS(K954),"N/A"),"N/A")</f>
        <v/>
      </c>
      <c r="R954" s="67" t="n"/>
      <c r="S954" s="80" t="n">
        <v>43131</v>
      </c>
      <c r="T954" s="88" t="inlineStr">
        <is>
          <t>Press Release</t>
        </is>
      </c>
      <c r="U954" s="67" t="n"/>
    </row>
    <row r="955" ht="14.4" customHeight="1" s="972">
      <c r="A955" s="64" t="n">
        <v>9</v>
      </c>
      <c r="B955" s="77">
        <f>IF(INDEX(MO_SNA_IsHistoricalPeriod,,MATCH(F955,MO_Common_ColumnHeader,0)),"Historical","Forward")</f>
        <v/>
      </c>
      <c r="C955" s="67" t="n"/>
      <c r="D955" s="84" t="inlineStr">
        <is>
          <t>GAAP operating margin</t>
        </is>
      </c>
      <c r="E955" s="78" t="n"/>
      <c r="F955" s="77" t="inlineStr">
        <is>
          <t>FY2018</t>
        </is>
      </c>
      <c r="G955" s="77" t="n"/>
      <c r="H955" s="67" t="n"/>
      <c r="I955" s="2108" t="n">
        <v>0.15</v>
      </c>
      <c r="J955" s="2108" t="n">
        <v>0.15</v>
      </c>
      <c r="K955" s="2108">
        <f>AVERAGE(I955:J955)</f>
        <v/>
      </c>
      <c r="L955" s="67" t="n"/>
      <c r="M955" s="77">
        <f>IF(INDEX(MO_SNA_IsHistoricalPeriod,,MATCH(F955,MO_Common_ColumnHeader,0)),"Actual","Estimate")</f>
        <v/>
      </c>
      <c r="N955" s="2108">
        <f>IFERROR(INDEX(INDIRECT(E955),0,MATCH(F955,MO_Common_ColumnHeader,0)),"N/A")</f>
        <v/>
      </c>
      <c r="O955" s="67" t="n"/>
      <c r="P955" s="2168">
        <f>IF(ISNUMBER(N955),N955-K955,"N/A")</f>
        <v/>
      </c>
      <c r="Q955" s="2168">
        <f>IFERROR(IF(ISNUMBER(N955),(N955-K955)/ABS(K955),"N/A"),"N/A")</f>
        <v/>
      </c>
      <c r="R955" s="67" t="n"/>
      <c r="S955" s="80" t="n">
        <v>43131</v>
      </c>
      <c r="T955" s="88" t="inlineStr">
        <is>
          <t>Press Release</t>
        </is>
      </c>
      <c r="U955" s="67" t="n"/>
    </row>
    <row r="956" ht="14.4" customHeight="1" s="972">
      <c r="A956" s="64" t="n">
        <v>8</v>
      </c>
      <c r="B956" s="77">
        <f>IF(INDEX(MO_SNA_IsHistoricalPeriod,,MATCH(F956,MO_Common_ColumnHeader,0)),"Historical","Forward")</f>
        <v/>
      </c>
      <c r="C956" s="67" t="n"/>
      <c r="D956" s="84">
        <f>INDEX(INDIRECT(E956),0,COLUMN(MO_Common_Column_A))</f>
        <v/>
      </c>
      <c r="E956" s="78" t="inlineStr">
        <is>
          <t>MO_MA_OperatingIncome</t>
        </is>
      </c>
      <c r="F956" s="77" t="inlineStr">
        <is>
          <t>FY2018</t>
        </is>
      </c>
      <c r="G956" s="77" t="n"/>
      <c r="H956" s="67" t="n"/>
      <c r="I956" s="2108" t="n">
        <v>0.27</v>
      </c>
      <c r="J956" s="2108" t="n">
        <v>0.27</v>
      </c>
      <c r="K956" s="2108">
        <f>AVERAGE(I956:J956)</f>
        <v/>
      </c>
      <c r="L956" s="67" t="n"/>
      <c r="M956" s="77">
        <f>IF(INDEX(MO_SNA_IsHistoricalPeriod,,MATCH(F956,MO_Common_ColumnHeader,0)),"Actual","Estimate")</f>
        <v/>
      </c>
      <c r="N956" s="2108">
        <f>IFERROR(INDEX(INDIRECT(E956),0,MATCH(F956,MO_Common_ColumnHeader,0)),"N/A")</f>
        <v/>
      </c>
      <c r="O956" s="67" t="n"/>
      <c r="P956" s="2168">
        <f>IF(ISNUMBER(N956),N956-K956,"N/A")</f>
        <v/>
      </c>
      <c r="Q956" s="2168">
        <f>IFERROR(IF(ISNUMBER(N956),(N956-K956)/ABS(K956),"N/A"),"N/A")</f>
        <v/>
      </c>
      <c r="R956" s="67" t="n"/>
      <c r="S956" s="80" t="n">
        <v>43131</v>
      </c>
      <c r="T956" s="88" t="inlineStr">
        <is>
          <t>Press Release</t>
        </is>
      </c>
      <c r="U956" s="67" t="n"/>
    </row>
    <row r="957" ht="14.4" customHeight="1" s="972">
      <c r="A957" s="64" t="n">
        <v>7</v>
      </c>
      <c r="B957" s="67" t="n"/>
      <c r="C957" s="67" t="n"/>
      <c r="D957" s="68" t="n"/>
      <c r="E957" s="69" t="n"/>
      <c r="F957" s="67" t="n"/>
      <c r="G957" s="67" t="n"/>
      <c r="H957" s="67" t="n"/>
      <c r="I957" s="2175" t="n"/>
      <c r="J957" s="2175" t="n"/>
      <c r="K957" s="2175" t="n"/>
      <c r="L957" s="67" t="n"/>
      <c r="M957" s="67" t="n"/>
      <c r="N957" s="2175" t="n"/>
      <c r="O957" s="67" t="n"/>
      <c r="P957" s="2176" t="n"/>
      <c r="Q957" s="2173" t="n"/>
      <c r="R957" s="67" t="n"/>
      <c r="S957" s="72" t="n"/>
      <c r="T957" s="89" t="n"/>
      <c r="U957" s="67" t="n"/>
    </row>
    <row r="958" ht="14.4" customHeight="1" s="972">
      <c r="A958" s="64" t="n">
        <v>6</v>
      </c>
      <c r="B958" s="77">
        <f>IF(INDEX(MO_SNA_IsHistoricalPeriod,,MATCH(F958,MO_Common_ColumnHeader,0)),"Historical","Forward")</f>
        <v/>
      </c>
      <c r="C958" s="67" t="n"/>
      <c r="D958" s="84">
        <f>INDEX(INDIRECT(E958),0,COLUMN(MO_Common_Column_A))</f>
        <v/>
      </c>
      <c r="E958" s="78" t="inlineStr">
        <is>
          <t>MO_RIS_REV</t>
        </is>
      </c>
      <c r="F958" s="77" t="inlineStr">
        <is>
          <t>Q4-2017</t>
        </is>
      </c>
      <c r="G958" s="77" t="n"/>
      <c r="H958" s="67" t="n"/>
      <c r="I958" s="2087" t="n">
        <v>490</v>
      </c>
      <c r="J958" s="2087" t="n">
        <v>500</v>
      </c>
      <c r="K958" s="2087">
        <f>AVERAGE(I958:J958)</f>
        <v/>
      </c>
      <c r="L958" s="67" t="n"/>
      <c r="M958" s="77">
        <f>IF(INDEX(MO_SNA_IsHistoricalPeriod,,MATCH(F958,MO_Common_ColumnHeader,0)),"Actual","Estimate")</f>
        <v/>
      </c>
      <c r="N958" s="2087">
        <f>IFERROR(INDEX(INDIRECT(E958),0,MATCH(F958,MO_Common_ColumnHeader,0)),"N/A")</f>
        <v/>
      </c>
      <c r="O958" s="67" t="n"/>
      <c r="P958" s="2169">
        <f>IF(ISNUMBER(N958),N958-K958,"N/A")</f>
        <v/>
      </c>
      <c r="Q958" s="2168">
        <f>IFERROR(IF(ISNUMBER(N958),(N958-K958)/ABS(K958),"N/A"),"N/A")</f>
        <v/>
      </c>
      <c r="R958" s="67" t="n"/>
      <c r="S958" s="80" t="n">
        <v>43034</v>
      </c>
      <c r="T958" s="88" t="inlineStr">
        <is>
          <t>Press Release</t>
        </is>
      </c>
      <c r="U958" s="67" t="n"/>
    </row>
    <row r="959" ht="14.4" customHeight="1" s="972">
      <c r="A959" s="64" t="n">
        <v>5</v>
      </c>
      <c r="B959" s="77">
        <f>IF(INDEX(MO_SNA_IsHistoricalPeriod,,MATCH(F959,MO_Common_ColumnHeader,0)),"Historical","Forward")</f>
        <v/>
      </c>
      <c r="C959" s="67" t="n"/>
      <c r="D959" s="84">
        <f>INDEX(INDIRECT(E959),0,COLUMN(MO_Common_Column_A))</f>
        <v/>
      </c>
      <c r="E959" s="78" t="inlineStr">
        <is>
          <t>MO_RIS_EPS_WAD</t>
        </is>
      </c>
      <c r="F959" s="77" t="inlineStr">
        <is>
          <t>Q4-2017</t>
        </is>
      </c>
      <c r="G959" s="77" t="n"/>
      <c r="H959" s="67" t="n"/>
      <c r="I959" s="2170" t="n">
        <v>0.26</v>
      </c>
      <c r="J959" s="2170" t="n">
        <v>0.28</v>
      </c>
      <c r="K959" s="2170">
        <f>AVERAGE(I959:J959)</f>
        <v/>
      </c>
      <c r="L959" s="67" t="n"/>
      <c r="M959" s="77">
        <f>IF(INDEX(MO_SNA_IsHistoricalPeriod,,MATCH(F959,MO_Common_ColumnHeader,0)),"Actual","Estimate")</f>
        <v/>
      </c>
      <c r="N959" s="2170">
        <f>IFERROR(INDEX(INDIRECT(E959),0,MATCH(F959,MO_Common_ColumnHeader,0)),"N/A")</f>
        <v/>
      </c>
      <c r="O959" s="67" t="n"/>
      <c r="P959" s="2171">
        <f>IF(ISNUMBER(N959),N959-K959,"N/A")</f>
        <v/>
      </c>
      <c r="Q959" s="2168">
        <f>IFERROR(IF(ISNUMBER(N959),(N959-K959)/ABS(K959),"N/A"),"N/A")</f>
        <v/>
      </c>
      <c r="R959" s="67" t="n"/>
      <c r="S959" s="80" t="n">
        <v>43034</v>
      </c>
      <c r="T959" s="88" t="inlineStr">
        <is>
          <t>Press Release</t>
        </is>
      </c>
      <c r="U959" s="67" t="n"/>
    </row>
    <row r="960" ht="14.4" customHeight="1" s="972">
      <c r="A960" s="64" t="n">
        <v>4</v>
      </c>
      <c r="B960" s="77">
        <f>IF(INDEX(MO_SNA_IsHistoricalPeriod,,MATCH(F960,MO_Common_ColumnHeader,0)),"Historical","Forward")</f>
        <v/>
      </c>
      <c r="C960" s="67" t="n"/>
      <c r="D960" s="84">
        <f>INDEX(INDIRECT(E960),0,COLUMN(MO_Common_Column_A))</f>
        <v/>
      </c>
      <c r="E960" s="78" t="inlineStr">
        <is>
          <t>MO_RIS_EPS_WAD_Adj</t>
        </is>
      </c>
      <c r="F960" s="77" t="inlineStr">
        <is>
          <t>Q4-2017</t>
        </is>
      </c>
      <c r="G960" s="77" t="n"/>
      <c r="H960" s="67" t="n"/>
      <c r="I960" s="2170" t="n">
        <v>0.38</v>
      </c>
      <c r="J960" s="2170" t="n">
        <v>0.4</v>
      </c>
      <c r="K960" s="2170">
        <f>AVERAGE(I960:J960)</f>
        <v/>
      </c>
      <c r="L960" s="67" t="n"/>
      <c r="M960" s="77">
        <f>IF(INDEX(MO_SNA_IsHistoricalPeriod,,MATCH(F960,MO_Common_ColumnHeader,0)),"Actual","Estimate")</f>
        <v/>
      </c>
      <c r="N960" s="2170">
        <f>IFERROR(INDEX(INDIRECT(E960),0,MATCH(F960,MO_Common_ColumnHeader,0)),"N/A")</f>
        <v/>
      </c>
      <c r="O960" s="67" t="n"/>
      <c r="P960" s="2171">
        <f>IF(ISNUMBER(N960),N960-K960,"N/A")</f>
        <v/>
      </c>
      <c r="Q960" s="2168">
        <f>IFERROR(IF(ISNUMBER(N960),(N960-K960)/ABS(K960),"N/A"),"N/A")</f>
        <v/>
      </c>
      <c r="R960" s="67" t="n"/>
      <c r="S960" s="80" t="n">
        <v>43034</v>
      </c>
      <c r="T960" s="88" t="inlineStr">
        <is>
          <t>Press Release</t>
        </is>
      </c>
      <c r="U960" s="67" t="n"/>
    </row>
    <row r="961" ht="14.4" customHeight="1" s="972">
      <c r="A961" s="64" t="n">
        <v>3</v>
      </c>
      <c r="B961" s="77">
        <f>IF(INDEX(MO_SNA_IsHistoricalPeriod,,MATCH(F961,MO_Common_ColumnHeader,0)),"Historical","Forward")</f>
        <v/>
      </c>
      <c r="C961" s="67" t="n"/>
      <c r="D961" s="84">
        <f>INDEX(INDIRECT(E961),0,COLUMN(MO_Common_Column_A))</f>
        <v/>
      </c>
      <c r="E961" s="78" t="inlineStr">
        <is>
          <t>MO_RIS_REV</t>
        </is>
      </c>
      <c r="F961" s="77" t="inlineStr">
        <is>
          <t>FY2017</t>
        </is>
      </c>
      <c r="G961" s="77" t="n"/>
      <c r="H961" s="67" t="n"/>
      <c r="I961" s="2087" t="n">
        <v>1931</v>
      </c>
      <c r="J961" s="2087" t="n">
        <v>1941</v>
      </c>
      <c r="K961" s="2087">
        <f>AVERAGE(I961:J961)</f>
        <v/>
      </c>
      <c r="L961" s="67" t="n"/>
      <c r="M961" s="77">
        <f>IF(INDEX(MO_SNA_IsHistoricalPeriod,,MATCH(F961,MO_Common_ColumnHeader,0)),"Actual","Estimate")</f>
        <v/>
      </c>
      <c r="N961" s="2087">
        <f>IFERROR(INDEX(INDIRECT(E961),0,MATCH(F961,MO_Common_ColumnHeader,0)),"N/A")</f>
        <v/>
      </c>
      <c r="O961" s="67" t="n"/>
      <c r="P961" s="2169">
        <f>IF(ISNUMBER(N961),N961-K961,"N/A")</f>
        <v/>
      </c>
      <c r="Q961" s="2168">
        <f>IFERROR(IF(ISNUMBER(N961),(N961-K961)/ABS(K961),"N/A"),"N/A")</f>
        <v/>
      </c>
      <c r="R961" s="67" t="n"/>
      <c r="S961" s="80" t="n">
        <v>43034</v>
      </c>
      <c r="T961" s="88" t="inlineStr">
        <is>
          <t>Press Release</t>
        </is>
      </c>
      <c r="U961" s="67" t="n"/>
    </row>
    <row r="962" ht="14.4" customHeight="1" s="972">
      <c r="A962" s="64" t="n">
        <v>2</v>
      </c>
      <c r="B962" s="77">
        <f>IF(INDEX(MO_SNA_IsHistoricalPeriod,,MATCH(F962,MO_Common_ColumnHeader,0)),"Historical","Forward")</f>
        <v/>
      </c>
      <c r="C962" s="67" t="n"/>
      <c r="D962" s="84">
        <f>INDEX(INDIRECT(E962),0,COLUMN(MO_Common_Column_A))</f>
        <v/>
      </c>
      <c r="E962" s="78" t="inlineStr">
        <is>
          <t>MO_RIS_EPS_WAD</t>
        </is>
      </c>
      <c r="F962" s="77" t="inlineStr">
        <is>
          <t>FY2017</t>
        </is>
      </c>
      <c r="G962" s="77" t="n"/>
      <c r="H962" s="67" t="n"/>
      <c r="I962" s="2170" t="n">
        <v>1.04</v>
      </c>
      <c r="J962" s="2170" t="n">
        <v>1.06</v>
      </c>
      <c r="K962" s="2170">
        <f>AVERAGE(I962:J962)</f>
        <v/>
      </c>
      <c r="L962" s="67" t="n"/>
      <c r="M962" s="77">
        <f>IF(INDEX(MO_SNA_IsHistoricalPeriod,,MATCH(F962,MO_Common_ColumnHeader,0)),"Actual","Estimate")</f>
        <v/>
      </c>
      <c r="N962" s="2170">
        <f>IFERROR(INDEX(INDIRECT(E962),0,MATCH(F962,MO_Common_ColumnHeader,0)),"N/A")</f>
        <v/>
      </c>
      <c r="O962" s="67" t="n"/>
      <c r="P962" s="2171">
        <f>IF(ISNUMBER(N962),N962-K962,"N/A")</f>
        <v/>
      </c>
      <c r="Q962" s="2168">
        <f>IFERROR(IF(ISNUMBER(N962),(N962-K962)/ABS(K962),"N/A"),"N/A")</f>
        <v/>
      </c>
      <c r="R962" s="67" t="n"/>
      <c r="S962" s="80" t="n">
        <v>43034</v>
      </c>
      <c r="T962" s="88" t="inlineStr">
        <is>
          <t>Press Release</t>
        </is>
      </c>
      <c r="U962" s="67" t="n"/>
    </row>
    <row r="963" ht="14.4" customHeight="1" s="972">
      <c r="A963" s="64" t="n">
        <v>1</v>
      </c>
      <c r="B963" s="77">
        <f>IF(INDEX(MO_SNA_IsHistoricalPeriod,,MATCH(F963,MO_Common_ColumnHeader,0)),"Historical","Forward")</f>
        <v/>
      </c>
      <c r="C963" s="67" t="n"/>
      <c r="D963" s="84">
        <f>INDEX(INDIRECT(E963),0,COLUMN(MO_Common_Column_A))</f>
        <v/>
      </c>
      <c r="E963" s="78" t="inlineStr">
        <is>
          <t>MO_RIS_EPS_WAD_Adj</t>
        </is>
      </c>
      <c r="F963" s="77" t="inlineStr">
        <is>
          <t>FY2017</t>
        </is>
      </c>
      <c r="G963" s="77" t="n"/>
      <c r="H963" s="67" t="n"/>
      <c r="I963" s="2170" t="n">
        <v>1.39</v>
      </c>
      <c r="J963" s="2170" t="n">
        <v>1.41</v>
      </c>
      <c r="K963" s="2170">
        <f>AVERAGE(I963:J963)</f>
        <v/>
      </c>
      <c r="L963" s="67" t="n"/>
      <c r="M963" s="77">
        <f>IF(INDEX(MO_SNA_IsHistoricalPeriod,,MATCH(F963,MO_Common_ColumnHeader,0)),"Actual","Estimate")</f>
        <v/>
      </c>
      <c r="N963" s="2170">
        <f>IFERROR(INDEX(INDIRECT(E963),0,MATCH(F963,MO_Common_ColumnHeader,0)),"N/A")</f>
        <v/>
      </c>
      <c r="O963" s="67" t="n"/>
      <c r="P963" s="2171">
        <f>IF(ISNUMBER(N963),N963-K963,"N/A")</f>
        <v/>
      </c>
      <c r="Q963" s="2168">
        <f>IFERROR(IF(ISNUMBER(N963),(N963-K963)/ABS(K963),"N/A"),"N/A")</f>
        <v/>
      </c>
      <c r="R963" s="67" t="n"/>
      <c r="S963" s="80" t="n">
        <v>43034</v>
      </c>
      <c r="T963" s="88" t="inlineStr">
        <is>
          <t>Press Release</t>
        </is>
      </c>
      <c r="U963" s="67" t="n"/>
    </row>
    <row r="964" ht="14.4" customHeight="1" s="972">
      <c r="A964" s="64" t="n">
        <v>0</v>
      </c>
      <c r="B964" s="67" t="n"/>
      <c r="C964" s="67" t="n"/>
      <c r="D964" s="67" t="n"/>
      <c r="E964" s="69" t="n"/>
      <c r="F964" s="67" t="n"/>
      <c r="G964" s="67" t="n"/>
      <c r="H964" s="67" t="n"/>
      <c r="I964" s="2072" t="n"/>
      <c r="J964" s="2072" t="n"/>
      <c r="K964" s="2072" t="n"/>
      <c r="L964" s="67" t="n"/>
      <c r="M964" s="67" t="n"/>
      <c r="N964" s="2072" t="n"/>
      <c r="O964" s="67" t="n"/>
      <c r="P964" s="2177" t="n"/>
      <c r="Q964" s="2178" t="n"/>
      <c r="R964" s="67" t="n"/>
      <c r="S964" s="72" t="n"/>
      <c r="T964" s="111" t="n"/>
      <c r="U964" s="67" t="n"/>
    </row>
  </sheetData>
  <autoFilter ref="A5:U5"/>
  <conditionalFormatting sqref="Q1">
    <cfRule type="colorScale" priority="642">
      <colorScale>
        <cfvo type="num" val="-0.1"/>
        <cfvo type="num" val="0"/>
        <cfvo type="num" val="0.1"/>
        <color rgb="FFF8696B"/>
        <color rgb="FFFFEB84"/>
        <color rgb="FF63BE7B"/>
      </colorScale>
    </cfRule>
  </conditionalFormatting>
  <conditionalFormatting sqref="Q2:Q3 Q490:Q492 Q494:Q496 Q642 Q810:Q814 Q816:Q819 Q854:Q862 Q866:Q869 Q871:Q873 Q875:Q885 Q916:Q938">
    <cfRule type="colorScale" priority="679">
      <colorScale>
        <cfvo type="num" val="-0.1"/>
        <cfvo type="num" val="0"/>
        <cfvo type="num" val="0.1"/>
        <color rgb="FFF8696B"/>
        <color rgb="FFFFEB84"/>
        <color rgb="FF63BE7B"/>
      </colorScale>
    </cfRule>
  </conditionalFormatting>
  <conditionalFormatting sqref="Q5">
    <cfRule type="colorScale" priority="647">
      <colorScale>
        <cfvo type="num" val="-0.1"/>
        <cfvo type="num" val="0"/>
        <cfvo type="num" val="0.1"/>
        <color rgb="FFF8696B"/>
        <color rgb="FFFFEB84"/>
        <color rgb="FF63BE7B"/>
      </colorScale>
    </cfRule>
  </conditionalFormatting>
  <conditionalFormatting sqref="Q6">
    <cfRule type="colorScale" priority="17">
      <colorScale>
        <cfvo type="num" val="-0.1"/>
        <cfvo type="num" val="0"/>
        <cfvo type="num" val="0.1"/>
        <color rgb="FFF8696B"/>
        <color rgb="FFFFEB84"/>
        <color rgb="FF63BE7B"/>
      </colorScale>
    </cfRule>
  </conditionalFormatting>
  <conditionalFormatting sqref="Q7">
    <cfRule type="colorScale" priority="16">
      <colorScale>
        <cfvo type="num" val="-0.1"/>
        <cfvo type="num" val="0"/>
        <cfvo type="num" val="0.1"/>
        <color rgb="FFF8696B"/>
        <color rgb="FFFFEB84"/>
        <color rgb="FF63BE7B"/>
      </colorScale>
    </cfRule>
  </conditionalFormatting>
  <conditionalFormatting sqref="Q8">
    <cfRule type="colorScale" priority="23">
      <colorScale>
        <cfvo type="num" val="-0.1"/>
        <cfvo type="num" val="0"/>
        <cfvo type="num" val="0.1"/>
        <color rgb="FFF8696B"/>
        <color rgb="FFFFEB84"/>
        <color rgb="FF63BE7B"/>
      </colorScale>
    </cfRule>
  </conditionalFormatting>
  <conditionalFormatting sqref="Q9">
    <cfRule type="colorScale" priority="22">
      <colorScale>
        <cfvo type="num" val="-0.1"/>
        <cfvo type="num" val="0"/>
        <cfvo type="num" val="0.1"/>
        <color rgb="FFF8696B"/>
        <color rgb="FFFFEB84"/>
        <color rgb="FF63BE7B"/>
      </colorScale>
    </cfRule>
  </conditionalFormatting>
  <conditionalFormatting sqref="Q10">
    <cfRule type="colorScale" priority="21">
      <colorScale>
        <cfvo type="num" val="-0.1"/>
        <cfvo type="num" val="0"/>
        <cfvo type="num" val="0.1"/>
        <color rgb="FFF8696B"/>
        <color rgb="FFFFEB84"/>
        <color rgb="FF63BE7B"/>
      </colorScale>
    </cfRule>
  </conditionalFormatting>
  <conditionalFormatting sqref="Q11">
    <cfRule type="colorScale" priority="24">
      <colorScale>
        <cfvo type="num" val="-0.1"/>
        <cfvo type="num" val="0"/>
        <cfvo type="num" val="0.1"/>
        <color rgb="FFF8696B"/>
        <color rgb="FFFFEB84"/>
        <color rgb="FF63BE7B"/>
      </colorScale>
    </cfRule>
  </conditionalFormatting>
  <conditionalFormatting sqref="Q12">
    <cfRule type="colorScale" priority="25">
      <colorScale>
        <cfvo type="num" val="-0.1"/>
        <cfvo type="num" val="0"/>
        <cfvo type="num" val="0.1"/>
        <color rgb="FFF8696B"/>
        <color rgb="FFFFEB84"/>
        <color rgb="FF63BE7B"/>
      </colorScale>
    </cfRule>
  </conditionalFormatting>
  <conditionalFormatting sqref="Q13">
    <cfRule type="colorScale" priority="20">
      <colorScale>
        <cfvo type="num" val="-0.1"/>
        <cfvo type="num" val="0"/>
        <cfvo type="num" val="0.1"/>
        <color rgb="FFF8696B"/>
        <color rgb="FFFFEB84"/>
        <color rgb="FF63BE7B"/>
      </colorScale>
    </cfRule>
  </conditionalFormatting>
  <conditionalFormatting sqref="Q14">
    <cfRule type="colorScale" priority="10">
      <colorScale>
        <cfvo type="num" val="-0.1"/>
        <cfvo type="num" val="0"/>
        <cfvo type="num" val="0.1"/>
        <color rgb="FFF8696B"/>
        <color rgb="FFFFEB84"/>
        <color rgb="FF63BE7B"/>
      </colorScale>
    </cfRule>
  </conditionalFormatting>
  <conditionalFormatting sqref="Q15">
    <cfRule type="colorScale" priority="14">
      <colorScale>
        <cfvo type="num" val="-0.1"/>
        <cfvo type="num" val="0"/>
        <cfvo type="num" val="0.1"/>
        <color rgb="FFF8696B"/>
        <color rgb="FFFFEB84"/>
        <color rgb="FF63BE7B"/>
      </colorScale>
    </cfRule>
  </conditionalFormatting>
  <conditionalFormatting sqref="Q16">
    <cfRule type="colorScale" priority="11">
      <colorScale>
        <cfvo type="num" val="-0.1"/>
        <cfvo type="num" val="0"/>
        <cfvo type="num" val="0.1"/>
        <color rgb="FFF8696B"/>
        <color rgb="FFFFEB84"/>
        <color rgb="FF63BE7B"/>
      </colorScale>
    </cfRule>
  </conditionalFormatting>
  <conditionalFormatting sqref="Q17:Q18">
    <cfRule type="colorScale" priority="13">
      <colorScale>
        <cfvo type="num" val="-0.1"/>
        <cfvo type="num" val="0"/>
        <cfvo type="num" val="0.1"/>
        <color rgb="FFF8696B"/>
        <color rgb="FFFFEB84"/>
        <color rgb="FF63BE7B"/>
      </colorScale>
    </cfRule>
  </conditionalFormatting>
  <conditionalFormatting sqref="Q18">
    <cfRule type="colorScale" priority="18">
      <colorScale>
        <cfvo type="num" val="-0.1"/>
        <cfvo type="num" val="0"/>
        <cfvo type="num" val="0.1"/>
        <color rgb="FFF8696B"/>
        <color rgb="FFFFEB84"/>
        <color rgb="FF63BE7B"/>
      </colorScale>
    </cfRule>
  </conditionalFormatting>
  <conditionalFormatting sqref="Q19">
    <cfRule type="colorScale" priority="12">
      <colorScale>
        <cfvo type="num" val="-0.1"/>
        <cfvo type="num" val="0"/>
        <cfvo type="num" val="0.1"/>
        <color rgb="FFF8696B"/>
        <color rgb="FFFFEB84"/>
        <color rgb="FF63BE7B"/>
      </colorScale>
    </cfRule>
  </conditionalFormatting>
  <conditionalFormatting sqref="Q20:Q21">
    <cfRule type="colorScale" priority="19">
      <colorScale>
        <cfvo type="num" val="-0.1"/>
        <cfvo type="num" val="0"/>
        <cfvo type="num" val="0.1"/>
        <color rgb="FFF8696B"/>
        <color rgb="FFFFEB84"/>
        <color rgb="FF63BE7B"/>
      </colorScale>
    </cfRule>
  </conditionalFormatting>
  <conditionalFormatting sqref="Q21:Q23 Q25:Q27">
    <cfRule type="colorScale" priority="26">
      <colorScale>
        <cfvo type="num" val="-0.1"/>
        <cfvo type="num" val="0"/>
        <cfvo type="num" val="0.1"/>
        <color rgb="FFF8696B"/>
        <color rgb="FFFFEB84"/>
        <color rgb="FF63BE7B"/>
      </colorScale>
    </cfRule>
  </conditionalFormatting>
  <conditionalFormatting sqref="Q24">
    <cfRule type="colorScale" priority="15">
      <colorScale>
        <cfvo type="num" val="-0.1"/>
        <cfvo type="num" val="0"/>
        <cfvo type="num" val="0.1"/>
        <color rgb="FFF8696B"/>
        <color rgb="FFFFEB84"/>
        <color rgb="FF63BE7B"/>
      </colorScale>
    </cfRule>
  </conditionalFormatting>
  <conditionalFormatting sqref="Q28:Q29">
    <cfRule type="colorScale" priority="7">
      <colorScale>
        <cfvo type="num" val="-0.1"/>
        <cfvo type="num" val="0"/>
        <cfvo type="num" val="0.1"/>
        <color rgb="FFF8696B"/>
        <color rgb="FFFFEB84"/>
        <color rgb="FF63BE7B"/>
      </colorScale>
    </cfRule>
  </conditionalFormatting>
  <conditionalFormatting sqref="Q30">
    <cfRule type="colorScale" priority="2">
      <colorScale>
        <cfvo type="num" val="-0.1"/>
        <cfvo type="num" val="0"/>
        <cfvo type="num" val="0.1"/>
        <color rgb="FFF8696B"/>
        <color rgb="FFFFEB84"/>
        <color rgb="FF63BE7B"/>
      </colorScale>
    </cfRule>
    <cfRule type="colorScale" priority="1">
      <colorScale>
        <cfvo type="num" val="-0.1"/>
        <cfvo type="num" val="0"/>
        <cfvo type="num" val="0.1"/>
        <color rgb="FFF8696B"/>
        <color rgb="FFFFEB84"/>
        <color rgb="FF63BE7B"/>
      </colorScale>
    </cfRule>
  </conditionalFormatting>
  <conditionalFormatting sqref="Q31">
    <cfRule type="colorScale" priority="5">
      <colorScale>
        <cfvo type="num" val="-0.1"/>
        <cfvo type="num" val="0"/>
        <cfvo type="num" val="0.1"/>
        <color rgb="FFF8696B"/>
        <color rgb="FFFFEB84"/>
        <color rgb="FF63BE7B"/>
      </colorScale>
    </cfRule>
  </conditionalFormatting>
  <conditionalFormatting sqref="Q32">
    <cfRule type="colorScale" priority="4">
      <colorScale>
        <cfvo type="num" val="-0.1"/>
        <cfvo type="num" val="0"/>
        <cfvo type="num" val="0.1"/>
        <color rgb="FFF8696B"/>
        <color rgb="FFFFEB84"/>
        <color rgb="FF63BE7B"/>
      </colorScale>
    </cfRule>
  </conditionalFormatting>
  <conditionalFormatting sqref="Q33">
    <cfRule type="colorScale" priority="3">
      <colorScale>
        <cfvo type="num" val="-0.1"/>
        <cfvo type="num" val="0"/>
        <cfvo type="num" val="0.1"/>
        <color rgb="FFF8696B"/>
        <color rgb="FFFFEB84"/>
        <color rgb="FF63BE7B"/>
      </colorScale>
    </cfRule>
  </conditionalFormatting>
  <conditionalFormatting sqref="Q34:Q36">
    <cfRule type="colorScale" priority="6">
      <colorScale>
        <cfvo type="num" val="-0.1"/>
        <cfvo type="num" val="0"/>
        <cfvo type="num" val="0.1"/>
        <color rgb="FFF8696B"/>
        <color rgb="FFFFEB84"/>
        <color rgb="FF63BE7B"/>
      </colorScale>
    </cfRule>
  </conditionalFormatting>
  <conditionalFormatting sqref="Q37">
    <cfRule type="colorScale" priority="8">
      <colorScale>
        <cfvo type="num" val="-0.1"/>
        <cfvo type="num" val="0"/>
        <cfvo type="num" val="0.1"/>
        <color rgb="FFF8696B"/>
        <color rgb="FFFFEB84"/>
        <color rgb="FF63BE7B"/>
      </colorScale>
    </cfRule>
    <cfRule type="colorScale" priority="9">
      <colorScale>
        <cfvo type="num" val="-0.1"/>
        <cfvo type="num" val="0"/>
        <cfvo type="num" val="0.1"/>
        <color rgb="FFF8696B"/>
        <color rgb="FFFFEB84"/>
        <color rgb="FF63BE7B"/>
      </colorScale>
    </cfRule>
  </conditionalFormatting>
  <conditionalFormatting sqref="Q38">
    <cfRule type="colorScale" priority="43">
      <colorScale>
        <cfvo type="num" val="-0.1"/>
        <cfvo type="num" val="0"/>
        <cfvo type="num" val="0.1"/>
        <color rgb="FFF8696B"/>
        <color rgb="FFFFEB84"/>
        <color rgb="FF63BE7B"/>
      </colorScale>
    </cfRule>
  </conditionalFormatting>
  <conditionalFormatting sqref="Q39">
    <cfRule type="colorScale" priority="42">
      <colorScale>
        <cfvo type="num" val="-0.1"/>
        <cfvo type="num" val="0"/>
        <cfvo type="num" val="0.1"/>
        <color rgb="FFF8696B"/>
        <color rgb="FFFFEB84"/>
        <color rgb="FF63BE7B"/>
      </colorScale>
    </cfRule>
  </conditionalFormatting>
  <conditionalFormatting sqref="Q40">
    <cfRule type="colorScale" priority="49">
      <colorScale>
        <cfvo type="num" val="-0.1"/>
        <cfvo type="num" val="0"/>
        <cfvo type="num" val="0.1"/>
        <color rgb="FFF8696B"/>
        <color rgb="FFFFEB84"/>
        <color rgb="FF63BE7B"/>
      </colorScale>
    </cfRule>
  </conditionalFormatting>
  <conditionalFormatting sqref="Q41">
    <cfRule type="colorScale" priority="48">
      <colorScale>
        <cfvo type="num" val="-0.1"/>
        <cfvo type="num" val="0"/>
        <cfvo type="num" val="0.1"/>
        <color rgb="FFF8696B"/>
        <color rgb="FFFFEB84"/>
        <color rgb="FF63BE7B"/>
      </colorScale>
    </cfRule>
  </conditionalFormatting>
  <conditionalFormatting sqref="Q42">
    <cfRule type="colorScale" priority="47">
      <colorScale>
        <cfvo type="num" val="-0.1"/>
        <cfvo type="num" val="0"/>
        <cfvo type="num" val="0.1"/>
        <color rgb="FFF8696B"/>
        <color rgb="FFFFEB84"/>
        <color rgb="FF63BE7B"/>
      </colorScale>
    </cfRule>
  </conditionalFormatting>
  <conditionalFormatting sqref="Q43">
    <cfRule type="colorScale" priority="50">
      <colorScale>
        <cfvo type="num" val="-0.1"/>
        <cfvo type="num" val="0"/>
        <cfvo type="num" val="0.1"/>
        <color rgb="FFF8696B"/>
        <color rgb="FFFFEB84"/>
        <color rgb="FF63BE7B"/>
      </colorScale>
    </cfRule>
  </conditionalFormatting>
  <conditionalFormatting sqref="Q44">
    <cfRule type="colorScale" priority="51">
      <colorScale>
        <cfvo type="num" val="-0.1"/>
        <cfvo type="num" val="0"/>
        <cfvo type="num" val="0.1"/>
        <color rgb="FFF8696B"/>
        <color rgb="FFFFEB84"/>
        <color rgb="FF63BE7B"/>
      </colorScale>
    </cfRule>
  </conditionalFormatting>
  <conditionalFormatting sqref="Q45">
    <cfRule type="colorScale" priority="46">
      <colorScale>
        <cfvo type="num" val="-0.1"/>
        <cfvo type="num" val="0"/>
        <cfvo type="num" val="0.1"/>
        <color rgb="FFF8696B"/>
        <color rgb="FFFFEB84"/>
        <color rgb="FF63BE7B"/>
      </colorScale>
    </cfRule>
  </conditionalFormatting>
  <conditionalFormatting sqref="Q46">
    <cfRule type="colorScale" priority="36">
      <colorScale>
        <cfvo type="num" val="-0.1"/>
        <cfvo type="num" val="0"/>
        <cfvo type="num" val="0.1"/>
        <color rgb="FFF8696B"/>
        <color rgb="FFFFEB84"/>
        <color rgb="FF63BE7B"/>
      </colorScale>
    </cfRule>
  </conditionalFormatting>
  <conditionalFormatting sqref="Q47">
    <cfRule type="colorScale" priority="40">
      <colorScale>
        <cfvo type="num" val="-0.1"/>
        <cfvo type="num" val="0"/>
        <cfvo type="num" val="0.1"/>
        <color rgb="FFF8696B"/>
        <color rgb="FFFFEB84"/>
        <color rgb="FF63BE7B"/>
      </colorScale>
    </cfRule>
  </conditionalFormatting>
  <conditionalFormatting sqref="Q48">
    <cfRule type="colorScale" priority="37">
      <colorScale>
        <cfvo type="num" val="-0.1"/>
        <cfvo type="num" val="0"/>
        <cfvo type="num" val="0.1"/>
        <color rgb="FFF8696B"/>
        <color rgb="FFFFEB84"/>
        <color rgb="FF63BE7B"/>
      </colorScale>
    </cfRule>
  </conditionalFormatting>
  <conditionalFormatting sqref="Q49:Q50">
    <cfRule type="colorScale" priority="39">
      <colorScale>
        <cfvo type="num" val="-0.1"/>
        <cfvo type="num" val="0"/>
        <cfvo type="num" val="0.1"/>
        <color rgb="FFF8696B"/>
        <color rgb="FFFFEB84"/>
        <color rgb="FF63BE7B"/>
      </colorScale>
    </cfRule>
  </conditionalFormatting>
  <conditionalFormatting sqref="Q50">
    <cfRule type="colorScale" priority="44">
      <colorScale>
        <cfvo type="num" val="-0.1"/>
        <cfvo type="num" val="0"/>
        <cfvo type="num" val="0.1"/>
        <color rgb="FFF8696B"/>
        <color rgb="FFFFEB84"/>
        <color rgb="FF63BE7B"/>
      </colorScale>
    </cfRule>
  </conditionalFormatting>
  <conditionalFormatting sqref="Q51">
    <cfRule type="colorScale" priority="38">
      <colorScale>
        <cfvo type="num" val="-0.1"/>
        <cfvo type="num" val="0"/>
        <cfvo type="num" val="0.1"/>
        <color rgb="FFF8696B"/>
        <color rgb="FFFFEB84"/>
        <color rgb="FF63BE7B"/>
      </colorScale>
    </cfRule>
  </conditionalFormatting>
  <conditionalFormatting sqref="Q52:Q53">
    <cfRule type="colorScale" priority="45">
      <colorScale>
        <cfvo type="num" val="-0.1"/>
        <cfvo type="num" val="0"/>
        <cfvo type="num" val="0.1"/>
        <color rgb="FFF8696B"/>
        <color rgb="FFFFEB84"/>
        <color rgb="FF63BE7B"/>
      </colorScale>
    </cfRule>
  </conditionalFormatting>
  <conditionalFormatting sqref="Q53:Q55 Q57:Q58">
    <cfRule type="colorScale" priority="52">
      <colorScale>
        <cfvo type="num" val="-0.1"/>
        <cfvo type="num" val="0"/>
        <cfvo type="num" val="0.1"/>
        <color rgb="FFF8696B"/>
        <color rgb="FFFFEB84"/>
        <color rgb="FF63BE7B"/>
      </colorScale>
    </cfRule>
  </conditionalFormatting>
  <conditionalFormatting sqref="Q56">
    <cfRule type="colorScale" priority="41">
      <colorScale>
        <cfvo type="num" val="-0.1"/>
        <cfvo type="num" val="0"/>
        <cfvo type="num" val="0.1"/>
        <color rgb="FFF8696B"/>
        <color rgb="FFFFEB84"/>
        <color rgb="FF63BE7B"/>
      </colorScale>
    </cfRule>
  </conditionalFormatting>
  <conditionalFormatting sqref="Q59:Q60">
    <cfRule type="colorScale" priority="33">
      <colorScale>
        <cfvo type="num" val="-0.1"/>
        <cfvo type="num" val="0"/>
        <cfvo type="num" val="0.1"/>
        <color rgb="FFF8696B"/>
        <color rgb="FFFFEB84"/>
        <color rgb="FF63BE7B"/>
      </colorScale>
    </cfRule>
  </conditionalFormatting>
  <conditionalFormatting sqref="Q61">
    <cfRule type="colorScale" priority="28">
      <colorScale>
        <cfvo type="num" val="-0.1"/>
        <cfvo type="num" val="0"/>
        <cfvo type="num" val="0.1"/>
        <color rgb="FFF8696B"/>
        <color rgb="FFFFEB84"/>
        <color rgb="FF63BE7B"/>
      </colorScale>
    </cfRule>
    <cfRule type="colorScale" priority="27">
      <colorScale>
        <cfvo type="num" val="-0.1"/>
        <cfvo type="num" val="0"/>
        <cfvo type="num" val="0.1"/>
        <color rgb="FFF8696B"/>
        <color rgb="FFFFEB84"/>
        <color rgb="FF63BE7B"/>
      </colorScale>
    </cfRule>
  </conditionalFormatting>
  <conditionalFormatting sqref="Q62">
    <cfRule type="colorScale" priority="31">
      <colorScale>
        <cfvo type="num" val="-0.1"/>
        <cfvo type="num" val="0"/>
        <cfvo type="num" val="0.1"/>
        <color rgb="FFF8696B"/>
        <color rgb="FFFFEB84"/>
        <color rgb="FF63BE7B"/>
      </colorScale>
    </cfRule>
  </conditionalFormatting>
  <conditionalFormatting sqref="Q63">
    <cfRule type="colorScale" priority="30">
      <colorScale>
        <cfvo type="num" val="-0.1"/>
        <cfvo type="num" val="0"/>
        <cfvo type="num" val="0.1"/>
        <color rgb="FFF8696B"/>
        <color rgb="FFFFEB84"/>
        <color rgb="FF63BE7B"/>
      </colorScale>
    </cfRule>
  </conditionalFormatting>
  <conditionalFormatting sqref="Q64">
    <cfRule type="colorScale" priority="29">
      <colorScale>
        <cfvo type="num" val="-0.1"/>
        <cfvo type="num" val="0"/>
        <cfvo type="num" val="0.1"/>
        <color rgb="FFF8696B"/>
        <color rgb="FFFFEB84"/>
        <color rgb="FF63BE7B"/>
      </colorScale>
    </cfRule>
  </conditionalFormatting>
  <conditionalFormatting sqref="Q65:Q67">
    <cfRule type="colorScale" priority="32">
      <colorScale>
        <cfvo type="num" val="-0.1"/>
        <cfvo type="num" val="0"/>
        <cfvo type="num" val="0.1"/>
        <color rgb="FFF8696B"/>
        <color rgb="FFFFEB84"/>
        <color rgb="FF63BE7B"/>
      </colorScale>
    </cfRule>
  </conditionalFormatting>
  <conditionalFormatting sqref="Q68">
    <cfRule type="colorScale" priority="34">
      <colorScale>
        <cfvo type="num" val="-0.1"/>
        <cfvo type="num" val="0"/>
        <cfvo type="num" val="0.1"/>
        <color rgb="FFF8696B"/>
        <color rgb="FFFFEB84"/>
        <color rgb="FF63BE7B"/>
      </colorScale>
    </cfRule>
    <cfRule type="colorScale" priority="35">
      <colorScale>
        <cfvo type="num" val="-0.1"/>
        <cfvo type="num" val="0"/>
        <cfvo type="num" val="0.1"/>
        <color rgb="FFF8696B"/>
        <color rgb="FFFFEB84"/>
        <color rgb="FF63BE7B"/>
      </colorScale>
    </cfRule>
  </conditionalFormatting>
  <conditionalFormatting sqref="Q69">
    <cfRule type="colorScale" priority="69">
      <colorScale>
        <cfvo type="num" val="-0.1"/>
        <cfvo type="num" val="0"/>
        <cfvo type="num" val="0.1"/>
        <color rgb="FFF8696B"/>
        <color rgb="FFFFEB84"/>
        <color rgb="FF63BE7B"/>
      </colorScale>
    </cfRule>
  </conditionalFormatting>
  <conditionalFormatting sqref="Q70">
    <cfRule type="colorScale" priority="68">
      <colorScale>
        <cfvo type="num" val="-0.1"/>
        <cfvo type="num" val="0"/>
        <cfvo type="num" val="0.1"/>
        <color rgb="FFF8696B"/>
        <color rgb="FFFFEB84"/>
        <color rgb="FF63BE7B"/>
      </colorScale>
    </cfRule>
  </conditionalFormatting>
  <conditionalFormatting sqref="Q71">
    <cfRule type="colorScale" priority="75">
      <colorScale>
        <cfvo type="num" val="-0.1"/>
        <cfvo type="num" val="0"/>
        <cfvo type="num" val="0.1"/>
        <color rgb="FFF8696B"/>
        <color rgb="FFFFEB84"/>
        <color rgb="FF63BE7B"/>
      </colorScale>
    </cfRule>
  </conditionalFormatting>
  <conditionalFormatting sqref="Q72">
    <cfRule type="colorScale" priority="74">
      <colorScale>
        <cfvo type="num" val="-0.1"/>
        <cfvo type="num" val="0"/>
        <cfvo type="num" val="0.1"/>
        <color rgb="FFF8696B"/>
        <color rgb="FFFFEB84"/>
        <color rgb="FF63BE7B"/>
      </colorScale>
    </cfRule>
  </conditionalFormatting>
  <conditionalFormatting sqref="Q73">
    <cfRule type="colorScale" priority="73">
      <colorScale>
        <cfvo type="num" val="-0.1"/>
        <cfvo type="num" val="0"/>
        <cfvo type="num" val="0.1"/>
        <color rgb="FFF8696B"/>
        <color rgb="FFFFEB84"/>
        <color rgb="FF63BE7B"/>
      </colorScale>
    </cfRule>
  </conditionalFormatting>
  <conditionalFormatting sqref="Q74">
    <cfRule type="colorScale" priority="76">
      <colorScale>
        <cfvo type="num" val="-0.1"/>
        <cfvo type="num" val="0"/>
        <cfvo type="num" val="0.1"/>
        <color rgb="FFF8696B"/>
        <color rgb="FFFFEB84"/>
        <color rgb="FF63BE7B"/>
      </colorScale>
    </cfRule>
  </conditionalFormatting>
  <conditionalFormatting sqref="Q75">
    <cfRule type="colorScale" priority="77">
      <colorScale>
        <cfvo type="num" val="-0.1"/>
        <cfvo type="num" val="0"/>
        <cfvo type="num" val="0.1"/>
        <color rgb="FFF8696B"/>
        <color rgb="FFFFEB84"/>
        <color rgb="FF63BE7B"/>
      </colorScale>
    </cfRule>
  </conditionalFormatting>
  <conditionalFormatting sqref="Q76">
    <cfRule type="colorScale" priority="72">
      <colorScale>
        <cfvo type="num" val="-0.1"/>
        <cfvo type="num" val="0"/>
        <cfvo type="num" val="0.1"/>
        <color rgb="FFF8696B"/>
        <color rgb="FFFFEB84"/>
        <color rgb="FF63BE7B"/>
      </colorScale>
    </cfRule>
  </conditionalFormatting>
  <conditionalFormatting sqref="Q77">
    <cfRule type="colorScale" priority="62">
      <colorScale>
        <cfvo type="num" val="-0.1"/>
        <cfvo type="num" val="0"/>
        <cfvo type="num" val="0.1"/>
        <color rgb="FFF8696B"/>
        <color rgb="FFFFEB84"/>
        <color rgb="FF63BE7B"/>
      </colorScale>
    </cfRule>
  </conditionalFormatting>
  <conditionalFormatting sqref="Q78">
    <cfRule type="colorScale" priority="66">
      <colorScale>
        <cfvo type="num" val="-0.1"/>
        <cfvo type="num" val="0"/>
        <cfvo type="num" val="0.1"/>
        <color rgb="FFF8696B"/>
        <color rgb="FFFFEB84"/>
        <color rgb="FF63BE7B"/>
      </colorScale>
    </cfRule>
  </conditionalFormatting>
  <conditionalFormatting sqref="Q79">
    <cfRule type="colorScale" priority="63">
      <colorScale>
        <cfvo type="num" val="-0.1"/>
        <cfvo type="num" val="0"/>
        <cfvo type="num" val="0.1"/>
        <color rgb="FFF8696B"/>
        <color rgb="FFFFEB84"/>
        <color rgb="FF63BE7B"/>
      </colorScale>
    </cfRule>
  </conditionalFormatting>
  <conditionalFormatting sqref="Q80:Q81">
    <cfRule type="colorScale" priority="65">
      <colorScale>
        <cfvo type="num" val="-0.1"/>
        <cfvo type="num" val="0"/>
        <cfvo type="num" val="0.1"/>
        <color rgb="FFF8696B"/>
        <color rgb="FFFFEB84"/>
        <color rgb="FF63BE7B"/>
      </colorScale>
    </cfRule>
  </conditionalFormatting>
  <conditionalFormatting sqref="Q81">
    <cfRule type="colorScale" priority="70">
      <colorScale>
        <cfvo type="num" val="-0.1"/>
        <cfvo type="num" val="0"/>
        <cfvo type="num" val="0.1"/>
        <color rgb="FFF8696B"/>
        <color rgb="FFFFEB84"/>
        <color rgb="FF63BE7B"/>
      </colorScale>
    </cfRule>
  </conditionalFormatting>
  <conditionalFormatting sqref="Q82">
    <cfRule type="colorScale" priority="64">
      <colorScale>
        <cfvo type="num" val="-0.1"/>
        <cfvo type="num" val="0"/>
        <cfvo type="num" val="0.1"/>
        <color rgb="FFF8696B"/>
        <color rgb="FFFFEB84"/>
        <color rgb="FF63BE7B"/>
      </colorScale>
    </cfRule>
  </conditionalFormatting>
  <conditionalFormatting sqref="Q83:Q84">
    <cfRule type="colorScale" priority="71">
      <colorScale>
        <cfvo type="num" val="-0.1"/>
        <cfvo type="num" val="0"/>
        <cfvo type="num" val="0.1"/>
        <color rgb="FFF8696B"/>
        <color rgb="FFFFEB84"/>
        <color rgb="FF63BE7B"/>
      </colorScale>
    </cfRule>
  </conditionalFormatting>
  <conditionalFormatting sqref="Q84:Q86 Q88:Q89">
    <cfRule type="colorScale" priority="78">
      <colorScale>
        <cfvo type="num" val="-0.1"/>
        <cfvo type="num" val="0"/>
        <cfvo type="num" val="0.1"/>
        <color rgb="FFF8696B"/>
        <color rgb="FFFFEB84"/>
        <color rgb="FF63BE7B"/>
      </colorScale>
    </cfRule>
  </conditionalFormatting>
  <conditionalFormatting sqref="Q87">
    <cfRule type="colorScale" priority="67">
      <colorScale>
        <cfvo type="num" val="-0.1"/>
        <cfvo type="num" val="0"/>
        <cfvo type="num" val="0.1"/>
        <color rgb="FFF8696B"/>
        <color rgb="FFFFEB84"/>
        <color rgb="FF63BE7B"/>
      </colorScale>
    </cfRule>
  </conditionalFormatting>
  <conditionalFormatting sqref="Q90:Q91">
    <cfRule type="colorScale" priority="59">
      <colorScale>
        <cfvo type="num" val="-0.1"/>
        <cfvo type="num" val="0"/>
        <cfvo type="num" val="0.1"/>
        <color rgb="FFF8696B"/>
        <color rgb="FFFFEB84"/>
        <color rgb="FF63BE7B"/>
      </colorScale>
    </cfRule>
  </conditionalFormatting>
  <conditionalFormatting sqref="Q92">
    <cfRule type="colorScale" priority="53">
      <colorScale>
        <cfvo type="num" val="-0.1"/>
        <cfvo type="num" val="0"/>
        <cfvo type="num" val="0.1"/>
        <color rgb="FFF8696B"/>
        <color rgb="FFFFEB84"/>
        <color rgb="FF63BE7B"/>
      </colorScale>
    </cfRule>
    <cfRule type="colorScale" priority="54">
      <colorScale>
        <cfvo type="num" val="-0.1"/>
        <cfvo type="num" val="0"/>
        <cfvo type="num" val="0.1"/>
        <color rgb="FFF8696B"/>
        <color rgb="FFFFEB84"/>
        <color rgb="FF63BE7B"/>
      </colorScale>
    </cfRule>
  </conditionalFormatting>
  <conditionalFormatting sqref="Q93">
    <cfRule type="colorScale" priority="57">
      <colorScale>
        <cfvo type="num" val="-0.1"/>
        <cfvo type="num" val="0"/>
        <cfvo type="num" val="0.1"/>
        <color rgb="FFF8696B"/>
        <color rgb="FFFFEB84"/>
        <color rgb="FF63BE7B"/>
      </colorScale>
    </cfRule>
  </conditionalFormatting>
  <conditionalFormatting sqref="Q94">
    <cfRule type="colorScale" priority="56">
      <colorScale>
        <cfvo type="num" val="-0.1"/>
        <cfvo type="num" val="0"/>
        <cfvo type="num" val="0.1"/>
        <color rgb="FFF8696B"/>
        <color rgb="FFFFEB84"/>
        <color rgb="FF63BE7B"/>
      </colorScale>
    </cfRule>
  </conditionalFormatting>
  <conditionalFormatting sqref="Q95">
    <cfRule type="colorScale" priority="55">
      <colorScale>
        <cfvo type="num" val="-0.1"/>
        <cfvo type="num" val="0"/>
        <cfvo type="num" val="0.1"/>
        <color rgb="FFF8696B"/>
        <color rgb="FFFFEB84"/>
        <color rgb="FF63BE7B"/>
      </colorScale>
    </cfRule>
  </conditionalFormatting>
  <conditionalFormatting sqref="Q96:Q98">
    <cfRule type="colorScale" priority="58">
      <colorScale>
        <cfvo type="num" val="-0.1"/>
        <cfvo type="num" val="0"/>
        <cfvo type="num" val="0.1"/>
        <color rgb="FFF8696B"/>
        <color rgb="FFFFEB84"/>
        <color rgb="FF63BE7B"/>
      </colorScale>
    </cfRule>
  </conditionalFormatting>
  <conditionalFormatting sqref="Q99">
    <cfRule type="colorScale" priority="60">
      <colorScale>
        <cfvo type="num" val="-0.1"/>
        <cfvo type="num" val="0"/>
        <cfvo type="num" val="0.1"/>
        <color rgb="FFF8696B"/>
        <color rgb="FFFFEB84"/>
        <color rgb="FF63BE7B"/>
      </colorScale>
    </cfRule>
    <cfRule type="colorScale" priority="61">
      <colorScale>
        <cfvo type="num" val="-0.1"/>
        <cfvo type="num" val="0"/>
        <cfvo type="num" val="0.1"/>
        <color rgb="FFF8696B"/>
        <color rgb="FFFFEB84"/>
        <color rgb="FF63BE7B"/>
      </colorScale>
    </cfRule>
  </conditionalFormatting>
  <conditionalFormatting sqref="Q100">
    <cfRule type="colorScale" priority="96">
      <colorScale>
        <cfvo type="num" val="-0.1"/>
        <cfvo type="num" val="0"/>
        <cfvo type="num" val="0.1"/>
        <color rgb="FFF8696B"/>
        <color rgb="FFFFEB84"/>
        <color rgb="FF63BE7B"/>
      </colorScale>
    </cfRule>
  </conditionalFormatting>
  <conditionalFormatting sqref="Q101">
    <cfRule type="colorScale" priority="95">
      <colorScale>
        <cfvo type="num" val="-0.1"/>
        <cfvo type="num" val="0"/>
        <cfvo type="num" val="0.1"/>
        <color rgb="FFF8696B"/>
        <color rgb="FFFFEB84"/>
        <color rgb="FF63BE7B"/>
      </colorScale>
    </cfRule>
  </conditionalFormatting>
  <conditionalFormatting sqref="Q102">
    <cfRule type="colorScale" priority="102">
      <colorScale>
        <cfvo type="num" val="-0.1"/>
        <cfvo type="num" val="0"/>
        <cfvo type="num" val="0.1"/>
        <color rgb="FFF8696B"/>
        <color rgb="FFFFEB84"/>
        <color rgb="FF63BE7B"/>
      </colorScale>
    </cfRule>
  </conditionalFormatting>
  <conditionalFormatting sqref="Q103">
    <cfRule type="colorScale" priority="101">
      <colorScale>
        <cfvo type="num" val="-0.1"/>
        <cfvo type="num" val="0"/>
        <cfvo type="num" val="0.1"/>
        <color rgb="FFF8696B"/>
        <color rgb="FFFFEB84"/>
        <color rgb="FF63BE7B"/>
      </colorScale>
    </cfRule>
  </conditionalFormatting>
  <conditionalFormatting sqref="Q104">
    <cfRule type="colorScale" priority="100">
      <colorScale>
        <cfvo type="num" val="-0.1"/>
        <cfvo type="num" val="0"/>
        <cfvo type="num" val="0.1"/>
        <color rgb="FFF8696B"/>
        <color rgb="FFFFEB84"/>
        <color rgb="FF63BE7B"/>
      </colorScale>
    </cfRule>
  </conditionalFormatting>
  <conditionalFormatting sqref="Q105">
    <cfRule type="colorScale" priority="103">
      <colorScale>
        <cfvo type="num" val="-0.1"/>
        <cfvo type="num" val="0"/>
        <cfvo type="num" val="0.1"/>
        <color rgb="FFF8696B"/>
        <color rgb="FFFFEB84"/>
        <color rgb="FF63BE7B"/>
      </colorScale>
    </cfRule>
  </conditionalFormatting>
  <conditionalFormatting sqref="Q106">
    <cfRule type="colorScale" priority="104">
      <colorScale>
        <cfvo type="num" val="-0.1"/>
        <cfvo type="num" val="0"/>
        <cfvo type="num" val="0.1"/>
        <color rgb="FFF8696B"/>
        <color rgb="FFFFEB84"/>
        <color rgb="FF63BE7B"/>
      </colorScale>
    </cfRule>
  </conditionalFormatting>
  <conditionalFormatting sqref="Q107">
    <cfRule type="colorScale" priority="99">
      <colorScale>
        <cfvo type="num" val="-0.1"/>
        <cfvo type="num" val="0"/>
        <cfvo type="num" val="0.1"/>
        <color rgb="FFF8696B"/>
        <color rgb="FFFFEB84"/>
        <color rgb="FF63BE7B"/>
      </colorScale>
    </cfRule>
  </conditionalFormatting>
  <conditionalFormatting sqref="Q108">
    <cfRule type="colorScale" priority="89">
      <colorScale>
        <cfvo type="num" val="-0.1"/>
        <cfvo type="num" val="0"/>
        <cfvo type="num" val="0.1"/>
        <color rgb="FFF8696B"/>
        <color rgb="FFFFEB84"/>
        <color rgb="FF63BE7B"/>
      </colorScale>
    </cfRule>
  </conditionalFormatting>
  <conditionalFormatting sqref="Q109">
    <cfRule type="colorScale" priority="93">
      <colorScale>
        <cfvo type="num" val="-0.1"/>
        <cfvo type="num" val="0"/>
        <cfvo type="num" val="0.1"/>
        <color rgb="FFF8696B"/>
        <color rgb="FFFFEB84"/>
        <color rgb="FF63BE7B"/>
      </colorScale>
    </cfRule>
  </conditionalFormatting>
  <conditionalFormatting sqref="Q110">
    <cfRule type="colorScale" priority="90">
      <colorScale>
        <cfvo type="num" val="-0.1"/>
        <cfvo type="num" val="0"/>
        <cfvo type="num" val="0.1"/>
        <color rgb="FFF8696B"/>
        <color rgb="FFFFEB84"/>
        <color rgb="FF63BE7B"/>
      </colorScale>
    </cfRule>
  </conditionalFormatting>
  <conditionalFormatting sqref="Q111:Q112">
    <cfRule type="colorScale" priority="92">
      <colorScale>
        <cfvo type="num" val="-0.1"/>
        <cfvo type="num" val="0"/>
        <cfvo type="num" val="0.1"/>
        <color rgb="FFF8696B"/>
        <color rgb="FFFFEB84"/>
        <color rgb="FF63BE7B"/>
      </colorScale>
    </cfRule>
  </conditionalFormatting>
  <conditionalFormatting sqref="Q112">
    <cfRule type="colorScale" priority="97">
      <colorScale>
        <cfvo type="num" val="-0.1"/>
        <cfvo type="num" val="0"/>
        <cfvo type="num" val="0.1"/>
        <color rgb="FFF8696B"/>
        <color rgb="FFFFEB84"/>
        <color rgb="FF63BE7B"/>
      </colorScale>
    </cfRule>
  </conditionalFormatting>
  <conditionalFormatting sqref="Q113">
    <cfRule type="colorScale" priority="91">
      <colorScale>
        <cfvo type="num" val="-0.1"/>
        <cfvo type="num" val="0"/>
        <cfvo type="num" val="0.1"/>
        <color rgb="FFF8696B"/>
        <color rgb="FFFFEB84"/>
        <color rgb="FF63BE7B"/>
      </colorScale>
    </cfRule>
  </conditionalFormatting>
  <conditionalFormatting sqref="Q114:Q115">
    <cfRule type="colorScale" priority="98">
      <colorScale>
        <cfvo type="num" val="-0.1"/>
        <cfvo type="num" val="0"/>
        <cfvo type="num" val="0.1"/>
        <color rgb="FFF8696B"/>
        <color rgb="FFFFEB84"/>
        <color rgb="FF63BE7B"/>
      </colorScale>
    </cfRule>
  </conditionalFormatting>
  <conditionalFormatting sqref="Q115:Q117 Q119:Q120">
    <cfRule type="colorScale" priority="105">
      <colorScale>
        <cfvo type="num" val="-0.1"/>
        <cfvo type="num" val="0"/>
        <cfvo type="num" val="0.1"/>
        <color rgb="FFF8696B"/>
        <color rgb="FFFFEB84"/>
        <color rgb="FF63BE7B"/>
      </colorScale>
    </cfRule>
  </conditionalFormatting>
  <conditionalFormatting sqref="Q118">
    <cfRule type="colorScale" priority="94">
      <colorScale>
        <cfvo type="num" val="-0.1"/>
        <cfvo type="num" val="0"/>
        <cfvo type="num" val="0.1"/>
        <color rgb="FFF8696B"/>
        <color rgb="FFFFEB84"/>
        <color rgb="FF63BE7B"/>
      </colorScale>
    </cfRule>
  </conditionalFormatting>
  <conditionalFormatting sqref="Q121:Q122">
    <cfRule type="colorScale" priority="86">
      <colorScale>
        <cfvo type="num" val="-0.1"/>
        <cfvo type="num" val="0"/>
        <cfvo type="num" val="0.1"/>
        <color rgb="FFF8696B"/>
        <color rgb="FFFFEB84"/>
        <color rgb="FF63BE7B"/>
      </colorScale>
    </cfRule>
  </conditionalFormatting>
  <conditionalFormatting sqref="Q123">
    <cfRule type="colorScale" priority="81">
      <colorScale>
        <cfvo type="num" val="-0.1"/>
        <cfvo type="num" val="0"/>
        <cfvo type="num" val="0.1"/>
        <color rgb="FFF8696B"/>
        <color rgb="FFFFEB84"/>
        <color rgb="FF63BE7B"/>
      </colorScale>
    </cfRule>
    <cfRule type="colorScale" priority="80">
      <colorScale>
        <cfvo type="num" val="-0.1"/>
        <cfvo type="num" val="0"/>
        <cfvo type="num" val="0.1"/>
        <color rgb="FFF8696B"/>
        <color rgb="FFFFEB84"/>
        <color rgb="FF63BE7B"/>
      </colorScale>
    </cfRule>
  </conditionalFormatting>
  <conditionalFormatting sqref="Q124">
    <cfRule type="colorScale" priority="84">
      <colorScale>
        <cfvo type="num" val="-0.1"/>
        <cfvo type="num" val="0"/>
        <cfvo type="num" val="0.1"/>
        <color rgb="FFF8696B"/>
        <color rgb="FFFFEB84"/>
        <color rgb="FF63BE7B"/>
      </colorScale>
    </cfRule>
  </conditionalFormatting>
  <conditionalFormatting sqref="Q125">
    <cfRule type="colorScale" priority="83">
      <colorScale>
        <cfvo type="num" val="-0.1"/>
        <cfvo type="num" val="0"/>
        <cfvo type="num" val="0.1"/>
        <color rgb="FFF8696B"/>
        <color rgb="FFFFEB84"/>
        <color rgb="FF63BE7B"/>
      </colorScale>
    </cfRule>
  </conditionalFormatting>
  <conditionalFormatting sqref="Q126">
    <cfRule type="colorScale" priority="82">
      <colorScale>
        <cfvo type="num" val="-0.1"/>
        <cfvo type="num" val="0"/>
        <cfvo type="num" val="0.1"/>
        <color rgb="FFF8696B"/>
        <color rgb="FFFFEB84"/>
        <color rgb="FF63BE7B"/>
      </colorScale>
    </cfRule>
  </conditionalFormatting>
  <conditionalFormatting sqref="Q127:Q129">
    <cfRule type="colorScale" priority="85">
      <colorScale>
        <cfvo type="num" val="-0.1"/>
        <cfvo type="num" val="0"/>
        <cfvo type="num" val="0.1"/>
        <color rgb="FFF8696B"/>
        <color rgb="FFFFEB84"/>
        <color rgb="FF63BE7B"/>
      </colorScale>
    </cfRule>
  </conditionalFormatting>
  <conditionalFormatting sqref="Q130">
    <cfRule type="colorScale" priority="87">
      <colorScale>
        <cfvo type="num" val="-0.1"/>
        <cfvo type="num" val="0"/>
        <cfvo type="num" val="0.1"/>
        <color rgb="FFF8696B"/>
        <color rgb="FFFFEB84"/>
        <color rgb="FF63BE7B"/>
      </colorScale>
    </cfRule>
    <cfRule type="colorScale" priority="88">
      <colorScale>
        <cfvo type="num" val="-0.1"/>
        <cfvo type="num" val="0"/>
        <cfvo type="num" val="0.1"/>
        <color rgb="FFF8696B"/>
        <color rgb="FFFFEB84"/>
        <color rgb="FF63BE7B"/>
      </colorScale>
    </cfRule>
  </conditionalFormatting>
  <conditionalFormatting sqref="Q131">
    <cfRule type="colorScale" priority="122">
      <colorScale>
        <cfvo type="num" val="-0.1"/>
        <cfvo type="num" val="0"/>
        <cfvo type="num" val="0.1"/>
        <color rgb="FFF8696B"/>
        <color rgb="FFFFEB84"/>
        <color rgb="FF63BE7B"/>
      </colorScale>
    </cfRule>
  </conditionalFormatting>
  <conditionalFormatting sqref="Q132">
    <cfRule type="colorScale" priority="121">
      <colorScale>
        <cfvo type="num" val="-0.1"/>
        <cfvo type="num" val="0"/>
        <cfvo type="num" val="0.1"/>
        <color rgb="FFF8696B"/>
        <color rgb="FFFFEB84"/>
        <color rgb="FF63BE7B"/>
      </colorScale>
    </cfRule>
  </conditionalFormatting>
  <conditionalFormatting sqref="Q133">
    <cfRule type="colorScale" priority="128">
      <colorScale>
        <cfvo type="num" val="-0.1"/>
        <cfvo type="num" val="0"/>
        <cfvo type="num" val="0.1"/>
        <color rgb="FFF8696B"/>
        <color rgb="FFFFEB84"/>
        <color rgb="FF63BE7B"/>
      </colorScale>
    </cfRule>
  </conditionalFormatting>
  <conditionalFormatting sqref="Q134">
    <cfRule type="colorScale" priority="127">
      <colorScale>
        <cfvo type="num" val="-0.1"/>
        <cfvo type="num" val="0"/>
        <cfvo type="num" val="0.1"/>
        <color rgb="FFF8696B"/>
        <color rgb="FFFFEB84"/>
        <color rgb="FF63BE7B"/>
      </colorScale>
    </cfRule>
  </conditionalFormatting>
  <conditionalFormatting sqref="Q135">
    <cfRule type="colorScale" priority="126">
      <colorScale>
        <cfvo type="num" val="-0.1"/>
        <cfvo type="num" val="0"/>
        <cfvo type="num" val="0.1"/>
        <color rgb="FFF8696B"/>
        <color rgb="FFFFEB84"/>
        <color rgb="FF63BE7B"/>
      </colorScale>
    </cfRule>
  </conditionalFormatting>
  <conditionalFormatting sqref="Q136">
    <cfRule type="colorScale" priority="129">
      <colorScale>
        <cfvo type="num" val="-0.1"/>
        <cfvo type="num" val="0"/>
        <cfvo type="num" val="0.1"/>
        <color rgb="FFF8696B"/>
        <color rgb="FFFFEB84"/>
        <color rgb="FF63BE7B"/>
      </colorScale>
    </cfRule>
  </conditionalFormatting>
  <conditionalFormatting sqref="Q137">
    <cfRule type="colorScale" priority="130">
      <colorScale>
        <cfvo type="num" val="-0.1"/>
        <cfvo type="num" val="0"/>
        <cfvo type="num" val="0.1"/>
        <color rgb="FFF8696B"/>
        <color rgb="FFFFEB84"/>
        <color rgb="FF63BE7B"/>
      </colorScale>
    </cfRule>
  </conditionalFormatting>
  <conditionalFormatting sqref="Q138">
    <cfRule type="colorScale" priority="125">
      <colorScale>
        <cfvo type="num" val="-0.1"/>
        <cfvo type="num" val="0"/>
        <cfvo type="num" val="0.1"/>
        <color rgb="FFF8696B"/>
        <color rgb="FFFFEB84"/>
        <color rgb="FF63BE7B"/>
      </colorScale>
    </cfRule>
  </conditionalFormatting>
  <conditionalFormatting sqref="Q139">
    <cfRule type="colorScale" priority="115">
      <colorScale>
        <cfvo type="num" val="-0.1"/>
        <cfvo type="num" val="0"/>
        <cfvo type="num" val="0.1"/>
        <color rgb="FFF8696B"/>
        <color rgb="FFFFEB84"/>
        <color rgb="FF63BE7B"/>
      </colorScale>
    </cfRule>
  </conditionalFormatting>
  <conditionalFormatting sqref="Q140">
    <cfRule type="colorScale" priority="119">
      <colorScale>
        <cfvo type="num" val="-0.1"/>
        <cfvo type="num" val="0"/>
        <cfvo type="num" val="0.1"/>
        <color rgb="FFF8696B"/>
        <color rgb="FFFFEB84"/>
        <color rgb="FF63BE7B"/>
      </colorScale>
    </cfRule>
  </conditionalFormatting>
  <conditionalFormatting sqref="Q141">
    <cfRule type="colorScale" priority="116">
      <colorScale>
        <cfvo type="num" val="-0.1"/>
        <cfvo type="num" val="0"/>
        <cfvo type="num" val="0.1"/>
        <color rgb="FFF8696B"/>
        <color rgb="FFFFEB84"/>
        <color rgb="FF63BE7B"/>
      </colorScale>
    </cfRule>
  </conditionalFormatting>
  <conditionalFormatting sqref="Q142:Q143">
    <cfRule type="colorScale" priority="118">
      <colorScale>
        <cfvo type="num" val="-0.1"/>
        <cfvo type="num" val="0"/>
        <cfvo type="num" val="0.1"/>
        <color rgb="FFF8696B"/>
        <color rgb="FFFFEB84"/>
        <color rgb="FF63BE7B"/>
      </colorScale>
    </cfRule>
  </conditionalFormatting>
  <conditionalFormatting sqref="Q143">
    <cfRule type="colorScale" priority="123">
      <colorScale>
        <cfvo type="num" val="-0.1"/>
        <cfvo type="num" val="0"/>
        <cfvo type="num" val="0.1"/>
        <color rgb="FFF8696B"/>
        <color rgb="FFFFEB84"/>
        <color rgb="FF63BE7B"/>
      </colorScale>
    </cfRule>
  </conditionalFormatting>
  <conditionalFormatting sqref="Q144">
    <cfRule type="colorScale" priority="117">
      <colorScale>
        <cfvo type="num" val="-0.1"/>
        <cfvo type="num" val="0"/>
        <cfvo type="num" val="0.1"/>
        <color rgb="FFF8696B"/>
        <color rgb="FFFFEB84"/>
        <color rgb="FF63BE7B"/>
      </colorScale>
    </cfRule>
  </conditionalFormatting>
  <conditionalFormatting sqref="Q145:Q146">
    <cfRule type="colorScale" priority="124">
      <colorScale>
        <cfvo type="num" val="-0.1"/>
        <cfvo type="num" val="0"/>
        <cfvo type="num" val="0.1"/>
        <color rgb="FFF8696B"/>
        <color rgb="FFFFEB84"/>
        <color rgb="FF63BE7B"/>
      </colorScale>
    </cfRule>
  </conditionalFormatting>
  <conditionalFormatting sqref="Q146:Q148 Q150:Q151">
    <cfRule type="colorScale" priority="131">
      <colorScale>
        <cfvo type="num" val="-0.1"/>
        <cfvo type="num" val="0"/>
        <cfvo type="num" val="0.1"/>
        <color rgb="FFF8696B"/>
        <color rgb="FFFFEB84"/>
        <color rgb="FF63BE7B"/>
      </colorScale>
    </cfRule>
  </conditionalFormatting>
  <conditionalFormatting sqref="Q149">
    <cfRule type="colorScale" priority="120">
      <colorScale>
        <cfvo type="num" val="-0.1"/>
        <cfvo type="num" val="0"/>
        <cfvo type="num" val="0.1"/>
        <color rgb="FFF8696B"/>
        <color rgb="FFFFEB84"/>
        <color rgb="FF63BE7B"/>
      </colorScale>
    </cfRule>
  </conditionalFormatting>
  <conditionalFormatting sqref="Q152:Q153">
    <cfRule type="colorScale" priority="112">
      <colorScale>
        <cfvo type="num" val="-0.1"/>
        <cfvo type="num" val="0"/>
        <cfvo type="num" val="0.1"/>
        <color rgb="FFF8696B"/>
        <color rgb="FFFFEB84"/>
        <color rgb="FF63BE7B"/>
      </colorScale>
    </cfRule>
  </conditionalFormatting>
  <conditionalFormatting sqref="Q154">
    <cfRule type="colorScale" priority="106">
      <colorScale>
        <cfvo type="num" val="-0.1"/>
        <cfvo type="num" val="0"/>
        <cfvo type="num" val="0.1"/>
        <color rgb="FFF8696B"/>
        <color rgb="FFFFEB84"/>
        <color rgb="FF63BE7B"/>
      </colorScale>
    </cfRule>
    <cfRule type="colorScale" priority="107">
      <colorScale>
        <cfvo type="num" val="-0.1"/>
        <cfvo type="num" val="0"/>
        <cfvo type="num" val="0.1"/>
        <color rgb="FFF8696B"/>
        <color rgb="FFFFEB84"/>
        <color rgb="FF63BE7B"/>
      </colorScale>
    </cfRule>
  </conditionalFormatting>
  <conditionalFormatting sqref="Q155">
    <cfRule type="colorScale" priority="110">
      <colorScale>
        <cfvo type="num" val="-0.1"/>
        <cfvo type="num" val="0"/>
        <cfvo type="num" val="0.1"/>
        <color rgb="FFF8696B"/>
        <color rgb="FFFFEB84"/>
        <color rgb="FF63BE7B"/>
      </colorScale>
    </cfRule>
  </conditionalFormatting>
  <conditionalFormatting sqref="Q156">
    <cfRule type="colorScale" priority="109">
      <colorScale>
        <cfvo type="num" val="-0.1"/>
        <cfvo type="num" val="0"/>
        <cfvo type="num" val="0.1"/>
        <color rgb="FFF8696B"/>
        <color rgb="FFFFEB84"/>
        <color rgb="FF63BE7B"/>
      </colorScale>
    </cfRule>
  </conditionalFormatting>
  <conditionalFormatting sqref="Q157">
    <cfRule type="colorScale" priority="108">
      <colorScale>
        <cfvo type="num" val="-0.1"/>
        <cfvo type="num" val="0"/>
        <cfvo type="num" val="0.1"/>
        <color rgb="FFF8696B"/>
        <color rgb="FFFFEB84"/>
        <color rgb="FF63BE7B"/>
      </colorScale>
    </cfRule>
  </conditionalFormatting>
  <conditionalFormatting sqref="Q158:Q160">
    <cfRule type="colorScale" priority="111">
      <colorScale>
        <cfvo type="num" val="-0.1"/>
        <cfvo type="num" val="0"/>
        <cfvo type="num" val="0.1"/>
        <color rgb="FFF8696B"/>
        <color rgb="FFFFEB84"/>
        <color rgb="FF63BE7B"/>
      </colorScale>
    </cfRule>
  </conditionalFormatting>
  <conditionalFormatting sqref="Q161">
    <cfRule type="colorScale" priority="113">
      <colorScale>
        <cfvo type="num" val="-0.1"/>
        <cfvo type="num" val="0"/>
        <cfvo type="num" val="0.1"/>
        <color rgb="FFF8696B"/>
        <color rgb="FFFFEB84"/>
        <color rgb="FF63BE7B"/>
      </colorScale>
    </cfRule>
    <cfRule type="colorScale" priority="114">
      <colorScale>
        <cfvo type="num" val="-0.1"/>
        <cfvo type="num" val="0"/>
        <cfvo type="num" val="0.1"/>
        <color rgb="FFF8696B"/>
        <color rgb="FFFFEB84"/>
        <color rgb="FF63BE7B"/>
      </colorScale>
    </cfRule>
  </conditionalFormatting>
  <conditionalFormatting sqref="Q162">
    <cfRule type="colorScale" priority="148">
      <colorScale>
        <cfvo type="num" val="-0.1"/>
        <cfvo type="num" val="0"/>
        <cfvo type="num" val="0.1"/>
        <color rgb="FFF8696B"/>
        <color rgb="FFFFEB84"/>
        <color rgb="FF63BE7B"/>
      </colorScale>
    </cfRule>
  </conditionalFormatting>
  <conditionalFormatting sqref="Q163">
    <cfRule type="colorScale" priority="147">
      <colorScale>
        <cfvo type="num" val="-0.1"/>
        <cfvo type="num" val="0"/>
        <cfvo type="num" val="0.1"/>
        <color rgb="FFF8696B"/>
        <color rgb="FFFFEB84"/>
        <color rgb="FF63BE7B"/>
      </colorScale>
    </cfRule>
  </conditionalFormatting>
  <conditionalFormatting sqref="Q164">
    <cfRule type="colorScale" priority="154">
      <colorScale>
        <cfvo type="num" val="-0.1"/>
        <cfvo type="num" val="0"/>
        <cfvo type="num" val="0.1"/>
        <color rgb="FFF8696B"/>
        <color rgb="FFFFEB84"/>
        <color rgb="FF63BE7B"/>
      </colorScale>
    </cfRule>
  </conditionalFormatting>
  <conditionalFormatting sqref="Q165">
    <cfRule type="colorScale" priority="153">
      <colorScale>
        <cfvo type="num" val="-0.1"/>
        <cfvo type="num" val="0"/>
        <cfvo type="num" val="0.1"/>
        <color rgb="FFF8696B"/>
        <color rgb="FFFFEB84"/>
        <color rgb="FF63BE7B"/>
      </colorScale>
    </cfRule>
  </conditionalFormatting>
  <conditionalFormatting sqref="Q166">
    <cfRule type="colorScale" priority="152">
      <colorScale>
        <cfvo type="num" val="-0.1"/>
        <cfvo type="num" val="0"/>
        <cfvo type="num" val="0.1"/>
        <color rgb="FFF8696B"/>
        <color rgb="FFFFEB84"/>
        <color rgb="FF63BE7B"/>
      </colorScale>
    </cfRule>
  </conditionalFormatting>
  <conditionalFormatting sqref="Q167">
    <cfRule type="colorScale" priority="155">
      <colorScale>
        <cfvo type="num" val="-0.1"/>
        <cfvo type="num" val="0"/>
        <cfvo type="num" val="0.1"/>
        <color rgb="FFF8696B"/>
        <color rgb="FFFFEB84"/>
        <color rgb="FF63BE7B"/>
      </colorScale>
    </cfRule>
  </conditionalFormatting>
  <conditionalFormatting sqref="Q168">
    <cfRule type="colorScale" priority="156">
      <colorScale>
        <cfvo type="num" val="-0.1"/>
        <cfvo type="num" val="0"/>
        <cfvo type="num" val="0.1"/>
        <color rgb="FFF8696B"/>
        <color rgb="FFFFEB84"/>
        <color rgb="FF63BE7B"/>
      </colorScale>
    </cfRule>
  </conditionalFormatting>
  <conditionalFormatting sqref="Q169">
    <cfRule type="colorScale" priority="151">
      <colorScale>
        <cfvo type="num" val="-0.1"/>
        <cfvo type="num" val="0"/>
        <cfvo type="num" val="0.1"/>
        <color rgb="FFF8696B"/>
        <color rgb="FFFFEB84"/>
        <color rgb="FF63BE7B"/>
      </colorScale>
    </cfRule>
  </conditionalFormatting>
  <conditionalFormatting sqref="Q170">
    <cfRule type="colorScale" priority="141">
      <colorScale>
        <cfvo type="num" val="-0.1"/>
        <cfvo type="num" val="0"/>
        <cfvo type="num" val="0.1"/>
        <color rgb="FFF8696B"/>
        <color rgb="FFFFEB84"/>
        <color rgb="FF63BE7B"/>
      </colorScale>
    </cfRule>
  </conditionalFormatting>
  <conditionalFormatting sqref="Q171">
    <cfRule type="colorScale" priority="145">
      <colorScale>
        <cfvo type="num" val="-0.1"/>
        <cfvo type="num" val="0"/>
        <cfvo type="num" val="0.1"/>
        <color rgb="FFF8696B"/>
        <color rgb="FFFFEB84"/>
        <color rgb="FF63BE7B"/>
      </colorScale>
    </cfRule>
  </conditionalFormatting>
  <conditionalFormatting sqref="Q172">
    <cfRule type="colorScale" priority="142">
      <colorScale>
        <cfvo type="num" val="-0.1"/>
        <cfvo type="num" val="0"/>
        <cfvo type="num" val="0.1"/>
        <color rgb="FFF8696B"/>
        <color rgb="FFFFEB84"/>
        <color rgb="FF63BE7B"/>
      </colorScale>
    </cfRule>
  </conditionalFormatting>
  <conditionalFormatting sqref="Q173:Q174">
    <cfRule type="colorScale" priority="144">
      <colorScale>
        <cfvo type="num" val="-0.1"/>
        <cfvo type="num" val="0"/>
        <cfvo type="num" val="0.1"/>
        <color rgb="FFF8696B"/>
        <color rgb="FFFFEB84"/>
        <color rgb="FF63BE7B"/>
      </colorScale>
    </cfRule>
  </conditionalFormatting>
  <conditionalFormatting sqref="Q174">
    <cfRule type="colorScale" priority="149">
      <colorScale>
        <cfvo type="num" val="-0.1"/>
        <cfvo type="num" val="0"/>
        <cfvo type="num" val="0.1"/>
        <color rgb="FFF8696B"/>
        <color rgb="FFFFEB84"/>
        <color rgb="FF63BE7B"/>
      </colorScale>
    </cfRule>
  </conditionalFormatting>
  <conditionalFormatting sqref="Q175">
    <cfRule type="colorScale" priority="143">
      <colorScale>
        <cfvo type="num" val="-0.1"/>
        <cfvo type="num" val="0"/>
        <cfvo type="num" val="0.1"/>
        <color rgb="FFF8696B"/>
        <color rgb="FFFFEB84"/>
        <color rgb="FF63BE7B"/>
      </colorScale>
    </cfRule>
  </conditionalFormatting>
  <conditionalFormatting sqref="Q176:Q177">
    <cfRule type="colorScale" priority="150">
      <colorScale>
        <cfvo type="num" val="-0.1"/>
        <cfvo type="num" val="0"/>
        <cfvo type="num" val="0.1"/>
        <color rgb="FFF8696B"/>
        <color rgb="FFFFEB84"/>
        <color rgb="FF63BE7B"/>
      </colorScale>
    </cfRule>
  </conditionalFormatting>
  <conditionalFormatting sqref="Q177:Q179 Q181:Q182">
    <cfRule type="colorScale" priority="157">
      <colorScale>
        <cfvo type="num" val="-0.1"/>
        <cfvo type="num" val="0"/>
        <cfvo type="num" val="0.1"/>
        <color rgb="FFF8696B"/>
        <color rgb="FFFFEB84"/>
        <color rgb="FF63BE7B"/>
      </colorScale>
    </cfRule>
  </conditionalFormatting>
  <conditionalFormatting sqref="Q180">
    <cfRule type="colorScale" priority="146">
      <colorScale>
        <cfvo type="num" val="-0.1"/>
        <cfvo type="num" val="0"/>
        <cfvo type="num" val="0.1"/>
        <color rgb="FFF8696B"/>
        <color rgb="FFFFEB84"/>
        <color rgb="FF63BE7B"/>
      </colorScale>
    </cfRule>
  </conditionalFormatting>
  <conditionalFormatting sqref="Q183:Q184">
    <cfRule type="colorScale" priority="138">
      <colorScale>
        <cfvo type="num" val="-0.1"/>
        <cfvo type="num" val="0"/>
        <cfvo type="num" val="0.1"/>
        <color rgb="FFF8696B"/>
        <color rgb="FFFFEB84"/>
        <color rgb="FF63BE7B"/>
      </colorScale>
    </cfRule>
  </conditionalFormatting>
  <conditionalFormatting sqref="Q185">
    <cfRule type="colorScale" priority="133">
      <colorScale>
        <cfvo type="num" val="-0.1"/>
        <cfvo type="num" val="0"/>
        <cfvo type="num" val="0.1"/>
        <color rgb="FFF8696B"/>
        <color rgb="FFFFEB84"/>
        <color rgb="FF63BE7B"/>
      </colorScale>
    </cfRule>
    <cfRule type="colorScale" priority="132">
      <colorScale>
        <cfvo type="num" val="-0.1"/>
        <cfvo type="num" val="0"/>
        <cfvo type="num" val="0.1"/>
        <color rgb="FFF8696B"/>
        <color rgb="FFFFEB84"/>
        <color rgb="FF63BE7B"/>
      </colorScale>
    </cfRule>
  </conditionalFormatting>
  <conditionalFormatting sqref="Q186">
    <cfRule type="colorScale" priority="136">
      <colorScale>
        <cfvo type="num" val="-0.1"/>
        <cfvo type="num" val="0"/>
        <cfvo type="num" val="0.1"/>
        <color rgb="FFF8696B"/>
        <color rgb="FFFFEB84"/>
        <color rgb="FF63BE7B"/>
      </colorScale>
    </cfRule>
  </conditionalFormatting>
  <conditionalFormatting sqref="Q187">
    <cfRule type="colorScale" priority="135">
      <colorScale>
        <cfvo type="num" val="-0.1"/>
        <cfvo type="num" val="0"/>
        <cfvo type="num" val="0.1"/>
        <color rgb="FFF8696B"/>
        <color rgb="FFFFEB84"/>
        <color rgb="FF63BE7B"/>
      </colorScale>
    </cfRule>
  </conditionalFormatting>
  <conditionalFormatting sqref="Q188">
    <cfRule type="colorScale" priority="134">
      <colorScale>
        <cfvo type="num" val="-0.1"/>
        <cfvo type="num" val="0"/>
        <cfvo type="num" val="0.1"/>
        <color rgb="FFF8696B"/>
        <color rgb="FFFFEB84"/>
        <color rgb="FF63BE7B"/>
      </colorScale>
    </cfRule>
  </conditionalFormatting>
  <conditionalFormatting sqref="Q189:Q191">
    <cfRule type="colorScale" priority="137">
      <colorScale>
        <cfvo type="num" val="-0.1"/>
        <cfvo type="num" val="0"/>
        <cfvo type="num" val="0.1"/>
        <color rgb="FFF8696B"/>
        <color rgb="FFFFEB84"/>
        <color rgb="FF63BE7B"/>
      </colorScale>
    </cfRule>
  </conditionalFormatting>
  <conditionalFormatting sqref="Q192">
    <cfRule type="colorScale" priority="140">
      <colorScale>
        <cfvo type="num" val="-0.1"/>
        <cfvo type="num" val="0"/>
        <cfvo type="num" val="0.1"/>
        <color rgb="FFF8696B"/>
        <color rgb="FFFFEB84"/>
        <color rgb="FF63BE7B"/>
      </colorScale>
    </cfRule>
    <cfRule type="colorScale" priority="139">
      <colorScale>
        <cfvo type="num" val="-0.1"/>
        <cfvo type="num" val="0"/>
        <cfvo type="num" val="0.1"/>
        <color rgb="FFF8696B"/>
        <color rgb="FFFFEB84"/>
        <color rgb="FF63BE7B"/>
      </colorScale>
    </cfRule>
  </conditionalFormatting>
  <conditionalFormatting sqref="Q193">
    <cfRule type="colorScale" priority="168">
      <colorScale>
        <cfvo type="num" val="-0.1"/>
        <cfvo type="num" val="0"/>
        <cfvo type="num" val="0.1"/>
        <color rgb="FFF8696B"/>
        <color rgb="FFFFEB84"/>
        <color rgb="FF63BE7B"/>
      </colorScale>
    </cfRule>
  </conditionalFormatting>
  <conditionalFormatting sqref="Q194">
    <cfRule type="colorScale" priority="167">
      <colorScale>
        <cfvo type="num" val="-0.1"/>
        <cfvo type="num" val="0"/>
        <cfvo type="num" val="0.1"/>
        <color rgb="FFF8696B"/>
        <color rgb="FFFFEB84"/>
        <color rgb="FF63BE7B"/>
      </colorScale>
    </cfRule>
  </conditionalFormatting>
  <conditionalFormatting sqref="Q195">
    <cfRule type="colorScale" priority="174">
      <colorScale>
        <cfvo type="num" val="-0.1"/>
        <cfvo type="num" val="0"/>
        <cfvo type="num" val="0.1"/>
        <color rgb="FFF8696B"/>
        <color rgb="FFFFEB84"/>
        <color rgb="FF63BE7B"/>
      </colorScale>
    </cfRule>
  </conditionalFormatting>
  <conditionalFormatting sqref="Q196">
    <cfRule type="colorScale" priority="173">
      <colorScale>
        <cfvo type="num" val="-0.1"/>
        <cfvo type="num" val="0"/>
        <cfvo type="num" val="0.1"/>
        <color rgb="FFF8696B"/>
        <color rgb="FFFFEB84"/>
        <color rgb="FF63BE7B"/>
      </colorScale>
    </cfRule>
  </conditionalFormatting>
  <conditionalFormatting sqref="Q197">
    <cfRule type="colorScale" priority="172">
      <colorScale>
        <cfvo type="num" val="-0.1"/>
        <cfvo type="num" val="0"/>
        <cfvo type="num" val="0.1"/>
        <color rgb="FFF8696B"/>
        <color rgb="FFFFEB84"/>
        <color rgb="FF63BE7B"/>
      </colorScale>
    </cfRule>
  </conditionalFormatting>
  <conditionalFormatting sqref="Q198">
    <cfRule type="colorScale" priority="175">
      <colorScale>
        <cfvo type="num" val="-0.1"/>
        <cfvo type="num" val="0"/>
        <cfvo type="num" val="0.1"/>
        <color rgb="FFF8696B"/>
        <color rgb="FFFFEB84"/>
        <color rgb="FF63BE7B"/>
      </colorScale>
    </cfRule>
  </conditionalFormatting>
  <conditionalFormatting sqref="Q199">
    <cfRule type="colorScale" priority="176">
      <colorScale>
        <cfvo type="num" val="-0.1"/>
        <cfvo type="num" val="0"/>
        <cfvo type="num" val="0.1"/>
        <color rgb="FFF8696B"/>
        <color rgb="FFFFEB84"/>
        <color rgb="FF63BE7B"/>
      </colorScale>
    </cfRule>
  </conditionalFormatting>
  <conditionalFormatting sqref="Q200">
    <cfRule type="colorScale" priority="171">
      <colorScale>
        <cfvo type="num" val="-0.1"/>
        <cfvo type="num" val="0"/>
        <cfvo type="num" val="0.1"/>
        <color rgb="FFF8696B"/>
        <color rgb="FFFFEB84"/>
        <color rgb="FF63BE7B"/>
      </colorScale>
    </cfRule>
  </conditionalFormatting>
  <conditionalFormatting sqref="Q201">
    <cfRule type="colorScale" priority="161">
      <colorScale>
        <cfvo type="num" val="-0.1"/>
        <cfvo type="num" val="0"/>
        <cfvo type="num" val="0.1"/>
        <color rgb="FFF8696B"/>
        <color rgb="FFFFEB84"/>
        <color rgb="FF63BE7B"/>
      </colorScale>
    </cfRule>
  </conditionalFormatting>
  <conditionalFormatting sqref="Q202">
    <cfRule type="colorScale" priority="165">
      <colorScale>
        <cfvo type="num" val="-0.1"/>
        <cfvo type="num" val="0"/>
        <cfvo type="num" val="0.1"/>
        <color rgb="FFF8696B"/>
        <color rgb="FFFFEB84"/>
        <color rgb="FF63BE7B"/>
      </colorScale>
    </cfRule>
  </conditionalFormatting>
  <conditionalFormatting sqref="Q203">
    <cfRule type="colorScale" priority="162">
      <colorScale>
        <cfvo type="num" val="-0.1"/>
        <cfvo type="num" val="0"/>
        <cfvo type="num" val="0.1"/>
        <color rgb="FFF8696B"/>
        <color rgb="FFFFEB84"/>
        <color rgb="FF63BE7B"/>
      </colorScale>
    </cfRule>
  </conditionalFormatting>
  <conditionalFormatting sqref="Q204:Q205">
    <cfRule type="colorScale" priority="164">
      <colorScale>
        <cfvo type="num" val="-0.1"/>
        <cfvo type="num" val="0"/>
        <cfvo type="num" val="0.1"/>
        <color rgb="FFF8696B"/>
        <color rgb="FFFFEB84"/>
        <color rgb="FF63BE7B"/>
      </colorScale>
    </cfRule>
  </conditionalFormatting>
  <conditionalFormatting sqref="Q205">
    <cfRule type="colorScale" priority="169">
      <colorScale>
        <cfvo type="num" val="-0.1"/>
        <cfvo type="num" val="0"/>
        <cfvo type="num" val="0.1"/>
        <color rgb="FFF8696B"/>
        <color rgb="FFFFEB84"/>
        <color rgb="FF63BE7B"/>
      </colorScale>
    </cfRule>
  </conditionalFormatting>
  <conditionalFormatting sqref="Q206">
    <cfRule type="colorScale" priority="163">
      <colorScale>
        <cfvo type="num" val="-0.1"/>
        <cfvo type="num" val="0"/>
        <cfvo type="num" val="0.1"/>
        <color rgb="FFF8696B"/>
        <color rgb="FFFFEB84"/>
        <color rgb="FF63BE7B"/>
      </colorScale>
    </cfRule>
  </conditionalFormatting>
  <conditionalFormatting sqref="Q207:Q208">
    <cfRule type="colorScale" priority="170">
      <colorScale>
        <cfvo type="num" val="-0.1"/>
        <cfvo type="num" val="0"/>
        <cfvo type="num" val="0.1"/>
        <color rgb="FFF8696B"/>
        <color rgb="FFFFEB84"/>
        <color rgb="FF63BE7B"/>
      </colorScale>
    </cfRule>
  </conditionalFormatting>
  <conditionalFormatting sqref="Q208:Q210 Q212:Q213">
    <cfRule type="colorScale" priority="177">
      <colorScale>
        <cfvo type="num" val="-0.1"/>
        <cfvo type="num" val="0"/>
        <cfvo type="num" val="0.1"/>
        <color rgb="FFF8696B"/>
        <color rgb="FFFFEB84"/>
        <color rgb="FF63BE7B"/>
      </colorScale>
    </cfRule>
  </conditionalFormatting>
  <conditionalFormatting sqref="Q211">
    <cfRule type="colorScale" priority="166">
      <colorScale>
        <cfvo type="num" val="-0.1"/>
        <cfvo type="num" val="0"/>
        <cfvo type="num" val="0.1"/>
        <color rgb="FFF8696B"/>
        <color rgb="FFFFEB84"/>
        <color rgb="FF63BE7B"/>
      </colorScale>
    </cfRule>
  </conditionalFormatting>
  <conditionalFormatting sqref="Q214:Q215">
    <cfRule type="colorScale" priority="158">
      <colorScale>
        <cfvo type="num" val="-0.1"/>
        <cfvo type="num" val="0"/>
        <cfvo type="num" val="0.1"/>
        <color rgb="FFF8696B"/>
        <color rgb="FFFFEB84"/>
        <color rgb="FF63BE7B"/>
      </colorScale>
    </cfRule>
  </conditionalFormatting>
  <conditionalFormatting sqref="Q216">
    <cfRule type="colorScale" priority="159">
      <colorScale>
        <cfvo type="num" val="-0.1"/>
        <cfvo type="num" val="0"/>
        <cfvo type="num" val="0.1"/>
        <color rgb="FFF8696B"/>
        <color rgb="FFFFEB84"/>
        <color rgb="FF63BE7B"/>
      </colorScale>
    </cfRule>
    <cfRule type="colorScale" priority="160">
      <colorScale>
        <cfvo type="num" val="-0.1"/>
        <cfvo type="num" val="0"/>
        <cfvo type="num" val="0.1"/>
        <color rgb="FFF8696B"/>
        <color rgb="FFFFEB84"/>
        <color rgb="FF63BE7B"/>
      </colorScale>
    </cfRule>
  </conditionalFormatting>
  <conditionalFormatting sqref="Q217">
    <cfRule type="colorScale" priority="182">
      <colorScale>
        <cfvo type="num" val="-0.1"/>
        <cfvo type="num" val="0"/>
        <cfvo type="num" val="0.1"/>
        <color rgb="FFF8696B"/>
        <color rgb="FFFFEB84"/>
        <color rgb="FF63BE7B"/>
      </colorScale>
    </cfRule>
  </conditionalFormatting>
  <conditionalFormatting sqref="Q218">
    <cfRule type="colorScale" priority="181">
      <colorScale>
        <cfvo type="num" val="-0.1"/>
        <cfvo type="num" val="0"/>
        <cfvo type="num" val="0.1"/>
        <color rgb="FFF8696B"/>
        <color rgb="FFFFEB84"/>
        <color rgb="FF63BE7B"/>
      </colorScale>
    </cfRule>
  </conditionalFormatting>
  <conditionalFormatting sqref="Q219">
    <cfRule type="colorScale" priority="180">
      <colorScale>
        <cfvo type="num" val="-0.1"/>
        <cfvo type="num" val="0"/>
        <cfvo type="num" val="0.1"/>
        <color rgb="FFF8696B"/>
        <color rgb="FFFFEB84"/>
        <color rgb="FF63BE7B"/>
      </colorScale>
    </cfRule>
  </conditionalFormatting>
  <conditionalFormatting sqref="Q220:Q222">
    <cfRule type="colorScale" priority="183">
      <colorScale>
        <cfvo type="num" val="-0.1"/>
        <cfvo type="num" val="0"/>
        <cfvo type="num" val="0.1"/>
        <color rgb="FFF8696B"/>
        <color rgb="FFFFEB84"/>
        <color rgb="FF63BE7B"/>
      </colorScale>
    </cfRule>
  </conditionalFormatting>
  <conditionalFormatting sqref="Q223">
    <cfRule type="colorScale" priority="178">
      <colorScale>
        <cfvo type="num" val="-0.1"/>
        <cfvo type="num" val="0"/>
        <cfvo type="num" val="0.1"/>
        <color rgb="FFF8696B"/>
        <color rgb="FFFFEB84"/>
        <color rgb="FF63BE7B"/>
      </colorScale>
    </cfRule>
    <cfRule type="colorScale" priority="179">
      <colorScale>
        <cfvo type="num" val="-0.1"/>
        <cfvo type="num" val="0"/>
        <cfvo type="num" val="0.1"/>
        <color rgb="FFF8696B"/>
        <color rgb="FFFFEB84"/>
        <color rgb="FF63BE7B"/>
      </colorScale>
    </cfRule>
  </conditionalFormatting>
  <conditionalFormatting sqref="Q224">
    <cfRule type="colorScale" priority="200">
      <colorScale>
        <cfvo type="num" val="-0.1"/>
        <cfvo type="num" val="0"/>
        <cfvo type="num" val="0.1"/>
        <color rgb="FFF8696B"/>
        <color rgb="FFFFEB84"/>
        <color rgb="FF63BE7B"/>
      </colorScale>
    </cfRule>
  </conditionalFormatting>
  <conditionalFormatting sqref="Q225">
    <cfRule type="colorScale" priority="199">
      <colorScale>
        <cfvo type="num" val="-0.1"/>
        <cfvo type="num" val="0"/>
        <cfvo type="num" val="0.1"/>
        <color rgb="FFF8696B"/>
        <color rgb="FFFFEB84"/>
        <color rgb="FF63BE7B"/>
      </colorScale>
    </cfRule>
  </conditionalFormatting>
  <conditionalFormatting sqref="Q226">
    <cfRule type="colorScale" priority="206">
      <colorScale>
        <cfvo type="num" val="-0.1"/>
        <cfvo type="num" val="0"/>
        <cfvo type="num" val="0.1"/>
        <color rgb="FFF8696B"/>
        <color rgb="FFFFEB84"/>
        <color rgb="FF63BE7B"/>
      </colorScale>
    </cfRule>
  </conditionalFormatting>
  <conditionalFormatting sqref="Q227">
    <cfRule type="colorScale" priority="205">
      <colorScale>
        <cfvo type="num" val="-0.1"/>
        <cfvo type="num" val="0"/>
        <cfvo type="num" val="0.1"/>
        <color rgb="FFF8696B"/>
        <color rgb="FFFFEB84"/>
        <color rgb="FF63BE7B"/>
      </colorScale>
    </cfRule>
  </conditionalFormatting>
  <conditionalFormatting sqref="Q228">
    <cfRule type="colorScale" priority="204">
      <colorScale>
        <cfvo type="num" val="-0.1"/>
        <cfvo type="num" val="0"/>
        <cfvo type="num" val="0.1"/>
        <color rgb="FFF8696B"/>
        <color rgb="FFFFEB84"/>
        <color rgb="FF63BE7B"/>
      </colorScale>
    </cfRule>
  </conditionalFormatting>
  <conditionalFormatting sqref="Q229">
    <cfRule type="colorScale" priority="207">
      <colorScale>
        <cfvo type="num" val="-0.1"/>
        <cfvo type="num" val="0"/>
        <cfvo type="num" val="0.1"/>
        <color rgb="FFF8696B"/>
        <color rgb="FFFFEB84"/>
        <color rgb="FF63BE7B"/>
      </colorScale>
    </cfRule>
  </conditionalFormatting>
  <conditionalFormatting sqref="Q230">
    <cfRule type="colorScale" priority="208">
      <colorScale>
        <cfvo type="num" val="-0.1"/>
        <cfvo type="num" val="0"/>
        <cfvo type="num" val="0.1"/>
        <color rgb="FFF8696B"/>
        <color rgb="FFFFEB84"/>
        <color rgb="FF63BE7B"/>
      </colorScale>
    </cfRule>
  </conditionalFormatting>
  <conditionalFormatting sqref="Q231">
    <cfRule type="colorScale" priority="203">
      <colorScale>
        <cfvo type="num" val="-0.1"/>
        <cfvo type="num" val="0"/>
        <cfvo type="num" val="0.1"/>
        <color rgb="FFF8696B"/>
        <color rgb="FFFFEB84"/>
        <color rgb="FF63BE7B"/>
      </colorScale>
    </cfRule>
  </conditionalFormatting>
  <conditionalFormatting sqref="Q232">
    <cfRule type="colorScale" priority="193">
      <colorScale>
        <cfvo type="num" val="-0.1"/>
        <cfvo type="num" val="0"/>
        <cfvo type="num" val="0.1"/>
        <color rgb="FFF8696B"/>
        <color rgb="FFFFEB84"/>
        <color rgb="FF63BE7B"/>
      </colorScale>
    </cfRule>
  </conditionalFormatting>
  <conditionalFormatting sqref="Q233">
    <cfRule type="colorScale" priority="197">
      <colorScale>
        <cfvo type="num" val="-0.1"/>
        <cfvo type="num" val="0"/>
        <cfvo type="num" val="0.1"/>
        <color rgb="FFF8696B"/>
        <color rgb="FFFFEB84"/>
        <color rgb="FF63BE7B"/>
      </colorScale>
    </cfRule>
  </conditionalFormatting>
  <conditionalFormatting sqref="Q234">
    <cfRule type="colorScale" priority="194">
      <colorScale>
        <cfvo type="num" val="-0.1"/>
        <cfvo type="num" val="0"/>
        <cfvo type="num" val="0.1"/>
        <color rgb="FFF8696B"/>
        <color rgb="FFFFEB84"/>
        <color rgb="FF63BE7B"/>
      </colorScale>
    </cfRule>
  </conditionalFormatting>
  <conditionalFormatting sqref="Q235:Q236">
    <cfRule type="colorScale" priority="196">
      <colorScale>
        <cfvo type="num" val="-0.1"/>
        <cfvo type="num" val="0"/>
        <cfvo type="num" val="0.1"/>
        <color rgb="FFF8696B"/>
        <color rgb="FFFFEB84"/>
        <color rgb="FF63BE7B"/>
      </colorScale>
    </cfRule>
  </conditionalFormatting>
  <conditionalFormatting sqref="Q236">
    <cfRule type="colorScale" priority="201">
      <colorScale>
        <cfvo type="num" val="-0.1"/>
        <cfvo type="num" val="0"/>
        <cfvo type="num" val="0.1"/>
        <color rgb="FFF8696B"/>
        <color rgb="FFFFEB84"/>
        <color rgb="FF63BE7B"/>
      </colorScale>
    </cfRule>
  </conditionalFormatting>
  <conditionalFormatting sqref="Q237">
    <cfRule type="colorScale" priority="195">
      <colorScale>
        <cfvo type="num" val="-0.1"/>
        <cfvo type="num" val="0"/>
        <cfvo type="num" val="0.1"/>
        <color rgb="FFF8696B"/>
        <color rgb="FFFFEB84"/>
        <color rgb="FF63BE7B"/>
      </colorScale>
    </cfRule>
  </conditionalFormatting>
  <conditionalFormatting sqref="Q238:Q239">
    <cfRule type="colorScale" priority="202">
      <colorScale>
        <cfvo type="num" val="-0.1"/>
        <cfvo type="num" val="0"/>
        <cfvo type="num" val="0.1"/>
        <color rgb="FFF8696B"/>
        <color rgb="FFFFEB84"/>
        <color rgb="FF63BE7B"/>
      </colorScale>
    </cfRule>
  </conditionalFormatting>
  <conditionalFormatting sqref="Q239:Q241 Q243:Q244">
    <cfRule type="colorScale" priority="209">
      <colorScale>
        <cfvo type="num" val="-0.1"/>
        <cfvo type="num" val="0"/>
        <cfvo type="num" val="0.1"/>
        <color rgb="FFF8696B"/>
        <color rgb="FFFFEB84"/>
        <color rgb="FF63BE7B"/>
      </colorScale>
    </cfRule>
  </conditionalFormatting>
  <conditionalFormatting sqref="Q242">
    <cfRule type="colorScale" priority="198">
      <colorScale>
        <cfvo type="num" val="-0.1"/>
        <cfvo type="num" val="0"/>
        <cfvo type="num" val="0.1"/>
        <color rgb="FFF8696B"/>
        <color rgb="FFFFEB84"/>
        <color rgb="FF63BE7B"/>
      </colorScale>
    </cfRule>
  </conditionalFormatting>
  <conditionalFormatting sqref="Q245:Q246">
    <cfRule type="colorScale" priority="186">
      <colorScale>
        <cfvo type="num" val="-0.1"/>
        <cfvo type="num" val="0"/>
        <cfvo type="num" val="0.1"/>
        <color rgb="FFF8696B"/>
        <color rgb="FFFFEB84"/>
        <color rgb="FF63BE7B"/>
      </colorScale>
    </cfRule>
  </conditionalFormatting>
  <conditionalFormatting sqref="Q247">
    <cfRule type="colorScale" priority="187">
      <colorScale>
        <cfvo type="num" val="-0.1"/>
        <cfvo type="num" val="0"/>
        <cfvo type="num" val="0.1"/>
        <color rgb="FFF8696B"/>
        <color rgb="FFFFEB84"/>
        <color rgb="FF63BE7B"/>
      </colorScale>
    </cfRule>
    <cfRule type="colorScale" priority="188">
      <colorScale>
        <cfvo type="num" val="-0.1"/>
        <cfvo type="num" val="0"/>
        <cfvo type="num" val="0.1"/>
        <color rgb="FFF8696B"/>
        <color rgb="FFFFEB84"/>
        <color rgb="FF63BE7B"/>
      </colorScale>
    </cfRule>
  </conditionalFormatting>
  <conditionalFormatting sqref="Q248">
    <cfRule type="colorScale" priority="191">
      <colorScale>
        <cfvo type="num" val="-0.1"/>
        <cfvo type="num" val="0"/>
        <cfvo type="num" val="0.1"/>
        <color rgb="FFF8696B"/>
        <color rgb="FFFFEB84"/>
        <color rgb="FF63BE7B"/>
      </colorScale>
    </cfRule>
  </conditionalFormatting>
  <conditionalFormatting sqref="Q249">
    <cfRule type="colorScale" priority="190">
      <colorScale>
        <cfvo type="num" val="-0.1"/>
        <cfvo type="num" val="0"/>
        <cfvo type="num" val="0.1"/>
        <color rgb="FFF8696B"/>
        <color rgb="FFFFEB84"/>
        <color rgb="FF63BE7B"/>
      </colorScale>
    </cfRule>
  </conditionalFormatting>
  <conditionalFormatting sqref="Q250">
    <cfRule type="colorScale" priority="189">
      <colorScale>
        <cfvo type="num" val="-0.1"/>
        <cfvo type="num" val="0"/>
        <cfvo type="num" val="0.1"/>
        <color rgb="FFF8696B"/>
        <color rgb="FFFFEB84"/>
        <color rgb="FF63BE7B"/>
      </colorScale>
    </cfRule>
  </conditionalFormatting>
  <conditionalFormatting sqref="Q251:Q253">
    <cfRule type="colorScale" priority="192">
      <colorScale>
        <cfvo type="num" val="-0.1"/>
        <cfvo type="num" val="0"/>
        <cfvo type="num" val="0.1"/>
        <color rgb="FFF8696B"/>
        <color rgb="FFFFEB84"/>
        <color rgb="FF63BE7B"/>
      </colorScale>
    </cfRule>
  </conditionalFormatting>
  <conditionalFormatting sqref="Q254">
    <cfRule type="colorScale" priority="184">
      <colorScale>
        <cfvo type="num" val="-0.1"/>
        <cfvo type="num" val="0"/>
        <cfvo type="num" val="0.1"/>
        <color rgb="FFF8696B"/>
        <color rgb="FFFFEB84"/>
        <color rgb="FF63BE7B"/>
      </colorScale>
    </cfRule>
    <cfRule type="colorScale" priority="185">
      <colorScale>
        <cfvo type="num" val="-0.1"/>
        <cfvo type="num" val="0"/>
        <cfvo type="num" val="0.1"/>
        <color rgb="FFF8696B"/>
        <color rgb="FFFFEB84"/>
        <color rgb="FF63BE7B"/>
      </colorScale>
    </cfRule>
  </conditionalFormatting>
  <conditionalFormatting sqref="Q255">
    <cfRule type="colorScale" priority="226">
      <colorScale>
        <cfvo type="num" val="-0.1"/>
        <cfvo type="num" val="0"/>
        <cfvo type="num" val="0.1"/>
        <color rgb="FFF8696B"/>
        <color rgb="FFFFEB84"/>
        <color rgb="FF63BE7B"/>
      </colorScale>
    </cfRule>
  </conditionalFormatting>
  <conditionalFormatting sqref="Q256">
    <cfRule type="colorScale" priority="225">
      <colorScale>
        <cfvo type="num" val="-0.1"/>
        <cfvo type="num" val="0"/>
        <cfvo type="num" val="0.1"/>
        <color rgb="FFF8696B"/>
        <color rgb="FFFFEB84"/>
        <color rgb="FF63BE7B"/>
      </colorScale>
    </cfRule>
  </conditionalFormatting>
  <conditionalFormatting sqref="Q257">
    <cfRule type="colorScale" priority="232">
      <colorScale>
        <cfvo type="num" val="-0.1"/>
        <cfvo type="num" val="0"/>
        <cfvo type="num" val="0.1"/>
        <color rgb="FFF8696B"/>
        <color rgb="FFFFEB84"/>
        <color rgb="FF63BE7B"/>
      </colorScale>
    </cfRule>
  </conditionalFormatting>
  <conditionalFormatting sqref="Q258">
    <cfRule type="colorScale" priority="231">
      <colorScale>
        <cfvo type="num" val="-0.1"/>
        <cfvo type="num" val="0"/>
        <cfvo type="num" val="0.1"/>
        <color rgb="FFF8696B"/>
        <color rgb="FFFFEB84"/>
        <color rgb="FF63BE7B"/>
      </colorScale>
    </cfRule>
  </conditionalFormatting>
  <conditionalFormatting sqref="Q259">
    <cfRule type="colorScale" priority="230">
      <colorScale>
        <cfvo type="num" val="-0.1"/>
        <cfvo type="num" val="0"/>
        <cfvo type="num" val="0.1"/>
        <color rgb="FFF8696B"/>
        <color rgb="FFFFEB84"/>
        <color rgb="FF63BE7B"/>
      </colorScale>
    </cfRule>
  </conditionalFormatting>
  <conditionalFormatting sqref="Q260">
    <cfRule type="colorScale" priority="233">
      <colorScale>
        <cfvo type="num" val="-0.1"/>
        <cfvo type="num" val="0"/>
        <cfvo type="num" val="0.1"/>
        <color rgb="FFF8696B"/>
        <color rgb="FFFFEB84"/>
        <color rgb="FF63BE7B"/>
      </colorScale>
    </cfRule>
  </conditionalFormatting>
  <conditionalFormatting sqref="Q261">
    <cfRule type="colorScale" priority="234">
      <colorScale>
        <cfvo type="num" val="-0.1"/>
        <cfvo type="num" val="0"/>
        <cfvo type="num" val="0.1"/>
        <color rgb="FFF8696B"/>
        <color rgb="FFFFEB84"/>
        <color rgb="FF63BE7B"/>
      </colorScale>
    </cfRule>
  </conditionalFormatting>
  <conditionalFormatting sqref="Q262">
    <cfRule type="colorScale" priority="229">
      <colorScale>
        <cfvo type="num" val="-0.1"/>
        <cfvo type="num" val="0"/>
        <cfvo type="num" val="0.1"/>
        <color rgb="FFF8696B"/>
        <color rgb="FFFFEB84"/>
        <color rgb="FF63BE7B"/>
      </colorScale>
    </cfRule>
  </conditionalFormatting>
  <conditionalFormatting sqref="Q263">
    <cfRule type="colorScale" priority="219">
      <colorScale>
        <cfvo type="num" val="-0.1"/>
        <cfvo type="num" val="0"/>
        <cfvo type="num" val="0.1"/>
        <color rgb="FFF8696B"/>
        <color rgb="FFFFEB84"/>
        <color rgb="FF63BE7B"/>
      </colorScale>
    </cfRule>
  </conditionalFormatting>
  <conditionalFormatting sqref="Q264">
    <cfRule type="colorScale" priority="223">
      <colorScale>
        <cfvo type="num" val="-0.1"/>
        <cfvo type="num" val="0"/>
        <cfvo type="num" val="0.1"/>
        <color rgb="FFF8696B"/>
        <color rgb="FFFFEB84"/>
        <color rgb="FF63BE7B"/>
      </colorScale>
    </cfRule>
  </conditionalFormatting>
  <conditionalFormatting sqref="Q265">
    <cfRule type="colorScale" priority="220">
      <colorScale>
        <cfvo type="num" val="-0.1"/>
        <cfvo type="num" val="0"/>
        <cfvo type="num" val="0.1"/>
        <color rgb="FFF8696B"/>
        <color rgb="FFFFEB84"/>
        <color rgb="FF63BE7B"/>
      </colorScale>
    </cfRule>
  </conditionalFormatting>
  <conditionalFormatting sqref="Q266:Q267">
    <cfRule type="colorScale" priority="222">
      <colorScale>
        <cfvo type="num" val="-0.1"/>
        <cfvo type="num" val="0"/>
        <cfvo type="num" val="0.1"/>
        <color rgb="FFF8696B"/>
        <color rgb="FFFFEB84"/>
        <color rgb="FF63BE7B"/>
      </colorScale>
    </cfRule>
  </conditionalFormatting>
  <conditionalFormatting sqref="Q267">
    <cfRule type="colorScale" priority="227">
      <colorScale>
        <cfvo type="num" val="-0.1"/>
        <cfvo type="num" val="0"/>
        <cfvo type="num" val="0.1"/>
        <color rgb="FFF8696B"/>
        <color rgb="FFFFEB84"/>
        <color rgb="FF63BE7B"/>
      </colorScale>
    </cfRule>
  </conditionalFormatting>
  <conditionalFormatting sqref="Q268">
    <cfRule type="colorScale" priority="221">
      <colorScale>
        <cfvo type="num" val="-0.1"/>
        <cfvo type="num" val="0"/>
        <cfvo type="num" val="0.1"/>
        <color rgb="FFF8696B"/>
        <color rgb="FFFFEB84"/>
        <color rgb="FF63BE7B"/>
      </colorScale>
    </cfRule>
  </conditionalFormatting>
  <conditionalFormatting sqref="Q269:Q270">
    <cfRule type="colorScale" priority="228">
      <colorScale>
        <cfvo type="num" val="-0.1"/>
        <cfvo type="num" val="0"/>
        <cfvo type="num" val="0.1"/>
        <color rgb="FFF8696B"/>
        <color rgb="FFFFEB84"/>
        <color rgb="FF63BE7B"/>
      </colorScale>
    </cfRule>
  </conditionalFormatting>
  <conditionalFormatting sqref="Q270:Q272 Q274:Q275">
    <cfRule type="colorScale" priority="235">
      <colorScale>
        <cfvo type="num" val="-0.1"/>
        <cfvo type="num" val="0"/>
        <cfvo type="num" val="0.1"/>
        <color rgb="FFF8696B"/>
        <color rgb="FFFFEB84"/>
        <color rgb="FF63BE7B"/>
      </colorScale>
    </cfRule>
  </conditionalFormatting>
  <conditionalFormatting sqref="Q273">
    <cfRule type="colorScale" priority="224">
      <colorScale>
        <cfvo type="num" val="-0.1"/>
        <cfvo type="num" val="0"/>
        <cfvo type="num" val="0.1"/>
        <color rgb="FFF8696B"/>
        <color rgb="FFFFEB84"/>
        <color rgb="FF63BE7B"/>
      </colorScale>
    </cfRule>
  </conditionalFormatting>
  <conditionalFormatting sqref="Q276:Q277">
    <cfRule type="colorScale" priority="212">
      <colorScale>
        <cfvo type="num" val="-0.1"/>
        <cfvo type="num" val="0"/>
        <cfvo type="num" val="0.1"/>
        <color rgb="FFF8696B"/>
        <color rgb="FFFFEB84"/>
        <color rgb="FF63BE7B"/>
      </colorScale>
    </cfRule>
  </conditionalFormatting>
  <conditionalFormatting sqref="Q278">
    <cfRule type="colorScale" priority="214">
      <colorScale>
        <cfvo type="num" val="-0.1"/>
        <cfvo type="num" val="0"/>
        <cfvo type="num" val="0.1"/>
        <color rgb="FFF8696B"/>
        <color rgb="FFFFEB84"/>
        <color rgb="FF63BE7B"/>
      </colorScale>
    </cfRule>
    <cfRule type="colorScale" priority="213">
      <colorScale>
        <cfvo type="num" val="-0.1"/>
        <cfvo type="num" val="0"/>
        <cfvo type="num" val="0.1"/>
        <color rgb="FFF8696B"/>
        <color rgb="FFFFEB84"/>
        <color rgb="FF63BE7B"/>
      </colorScale>
    </cfRule>
  </conditionalFormatting>
  <conditionalFormatting sqref="Q279">
    <cfRule type="colorScale" priority="217">
      <colorScale>
        <cfvo type="num" val="-0.1"/>
        <cfvo type="num" val="0"/>
        <cfvo type="num" val="0.1"/>
        <color rgb="FFF8696B"/>
        <color rgb="FFFFEB84"/>
        <color rgb="FF63BE7B"/>
      </colorScale>
    </cfRule>
  </conditionalFormatting>
  <conditionalFormatting sqref="Q280">
    <cfRule type="colorScale" priority="216">
      <colorScale>
        <cfvo type="num" val="-0.1"/>
        <cfvo type="num" val="0"/>
        <cfvo type="num" val="0.1"/>
        <color rgb="FFF8696B"/>
        <color rgb="FFFFEB84"/>
        <color rgb="FF63BE7B"/>
      </colorScale>
    </cfRule>
  </conditionalFormatting>
  <conditionalFormatting sqref="Q281">
    <cfRule type="colorScale" priority="215">
      <colorScale>
        <cfvo type="num" val="-0.1"/>
        <cfvo type="num" val="0"/>
        <cfvo type="num" val="0.1"/>
        <color rgb="FFF8696B"/>
        <color rgb="FFFFEB84"/>
        <color rgb="FF63BE7B"/>
      </colorScale>
    </cfRule>
  </conditionalFormatting>
  <conditionalFormatting sqref="Q282:Q284">
    <cfRule type="colorScale" priority="218">
      <colorScale>
        <cfvo type="num" val="-0.1"/>
        <cfvo type="num" val="0"/>
        <cfvo type="num" val="0.1"/>
        <color rgb="FFF8696B"/>
        <color rgb="FFFFEB84"/>
        <color rgb="FF63BE7B"/>
      </colorScale>
    </cfRule>
  </conditionalFormatting>
  <conditionalFormatting sqref="Q285">
    <cfRule type="colorScale" priority="210">
      <colorScale>
        <cfvo type="num" val="-0.1"/>
        <cfvo type="num" val="0"/>
        <cfvo type="num" val="0.1"/>
        <color rgb="FFF8696B"/>
        <color rgb="FFFFEB84"/>
        <color rgb="FF63BE7B"/>
      </colorScale>
    </cfRule>
    <cfRule type="colorScale" priority="211">
      <colorScale>
        <cfvo type="num" val="-0.1"/>
        <cfvo type="num" val="0"/>
        <cfvo type="num" val="0.1"/>
        <color rgb="FFF8696B"/>
        <color rgb="FFFFEB84"/>
        <color rgb="FF63BE7B"/>
      </colorScale>
    </cfRule>
  </conditionalFormatting>
  <conditionalFormatting sqref="Q286">
    <cfRule type="colorScale" priority="252">
      <colorScale>
        <cfvo type="num" val="-0.1"/>
        <cfvo type="num" val="0"/>
        <cfvo type="num" val="0.1"/>
        <color rgb="FFF8696B"/>
        <color rgb="FFFFEB84"/>
        <color rgb="FF63BE7B"/>
      </colorScale>
    </cfRule>
  </conditionalFormatting>
  <conditionalFormatting sqref="Q287">
    <cfRule type="colorScale" priority="251">
      <colorScale>
        <cfvo type="num" val="-0.1"/>
        <cfvo type="num" val="0"/>
        <cfvo type="num" val="0.1"/>
        <color rgb="FFF8696B"/>
        <color rgb="FFFFEB84"/>
        <color rgb="FF63BE7B"/>
      </colorScale>
    </cfRule>
  </conditionalFormatting>
  <conditionalFormatting sqref="Q288">
    <cfRule type="colorScale" priority="258">
      <colorScale>
        <cfvo type="num" val="-0.1"/>
        <cfvo type="num" val="0"/>
        <cfvo type="num" val="0.1"/>
        <color rgb="FFF8696B"/>
        <color rgb="FFFFEB84"/>
        <color rgb="FF63BE7B"/>
      </colorScale>
    </cfRule>
  </conditionalFormatting>
  <conditionalFormatting sqref="Q289">
    <cfRule type="colorScale" priority="257">
      <colorScale>
        <cfvo type="num" val="-0.1"/>
        <cfvo type="num" val="0"/>
        <cfvo type="num" val="0.1"/>
        <color rgb="FFF8696B"/>
        <color rgb="FFFFEB84"/>
        <color rgb="FF63BE7B"/>
      </colorScale>
    </cfRule>
  </conditionalFormatting>
  <conditionalFormatting sqref="Q290">
    <cfRule type="colorScale" priority="256">
      <colorScale>
        <cfvo type="num" val="-0.1"/>
        <cfvo type="num" val="0"/>
        <cfvo type="num" val="0.1"/>
        <color rgb="FFF8696B"/>
        <color rgb="FFFFEB84"/>
        <color rgb="FF63BE7B"/>
      </colorScale>
    </cfRule>
  </conditionalFormatting>
  <conditionalFormatting sqref="Q291">
    <cfRule type="colorScale" priority="259">
      <colorScale>
        <cfvo type="num" val="-0.1"/>
        <cfvo type="num" val="0"/>
        <cfvo type="num" val="0.1"/>
        <color rgb="FFF8696B"/>
        <color rgb="FFFFEB84"/>
        <color rgb="FF63BE7B"/>
      </colorScale>
    </cfRule>
  </conditionalFormatting>
  <conditionalFormatting sqref="Q292">
    <cfRule type="colorScale" priority="260">
      <colorScale>
        <cfvo type="num" val="-0.1"/>
        <cfvo type="num" val="0"/>
        <cfvo type="num" val="0.1"/>
        <color rgb="FFF8696B"/>
        <color rgb="FFFFEB84"/>
        <color rgb="FF63BE7B"/>
      </colorScale>
    </cfRule>
  </conditionalFormatting>
  <conditionalFormatting sqref="Q293">
    <cfRule type="colorScale" priority="255">
      <colorScale>
        <cfvo type="num" val="-0.1"/>
        <cfvo type="num" val="0"/>
        <cfvo type="num" val="0.1"/>
        <color rgb="FFF8696B"/>
        <color rgb="FFFFEB84"/>
        <color rgb="FF63BE7B"/>
      </colorScale>
    </cfRule>
  </conditionalFormatting>
  <conditionalFormatting sqref="Q294">
    <cfRule type="colorScale" priority="245">
      <colorScale>
        <cfvo type="num" val="-0.1"/>
        <cfvo type="num" val="0"/>
        <cfvo type="num" val="0.1"/>
        <color rgb="FFF8696B"/>
        <color rgb="FFFFEB84"/>
        <color rgb="FF63BE7B"/>
      </colorScale>
    </cfRule>
  </conditionalFormatting>
  <conditionalFormatting sqref="Q295">
    <cfRule type="colorScale" priority="249">
      <colorScale>
        <cfvo type="num" val="-0.1"/>
        <cfvo type="num" val="0"/>
        <cfvo type="num" val="0.1"/>
        <color rgb="FFF8696B"/>
        <color rgb="FFFFEB84"/>
        <color rgb="FF63BE7B"/>
      </colorScale>
    </cfRule>
  </conditionalFormatting>
  <conditionalFormatting sqref="Q296">
    <cfRule type="colorScale" priority="246">
      <colorScale>
        <cfvo type="num" val="-0.1"/>
        <cfvo type="num" val="0"/>
        <cfvo type="num" val="0.1"/>
        <color rgb="FFF8696B"/>
        <color rgb="FFFFEB84"/>
        <color rgb="FF63BE7B"/>
      </colorScale>
    </cfRule>
  </conditionalFormatting>
  <conditionalFormatting sqref="Q297:Q298">
    <cfRule type="colorScale" priority="248">
      <colorScale>
        <cfvo type="num" val="-0.1"/>
        <cfvo type="num" val="0"/>
        <cfvo type="num" val="0.1"/>
        <color rgb="FFF8696B"/>
        <color rgb="FFFFEB84"/>
        <color rgb="FF63BE7B"/>
      </colorScale>
    </cfRule>
  </conditionalFormatting>
  <conditionalFormatting sqref="Q298">
    <cfRule type="colorScale" priority="253">
      <colorScale>
        <cfvo type="num" val="-0.1"/>
        <cfvo type="num" val="0"/>
        <cfvo type="num" val="0.1"/>
        <color rgb="FFF8696B"/>
        <color rgb="FFFFEB84"/>
        <color rgb="FF63BE7B"/>
      </colorScale>
    </cfRule>
  </conditionalFormatting>
  <conditionalFormatting sqref="Q299">
    <cfRule type="colorScale" priority="247">
      <colorScale>
        <cfvo type="num" val="-0.1"/>
        <cfvo type="num" val="0"/>
        <cfvo type="num" val="0.1"/>
        <color rgb="FFF8696B"/>
        <color rgb="FFFFEB84"/>
        <color rgb="FF63BE7B"/>
      </colorScale>
    </cfRule>
  </conditionalFormatting>
  <conditionalFormatting sqref="Q300:Q301">
    <cfRule type="colorScale" priority="254">
      <colorScale>
        <cfvo type="num" val="-0.1"/>
        <cfvo type="num" val="0"/>
        <cfvo type="num" val="0.1"/>
        <color rgb="FFF8696B"/>
        <color rgb="FFFFEB84"/>
        <color rgb="FF63BE7B"/>
      </colorScale>
    </cfRule>
  </conditionalFormatting>
  <conditionalFormatting sqref="Q301:Q303 Q305:Q306">
    <cfRule type="colorScale" priority="261">
      <colorScale>
        <cfvo type="num" val="-0.1"/>
        <cfvo type="num" val="0"/>
        <cfvo type="num" val="0.1"/>
        <color rgb="FFF8696B"/>
        <color rgb="FFFFEB84"/>
        <color rgb="FF63BE7B"/>
      </colorScale>
    </cfRule>
  </conditionalFormatting>
  <conditionalFormatting sqref="Q304">
    <cfRule type="colorScale" priority="250">
      <colorScale>
        <cfvo type="num" val="-0.1"/>
        <cfvo type="num" val="0"/>
        <cfvo type="num" val="0.1"/>
        <color rgb="FFF8696B"/>
        <color rgb="FFFFEB84"/>
        <color rgb="FF63BE7B"/>
      </colorScale>
    </cfRule>
  </conditionalFormatting>
  <conditionalFormatting sqref="Q307:Q308">
    <cfRule type="colorScale" priority="238">
      <colorScale>
        <cfvo type="num" val="-0.1"/>
        <cfvo type="num" val="0"/>
        <cfvo type="num" val="0.1"/>
        <color rgb="FFF8696B"/>
        <color rgb="FFFFEB84"/>
        <color rgb="FF63BE7B"/>
      </colorScale>
    </cfRule>
  </conditionalFormatting>
  <conditionalFormatting sqref="Q309">
    <cfRule type="colorScale" priority="240">
      <colorScale>
        <cfvo type="num" val="-0.1"/>
        <cfvo type="num" val="0"/>
        <cfvo type="num" val="0.1"/>
        <color rgb="FFF8696B"/>
        <color rgb="FFFFEB84"/>
        <color rgb="FF63BE7B"/>
      </colorScale>
    </cfRule>
    <cfRule type="colorScale" priority="239">
      <colorScale>
        <cfvo type="num" val="-0.1"/>
        <cfvo type="num" val="0"/>
        <cfvo type="num" val="0.1"/>
        <color rgb="FFF8696B"/>
        <color rgb="FFFFEB84"/>
        <color rgb="FF63BE7B"/>
      </colorScale>
    </cfRule>
  </conditionalFormatting>
  <conditionalFormatting sqref="Q310">
    <cfRule type="colorScale" priority="243">
      <colorScale>
        <cfvo type="num" val="-0.1"/>
        <cfvo type="num" val="0"/>
        <cfvo type="num" val="0.1"/>
        <color rgb="FFF8696B"/>
        <color rgb="FFFFEB84"/>
        <color rgb="FF63BE7B"/>
      </colorScale>
    </cfRule>
  </conditionalFormatting>
  <conditionalFormatting sqref="Q311">
    <cfRule type="colorScale" priority="242">
      <colorScale>
        <cfvo type="num" val="-0.1"/>
        <cfvo type="num" val="0"/>
        <cfvo type="num" val="0.1"/>
        <color rgb="FFF8696B"/>
        <color rgb="FFFFEB84"/>
        <color rgb="FF63BE7B"/>
      </colorScale>
    </cfRule>
  </conditionalFormatting>
  <conditionalFormatting sqref="Q312">
    <cfRule type="colorScale" priority="241">
      <colorScale>
        <cfvo type="num" val="-0.1"/>
        <cfvo type="num" val="0"/>
        <cfvo type="num" val="0.1"/>
        <color rgb="FFF8696B"/>
        <color rgb="FFFFEB84"/>
        <color rgb="FF63BE7B"/>
      </colorScale>
    </cfRule>
  </conditionalFormatting>
  <conditionalFormatting sqref="Q313:Q315">
    <cfRule type="colorScale" priority="244">
      <colorScale>
        <cfvo type="num" val="-0.1"/>
        <cfvo type="num" val="0"/>
        <cfvo type="num" val="0.1"/>
        <color rgb="FFF8696B"/>
        <color rgb="FFFFEB84"/>
        <color rgb="FF63BE7B"/>
      </colorScale>
    </cfRule>
  </conditionalFormatting>
  <conditionalFormatting sqref="Q316">
    <cfRule type="colorScale" priority="237">
      <colorScale>
        <cfvo type="num" val="-0.1"/>
        <cfvo type="num" val="0"/>
        <cfvo type="num" val="0.1"/>
        <color rgb="FFF8696B"/>
        <color rgb="FFFFEB84"/>
        <color rgb="FF63BE7B"/>
      </colorScale>
    </cfRule>
    <cfRule type="colorScale" priority="236">
      <colorScale>
        <cfvo type="num" val="-0.1"/>
        <cfvo type="num" val="0"/>
        <cfvo type="num" val="0.1"/>
        <color rgb="FFF8696B"/>
        <color rgb="FFFFEB84"/>
        <color rgb="FF63BE7B"/>
      </colorScale>
    </cfRule>
  </conditionalFormatting>
  <conditionalFormatting sqref="Q317">
    <cfRule type="colorScale" priority="277">
      <colorScale>
        <cfvo type="num" val="-0.1"/>
        <cfvo type="num" val="0"/>
        <cfvo type="num" val="0.1"/>
        <color rgb="FFF8696B"/>
        <color rgb="FFFFEB84"/>
        <color rgb="FF63BE7B"/>
      </colorScale>
    </cfRule>
  </conditionalFormatting>
  <conditionalFormatting sqref="Q318">
    <cfRule type="colorScale" priority="276">
      <colorScale>
        <cfvo type="num" val="-0.1"/>
        <cfvo type="num" val="0"/>
        <cfvo type="num" val="0.1"/>
        <color rgb="FFF8696B"/>
        <color rgb="FFFFEB84"/>
        <color rgb="FF63BE7B"/>
      </colorScale>
    </cfRule>
  </conditionalFormatting>
  <conditionalFormatting sqref="Q319">
    <cfRule type="colorScale" priority="283">
      <colorScale>
        <cfvo type="num" val="-0.1"/>
        <cfvo type="num" val="0"/>
        <cfvo type="num" val="0.1"/>
        <color rgb="FFF8696B"/>
        <color rgb="FFFFEB84"/>
        <color rgb="FF63BE7B"/>
      </colorScale>
    </cfRule>
  </conditionalFormatting>
  <conditionalFormatting sqref="Q320">
    <cfRule type="colorScale" priority="282">
      <colorScale>
        <cfvo type="num" val="-0.1"/>
        <cfvo type="num" val="0"/>
        <cfvo type="num" val="0.1"/>
        <color rgb="FFF8696B"/>
        <color rgb="FFFFEB84"/>
        <color rgb="FF63BE7B"/>
      </colorScale>
    </cfRule>
  </conditionalFormatting>
  <conditionalFormatting sqref="Q321">
    <cfRule type="colorScale" priority="281">
      <colorScale>
        <cfvo type="num" val="-0.1"/>
        <cfvo type="num" val="0"/>
        <cfvo type="num" val="0.1"/>
        <color rgb="FFF8696B"/>
        <color rgb="FFFFEB84"/>
        <color rgb="FF63BE7B"/>
      </colorScale>
    </cfRule>
  </conditionalFormatting>
  <conditionalFormatting sqref="Q322">
    <cfRule type="colorScale" priority="284">
      <colorScale>
        <cfvo type="num" val="-0.1"/>
        <cfvo type="num" val="0"/>
        <cfvo type="num" val="0.1"/>
        <color rgb="FFF8696B"/>
        <color rgb="FFFFEB84"/>
        <color rgb="FF63BE7B"/>
      </colorScale>
    </cfRule>
  </conditionalFormatting>
  <conditionalFormatting sqref="Q323">
    <cfRule type="colorScale" priority="285">
      <colorScale>
        <cfvo type="num" val="-0.1"/>
        <cfvo type="num" val="0"/>
        <cfvo type="num" val="0.1"/>
        <color rgb="FFF8696B"/>
        <color rgb="FFFFEB84"/>
        <color rgb="FF63BE7B"/>
      </colorScale>
    </cfRule>
  </conditionalFormatting>
  <conditionalFormatting sqref="Q324">
    <cfRule type="colorScale" priority="280">
      <colorScale>
        <cfvo type="num" val="-0.1"/>
        <cfvo type="num" val="0"/>
        <cfvo type="num" val="0.1"/>
        <color rgb="FFF8696B"/>
        <color rgb="FFFFEB84"/>
        <color rgb="FF63BE7B"/>
      </colorScale>
    </cfRule>
  </conditionalFormatting>
  <conditionalFormatting sqref="Q325">
    <cfRule type="colorScale" priority="269">
      <colorScale>
        <cfvo type="num" val="-0.1"/>
        <cfvo type="num" val="0"/>
        <cfvo type="num" val="0.1"/>
        <color rgb="FFF8696B"/>
        <color rgb="FFFFEB84"/>
        <color rgb="FF63BE7B"/>
      </colorScale>
    </cfRule>
  </conditionalFormatting>
  <conditionalFormatting sqref="Q326">
    <cfRule type="colorScale" priority="273">
      <colorScale>
        <cfvo type="num" val="-0.1"/>
        <cfvo type="num" val="0"/>
        <cfvo type="num" val="0.1"/>
        <color rgb="FFF8696B"/>
        <color rgb="FFFFEB84"/>
        <color rgb="FF63BE7B"/>
      </colorScale>
    </cfRule>
  </conditionalFormatting>
  <conditionalFormatting sqref="Q327">
    <cfRule type="colorScale" priority="270">
      <colorScale>
        <cfvo type="num" val="-0.1"/>
        <cfvo type="num" val="0"/>
        <cfvo type="num" val="0.1"/>
        <color rgb="FFF8696B"/>
        <color rgb="FFFFEB84"/>
        <color rgb="FF63BE7B"/>
      </colorScale>
    </cfRule>
  </conditionalFormatting>
  <conditionalFormatting sqref="Q328:Q329">
    <cfRule type="colorScale" priority="272">
      <colorScale>
        <cfvo type="num" val="-0.1"/>
        <cfvo type="num" val="0"/>
        <cfvo type="num" val="0.1"/>
        <color rgb="FFF8696B"/>
        <color rgb="FFFFEB84"/>
        <color rgb="FF63BE7B"/>
      </colorScale>
    </cfRule>
  </conditionalFormatting>
  <conditionalFormatting sqref="Q329">
    <cfRule type="colorScale" priority="278">
      <colorScale>
        <cfvo type="num" val="-0.1"/>
        <cfvo type="num" val="0"/>
        <cfvo type="num" val="0.1"/>
        <color rgb="FFF8696B"/>
        <color rgb="FFFFEB84"/>
        <color rgb="FF63BE7B"/>
      </colorScale>
    </cfRule>
  </conditionalFormatting>
  <conditionalFormatting sqref="Q330">
    <cfRule type="colorScale" priority="271">
      <colorScale>
        <cfvo type="num" val="-0.1"/>
        <cfvo type="num" val="0"/>
        <cfvo type="num" val="0.1"/>
        <color rgb="FFF8696B"/>
        <color rgb="FFFFEB84"/>
        <color rgb="FF63BE7B"/>
      </colorScale>
    </cfRule>
  </conditionalFormatting>
  <conditionalFormatting sqref="Q331:Q332">
    <cfRule type="colorScale" priority="279">
      <colorScale>
        <cfvo type="num" val="-0.1"/>
        <cfvo type="num" val="0"/>
        <cfvo type="num" val="0.1"/>
        <color rgb="FFF8696B"/>
        <color rgb="FFFFEB84"/>
        <color rgb="FF63BE7B"/>
      </colorScale>
    </cfRule>
  </conditionalFormatting>
  <conditionalFormatting sqref="Q332:Q334 Q336:Q337 Q347">
    <cfRule type="colorScale" priority="286">
      <colorScale>
        <cfvo type="num" val="-0.1"/>
        <cfvo type="num" val="0"/>
        <cfvo type="num" val="0.1"/>
        <color rgb="FFF8696B"/>
        <color rgb="FFFFEB84"/>
        <color rgb="FF63BE7B"/>
      </colorScale>
    </cfRule>
  </conditionalFormatting>
  <conditionalFormatting sqref="Q335">
    <cfRule type="colorScale" priority="275">
      <colorScale>
        <cfvo type="num" val="-0.1"/>
        <cfvo type="num" val="0"/>
        <cfvo type="num" val="0.1"/>
        <color rgb="FFF8696B"/>
        <color rgb="FFFFEB84"/>
        <color rgb="FF63BE7B"/>
      </colorScale>
    </cfRule>
  </conditionalFormatting>
  <conditionalFormatting sqref="Q338:Q339">
    <cfRule type="colorScale" priority="262">
      <colorScale>
        <cfvo type="num" val="-0.1"/>
        <cfvo type="num" val="0"/>
        <cfvo type="num" val="0.1"/>
        <color rgb="FFF8696B"/>
        <color rgb="FFFFEB84"/>
        <color rgb="FF63BE7B"/>
      </colorScale>
    </cfRule>
  </conditionalFormatting>
  <conditionalFormatting sqref="Q340">
    <cfRule type="colorScale" priority="263">
      <colorScale>
        <cfvo type="num" val="-0.1"/>
        <cfvo type="num" val="0"/>
        <cfvo type="num" val="0.1"/>
        <color rgb="FFF8696B"/>
        <color rgb="FFFFEB84"/>
        <color rgb="FF63BE7B"/>
      </colorScale>
    </cfRule>
    <cfRule type="colorScale" priority="264">
      <colorScale>
        <cfvo type="num" val="-0.1"/>
        <cfvo type="num" val="0"/>
        <cfvo type="num" val="0.1"/>
        <color rgb="FFF8696B"/>
        <color rgb="FFFFEB84"/>
        <color rgb="FF63BE7B"/>
      </colorScale>
    </cfRule>
  </conditionalFormatting>
  <conditionalFormatting sqref="Q341">
    <cfRule type="colorScale" priority="267">
      <colorScale>
        <cfvo type="num" val="-0.1"/>
        <cfvo type="num" val="0"/>
        <cfvo type="num" val="0.1"/>
        <color rgb="FFF8696B"/>
        <color rgb="FFFFEB84"/>
        <color rgb="FF63BE7B"/>
      </colorScale>
    </cfRule>
  </conditionalFormatting>
  <conditionalFormatting sqref="Q342">
    <cfRule type="colorScale" priority="266">
      <colorScale>
        <cfvo type="num" val="-0.1"/>
        <cfvo type="num" val="0"/>
        <cfvo type="num" val="0.1"/>
        <color rgb="FFF8696B"/>
        <color rgb="FFFFEB84"/>
        <color rgb="FF63BE7B"/>
      </colorScale>
    </cfRule>
  </conditionalFormatting>
  <conditionalFormatting sqref="Q343">
    <cfRule type="colorScale" priority="265">
      <colorScale>
        <cfvo type="num" val="-0.1"/>
        <cfvo type="num" val="0"/>
        <cfvo type="num" val="0.1"/>
        <color rgb="FFF8696B"/>
        <color rgb="FFFFEB84"/>
        <color rgb="FF63BE7B"/>
      </colorScale>
    </cfRule>
  </conditionalFormatting>
  <conditionalFormatting sqref="Q344:Q346">
    <cfRule type="colorScale" priority="268">
      <colorScale>
        <cfvo type="num" val="-0.1"/>
        <cfvo type="num" val="0"/>
        <cfvo type="num" val="0.1"/>
        <color rgb="FFF8696B"/>
        <color rgb="FFFFEB84"/>
        <color rgb="FF63BE7B"/>
      </colorScale>
    </cfRule>
  </conditionalFormatting>
  <conditionalFormatting sqref="Q347">
    <cfRule type="colorScale" priority="274">
      <colorScale>
        <cfvo type="num" val="-0.1"/>
        <cfvo type="num" val="0"/>
        <cfvo type="num" val="0.1"/>
        <color rgb="FFF8696B"/>
        <color rgb="FFFFEB84"/>
        <color rgb="FF63BE7B"/>
      </colorScale>
    </cfRule>
  </conditionalFormatting>
  <conditionalFormatting sqref="Q348">
    <cfRule type="colorScale" priority="302">
      <colorScale>
        <cfvo type="num" val="-0.1"/>
        <cfvo type="num" val="0"/>
        <cfvo type="num" val="0.1"/>
        <color rgb="FFF8696B"/>
        <color rgb="FFFFEB84"/>
        <color rgb="FF63BE7B"/>
      </colorScale>
    </cfRule>
  </conditionalFormatting>
  <conditionalFormatting sqref="Q349">
    <cfRule type="colorScale" priority="301">
      <colorScale>
        <cfvo type="num" val="-0.1"/>
        <cfvo type="num" val="0"/>
        <cfvo type="num" val="0.1"/>
        <color rgb="FFF8696B"/>
        <color rgb="FFFFEB84"/>
        <color rgb="FF63BE7B"/>
      </colorScale>
    </cfRule>
  </conditionalFormatting>
  <conditionalFormatting sqref="Q350">
    <cfRule type="colorScale" priority="308">
      <colorScale>
        <cfvo type="num" val="-0.1"/>
        <cfvo type="num" val="0"/>
        <cfvo type="num" val="0.1"/>
        <color rgb="FFF8696B"/>
        <color rgb="FFFFEB84"/>
        <color rgb="FF63BE7B"/>
      </colorScale>
    </cfRule>
  </conditionalFormatting>
  <conditionalFormatting sqref="Q351">
    <cfRule type="colorScale" priority="307">
      <colorScale>
        <cfvo type="num" val="-0.1"/>
        <cfvo type="num" val="0"/>
        <cfvo type="num" val="0.1"/>
        <color rgb="FFF8696B"/>
        <color rgb="FFFFEB84"/>
        <color rgb="FF63BE7B"/>
      </colorScale>
    </cfRule>
  </conditionalFormatting>
  <conditionalFormatting sqref="Q352">
    <cfRule type="colorScale" priority="306">
      <colorScale>
        <cfvo type="num" val="-0.1"/>
        <cfvo type="num" val="0"/>
        <cfvo type="num" val="0.1"/>
        <color rgb="FFF8696B"/>
        <color rgb="FFFFEB84"/>
        <color rgb="FF63BE7B"/>
      </colorScale>
    </cfRule>
  </conditionalFormatting>
  <conditionalFormatting sqref="Q353">
    <cfRule type="colorScale" priority="309">
      <colorScale>
        <cfvo type="num" val="-0.1"/>
        <cfvo type="num" val="0"/>
        <cfvo type="num" val="0.1"/>
        <color rgb="FFF8696B"/>
        <color rgb="FFFFEB84"/>
        <color rgb="FF63BE7B"/>
      </colorScale>
    </cfRule>
  </conditionalFormatting>
  <conditionalFormatting sqref="Q354">
    <cfRule type="colorScale" priority="310">
      <colorScale>
        <cfvo type="num" val="-0.1"/>
        <cfvo type="num" val="0"/>
        <cfvo type="num" val="0.1"/>
        <color rgb="FFF8696B"/>
        <color rgb="FFFFEB84"/>
        <color rgb="FF63BE7B"/>
      </colorScale>
    </cfRule>
  </conditionalFormatting>
  <conditionalFormatting sqref="Q355">
    <cfRule type="colorScale" priority="305">
      <colorScale>
        <cfvo type="num" val="-0.1"/>
        <cfvo type="num" val="0"/>
        <cfvo type="num" val="0.1"/>
        <color rgb="FFF8696B"/>
        <color rgb="FFFFEB84"/>
        <color rgb="FF63BE7B"/>
      </colorScale>
    </cfRule>
  </conditionalFormatting>
  <conditionalFormatting sqref="Q356">
    <cfRule type="colorScale" priority="294">
      <colorScale>
        <cfvo type="num" val="-0.1"/>
        <cfvo type="num" val="0"/>
        <cfvo type="num" val="0.1"/>
        <color rgb="FFF8696B"/>
        <color rgb="FFFFEB84"/>
        <color rgb="FF63BE7B"/>
      </colorScale>
    </cfRule>
  </conditionalFormatting>
  <conditionalFormatting sqref="Q357">
    <cfRule type="colorScale" priority="298">
      <colorScale>
        <cfvo type="num" val="-0.1"/>
        <cfvo type="num" val="0"/>
        <cfvo type="num" val="0.1"/>
        <color rgb="FFF8696B"/>
        <color rgb="FFFFEB84"/>
        <color rgb="FF63BE7B"/>
      </colorScale>
    </cfRule>
  </conditionalFormatting>
  <conditionalFormatting sqref="Q358">
    <cfRule type="colorScale" priority="295">
      <colorScale>
        <cfvo type="num" val="-0.1"/>
        <cfvo type="num" val="0"/>
        <cfvo type="num" val="0.1"/>
        <color rgb="FFF8696B"/>
        <color rgb="FFFFEB84"/>
        <color rgb="FF63BE7B"/>
      </colorScale>
    </cfRule>
  </conditionalFormatting>
  <conditionalFormatting sqref="Q359:Q360">
    <cfRule type="colorScale" priority="297">
      <colorScale>
        <cfvo type="num" val="-0.1"/>
        <cfvo type="num" val="0"/>
        <cfvo type="num" val="0.1"/>
        <color rgb="FFF8696B"/>
        <color rgb="FFFFEB84"/>
        <color rgb="FF63BE7B"/>
      </colorScale>
    </cfRule>
  </conditionalFormatting>
  <conditionalFormatting sqref="Q360">
    <cfRule type="colorScale" priority="303">
      <colorScale>
        <cfvo type="num" val="-0.1"/>
        <cfvo type="num" val="0"/>
        <cfvo type="num" val="0.1"/>
        <color rgb="FFF8696B"/>
        <color rgb="FFFFEB84"/>
        <color rgb="FF63BE7B"/>
      </colorScale>
    </cfRule>
  </conditionalFormatting>
  <conditionalFormatting sqref="Q361">
    <cfRule type="colorScale" priority="296">
      <colorScale>
        <cfvo type="num" val="-0.1"/>
        <cfvo type="num" val="0"/>
        <cfvo type="num" val="0.1"/>
        <color rgb="FFF8696B"/>
        <color rgb="FFFFEB84"/>
        <color rgb="FF63BE7B"/>
      </colorScale>
    </cfRule>
  </conditionalFormatting>
  <conditionalFormatting sqref="Q362:Q363">
    <cfRule type="colorScale" priority="304">
      <colorScale>
        <cfvo type="num" val="-0.1"/>
        <cfvo type="num" val="0"/>
        <cfvo type="num" val="0.1"/>
        <color rgb="FFF8696B"/>
        <color rgb="FFFFEB84"/>
        <color rgb="FF63BE7B"/>
      </colorScale>
    </cfRule>
  </conditionalFormatting>
  <conditionalFormatting sqref="Q363:Q365 Q367:Q368 Q378">
    <cfRule type="colorScale" priority="311">
      <colorScale>
        <cfvo type="num" val="-0.1"/>
        <cfvo type="num" val="0"/>
        <cfvo type="num" val="0.1"/>
        <color rgb="FFF8696B"/>
        <color rgb="FFFFEB84"/>
        <color rgb="FF63BE7B"/>
      </colorScale>
    </cfRule>
  </conditionalFormatting>
  <conditionalFormatting sqref="Q366">
    <cfRule type="colorScale" priority="300">
      <colorScale>
        <cfvo type="num" val="-0.1"/>
        <cfvo type="num" val="0"/>
        <cfvo type="num" val="0.1"/>
        <color rgb="FFF8696B"/>
        <color rgb="FFFFEB84"/>
        <color rgb="FF63BE7B"/>
      </colorScale>
    </cfRule>
  </conditionalFormatting>
  <conditionalFormatting sqref="Q369:Q370">
    <cfRule type="colorScale" priority="287">
      <colorScale>
        <cfvo type="num" val="-0.1"/>
        <cfvo type="num" val="0"/>
        <cfvo type="num" val="0.1"/>
        <color rgb="FFF8696B"/>
        <color rgb="FFFFEB84"/>
        <color rgb="FF63BE7B"/>
      </colorScale>
    </cfRule>
  </conditionalFormatting>
  <conditionalFormatting sqref="Q371">
    <cfRule type="colorScale" priority="289">
      <colorScale>
        <cfvo type="num" val="-0.1"/>
        <cfvo type="num" val="0"/>
        <cfvo type="num" val="0.1"/>
        <color rgb="FFF8696B"/>
        <color rgb="FFFFEB84"/>
        <color rgb="FF63BE7B"/>
      </colorScale>
    </cfRule>
    <cfRule type="colorScale" priority="288">
      <colorScale>
        <cfvo type="num" val="-0.1"/>
        <cfvo type="num" val="0"/>
        <cfvo type="num" val="0.1"/>
        <color rgb="FFF8696B"/>
        <color rgb="FFFFEB84"/>
        <color rgb="FF63BE7B"/>
      </colorScale>
    </cfRule>
  </conditionalFormatting>
  <conditionalFormatting sqref="Q372">
    <cfRule type="colorScale" priority="292">
      <colorScale>
        <cfvo type="num" val="-0.1"/>
        <cfvo type="num" val="0"/>
        <cfvo type="num" val="0.1"/>
        <color rgb="FFF8696B"/>
        <color rgb="FFFFEB84"/>
        <color rgb="FF63BE7B"/>
      </colorScale>
    </cfRule>
  </conditionalFormatting>
  <conditionalFormatting sqref="Q373">
    <cfRule type="colorScale" priority="291">
      <colorScale>
        <cfvo type="num" val="-0.1"/>
        <cfvo type="num" val="0"/>
        <cfvo type="num" val="0.1"/>
        <color rgb="FFF8696B"/>
        <color rgb="FFFFEB84"/>
        <color rgb="FF63BE7B"/>
      </colorScale>
    </cfRule>
  </conditionalFormatting>
  <conditionalFormatting sqref="Q374">
    <cfRule type="colorScale" priority="290">
      <colorScale>
        <cfvo type="num" val="-0.1"/>
        <cfvo type="num" val="0"/>
        <cfvo type="num" val="0.1"/>
        <color rgb="FFF8696B"/>
        <color rgb="FFFFEB84"/>
        <color rgb="FF63BE7B"/>
      </colorScale>
    </cfRule>
  </conditionalFormatting>
  <conditionalFormatting sqref="Q375:Q377">
    <cfRule type="colorScale" priority="293">
      <colorScale>
        <cfvo type="num" val="-0.1"/>
        <cfvo type="num" val="0"/>
        <cfvo type="num" val="0.1"/>
        <color rgb="FFF8696B"/>
        <color rgb="FFFFEB84"/>
        <color rgb="FF63BE7B"/>
      </colorScale>
    </cfRule>
  </conditionalFormatting>
  <conditionalFormatting sqref="Q378">
    <cfRule type="colorScale" priority="299">
      <colorScale>
        <cfvo type="num" val="-0.1"/>
        <cfvo type="num" val="0"/>
        <cfvo type="num" val="0.1"/>
        <color rgb="FFF8696B"/>
        <color rgb="FFFFEB84"/>
        <color rgb="FF63BE7B"/>
      </colorScale>
    </cfRule>
  </conditionalFormatting>
  <conditionalFormatting sqref="Q379">
    <cfRule type="colorScale" priority="327">
      <colorScale>
        <cfvo type="num" val="-0.1"/>
        <cfvo type="num" val="0"/>
        <cfvo type="num" val="0.1"/>
        <color rgb="FFF8696B"/>
        <color rgb="FFFFEB84"/>
        <color rgb="FF63BE7B"/>
      </colorScale>
    </cfRule>
  </conditionalFormatting>
  <conditionalFormatting sqref="Q380">
    <cfRule type="colorScale" priority="326">
      <colorScale>
        <cfvo type="num" val="-0.1"/>
        <cfvo type="num" val="0"/>
        <cfvo type="num" val="0.1"/>
        <color rgb="FFF8696B"/>
        <color rgb="FFFFEB84"/>
        <color rgb="FF63BE7B"/>
      </colorScale>
    </cfRule>
  </conditionalFormatting>
  <conditionalFormatting sqref="Q381">
    <cfRule type="colorScale" priority="334">
      <colorScale>
        <cfvo type="num" val="-0.1"/>
        <cfvo type="num" val="0"/>
        <cfvo type="num" val="0.1"/>
        <color rgb="FFF8696B"/>
        <color rgb="FFFFEB84"/>
        <color rgb="FF63BE7B"/>
      </colorScale>
    </cfRule>
  </conditionalFormatting>
  <conditionalFormatting sqref="Q382">
    <cfRule type="colorScale" priority="333">
      <colorScale>
        <cfvo type="num" val="-0.1"/>
        <cfvo type="num" val="0"/>
        <cfvo type="num" val="0.1"/>
        <color rgb="FFF8696B"/>
        <color rgb="FFFFEB84"/>
        <color rgb="FF63BE7B"/>
      </colorScale>
    </cfRule>
  </conditionalFormatting>
  <conditionalFormatting sqref="Q383">
    <cfRule type="colorScale" priority="332">
      <colorScale>
        <cfvo type="num" val="-0.1"/>
        <cfvo type="num" val="0"/>
        <cfvo type="num" val="0.1"/>
        <color rgb="FFF8696B"/>
        <color rgb="FFFFEB84"/>
        <color rgb="FF63BE7B"/>
      </colorScale>
    </cfRule>
  </conditionalFormatting>
  <conditionalFormatting sqref="Q384">
    <cfRule type="colorScale" priority="335">
      <colorScale>
        <cfvo type="num" val="-0.1"/>
        <cfvo type="num" val="0"/>
        <cfvo type="num" val="0.1"/>
        <color rgb="FFF8696B"/>
        <color rgb="FFFFEB84"/>
        <color rgb="FF63BE7B"/>
      </colorScale>
    </cfRule>
  </conditionalFormatting>
  <conditionalFormatting sqref="Q385">
    <cfRule type="colorScale" priority="336">
      <colorScale>
        <cfvo type="num" val="-0.1"/>
        <cfvo type="num" val="0"/>
        <cfvo type="num" val="0.1"/>
        <color rgb="FFF8696B"/>
        <color rgb="FFFFEB84"/>
        <color rgb="FF63BE7B"/>
      </colorScale>
    </cfRule>
  </conditionalFormatting>
  <conditionalFormatting sqref="Q386">
    <cfRule type="colorScale" priority="331">
      <colorScale>
        <cfvo type="num" val="-0.1"/>
        <cfvo type="num" val="0"/>
        <cfvo type="num" val="0.1"/>
        <color rgb="FFF8696B"/>
        <color rgb="FFFFEB84"/>
        <color rgb="FF63BE7B"/>
      </colorScale>
    </cfRule>
  </conditionalFormatting>
  <conditionalFormatting sqref="Q387">
    <cfRule type="colorScale" priority="319">
      <colorScale>
        <cfvo type="num" val="-0.1"/>
        <cfvo type="num" val="0"/>
        <cfvo type="num" val="0.1"/>
        <color rgb="FFF8696B"/>
        <color rgb="FFFFEB84"/>
        <color rgb="FF63BE7B"/>
      </colorScale>
    </cfRule>
  </conditionalFormatting>
  <conditionalFormatting sqref="Q388">
    <cfRule type="colorScale" priority="323">
      <colorScale>
        <cfvo type="num" val="-0.1"/>
        <cfvo type="num" val="0"/>
        <cfvo type="num" val="0.1"/>
        <color rgb="FFF8696B"/>
        <color rgb="FFFFEB84"/>
        <color rgb="FF63BE7B"/>
      </colorScale>
    </cfRule>
  </conditionalFormatting>
  <conditionalFormatting sqref="Q389">
    <cfRule type="colorScale" priority="320">
      <colorScale>
        <cfvo type="num" val="-0.1"/>
        <cfvo type="num" val="0"/>
        <cfvo type="num" val="0.1"/>
        <color rgb="FFF8696B"/>
        <color rgb="FFFFEB84"/>
        <color rgb="FF63BE7B"/>
      </colorScale>
    </cfRule>
  </conditionalFormatting>
  <conditionalFormatting sqref="Q390:Q391">
    <cfRule type="colorScale" priority="322">
      <colorScale>
        <cfvo type="num" val="-0.1"/>
        <cfvo type="num" val="0"/>
        <cfvo type="num" val="0.1"/>
        <color rgb="FFF8696B"/>
        <color rgb="FFFFEB84"/>
        <color rgb="FF63BE7B"/>
      </colorScale>
    </cfRule>
  </conditionalFormatting>
  <conditionalFormatting sqref="Q391">
    <cfRule type="colorScale" priority="328">
      <colorScale>
        <cfvo type="num" val="-0.1"/>
        <cfvo type="num" val="0"/>
        <cfvo type="num" val="0.1"/>
        <color rgb="FFF8696B"/>
        <color rgb="FFFFEB84"/>
        <color rgb="FF63BE7B"/>
      </colorScale>
    </cfRule>
  </conditionalFormatting>
  <conditionalFormatting sqref="Q392">
    <cfRule type="colorScale" priority="321">
      <colorScale>
        <cfvo type="num" val="-0.1"/>
        <cfvo type="num" val="0"/>
        <cfvo type="num" val="0.1"/>
        <color rgb="FFF8696B"/>
        <color rgb="FFFFEB84"/>
        <color rgb="FF63BE7B"/>
      </colorScale>
    </cfRule>
  </conditionalFormatting>
  <conditionalFormatting sqref="Q393:Q394">
    <cfRule type="colorScale" priority="329">
      <colorScale>
        <cfvo type="num" val="-0.1"/>
        <cfvo type="num" val="0"/>
        <cfvo type="num" val="0.1"/>
        <color rgb="FFF8696B"/>
        <color rgb="FFFFEB84"/>
        <color rgb="FF63BE7B"/>
      </colorScale>
    </cfRule>
  </conditionalFormatting>
  <conditionalFormatting sqref="Q394:Q396 Q398:Q399 Q409">
    <cfRule type="colorScale" priority="337">
      <colorScale>
        <cfvo type="num" val="-0.1"/>
        <cfvo type="num" val="0"/>
        <cfvo type="num" val="0.1"/>
        <color rgb="FFF8696B"/>
        <color rgb="FFFFEB84"/>
        <color rgb="FF63BE7B"/>
      </colorScale>
    </cfRule>
  </conditionalFormatting>
  <conditionalFormatting sqref="Q397">
    <cfRule type="colorScale" priority="325">
      <colorScale>
        <cfvo type="num" val="-0.1"/>
        <cfvo type="num" val="0"/>
        <cfvo type="num" val="0.1"/>
        <color rgb="FFF8696B"/>
        <color rgb="FFFFEB84"/>
        <color rgb="FF63BE7B"/>
      </colorScale>
    </cfRule>
  </conditionalFormatting>
  <conditionalFormatting sqref="Q400:Q401">
    <cfRule type="colorScale" priority="312">
      <colorScale>
        <cfvo type="num" val="-0.1"/>
        <cfvo type="num" val="0"/>
        <cfvo type="num" val="0.1"/>
        <color rgb="FFF8696B"/>
        <color rgb="FFFFEB84"/>
        <color rgb="FF63BE7B"/>
      </colorScale>
    </cfRule>
  </conditionalFormatting>
  <conditionalFormatting sqref="Q402">
    <cfRule type="colorScale" priority="314">
      <colorScale>
        <cfvo type="num" val="-0.1"/>
        <cfvo type="num" val="0"/>
        <cfvo type="num" val="0.1"/>
        <color rgb="FFF8696B"/>
        <color rgb="FFFFEB84"/>
        <color rgb="FF63BE7B"/>
      </colorScale>
    </cfRule>
    <cfRule type="colorScale" priority="313">
      <colorScale>
        <cfvo type="num" val="-0.1"/>
        <cfvo type="num" val="0"/>
        <cfvo type="num" val="0.1"/>
        <color rgb="FFF8696B"/>
        <color rgb="FFFFEB84"/>
        <color rgb="FF63BE7B"/>
      </colorScale>
    </cfRule>
  </conditionalFormatting>
  <conditionalFormatting sqref="Q403">
    <cfRule type="colorScale" priority="317">
      <colorScale>
        <cfvo type="num" val="-0.1"/>
        <cfvo type="num" val="0"/>
        <cfvo type="num" val="0.1"/>
        <color rgb="FFF8696B"/>
        <color rgb="FFFFEB84"/>
        <color rgb="FF63BE7B"/>
      </colorScale>
    </cfRule>
  </conditionalFormatting>
  <conditionalFormatting sqref="Q404">
    <cfRule type="colorScale" priority="316">
      <colorScale>
        <cfvo type="num" val="-0.1"/>
        <cfvo type="num" val="0"/>
        <cfvo type="num" val="0.1"/>
        <color rgb="FFF8696B"/>
        <color rgb="FFFFEB84"/>
        <color rgb="FF63BE7B"/>
      </colorScale>
    </cfRule>
  </conditionalFormatting>
  <conditionalFormatting sqref="Q405">
    <cfRule type="colorScale" priority="315">
      <colorScale>
        <cfvo type="num" val="-0.1"/>
        <cfvo type="num" val="0"/>
        <cfvo type="num" val="0.1"/>
        <color rgb="FFF8696B"/>
        <color rgb="FFFFEB84"/>
        <color rgb="FF63BE7B"/>
      </colorScale>
    </cfRule>
  </conditionalFormatting>
  <conditionalFormatting sqref="Q406:Q408">
    <cfRule type="colorScale" priority="318">
      <colorScale>
        <cfvo type="num" val="-0.1"/>
        <cfvo type="num" val="0"/>
        <cfvo type="num" val="0.1"/>
        <color rgb="FFF8696B"/>
        <color rgb="FFFFEB84"/>
        <color rgb="FF63BE7B"/>
      </colorScale>
    </cfRule>
  </conditionalFormatting>
  <conditionalFormatting sqref="Q409">
    <cfRule type="colorScale" priority="324">
      <colorScale>
        <cfvo type="num" val="-0.1"/>
        <cfvo type="num" val="0"/>
        <cfvo type="num" val="0.1"/>
        <color rgb="FFF8696B"/>
        <color rgb="FFFFEB84"/>
        <color rgb="FF63BE7B"/>
      </colorScale>
    </cfRule>
  </conditionalFormatting>
  <conditionalFormatting sqref="Q410">
    <cfRule type="colorScale" priority="353">
      <colorScale>
        <cfvo type="num" val="-0.1"/>
        <cfvo type="num" val="0"/>
        <cfvo type="num" val="0.1"/>
        <color rgb="FFF8696B"/>
        <color rgb="FFFFEB84"/>
        <color rgb="FF63BE7B"/>
      </colorScale>
    </cfRule>
  </conditionalFormatting>
  <conditionalFormatting sqref="Q411">
    <cfRule type="colorScale" priority="352">
      <colorScale>
        <cfvo type="num" val="-0.1"/>
        <cfvo type="num" val="0"/>
        <cfvo type="num" val="0.1"/>
        <color rgb="FFF8696B"/>
        <color rgb="FFFFEB84"/>
        <color rgb="FF63BE7B"/>
      </colorScale>
    </cfRule>
  </conditionalFormatting>
  <conditionalFormatting sqref="Q412">
    <cfRule type="colorScale" priority="360">
      <colorScale>
        <cfvo type="num" val="-0.1"/>
        <cfvo type="num" val="0"/>
        <cfvo type="num" val="0.1"/>
        <color rgb="FFF8696B"/>
        <color rgb="FFFFEB84"/>
        <color rgb="FF63BE7B"/>
      </colorScale>
    </cfRule>
  </conditionalFormatting>
  <conditionalFormatting sqref="Q413">
    <cfRule type="colorScale" priority="359">
      <colorScale>
        <cfvo type="num" val="-0.1"/>
        <cfvo type="num" val="0"/>
        <cfvo type="num" val="0.1"/>
        <color rgb="FFF8696B"/>
        <color rgb="FFFFEB84"/>
        <color rgb="FF63BE7B"/>
      </colorScale>
    </cfRule>
  </conditionalFormatting>
  <conditionalFormatting sqref="Q414">
    <cfRule type="colorScale" priority="358">
      <colorScale>
        <cfvo type="num" val="-0.1"/>
        <cfvo type="num" val="0"/>
        <cfvo type="num" val="0.1"/>
        <color rgb="FFF8696B"/>
        <color rgb="FFFFEB84"/>
        <color rgb="FF63BE7B"/>
      </colorScale>
    </cfRule>
  </conditionalFormatting>
  <conditionalFormatting sqref="Q415">
    <cfRule type="colorScale" priority="361">
      <colorScale>
        <cfvo type="num" val="-0.1"/>
        <cfvo type="num" val="0"/>
        <cfvo type="num" val="0.1"/>
        <color rgb="FFF8696B"/>
        <color rgb="FFFFEB84"/>
        <color rgb="FF63BE7B"/>
      </colorScale>
    </cfRule>
  </conditionalFormatting>
  <conditionalFormatting sqref="Q416">
    <cfRule type="colorScale" priority="362">
      <colorScale>
        <cfvo type="num" val="-0.1"/>
        <cfvo type="num" val="0"/>
        <cfvo type="num" val="0.1"/>
        <color rgb="FFF8696B"/>
        <color rgb="FFFFEB84"/>
        <color rgb="FF63BE7B"/>
      </colorScale>
    </cfRule>
  </conditionalFormatting>
  <conditionalFormatting sqref="Q417">
    <cfRule type="colorScale" priority="357">
      <colorScale>
        <cfvo type="num" val="-0.1"/>
        <cfvo type="num" val="0"/>
        <cfvo type="num" val="0.1"/>
        <color rgb="FFF8696B"/>
        <color rgb="FFFFEB84"/>
        <color rgb="FF63BE7B"/>
      </colorScale>
    </cfRule>
  </conditionalFormatting>
  <conditionalFormatting sqref="Q418">
    <cfRule type="colorScale" priority="356">
      <colorScale>
        <cfvo type="num" val="-0.1"/>
        <cfvo type="num" val="0"/>
        <cfvo type="num" val="0.1"/>
        <color rgb="FFF8696B"/>
        <color rgb="FFFFEB84"/>
        <color rgb="FF63BE7B"/>
      </colorScale>
    </cfRule>
  </conditionalFormatting>
  <conditionalFormatting sqref="Q419">
    <cfRule type="colorScale" priority="345">
      <colorScale>
        <cfvo type="num" val="-0.1"/>
        <cfvo type="num" val="0"/>
        <cfvo type="num" val="0.1"/>
        <color rgb="FFF8696B"/>
        <color rgb="FFFFEB84"/>
        <color rgb="FF63BE7B"/>
      </colorScale>
    </cfRule>
  </conditionalFormatting>
  <conditionalFormatting sqref="Q420">
    <cfRule type="colorScale" priority="349">
      <colorScale>
        <cfvo type="num" val="-0.1"/>
        <cfvo type="num" val="0"/>
        <cfvo type="num" val="0.1"/>
        <color rgb="FFF8696B"/>
        <color rgb="FFFFEB84"/>
        <color rgb="FF63BE7B"/>
      </colorScale>
    </cfRule>
  </conditionalFormatting>
  <conditionalFormatting sqref="Q421">
    <cfRule type="colorScale" priority="346">
      <colorScale>
        <cfvo type="num" val="-0.1"/>
        <cfvo type="num" val="0"/>
        <cfvo type="num" val="0.1"/>
        <color rgb="FFF8696B"/>
        <color rgb="FFFFEB84"/>
        <color rgb="FF63BE7B"/>
      </colorScale>
    </cfRule>
  </conditionalFormatting>
  <conditionalFormatting sqref="Q422:Q423">
    <cfRule type="colorScale" priority="348">
      <colorScale>
        <cfvo type="num" val="-0.1"/>
        <cfvo type="num" val="0"/>
        <cfvo type="num" val="0.1"/>
        <color rgb="FFF8696B"/>
        <color rgb="FFFFEB84"/>
        <color rgb="FF63BE7B"/>
      </colorScale>
    </cfRule>
  </conditionalFormatting>
  <conditionalFormatting sqref="Q423">
    <cfRule type="colorScale" priority="354">
      <colorScale>
        <cfvo type="num" val="-0.1"/>
        <cfvo type="num" val="0"/>
        <cfvo type="num" val="0.1"/>
        <color rgb="FFF8696B"/>
        <color rgb="FFFFEB84"/>
        <color rgb="FF63BE7B"/>
      </colorScale>
    </cfRule>
  </conditionalFormatting>
  <conditionalFormatting sqref="Q424">
    <cfRule type="colorScale" priority="347">
      <colorScale>
        <cfvo type="num" val="-0.1"/>
        <cfvo type="num" val="0"/>
        <cfvo type="num" val="0.1"/>
        <color rgb="FFF8696B"/>
        <color rgb="FFFFEB84"/>
        <color rgb="FF63BE7B"/>
      </colorScale>
    </cfRule>
  </conditionalFormatting>
  <conditionalFormatting sqref="Q425:Q426">
    <cfRule type="colorScale" priority="355">
      <colorScale>
        <cfvo type="num" val="-0.1"/>
        <cfvo type="num" val="0"/>
        <cfvo type="num" val="0.1"/>
        <color rgb="FFF8696B"/>
        <color rgb="FFFFEB84"/>
        <color rgb="FF63BE7B"/>
      </colorScale>
    </cfRule>
  </conditionalFormatting>
  <conditionalFormatting sqref="Q426:Q428 Q430:Q431 Q441">
    <cfRule type="colorScale" priority="363">
      <colorScale>
        <cfvo type="num" val="-0.1"/>
        <cfvo type="num" val="0"/>
        <cfvo type="num" val="0.1"/>
        <color rgb="FFF8696B"/>
        <color rgb="FFFFEB84"/>
        <color rgb="FF63BE7B"/>
      </colorScale>
    </cfRule>
  </conditionalFormatting>
  <conditionalFormatting sqref="Q429">
    <cfRule type="colorScale" priority="351">
      <colorScale>
        <cfvo type="num" val="-0.1"/>
        <cfvo type="num" val="0"/>
        <cfvo type="num" val="0.1"/>
        <color rgb="FFF8696B"/>
        <color rgb="FFFFEB84"/>
        <color rgb="FF63BE7B"/>
      </colorScale>
    </cfRule>
  </conditionalFormatting>
  <conditionalFormatting sqref="Q432:Q433">
    <cfRule type="colorScale" priority="338">
      <colorScale>
        <cfvo type="num" val="-0.1"/>
        <cfvo type="num" val="0"/>
        <cfvo type="num" val="0.1"/>
        <color rgb="FFF8696B"/>
        <color rgb="FFFFEB84"/>
        <color rgb="FF63BE7B"/>
      </colorScale>
    </cfRule>
  </conditionalFormatting>
  <conditionalFormatting sqref="Q434">
    <cfRule type="colorScale" priority="339">
      <colorScale>
        <cfvo type="num" val="-0.1"/>
        <cfvo type="num" val="0"/>
        <cfvo type="num" val="0.1"/>
        <color rgb="FFF8696B"/>
        <color rgb="FFFFEB84"/>
        <color rgb="FF63BE7B"/>
      </colorScale>
    </cfRule>
    <cfRule type="colorScale" priority="340">
      <colorScale>
        <cfvo type="num" val="-0.1"/>
        <cfvo type="num" val="0"/>
        <cfvo type="num" val="0.1"/>
        <color rgb="FFF8696B"/>
        <color rgb="FFFFEB84"/>
        <color rgb="FF63BE7B"/>
      </colorScale>
    </cfRule>
  </conditionalFormatting>
  <conditionalFormatting sqref="Q435">
    <cfRule type="colorScale" priority="343">
      <colorScale>
        <cfvo type="num" val="-0.1"/>
        <cfvo type="num" val="0"/>
        <cfvo type="num" val="0.1"/>
        <color rgb="FFF8696B"/>
        <color rgb="FFFFEB84"/>
        <color rgb="FF63BE7B"/>
      </colorScale>
    </cfRule>
  </conditionalFormatting>
  <conditionalFormatting sqref="Q436">
    <cfRule type="colorScale" priority="342">
      <colorScale>
        <cfvo type="num" val="-0.1"/>
        <cfvo type="num" val="0"/>
        <cfvo type="num" val="0.1"/>
        <color rgb="FFF8696B"/>
        <color rgb="FFFFEB84"/>
        <color rgb="FF63BE7B"/>
      </colorScale>
    </cfRule>
  </conditionalFormatting>
  <conditionalFormatting sqref="Q437">
    <cfRule type="colorScale" priority="341">
      <colorScale>
        <cfvo type="num" val="-0.1"/>
        <cfvo type="num" val="0"/>
        <cfvo type="num" val="0.1"/>
        <color rgb="FFF8696B"/>
        <color rgb="FFFFEB84"/>
        <color rgb="FF63BE7B"/>
      </colorScale>
    </cfRule>
  </conditionalFormatting>
  <conditionalFormatting sqref="Q438:Q440">
    <cfRule type="colorScale" priority="344">
      <colorScale>
        <cfvo type="num" val="-0.1"/>
        <cfvo type="num" val="0"/>
        <cfvo type="num" val="0.1"/>
        <color rgb="FFF8696B"/>
        <color rgb="FFFFEB84"/>
        <color rgb="FF63BE7B"/>
      </colorScale>
    </cfRule>
  </conditionalFormatting>
  <conditionalFormatting sqref="Q441">
    <cfRule type="colorScale" priority="350">
      <colorScale>
        <cfvo type="num" val="-0.1"/>
        <cfvo type="num" val="0"/>
        <cfvo type="num" val="0.1"/>
        <color rgb="FFF8696B"/>
        <color rgb="FFFFEB84"/>
        <color rgb="FF63BE7B"/>
      </colorScale>
    </cfRule>
  </conditionalFormatting>
  <conditionalFormatting sqref="Q442">
    <cfRule type="colorScale" priority="380">
      <colorScale>
        <cfvo type="num" val="-0.1"/>
        <cfvo type="num" val="0"/>
        <cfvo type="num" val="0.1"/>
        <color rgb="FFF8696B"/>
        <color rgb="FFFFEB84"/>
        <color rgb="FF63BE7B"/>
      </colorScale>
    </cfRule>
  </conditionalFormatting>
  <conditionalFormatting sqref="Q443">
    <cfRule type="colorScale" priority="379">
      <colorScale>
        <cfvo type="num" val="-0.1"/>
        <cfvo type="num" val="0"/>
        <cfvo type="num" val="0.1"/>
        <color rgb="FFF8696B"/>
        <color rgb="FFFFEB84"/>
        <color rgb="FF63BE7B"/>
      </colorScale>
    </cfRule>
  </conditionalFormatting>
  <conditionalFormatting sqref="Q444">
    <cfRule type="colorScale" priority="387">
      <colorScale>
        <cfvo type="num" val="-0.1"/>
        <cfvo type="num" val="0"/>
        <cfvo type="num" val="0.1"/>
        <color rgb="FFF8696B"/>
        <color rgb="FFFFEB84"/>
        <color rgb="FF63BE7B"/>
      </colorScale>
    </cfRule>
  </conditionalFormatting>
  <conditionalFormatting sqref="Q445">
    <cfRule type="colorScale" priority="386">
      <colorScale>
        <cfvo type="num" val="-0.1"/>
        <cfvo type="num" val="0"/>
        <cfvo type="num" val="0.1"/>
        <color rgb="FFF8696B"/>
        <color rgb="FFFFEB84"/>
        <color rgb="FF63BE7B"/>
      </colorScale>
    </cfRule>
  </conditionalFormatting>
  <conditionalFormatting sqref="Q446">
    <cfRule type="colorScale" priority="385">
      <colorScale>
        <cfvo type="num" val="-0.1"/>
        <cfvo type="num" val="0"/>
        <cfvo type="num" val="0.1"/>
        <color rgb="FFF8696B"/>
        <color rgb="FFFFEB84"/>
        <color rgb="FF63BE7B"/>
      </colorScale>
    </cfRule>
  </conditionalFormatting>
  <conditionalFormatting sqref="Q447">
    <cfRule type="colorScale" priority="388">
      <colorScale>
        <cfvo type="num" val="-0.1"/>
        <cfvo type="num" val="0"/>
        <cfvo type="num" val="0.1"/>
        <color rgb="FFF8696B"/>
        <color rgb="FFFFEB84"/>
        <color rgb="FF63BE7B"/>
      </colorScale>
    </cfRule>
  </conditionalFormatting>
  <conditionalFormatting sqref="Q448">
    <cfRule type="colorScale" priority="389">
      <colorScale>
        <cfvo type="num" val="-0.1"/>
        <cfvo type="num" val="0"/>
        <cfvo type="num" val="0.1"/>
        <color rgb="FFF8696B"/>
        <color rgb="FFFFEB84"/>
        <color rgb="FF63BE7B"/>
      </colorScale>
    </cfRule>
  </conditionalFormatting>
  <conditionalFormatting sqref="Q449">
    <cfRule type="colorScale" priority="384">
      <colorScale>
        <cfvo type="num" val="-0.1"/>
        <cfvo type="num" val="0"/>
        <cfvo type="num" val="0.1"/>
        <color rgb="FFF8696B"/>
        <color rgb="FFFFEB84"/>
        <color rgb="FF63BE7B"/>
      </colorScale>
    </cfRule>
  </conditionalFormatting>
  <conditionalFormatting sqref="Q450">
    <cfRule type="colorScale" priority="383">
      <colorScale>
        <cfvo type="num" val="-0.1"/>
        <cfvo type="num" val="0"/>
        <cfvo type="num" val="0.1"/>
        <color rgb="FFF8696B"/>
        <color rgb="FFFFEB84"/>
        <color rgb="FF63BE7B"/>
      </colorScale>
    </cfRule>
  </conditionalFormatting>
  <conditionalFormatting sqref="Q451">
    <cfRule type="colorScale" priority="372">
      <colorScale>
        <cfvo type="num" val="-0.1"/>
        <cfvo type="num" val="0"/>
        <cfvo type="num" val="0.1"/>
        <color rgb="FFF8696B"/>
        <color rgb="FFFFEB84"/>
        <color rgb="FF63BE7B"/>
      </colorScale>
    </cfRule>
  </conditionalFormatting>
  <conditionalFormatting sqref="Q452">
    <cfRule type="colorScale" priority="376">
      <colorScale>
        <cfvo type="num" val="-0.1"/>
        <cfvo type="num" val="0"/>
        <cfvo type="num" val="0.1"/>
        <color rgb="FFF8696B"/>
        <color rgb="FFFFEB84"/>
        <color rgb="FF63BE7B"/>
      </colorScale>
    </cfRule>
  </conditionalFormatting>
  <conditionalFormatting sqref="Q453">
    <cfRule type="colorScale" priority="373">
      <colorScale>
        <cfvo type="num" val="-0.1"/>
        <cfvo type="num" val="0"/>
        <cfvo type="num" val="0.1"/>
        <color rgb="FFF8696B"/>
        <color rgb="FFFFEB84"/>
        <color rgb="FF63BE7B"/>
      </colorScale>
    </cfRule>
  </conditionalFormatting>
  <conditionalFormatting sqref="Q454:Q455">
    <cfRule type="colorScale" priority="375">
      <colorScale>
        <cfvo type="num" val="-0.1"/>
        <cfvo type="num" val="0"/>
        <cfvo type="num" val="0.1"/>
        <color rgb="FFF8696B"/>
        <color rgb="FFFFEB84"/>
        <color rgb="FF63BE7B"/>
      </colorScale>
    </cfRule>
  </conditionalFormatting>
  <conditionalFormatting sqref="Q455">
    <cfRule type="colorScale" priority="381">
      <colorScale>
        <cfvo type="num" val="-0.1"/>
        <cfvo type="num" val="0"/>
        <cfvo type="num" val="0.1"/>
        <color rgb="FFF8696B"/>
        <color rgb="FFFFEB84"/>
        <color rgb="FF63BE7B"/>
      </colorScale>
    </cfRule>
  </conditionalFormatting>
  <conditionalFormatting sqref="Q456">
    <cfRule type="colorScale" priority="374">
      <colorScale>
        <cfvo type="num" val="-0.1"/>
        <cfvo type="num" val="0"/>
        <cfvo type="num" val="0.1"/>
        <color rgb="FFF8696B"/>
        <color rgb="FFFFEB84"/>
        <color rgb="FF63BE7B"/>
      </colorScale>
    </cfRule>
  </conditionalFormatting>
  <conditionalFormatting sqref="Q457:Q458">
    <cfRule type="colorScale" priority="382">
      <colorScale>
        <cfvo type="num" val="-0.1"/>
        <cfvo type="num" val="0"/>
        <cfvo type="num" val="0.1"/>
        <color rgb="FFF8696B"/>
        <color rgb="FFFFEB84"/>
        <color rgb="FF63BE7B"/>
      </colorScale>
    </cfRule>
  </conditionalFormatting>
  <conditionalFormatting sqref="Q458:Q460 Q462:Q463 Q473">
    <cfRule type="colorScale" priority="390">
      <colorScale>
        <cfvo type="num" val="-0.1"/>
        <cfvo type="num" val="0"/>
        <cfvo type="num" val="0.1"/>
        <color rgb="FFF8696B"/>
        <color rgb="FFFFEB84"/>
        <color rgb="FF63BE7B"/>
      </colorScale>
    </cfRule>
  </conditionalFormatting>
  <conditionalFormatting sqref="Q461">
    <cfRule type="colorScale" priority="378">
      <colorScale>
        <cfvo type="num" val="-0.1"/>
        <cfvo type="num" val="0"/>
        <cfvo type="num" val="0.1"/>
        <color rgb="FFF8696B"/>
        <color rgb="FFFFEB84"/>
        <color rgb="FF63BE7B"/>
      </colorScale>
    </cfRule>
  </conditionalFormatting>
  <conditionalFormatting sqref="Q464:Q465">
    <cfRule type="colorScale" priority="364">
      <colorScale>
        <cfvo type="num" val="-0.1"/>
        <cfvo type="num" val="0"/>
        <cfvo type="num" val="0.1"/>
        <color rgb="FFF8696B"/>
        <color rgb="FFFFEB84"/>
        <color rgb="FF63BE7B"/>
      </colorScale>
    </cfRule>
  </conditionalFormatting>
  <conditionalFormatting sqref="Q466">
    <cfRule type="colorScale" priority="365">
      <colorScale>
        <cfvo type="num" val="-0.1"/>
        <cfvo type="num" val="0"/>
        <cfvo type="num" val="0.1"/>
        <color rgb="FFF8696B"/>
        <color rgb="FFFFEB84"/>
        <color rgb="FF63BE7B"/>
      </colorScale>
    </cfRule>
    <cfRule type="colorScale" priority="366">
      <colorScale>
        <cfvo type="num" val="-0.1"/>
        <cfvo type="num" val="0"/>
        <cfvo type="num" val="0.1"/>
        <color rgb="FFF8696B"/>
        <color rgb="FFFFEB84"/>
        <color rgb="FF63BE7B"/>
      </colorScale>
    </cfRule>
  </conditionalFormatting>
  <conditionalFormatting sqref="Q467">
    <cfRule type="colorScale" priority="369">
      <colorScale>
        <cfvo type="num" val="-0.1"/>
        <cfvo type="num" val="0"/>
        <cfvo type="num" val="0.1"/>
        <color rgb="FFF8696B"/>
        <color rgb="FFFFEB84"/>
        <color rgb="FF63BE7B"/>
      </colorScale>
    </cfRule>
  </conditionalFormatting>
  <conditionalFormatting sqref="Q468">
    <cfRule type="colorScale" priority="368">
      <colorScale>
        <cfvo type="num" val="-0.1"/>
        <cfvo type="num" val="0"/>
        <cfvo type="num" val="0.1"/>
        <color rgb="FFF8696B"/>
        <color rgb="FFFFEB84"/>
        <color rgb="FF63BE7B"/>
      </colorScale>
    </cfRule>
  </conditionalFormatting>
  <conditionalFormatting sqref="Q469">
    <cfRule type="colorScale" priority="367">
      <colorScale>
        <cfvo type="num" val="-0.1"/>
        <cfvo type="num" val="0"/>
        <cfvo type="num" val="0.1"/>
        <color rgb="FFF8696B"/>
        <color rgb="FFFFEB84"/>
        <color rgb="FF63BE7B"/>
      </colorScale>
    </cfRule>
  </conditionalFormatting>
  <conditionalFormatting sqref="Q470:Q472">
    <cfRule type="colorScale" priority="370">
      <colorScale>
        <cfvo type="num" val="-0.1"/>
        <cfvo type="num" val="0"/>
        <cfvo type="num" val="0.1"/>
        <color rgb="FFF8696B"/>
        <color rgb="FFFFEB84"/>
        <color rgb="FF63BE7B"/>
      </colorScale>
    </cfRule>
  </conditionalFormatting>
  <conditionalFormatting sqref="Q473">
    <cfRule type="colorScale" priority="377">
      <colorScale>
        <cfvo type="num" val="-0.1"/>
        <cfvo type="num" val="0"/>
        <cfvo type="num" val="0.1"/>
        <color rgb="FFF8696B"/>
        <color rgb="FFFFEB84"/>
        <color rgb="FF63BE7B"/>
      </colorScale>
    </cfRule>
  </conditionalFormatting>
  <conditionalFormatting sqref="Q474">
    <cfRule type="colorScale" priority="409">
      <colorScale>
        <cfvo type="num" val="-0.1"/>
        <cfvo type="num" val="0"/>
        <cfvo type="num" val="0.1"/>
        <color rgb="FFF8696B"/>
        <color rgb="FFFFEB84"/>
        <color rgb="FF63BE7B"/>
      </colorScale>
    </cfRule>
  </conditionalFormatting>
  <conditionalFormatting sqref="Q475">
    <cfRule type="colorScale" priority="408">
      <colorScale>
        <cfvo type="num" val="-0.1"/>
        <cfvo type="num" val="0"/>
        <cfvo type="num" val="0.1"/>
        <color rgb="FFF8696B"/>
        <color rgb="FFFFEB84"/>
        <color rgb="FF63BE7B"/>
      </colorScale>
    </cfRule>
  </conditionalFormatting>
  <conditionalFormatting sqref="Q476">
    <cfRule type="colorScale" priority="419">
      <colorScale>
        <cfvo type="num" val="-0.1"/>
        <cfvo type="num" val="0"/>
        <cfvo type="num" val="0.1"/>
        <color rgb="FFF8696B"/>
        <color rgb="FFFFEB84"/>
        <color rgb="FF63BE7B"/>
      </colorScale>
    </cfRule>
  </conditionalFormatting>
  <conditionalFormatting sqref="Q477">
    <cfRule type="colorScale" priority="417">
      <colorScale>
        <cfvo type="num" val="-0.1"/>
        <cfvo type="num" val="0"/>
        <cfvo type="num" val="0.1"/>
        <color rgb="FFF8696B"/>
        <color rgb="FFFFEB84"/>
        <color rgb="FF63BE7B"/>
      </colorScale>
    </cfRule>
  </conditionalFormatting>
  <conditionalFormatting sqref="Q478">
    <cfRule type="colorScale" priority="416">
      <colorScale>
        <cfvo type="num" val="-0.1"/>
        <cfvo type="num" val="0"/>
        <cfvo type="num" val="0.1"/>
        <color rgb="FFF8696B"/>
        <color rgb="FFFFEB84"/>
        <color rgb="FF63BE7B"/>
      </colorScale>
    </cfRule>
  </conditionalFormatting>
  <conditionalFormatting sqref="Q479">
    <cfRule type="colorScale" priority="420">
      <colorScale>
        <cfvo type="num" val="-0.1"/>
        <cfvo type="num" val="0"/>
        <cfvo type="num" val="0.1"/>
        <color rgb="FFF8696B"/>
        <color rgb="FFFFEB84"/>
        <color rgb="FF63BE7B"/>
      </colorScale>
    </cfRule>
  </conditionalFormatting>
  <conditionalFormatting sqref="Q480">
    <cfRule type="colorScale" priority="421">
      <colorScale>
        <cfvo type="num" val="-0.1"/>
        <cfvo type="num" val="0"/>
        <cfvo type="num" val="0.1"/>
        <color rgb="FFF8696B"/>
        <color rgb="FFFFEB84"/>
        <color rgb="FF63BE7B"/>
      </colorScale>
    </cfRule>
  </conditionalFormatting>
  <conditionalFormatting sqref="Q481">
    <cfRule type="colorScale" priority="414">
      <colorScale>
        <cfvo type="num" val="-0.1"/>
        <cfvo type="num" val="0"/>
        <cfvo type="num" val="0.1"/>
        <color rgb="FFF8696B"/>
        <color rgb="FFFFEB84"/>
        <color rgb="FF63BE7B"/>
      </colorScale>
    </cfRule>
  </conditionalFormatting>
  <conditionalFormatting sqref="Q482">
    <cfRule type="colorScale" priority="413">
      <colorScale>
        <cfvo type="num" val="-0.1"/>
        <cfvo type="num" val="0"/>
        <cfvo type="num" val="0.1"/>
        <color rgb="FFF8696B"/>
        <color rgb="FFFFEB84"/>
        <color rgb="FF63BE7B"/>
      </colorScale>
    </cfRule>
  </conditionalFormatting>
  <conditionalFormatting sqref="Q483">
    <cfRule type="colorScale" priority="392">
      <colorScale>
        <cfvo type="num" val="-0.1"/>
        <cfvo type="num" val="0"/>
        <cfvo type="num" val="0.1"/>
        <color rgb="FFF8696B"/>
        <color rgb="FFFFEB84"/>
        <color rgb="FF63BE7B"/>
      </colorScale>
    </cfRule>
  </conditionalFormatting>
  <conditionalFormatting sqref="Q484">
    <cfRule type="colorScale" priority="398">
      <colorScale>
        <cfvo type="num" val="-0.1"/>
        <cfvo type="num" val="0"/>
        <cfvo type="num" val="0.1"/>
        <color rgb="FFF8696B"/>
        <color rgb="FFFFEB84"/>
        <color rgb="FF63BE7B"/>
      </colorScale>
    </cfRule>
  </conditionalFormatting>
  <conditionalFormatting sqref="Q485">
    <cfRule type="colorScale" priority="393">
      <colorScale>
        <cfvo type="num" val="-0.1"/>
        <cfvo type="num" val="0"/>
        <cfvo type="num" val="0.1"/>
        <color rgb="FFF8696B"/>
        <color rgb="FFFFEB84"/>
        <color rgb="FF63BE7B"/>
      </colorScale>
    </cfRule>
  </conditionalFormatting>
  <conditionalFormatting sqref="Q486:Q487">
    <cfRule type="colorScale" priority="397">
      <colorScale>
        <cfvo type="num" val="-0.1"/>
        <cfvo type="num" val="0"/>
        <cfvo type="num" val="0.1"/>
        <color rgb="FFF8696B"/>
        <color rgb="FFFFEB84"/>
        <color rgb="FF63BE7B"/>
      </colorScale>
    </cfRule>
  </conditionalFormatting>
  <conditionalFormatting sqref="Q487">
    <cfRule type="colorScale" priority="410">
      <colorScale>
        <cfvo type="num" val="-0.1"/>
        <cfvo type="num" val="0"/>
        <cfvo type="num" val="0.1"/>
        <color rgb="FFF8696B"/>
        <color rgb="FFFFEB84"/>
        <color rgb="FF63BE7B"/>
      </colorScale>
    </cfRule>
  </conditionalFormatting>
  <conditionalFormatting sqref="Q488">
    <cfRule type="colorScale" priority="394">
      <colorScale>
        <cfvo type="num" val="-0.1"/>
        <cfvo type="num" val="0"/>
        <cfvo type="num" val="0.1"/>
        <color rgb="FFF8696B"/>
        <color rgb="FFFFEB84"/>
        <color rgb="FF63BE7B"/>
      </colorScale>
    </cfRule>
  </conditionalFormatting>
  <conditionalFormatting sqref="Q489:Q490">
    <cfRule type="colorScale" priority="412">
      <colorScale>
        <cfvo type="num" val="-0.1"/>
        <cfvo type="num" val="0"/>
        <cfvo type="num" val="0.1"/>
        <color rgb="FFF8696B"/>
        <color rgb="FFFFEB84"/>
        <color rgb="FF63BE7B"/>
      </colorScale>
    </cfRule>
  </conditionalFormatting>
  <conditionalFormatting sqref="Q493">
    <cfRule type="colorScale" priority="406">
      <colorScale>
        <cfvo type="num" val="-0.1"/>
        <cfvo type="num" val="0"/>
        <cfvo type="num" val="0.1"/>
        <color rgb="FFF8696B"/>
        <color rgb="FFFFEB84"/>
        <color rgb="FF63BE7B"/>
      </colorScale>
    </cfRule>
  </conditionalFormatting>
  <conditionalFormatting sqref="Q496">
    <cfRule type="colorScale" priority="400">
      <colorScale>
        <cfvo type="num" val="-0.1"/>
        <cfvo type="num" val="0"/>
        <cfvo type="num" val="0.1"/>
        <color rgb="FFF8696B"/>
        <color rgb="FFFFEB84"/>
        <color rgb="FF63BE7B"/>
      </colorScale>
    </cfRule>
  </conditionalFormatting>
  <conditionalFormatting sqref="Q497">
    <cfRule type="colorScale" priority="403">
      <colorScale>
        <cfvo type="num" val="-0.1"/>
        <cfvo type="num" val="0"/>
        <cfvo type="num" val="0.1"/>
        <color rgb="FFF8696B"/>
        <color rgb="FFFFEB84"/>
        <color rgb="FF63BE7B"/>
      </colorScale>
    </cfRule>
  </conditionalFormatting>
  <conditionalFormatting sqref="Q498">
    <cfRule type="colorScale" priority="402">
      <colorScale>
        <cfvo type="num" val="-0.1"/>
        <cfvo type="num" val="0"/>
        <cfvo type="num" val="0.1"/>
        <color rgb="FFF8696B"/>
        <color rgb="FFFFEB84"/>
        <color rgb="FF63BE7B"/>
      </colorScale>
    </cfRule>
  </conditionalFormatting>
  <conditionalFormatting sqref="Q499">
    <cfRule type="colorScale" priority="401">
      <colorScale>
        <cfvo type="num" val="-0.1"/>
        <cfvo type="num" val="0"/>
        <cfvo type="num" val="0.1"/>
        <color rgb="FFF8696B"/>
        <color rgb="FFFFEB84"/>
        <color rgb="FF63BE7B"/>
      </colorScale>
    </cfRule>
  </conditionalFormatting>
  <conditionalFormatting sqref="Q500:Q502">
    <cfRule type="colorScale" priority="404">
      <colorScale>
        <cfvo type="num" val="-0.1"/>
        <cfvo type="num" val="0"/>
        <cfvo type="num" val="0.1"/>
        <color rgb="FFF8696B"/>
        <color rgb="FFFFEB84"/>
        <color rgb="FF63BE7B"/>
      </colorScale>
    </cfRule>
  </conditionalFormatting>
  <conditionalFormatting sqref="Q503">
    <cfRule type="colorScale" priority="415">
      <colorScale>
        <cfvo type="num" val="-0.1"/>
        <cfvo type="num" val="0"/>
        <cfvo type="num" val="0.1"/>
        <color rgb="FFF8696B"/>
        <color rgb="FFFFEB84"/>
        <color rgb="FF63BE7B"/>
      </colorScale>
    </cfRule>
  </conditionalFormatting>
  <conditionalFormatting sqref="Q504">
    <cfRule type="colorScale" priority="427">
      <colorScale>
        <cfvo type="num" val="-0.1"/>
        <cfvo type="num" val="0"/>
        <cfvo type="num" val="0.1"/>
        <color rgb="FFF8696B"/>
        <color rgb="FFFFEB84"/>
        <color rgb="FF63BE7B"/>
      </colorScale>
    </cfRule>
  </conditionalFormatting>
  <conditionalFormatting sqref="Q505">
    <cfRule type="colorScale" priority="426">
      <colorScale>
        <cfvo type="num" val="-0.1"/>
        <cfvo type="num" val="0"/>
        <cfvo type="num" val="0.1"/>
        <color rgb="FFF8696B"/>
        <color rgb="FFFFEB84"/>
        <color rgb="FF63BE7B"/>
      </colorScale>
    </cfRule>
  </conditionalFormatting>
  <conditionalFormatting sqref="Q506">
    <cfRule type="colorScale" priority="437">
      <colorScale>
        <cfvo type="num" val="-0.1"/>
        <cfvo type="num" val="0"/>
        <cfvo type="num" val="0.1"/>
        <color rgb="FFF8696B"/>
        <color rgb="FFFFEB84"/>
        <color rgb="FF63BE7B"/>
      </colorScale>
    </cfRule>
  </conditionalFormatting>
  <conditionalFormatting sqref="Q507">
    <cfRule type="colorScale" priority="435">
      <colorScale>
        <cfvo type="num" val="-0.1"/>
        <cfvo type="num" val="0"/>
        <cfvo type="num" val="0.1"/>
        <color rgb="FFF8696B"/>
        <color rgb="FFFFEB84"/>
        <color rgb="FF63BE7B"/>
      </colorScale>
    </cfRule>
  </conditionalFormatting>
  <conditionalFormatting sqref="Q508">
    <cfRule type="colorScale" priority="434">
      <colorScale>
        <cfvo type="num" val="-0.1"/>
        <cfvo type="num" val="0"/>
        <cfvo type="num" val="0.1"/>
        <color rgb="FFF8696B"/>
        <color rgb="FFFFEB84"/>
        <color rgb="FF63BE7B"/>
      </colorScale>
    </cfRule>
  </conditionalFormatting>
  <conditionalFormatting sqref="Q509">
    <cfRule type="colorScale" priority="438">
      <colorScale>
        <cfvo type="num" val="-0.1"/>
        <cfvo type="num" val="0"/>
        <cfvo type="num" val="0.1"/>
        <color rgb="FFF8696B"/>
        <color rgb="FFFFEB84"/>
        <color rgb="FF63BE7B"/>
      </colorScale>
    </cfRule>
  </conditionalFormatting>
  <conditionalFormatting sqref="Q510">
    <cfRule type="colorScale" priority="439">
      <colorScale>
        <cfvo type="num" val="-0.1"/>
        <cfvo type="num" val="0"/>
        <cfvo type="num" val="0.1"/>
        <color rgb="FFF8696B"/>
        <color rgb="FFFFEB84"/>
        <color rgb="FF63BE7B"/>
      </colorScale>
    </cfRule>
  </conditionalFormatting>
  <conditionalFormatting sqref="Q511">
    <cfRule type="colorScale" priority="432">
      <colorScale>
        <cfvo type="num" val="-0.1"/>
        <cfvo type="num" val="0"/>
        <cfvo type="num" val="0.1"/>
        <color rgb="FFF8696B"/>
        <color rgb="FFFFEB84"/>
        <color rgb="FF63BE7B"/>
      </colorScale>
    </cfRule>
  </conditionalFormatting>
  <conditionalFormatting sqref="Q512">
    <cfRule type="colorScale" priority="431">
      <colorScale>
        <cfvo type="num" val="-0.1"/>
        <cfvo type="num" val="0"/>
        <cfvo type="num" val="0.1"/>
        <color rgb="FFF8696B"/>
        <color rgb="FFFFEB84"/>
        <color rgb="FF63BE7B"/>
      </colorScale>
    </cfRule>
  </conditionalFormatting>
  <conditionalFormatting sqref="Q513">
    <cfRule type="colorScale" priority="430">
      <colorScale>
        <cfvo type="num" val="-0.1"/>
        <cfvo type="num" val="0"/>
        <cfvo type="num" val="0.1"/>
        <color rgb="FFF8696B"/>
        <color rgb="FFFFEB84"/>
        <color rgb="FF63BE7B"/>
      </colorScale>
    </cfRule>
  </conditionalFormatting>
  <conditionalFormatting sqref="Q514:Q516 Q518:Q520 Q523 Q525:Q526">
    <cfRule type="colorScale" priority="440">
      <colorScale>
        <cfvo type="num" val="-0.1"/>
        <cfvo type="num" val="0"/>
        <cfvo type="num" val="0.1"/>
        <color rgb="FFF8696B"/>
        <color rgb="FFFFEB84"/>
        <color rgb="FF63BE7B"/>
      </colorScale>
    </cfRule>
  </conditionalFormatting>
  <conditionalFormatting sqref="Q517">
    <cfRule type="colorScale" priority="423">
      <colorScale>
        <cfvo type="num" val="-0.1"/>
        <cfvo type="num" val="0"/>
        <cfvo type="num" val="0.1"/>
        <color rgb="FFF8696B"/>
        <color rgb="FFFFEB84"/>
        <color rgb="FF63BE7B"/>
      </colorScale>
    </cfRule>
  </conditionalFormatting>
  <conditionalFormatting sqref="Q520">
    <cfRule type="colorScale" priority="436">
      <colorScale>
        <cfvo type="num" val="-0.1"/>
        <cfvo type="num" val="0"/>
        <cfvo type="num" val="0.1"/>
        <color rgb="FFF8696B"/>
        <color rgb="FFFFEB84"/>
        <color rgb="FF63BE7B"/>
      </colorScale>
    </cfRule>
  </conditionalFormatting>
  <conditionalFormatting sqref="Q521">
    <cfRule type="colorScale" priority="424">
      <colorScale>
        <cfvo type="num" val="-0.1"/>
        <cfvo type="num" val="0"/>
        <cfvo type="num" val="0.1"/>
        <color rgb="FFF8696B"/>
        <color rgb="FFFFEB84"/>
        <color rgb="FF63BE7B"/>
      </colorScale>
    </cfRule>
  </conditionalFormatting>
  <conditionalFormatting sqref="Q522">
    <cfRule type="colorScale" priority="429">
      <colorScale>
        <cfvo type="num" val="-0.1"/>
        <cfvo type="num" val="0"/>
        <cfvo type="num" val="0.1"/>
        <color rgb="FFF8696B"/>
        <color rgb="FFFFEB84"/>
        <color rgb="FF63BE7B"/>
      </colorScale>
    </cfRule>
  </conditionalFormatting>
  <conditionalFormatting sqref="Q524">
    <cfRule type="colorScale" priority="428">
      <colorScale>
        <cfvo type="num" val="-0.1"/>
        <cfvo type="num" val="0"/>
        <cfvo type="num" val="0.1"/>
        <color rgb="FFF8696B"/>
        <color rgb="FFFFEB84"/>
        <color rgb="FF63BE7B"/>
      </colorScale>
    </cfRule>
  </conditionalFormatting>
  <conditionalFormatting sqref="Q527">
    <cfRule type="colorScale" priority="433">
      <colorScale>
        <cfvo type="num" val="-0.1"/>
        <cfvo type="num" val="0"/>
        <cfvo type="num" val="0.1"/>
        <color rgb="FFF8696B"/>
        <color rgb="FFFFEB84"/>
        <color rgb="FF63BE7B"/>
      </colorScale>
    </cfRule>
  </conditionalFormatting>
  <conditionalFormatting sqref="Q528">
    <cfRule type="colorScale" priority="444">
      <colorScale>
        <cfvo type="num" val="-0.1"/>
        <cfvo type="num" val="0"/>
        <cfvo type="num" val="0.1"/>
        <color rgb="FFF8696B"/>
        <color rgb="FFFFEB84"/>
        <color rgb="FF63BE7B"/>
      </colorScale>
    </cfRule>
  </conditionalFormatting>
  <conditionalFormatting sqref="Q529">
    <cfRule type="colorScale" priority="443">
      <colorScale>
        <cfvo type="num" val="-0.1"/>
        <cfvo type="num" val="0"/>
        <cfvo type="num" val="0.1"/>
        <color rgb="FFF8696B"/>
        <color rgb="FFFFEB84"/>
        <color rgb="FF63BE7B"/>
      </colorScale>
    </cfRule>
  </conditionalFormatting>
  <conditionalFormatting sqref="Q530">
    <cfRule type="colorScale" priority="442">
      <colorScale>
        <cfvo type="num" val="-0.1"/>
        <cfvo type="num" val="0"/>
        <cfvo type="num" val="0.1"/>
        <color rgb="FFF8696B"/>
        <color rgb="FFFFEB84"/>
        <color rgb="FF63BE7B"/>
      </colorScale>
    </cfRule>
  </conditionalFormatting>
  <conditionalFormatting sqref="Q531:Q535 Q537:Q539">
    <cfRule type="colorScale" priority="445">
      <colorScale>
        <cfvo type="num" val="-0.1"/>
        <cfvo type="num" val="0"/>
        <cfvo type="num" val="0.1"/>
        <color rgb="FFF8696B"/>
        <color rgb="FFFFEB84"/>
        <color rgb="FF63BE7B"/>
      </colorScale>
    </cfRule>
  </conditionalFormatting>
  <conditionalFormatting sqref="Q536">
    <cfRule type="colorScale" priority="425">
      <colorScale>
        <cfvo type="num" val="-0.1"/>
        <cfvo type="num" val="0"/>
        <cfvo type="num" val="0.1"/>
        <color rgb="FFF8696B"/>
        <color rgb="FFFFEB84"/>
        <color rgb="FF63BE7B"/>
      </colorScale>
    </cfRule>
  </conditionalFormatting>
  <conditionalFormatting sqref="Q537">
    <cfRule type="colorScale" priority="446">
      <colorScale>
        <cfvo type="num" val="-0.1"/>
        <cfvo type="num" val="0"/>
        <cfvo type="num" val="0.1"/>
        <color rgb="FFF8696B"/>
        <color rgb="FFFFEB84"/>
        <color rgb="FF63BE7B"/>
      </colorScale>
    </cfRule>
  </conditionalFormatting>
  <conditionalFormatting sqref="Q540">
    <cfRule type="colorScale" priority="441">
      <colorScale>
        <cfvo type="num" val="-0.1"/>
        <cfvo type="num" val="0"/>
        <cfvo type="num" val="0.1"/>
        <color rgb="FFF8696B"/>
        <color rgb="FFFFEB84"/>
        <color rgb="FF63BE7B"/>
      </colorScale>
    </cfRule>
  </conditionalFormatting>
  <conditionalFormatting sqref="Q541">
    <cfRule type="colorScale" priority="451">
      <colorScale>
        <cfvo type="num" val="-0.1"/>
        <cfvo type="num" val="0"/>
        <cfvo type="num" val="0.1"/>
        <color rgb="FFF8696B"/>
        <color rgb="FFFFEB84"/>
        <color rgb="FF63BE7B"/>
      </colorScale>
    </cfRule>
  </conditionalFormatting>
  <conditionalFormatting sqref="Q542">
    <cfRule type="colorScale" priority="450">
      <colorScale>
        <cfvo type="num" val="-0.1"/>
        <cfvo type="num" val="0"/>
        <cfvo type="num" val="0.1"/>
        <color rgb="FFF8696B"/>
        <color rgb="FFFFEB84"/>
        <color rgb="FF63BE7B"/>
      </colorScale>
    </cfRule>
  </conditionalFormatting>
  <conditionalFormatting sqref="Q543">
    <cfRule type="colorScale" priority="461">
      <colorScale>
        <cfvo type="num" val="-0.1"/>
        <cfvo type="num" val="0"/>
        <cfvo type="num" val="0.1"/>
        <color rgb="FFF8696B"/>
        <color rgb="FFFFEB84"/>
        <color rgb="FF63BE7B"/>
      </colorScale>
    </cfRule>
  </conditionalFormatting>
  <conditionalFormatting sqref="Q544">
    <cfRule type="colorScale" priority="459">
      <colorScale>
        <cfvo type="num" val="-0.1"/>
        <cfvo type="num" val="0"/>
        <cfvo type="num" val="0.1"/>
        <color rgb="FFF8696B"/>
        <color rgb="FFFFEB84"/>
        <color rgb="FF63BE7B"/>
      </colorScale>
    </cfRule>
  </conditionalFormatting>
  <conditionalFormatting sqref="Q545">
    <cfRule type="colorScale" priority="458">
      <colorScale>
        <cfvo type="num" val="-0.1"/>
        <cfvo type="num" val="0"/>
        <cfvo type="num" val="0.1"/>
        <color rgb="FFF8696B"/>
        <color rgb="FFFFEB84"/>
        <color rgb="FF63BE7B"/>
      </colorScale>
    </cfRule>
  </conditionalFormatting>
  <conditionalFormatting sqref="Q546">
    <cfRule type="colorScale" priority="462">
      <colorScale>
        <cfvo type="num" val="-0.1"/>
        <cfvo type="num" val="0"/>
        <cfvo type="num" val="0.1"/>
        <color rgb="FFF8696B"/>
        <color rgb="FFFFEB84"/>
        <color rgb="FF63BE7B"/>
      </colorScale>
    </cfRule>
  </conditionalFormatting>
  <conditionalFormatting sqref="Q547">
    <cfRule type="colorScale" priority="463">
      <colorScale>
        <cfvo type="num" val="-0.1"/>
        <cfvo type="num" val="0"/>
        <cfvo type="num" val="0.1"/>
        <color rgb="FFF8696B"/>
        <color rgb="FFFFEB84"/>
        <color rgb="FF63BE7B"/>
      </colorScale>
    </cfRule>
  </conditionalFormatting>
  <conditionalFormatting sqref="Q548">
    <cfRule type="colorScale" priority="456">
      <colorScale>
        <cfvo type="num" val="-0.1"/>
        <cfvo type="num" val="0"/>
        <cfvo type="num" val="0.1"/>
        <color rgb="FFF8696B"/>
        <color rgb="FFFFEB84"/>
        <color rgb="FF63BE7B"/>
      </colorScale>
    </cfRule>
  </conditionalFormatting>
  <conditionalFormatting sqref="Q549">
    <cfRule type="colorScale" priority="455">
      <colorScale>
        <cfvo type="num" val="-0.1"/>
        <cfvo type="num" val="0"/>
        <cfvo type="num" val="0.1"/>
        <color rgb="FFF8696B"/>
        <color rgb="FFFFEB84"/>
        <color rgb="FF63BE7B"/>
      </colorScale>
    </cfRule>
  </conditionalFormatting>
  <conditionalFormatting sqref="Q550">
    <cfRule type="colorScale" priority="454">
      <colorScale>
        <cfvo type="num" val="-0.1"/>
        <cfvo type="num" val="0"/>
        <cfvo type="num" val="0.1"/>
        <color rgb="FFF8696B"/>
        <color rgb="FFFFEB84"/>
        <color rgb="FF63BE7B"/>
      </colorScale>
    </cfRule>
  </conditionalFormatting>
  <conditionalFormatting sqref="Q551:Q553 Q555:Q557 Q560 Q562:Q563">
    <cfRule type="colorScale" priority="464">
      <colorScale>
        <cfvo type="num" val="-0.1"/>
        <cfvo type="num" val="0"/>
        <cfvo type="num" val="0.1"/>
        <color rgb="FFF8696B"/>
        <color rgb="FFFFEB84"/>
        <color rgb="FF63BE7B"/>
      </colorScale>
    </cfRule>
  </conditionalFormatting>
  <conditionalFormatting sqref="Q554">
    <cfRule type="colorScale" priority="447">
      <colorScale>
        <cfvo type="num" val="-0.1"/>
        <cfvo type="num" val="0"/>
        <cfvo type="num" val="0.1"/>
        <color rgb="FFF8696B"/>
        <color rgb="FFFFEB84"/>
        <color rgb="FF63BE7B"/>
      </colorScale>
    </cfRule>
  </conditionalFormatting>
  <conditionalFormatting sqref="Q557">
    <cfRule type="colorScale" priority="460">
      <colorScale>
        <cfvo type="num" val="-0.1"/>
        <cfvo type="num" val="0"/>
        <cfvo type="num" val="0.1"/>
        <color rgb="FFF8696B"/>
        <color rgb="FFFFEB84"/>
        <color rgb="FF63BE7B"/>
      </colorScale>
    </cfRule>
  </conditionalFormatting>
  <conditionalFormatting sqref="Q558">
    <cfRule type="colorScale" priority="448">
      <colorScale>
        <cfvo type="num" val="-0.1"/>
        <cfvo type="num" val="0"/>
        <cfvo type="num" val="0.1"/>
        <color rgb="FFF8696B"/>
        <color rgb="FFFFEB84"/>
        <color rgb="FF63BE7B"/>
      </colorScale>
    </cfRule>
  </conditionalFormatting>
  <conditionalFormatting sqref="Q559">
    <cfRule type="colorScale" priority="453">
      <colorScale>
        <cfvo type="num" val="-0.1"/>
        <cfvo type="num" val="0"/>
        <cfvo type="num" val="0.1"/>
        <color rgb="FFF8696B"/>
        <color rgb="FFFFEB84"/>
        <color rgb="FF63BE7B"/>
      </colorScale>
    </cfRule>
  </conditionalFormatting>
  <conditionalFormatting sqref="Q561">
    <cfRule type="colorScale" priority="452">
      <colorScale>
        <cfvo type="num" val="-0.1"/>
        <cfvo type="num" val="0"/>
        <cfvo type="num" val="0.1"/>
        <color rgb="FFF8696B"/>
        <color rgb="FFFFEB84"/>
        <color rgb="FF63BE7B"/>
      </colorScale>
    </cfRule>
  </conditionalFormatting>
  <conditionalFormatting sqref="Q564">
    <cfRule type="colorScale" priority="457">
      <colorScale>
        <cfvo type="num" val="-0.1"/>
        <cfvo type="num" val="0"/>
        <cfvo type="num" val="0.1"/>
        <color rgb="FFF8696B"/>
        <color rgb="FFFFEB84"/>
        <color rgb="FF63BE7B"/>
      </colorScale>
    </cfRule>
  </conditionalFormatting>
  <conditionalFormatting sqref="Q565">
    <cfRule type="colorScale" priority="468">
      <colorScale>
        <cfvo type="num" val="-0.1"/>
        <cfvo type="num" val="0"/>
        <cfvo type="num" val="0.1"/>
        <color rgb="FFF8696B"/>
        <color rgb="FFFFEB84"/>
        <color rgb="FF63BE7B"/>
      </colorScale>
    </cfRule>
  </conditionalFormatting>
  <conditionalFormatting sqref="Q566">
    <cfRule type="colorScale" priority="467">
      <colorScale>
        <cfvo type="num" val="-0.1"/>
        <cfvo type="num" val="0"/>
        <cfvo type="num" val="0.1"/>
        <color rgb="FFF8696B"/>
        <color rgb="FFFFEB84"/>
        <color rgb="FF63BE7B"/>
      </colorScale>
    </cfRule>
  </conditionalFormatting>
  <conditionalFormatting sqref="Q567">
    <cfRule type="colorScale" priority="466">
      <colorScale>
        <cfvo type="num" val="-0.1"/>
        <cfvo type="num" val="0"/>
        <cfvo type="num" val="0.1"/>
        <color rgb="FFF8696B"/>
        <color rgb="FFFFEB84"/>
        <color rgb="FF63BE7B"/>
      </colorScale>
    </cfRule>
  </conditionalFormatting>
  <conditionalFormatting sqref="Q568:Q572 Q574:Q576">
    <cfRule type="colorScale" priority="469">
      <colorScale>
        <cfvo type="num" val="-0.1"/>
        <cfvo type="num" val="0"/>
        <cfvo type="num" val="0.1"/>
        <color rgb="FFF8696B"/>
        <color rgb="FFFFEB84"/>
        <color rgb="FF63BE7B"/>
      </colorScale>
    </cfRule>
  </conditionalFormatting>
  <conditionalFormatting sqref="Q573">
    <cfRule type="colorScale" priority="449">
      <colorScale>
        <cfvo type="num" val="-0.1"/>
        <cfvo type="num" val="0"/>
        <cfvo type="num" val="0.1"/>
        <color rgb="FFF8696B"/>
        <color rgb="FFFFEB84"/>
        <color rgb="FF63BE7B"/>
      </colorScale>
    </cfRule>
  </conditionalFormatting>
  <conditionalFormatting sqref="Q574">
    <cfRule type="colorScale" priority="470">
      <colorScale>
        <cfvo type="num" val="-0.1"/>
        <cfvo type="num" val="0"/>
        <cfvo type="num" val="0.1"/>
        <color rgb="FFF8696B"/>
        <color rgb="FFFFEB84"/>
        <color rgb="FF63BE7B"/>
      </colorScale>
    </cfRule>
  </conditionalFormatting>
  <conditionalFormatting sqref="Q577">
    <cfRule type="colorScale" priority="465">
      <colorScale>
        <cfvo type="num" val="-0.1"/>
        <cfvo type="num" val="0"/>
        <cfvo type="num" val="0.1"/>
        <color rgb="FFF8696B"/>
        <color rgb="FFFFEB84"/>
        <color rgb="FF63BE7B"/>
      </colorScale>
    </cfRule>
  </conditionalFormatting>
  <conditionalFormatting sqref="Q578">
    <cfRule type="colorScale" priority="474">
      <colorScale>
        <cfvo type="num" val="-0.1"/>
        <cfvo type="num" val="0"/>
        <cfvo type="num" val="0.1"/>
        <color rgb="FFF8696B"/>
        <color rgb="FFFFEB84"/>
        <color rgb="FF63BE7B"/>
      </colorScale>
    </cfRule>
  </conditionalFormatting>
  <conditionalFormatting sqref="Q579">
    <cfRule type="colorScale" priority="473">
      <colorScale>
        <cfvo type="num" val="-0.1"/>
        <cfvo type="num" val="0"/>
        <cfvo type="num" val="0.1"/>
        <color rgb="FFF8696B"/>
        <color rgb="FFFFEB84"/>
        <color rgb="FF63BE7B"/>
      </colorScale>
    </cfRule>
  </conditionalFormatting>
  <conditionalFormatting sqref="Q580">
    <cfRule type="colorScale" priority="484">
      <colorScale>
        <cfvo type="num" val="-0.1"/>
        <cfvo type="num" val="0"/>
        <cfvo type="num" val="0.1"/>
        <color rgb="FFF8696B"/>
        <color rgb="FFFFEB84"/>
        <color rgb="FF63BE7B"/>
      </colorScale>
    </cfRule>
  </conditionalFormatting>
  <conditionalFormatting sqref="Q581">
    <cfRule type="colorScale" priority="482">
      <colorScale>
        <cfvo type="num" val="-0.1"/>
        <cfvo type="num" val="0"/>
        <cfvo type="num" val="0.1"/>
        <color rgb="FFF8696B"/>
        <color rgb="FFFFEB84"/>
        <color rgb="FF63BE7B"/>
      </colorScale>
    </cfRule>
  </conditionalFormatting>
  <conditionalFormatting sqref="Q582">
    <cfRule type="colorScale" priority="481">
      <colorScale>
        <cfvo type="num" val="-0.1"/>
        <cfvo type="num" val="0"/>
        <cfvo type="num" val="0.1"/>
        <color rgb="FFF8696B"/>
        <color rgb="FFFFEB84"/>
        <color rgb="FF63BE7B"/>
      </colorScale>
    </cfRule>
  </conditionalFormatting>
  <conditionalFormatting sqref="Q583">
    <cfRule type="colorScale" priority="485">
      <colorScale>
        <cfvo type="num" val="-0.1"/>
        <cfvo type="num" val="0"/>
        <cfvo type="num" val="0.1"/>
        <color rgb="FFF8696B"/>
        <color rgb="FFFFEB84"/>
        <color rgb="FF63BE7B"/>
      </colorScale>
    </cfRule>
  </conditionalFormatting>
  <conditionalFormatting sqref="Q584">
    <cfRule type="colorScale" priority="486">
      <colorScale>
        <cfvo type="num" val="-0.1"/>
        <cfvo type="num" val="0"/>
        <cfvo type="num" val="0.1"/>
        <color rgb="FFF8696B"/>
        <color rgb="FFFFEB84"/>
        <color rgb="FF63BE7B"/>
      </colorScale>
    </cfRule>
  </conditionalFormatting>
  <conditionalFormatting sqref="Q585">
    <cfRule type="colorScale" priority="479">
      <colorScale>
        <cfvo type="num" val="-0.1"/>
        <cfvo type="num" val="0"/>
        <cfvo type="num" val="0.1"/>
        <color rgb="FFF8696B"/>
        <color rgb="FFFFEB84"/>
        <color rgb="FF63BE7B"/>
      </colorScale>
    </cfRule>
  </conditionalFormatting>
  <conditionalFormatting sqref="Q586">
    <cfRule type="colorScale" priority="478">
      <colorScale>
        <cfvo type="num" val="-0.1"/>
        <cfvo type="num" val="0"/>
        <cfvo type="num" val="0.1"/>
        <color rgb="FFF8696B"/>
        <color rgb="FFFFEB84"/>
        <color rgb="FF63BE7B"/>
      </colorScale>
    </cfRule>
  </conditionalFormatting>
  <conditionalFormatting sqref="Q587">
    <cfRule type="colorScale" priority="477">
      <colorScale>
        <cfvo type="num" val="-0.1"/>
        <cfvo type="num" val="0"/>
        <cfvo type="num" val="0.1"/>
        <color rgb="FFF8696B"/>
        <color rgb="FFFFEB84"/>
        <color rgb="FF63BE7B"/>
      </colorScale>
    </cfRule>
  </conditionalFormatting>
  <conditionalFormatting sqref="Q588:Q593 Q596 Q598:Q599">
    <cfRule type="colorScale" priority="487">
      <colorScale>
        <cfvo type="num" val="-0.1"/>
        <cfvo type="num" val="0"/>
        <cfvo type="num" val="0.1"/>
        <color rgb="FFF8696B"/>
        <color rgb="FFFFEB84"/>
        <color rgb="FF63BE7B"/>
      </colorScale>
    </cfRule>
  </conditionalFormatting>
  <conditionalFormatting sqref="Q593">
    <cfRule type="colorScale" priority="483">
      <colorScale>
        <cfvo type="num" val="-0.1"/>
        <cfvo type="num" val="0"/>
        <cfvo type="num" val="0.1"/>
        <color rgb="FFF8696B"/>
        <color rgb="FFFFEB84"/>
        <color rgb="FF63BE7B"/>
      </colorScale>
    </cfRule>
  </conditionalFormatting>
  <conditionalFormatting sqref="Q594">
    <cfRule type="colorScale" priority="471">
      <colorScale>
        <cfvo type="num" val="-0.1"/>
        <cfvo type="num" val="0"/>
        <cfvo type="num" val="0.1"/>
        <color rgb="FFF8696B"/>
        <color rgb="FFFFEB84"/>
        <color rgb="FF63BE7B"/>
      </colorScale>
    </cfRule>
  </conditionalFormatting>
  <conditionalFormatting sqref="Q595">
    <cfRule type="colorScale" priority="476">
      <colorScale>
        <cfvo type="num" val="-0.1"/>
        <cfvo type="num" val="0"/>
        <cfvo type="num" val="0.1"/>
        <color rgb="FFF8696B"/>
        <color rgb="FFFFEB84"/>
        <color rgb="FF63BE7B"/>
      </colorScale>
    </cfRule>
  </conditionalFormatting>
  <conditionalFormatting sqref="Q597">
    <cfRule type="colorScale" priority="475">
      <colorScale>
        <cfvo type="num" val="-0.1"/>
        <cfvo type="num" val="0"/>
        <cfvo type="num" val="0.1"/>
        <color rgb="FFF8696B"/>
        <color rgb="FFFFEB84"/>
        <color rgb="FF63BE7B"/>
      </colorScale>
    </cfRule>
  </conditionalFormatting>
  <conditionalFormatting sqref="Q600">
    <cfRule type="colorScale" priority="480">
      <colorScale>
        <cfvo type="num" val="-0.1"/>
        <cfvo type="num" val="0"/>
        <cfvo type="num" val="0.1"/>
        <color rgb="FFF8696B"/>
        <color rgb="FFFFEB84"/>
        <color rgb="FF63BE7B"/>
      </colorScale>
    </cfRule>
  </conditionalFormatting>
  <conditionalFormatting sqref="Q601">
    <cfRule type="colorScale" priority="491">
      <colorScale>
        <cfvo type="num" val="-0.1"/>
        <cfvo type="num" val="0"/>
        <cfvo type="num" val="0.1"/>
        <color rgb="FFF8696B"/>
        <color rgb="FFFFEB84"/>
        <color rgb="FF63BE7B"/>
      </colorScale>
    </cfRule>
  </conditionalFormatting>
  <conditionalFormatting sqref="Q602">
    <cfRule type="colorScale" priority="490">
      <colorScale>
        <cfvo type="num" val="-0.1"/>
        <cfvo type="num" val="0"/>
        <cfvo type="num" val="0.1"/>
        <color rgb="FFF8696B"/>
        <color rgb="FFFFEB84"/>
        <color rgb="FF63BE7B"/>
      </colorScale>
    </cfRule>
  </conditionalFormatting>
  <conditionalFormatting sqref="Q603">
    <cfRule type="colorScale" priority="489">
      <colorScale>
        <cfvo type="num" val="-0.1"/>
        <cfvo type="num" val="0"/>
        <cfvo type="num" val="0.1"/>
        <color rgb="FFF8696B"/>
        <color rgb="FFFFEB84"/>
        <color rgb="FF63BE7B"/>
      </colorScale>
    </cfRule>
  </conditionalFormatting>
  <conditionalFormatting sqref="Q604:Q608 Q610:Q612">
    <cfRule type="colorScale" priority="492">
      <colorScale>
        <cfvo type="num" val="-0.1"/>
        <cfvo type="num" val="0"/>
        <cfvo type="num" val="0.1"/>
        <color rgb="FFF8696B"/>
        <color rgb="FFFFEB84"/>
        <color rgb="FF63BE7B"/>
      </colorScale>
    </cfRule>
  </conditionalFormatting>
  <conditionalFormatting sqref="Q609">
    <cfRule type="colorScale" priority="472">
      <colorScale>
        <cfvo type="num" val="-0.1"/>
        <cfvo type="num" val="0"/>
        <cfvo type="num" val="0.1"/>
        <color rgb="FFF8696B"/>
        <color rgb="FFFFEB84"/>
        <color rgb="FF63BE7B"/>
      </colorScale>
    </cfRule>
  </conditionalFormatting>
  <conditionalFormatting sqref="Q610">
    <cfRule type="colorScale" priority="493">
      <colorScale>
        <cfvo type="num" val="-0.1"/>
        <cfvo type="num" val="0"/>
        <cfvo type="num" val="0.1"/>
        <color rgb="FFF8696B"/>
        <color rgb="FFFFEB84"/>
        <color rgb="FF63BE7B"/>
      </colorScale>
    </cfRule>
  </conditionalFormatting>
  <conditionalFormatting sqref="Q613">
    <cfRule type="colorScale" priority="488">
      <colorScale>
        <cfvo type="num" val="-0.1"/>
        <cfvo type="num" val="0"/>
        <cfvo type="num" val="0.1"/>
        <color rgb="FFF8696B"/>
        <color rgb="FFFFEB84"/>
        <color rgb="FF63BE7B"/>
      </colorScale>
    </cfRule>
  </conditionalFormatting>
  <conditionalFormatting sqref="Q614">
    <cfRule type="colorScale" priority="495">
      <colorScale>
        <cfvo type="num" val="-0.1"/>
        <cfvo type="num" val="0"/>
        <cfvo type="num" val="0.1"/>
        <color rgb="FFF8696B"/>
        <color rgb="FFFFEB84"/>
        <color rgb="FF63BE7B"/>
      </colorScale>
    </cfRule>
  </conditionalFormatting>
  <conditionalFormatting sqref="Q615">
    <cfRule type="colorScale" priority="494">
      <colorScale>
        <cfvo type="num" val="-0.1"/>
        <cfvo type="num" val="0"/>
        <cfvo type="num" val="0.1"/>
        <color rgb="FFF8696B"/>
        <color rgb="FFFFEB84"/>
        <color rgb="FF63BE7B"/>
      </colorScale>
    </cfRule>
  </conditionalFormatting>
  <conditionalFormatting sqref="Q616">
    <cfRule type="colorScale" priority="507">
      <colorScale>
        <cfvo type="num" val="-0.1"/>
        <cfvo type="num" val="0"/>
        <cfvo type="num" val="0.1"/>
        <color rgb="FFF8696B"/>
        <color rgb="FFFFEB84"/>
        <color rgb="FF63BE7B"/>
      </colorScale>
    </cfRule>
  </conditionalFormatting>
  <conditionalFormatting sqref="Q617">
    <cfRule type="colorScale" priority="505">
      <colorScale>
        <cfvo type="num" val="-0.1"/>
        <cfvo type="num" val="0"/>
        <cfvo type="num" val="0.1"/>
        <color rgb="FFF8696B"/>
        <color rgb="FFFFEB84"/>
        <color rgb="FF63BE7B"/>
      </colorScale>
    </cfRule>
  </conditionalFormatting>
  <conditionalFormatting sqref="Q618">
    <cfRule type="colorScale" priority="504">
      <colorScale>
        <cfvo type="num" val="-0.1"/>
        <cfvo type="num" val="0"/>
        <cfvo type="num" val="0.1"/>
        <color rgb="FFF8696B"/>
        <color rgb="FFFFEB84"/>
        <color rgb="FF63BE7B"/>
      </colorScale>
    </cfRule>
  </conditionalFormatting>
  <conditionalFormatting sqref="Q619">
    <cfRule type="colorScale" priority="508">
      <colorScale>
        <cfvo type="num" val="-0.1"/>
        <cfvo type="num" val="0"/>
        <cfvo type="num" val="0.1"/>
        <color rgb="FFF8696B"/>
        <color rgb="FFFFEB84"/>
        <color rgb="FF63BE7B"/>
      </colorScale>
    </cfRule>
  </conditionalFormatting>
  <conditionalFormatting sqref="Q620">
    <cfRule type="colorScale" priority="509">
      <colorScale>
        <cfvo type="num" val="-0.1"/>
        <cfvo type="num" val="0"/>
        <cfvo type="num" val="0.1"/>
        <color rgb="FFF8696B"/>
        <color rgb="FFFFEB84"/>
        <color rgb="FF63BE7B"/>
      </colorScale>
    </cfRule>
  </conditionalFormatting>
  <conditionalFormatting sqref="Q621">
    <cfRule type="colorScale" priority="500">
      <colorScale>
        <cfvo type="num" val="-0.1"/>
        <cfvo type="num" val="0"/>
        <cfvo type="num" val="0.1"/>
        <color rgb="FFF8696B"/>
        <color rgb="FFFFEB84"/>
        <color rgb="FF63BE7B"/>
      </colorScale>
    </cfRule>
  </conditionalFormatting>
  <conditionalFormatting sqref="Q622">
    <cfRule type="colorScale" priority="499">
      <colorScale>
        <cfvo type="num" val="-0.1"/>
        <cfvo type="num" val="0"/>
        <cfvo type="num" val="0.1"/>
        <color rgb="FFF8696B"/>
        <color rgb="FFFFEB84"/>
        <color rgb="FF63BE7B"/>
      </colorScale>
    </cfRule>
  </conditionalFormatting>
  <conditionalFormatting sqref="Q623">
    <cfRule type="colorScale" priority="498">
      <colorScale>
        <cfvo type="num" val="-0.1"/>
        <cfvo type="num" val="0"/>
        <cfvo type="num" val="0.1"/>
        <color rgb="FFF8696B"/>
        <color rgb="FFFFEB84"/>
        <color rgb="FF63BE7B"/>
      </colorScale>
    </cfRule>
  </conditionalFormatting>
  <conditionalFormatting sqref="Q624:Q627 Q629 Q631:Q632">
    <cfRule type="colorScale" priority="510">
      <colorScale>
        <cfvo type="num" val="-0.1"/>
        <cfvo type="num" val="0"/>
        <cfvo type="num" val="0.1"/>
        <color rgb="FFF8696B"/>
        <color rgb="FFFFEB84"/>
        <color rgb="FF63BE7B"/>
      </colorScale>
    </cfRule>
  </conditionalFormatting>
  <conditionalFormatting sqref="Q627">
    <cfRule type="colorScale" priority="506">
      <colorScale>
        <cfvo type="num" val="-0.1"/>
        <cfvo type="num" val="0"/>
        <cfvo type="num" val="0.1"/>
        <color rgb="FFF8696B"/>
        <color rgb="FFFFEB84"/>
        <color rgb="FF63BE7B"/>
      </colorScale>
    </cfRule>
  </conditionalFormatting>
  <conditionalFormatting sqref="Q628">
    <cfRule type="colorScale" priority="497">
      <colorScale>
        <cfvo type="num" val="-0.1"/>
        <cfvo type="num" val="0"/>
        <cfvo type="num" val="0.1"/>
        <color rgb="FFF8696B"/>
        <color rgb="FFFFEB84"/>
        <color rgb="FF63BE7B"/>
      </colorScale>
    </cfRule>
  </conditionalFormatting>
  <conditionalFormatting sqref="Q630">
    <cfRule type="colorScale" priority="496">
      <colorScale>
        <cfvo type="num" val="-0.1"/>
        <cfvo type="num" val="0"/>
        <cfvo type="num" val="0.1"/>
        <color rgb="FFF8696B"/>
        <color rgb="FFFFEB84"/>
        <color rgb="FF63BE7B"/>
      </colorScale>
    </cfRule>
  </conditionalFormatting>
  <conditionalFormatting sqref="Q633">
    <cfRule type="colorScale" priority="503">
      <colorScale>
        <cfvo type="num" val="-0.1"/>
        <cfvo type="num" val="0"/>
        <cfvo type="num" val="0.1"/>
        <color rgb="FFF8696B"/>
        <color rgb="FFFFEB84"/>
        <color rgb="FF63BE7B"/>
      </colorScale>
    </cfRule>
  </conditionalFormatting>
  <conditionalFormatting sqref="Q634">
    <cfRule type="colorScale" priority="515">
      <colorScale>
        <cfvo type="num" val="-0.1"/>
        <cfvo type="num" val="0"/>
        <cfvo type="num" val="0.1"/>
        <color rgb="FFF8696B"/>
        <color rgb="FFFFEB84"/>
        <color rgb="FF63BE7B"/>
      </colorScale>
    </cfRule>
  </conditionalFormatting>
  <conditionalFormatting sqref="Q635">
    <cfRule type="colorScale" priority="514">
      <colorScale>
        <cfvo type="num" val="-0.1"/>
        <cfvo type="num" val="0"/>
        <cfvo type="num" val="0.1"/>
        <color rgb="FFF8696B"/>
        <color rgb="FFFFEB84"/>
        <color rgb="FF63BE7B"/>
      </colorScale>
    </cfRule>
  </conditionalFormatting>
  <conditionalFormatting sqref="Q636">
    <cfRule type="colorScale" priority="513">
      <colorScale>
        <cfvo type="num" val="-0.1"/>
        <cfvo type="num" val="0"/>
        <cfvo type="num" val="0.1"/>
        <color rgb="FFF8696B"/>
        <color rgb="FFFFEB84"/>
        <color rgb="FF63BE7B"/>
      </colorScale>
    </cfRule>
  </conditionalFormatting>
  <conditionalFormatting sqref="Q637:Q644">
    <cfRule type="colorScale" priority="516">
      <colorScale>
        <cfvo type="num" val="-0.1"/>
        <cfvo type="num" val="0"/>
        <cfvo type="num" val="0.1"/>
        <color rgb="FFF8696B"/>
        <color rgb="FFFFEB84"/>
        <color rgb="FF63BE7B"/>
      </colorScale>
    </cfRule>
  </conditionalFormatting>
  <conditionalFormatting sqref="Q645">
    <cfRule type="colorScale" priority="511">
      <colorScale>
        <cfvo type="num" val="-0.1"/>
        <cfvo type="num" val="0"/>
        <cfvo type="num" val="0.1"/>
        <color rgb="FFF8696B"/>
        <color rgb="FFFFEB84"/>
        <color rgb="FF63BE7B"/>
      </colorScale>
    </cfRule>
  </conditionalFormatting>
  <conditionalFormatting sqref="Q646">
    <cfRule type="colorScale" priority="526">
      <colorScale>
        <cfvo type="num" val="-0.1"/>
        <cfvo type="num" val="0"/>
        <cfvo type="num" val="0.1"/>
        <color rgb="FFF8696B"/>
        <color rgb="FFFFEB84"/>
        <color rgb="FF63BE7B"/>
      </colorScale>
    </cfRule>
  </conditionalFormatting>
  <conditionalFormatting sqref="Q647">
    <cfRule type="colorScale" priority="524">
      <colorScale>
        <cfvo type="num" val="-0.1"/>
        <cfvo type="num" val="0"/>
        <cfvo type="num" val="0.1"/>
        <color rgb="FFF8696B"/>
        <color rgb="FFFFEB84"/>
        <color rgb="FF63BE7B"/>
      </colorScale>
    </cfRule>
  </conditionalFormatting>
  <conditionalFormatting sqref="Q648">
    <cfRule type="colorScale" priority="523">
      <colorScale>
        <cfvo type="num" val="-0.1"/>
        <cfvo type="num" val="0"/>
        <cfvo type="num" val="0.1"/>
        <color rgb="FFF8696B"/>
        <color rgb="FFFFEB84"/>
        <color rgb="FF63BE7B"/>
      </colorScale>
    </cfRule>
  </conditionalFormatting>
  <conditionalFormatting sqref="Q649">
    <cfRule type="colorScale" priority="527">
      <colorScale>
        <cfvo type="num" val="-0.1"/>
        <cfvo type="num" val="0"/>
        <cfvo type="num" val="0.1"/>
        <color rgb="FFF8696B"/>
        <color rgb="FFFFEB84"/>
        <color rgb="FF63BE7B"/>
      </colorScale>
    </cfRule>
  </conditionalFormatting>
  <conditionalFormatting sqref="Q650">
    <cfRule type="colorScale" priority="528">
      <colorScale>
        <cfvo type="num" val="-0.1"/>
        <cfvo type="num" val="0"/>
        <cfvo type="num" val="0.1"/>
        <color rgb="FFF8696B"/>
        <color rgb="FFFFEB84"/>
        <color rgb="FF63BE7B"/>
      </colorScale>
    </cfRule>
  </conditionalFormatting>
  <conditionalFormatting sqref="Q651">
    <cfRule type="colorScale" priority="519">
      <colorScale>
        <cfvo type="num" val="-0.1"/>
        <cfvo type="num" val="0"/>
        <cfvo type="num" val="0.1"/>
        <color rgb="FFF8696B"/>
        <color rgb="FFFFEB84"/>
        <color rgb="FF63BE7B"/>
      </colorScale>
    </cfRule>
  </conditionalFormatting>
  <conditionalFormatting sqref="Q652">
    <cfRule type="colorScale" priority="518">
      <colorScale>
        <cfvo type="num" val="-0.1"/>
        <cfvo type="num" val="0"/>
        <cfvo type="num" val="0.1"/>
        <color rgb="FFF8696B"/>
        <color rgb="FFFFEB84"/>
        <color rgb="FF63BE7B"/>
      </colorScale>
    </cfRule>
  </conditionalFormatting>
  <conditionalFormatting sqref="Q653">
    <cfRule type="colorScale" priority="517">
      <colorScale>
        <cfvo type="num" val="-0.1"/>
        <cfvo type="num" val="0"/>
        <cfvo type="num" val="0.1"/>
        <color rgb="FFF8696B"/>
        <color rgb="FFFFEB84"/>
        <color rgb="FF63BE7B"/>
      </colorScale>
    </cfRule>
  </conditionalFormatting>
  <conditionalFormatting sqref="Q654:Q655 Q658:Q662">
    <cfRule type="colorScale" priority="529">
      <colorScale>
        <cfvo type="num" val="-0.1"/>
        <cfvo type="num" val="0"/>
        <cfvo type="num" val="0.1"/>
        <color rgb="FFF8696B"/>
        <color rgb="FFFFEB84"/>
        <color rgb="FF63BE7B"/>
      </colorScale>
    </cfRule>
  </conditionalFormatting>
  <conditionalFormatting sqref="Q656">
    <cfRule type="colorScale" priority="520">
      <colorScale>
        <cfvo type="num" val="-0.1"/>
        <cfvo type="num" val="0"/>
        <cfvo type="num" val="0.1"/>
        <color rgb="FFF8696B"/>
        <color rgb="FFFFEB84"/>
        <color rgb="FF63BE7B"/>
      </colorScale>
    </cfRule>
  </conditionalFormatting>
  <conditionalFormatting sqref="Q657">
    <cfRule type="colorScale" priority="521">
      <colorScale>
        <cfvo type="num" val="-0.1"/>
        <cfvo type="num" val="0"/>
        <cfvo type="num" val="0.1"/>
        <color rgb="FFF8696B"/>
        <color rgb="FFFFEB84"/>
        <color rgb="FF63BE7B"/>
      </colorScale>
    </cfRule>
  </conditionalFormatting>
  <conditionalFormatting sqref="Q659">
    <cfRule type="colorScale" priority="525">
      <colorScale>
        <cfvo type="num" val="-0.1"/>
        <cfvo type="num" val="0"/>
        <cfvo type="num" val="0.1"/>
        <color rgb="FFF8696B"/>
        <color rgb="FFFFEB84"/>
        <color rgb="FF63BE7B"/>
      </colorScale>
    </cfRule>
  </conditionalFormatting>
  <conditionalFormatting sqref="Q663">
    <cfRule type="colorScale" priority="522">
      <colorScale>
        <cfvo type="num" val="-0.1"/>
        <cfvo type="num" val="0"/>
        <cfvo type="num" val="0.1"/>
        <color rgb="FFF8696B"/>
        <color rgb="FFFFEB84"/>
        <color rgb="FF63BE7B"/>
      </colorScale>
    </cfRule>
  </conditionalFormatting>
  <conditionalFormatting sqref="Q664">
    <cfRule type="colorScale" priority="534">
      <colorScale>
        <cfvo type="num" val="-0.1"/>
        <cfvo type="num" val="0"/>
        <cfvo type="num" val="0.1"/>
        <color rgb="FFF8696B"/>
        <color rgb="FFFFEB84"/>
        <color rgb="FF63BE7B"/>
      </colorScale>
    </cfRule>
  </conditionalFormatting>
  <conditionalFormatting sqref="Q665">
    <cfRule type="colorScale" priority="533">
      <colorScale>
        <cfvo type="num" val="-0.1"/>
        <cfvo type="num" val="0"/>
        <cfvo type="num" val="0.1"/>
        <color rgb="FFF8696B"/>
        <color rgb="FFFFEB84"/>
        <color rgb="FF63BE7B"/>
      </colorScale>
    </cfRule>
  </conditionalFormatting>
  <conditionalFormatting sqref="Q666">
    <cfRule type="colorScale" priority="532">
      <colorScale>
        <cfvo type="num" val="-0.1"/>
        <cfvo type="num" val="0"/>
        <cfvo type="num" val="0.1"/>
        <color rgb="FFF8696B"/>
        <color rgb="FFFFEB84"/>
        <color rgb="FF63BE7B"/>
      </colorScale>
    </cfRule>
  </conditionalFormatting>
  <conditionalFormatting sqref="Q667:Q671 Q673:Q675">
    <cfRule type="colorScale" priority="535">
      <colorScale>
        <cfvo type="num" val="-0.1"/>
        <cfvo type="num" val="0"/>
        <cfvo type="num" val="0.1"/>
        <color rgb="FFF8696B"/>
        <color rgb="FFFFEB84"/>
        <color rgb="FF63BE7B"/>
      </colorScale>
    </cfRule>
  </conditionalFormatting>
  <conditionalFormatting sqref="Q672:Q673">
    <cfRule type="colorScale" priority="531">
      <colorScale>
        <cfvo type="num" val="-0.1"/>
        <cfvo type="num" val="0"/>
        <cfvo type="num" val="0.1"/>
        <color rgb="FFF8696B"/>
        <color rgb="FFFFEB84"/>
        <color rgb="FF63BE7B"/>
      </colorScale>
    </cfRule>
  </conditionalFormatting>
  <conditionalFormatting sqref="Q676">
    <cfRule type="colorScale" priority="530">
      <colorScale>
        <cfvo type="num" val="-0.1"/>
        <cfvo type="num" val="0"/>
        <cfvo type="num" val="0.1"/>
        <color rgb="FFF8696B"/>
        <color rgb="FFFFEB84"/>
        <color rgb="FF63BE7B"/>
      </colorScale>
    </cfRule>
  </conditionalFormatting>
  <conditionalFormatting sqref="Q677">
    <cfRule type="colorScale" priority="545">
      <colorScale>
        <cfvo type="num" val="-0.1"/>
        <cfvo type="num" val="0"/>
        <cfvo type="num" val="0.1"/>
        <color rgb="FFF8696B"/>
        <color rgb="FFFFEB84"/>
        <color rgb="FF63BE7B"/>
      </colorScale>
    </cfRule>
  </conditionalFormatting>
  <conditionalFormatting sqref="Q678">
    <cfRule type="colorScale" priority="543">
      <colorScale>
        <cfvo type="num" val="-0.1"/>
        <cfvo type="num" val="0"/>
        <cfvo type="num" val="0.1"/>
        <color rgb="FFF8696B"/>
        <color rgb="FFFFEB84"/>
        <color rgb="FF63BE7B"/>
      </colorScale>
    </cfRule>
  </conditionalFormatting>
  <conditionalFormatting sqref="Q679">
    <cfRule type="colorScale" priority="542">
      <colorScale>
        <cfvo type="num" val="-0.1"/>
        <cfvo type="num" val="0"/>
        <cfvo type="num" val="0.1"/>
        <color rgb="FFF8696B"/>
        <color rgb="FFFFEB84"/>
        <color rgb="FF63BE7B"/>
      </colorScale>
    </cfRule>
  </conditionalFormatting>
  <conditionalFormatting sqref="Q680">
    <cfRule type="colorScale" priority="546">
      <colorScale>
        <cfvo type="num" val="-0.1"/>
        <cfvo type="num" val="0"/>
        <cfvo type="num" val="0.1"/>
        <color rgb="FFF8696B"/>
        <color rgb="FFFFEB84"/>
        <color rgb="FF63BE7B"/>
      </colorScale>
    </cfRule>
  </conditionalFormatting>
  <conditionalFormatting sqref="Q681">
    <cfRule type="colorScale" priority="547">
      <colorScale>
        <cfvo type="num" val="-0.1"/>
        <cfvo type="num" val="0"/>
        <cfvo type="num" val="0.1"/>
        <color rgb="FFF8696B"/>
        <color rgb="FFFFEB84"/>
        <color rgb="FF63BE7B"/>
      </colorScale>
    </cfRule>
  </conditionalFormatting>
  <conditionalFormatting sqref="Q682">
    <cfRule type="colorScale" priority="538">
      <colorScale>
        <cfvo type="num" val="-0.1"/>
        <cfvo type="num" val="0"/>
        <cfvo type="num" val="0.1"/>
        <color rgb="FFF8696B"/>
        <color rgb="FFFFEB84"/>
        <color rgb="FF63BE7B"/>
      </colorScale>
    </cfRule>
  </conditionalFormatting>
  <conditionalFormatting sqref="Q683">
    <cfRule type="colorScale" priority="537">
      <colorScale>
        <cfvo type="num" val="-0.1"/>
        <cfvo type="num" val="0"/>
        <cfvo type="num" val="0.1"/>
        <color rgb="FFF8696B"/>
        <color rgb="FFFFEB84"/>
        <color rgb="FF63BE7B"/>
      </colorScale>
    </cfRule>
  </conditionalFormatting>
  <conditionalFormatting sqref="Q684">
    <cfRule type="colorScale" priority="536">
      <colorScale>
        <cfvo type="num" val="-0.1"/>
        <cfvo type="num" val="0"/>
        <cfvo type="num" val="0.1"/>
        <color rgb="FFF8696B"/>
        <color rgb="FFFFEB84"/>
        <color rgb="FF63BE7B"/>
      </colorScale>
    </cfRule>
  </conditionalFormatting>
  <conditionalFormatting sqref="Q685:Q686 Q689:Q693">
    <cfRule type="colorScale" priority="548">
      <colorScale>
        <cfvo type="num" val="-0.1"/>
        <cfvo type="num" val="0"/>
        <cfvo type="num" val="0.1"/>
        <color rgb="FFF8696B"/>
        <color rgb="FFFFEB84"/>
        <color rgb="FF63BE7B"/>
      </colorScale>
    </cfRule>
  </conditionalFormatting>
  <conditionalFormatting sqref="Q687">
    <cfRule type="colorScale" priority="539">
      <colorScale>
        <cfvo type="num" val="-0.1"/>
        <cfvo type="num" val="0"/>
        <cfvo type="num" val="0.1"/>
        <color rgb="FFF8696B"/>
        <color rgb="FFFFEB84"/>
        <color rgb="FF63BE7B"/>
      </colorScale>
    </cfRule>
  </conditionalFormatting>
  <conditionalFormatting sqref="Q688">
    <cfRule type="colorScale" priority="540">
      <colorScale>
        <cfvo type="num" val="-0.1"/>
        <cfvo type="num" val="0"/>
        <cfvo type="num" val="0.1"/>
        <color rgb="FFF8696B"/>
        <color rgb="FFFFEB84"/>
        <color rgb="FF63BE7B"/>
      </colorScale>
    </cfRule>
  </conditionalFormatting>
  <conditionalFormatting sqref="Q690">
    <cfRule type="colorScale" priority="544">
      <colorScale>
        <cfvo type="num" val="-0.1"/>
        <cfvo type="num" val="0"/>
        <cfvo type="num" val="0.1"/>
        <color rgb="FFF8696B"/>
        <color rgb="FFFFEB84"/>
        <color rgb="FF63BE7B"/>
      </colorScale>
    </cfRule>
  </conditionalFormatting>
  <conditionalFormatting sqref="Q694">
    <cfRule type="colorScale" priority="541">
      <colorScale>
        <cfvo type="num" val="-0.1"/>
        <cfvo type="num" val="0"/>
        <cfvo type="num" val="0.1"/>
        <color rgb="FFF8696B"/>
        <color rgb="FFFFEB84"/>
        <color rgb="FF63BE7B"/>
      </colorScale>
    </cfRule>
  </conditionalFormatting>
  <conditionalFormatting sqref="Q695">
    <cfRule type="colorScale" priority="553">
      <colorScale>
        <cfvo type="num" val="-0.1"/>
        <cfvo type="num" val="0"/>
        <cfvo type="num" val="0.1"/>
        <color rgb="FFF8696B"/>
        <color rgb="FFFFEB84"/>
        <color rgb="FF63BE7B"/>
      </colorScale>
    </cfRule>
  </conditionalFormatting>
  <conditionalFormatting sqref="Q696">
    <cfRule type="colorScale" priority="552">
      <colorScale>
        <cfvo type="num" val="-0.1"/>
        <cfvo type="num" val="0"/>
        <cfvo type="num" val="0.1"/>
        <color rgb="FFF8696B"/>
        <color rgb="FFFFEB84"/>
        <color rgb="FF63BE7B"/>
      </colorScale>
    </cfRule>
  </conditionalFormatting>
  <conditionalFormatting sqref="Q697">
    <cfRule type="colorScale" priority="551">
      <colorScale>
        <cfvo type="num" val="-0.1"/>
        <cfvo type="num" val="0"/>
        <cfvo type="num" val="0.1"/>
        <color rgb="FFF8696B"/>
        <color rgb="FFFFEB84"/>
        <color rgb="FF63BE7B"/>
      </colorScale>
    </cfRule>
  </conditionalFormatting>
  <conditionalFormatting sqref="Q698:Q702 Q704:Q706">
    <cfRule type="colorScale" priority="554">
      <colorScale>
        <cfvo type="num" val="-0.1"/>
        <cfvo type="num" val="0"/>
        <cfvo type="num" val="0.1"/>
        <color rgb="FFF8696B"/>
        <color rgb="FFFFEB84"/>
        <color rgb="FF63BE7B"/>
      </colorScale>
    </cfRule>
  </conditionalFormatting>
  <conditionalFormatting sqref="Q703:Q704">
    <cfRule type="colorScale" priority="550">
      <colorScale>
        <cfvo type="num" val="-0.1"/>
        <cfvo type="num" val="0"/>
        <cfvo type="num" val="0.1"/>
        <color rgb="FFF8696B"/>
        <color rgb="FFFFEB84"/>
        <color rgb="FF63BE7B"/>
      </colorScale>
    </cfRule>
  </conditionalFormatting>
  <conditionalFormatting sqref="Q707">
    <cfRule type="colorScale" priority="549">
      <colorScale>
        <cfvo type="num" val="-0.1"/>
        <cfvo type="num" val="0"/>
        <cfvo type="num" val="0.1"/>
        <color rgb="FFF8696B"/>
        <color rgb="FFFFEB84"/>
        <color rgb="FF63BE7B"/>
      </colorScale>
    </cfRule>
  </conditionalFormatting>
  <conditionalFormatting sqref="Q708">
    <cfRule type="colorScale" priority="561">
      <colorScale>
        <cfvo type="num" val="-0.1"/>
        <cfvo type="num" val="0"/>
        <cfvo type="num" val="0.1"/>
        <color rgb="FFF8696B"/>
        <color rgb="FFFFEB84"/>
        <color rgb="FF63BE7B"/>
      </colorScale>
    </cfRule>
  </conditionalFormatting>
  <conditionalFormatting sqref="Q709">
    <cfRule type="colorScale" priority="559">
      <colorScale>
        <cfvo type="num" val="-0.1"/>
        <cfvo type="num" val="0"/>
        <cfvo type="num" val="0.1"/>
        <color rgb="FFF8696B"/>
        <color rgb="FFFFEB84"/>
        <color rgb="FF63BE7B"/>
      </colorScale>
    </cfRule>
  </conditionalFormatting>
  <conditionalFormatting sqref="Q710">
    <cfRule type="colorScale" priority="558">
      <colorScale>
        <cfvo type="num" val="-0.1"/>
        <cfvo type="num" val="0"/>
        <cfvo type="num" val="0.1"/>
        <color rgb="FFF8696B"/>
        <color rgb="FFFFEB84"/>
        <color rgb="FF63BE7B"/>
      </colorScale>
    </cfRule>
  </conditionalFormatting>
  <conditionalFormatting sqref="Q711">
    <cfRule type="colorScale" priority="562">
      <colorScale>
        <cfvo type="num" val="-0.1"/>
        <cfvo type="num" val="0"/>
        <cfvo type="num" val="0.1"/>
        <color rgb="FFF8696B"/>
        <color rgb="FFFFEB84"/>
        <color rgb="FF63BE7B"/>
      </colorScale>
    </cfRule>
  </conditionalFormatting>
  <conditionalFormatting sqref="Q712">
    <cfRule type="colorScale" priority="563">
      <colorScale>
        <cfvo type="num" val="-0.1"/>
        <cfvo type="num" val="0"/>
        <cfvo type="num" val="0.1"/>
        <color rgb="FFF8696B"/>
        <color rgb="FFFFEB84"/>
        <color rgb="FF63BE7B"/>
      </colorScale>
    </cfRule>
  </conditionalFormatting>
  <conditionalFormatting sqref="Q713:Q714 Q717:Q721">
    <cfRule type="colorScale" priority="564">
      <colorScale>
        <cfvo type="num" val="-0.1"/>
        <cfvo type="num" val="0"/>
        <cfvo type="num" val="0.1"/>
        <color rgb="FFF8696B"/>
        <color rgb="FFFFEB84"/>
        <color rgb="FF63BE7B"/>
      </colorScale>
    </cfRule>
  </conditionalFormatting>
  <conditionalFormatting sqref="Q715">
    <cfRule type="colorScale" priority="555">
      <colorScale>
        <cfvo type="num" val="-0.1"/>
        <cfvo type="num" val="0"/>
        <cfvo type="num" val="0.1"/>
        <color rgb="FFF8696B"/>
        <color rgb="FFFFEB84"/>
        <color rgb="FF63BE7B"/>
      </colorScale>
    </cfRule>
  </conditionalFormatting>
  <conditionalFormatting sqref="Q716">
    <cfRule type="colorScale" priority="556">
      <colorScale>
        <cfvo type="num" val="-0.1"/>
        <cfvo type="num" val="0"/>
        <cfvo type="num" val="0.1"/>
        <color rgb="FFF8696B"/>
        <color rgb="FFFFEB84"/>
        <color rgb="FF63BE7B"/>
      </colorScale>
    </cfRule>
  </conditionalFormatting>
  <conditionalFormatting sqref="Q718">
    <cfRule type="colorScale" priority="560">
      <colorScale>
        <cfvo type="num" val="-0.1"/>
        <cfvo type="num" val="0"/>
        <cfvo type="num" val="0.1"/>
        <color rgb="FFF8696B"/>
        <color rgb="FFFFEB84"/>
        <color rgb="FF63BE7B"/>
      </colorScale>
    </cfRule>
  </conditionalFormatting>
  <conditionalFormatting sqref="Q722">
    <cfRule type="colorScale" priority="557">
      <colorScale>
        <cfvo type="num" val="-0.1"/>
        <cfvo type="num" val="0"/>
        <cfvo type="num" val="0.1"/>
        <color rgb="FFF8696B"/>
        <color rgb="FFFFEB84"/>
        <color rgb="FF63BE7B"/>
      </colorScale>
    </cfRule>
  </conditionalFormatting>
  <conditionalFormatting sqref="Q723">
    <cfRule type="colorScale" priority="569">
      <colorScale>
        <cfvo type="num" val="-0.1"/>
        <cfvo type="num" val="0"/>
        <cfvo type="num" val="0.1"/>
        <color rgb="FFF8696B"/>
        <color rgb="FFFFEB84"/>
        <color rgb="FF63BE7B"/>
      </colorScale>
    </cfRule>
  </conditionalFormatting>
  <conditionalFormatting sqref="Q724">
    <cfRule type="colorScale" priority="568">
      <colorScale>
        <cfvo type="num" val="-0.1"/>
        <cfvo type="num" val="0"/>
        <cfvo type="num" val="0.1"/>
        <color rgb="FFF8696B"/>
        <color rgb="FFFFEB84"/>
        <color rgb="FF63BE7B"/>
      </colorScale>
    </cfRule>
  </conditionalFormatting>
  <conditionalFormatting sqref="Q725">
    <cfRule type="colorScale" priority="567">
      <colorScale>
        <cfvo type="num" val="-0.1"/>
        <cfvo type="num" val="0"/>
        <cfvo type="num" val="0.1"/>
        <color rgb="FFF8696B"/>
        <color rgb="FFFFEB84"/>
        <color rgb="FF63BE7B"/>
      </colorScale>
    </cfRule>
  </conditionalFormatting>
  <conditionalFormatting sqref="Q726:Q730 Q732:Q734">
    <cfRule type="colorScale" priority="570">
      <colorScale>
        <cfvo type="num" val="-0.1"/>
        <cfvo type="num" val="0"/>
        <cfvo type="num" val="0.1"/>
        <color rgb="FFF8696B"/>
        <color rgb="FFFFEB84"/>
        <color rgb="FF63BE7B"/>
      </colorScale>
    </cfRule>
  </conditionalFormatting>
  <conditionalFormatting sqref="Q731:Q732">
    <cfRule type="colorScale" priority="566">
      <colorScale>
        <cfvo type="num" val="-0.1"/>
        <cfvo type="num" val="0"/>
        <cfvo type="num" val="0.1"/>
        <color rgb="FFF8696B"/>
        <color rgb="FFFFEB84"/>
        <color rgb="FF63BE7B"/>
      </colorScale>
    </cfRule>
  </conditionalFormatting>
  <conditionalFormatting sqref="Q735">
    <cfRule type="colorScale" priority="565">
      <colorScale>
        <cfvo type="num" val="-0.1"/>
        <cfvo type="num" val="0"/>
        <cfvo type="num" val="0.1"/>
        <color rgb="FFF8696B"/>
        <color rgb="FFFFEB84"/>
        <color rgb="FF63BE7B"/>
      </colorScale>
    </cfRule>
  </conditionalFormatting>
  <conditionalFormatting sqref="Q736">
    <cfRule type="colorScale" priority="578">
      <colorScale>
        <cfvo type="num" val="-0.1"/>
        <cfvo type="num" val="0"/>
        <cfvo type="num" val="0.1"/>
        <color rgb="FFF8696B"/>
        <color rgb="FFFFEB84"/>
        <color rgb="FF63BE7B"/>
      </colorScale>
    </cfRule>
  </conditionalFormatting>
  <conditionalFormatting sqref="Q737">
    <cfRule type="colorScale" priority="575">
      <colorScale>
        <cfvo type="num" val="-0.1"/>
        <cfvo type="num" val="0"/>
        <cfvo type="num" val="0.1"/>
        <color rgb="FFF8696B"/>
        <color rgb="FFFFEB84"/>
        <color rgb="FF63BE7B"/>
      </colorScale>
    </cfRule>
  </conditionalFormatting>
  <conditionalFormatting sqref="Q738">
    <cfRule type="colorScale" priority="574">
      <colorScale>
        <cfvo type="num" val="-0.1"/>
        <cfvo type="num" val="0"/>
        <cfvo type="num" val="0.1"/>
        <color rgb="FFF8696B"/>
        <color rgb="FFFFEB84"/>
        <color rgb="FF63BE7B"/>
      </colorScale>
    </cfRule>
  </conditionalFormatting>
  <conditionalFormatting sqref="Q739">
    <cfRule type="colorScale" priority="579">
      <colorScale>
        <cfvo type="num" val="-0.1"/>
        <cfvo type="num" val="0"/>
        <cfvo type="num" val="0.1"/>
        <color rgb="FFF8696B"/>
        <color rgb="FFFFEB84"/>
        <color rgb="FF63BE7B"/>
      </colorScale>
    </cfRule>
  </conditionalFormatting>
  <conditionalFormatting sqref="Q740">
    <cfRule type="colorScale" priority="580">
      <colorScale>
        <cfvo type="num" val="-0.1"/>
        <cfvo type="num" val="0"/>
        <cfvo type="num" val="0.1"/>
        <color rgb="FFF8696B"/>
        <color rgb="FFFFEB84"/>
        <color rgb="FF63BE7B"/>
      </colorScale>
    </cfRule>
  </conditionalFormatting>
  <conditionalFormatting sqref="Q741:Q747">
    <cfRule type="colorScale" priority="581">
      <colorScale>
        <cfvo type="num" val="-0.1"/>
        <cfvo type="num" val="0"/>
        <cfvo type="num" val="0.1"/>
        <color rgb="FFF8696B"/>
        <color rgb="FFFFEB84"/>
        <color rgb="FF63BE7B"/>
      </colorScale>
    </cfRule>
  </conditionalFormatting>
  <conditionalFormatting sqref="Q744">
    <cfRule type="colorScale" priority="576">
      <colorScale>
        <cfvo type="num" val="-0.1"/>
        <cfvo type="num" val="0"/>
        <cfvo type="num" val="0.1"/>
        <color rgb="FFF8696B"/>
        <color rgb="FFFFEB84"/>
        <color rgb="FF63BE7B"/>
      </colorScale>
    </cfRule>
  </conditionalFormatting>
  <conditionalFormatting sqref="Q748">
    <cfRule type="colorScale" priority="573">
      <colorScale>
        <cfvo type="num" val="-0.1"/>
        <cfvo type="num" val="0"/>
        <cfvo type="num" val="0.1"/>
        <color rgb="FFF8696B"/>
        <color rgb="FFFFEB84"/>
        <color rgb="FF63BE7B"/>
      </colorScale>
    </cfRule>
  </conditionalFormatting>
  <conditionalFormatting sqref="Q749">
    <cfRule type="colorScale" priority="586">
      <colorScale>
        <cfvo type="num" val="-0.1"/>
        <cfvo type="num" val="0"/>
        <cfvo type="num" val="0.1"/>
        <color rgb="FFF8696B"/>
        <color rgb="FFFFEB84"/>
        <color rgb="FF63BE7B"/>
      </colorScale>
    </cfRule>
  </conditionalFormatting>
  <conditionalFormatting sqref="Q750">
    <cfRule type="colorScale" priority="585">
      <colorScale>
        <cfvo type="num" val="-0.1"/>
        <cfvo type="num" val="0"/>
        <cfvo type="num" val="0.1"/>
        <color rgb="FFF8696B"/>
        <color rgb="FFFFEB84"/>
        <color rgb="FF63BE7B"/>
      </colorScale>
    </cfRule>
  </conditionalFormatting>
  <conditionalFormatting sqref="Q751">
    <cfRule type="colorScale" priority="584">
      <colorScale>
        <cfvo type="num" val="-0.1"/>
        <cfvo type="num" val="0"/>
        <cfvo type="num" val="0.1"/>
        <color rgb="FFF8696B"/>
        <color rgb="FFFFEB84"/>
        <color rgb="FF63BE7B"/>
      </colorScale>
    </cfRule>
  </conditionalFormatting>
  <conditionalFormatting sqref="Q752:Q756 Q758:Q760">
    <cfRule type="colorScale" priority="587">
      <colorScale>
        <cfvo type="num" val="-0.1"/>
        <cfvo type="num" val="0"/>
        <cfvo type="num" val="0.1"/>
        <color rgb="FFF8696B"/>
        <color rgb="FFFFEB84"/>
        <color rgb="FF63BE7B"/>
      </colorScale>
    </cfRule>
  </conditionalFormatting>
  <conditionalFormatting sqref="Q757:Q758">
    <cfRule type="colorScale" priority="583">
      <colorScale>
        <cfvo type="num" val="-0.1"/>
        <cfvo type="num" val="0"/>
        <cfvo type="num" val="0.1"/>
        <color rgb="FFF8696B"/>
        <color rgb="FFFFEB84"/>
        <color rgb="FF63BE7B"/>
      </colorScale>
    </cfRule>
  </conditionalFormatting>
  <conditionalFormatting sqref="Q761">
    <cfRule type="colorScale" priority="582">
      <colorScale>
        <cfvo type="num" val="-0.1"/>
        <cfvo type="num" val="0"/>
        <cfvo type="num" val="0.1"/>
        <color rgb="FFF8696B"/>
        <color rgb="FFFFEB84"/>
        <color rgb="FF63BE7B"/>
      </colorScale>
    </cfRule>
  </conditionalFormatting>
  <conditionalFormatting sqref="Q762">
    <cfRule type="colorScale" priority="595">
      <colorScale>
        <cfvo type="num" val="-0.1"/>
        <cfvo type="num" val="0"/>
        <cfvo type="num" val="0.1"/>
        <color rgb="FFF8696B"/>
        <color rgb="FFFFEB84"/>
        <color rgb="FF63BE7B"/>
      </colorScale>
    </cfRule>
  </conditionalFormatting>
  <conditionalFormatting sqref="Q763">
    <cfRule type="colorScale" priority="592">
      <colorScale>
        <cfvo type="num" val="-0.1"/>
        <cfvo type="num" val="0"/>
        <cfvo type="num" val="0.1"/>
        <color rgb="FFF8696B"/>
        <color rgb="FFFFEB84"/>
        <color rgb="FF63BE7B"/>
      </colorScale>
    </cfRule>
  </conditionalFormatting>
  <conditionalFormatting sqref="Q764">
    <cfRule type="colorScale" priority="591">
      <colorScale>
        <cfvo type="num" val="-0.1"/>
        <cfvo type="num" val="0"/>
        <cfvo type="num" val="0.1"/>
        <color rgb="FFF8696B"/>
        <color rgb="FFFFEB84"/>
        <color rgb="FF63BE7B"/>
      </colorScale>
    </cfRule>
  </conditionalFormatting>
  <conditionalFormatting sqref="Q765">
    <cfRule type="colorScale" priority="596">
      <colorScale>
        <cfvo type="num" val="-0.1"/>
        <cfvo type="num" val="0"/>
        <cfvo type="num" val="0.1"/>
        <color rgb="FFF8696B"/>
        <color rgb="FFFFEB84"/>
        <color rgb="FF63BE7B"/>
      </colorScale>
    </cfRule>
  </conditionalFormatting>
  <conditionalFormatting sqref="Q766">
    <cfRule type="colorScale" priority="597">
      <colorScale>
        <cfvo type="num" val="-0.1"/>
        <cfvo type="num" val="0"/>
        <cfvo type="num" val="0.1"/>
        <color rgb="FFF8696B"/>
        <color rgb="FFFFEB84"/>
        <color rgb="FF63BE7B"/>
      </colorScale>
    </cfRule>
  </conditionalFormatting>
  <conditionalFormatting sqref="Q767">
    <cfRule type="colorScale" priority="589">
      <colorScale>
        <cfvo type="num" val="-0.1"/>
        <cfvo type="num" val="0"/>
        <cfvo type="num" val="0.1"/>
        <color rgb="FFF8696B"/>
        <color rgb="FFFFEB84"/>
        <color rgb="FF63BE7B"/>
      </colorScale>
    </cfRule>
  </conditionalFormatting>
  <conditionalFormatting sqref="Q768:Q769 Q772:Q776">
    <cfRule type="colorScale" priority="598">
      <colorScale>
        <cfvo type="num" val="-0.1"/>
        <cfvo type="num" val="0"/>
        <cfvo type="num" val="0.1"/>
        <color rgb="FFF8696B"/>
        <color rgb="FFFFEB84"/>
        <color rgb="FF63BE7B"/>
      </colorScale>
    </cfRule>
  </conditionalFormatting>
  <conditionalFormatting sqref="Q770:Q771">
    <cfRule type="colorScale" priority="594">
      <colorScale>
        <cfvo type="num" val="-0.1"/>
        <cfvo type="num" val="0"/>
        <cfvo type="num" val="0.1"/>
        <color rgb="FFF8696B"/>
        <color rgb="FFFFEB84"/>
        <color rgb="FF63BE7B"/>
      </colorScale>
    </cfRule>
  </conditionalFormatting>
  <conditionalFormatting sqref="Q773">
    <cfRule type="colorScale" priority="593">
      <colorScale>
        <cfvo type="num" val="-0.1"/>
        <cfvo type="num" val="0"/>
        <cfvo type="num" val="0.1"/>
        <color rgb="FFF8696B"/>
        <color rgb="FFFFEB84"/>
        <color rgb="FF63BE7B"/>
      </colorScale>
    </cfRule>
  </conditionalFormatting>
  <conditionalFormatting sqref="Q777">
    <cfRule type="colorScale" priority="590">
      <colorScale>
        <cfvo type="num" val="-0.1"/>
        <cfvo type="num" val="0"/>
        <cfvo type="num" val="0.1"/>
        <color rgb="FFF8696B"/>
        <color rgb="FFFFEB84"/>
        <color rgb="FF63BE7B"/>
      </colorScale>
    </cfRule>
  </conditionalFormatting>
  <conditionalFormatting sqref="Q778">
    <cfRule type="colorScale" priority="603">
      <colorScale>
        <cfvo type="num" val="-0.1"/>
        <cfvo type="num" val="0"/>
        <cfvo type="num" val="0.1"/>
        <color rgb="FFF8696B"/>
        <color rgb="FFFFEB84"/>
        <color rgb="FF63BE7B"/>
      </colorScale>
    </cfRule>
  </conditionalFormatting>
  <conditionalFormatting sqref="Q779">
    <cfRule type="colorScale" priority="602">
      <colorScale>
        <cfvo type="num" val="-0.1"/>
        <cfvo type="num" val="0"/>
        <cfvo type="num" val="0.1"/>
        <color rgb="FFF8696B"/>
        <color rgb="FFFFEB84"/>
        <color rgb="FF63BE7B"/>
      </colorScale>
    </cfRule>
  </conditionalFormatting>
  <conditionalFormatting sqref="Q780">
    <cfRule type="colorScale" priority="601">
      <colorScale>
        <cfvo type="num" val="-0.1"/>
        <cfvo type="num" val="0"/>
        <cfvo type="num" val="0.1"/>
        <color rgb="FFF8696B"/>
        <color rgb="FFFFEB84"/>
        <color rgb="FF63BE7B"/>
      </colorScale>
    </cfRule>
  </conditionalFormatting>
  <conditionalFormatting sqref="Q781:Q785 Q787:Q789">
    <cfRule type="colorScale" priority="604">
      <colorScale>
        <cfvo type="num" val="-0.1"/>
        <cfvo type="num" val="0"/>
        <cfvo type="num" val="0.1"/>
        <color rgb="FFF8696B"/>
        <color rgb="FFFFEB84"/>
        <color rgb="FF63BE7B"/>
      </colorScale>
    </cfRule>
  </conditionalFormatting>
  <conditionalFormatting sqref="Q786:Q787">
    <cfRule type="colorScale" priority="600">
      <colorScale>
        <cfvo type="num" val="-0.1"/>
        <cfvo type="num" val="0"/>
        <cfvo type="num" val="0.1"/>
        <color rgb="FFF8696B"/>
        <color rgb="FFFFEB84"/>
        <color rgb="FF63BE7B"/>
      </colorScale>
    </cfRule>
  </conditionalFormatting>
  <conditionalFormatting sqref="Q790">
    <cfRule type="colorScale" priority="588">
      <colorScale>
        <cfvo type="num" val="-0.1"/>
        <cfvo type="num" val="0"/>
        <cfvo type="num" val="0.1"/>
        <color rgb="FFF8696B"/>
        <color rgb="FFFFEB84"/>
        <color rgb="FF63BE7B"/>
      </colorScale>
    </cfRule>
  </conditionalFormatting>
  <conditionalFormatting sqref="Q791">
    <cfRule type="colorScale" priority="599">
      <colorScale>
        <cfvo type="num" val="-0.1"/>
        <cfvo type="num" val="0"/>
        <cfvo type="num" val="0.1"/>
        <color rgb="FFF8696B"/>
        <color rgb="FFFFEB84"/>
        <color rgb="FF63BE7B"/>
      </colorScale>
    </cfRule>
  </conditionalFormatting>
  <conditionalFormatting sqref="Q792">
    <cfRule type="colorScale" priority="614">
      <colorScale>
        <cfvo type="num" val="-0.1"/>
        <cfvo type="num" val="0"/>
        <cfvo type="num" val="0.1"/>
        <color rgb="FFF8696B"/>
        <color rgb="FFFFEB84"/>
        <color rgb="FF63BE7B"/>
      </colorScale>
    </cfRule>
  </conditionalFormatting>
  <conditionalFormatting sqref="Q793">
    <cfRule type="colorScale" priority="607">
      <colorScale>
        <cfvo type="num" val="-0.1"/>
        <cfvo type="num" val="0"/>
        <cfvo type="num" val="0.1"/>
        <color rgb="FFF8696B"/>
        <color rgb="FFFFEB84"/>
        <color rgb="FF63BE7B"/>
      </colorScale>
    </cfRule>
  </conditionalFormatting>
  <conditionalFormatting sqref="Q794">
    <cfRule type="colorScale" priority="606">
      <colorScale>
        <cfvo type="num" val="-0.1"/>
        <cfvo type="num" val="0"/>
        <cfvo type="num" val="0.1"/>
        <color rgb="FFF8696B"/>
        <color rgb="FFFFEB84"/>
        <color rgb="FF63BE7B"/>
      </colorScale>
    </cfRule>
  </conditionalFormatting>
  <conditionalFormatting sqref="Q795">
    <cfRule type="colorScale" priority="615">
      <colorScale>
        <cfvo type="num" val="-0.1"/>
        <cfvo type="num" val="0"/>
        <cfvo type="num" val="0.1"/>
        <color rgb="FFF8696B"/>
        <color rgb="FFFFEB84"/>
        <color rgb="FF63BE7B"/>
      </colorScale>
    </cfRule>
  </conditionalFormatting>
  <conditionalFormatting sqref="Q796">
    <cfRule type="colorScale" priority="616">
      <colorScale>
        <cfvo type="num" val="-0.1"/>
        <cfvo type="num" val="0"/>
        <cfvo type="num" val="0.1"/>
        <color rgb="FFF8696B"/>
        <color rgb="FFFFEB84"/>
        <color rgb="FF63BE7B"/>
      </colorScale>
    </cfRule>
  </conditionalFormatting>
  <conditionalFormatting sqref="Q797:Q798 Q801:Q805">
    <cfRule type="colorScale" priority="617">
      <colorScale>
        <cfvo type="num" val="-0.1"/>
        <cfvo type="num" val="0"/>
        <cfvo type="num" val="0.1"/>
        <color rgb="FFF8696B"/>
        <color rgb="FFFFEB84"/>
        <color rgb="FF63BE7B"/>
      </colorScale>
    </cfRule>
  </conditionalFormatting>
  <conditionalFormatting sqref="Q799:Q800">
    <cfRule type="colorScale" priority="611">
      <colorScale>
        <cfvo type="num" val="-0.1"/>
        <cfvo type="num" val="0"/>
        <cfvo type="num" val="0.1"/>
        <color rgb="FFF8696B"/>
        <color rgb="FFFFEB84"/>
        <color rgb="FF63BE7B"/>
      </colorScale>
    </cfRule>
  </conditionalFormatting>
  <conditionalFormatting sqref="Q802">
    <cfRule type="colorScale" priority="610">
      <colorScale>
        <cfvo type="num" val="-0.1"/>
        <cfvo type="num" val="0"/>
        <cfvo type="num" val="0.1"/>
        <color rgb="FFF8696B"/>
        <color rgb="FFFFEB84"/>
        <color rgb="FF63BE7B"/>
      </colorScale>
    </cfRule>
  </conditionalFormatting>
  <conditionalFormatting sqref="Q806">
    <cfRule type="colorScale" priority="612">
      <colorScale>
        <cfvo type="num" val="-0.1"/>
        <cfvo type="num" val="0"/>
        <cfvo type="num" val="0.1"/>
        <color rgb="FFF8696B"/>
        <color rgb="FFFFEB84"/>
        <color rgb="FF63BE7B"/>
      </colorScale>
    </cfRule>
  </conditionalFormatting>
  <conditionalFormatting sqref="Q807">
    <cfRule type="colorScale" priority="613">
      <colorScale>
        <cfvo type="num" val="-0.1"/>
        <cfvo type="num" val="0"/>
        <cfvo type="num" val="0.1"/>
        <color rgb="FFF8696B"/>
        <color rgb="FFFFEB84"/>
        <color rgb="FF63BE7B"/>
      </colorScale>
    </cfRule>
  </conditionalFormatting>
  <conditionalFormatting sqref="Q808">
    <cfRule type="colorScale" priority="609">
      <colorScale>
        <cfvo type="num" val="-0.1"/>
        <cfvo type="num" val="0"/>
        <cfvo type="num" val="0.1"/>
        <color rgb="FFF8696B"/>
        <color rgb="FFFFEB84"/>
        <color rgb="FF63BE7B"/>
      </colorScale>
    </cfRule>
  </conditionalFormatting>
  <conditionalFormatting sqref="Q809">
    <cfRule type="colorScale" priority="608">
      <colorScale>
        <cfvo type="num" val="-0.1"/>
        <cfvo type="num" val="0"/>
        <cfvo type="num" val="0.1"/>
        <color rgb="FFF8696B"/>
        <color rgb="FFFFEB84"/>
        <color rgb="FF63BE7B"/>
      </colorScale>
    </cfRule>
  </conditionalFormatting>
  <conditionalFormatting sqref="Q815:Q816">
    <cfRule type="colorScale" priority="605">
      <colorScale>
        <cfvo type="num" val="-0.1"/>
        <cfvo type="num" val="0"/>
        <cfvo type="num" val="0.1"/>
        <color rgb="FFF8696B"/>
        <color rgb="FFFFEB84"/>
        <color rgb="FF63BE7B"/>
      </colorScale>
    </cfRule>
  </conditionalFormatting>
  <conditionalFormatting sqref="Q820">
    <cfRule type="colorScale" priority="623">
      <colorScale>
        <cfvo type="num" val="-0.1"/>
        <cfvo type="num" val="0"/>
        <cfvo type="num" val="0.1"/>
        <color rgb="FFF8696B"/>
        <color rgb="FFFFEB84"/>
        <color rgb="FF63BE7B"/>
      </colorScale>
    </cfRule>
  </conditionalFormatting>
  <conditionalFormatting sqref="Q821">
    <cfRule type="colorScale" priority="624">
      <colorScale>
        <cfvo type="num" val="-0.1"/>
        <cfvo type="num" val="0"/>
        <cfvo type="num" val="0.1"/>
        <color rgb="FFF8696B"/>
        <color rgb="FFFFEB84"/>
        <color rgb="FF63BE7B"/>
      </colorScale>
    </cfRule>
  </conditionalFormatting>
  <conditionalFormatting sqref="Q822">
    <cfRule type="colorScale" priority="625">
      <colorScale>
        <cfvo type="num" val="-0.1"/>
        <cfvo type="num" val="0"/>
        <cfvo type="num" val="0.1"/>
        <color rgb="FFF8696B"/>
        <color rgb="FFFFEB84"/>
        <color rgb="FF63BE7B"/>
      </colorScale>
    </cfRule>
  </conditionalFormatting>
  <conditionalFormatting sqref="Q823:Q824 Q827:Q828 Q830:Q831">
    <cfRule type="colorScale" priority="626">
      <colorScale>
        <cfvo type="num" val="-0.1"/>
        <cfvo type="num" val="0"/>
        <cfvo type="num" val="0.1"/>
        <color rgb="FFF8696B"/>
        <color rgb="FFFFEB84"/>
        <color rgb="FF63BE7B"/>
      </colorScale>
    </cfRule>
  </conditionalFormatting>
  <conditionalFormatting sqref="Q825:Q826">
    <cfRule type="colorScale" priority="620">
      <colorScale>
        <cfvo type="num" val="-0.1"/>
        <cfvo type="num" val="0"/>
        <cfvo type="num" val="0.1"/>
        <color rgb="FFF8696B"/>
        <color rgb="FFFFEB84"/>
        <color rgb="FF63BE7B"/>
      </colorScale>
    </cfRule>
  </conditionalFormatting>
  <conditionalFormatting sqref="Q829">
    <cfRule type="colorScale" priority="619">
      <colorScale>
        <cfvo type="num" val="-0.1"/>
        <cfvo type="num" val="0"/>
        <cfvo type="num" val="0.1"/>
        <color rgb="FFF8696B"/>
        <color rgb="FFFFEB84"/>
        <color rgb="FF63BE7B"/>
      </colorScale>
    </cfRule>
  </conditionalFormatting>
  <conditionalFormatting sqref="Q832">
    <cfRule type="colorScale" priority="621">
      <colorScale>
        <cfvo type="num" val="-0.1"/>
        <cfvo type="num" val="0"/>
        <cfvo type="num" val="0.1"/>
        <color rgb="FFF8696B"/>
        <color rgb="FFFFEB84"/>
        <color rgb="FF63BE7B"/>
      </colorScale>
    </cfRule>
  </conditionalFormatting>
  <conditionalFormatting sqref="Q833">
    <cfRule type="colorScale" priority="622">
      <colorScale>
        <cfvo type="num" val="-0.1"/>
        <cfvo type="num" val="0"/>
        <cfvo type="num" val="0.1"/>
        <color rgb="FFF8696B"/>
        <color rgb="FFFFEB84"/>
        <color rgb="FF63BE7B"/>
      </colorScale>
    </cfRule>
  </conditionalFormatting>
  <conditionalFormatting sqref="Q834:Q842">
    <cfRule type="colorScale" priority="627">
      <colorScale>
        <cfvo type="num" val="-0.1"/>
        <cfvo type="num" val="0"/>
        <cfvo type="num" val="0.1"/>
        <color rgb="FFF8696B"/>
        <color rgb="FFFFEB84"/>
        <color rgb="FF63BE7B"/>
      </colorScale>
    </cfRule>
  </conditionalFormatting>
  <conditionalFormatting sqref="Q843">
    <cfRule type="colorScale" priority="631">
      <colorScale>
        <cfvo type="num" val="-0.1"/>
        <cfvo type="num" val="0"/>
        <cfvo type="num" val="0.1"/>
        <color rgb="FFF8696B"/>
        <color rgb="FFFFEB84"/>
        <color rgb="FF63BE7B"/>
      </colorScale>
    </cfRule>
  </conditionalFormatting>
  <conditionalFormatting sqref="Q844">
    <cfRule type="colorScale" priority="632">
      <colorScale>
        <cfvo type="num" val="-0.1"/>
        <cfvo type="num" val="0"/>
        <cfvo type="num" val="0.1"/>
        <color rgb="FFF8696B"/>
        <color rgb="FFFFEB84"/>
        <color rgb="FF63BE7B"/>
      </colorScale>
    </cfRule>
  </conditionalFormatting>
  <conditionalFormatting sqref="Q845">
    <cfRule type="colorScale" priority="633">
      <colorScale>
        <cfvo type="num" val="-0.1"/>
        <cfvo type="num" val="0"/>
        <cfvo type="num" val="0.1"/>
        <color rgb="FFF8696B"/>
        <color rgb="FFFFEB84"/>
        <color rgb="FF63BE7B"/>
      </colorScale>
    </cfRule>
  </conditionalFormatting>
  <conditionalFormatting sqref="Q846:Q851">
    <cfRule type="colorScale" priority="635">
      <colorScale>
        <cfvo type="num" val="-0.1"/>
        <cfvo type="num" val="0"/>
        <cfvo type="num" val="0.1"/>
        <color rgb="FFF8696B"/>
        <color rgb="FFFFEB84"/>
        <color rgb="FF63BE7B"/>
      </colorScale>
    </cfRule>
  </conditionalFormatting>
  <conditionalFormatting sqref="Q852">
    <cfRule type="colorScale" priority="628">
      <colorScale>
        <cfvo type="num" val="-0.1"/>
        <cfvo type="num" val="0"/>
        <cfvo type="num" val="0.1"/>
        <color rgb="FFF8696B"/>
        <color rgb="FFFFEB84"/>
        <color rgb="FF63BE7B"/>
      </colorScale>
    </cfRule>
  </conditionalFormatting>
  <conditionalFormatting sqref="Q853">
    <cfRule type="colorScale" priority="629">
      <colorScale>
        <cfvo type="num" val="-0.1"/>
        <cfvo type="num" val="0"/>
        <cfvo type="num" val="0.1"/>
        <color rgb="FFF8696B"/>
        <color rgb="FFFFEB84"/>
        <color rgb="FF63BE7B"/>
      </colorScale>
    </cfRule>
  </conditionalFormatting>
  <conditionalFormatting sqref="Q863">
    <cfRule type="colorScale" priority="638">
      <colorScale>
        <cfvo type="num" val="-0.1"/>
        <cfvo type="num" val="0"/>
        <cfvo type="num" val="0.1"/>
        <color rgb="FFF8696B"/>
        <color rgb="FFFFEB84"/>
        <color rgb="FF63BE7B"/>
      </colorScale>
    </cfRule>
  </conditionalFormatting>
  <conditionalFormatting sqref="Q864">
    <cfRule type="colorScale" priority="639">
      <colorScale>
        <cfvo type="num" val="-0.1"/>
        <cfvo type="num" val="0"/>
        <cfvo type="num" val="0.1"/>
        <color rgb="FFF8696B"/>
        <color rgb="FFFFEB84"/>
        <color rgb="FF63BE7B"/>
      </colorScale>
    </cfRule>
  </conditionalFormatting>
  <conditionalFormatting sqref="Q870">
    <cfRule type="colorScale" priority="650">
      <colorScale>
        <cfvo type="num" val="-0.1"/>
        <cfvo type="num" val="0"/>
        <cfvo type="num" val="0.1"/>
        <color rgb="FFF8696B"/>
        <color rgb="FFFFEB84"/>
        <color rgb="FF63BE7B"/>
      </colorScale>
    </cfRule>
  </conditionalFormatting>
  <conditionalFormatting sqref="Q874">
    <cfRule type="colorScale" priority="636">
      <colorScale>
        <cfvo type="num" val="-0.1"/>
        <cfvo type="num" val="0"/>
        <cfvo type="num" val="0.1"/>
        <color rgb="FFF8696B"/>
        <color rgb="FFFFEB84"/>
        <color rgb="FF63BE7B"/>
      </colorScale>
    </cfRule>
  </conditionalFormatting>
  <conditionalFormatting sqref="Q886:Q887">
    <cfRule type="colorScale" priority="637">
      <colorScale>
        <cfvo type="num" val="-0.1"/>
        <cfvo type="num" val="0"/>
        <cfvo type="num" val="0.1"/>
        <color rgb="FFF8696B"/>
        <color rgb="FFFFEB84"/>
        <color rgb="FF63BE7B"/>
      </colorScale>
    </cfRule>
  </conditionalFormatting>
  <conditionalFormatting sqref="Q865 Q888">
    <cfRule type="colorScale" priority="640">
      <colorScale>
        <cfvo type="num" val="-0.1"/>
        <cfvo type="num" val="0"/>
        <cfvo type="num" val="0.1"/>
        <color rgb="FFF8696B"/>
        <color rgb="FFFFEB84"/>
        <color rgb="FF63BE7B"/>
      </colorScale>
    </cfRule>
  </conditionalFormatting>
  <conditionalFormatting sqref="Q889">
    <cfRule type="colorScale" priority="643">
      <colorScale>
        <cfvo type="num" val="-0.1"/>
        <cfvo type="num" val="0"/>
        <cfvo type="num" val="0.1"/>
        <color rgb="FFF8696B"/>
        <color rgb="FFFFEB84"/>
        <color rgb="FF63BE7B"/>
      </colorScale>
    </cfRule>
  </conditionalFormatting>
  <conditionalFormatting sqref="Q890">
    <cfRule type="colorScale" priority="645">
      <colorScale>
        <cfvo type="num" val="-0.1"/>
        <cfvo type="num" val="0"/>
        <cfvo type="num" val="0.1"/>
        <color rgb="FFF8696B"/>
        <color rgb="FFFFEB84"/>
        <color rgb="FF63BE7B"/>
      </colorScale>
    </cfRule>
  </conditionalFormatting>
  <conditionalFormatting sqref="Q891:Q910 Q913:Q914">
    <cfRule type="colorScale" priority="646">
      <colorScale>
        <cfvo type="num" val="-0.1"/>
        <cfvo type="num" val="0"/>
        <cfvo type="num" val="0.1"/>
        <color rgb="FFF8696B"/>
        <color rgb="FFFFEB84"/>
        <color rgb="FF63BE7B"/>
      </colorScale>
    </cfRule>
  </conditionalFormatting>
  <conditionalFormatting sqref="Q911:Q912">
    <cfRule type="colorScale" priority="641">
      <colorScale>
        <cfvo type="num" val="-0.1"/>
        <cfvo type="num" val="0"/>
        <cfvo type="num" val="0.1"/>
        <color rgb="FFF8696B"/>
        <color rgb="FFFFEB84"/>
        <color rgb="FF63BE7B"/>
      </colorScale>
    </cfRule>
  </conditionalFormatting>
  <conditionalFormatting sqref="Q915">
    <cfRule type="colorScale" priority="648">
      <colorScale>
        <cfvo type="num" val="-0.1"/>
        <cfvo type="num" val="0"/>
        <cfvo type="num" val="0.1"/>
        <color rgb="FFF8696B"/>
        <color rgb="FFFFEB84"/>
        <color rgb="FF63BE7B"/>
      </colorScale>
    </cfRule>
  </conditionalFormatting>
  <conditionalFormatting sqref="Q939:Q950">
    <cfRule type="colorScale" priority="658">
      <colorScale>
        <cfvo type="num" val="-0.1"/>
        <cfvo type="num" val="0"/>
        <cfvo type="num" val="0.1"/>
        <color rgb="FFF8696B"/>
        <color rgb="FFFFEB84"/>
        <color rgb="FF63BE7B"/>
      </colorScale>
    </cfRule>
  </conditionalFormatting>
  <conditionalFormatting sqref="Q951:Q958">
    <cfRule type="colorScale" priority="657">
      <colorScale>
        <cfvo type="num" val="-0.1"/>
        <cfvo type="num" val="0"/>
        <cfvo type="num" val="0.1"/>
        <color rgb="FFF8696B"/>
        <color rgb="FFFFEB84"/>
        <color rgb="FF63BE7B"/>
      </colorScale>
    </cfRule>
  </conditionalFormatting>
  <conditionalFormatting sqref="Q959">
    <cfRule type="colorScale" priority="656">
      <colorScale>
        <cfvo type="num" val="-0.1"/>
        <cfvo type="num" val="0"/>
        <cfvo type="num" val="0.1"/>
        <color rgb="FFF8696B"/>
        <color rgb="FFFFEB84"/>
        <color rgb="FF63BE7B"/>
      </colorScale>
    </cfRule>
  </conditionalFormatting>
  <conditionalFormatting sqref="Q960">
    <cfRule type="colorScale" priority="655">
      <colorScale>
        <cfvo type="num" val="-0.1"/>
        <cfvo type="num" val="0"/>
        <cfvo type="num" val="0.1"/>
        <color rgb="FFF8696B"/>
        <color rgb="FFFFEB84"/>
        <color rgb="FF63BE7B"/>
      </colorScale>
    </cfRule>
  </conditionalFormatting>
  <conditionalFormatting sqref="Q961">
    <cfRule type="colorScale" priority="654">
      <colorScale>
        <cfvo type="num" val="-0.1"/>
        <cfvo type="num" val="0"/>
        <cfvo type="num" val="0.1"/>
        <color rgb="FFF8696B"/>
        <color rgb="FFFFEB84"/>
        <color rgb="FF63BE7B"/>
      </colorScale>
    </cfRule>
  </conditionalFormatting>
  <conditionalFormatting sqref="Q962">
    <cfRule type="colorScale" priority="653">
      <colorScale>
        <cfvo type="num" val="-0.1"/>
        <cfvo type="num" val="0"/>
        <cfvo type="num" val="0.1"/>
        <color rgb="FFF8696B"/>
        <color rgb="FFFFEB84"/>
        <color rgb="FF63BE7B"/>
      </colorScale>
    </cfRule>
  </conditionalFormatting>
  <conditionalFormatting sqref="Q963">
    <cfRule type="colorScale" priority="652">
      <colorScale>
        <cfvo type="num" val="-0.1"/>
        <cfvo type="num" val="0"/>
        <cfvo type="num" val="0.1"/>
        <color rgb="FFF8696B"/>
        <color rgb="FFFFEB84"/>
        <color rgb="FF63BE7B"/>
      </colorScale>
    </cfRule>
  </conditionalFormatting>
  <conditionalFormatting sqref="Q964">
    <cfRule type="colorScale" priority="651">
      <colorScale>
        <cfvo type="num" val="-0.1"/>
        <cfvo type="num" val="0"/>
        <cfvo type="num" val="0.1"/>
        <color rgb="FFF8696B"/>
        <color rgb="FFFFEB84"/>
        <color rgb="FF63BE7B"/>
      </colorScale>
    </cfRule>
  </conditionalFormatting>
  <hyperlinks>
    <hyperlink xmlns:r="http://schemas.openxmlformats.org/officeDocument/2006/relationships" ref="T5" display="Link" r:id="rId1"/>
    <hyperlink xmlns:r="http://schemas.openxmlformats.org/officeDocument/2006/relationships" ref="T6" display="CFO Commentary" r:id="rId2"/>
    <hyperlink xmlns:r="http://schemas.openxmlformats.org/officeDocument/2006/relationships" ref="T7" display="CFO Commentary" r:id="rId3"/>
    <hyperlink xmlns:r="http://schemas.openxmlformats.org/officeDocument/2006/relationships" ref="T8" display="CFO Commentary" r:id="rId4"/>
    <hyperlink xmlns:r="http://schemas.openxmlformats.org/officeDocument/2006/relationships" ref="T9" display="CFO Commentary" r:id="rId5"/>
    <hyperlink xmlns:r="http://schemas.openxmlformats.org/officeDocument/2006/relationships" ref="T10" display="CFO Commentary" r:id="rId6"/>
    <hyperlink xmlns:r="http://schemas.openxmlformats.org/officeDocument/2006/relationships" ref="T11" display="CFO Commentary" r:id="rId7"/>
    <hyperlink xmlns:r="http://schemas.openxmlformats.org/officeDocument/2006/relationships" ref="T12" display="CFO Commentary" r:id="rId8"/>
    <hyperlink xmlns:r="http://schemas.openxmlformats.org/officeDocument/2006/relationships" ref="T13" display="CFO Commentary" r:id="rId9"/>
    <hyperlink xmlns:r="http://schemas.openxmlformats.org/officeDocument/2006/relationships" ref="T14" display="CFO Commentary" r:id="rId10"/>
    <hyperlink xmlns:r="http://schemas.openxmlformats.org/officeDocument/2006/relationships" ref="T15" display="CFO Commentary" r:id="rId11"/>
    <hyperlink xmlns:r="http://schemas.openxmlformats.org/officeDocument/2006/relationships" ref="T16" display="CFO Commentary" r:id="rId12"/>
    <hyperlink xmlns:r="http://schemas.openxmlformats.org/officeDocument/2006/relationships" ref="T17" display="CFO Commentary" r:id="rId13"/>
    <hyperlink xmlns:r="http://schemas.openxmlformats.org/officeDocument/2006/relationships" ref="T18" display="CFO Commentary" r:id="rId14"/>
    <hyperlink xmlns:r="http://schemas.openxmlformats.org/officeDocument/2006/relationships" ref="T19" display="CFO Commentary" r:id="rId15"/>
    <hyperlink xmlns:r="http://schemas.openxmlformats.org/officeDocument/2006/relationships" ref="T20" display="CFO Commentary" r:id="rId16"/>
    <hyperlink xmlns:r="http://schemas.openxmlformats.org/officeDocument/2006/relationships" ref="T21" display="CFO Commentary" r:id="rId17"/>
    <hyperlink xmlns:r="http://schemas.openxmlformats.org/officeDocument/2006/relationships" ref="T22" display="CFO Commentary" r:id="rId18"/>
    <hyperlink xmlns:r="http://schemas.openxmlformats.org/officeDocument/2006/relationships" ref="T23" display="CFO Commentary" r:id="rId19"/>
    <hyperlink xmlns:r="http://schemas.openxmlformats.org/officeDocument/2006/relationships" ref="T24" display="CFO Commentary" r:id="rId20"/>
    <hyperlink xmlns:r="http://schemas.openxmlformats.org/officeDocument/2006/relationships" ref="T25" display="CFO Commentary" r:id="rId21"/>
    <hyperlink xmlns:r="http://schemas.openxmlformats.org/officeDocument/2006/relationships" ref="T26" display="CFO Commentary" r:id="rId22"/>
    <hyperlink xmlns:r="http://schemas.openxmlformats.org/officeDocument/2006/relationships" ref="T27" display="CFO Commentary" r:id="rId23"/>
    <hyperlink xmlns:r="http://schemas.openxmlformats.org/officeDocument/2006/relationships" ref="T28" display="CFO Commentary" r:id="rId24"/>
    <hyperlink xmlns:r="http://schemas.openxmlformats.org/officeDocument/2006/relationships" ref="T29" display="CFO Commentary" r:id="rId25"/>
    <hyperlink xmlns:r="http://schemas.openxmlformats.org/officeDocument/2006/relationships" ref="T31" display="CFO Commentary" r:id="rId26"/>
    <hyperlink xmlns:r="http://schemas.openxmlformats.org/officeDocument/2006/relationships" ref="T32" display="CFO Commentary" r:id="rId27"/>
    <hyperlink xmlns:r="http://schemas.openxmlformats.org/officeDocument/2006/relationships" ref="T33" display="CFO Commentary" r:id="rId28"/>
    <hyperlink xmlns:r="http://schemas.openxmlformats.org/officeDocument/2006/relationships" ref="T34" display="CFO Commentary" r:id="rId29"/>
    <hyperlink xmlns:r="http://schemas.openxmlformats.org/officeDocument/2006/relationships" ref="T35" display="CFO Commentary" r:id="rId30"/>
    <hyperlink xmlns:r="http://schemas.openxmlformats.org/officeDocument/2006/relationships" ref="T36" display="CFO Commentary" r:id="rId31"/>
    <hyperlink xmlns:r="http://schemas.openxmlformats.org/officeDocument/2006/relationships" ref="T38" display="CFO Commentary" r:id="rId32"/>
    <hyperlink xmlns:r="http://schemas.openxmlformats.org/officeDocument/2006/relationships" ref="T39" display="CFO Commentary" r:id="rId33"/>
    <hyperlink xmlns:r="http://schemas.openxmlformats.org/officeDocument/2006/relationships" ref="T40" display="CFO Commentary" r:id="rId34"/>
    <hyperlink xmlns:r="http://schemas.openxmlformats.org/officeDocument/2006/relationships" ref="T41" display="CFO Commentary" r:id="rId35"/>
    <hyperlink xmlns:r="http://schemas.openxmlformats.org/officeDocument/2006/relationships" ref="T42" display="CFO Commentary" r:id="rId36"/>
    <hyperlink xmlns:r="http://schemas.openxmlformats.org/officeDocument/2006/relationships" ref="T43" display="CFO Commentary" r:id="rId37"/>
    <hyperlink xmlns:r="http://schemas.openxmlformats.org/officeDocument/2006/relationships" ref="T44" display="CFO Commentary" r:id="rId38"/>
    <hyperlink xmlns:r="http://schemas.openxmlformats.org/officeDocument/2006/relationships" ref="T45" display="CFO Commentary" r:id="rId39"/>
    <hyperlink xmlns:r="http://schemas.openxmlformats.org/officeDocument/2006/relationships" ref="T46" display="CFO Commentary" r:id="rId40"/>
    <hyperlink xmlns:r="http://schemas.openxmlformats.org/officeDocument/2006/relationships" ref="T47" display="CFO Commentary" r:id="rId41"/>
    <hyperlink xmlns:r="http://schemas.openxmlformats.org/officeDocument/2006/relationships" ref="T48" display="CFO Commentary" r:id="rId42"/>
    <hyperlink xmlns:r="http://schemas.openxmlformats.org/officeDocument/2006/relationships" ref="T49" display="CFO Commentary" r:id="rId43"/>
    <hyperlink xmlns:r="http://schemas.openxmlformats.org/officeDocument/2006/relationships" ref="T50" display="CFO Commentary" r:id="rId44"/>
    <hyperlink xmlns:r="http://schemas.openxmlformats.org/officeDocument/2006/relationships" ref="T51" display="CFO Commentary" r:id="rId45"/>
    <hyperlink xmlns:r="http://schemas.openxmlformats.org/officeDocument/2006/relationships" ref="T52" display="CFO Commentary" r:id="rId46"/>
    <hyperlink xmlns:r="http://schemas.openxmlformats.org/officeDocument/2006/relationships" ref="T53" display="CFO Commentary" r:id="rId47"/>
    <hyperlink xmlns:r="http://schemas.openxmlformats.org/officeDocument/2006/relationships" ref="T54" display="CFO Commentary" r:id="rId48"/>
    <hyperlink xmlns:r="http://schemas.openxmlformats.org/officeDocument/2006/relationships" ref="T55" display="CFO Commentary" r:id="rId49"/>
    <hyperlink xmlns:r="http://schemas.openxmlformats.org/officeDocument/2006/relationships" ref="T56" display="CFO Commentary" r:id="rId50"/>
    <hyperlink xmlns:r="http://schemas.openxmlformats.org/officeDocument/2006/relationships" ref="T57" display="CFO Commentary" r:id="rId51"/>
    <hyperlink xmlns:r="http://schemas.openxmlformats.org/officeDocument/2006/relationships" ref="T58" display="CFO Commentary" r:id="rId52"/>
    <hyperlink xmlns:r="http://schemas.openxmlformats.org/officeDocument/2006/relationships" ref="T59" display="CFO Commentary" r:id="rId53"/>
    <hyperlink xmlns:r="http://schemas.openxmlformats.org/officeDocument/2006/relationships" ref="T60" display="CFO Commentary" r:id="rId54"/>
    <hyperlink xmlns:r="http://schemas.openxmlformats.org/officeDocument/2006/relationships" ref="T62" display="CFO Commentary" r:id="rId55"/>
    <hyperlink xmlns:r="http://schemas.openxmlformats.org/officeDocument/2006/relationships" ref="T63" display="CFO Commentary" r:id="rId56"/>
    <hyperlink xmlns:r="http://schemas.openxmlformats.org/officeDocument/2006/relationships" ref="T64" display="CFO Commentary" r:id="rId57"/>
    <hyperlink xmlns:r="http://schemas.openxmlformats.org/officeDocument/2006/relationships" ref="T65" display="CFO Commentary" r:id="rId58"/>
    <hyperlink xmlns:r="http://schemas.openxmlformats.org/officeDocument/2006/relationships" ref="T66" display="CFO Commentary" r:id="rId59"/>
    <hyperlink xmlns:r="http://schemas.openxmlformats.org/officeDocument/2006/relationships" ref="T67" display="CFO Commentary" r:id="rId60"/>
    <hyperlink xmlns:r="http://schemas.openxmlformats.org/officeDocument/2006/relationships" ref="T69" display="CFO Commentary" r:id="rId61"/>
    <hyperlink xmlns:r="http://schemas.openxmlformats.org/officeDocument/2006/relationships" ref="T70" display="CFO Commentary" r:id="rId62"/>
    <hyperlink xmlns:r="http://schemas.openxmlformats.org/officeDocument/2006/relationships" ref="T71" display="CFO Commentary" r:id="rId63"/>
    <hyperlink xmlns:r="http://schemas.openxmlformats.org/officeDocument/2006/relationships" ref="T72" display="CFO Commentary" r:id="rId64"/>
    <hyperlink xmlns:r="http://schemas.openxmlformats.org/officeDocument/2006/relationships" ref="T73" display="CFO Commentary" r:id="rId65"/>
    <hyperlink xmlns:r="http://schemas.openxmlformats.org/officeDocument/2006/relationships" ref="T74" display="CFO Commentary" r:id="rId66"/>
    <hyperlink xmlns:r="http://schemas.openxmlformats.org/officeDocument/2006/relationships" ref="T75" display="CFO Commentary" r:id="rId67"/>
    <hyperlink xmlns:r="http://schemas.openxmlformats.org/officeDocument/2006/relationships" ref="T76" display="CFO Commentary" r:id="rId68"/>
    <hyperlink xmlns:r="http://schemas.openxmlformats.org/officeDocument/2006/relationships" ref="T77" display="CFO Commentary" r:id="rId69"/>
    <hyperlink xmlns:r="http://schemas.openxmlformats.org/officeDocument/2006/relationships" ref="T78" display="CFO Commentary" r:id="rId70"/>
    <hyperlink xmlns:r="http://schemas.openxmlformats.org/officeDocument/2006/relationships" ref="T79" display="CFO Commentary" r:id="rId71"/>
    <hyperlink xmlns:r="http://schemas.openxmlformats.org/officeDocument/2006/relationships" ref="T80" display="CFO Commentary" r:id="rId72"/>
    <hyperlink xmlns:r="http://schemas.openxmlformats.org/officeDocument/2006/relationships" ref="T81" display="CFO Commentary" r:id="rId73"/>
    <hyperlink xmlns:r="http://schemas.openxmlformats.org/officeDocument/2006/relationships" ref="T82" display="CFO Commentary" r:id="rId74"/>
    <hyperlink xmlns:r="http://schemas.openxmlformats.org/officeDocument/2006/relationships" ref="T83" display="CFO Commentary" r:id="rId75"/>
    <hyperlink xmlns:r="http://schemas.openxmlformats.org/officeDocument/2006/relationships" ref="T84" display="CFO Commentary" r:id="rId76"/>
    <hyperlink xmlns:r="http://schemas.openxmlformats.org/officeDocument/2006/relationships" ref="T85" display="CFO Commentary" r:id="rId77"/>
    <hyperlink xmlns:r="http://schemas.openxmlformats.org/officeDocument/2006/relationships" ref="T86" display="CFO Commentary" r:id="rId78"/>
    <hyperlink xmlns:r="http://schemas.openxmlformats.org/officeDocument/2006/relationships" ref="T87" display="CFO Commentary" r:id="rId79"/>
    <hyperlink xmlns:r="http://schemas.openxmlformats.org/officeDocument/2006/relationships" ref="T88" display="CFO Commentary" r:id="rId80"/>
    <hyperlink xmlns:r="http://schemas.openxmlformats.org/officeDocument/2006/relationships" ref="T89" display="CFO Commentary" r:id="rId81"/>
    <hyperlink xmlns:r="http://schemas.openxmlformats.org/officeDocument/2006/relationships" ref="T90" display="CFO Commentary" r:id="rId82"/>
    <hyperlink xmlns:r="http://schemas.openxmlformats.org/officeDocument/2006/relationships" ref="T91" display="CFO Commentary" r:id="rId83"/>
    <hyperlink xmlns:r="http://schemas.openxmlformats.org/officeDocument/2006/relationships" ref="T93" display="CFO Commentary" r:id="rId84"/>
    <hyperlink xmlns:r="http://schemas.openxmlformats.org/officeDocument/2006/relationships" ref="T94" display="CFO Commentary" r:id="rId85"/>
    <hyperlink xmlns:r="http://schemas.openxmlformats.org/officeDocument/2006/relationships" ref="T95" display="CFO Commentary" r:id="rId86"/>
    <hyperlink xmlns:r="http://schemas.openxmlformats.org/officeDocument/2006/relationships" ref="T96" display="CFO Commentary" r:id="rId87"/>
    <hyperlink xmlns:r="http://schemas.openxmlformats.org/officeDocument/2006/relationships" ref="T97" display="CFO Commentary" r:id="rId88"/>
    <hyperlink xmlns:r="http://schemas.openxmlformats.org/officeDocument/2006/relationships" ref="T98" display="CFO Commentary" r:id="rId89"/>
    <hyperlink xmlns:r="http://schemas.openxmlformats.org/officeDocument/2006/relationships" ref="T100" display="CFO Commentary" r:id="rId90"/>
    <hyperlink xmlns:r="http://schemas.openxmlformats.org/officeDocument/2006/relationships" ref="T101" display="CFO Commentary" r:id="rId91"/>
    <hyperlink xmlns:r="http://schemas.openxmlformats.org/officeDocument/2006/relationships" ref="T102" display="CFO Commentary" r:id="rId92"/>
    <hyperlink xmlns:r="http://schemas.openxmlformats.org/officeDocument/2006/relationships" ref="T103" display="CFO Commentary" r:id="rId93"/>
    <hyperlink xmlns:r="http://schemas.openxmlformats.org/officeDocument/2006/relationships" ref="T104" display="CFO Commentary" r:id="rId94"/>
    <hyperlink xmlns:r="http://schemas.openxmlformats.org/officeDocument/2006/relationships" ref="T105" display="CFO Commentary" r:id="rId95"/>
    <hyperlink xmlns:r="http://schemas.openxmlformats.org/officeDocument/2006/relationships" ref="T106" display="CFO Commentary" r:id="rId96"/>
    <hyperlink xmlns:r="http://schemas.openxmlformats.org/officeDocument/2006/relationships" ref="T107" display="CFO Commentary" r:id="rId97"/>
    <hyperlink xmlns:r="http://schemas.openxmlformats.org/officeDocument/2006/relationships" ref="T108" display="CFO Commentary" r:id="rId98"/>
    <hyperlink xmlns:r="http://schemas.openxmlformats.org/officeDocument/2006/relationships" ref="T109" display="CFO Commentary" r:id="rId99"/>
    <hyperlink xmlns:r="http://schemas.openxmlformats.org/officeDocument/2006/relationships" ref="T110" display="CFO Commentary" r:id="rId100"/>
    <hyperlink xmlns:r="http://schemas.openxmlformats.org/officeDocument/2006/relationships" ref="T111" display="CFO Commentary" r:id="rId101"/>
    <hyperlink xmlns:r="http://schemas.openxmlformats.org/officeDocument/2006/relationships" ref="T112" display="CFO Commentary" r:id="rId102"/>
    <hyperlink xmlns:r="http://schemas.openxmlformats.org/officeDocument/2006/relationships" ref="T113" display="CFO Commentary" r:id="rId103"/>
    <hyperlink xmlns:r="http://schemas.openxmlformats.org/officeDocument/2006/relationships" ref="T114" display="CFO Commentary" r:id="rId104"/>
    <hyperlink xmlns:r="http://schemas.openxmlformats.org/officeDocument/2006/relationships" ref="T115" display="CFO Commentary" r:id="rId105"/>
    <hyperlink xmlns:r="http://schemas.openxmlformats.org/officeDocument/2006/relationships" ref="T116" display="CFO Commentary" r:id="rId106"/>
    <hyperlink xmlns:r="http://schemas.openxmlformats.org/officeDocument/2006/relationships" ref="T117" display="CFO Commentary" r:id="rId107"/>
    <hyperlink xmlns:r="http://schemas.openxmlformats.org/officeDocument/2006/relationships" ref="T118" display="CFO Commentary" r:id="rId108"/>
    <hyperlink xmlns:r="http://schemas.openxmlformats.org/officeDocument/2006/relationships" ref="T119" display="CFO Commentary" r:id="rId109"/>
    <hyperlink xmlns:r="http://schemas.openxmlformats.org/officeDocument/2006/relationships" ref="T120" display="CFO Commentary" r:id="rId110"/>
    <hyperlink xmlns:r="http://schemas.openxmlformats.org/officeDocument/2006/relationships" ref="T121" display="CFO Commentary" r:id="rId111"/>
    <hyperlink xmlns:r="http://schemas.openxmlformats.org/officeDocument/2006/relationships" ref="T122" display="CFO Commentary" r:id="rId112"/>
    <hyperlink xmlns:r="http://schemas.openxmlformats.org/officeDocument/2006/relationships" ref="T124" display="CFO Commentary" r:id="rId113"/>
    <hyperlink xmlns:r="http://schemas.openxmlformats.org/officeDocument/2006/relationships" ref="T125" display="CFO Commentary" r:id="rId114"/>
    <hyperlink xmlns:r="http://schemas.openxmlformats.org/officeDocument/2006/relationships" ref="T126" display="CFO Commentary" r:id="rId115"/>
    <hyperlink xmlns:r="http://schemas.openxmlformats.org/officeDocument/2006/relationships" ref="T127" display="CFO Commentary" r:id="rId116"/>
    <hyperlink xmlns:r="http://schemas.openxmlformats.org/officeDocument/2006/relationships" ref="T128" display="CFO Commentary" r:id="rId117"/>
    <hyperlink xmlns:r="http://schemas.openxmlformats.org/officeDocument/2006/relationships" ref="T129" display="CFO Commentary" r:id="rId118"/>
    <hyperlink xmlns:r="http://schemas.openxmlformats.org/officeDocument/2006/relationships" ref="T131" display="CFO Commentary" r:id="rId119"/>
    <hyperlink xmlns:r="http://schemas.openxmlformats.org/officeDocument/2006/relationships" ref="T132" display="CFO Commentary" r:id="rId120"/>
    <hyperlink xmlns:r="http://schemas.openxmlformats.org/officeDocument/2006/relationships" ref="T133" display="CFO Commentary" r:id="rId121"/>
    <hyperlink xmlns:r="http://schemas.openxmlformats.org/officeDocument/2006/relationships" ref="T134" display="CFO Commentary" r:id="rId122"/>
    <hyperlink xmlns:r="http://schemas.openxmlformats.org/officeDocument/2006/relationships" ref="T135" display="CFO Commentary" r:id="rId123"/>
    <hyperlink xmlns:r="http://schemas.openxmlformats.org/officeDocument/2006/relationships" ref="T136" display="CFO Commentary" r:id="rId124"/>
    <hyperlink xmlns:r="http://schemas.openxmlformats.org/officeDocument/2006/relationships" ref="T137" display="CFO Commentary" r:id="rId125"/>
    <hyperlink xmlns:r="http://schemas.openxmlformats.org/officeDocument/2006/relationships" ref="T138" display="CFO Commentary" r:id="rId126"/>
    <hyperlink xmlns:r="http://schemas.openxmlformats.org/officeDocument/2006/relationships" ref="T139" display="CFO Commentary" r:id="rId127"/>
    <hyperlink xmlns:r="http://schemas.openxmlformats.org/officeDocument/2006/relationships" ref="T140" display="CFO Commentary" r:id="rId128"/>
    <hyperlink xmlns:r="http://schemas.openxmlformats.org/officeDocument/2006/relationships" ref="T141" display="CFO Commentary" r:id="rId129"/>
    <hyperlink xmlns:r="http://schemas.openxmlformats.org/officeDocument/2006/relationships" ref="T142" display="CFO Commentary" r:id="rId130"/>
    <hyperlink xmlns:r="http://schemas.openxmlformats.org/officeDocument/2006/relationships" ref="T143" display="CFO Commentary" r:id="rId131"/>
    <hyperlink xmlns:r="http://schemas.openxmlformats.org/officeDocument/2006/relationships" ref="T144" display="CFO Commentary" r:id="rId132"/>
    <hyperlink xmlns:r="http://schemas.openxmlformats.org/officeDocument/2006/relationships" ref="T145" display="CFO Commentary" r:id="rId133"/>
    <hyperlink xmlns:r="http://schemas.openxmlformats.org/officeDocument/2006/relationships" ref="T146" display="CFO Commentary" r:id="rId134"/>
    <hyperlink xmlns:r="http://schemas.openxmlformats.org/officeDocument/2006/relationships" ref="T147" display="CFO Commentary" r:id="rId135"/>
    <hyperlink xmlns:r="http://schemas.openxmlformats.org/officeDocument/2006/relationships" ref="T148" display="CFO Commentary" r:id="rId136"/>
    <hyperlink xmlns:r="http://schemas.openxmlformats.org/officeDocument/2006/relationships" ref="T149" display="CFO Commentary" r:id="rId137"/>
    <hyperlink xmlns:r="http://schemas.openxmlformats.org/officeDocument/2006/relationships" ref="T150" display="CFO Commentary" r:id="rId138"/>
    <hyperlink xmlns:r="http://schemas.openxmlformats.org/officeDocument/2006/relationships" ref="T151" display="CFO Commentary" r:id="rId139"/>
    <hyperlink xmlns:r="http://schemas.openxmlformats.org/officeDocument/2006/relationships" ref="T152" display="CFO Commentary" r:id="rId140"/>
    <hyperlink xmlns:r="http://schemas.openxmlformats.org/officeDocument/2006/relationships" ref="T153" display="CFO Commentary" r:id="rId141"/>
    <hyperlink xmlns:r="http://schemas.openxmlformats.org/officeDocument/2006/relationships" ref="T155" display="CFO Commentary" r:id="rId142"/>
    <hyperlink xmlns:r="http://schemas.openxmlformats.org/officeDocument/2006/relationships" ref="T156" display="CFO Commentary" r:id="rId143"/>
    <hyperlink xmlns:r="http://schemas.openxmlformats.org/officeDocument/2006/relationships" ref="T157" display="CFO Commentary" r:id="rId144"/>
    <hyperlink xmlns:r="http://schemas.openxmlformats.org/officeDocument/2006/relationships" ref="T158" display="CFO Commentary" r:id="rId145"/>
    <hyperlink xmlns:r="http://schemas.openxmlformats.org/officeDocument/2006/relationships" ref="T159" display="CFO Commentary" r:id="rId146"/>
    <hyperlink xmlns:r="http://schemas.openxmlformats.org/officeDocument/2006/relationships" ref="T160" display="CFO Commentary" r:id="rId147"/>
    <hyperlink xmlns:r="http://schemas.openxmlformats.org/officeDocument/2006/relationships" ref="T162" display="CFO Commentary" r:id="rId148"/>
    <hyperlink xmlns:r="http://schemas.openxmlformats.org/officeDocument/2006/relationships" ref="T163" display="CFO Commentary" r:id="rId149"/>
    <hyperlink xmlns:r="http://schemas.openxmlformats.org/officeDocument/2006/relationships" ref="T164" display="CFO Commentary" r:id="rId150"/>
    <hyperlink xmlns:r="http://schemas.openxmlformats.org/officeDocument/2006/relationships" ref="T165" display="CFO Commentary" r:id="rId151"/>
    <hyperlink xmlns:r="http://schemas.openxmlformats.org/officeDocument/2006/relationships" ref="T166" display="CFO Commentary" r:id="rId152"/>
    <hyperlink xmlns:r="http://schemas.openxmlformats.org/officeDocument/2006/relationships" ref="T167" display="CFO Commentary" r:id="rId153"/>
    <hyperlink xmlns:r="http://schemas.openxmlformats.org/officeDocument/2006/relationships" ref="T168" display="CFO Commentary" r:id="rId154"/>
    <hyperlink xmlns:r="http://schemas.openxmlformats.org/officeDocument/2006/relationships" ref="T169" display="CFO Commentary" r:id="rId155"/>
    <hyperlink xmlns:r="http://schemas.openxmlformats.org/officeDocument/2006/relationships" ref="T170" display="CFO Commentary" r:id="rId156"/>
    <hyperlink xmlns:r="http://schemas.openxmlformats.org/officeDocument/2006/relationships" ref="T171" display="CFO Commentary" r:id="rId157"/>
    <hyperlink xmlns:r="http://schemas.openxmlformats.org/officeDocument/2006/relationships" ref="T172" display="CFO Commentary" r:id="rId158"/>
    <hyperlink xmlns:r="http://schemas.openxmlformats.org/officeDocument/2006/relationships" ref="T173" display="CFO Commentary" r:id="rId159"/>
    <hyperlink xmlns:r="http://schemas.openxmlformats.org/officeDocument/2006/relationships" ref="T174" display="CFO Commentary" r:id="rId160"/>
    <hyperlink xmlns:r="http://schemas.openxmlformats.org/officeDocument/2006/relationships" ref="T175" display="CFO Commentary" r:id="rId161"/>
    <hyperlink xmlns:r="http://schemas.openxmlformats.org/officeDocument/2006/relationships" ref="T176" display="CFO Commentary" r:id="rId162"/>
    <hyperlink xmlns:r="http://schemas.openxmlformats.org/officeDocument/2006/relationships" ref="T177" display="CFO Commentary" r:id="rId163"/>
    <hyperlink xmlns:r="http://schemas.openxmlformats.org/officeDocument/2006/relationships" ref="T178" display="CFO Commentary" r:id="rId164"/>
    <hyperlink xmlns:r="http://schemas.openxmlformats.org/officeDocument/2006/relationships" ref="T179" display="CFO Commentary" r:id="rId165"/>
    <hyperlink xmlns:r="http://schemas.openxmlformats.org/officeDocument/2006/relationships" ref="T180" display="CFO Commentary" r:id="rId166"/>
    <hyperlink xmlns:r="http://schemas.openxmlformats.org/officeDocument/2006/relationships" ref="T181" display="CFO Commentary" r:id="rId167"/>
    <hyperlink xmlns:r="http://schemas.openxmlformats.org/officeDocument/2006/relationships" ref="T182" display="CFO Commentary" r:id="rId168"/>
    <hyperlink xmlns:r="http://schemas.openxmlformats.org/officeDocument/2006/relationships" ref="T183" display="CFO Commentary" r:id="rId169"/>
    <hyperlink xmlns:r="http://schemas.openxmlformats.org/officeDocument/2006/relationships" ref="T184" display="CFO Commentary" r:id="rId170"/>
    <hyperlink xmlns:r="http://schemas.openxmlformats.org/officeDocument/2006/relationships" ref="T186" display="CFO Commentary" r:id="rId171"/>
    <hyperlink xmlns:r="http://schemas.openxmlformats.org/officeDocument/2006/relationships" ref="T187" display="CFO Commentary" r:id="rId172"/>
    <hyperlink xmlns:r="http://schemas.openxmlformats.org/officeDocument/2006/relationships" ref="T188" display="CFO Commentary" r:id="rId173"/>
    <hyperlink xmlns:r="http://schemas.openxmlformats.org/officeDocument/2006/relationships" ref="T189" display="CFO Commentary" r:id="rId174"/>
    <hyperlink xmlns:r="http://schemas.openxmlformats.org/officeDocument/2006/relationships" ref="T190" display="CFO Commentary" r:id="rId175"/>
    <hyperlink xmlns:r="http://schemas.openxmlformats.org/officeDocument/2006/relationships" ref="T191" display="CFO Commentary" r:id="rId176"/>
    <hyperlink xmlns:r="http://schemas.openxmlformats.org/officeDocument/2006/relationships" ref="T193" display="CFO Commentary" r:id="rId177"/>
    <hyperlink xmlns:r="http://schemas.openxmlformats.org/officeDocument/2006/relationships" ref="T194" display="CFO Commentary" r:id="rId178"/>
    <hyperlink xmlns:r="http://schemas.openxmlformats.org/officeDocument/2006/relationships" ref="T195" display="CFO Commentary" r:id="rId179"/>
    <hyperlink xmlns:r="http://schemas.openxmlformats.org/officeDocument/2006/relationships" ref="T196" display="CFO Commentary" r:id="rId180"/>
    <hyperlink xmlns:r="http://schemas.openxmlformats.org/officeDocument/2006/relationships" ref="T197" display="CFO Commentary" r:id="rId181"/>
    <hyperlink xmlns:r="http://schemas.openxmlformats.org/officeDocument/2006/relationships" ref="T198" display="CFO Commentary" r:id="rId182"/>
    <hyperlink xmlns:r="http://schemas.openxmlformats.org/officeDocument/2006/relationships" ref="T199" display="CFO Commentary" r:id="rId183"/>
    <hyperlink xmlns:r="http://schemas.openxmlformats.org/officeDocument/2006/relationships" ref="T200" display="CFO Commentary" r:id="rId184"/>
    <hyperlink xmlns:r="http://schemas.openxmlformats.org/officeDocument/2006/relationships" ref="T201" display="CFO Commentary" r:id="rId185"/>
    <hyperlink xmlns:r="http://schemas.openxmlformats.org/officeDocument/2006/relationships" ref="T202" display="CFO Commentary" r:id="rId186"/>
    <hyperlink xmlns:r="http://schemas.openxmlformats.org/officeDocument/2006/relationships" ref="T203" display="CFO Commentary" r:id="rId187"/>
    <hyperlink xmlns:r="http://schemas.openxmlformats.org/officeDocument/2006/relationships" ref="T204" display="CFO Commentary" r:id="rId188"/>
    <hyperlink xmlns:r="http://schemas.openxmlformats.org/officeDocument/2006/relationships" ref="T205" display="CFO Commentary" r:id="rId189"/>
    <hyperlink xmlns:r="http://schemas.openxmlformats.org/officeDocument/2006/relationships" ref="T206" display="CFO Commentary" r:id="rId190"/>
    <hyperlink xmlns:r="http://schemas.openxmlformats.org/officeDocument/2006/relationships" ref="T207" display="CFO Commentary" r:id="rId191"/>
    <hyperlink xmlns:r="http://schemas.openxmlformats.org/officeDocument/2006/relationships" ref="T208" display="CFO Commentary" r:id="rId192"/>
    <hyperlink xmlns:r="http://schemas.openxmlformats.org/officeDocument/2006/relationships" ref="T209" display="CFO Commentary" r:id="rId193"/>
    <hyperlink xmlns:r="http://schemas.openxmlformats.org/officeDocument/2006/relationships" ref="T210" display="CFO Commentary" r:id="rId194"/>
    <hyperlink xmlns:r="http://schemas.openxmlformats.org/officeDocument/2006/relationships" ref="T211" display="CFO Commentary" r:id="rId195"/>
    <hyperlink xmlns:r="http://schemas.openxmlformats.org/officeDocument/2006/relationships" ref="T212" display="CFO Commentary" r:id="rId196"/>
    <hyperlink xmlns:r="http://schemas.openxmlformats.org/officeDocument/2006/relationships" ref="T213" display="CFO Commentary" r:id="rId197"/>
    <hyperlink xmlns:r="http://schemas.openxmlformats.org/officeDocument/2006/relationships" ref="T214" display="CFO Commentary" r:id="rId198"/>
    <hyperlink xmlns:r="http://schemas.openxmlformats.org/officeDocument/2006/relationships" ref="T215" display="CFO Commentary" r:id="rId199"/>
    <hyperlink xmlns:r="http://schemas.openxmlformats.org/officeDocument/2006/relationships" ref="T217" display="CFO Commentary" r:id="rId200"/>
    <hyperlink xmlns:r="http://schemas.openxmlformats.org/officeDocument/2006/relationships" ref="T218" display="CFO Commentary" r:id="rId201"/>
    <hyperlink xmlns:r="http://schemas.openxmlformats.org/officeDocument/2006/relationships" ref="T219" display="CFO Commentary" r:id="rId202"/>
    <hyperlink xmlns:r="http://schemas.openxmlformats.org/officeDocument/2006/relationships" ref="T220" display="CFO Commentary" r:id="rId203"/>
    <hyperlink xmlns:r="http://schemas.openxmlformats.org/officeDocument/2006/relationships" ref="T221" display="CFO Commentary" r:id="rId204"/>
    <hyperlink xmlns:r="http://schemas.openxmlformats.org/officeDocument/2006/relationships" ref="T222" display="CFO Commentary" r:id="rId205"/>
    <hyperlink xmlns:r="http://schemas.openxmlformats.org/officeDocument/2006/relationships" ref="T224" display="CFO Commentary" r:id="rId206"/>
    <hyperlink xmlns:r="http://schemas.openxmlformats.org/officeDocument/2006/relationships" ref="T225" display="CFO Commentary" r:id="rId207"/>
    <hyperlink xmlns:r="http://schemas.openxmlformats.org/officeDocument/2006/relationships" ref="T226" display="CFO Commentary" r:id="rId208"/>
    <hyperlink xmlns:r="http://schemas.openxmlformats.org/officeDocument/2006/relationships" ref="T227" display="CFO Commentary" r:id="rId209"/>
    <hyperlink xmlns:r="http://schemas.openxmlformats.org/officeDocument/2006/relationships" ref="T228" display="CFO Commentary" r:id="rId210"/>
    <hyperlink xmlns:r="http://schemas.openxmlformats.org/officeDocument/2006/relationships" ref="T229" display="CFO Commentary" r:id="rId211"/>
    <hyperlink xmlns:r="http://schemas.openxmlformats.org/officeDocument/2006/relationships" ref="T230" display="CFO Commentary" r:id="rId212"/>
    <hyperlink xmlns:r="http://schemas.openxmlformats.org/officeDocument/2006/relationships" ref="T231" display="CFO Commentary" r:id="rId213"/>
    <hyperlink xmlns:r="http://schemas.openxmlformats.org/officeDocument/2006/relationships" ref="T232" display="CFO Commentary" r:id="rId214"/>
    <hyperlink xmlns:r="http://schemas.openxmlformats.org/officeDocument/2006/relationships" ref="T233" display="CFO Commentary" r:id="rId215"/>
    <hyperlink xmlns:r="http://schemas.openxmlformats.org/officeDocument/2006/relationships" ref="T234" display="CFO Commentary" r:id="rId216"/>
    <hyperlink xmlns:r="http://schemas.openxmlformats.org/officeDocument/2006/relationships" ref="T235" display="CFO Commentary" r:id="rId217"/>
    <hyperlink xmlns:r="http://schemas.openxmlformats.org/officeDocument/2006/relationships" ref="T236" display="CFO Commentary" r:id="rId218"/>
    <hyperlink xmlns:r="http://schemas.openxmlformats.org/officeDocument/2006/relationships" ref="T237" display="CFO Commentary" r:id="rId219"/>
    <hyperlink xmlns:r="http://schemas.openxmlformats.org/officeDocument/2006/relationships" ref="T238" display="CFO Commentary" r:id="rId220"/>
    <hyperlink xmlns:r="http://schemas.openxmlformats.org/officeDocument/2006/relationships" ref="T239" display="CFO Commentary" r:id="rId221"/>
    <hyperlink xmlns:r="http://schemas.openxmlformats.org/officeDocument/2006/relationships" ref="T240" display="CFO Commentary" r:id="rId222"/>
    <hyperlink xmlns:r="http://schemas.openxmlformats.org/officeDocument/2006/relationships" ref="T241" display="CFO Commentary" r:id="rId223"/>
    <hyperlink xmlns:r="http://schemas.openxmlformats.org/officeDocument/2006/relationships" ref="T242" display="CFO Commentary" r:id="rId224"/>
    <hyperlink xmlns:r="http://schemas.openxmlformats.org/officeDocument/2006/relationships" ref="T243" display="CFO Commentary" r:id="rId225"/>
    <hyperlink xmlns:r="http://schemas.openxmlformats.org/officeDocument/2006/relationships" ref="T244" display="CFO Commentary" r:id="rId226"/>
    <hyperlink xmlns:r="http://schemas.openxmlformats.org/officeDocument/2006/relationships" ref="T245" display="CFO Commentary" r:id="rId227"/>
    <hyperlink xmlns:r="http://schemas.openxmlformats.org/officeDocument/2006/relationships" ref="T246" display="CFO Commentary" r:id="rId228"/>
    <hyperlink xmlns:r="http://schemas.openxmlformats.org/officeDocument/2006/relationships" ref="T248" display="CFO Commentary" r:id="rId229"/>
    <hyperlink xmlns:r="http://schemas.openxmlformats.org/officeDocument/2006/relationships" ref="T249" display="CFO Commentary" r:id="rId230"/>
    <hyperlink xmlns:r="http://schemas.openxmlformats.org/officeDocument/2006/relationships" ref="T250" display="CFO Commentary" r:id="rId231"/>
    <hyperlink xmlns:r="http://schemas.openxmlformats.org/officeDocument/2006/relationships" ref="T251" display="CFO Commentary" r:id="rId232"/>
    <hyperlink xmlns:r="http://schemas.openxmlformats.org/officeDocument/2006/relationships" ref="T252" display="CFO Commentary" r:id="rId233"/>
    <hyperlink xmlns:r="http://schemas.openxmlformats.org/officeDocument/2006/relationships" ref="T253" display="CFO Commentary" r:id="rId234"/>
    <hyperlink xmlns:r="http://schemas.openxmlformats.org/officeDocument/2006/relationships" ref="T255" display="CFO Commentary" r:id="rId235"/>
    <hyperlink xmlns:r="http://schemas.openxmlformats.org/officeDocument/2006/relationships" ref="T256" display="CFO Commentary" r:id="rId236"/>
    <hyperlink xmlns:r="http://schemas.openxmlformats.org/officeDocument/2006/relationships" ref="T257" display="CFO Commentary" r:id="rId237"/>
    <hyperlink xmlns:r="http://schemas.openxmlformats.org/officeDocument/2006/relationships" ref="T258" display="CFO Commentary" r:id="rId238"/>
    <hyperlink xmlns:r="http://schemas.openxmlformats.org/officeDocument/2006/relationships" ref="T259" display="CFO Commentary" r:id="rId239"/>
    <hyperlink xmlns:r="http://schemas.openxmlformats.org/officeDocument/2006/relationships" ref="T260" display="CFO Commentary" r:id="rId240"/>
    <hyperlink xmlns:r="http://schemas.openxmlformats.org/officeDocument/2006/relationships" ref="T261" display="CFO Commentary" r:id="rId241"/>
    <hyperlink xmlns:r="http://schemas.openxmlformats.org/officeDocument/2006/relationships" ref="T262" display="CFO Commentary" r:id="rId242"/>
    <hyperlink xmlns:r="http://schemas.openxmlformats.org/officeDocument/2006/relationships" ref="T263" display="CFO Commentary" r:id="rId243"/>
    <hyperlink xmlns:r="http://schemas.openxmlformats.org/officeDocument/2006/relationships" ref="T264" display="CFO Commentary" r:id="rId244"/>
    <hyperlink xmlns:r="http://schemas.openxmlformats.org/officeDocument/2006/relationships" ref="T265" display="CFO Commentary" r:id="rId245"/>
    <hyperlink xmlns:r="http://schemas.openxmlformats.org/officeDocument/2006/relationships" ref="T266" display="CFO Commentary" r:id="rId246"/>
    <hyperlink xmlns:r="http://schemas.openxmlformats.org/officeDocument/2006/relationships" ref="T267" display="CFO Commentary" r:id="rId247"/>
    <hyperlink xmlns:r="http://schemas.openxmlformats.org/officeDocument/2006/relationships" ref="T268" display="CFO Commentary" r:id="rId248"/>
    <hyperlink xmlns:r="http://schemas.openxmlformats.org/officeDocument/2006/relationships" ref="T269" display="CFO Commentary" r:id="rId249"/>
    <hyperlink xmlns:r="http://schemas.openxmlformats.org/officeDocument/2006/relationships" ref="T270" display="CFO Commentary" r:id="rId250"/>
    <hyperlink xmlns:r="http://schemas.openxmlformats.org/officeDocument/2006/relationships" ref="T271" display="CFO Commentary" r:id="rId251"/>
    <hyperlink xmlns:r="http://schemas.openxmlformats.org/officeDocument/2006/relationships" ref="T272" display="CFO Commentary" r:id="rId252"/>
    <hyperlink xmlns:r="http://schemas.openxmlformats.org/officeDocument/2006/relationships" ref="T273" display="CFO Commentary" r:id="rId253"/>
    <hyperlink xmlns:r="http://schemas.openxmlformats.org/officeDocument/2006/relationships" ref="T274" display="CFO Commentary" r:id="rId254"/>
    <hyperlink xmlns:r="http://schemas.openxmlformats.org/officeDocument/2006/relationships" ref="T275" display="CFO Commentary" r:id="rId255"/>
    <hyperlink xmlns:r="http://schemas.openxmlformats.org/officeDocument/2006/relationships" ref="T276" display="CFO Commentary" r:id="rId256"/>
    <hyperlink xmlns:r="http://schemas.openxmlformats.org/officeDocument/2006/relationships" ref="T277" display="CFO Commentary" r:id="rId257"/>
    <hyperlink xmlns:r="http://schemas.openxmlformats.org/officeDocument/2006/relationships" ref="T279" display="CFO Commentary" r:id="rId258"/>
    <hyperlink xmlns:r="http://schemas.openxmlformats.org/officeDocument/2006/relationships" ref="T280" display="CFO Commentary" r:id="rId259"/>
    <hyperlink xmlns:r="http://schemas.openxmlformats.org/officeDocument/2006/relationships" ref="T281" display="CFO Commentary" r:id="rId260"/>
    <hyperlink xmlns:r="http://schemas.openxmlformats.org/officeDocument/2006/relationships" ref="T282" display="CFO Commentary" r:id="rId261"/>
    <hyperlink xmlns:r="http://schemas.openxmlformats.org/officeDocument/2006/relationships" ref="T283" display="CFO Commentary" r:id="rId262"/>
    <hyperlink xmlns:r="http://schemas.openxmlformats.org/officeDocument/2006/relationships" ref="T284" display="CFO Commentary" r:id="rId263"/>
    <hyperlink xmlns:r="http://schemas.openxmlformats.org/officeDocument/2006/relationships" ref="T286" display="CFO Commentary" r:id="rId264"/>
    <hyperlink xmlns:r="http://schemas.openxmlformats.org/officeDocument/2006/relationships" ref="T287" display="CFO Commentary" r:id="rId265"/>
    <hyperlink xmlns:r="http://schemas.openxmlformats.org/officeDocument/2006/relationships" ref="T288" display="CFO Commentary" r:id="rId266"/>
    <hyperlink xmlns:r="http://schemas.openxmlformats.org/officeDocument/2006/relationships" ref="T289" display="CFO Commentary" r:id="rId267"/>
    <hyperlink xmlns:r="http://schemas.openxmlformats.org/officeDocument/2006/relationships" ref="T290" display="CFO Commentary" r:id="rId268"/>
    <hyperlink xmlns:r="http://schemas.openxmlformats.org/officeDocument/2006/relationships" ref="T291" display="CFO Commentary" r:id="rId269"/>
    <hyperlink xmlns:r="http://schemas.openxmlformats.org/officeDocument/2006/relationships" ref="T292" display="CFO Commentary" r:id="rId270"/>
    <hyperlink xmlns:r="http://schemas.openxmlformats.org/officeDocument/2006/relationships" ref="T293" display="CFO Commentary" r:id="rId271"/>
    <hyperlink xmlns:r="http://schemas.openxmlformats.org/officeDocument/2006/relationships" ref="T294" display="CFO Commentary" r:id="rId272"/>
    <hyperlink xmlns:r="http://schemas.openxmlformats.org/officeDocument/2006/relationships" ref="T295" display="CFO Commentary" r:id="rId273"/>
    <hyperlink xmlns:r="http://schemas.openxmlformats.org/officeDocument/2006/relationships" ref="T296" display="CFO Commentary" r:id="rId274"/>
    <hyperlink xmlns:r="http://schemas.openxmlformats.org/officeDocument/2006/relationships" ref="T297" display="CFO Commentary" r:id="rId275"/>
    <hyperlink xmlns:r="http://schemas.openxmlformats.org/officeDocument/2006/relationships" ref="T298" display="CFO Commentary" r:id="rId276"/>
    <hyperlink xmlns:r="http://schemas.openxmlformats.org/officeDocument/2006/relationships" ref="T299" display="CFO Commentary" r:id="rId277"/>
    <hyperlink xmlns:r="http://schemas.openxmlformats.org/officeDocument/2006/relationships" ref="T300" display="CFO Commentary" r:id="rId278"/>
    <hyperlink xmlns:r="http://schemas.openxmlformats.org/officeDocument/2006/relationships" ref="T301" display="CFO Commentary" r:id="rId279"/>
    <hyperlink xmlns:r="http://schemas.openxmlformats.org/officeDocument/2006/relationships" ref="T302" display="CFO Commentary" r:id="rId280"/>
    <hyperlink xmlns:r="http://schemas.openxmlformats.org/officeDocument/2006/relationships" ref="T303" display="CFO Commentary" r:id="rId281"/>
    <hyperlink xmlns:r="http://schemas.openxmlformats.org/officeDocument/2006/relationships" ref="T304" display="CFO Commentary" r:id="rId282"/>
    <hyperlink xmlns:r="http://schemas.openxmlformats.org/officeDocument/2006/relationships" ref="T305" display="CFO Commentary" r:id="rId283"/>
    <hyperlink xmlns:r="http://schemas.openxmlformats.org/officeDocument/2006/relationships" ref="T306" display="CFO Commentary" r:id="rId284"/>
    <hyperlink xmlns:r="http://schemas.openxmlformats.org/officeDocument/2006/relationships" ref="T307" display="CFO Commentary" r:id="rId285"/>
    <hyperlink xmlns:r="http://schemas.openxmlformats.org/officeDocument/2006/relationships" ref="T308" display="CFO Commentary" r:id="rId286"/>
    <hyperlink xmlns:r="http://schemas.openxmlformats.org/officeDocument/2006/relationships" ref="T310" display="CFO Commentary" r:id="rId287"/>
    <hyperlink xmlns:r="http://schemas.openxmlformats.org/officeDocument/2006/relationships" ref="T311" display="CFO Commentary" r:id="rId288"/>
    <hyperlink xmlns:r="http://schemas.openxmlformats.org/officeDocument/2006/relationships" ref="T312" display="CFO Commentary" r:id="rId289"/>
    <hyperlink xmlns:r="http://schemas.openxmlformats.org/officeDocument/2006/relationships" ref="T313" display="CFO Commentary" r:id="rId290"/>
    <hyperlink xmlns:r="http://schemas.openxmlformats.org/officeDocument/2006/relationships" ref="T314" display="CFO Commentary" r:id="rId291"/>
    <hyperlink xmlns:r="http://schemas.openxmlformats.org/officeDocument/2006/relationships" ref="T315" display="CFO Commentary" r:id="rId292"/>
    <hyperlink xmlns:r="http://schemas.openxmlformats.org/officeDocument/2006/relationships" ref="T317" display="CFO Commentary" r:id="rId293"/>
    <hyperlink xmlns:r="http://schemas.openxmlformats.org/officeDocument/2006/relationships" ref="T318" display="CFO Commentary" r:id="rId294"/>
    <hyperlink xmlns:r="http://schemas.openxmlformats.org/officeDocument/2006/relationships" ref="T319" display="CFO Commentary" r:id="rId295"/>
    <hyperlink xmlns:r="http://schemas.openxmlformats.org/officeDocument/2006/relationships" ref="T320" display="CFO Commentary" r:id="rId296"/>
    <hyperlink xmlns:r="http://schemas.openxmlformats.org/officeDocument/2006/relationships" ref="T321" display="CFO Commentary" r:id="rId297"/>
    <hyperlink xmlns:r="http://schemas.openxmlformats.org/officeDocument/2006/relationships" ref="T322" display="CFO Commentary" r:id="rId298"/>
    <hyperlink xmlns:r="http://schemas.openxmlformats.org/officeDocument/2006/relationships" ref="T323" display="CFO Commentary" r:id="rId299"/>
    <hyperlink xmlns:r="http://schemas.openxmlformats.org/officeDocument/2006/relationships" ref="T324" display="CFO Commentary" r:id="rId300"/>
    <hyperlink xmlns:r="http://schemas.openxmlformats.org/officeDocument/2006/relationships" ref="T325" display="CFO Commentary" r:id="rId301"/>
    <hyperlink xmlns:r="http://schemas.openxmlformats.org/officeDocument/2006/relationships" ref="T326" display="CFO Commentary" r:id="rId302"/>
    <hyperlink xmlns:r="http://schemas.openxmlformats.org/officeDocument/2006/relationships" ref="T327" display="CFO Commentary" r:id="rId303"/>
    <hyperlink xmlns:r="http://schemas.openxmlformats.org/officeDocument/2006/relationships" ref="T328" display="CFO Commentary" r:id="rId304"/>
    <hyperlink xmlns:r="http://schemas.openxmlformats.org/officeDocument/2006/relationships" ref="T329" display="CFO Commentary" r:id="rId305"/>
    <hyperlink xmlns:r="http://schemas.openxmlformats.org/officeDocument/2006/relationships" ref="T330" display="CFO Commentary" r:id="rId306"/>
    <hyperlink xmlns:r="http://schemas.openxmlformats.org/officeDocument/2006/relationships" ref="T331" display="CFO Commentary" r:id="rId307"/>
    <hyperlink xmlns:r="http://schemas.openxmlformats.org/officeDocument/2006/relationships" ref="T332" display="CFO Commentary" r:id="rId308"/>
    <hyperlink xmlns:r="http://schemas.openxmlformats.org/officeDocument/2006/relationships" ref="T333" display="CFO Commentary" r:id="rId309"/>
    <hyperlink xmlns:r="http://schemas.openxmlformats.org/officeDocument/2006/relationships" ref="T334" display="CFO Commentary" r:id="rId310"/>
    <hyperlink xmlns:r="http://schemas.openxmlformats.org/officeDocument/2006/relationships" ref="T335" display="CFO Commentary" r:id="rId311"/>
    <hyperlink xmlns:r="http://schemas.openxmlformats.org/officeDocument/2006/relationships" ref="T336" display="CFO Commentary" r:id="rId312"/>
    <hyperlink xmlns:r="http://schemas.openxmlformats.org/officeDocument/2006/relationships" ref="T337" display="CFO Commentary" r:id="rId313"/>
    <hyperlink xmlns:r="http://schemas.openxmlformats.org/officeDocument/2006/relationships" ref="T338" display="CFO Commentary" r:id="rId314"/>
    <hyperlink xmlns:r="http://schemas.openxmlformats.org/officeDocument/2006/relationships" ref="T339" display="CFO Commentary" r:id="rId315"/>
    <hyperlink xmlns:r="http://schemas.openxmlformats.org/officeDocument/2006/relationships" ref="T341" display="CFO Commentary" r:id="rId316"/>
    <hyperlink xmlns:r="http://schemas.openxmlformats.org/officeDocument/2006/relationships" ref="T342" display="CFO Commentary" r:id="rId317"/>
    <hyperlink xmlns:r="http://schemas.openxmlformats.org/officeDocument/2006/relationships" ref="T343" display="CFO Commentary" r:id="rId318"/>
    <hyperlink xmlns:r="http://schemas.openxmlformats.org/officeDocument/2006/relationships" ref="T344" display="CFO Commentary" r:id="rId319"/>
    <hyperlink xmlns:r="http://schemas.openxmlformats.org/officeDocument/2006/relationships" ref="T345" display="CFO Commentary" r:id="rId320"/>
    <hyperlink xmlns:r="http://schemas.openxmlformats.org/officeDocument/2006/relationships" ref="T346" display="CFO Commentary" r:id="rId321"/>
    <hyperlink xmlns:r="http://schemas.openxmlformats.org/officeDocument/2006/relationships" ref="T348" display="CFO Commentary" r:id="rId322"/>
    <hyperlink xmlns:r="http://schemas.openxmlformats.org/officeDocument/2006/relationships" ref="T349" display="CFO Commentary" r:id="rId323"/>
    <hyperlink xmlns:r="http://schemas.openxmlformats.org/officeDocument/2006/relationships" ref="T350" display="CFO Commentary" r:id="rId324"/>
    <hyperlink xmlns:r="http://schemas.openxmlformats.org/officeDocument/2006/relationships" ref="T351" display="CFO Commentary" r:id="rId325"/>
    <hyperlink xmlns:r="http://schemas.openxmlformats.org/officeDocument/2006/relationships" ref="T352" display="CFO Commentary" r:id="rId326"/>
    <hyperlink xmlns:r="http://schemas.openxmlformats.org/officeDocument/2006/relationships" ref="T353" display="CFO Commentary" r:id="rId327"/>
    <hyperlink xmlns:r="http://schemas.openxmlformats.org/officeDocument/2006/relationships" ref="T354" display="CFO Commentary" r:id="rId328"/>
    <hyperlink xmlns:r="http://schemas.openxmlformats.org/officeDocument/2006/relationships" ref="T355" display="CFO Commentary" r:id="rId329"/>
    <hyperlink xmlns:r="http://schemas.openxmlformats.org/officeDocument/2006/relationships" ref="T356" display="CFO Commentary" r:id="rId330"/>
    <hyperlink xmlns:r="http://schemas.openxmlformats.org/officeDocument/2006/relationships" ref="T357" display="CFO Commentary" r:id="rId331"/>
    <hyperlink xmlns:r="http://schemas.openxmlformats.org/officeDocument/2006/relationships" ref="T358" display="CFO Commentary" r:id="rId332"/>
    <hyperlink xmlns:r="http://schemas.openxmlformats.org/officeDocument/2006/relationships" ref="T359" display="CFO Commentary" r:id="rId333"/>
    <hyperlink xmlns:r="http://schemas.openxmlformats.org/officeDocument/2006/relationships" ref="T360" display="CFO Commentary" r:id="rId334"/>
    <hyperlink xmlns:r="http://schemas.openxmlformats.org/officeDocument/2006/relationships" ref="T361" display="CFO Commentary" r:id="rId335"/>
    <hyperlink xmlns:r="http://schemas.openxmlformats.org/officeDocument/2006/relationships" ref="T362" display="CFO Commentary" r:id="rId336"/>
    <hyperlink xmlns:r="http://schemas.openxmlformats.org/officeDocument/2006/relationships" ref="T363" display="CFO Commentary" r:id="rId337"/>
    <hyperlink xmlns:r="http://schemas.openxmlformats.org/officeDocument/2006/relationships" ref="T364" display="CFO Commentary" r:id="rId338"/>
    <hyperlink xmlns:r="http://schemas.openxmlformats.org/officeDocument/2006/relationships" ref="T365" display="CFO Commentary" r:id="rId339"/>
    <hyperlink xmlns:r="http://schemas.openxmlformats.org/officeDocument/2006/relationships" ref="T366" display="CFO Commentary" r:id="rId340"/>
    <hyperlink xmlns:r="http://schemas.openxmlformats.org/officeDocument/2006/relationships" ref="T367" display="CFO Commentary" r:id="rId341"/>
    <hyperlink xmlns:r="http://schemas.openxmlformats.org/officeDocument/2006/relationships" ref="T368" display="CFO Commentary" r:id="rId342"/>
    <hyperlink xmlns:r="http://schemas.openxmlformats.org/officeDocument/2006/relationships" ref="T369" display="CFO Commentary" r:id="rId343"/>
    <hyperlink xmlns:r="http://schemas.openxmlformats.org/officeDocument/2006/relationships" ref="T370" display="CFO Commentary" r:id="rId344"/>
    <hyperlink xmlns:r="http://schemas.openxmlformats.org/officeDocument/2006/relationships" ref="T372" display="CFO Commentary" r:id="rId345"/>
    <hyperlink xmlns:r="http://schemas.openxmlformats.org/officeDocument/2006/relationships" ref="T373" display="CFO Commentary" r:id="rId346"/>
    <hyperlink xmlns:r="http://schemas.openxmlformats.org/officeDocument/2006/relationships" ref="T374" display="CFO Commentary" r:id="rId347"/>
    <hyperlink xmlns:r="http://schemas.openxmlformats.org/officeDocument/2006/relationships" ref="T375" display="CFO Commentary" r:id="rId348"/>
    <hyperlink xmlns:r="http://schemas.openxmlformats.org/officeDocument/2006/relationships" ref="T376" display="CFO Commentary" r:id="rId349"/>
    <hyperlink xmlns:r="http://schemas.openxmlformats.org/officeDocument/2006/relationships" ref="T377" display="CFO Commentary" r:id="rId350"/>
    <hyperlink xmlns:r="http://schemas.openxmlformats.org/officeDocument/2006/relationships" ref="T379" display="CFO Commentary" r:id="rId351"/>
    <hyperlink xmlns:r="http://schemas.openxmlformats.org/officeDocument/2006/relationships" ref="T380" display="CFO Commentary" r:id="rId352"/>
    <hyperlink xmlns:r="http://schemas.openxmlformats.org/officeDocument/2006/relationships" ref="T381" display="CFO Commentary" r:id="rId353"/>
    <hyperlink xmlns:r="http://schemas.openxmlformats.org/officeDocument/2006/relationships" ref="T382" display="CFO Commentary" r:id="rId354"/>
    <hyperlink xmlns:r="http://schemas.openxmlformats.org/officeDocument/2006/relationships" ref="T383" display="CFO Commentary" r:id="rId355"/>
    <hyperlink xmlns:r="http://schemas.openxmlformats.org/officeDocument/2006/relationships" ref="T384" display="CFO Commentary" r:id="rId356"/>
    <hyperlink xmlns:r="http://schemas.openxmlformats.org/officeDocument/2006/relationships" ref="T385" display="CFO Commentary" r:id="rId357"/>
    <hyperlink xmlns:r="http://schemas.openxmlformats.org/officeDocument/2006/relationships" ref="T386" display="CFO Commentary" r:id="rId358"/>
    <hyperlink xmlns:r="http://schemas.openxmlformats.org/officeDocument/2006/relationships" ref="T387" display="CFO Commentary" r:id="rId359"/>
    <hyperlink xmlns:r="http://schemas.openxmlformats.org/officeDocument/2006/relationships" ref="T388" display="CFO Commentary" r:id="rId360"/>
    <hyperlink xmlns:r="http://schemas.openxmlformats.org/officeDocument/2006/relationships" ref="T389" display="CFO Commentary" r:id="rId361"/>
    <hyperlink xmlns:r="http://schemas.openxmlformats.org/officeDocument/2006/relationships" ref="T390" display="CFO Commentary" r:id="rId362"/>
    <hyperlink xmlns:r="http://schemas.openxmlformats.org/officeDocument/2006/relationships" ref="T391" display="CFO Commentary" r:id="rId363"/>
    <hyperlink xmlns:r="http://schemas.openxmlformats.org/officeDocument/2006/relationships" ref="T392" display="CFO Commentary" r:id="rId364"/>
    <hyperlink xmlns:r="http://schemas.openxmlformats.org/officeDocument/2006/relationships" ref="T393" display="CFO Commentary" r:id="rId365"/>
    <hyperlink xmlns:r="http://schemas.openxmlformats.org/officeDocument/2006/relationships" ref="T394" display="CFO Commentary" r:id="rId366"/>
    <hyperlink xmlns:r="http://schemas.openxmlformats.org/officeDocument/2006/relationships" ref="T395" display="CFO Commentary" r:id="rId367"/>
    <hyperlink xmlns:r="http://schemas.openxmlformats.org/officeDocument/2006/relationships" ref="T396" display="CFO Commentary" r:id="rId368"/>
    <hyperlink xmlns:r="http://schemas.openxmlformats.org/officeDocument/2006/relationships" ref="T397" display="CFO Commentary" r:id="rId369"/>
    <hyperlink xmlns:r="http://schemas.openxmlformats.org/officeDocument/2006/relationships" ref="T398" display="CFO Commentary" r:id="rId370"/>
    <hyperlink xmlns:r="http://schemas.openxmlformats.org/officeDocument/2006/relationships" ref="T399" display="CFO Commentary" r:id="rId371"/>
    <hyperlink xmlns:r="http://schemas.openxmlformats.org/officeDocument/2006/relationships" ref="T400" display="CFO Commentary" r:id="rId372"/>
    <hyperlink xmlns:r="http://schemas.openxmlformats.org/officeDocument/2006/relationships" ref="T401" display="CFO Commentary" r:id="rId373"/>
    <hyperlink xmlns:r="http://schemas.openxmlformats.org/officeDocument/2006/relationships" ref="T403" display="CFO Commentary" r:id="rId374"/>
    <hyperlink xmlns:r="http://schemas.openxmlformats.org/officeDocument/2006/relationships" ref="T404" display="CFO Commentary" r:id="rId375"/>
    <hyperlink xmlns:r="http://schemas.openxmlformats.org/officeDocument/2006/relationships" ref="T405" display="CFO Commentary" r:id="rId376"/>
    <hyperlink xmlns:r="http://schemas.openxmlformats.org/officeDocument/2006/relationships" ref="T406" display="CFO Commentary" r:id="rId377"/>
    <hyperlink xmlns:r="http://schemas.openxmlformats.org/officeDocument/2006/relationships" ref="T407" display="CFO Commentary" r:id="rId378"/>
    <hyperlink xmlns:r="http://schemas.openxmlformats.org/officeDocument/2006/relationships" ref="T408" display="CFO Commentary" r:id="rId379"/>
    <hyperlink xmlns:r="http://schemas.openxmlformats.org/officeDocument/2006/relationships" ref="T410" display="CFO Commentary" r:id="rId380"/>
    <hyperlink xmlns:r="http://schemas.openxmlformats.org/officeDocument/2006/relationships" ref="T411" display="CFO Commentary" r:id="rId381"/>
    <hyperlink xmlns:r="http://schemas.openxmlformats.org/officeDocument/2006/relationships" ref="T412" display="CFO Commentary" r:id="rId382"/>
    <hyperlink xmlns:r="http://schemas.openxmlformats.org/officeDocument/2006/relationships" ref="T413" display="CFO Commentary" r:id="rId383"/>
    <hyperlink xmlns:r="http://schemas.openxmlformats.org/officeDocument/2006/relationships" ref="T414" display="CFO Commentary" r:id="rId384"/>
    <hyperlink xmlns:r="http://schemas.openxmlformats.org/officeDocument/2006/relationships" ref="T415" display="CFO Commentary" r:id="rId385"/>
    <hyperlink xmlns:r="http://schemas.openxmlformats.org/officeDocument/2006/relationships" ref="T416" display="CFO Commentary" r:id="rId386"/>
    <hyperlink xmlns:r="http://schemas.openxmlformats.org/officeDocument/2006/relationships" ref="T417" display="CFO Commentary" r:id="rId387"/>
    <hyperlink xmlns:r="http://schemas.openxmlformats.org/officeDocument/2006/relationships" ref="T418" display="CFO Commentary" r:id="rId388"/>
    <hyperlink xmlns:r="http://schemas.openxmlformats.org/officeDocument/2006/relationships" ref="T419" display="CFO Commentary" r:id="rId389"/>
    <hyperlink xmlns:r="http://schemas.openxmlformats.org/officeDocument/2006/relationships" ref="T420" display="CFO Commentary" r:id="rId390"/>
    <hyperlink xmlns:r="http://schemas.openxmlformats.org/officeDocument/2006/relationships" ref="T421" display="CFO Commentary" r:id="rId391"/>
    <hyperlink xmlns:r="http://schemas.openxmlformats.org/officeDocument/2006/relationships" ref="T422" display="CFO Commentary" r:id="rId392"/>
    <hyperlink xmlns:r="http://schemas.openxmlformats.org/officeDocument/2006/relationships" ref="T423" display="CFO Commentary" r:id="rId393"/>
    <hyperlink xmlns:r="http://schemas.openxmlformats.org/officeDocument/2006/relationships" ref="T424" display="CFO Commentary" r:id="rId394"/>
    <hyperlink xmlns:r="http://schemas.openxmlformats.org/officeDocument/2006/relationships" ref="T425" display="CFO Commentary" r:id="rId395"/>
    <hyperlink xmlns:r="http://schemas.openxmlformats.org/officeDocument/2006/relationships" ref="T426" display="CFO Commentary" r:id="rId396"/>
    <hyperlink xmlns:r="http://schemas.openxmlformats.org/officeDocument/2006/relationships" ref="T427" display="CFO Commentary" r:id="rId397"/>
    <hyperlink xmlns:r="http://schemas.openxmlformats.org/officeDocument/2006/relationships" ref="T428" display="CFO Commentary" r:id="rId398"/>
    <hyperlink xmlns:r="http://schemas.openxmlformats.org/officeDocument/2006/relationships" ref="T429" display="CFO Commentary" r:id="rId399"/>
    <hyperlink xmlns:r="http://schemas.openxmlformats.org/officeDocument/2006/relationships" ref="T430" display="CFO Commentary" r:id="rId400"/>
    <hyperlink xmlns:r="http://schemas.openxmlformats.org/officeDocument/2006/relationships" ref="T431" display="CFO Commentary" r:id="rId401"/>
    <hyperlink xmlns:r="http://schemas.openxmlformats.org/officeDocument/2006/relationships" ref="T432" display="CFO Commentary" r:id="rId402"/>
    <hyperlink xmlns:r="http://schemas.openxmlformats.org/officeDocument/2006/relationships" ref="T433" display="CFO Commentary" r:id="rId403"/>
    <hyperlink xmlns:r="http://schemas.openxmlformats.org/officeDocument/2006/relationships" ref="T435" display="CFO Commentary" r:id="rId404"/>
    <hyperlink xmlns:r="http://schemas.openxmlformats.org/officeDocument/2006/relationships" ref="T436" display="CFO Commentary" r:id="rId405"/>
    <hyperlink xmlns:r="http://schemas.openxmlformats.org/officeDocument/2006/relationships" ref="T437" display="CFO Commentary" r:id="rId406"/>
    <hyperlink xmlns:r="http://schemas.openxmlformats.org/officeDocument/2006/relationships" ref="T438" display="CFO Commentary" r:id="rId407"/>
    <hyperlink xmlns:r="http://schemas.openxmlformats.org/officeDocument/2006/relationships" ref="T439" display="CFO Commentary" r:id="rId408"/>
    <hyperlink xmlns:r="http://schemas.openxmlformats.org/officeDocument/2006/relationships" ref="T440" display="CFO Commentary" r:id="rId409"/>
    <hyperlink xmlns:r="http://schemas.openxmlformats.org/officeDocument/2006/relationships" ref="T442" display="CFO Commentary" r:id="rId410"/>
    <hyperlink xmlns:r="http://schemas.openxmlformats.org/officeDocument/2006/relationships" ref="T443" display="CFO Commentary" r:id="rId411"/>
    <hyperlink xmlns:r="http://schemas.openxmlformats.org/officeDocument/2006/relationships" ref="T444" display="CFO Commentary" r:id="rId412"/>
    <hyperlink xmlns:r="http://schemas.openxmlformats.org/officeDocument/2006/relationships" ref="T445" display="CFO Commentary" r:id="rId413"/>
    <hyperlink xmlns:r="http://schemas.openxmlformats.org/officeDocument/2006/relationships" ref="T446" display="CFO Commentary" r:id="rId414"/>
    <hyperlink xmlns:r="http://schemas.openxmlformats.org/officeDocument/2006/relationships" ref="T447" display="CFO Commentary" r:id="rId415"/>
    <hyperlink xmlns:r="http://schemas.openxmlformats.org/officeDocument/2006/relationships" ref="T448" display="CFO Commentary" r:id="rId416"/>
    <hyperlink xmlns:r="http://schemas.openxmlformats.org/officeDocument/2006/relationships" ref="T449" display="CFO Commentary" r:id="rId417"/>
    <hyperlink xmlns:r="http://schemas.openxmlformats.org/officeDocument/2006/relationships" ref="T450" display="CFO Commentary" r:id="rId418"/>
    <hyperlink xmlns:r="http://schemas.openxmlformats.org/officeDocument/2006/relationships" ref="T451" display="CFO Commentary" r:id="rId419"/>
    <hyperlink xmlns:r="http://schemas.openxmlformats.org/officeDocument/2006/relationships" ref="T452" display="CFO Commentary" r:id="rId420"/>
    <hyperlink xmlns:r="http://schemas.openxmlformats.org/officeDocument/2006/relationships" ref="T453" display="CFO Commentary" r:id="rId421"/>
    <hyperlink xmlns:r="http://schemas.openxmlformats.org/officeDocument/2006/relationships" ref="T454" display="CFO Commentary" r:id="rId422"/>
    <hyperlink xmlns:r="http://schemas.openxmlformats.org/officeDocument/2006/relationships" ref="T455" display="CFO Commentary" r:id="rId423"/>
    <hyperlink xmlns:r="http://schemas.openxmlformats.org/officeDocument/2006/relationships" ref="T456" display="CFO Commentary" r:id="rId424"/>
    <hyperlink xmlns:r="http://schemas.openxmlformats.org/officeDocument/2006/relationships" ref="T457" display="CFO Commentary" r:id="rId425"/>
    <hyperlink xmlns:r="http://schemas.openxmlformats.org/officeDocument/2006/relationships" ref="T458" display="CFO Commentary" r:id="rId426"/>
    <hyperlink xmlns:r="http://schemas.openxmlformats.org/officeDocument/2006/relationships" ref="T459" display="CFO Commentary" r:id="rId427"/>
    <hyperlink xmlns:r="http://schemas.openxmlformats.org/officeDocument/2006/relationships" ref="T460" display="CFO Commentary" r:id="rId428"/>
    <hyperlink xmlns:r="http://schemas.openxmlformats.org/officeDocument/2006/relationships" ref="T461" display="CFO Commentary" r:id="rId429"/>
    <hyperlink xmlns:r="http://schemas.openxmlformats.org/officeDocument/2006/relationships" ref="T462" display="CFO Commentary" r:id="rId430"/>
    <hyperlink xmlns:r="http://schemas.openxmlformats.org/officeDocument/2006/relationships" ref="T463" display="CFO Commentary" r:id="rId431"/>
    <hyperlink xmlns:r="http://schemas.openxmlformats.org/officeDocument/2006/relationships" ref="T464" display="CFO Commentary" r:id="rId432"/>
    <hyperlink xmlns:r="http://schemas.openxmlformats.org/officeDocument/2006/relationships" ref="T465" display="CFO Commentary" r:id="rId433"/>
    <hyperlink xmlns:r="http://schemas.openxmlformats.org/officeDocument/2006/relationships" ref="T467" display="CFO Commentary" r:id="rId434"/>
    <hyperlink xmlns:r="http://schemas.openxmlformats.org/officeDocument/2006/relationships" ref="T468" display="CFO Commentary" r:id="rId435"/>
    <hyperlink xmlns:r="http://schemas.openxmlformats.org/officeDocument/2006/relationships" ref="T469" display="CFO Commentary" r:id="rId436"/>
    <hyperlink xmlns:r="http://schemas.openxmlformats.org/officeDocument/2006/relationships" ref="T470" display="CFO Commentary" r:id="rId437"/>
    <hyperlink xmlns:r="http://schemas.openxmlformats.org/officeDocument/2006/relationships" ref="T471" display="CFO Commentary" r:id="rId438"/>
    <hyperlink xmlns:r="http://schemas.openxmlformats.org/officeDocument/2006/relationships" ref="T472" display="CFO Commentary" r:id="rId439"/>
    <hyperlink xmlns:r="http://schemas.openxmlformats.org/officeDocument/2006/relationships" ref="T474" display="CFO Commentary" r:id="rId440"/>
    <hyperlink xmlns:r="http://schemas.openxmlformats.org/officeDocument/2006/relationships" ref="T475" display="CFO Commentary" r:id="rId441"/>
    <hyperlink xmlns:r="http://schemas.openxmlformats.org/officeDocument/2006/relationships" ref="T476" display="CFO Commentary" r:id="rId442"/>
    <hyperlink xmlns:r="http://schemas.openxmlformats.org/officeDocument/2006/relationships" ref="T477" display="CFO Commentary" r:id="rId443"/>
    <hyperlink xmlns:r="http://schemas.openxmlformats.org/officeDocument/2006/relationships" ref="T478" display="CFO Commentary" r:id="rId444"/>
    <hyperlink xmlns:r="http://schemas.openxmlformats.org/officeDocument/2006/relationships" ref="T479" display="CFO Commentary" r:id="rId445"/>
    <hyperlink xmlns:r="http://schemas.openxmlformats.org/officeDocument/2006/relationships" ref="T480" display="CFO Commentary" r:id="rId446"/>
    <hyperlink xmlns:r="http://schemas.openxmlformats.org/officeDocument/2006/relationships" ref="T481" display="CFO Commentary" r:id="rId447"/>
    <hyperlink xmlns:r="http://schemas.openxmlformats.org/officeDocument/2006/relationships" ref="T482" display="CFO Commentary" r:id="rId448"/>
    <hyperlink xmlns:r="http://schemas.openxmlformats.org/officeDocument/2006/relationships" ref="T483" display="CFO Commentary" r:id="rId449"/>
    <hyperlink xmlns:r="http://schemas.openxmlformats.org/officeDocument/2006/relationships" ref="T484" display="CFO Commentary" r:id="rId450"/>
    <hyperlink xmlns:r="http://schemas.openxmlformats.org/officeDocument/2006/relationships" ref="T485" display="CFO Commentary" r:id="rId451"/>
    <hyperlink xmlns:r="http://schemas.openxmlformats.org/officeDocument/2006/relationships" ref="T486" display="CFO Commentary" r:id="rId452"/>
    <hyperlink xmlns:r="http://schemas.openxmlformats.org/officeDocument/2006/relationships" ref="T487" display="CFO Commentary" r:id="rId453"/>
    <hyperlink xmlns:r="http://schemas.openxmlformats.org/officeDocument/2006/relationships" ref="T488" display="CFO Commentary" r:id="rId454"/>
    <hyperlink xmlns:r="http://schemas.openxmlformats.org/officeDocument/2006/relationships" ref="T489" display="CFO Commentary" r:id="rId455"/>
    <hyperlink xmlns:r="http://schemas.openxmlformats.org/officeDocument/2006/relationships" ref="T490" display="CFO Commentary" r:id="rId456"/>
    <hyperlink xmlns:r="http://schemas.openxmlformats.org/officeDocument/2006/relationships" ref="T491" display="CFO Commentary" r:id="rId457"/>
    <hyperlink xmlns:r="http://schemas.openxmlformats.org/officeDocument/2006/relationships" ref="T492" display="CFO Commentary" r:id="rId458"/>
    <hyperlink xmlns:r="http://schemas.openxmlformats.org/officeDocument/2006/relationships" ref="T493" display="CFO Commentary" r:id="rId459"/>
    <hyperlink xmlns:r="http://schemas.openxmlformats.org/officeDocument/2006/relationships" ref="T494" display="CFO Commentary" r:id="rId460"/>
    <hyperlink xmlns:r="http://schemas.openxmlformats.org/officeDocument/2006/relationships" ref="T495" display="CFO Commentary" r:id="rId461"/>
    <hyperlink xmlns:r="http://schemas.openxmlformats.org/officeDocument/2006/relationships" ref="T497" display="CFO Commentary" r:id="rId462"/>
    <hyperlink xmlns:r="http://schemas.openxmlformats.org/officeDocument/2006/relationships" ref="T498" display="CFO Commentary" r:id="rId463"/>
    <hyperlink xmlns:r="http://schemas.openxmlformats.org/officeDocument/2006/relationships" ref="T499" display="CFO Commentary" r:id="rId464"/>
    <hyperlink xmlns:r="http://schemas.openxmlformats.org/officeDocument/2006/relationships" ref="T500" display="CFO Commentary" r:id="rId465"/>
    <hyperlink xmlns:r="http://schemas.openxmlformats.org/officeDocument/2006/relationships" ref="T501" display="CFO Commentary" r:id="rId466"/>
    <hyperlink xmlns:r="http://schemas.openxmlformats.org/officeDocument/2006/relationships" ref="T502" display="CFO Commentary" r:id="rId467"/>
    <hyperlink xmlns:r="http://schemas.openxmlformats.org/officeDocument/2006/relationships" ref="T504" display="CFO Commentary" r:id="rId468"/>
    <hyperlink xmlns:r="http://schemas.openxmlformats.org/officeDocument/2006/relationships" ref="T505" display="CFO Commentary" r:id="rId469"/>
    <hyperlink xmlns:r="http://schemas.openxmlformats.org/officeDocument/2006/relationships" ref="T506" display="CFO Commentary" r:id="rId470"/>
    <hyperlink xmlns:r="http://schemas.openxmlformats.org/officeDocument/2006/relationships" ref="T507" display="CFO Commentary" r:id="rId471"/>
    <hyperlink xmlns:r="http://schemas.openxmlformats.org/officeDocument/2006/relationships" ref="T508" display="CFO Commentary" r:id="rId472"/>
    <hyperlink xmlns:r="http://schemas.openxmlformats.org/officeDocument/2006/relationships" ref="T509" display="CFO Commentary" r:id="rId473"/>
    <hyperlink xmlns:r="http://schemas.openxmlformats.org/officeDocument/2006/relationships" ref="T510" display="CFO Commentary" r:id="rId474"/>
    <hyperlink xmlns:r="http://schemas.openxmlformats.org/officeDocument/2006/relationships" ref="T511" display="CFO Commentary" r:id="rId475"/>
    <hyperlink xmlns:r="http://schemas.openxmlformats.org/officeDocument/2006/relationships" ref="T512" display="CFO Commentary" r:id="rId476"/>
    <hyperlink xmlns:r="http://schemas.openxmlformats.org/officeDocument/2006/relationships" ref="T513" display="CFO Commentary" r:id="rId477"/>
    <hyperlink xmlns:r="http://schemas.openxmlformats.org/officeDocument/2006/relationships" ref="T514" display="Press Release" r:id="rId478"/>
    <hyperlink xmlns:r="http://schemas.openxmlformats.org/officeDocument/2006/relationships" ref="T515" display="Press Release" r:id="rId479"/>
    <hyperlink xmlns:r="http://schemas.openxmlformats.org/officeDocument/2006/relationships" ref="T516" display="Press Release" r:id="rId480"/>
    <hyperlink xmlns:r="http://schemas.openxmlformats.org/officeDocument/2006/relationships" ref="T517" display="Press Release" r:id="rId481"/>
    <hyperlink xmlns:r="http://schemas.openxmlformats.org/officeDocument/2006/relationships" ref="T518" display="Press Release" r:id="rId482"/>
    <hyperlink xmlns:r="http://schemas.openxmlformats.org/officeDocument/2006/relationships" ref="T519" display="Press Release" r:id="rId483"/>
    <hyperlink xmlns:r="http://schemas.openxmlformats.org/officeDocument/2006/relationships" ref="T520" display="Press Release" r:id="rId484"/>
    <hyperlink xmlns:r="http://schemas.openxmlformats.org/officeDocument/2006/relationships" ref="T521" display="CFO Commentary" r:id="rId485"/>
    <hyperlink xmlns:r="http://schemas.openxmlformats.org/officeDocument/2006/relationships" ref="T522" display="CFO Commentary" r:id="rId486"/>
    <hyperlink xmlns:r="http://schemas.openxmlformats.org/officeDocument/2006/relationships" ref="T523" display="Press Release" r:id="rId487"/>
    <hyperlink xmlns:r="http://schemas.openxmlformats.org/officeDocument/2006/relationships" ref="T524" display="CFO Commentary" r:id="rId488"/>
    <hyperlink xmlns:r="http://schemas.openxmlformats.org/officeDocument/2006/relationships" ref="T525" display="Press Release" r:id="rId489"/>
    <hyperlink xmlns:r="http://schemas.openxmlformats.org/officeDocument/2006/relationships" ref="T526" display="Press Release" r:id="rId490"/>
    <hyperlink xmlns:r="http://schemas.openxmlformats.org/officeDocument/2006/relationships" ref="T528" display="CFO Commentary" r:id="rId491"/>
    <hyperlink xmlns:r="http://schemas.openxmlformats.org/officeDocument/2006/relationships" ref="T529" display="CFO Commentary" r:id="rId492"/>
    <hyperlink xmlns:r="http://schemas.openxmlformats.org/officeDocument/2006/relationships" ref="T530" display="CFO Commentary" r:id="rId493"/>
    <hyperlink xmlns:r="http://schemas.openxmlformats.org/officeDocument/2006/relationships" ref="T531" display="CFO Commentary" r:id="rId494"/>
    <hyperlink xmlns:r="http://schemas.openxmlformats.org/officeDocument/2006/relationships" ref="T532" display="CFO Commentary" r:id="rId495"/>
    <hyperlink xmlns:r="http://schemas.openxmlformats.org/officeDocument/2006/relationships" ref="T533" display="Press Release" r:id="rId496"/>
    <hyperlink xmlns:r="http://schemas.openxmlformats.org/officeDocument/2006/relationships" ref="T534" display="Press Release" r:id="rId497"/>
    <hyperlink xmlns:r="http://schemas.openxmlformats.org/officeDocument/2006/relationships" ref="T535" display="Press Release" r:id="rId498"/>
    <hyperlink xmlns:r="http://schemas.openxmlformats.org/officeDocument/2006/relationships" ref="T536" display="Press Release" r:id="rId499"/>
    <hyperlink xmlns:r="http://schemas.openxmlformats.org/officeDocument/2006/relationships" ref="T537" display="Press Release" r:id="rId500"/>
    <hyperlink xmlns:r="http://schemas.openxmlformats.org/officeDocument/2006/relationships" ref="T538" display="Press Release" r:id="rId501"/>
    <hyperlink xmlns:r="http://schemas.openxmlformats.org/officeDocument/2006/relationships" ref="T539" display="Press Release" r:id="rId502"/>
    <hyperlink xmlns:r="http://schemas.openxmlformats.org/officeDocument/2006/relationships" ref="T541" display="CFO Commentary" r:id="rId503"/>
    <hyperlink xmlns:r="http://schemas.openxmlformats.org/officeDocument/2006/relationships" ref="T542" display="CFO Commentary" r:id="rId504"/>
    <hyperlink xmlns:r="http://schemas.openxmlformats.org/officeDocument/2006/relationships" ref="T543" display="CFO Commentary" r:id="rId505"/>
    <hyperlink xmlns:r="http://schemas.openxmlformats.org/officeDocument/2006/relationships" ref="T544" display="CFO Commentary" r:id="rId506"/>
    <hyperlink xmlns:r="http://schemas.openxmlformats.org/officeDocument/2006/relationships" ref="T545" display="CFO Commentary" r:id="rId507"/>
    <hyperlink xmlns:r="http://schemas.openxmlformats.org/officeDocument/2006/relationships" ref="T546" display="CFO Commentary" r:id="rId508"/>
    <hyperlink xmlns:r="http://schemas.openxmlformats.org/officeDocument/2006/relationships" ref="T547" display="CFO Commentary" r:id="rId509"/>
    <hyperlink xmlns:r="http://schemas.openxmlformats.org/officeDocument/2006/relationships" ref="T548" display="CFO Commentary" r:id="rId510"/>
    <hyperlink xmlns:r="http://schemas.openxmlformats.org/officeDocument/2006/relationships" ref="T549" display="CFO Commentary" r:id="rId511"/>
    <hyperlink xmlns:r="http://schemas.openxmlformats.org/officeDocument/2006/relationships" ref="T550" display="CFO Commentary" r:id="rId512"/>
    <hyperlink xmlns:r="http://schemas.openxmlformats.org/officeDocument/2006/relationships" ref="T551" display="Press Release" r:id="rId513"/>
    <hyperlink xmlns:r="http://schemas.openxmlformats.org/officeDocument/2006/relationships" ref="T552" display="Press Release" r:id="rId514"/>
    <hyperlink xmlns:r="http://schemas.openxmlformats.org/officeDocument/2006/relationships" ref="T553" display="Press Release" r:id="rId515"/>
    <hyperlink xmlns:r="http://schemas.openxmlformats.org/officeDocument/2006/relationships" ref="T554" display="Press Release" r:id="rId516"/>
    <hyperlink xmlns:r="http://schemas.openxmlformats.org/officeDocument/2006/relationships" ref="T555" display="Press Release" r:id="rId517"/>
    <hyperlink xmlns:r="http://schemas.openxmlformats.org/officeDocument/2006/relationships" ref="T556" display="Press Release" r:id="rId518"/>
    <hyperlink xmlns:r="http://schemas.openxmlformats.org/officeDocument/2006/relationships" ref="T557" display="Press Release" r:id="rId519"/>
    <hyperlink xmlns:r="http://schemas.openxmlformats.org/officeDocument/2006/relationships" ref="T558" display="CFO Commentary" r:id="rId520"/>
    <hyperlink xmlns:r="http://schemas.openxmlformats.org/officeDocument/2006/relationships" ref="T559" display="CFO Commentary" r:id="rId521"/>
    <hyperlink xmlns:r="http://schemas.openxmlformats.org/officeDocument/2006/relationships" ref="T560" display="Press Release" r:id="rId522"/>
    <hyperlink xmlns:r="http://schemas.openxmlformats.org/officeDocument/2006/relationships" ref="T561" display="CFO Commentary" r:id="rId523"/>
    <hyperlink xmlns:r="http://schemas.openxmlformats.org/officeDocument/2006/relationships" ref="T562" display="Press Release" r:id="rId524"/>
    <hyperlink xmlns:r="http://schemas.openxmlformats.org/officeDocument/2006/relationships" ref="T563" display="Press Release" r:id="rId525"/>
    <hyperlink xmlns:r="http://schemas.openxmlformats.org/officeDocument/2006/relationships" ref="T565" display="CFO Commentary" r:id="rId526"/>
    <hyperlink xmlns:r="http://schemas.openxmlformats.org/officeDocument/2006/relationships" ref="T566" display="CFO Commentary" r:id="rId527"/>
    <hyperlink xmlns:r="http://schemas.openxmlformats.org/officeDocument/2006/relationships" ref="T567" display="CFO Commentary" r:id="rId528"/>
    <hyperlink xmlns:r="http://schemas.openxmlformats.org/officeDocument/2006/relationships" ref="T568" display="CFO Commentary" r:id="rId529"/>
    <hyperlink xmlns:r="http://schemas.openxmlformats.org/officeDocument/2006/relationships" ref="T569" display="CFO Commentary" r:id="rId530"/>
    <hyperlink xmlns:r="http://schemas.openxmlformats.org/officeDocument/2006/relationships" ref="T570" display="Press Release" r:id="rId531"/>
    <hyperlink xmlns:r="http://schemas.openxmlformats.org/officeDocument/2006/relationships" ref="T571" display="Press Release" r:id="rId532"/>
    <hyperlink xmlns:r="http://schemas.openxmlformats.org/officeDocument/2006/relationships" ref="T572" display="Press Release" r:id="rId533"/>
    <hyperlink xmlns:r="http://schemas.openxmlformats.org/officeDocument/2006/relationships" ref="T573" display="Press Release" r:id="rId534"/>
    <hyperlink xmlns:r="http://schemas.openxmlformats.org/officeDocument/2006/relationships" ref="T574" display="Press Release" r:id="rId535"/>
    <hyperlink xmlns:r="http://schemas.openxmlformats.org/officeDocument/2006/relationships" ref="T575" display="Press Release" r:id="rId536"/>
    <hyperlink xmlns:r="http://schemas.openxmlformats.org/officeDocument/2006/relationships" ref="T576" display="Press Release" r:id="rId537"/>
    <hyperlink xmlns:r="http://schemas.openxmlformats.org/officeDocument/2006/relationships" ref="T578" display="CFO Commentary" r:id="rId538"/>
    <hyperlink xmlns:r="http://schemas.openxmlformats.org/officeDocument/2006/relationships" ref="T579" display="CFO Commentary" r:id="rId539"/>
    <hyperlink xmlns:r="http://schemas.openxmlformats.org/officeDocument/2006/relationships" ref="T580" display="CFO Commentary" r:id="rId540"/>
    <hyperlink xmlns:r="http://schemas.openxmlformats.org/officeDocument/2006/relationships" ref="T581" display="CFO Commentary" r:id="rId541"/>
    <hyperlink xmlns:r="http://schemas.openxmlformats.org/officeDocument/2006/relationships" ref="T582" display="CFO Commentary" r:id="rId542"/>
    <hyperlink xmlns:r="http://schemas.openxmlformats.org/officeDocument/2006/relationships" ref="T583" display="CFO Commentary" r:id="rId543"/>
    <hyperlink xmlns:r="http://schemas.openxmlformats.org/officeDocument/2006/relationships" ref="T584" display="CFO Commentary" r:id="rId544"/>
    <hyperlink xmlns:r="http://schemas.openxmlformats.org/officeDocument/2006/relationships" ref="T585" display="CFO Commentary" r:id="rId545"/>
    <hyperlink xmlns:r="http://schemas.openxmlformats.org/officeDocument/2006/relationships" ref="T586" display="CFO Commentary" r:id="rId546"/>
    <hyperlink xmlns:r="http://schemas.openxmlformats.org/officeDocument/2006/relationships" ref="T587" display="CFO Commentary" r:id="rId547"/>
    <hyperlink xmlns:r="http://schemas.openxmlformats.org/officeDocument/2006/relationships" ref="T588" display="Press Release" r:id="rId548"/>
    <hyperlink xmlns:r="http://schemas.openxmlformats.org/officeDocument/2006/relationships" ref="T589" display="Press Release" r:id="rId549"/>
    <hyperlink xmlns:r="http://schemas.openxmlformats.org/officeDocument/2006/relationships" ref="T590" display="Press Release" r:id="rId550"/>
    <hyperlink xmlns:r="http://schemas.openxmlformats.org/officeDocument/2006/relationships" ref="T591" display="Press Release" r:id="rId551"/>
    <hyperlink xmlns:r="http://schemas.openxmlformats.org/officeDocument/2006/relationships" ref="T592" display="Press Release" r:id="rId552"/>
    <hyperlink xmlns:r="http://schemas.openxmlformats.org/officeDocument/2006/relationships" ref="T593" display="Press Release" r:id="rId553"/>
    <hyperlink xmlns:r="http://schemas.openxmlformats.org/officeDocument/2006/relationships" ref="T594" display="CFO Commentary" r:id="rId554"/>
    <hyperlink xmlns:r="http://schemas.openxmlformats.org/officeDocument/2006/relationships" ref="T595" display="CFO Commentary" r:id="rId555"/>
    <hyperlink xmlns:r="http://schemas.openxmlformats.org/officeDocument/2006/relationships" ref="T596" display="Press Release" r:id="rId556"/>
    <hyperlink xmlns:r="http://schemas.openxmlformats.org/officeDocument/2006/relationships" ref="T597" display="CFO Commentary" r:id="rId557"/>
    <hyperlink xmlns:r="http://schemas.openxmlformats.org/officeDocument/2006/relationships" ref="T598" display="Press Release" r:id="rId558"/>
    <hyperlink xmlns:r="http://schemas.openxmlformats.org/officeDocument/2006/relationships" ref="T599" display="Press Release" r:id="rId559"/>
    <hyperlink xmlns:r="http://schemas.openxmlformats.org/officeDocument/2006/relationships" ref="T601" display="CFO Commentary" r:id="rId560"/>
    <hyperlink xmlns:r="http://schemas.openxmlformats.org/officeDocument/2006/relationships" ref="T602" display="CFO Commentary" r:id="rId561"/>
    <hyperlink xmlns:r="http://schemas.openxmlformats.org/officeDocument/2006/relationships" ref="T603" display="CFO Commentary" r:id="rId562"/>
    <hyperlink xmlns:r="http://schemas.openxmlformats.org/officeDocument/2006/relationships" ref="T604" display="CFO Commentary" r:id="rId563"/>
    <hyperlink xmlns:r="http://schemas.openxmlformats.org/officeDocument/2006/relationships" ref="T605" display="CFO Commentary" r:id="rId564"/>
    <hyperlink xmlns:r="http://schemas.openxmlformats.org/officeDocument/2006/relationships" ref="T606" display="Press Release" r:id="rId565"/>
    <hyperlink xmlns:r="http://schemas.openxmlformats.org/officeDocument/2006/relationships" ref="T607" display="Press Release" r:id="rId566"/>
    <hyperlink xmlns:r="http://schemas.openxmlformats.org/officeDocument/2006/relationships" ref="T608" display="Press Release" r:id="rId567"/>
    <hyperlink xmlns:r="http://schemas.openxmlformats.org/officeDocument/2006/relationships" ref="T609" display="Press Release" r:id="rId568"/>
    <hyperlink xmlns:r="http://schemas.openxmlformats.org/officeDocument/2006/relationships" ref="T610" display="Press Release" r:id="rId569"/>
    <hyperlink xmlns:r="http://schemas.openxmlformats.org/officeDocument/2006/relationships" ref="T611" display="Press Release" r:id="rId570"/>
    <hyperlink xmlns:r="http://schemas.openxmlformats.org/officeDocument/2006/relationships" ref="T612" display="Press Release" r:id="rId571"/>
    <hyperlink xmlns:r="http://schemas.openxmlformats.org/officeDocument/2006/relationships" ref="T614" display="CFO Commentary" r:id="rId572"/>
    <hyperlink xmlns:r="http://schemas.openxmlformats.org/officeDocument/2006/relationships" ref="T615" display="CFO Commentary" r:id="rId573"/>
    <hyperlink xmlns:r="http://schemas.openxmlformats.org/officeDocument/2006/relationships" ref="T616" display="CFO Commentary" r:id="rId574"/>
    <hyperlink xmlns:r="http://schemas.openxmlformats.org/officeDocument/2006/relationships" ref="T617" display="CFO Commentary" r:id="rId575"/>
    <hyperlink xmlns:r="http://schemas.openxmlformats.org/officeDocument/2006/relationships" ref="T618" display="CFO Commentary" r:id="rId576"/>
    <hyperlink xmlns:r="http://schemas.openxmlformats.org/officeDocument/2006/relationships" ref="T619" display="CFO Commentary" r:id="rId577"/>
    <hyperlink xmlns:r="http://schemas.openxmlformats.org/officeDocument/2006/relationships" ref="T620" display="CFO Commentary" r:id="rId578"/>
    <hyperlink xmlns:r="http://schemas.openxmlformats.org/officeDocument/2006/relationships" ref="T621" display="CFO Commentary" r:id="rId579"/>
    <hyperlink xmlns:r="http://schemas.openxmlformats.org/officeDocument/2006/relationships" ref="T622" display="CFO Commentary" r:id="rId580"/>
    <hyperlink xmlns:r="http://schemas.openxmlformats.org/officeDocument/2006/relationships" ref="T623" display="CFO Commentary" r:id="rId581"/>
    <hyperlink xmlns:r="http://schemas.openxmlformats.org/officeDocument/2006/relationships" ref="T624" display="Press Release" r:id="rId582"/>
    <hyperlink xmlns:r="http://schemas.openxmlformats.org/officeDocument/2006/relationships" ref="T625" display="Press Release" r:id="rId583"/>
    <hyperlink xmlns:r="http://schemas.openxmlformats.org/officeDocument/2006/relationships" ref="T626" display="Press Release" r:id="rId584"/>
    <hyperlink xmlns:r="http://schemas.openxmlformats.org/officeDocument/2006/relationships" ref="T627" display="CFO Commentary" r:id="rId585"/>
    <hyperlink xmlns:r="http://schemas.openxmlformats.org/officeDocument/2006/relationships" ref="T628" display="CFO Commentary" r:id="rId586"/>
    <hyperlink xmlns:r="http://schemas.openxmlformats.org/officeDocument/2006/relationships" ref="T629" display="CFO Commentary" r:id="rId587"/>
    <hyperlink xmlns:r="http://schemas.openxmlformats.org/officeDocument/2006/relationships" ref="T630" display="CFO Commentary" r:id="rId588"/>
    <hyperlink xmlns:r="http://schemas.openxmlformats.org/officeDocument/2006/relationships" ref="T631" display="Press Release" r:id="rId589"/>
    <hyperlink xmlns:r="http://schemas.openxmlformats.org/officeDocument/2006/relationships" ref="T632" display="Press Release" r:id="rId590"/>
    <hyperlink xmlns:r="http://schemas.openxmlformats.org/officeDocument/2006/relationships" ref="T634" display="CFO Commentary" r:id="rId591"/>
    <hyperlink xmlns:r="http://schemas.openxmlformats.org/officeDocument/2006/relationships" ref="T635" display="CFO Commentary" r:id="rId592"/>
    <hyperlink xmlns:r="http://schemas.openxmlformats.org/officeDocument/2006/relationships" ref="T636" display="CFO Commentary" r:id="rId593"/>
    <hyperlink xmlns:r="http://schemas.openxmlformats.org/officeDocument/2006/relationships" ref="T637" display="CFO Commentary" r:id="rId594"/>
    <hyperlink xmlns:r="http://schemas.openxmlformats.org/officeDocument/2006/relationships" ref="T638" display="CFO Commentary" r:id="rId595"/>
    <hyperlink xmlns:r="http://schemas.openxmlformats.org/officeDocument/2006/relationships" ref="T639" display="Press Release" r:id="rId596"/>
    <hyperlink xmlns:r="http://schemas.openxmlformats.org/officeDocument/2006/relationships" ref="T640" display="Press Release" r:id="rId597"/>
    <hyperlink xmlns:r="http://schemas.openxmlformats.org/officeDocument/2006/relationships" ref="T641" display="Press Release" r:id="rId598"/>
    <hyperlink xmlns:r="http://schemas.openxmlformats.org/officeDocument/2006/relationships" ref="T642" display="CFO Commentary" r:id="rId599"/>
    <hyperlink xmlns:r="http://schemas.openxmlformats.org/officeDocument/2006/relationships" ref="T643" display="Press Release" r:id="rId600"/>
    <hyperlink xmlns:r="http://schemas.openxmlformats.org/officeDocument/2006/relationships" ref="T644" display="Press Release" r:id="rId601"/>
    <hyperlink xmlns:r="http://schemas.openxmlformats.org/officeDocument/2006/relationships" ref="T646" display="Press Release" r:id="rId602"/>
    <hyperlink xmlns:r="http://schemas.openxmlformats.org/officeDocument/2006/relationships" ref="T647" display="Press Release" r:id="rId603"/>
    <hyperlink xmlns:r="http://schemas.openxmlformats.org/officeDocument/2006/relationships" ref="T648" display="Press Release" r:id="rId604"/>
    <hyperlink xmlns:r="http://schemas.openxmlformats.org/officeDocument/2006/relationships" ref="T649" display="Press Release" r:id="rId605"/>
    <hyperlink xmlns:r="http://schemas.openxmlformats.org/officeDocument/2006/relationships" ref="T650" display="Press Release" r:id="rId606"/>
    <hyperlink xmlns:r="http://schemas.openxmlformats.org/officeDocument/2006/relationships" ref="T651" display="Press Release" r:id="rId607"/>
    <hyperlink xmlns:r="http://schemas.openxmlformats.org/officeDocument/2006/relationships" ref="T652" display="Press Release" r:id="rId608"/>
    <hyperlink xmlns:r="http://schemas.openxmlformats.org/officeDocument/2006/relationships" ref="T653" display="Press Release" r:id="rId609"/>
    <hyperlink xmlns:r="http://schemas.openxmlformats.org/officeDocument/2006/relationships" ref="T654" display="Press Release" r:id="rId610"/>
    <hyperlink xmlns:r="http://schemas.openxmlformats.org/officeDocument/2006/relationships" ref="T655" display="Press Release" r:id="rId611"/>
    <hyperlink xmlns:r="http://schemas.openxmlformats.org/officeDocument/2006/relationships" ref="T656" display="Press Release" r:id="rId612"/>
    <hyperlink xmlns:r="http://schemas.openxmlformats.org/officeDocument/2006/relationships" ref="T657" display="Press Release" r:id="rId613"/>
    <hyperlink xmlns:r="http://schemas.openxmlformats.org/officeDocument/2006/relationships" ref="T658" display="Press Release" r:id="rId614"/>
    <hyperlink xmlns:r="http://schemas.openxmlformats.org/officeDocument/2006/relationships" ref="T659" display="Press Release" r:id="rId615"/>
    <hyperlink xmlns:r="http://schemas.openxmlformats.org/officeDocument/2006/relationships" ref="T660" display="Press Release" r:id="rId616"/>
    <hyperlink xmlns:r="http://schemas.openxmlformats.org/officeDocument/2006/relationships" ref="T661" display="Press Release" r:id="rId617"/>
    <hyperlink xmlns:r="http://schemas.openxmlformats.org/officeDocument/2006/relationships" ref="T662" display="Press Release" r:id="rId618"/>
    <hyperlink xmlns:r="http://schemas.openxmlformats.org/officeDocument/2006/relationships" ref="T664" display="Press Release" r:id="rId619"/>
    <hyperlink xmlns:r="http://schemas.openxmlformats.org/officeDocument/2006/relationships" ref="T665" display="Press Release" r:id="rId620"/>
    <hyperlink xmlns:r="http://schemas.openxmlformats.org/officeDocument/2006/relationships" ref="T666" display="Press Release" r:id="rId621"/>
    <hyperlink xmlns:r="http://schemas.openxmlformats.org/officeDocument/2006/relationships" ref="T667" display="Press Release" r:id="rId622"/>
    <hyperlink xmlns:r="http://schemas.openxmlformats.org/officeDocument/2006/relationships" ref="T668" display="Press Release" r:id="rId623"/>
    <hyperlink xmlns:r="http://schemas.openxmlformats.org/officeDocument/2006/relationships" ref="T669" display="Press Release" r:id="rId624"/>
    <hyperlink xmlns:r="http://schemas.openxmlformats.org/officeDocument/2006/relationships" ref="T670" display="Press Release" r:id="rId625"/>
    <hyperlink xmlns:r="http://schemas.openxmlformats.org/officeDocument/2006/relationships" ref="T671" display="Press Release" r:id="rId626"/>
    <hyperlink xmlns:r="http://schemas.openxmlformats.org/officeDocument/2006/relationships" ref="T672" display="Press Release" r:id="rId627"/>
    <hyperlink xmlns:r="http://schemas.openxmlformats.org/officeDocument/2006/relationships" ref="T673" display="Press Release" r:id="rId628"/>
    <hyperlink xmlns:r="http://schemas.openxmlformats.org/officeDocument/2006/relationships" ref="T674" display="Press Release" r:id="rId629"/>
    <hyperlink xmlns:r="http://schemas.openxmlformats.org/officeDocument/2006/relationships" ref="T675" display="Press Release" r:id="rId630"/>
    <hyperlink xmlns:r="http://schemas.openxmlformats.org/officeDocument/2006/relationships" ref="T677" display="Press Release" r:id="rId631"/>
    <hyperlink xmlns:r="http://schemas.openxmlformats.org/officeDocument/2006/relationships" ref="T678" display="Press Release" r:id="rId632"/>
    <hyperlink xmlns:r="http://schemas.openxmlformats.org/officeDocument/2006/relationships" ref="T679" display="Press Release" r:id="rId633"/>
    <hyperlink xmlns:r="http://schemas.openxmlformats.org/officeDocument/2006/relationships" ref="T680" display="Press Release" r:id="rId634"/>
    <hyperlink xmlns:r="http://schemas.openxmlformats.org/officeDocument/2006/relationships" ref="T681" display="Press Release" r:id="rId635"/>
    <hyperlink xmlns:r="http://schemas.openxmlformats.org/officeDocument/2006/relationships" ref="T682" display="Press Release" r:id="rId636"/>
    <hyperlink xmlns:r="http://schemas.openxmlformats.org/officeDocument/2006/relationships" ref="T683" display="Press Release" r:id="rId637"/>
    <hyperlink xmlns:r="http://schemas.openxmlformats.org/officeDocument/2006/relationships" ref="T684" display="Press Release" r:id="rId638"/>
    <hyperlink xmlns:r="http://schemas.openxmlformats.org/officeDocument/2006/relationships" ref="T685" display="Press Release" r:id="rId639"/>
    <hyperlink xmlns:r="http://schemas.openxmlformats.org/officeDocument/2006/relationships" ref="T686" display="Press Release" r:id="rId640"/>
    <hyperlink xmlns:r="http://schemas.openxmlformats.org/officeDocument/2006/relationships" ref="T687" display="Press Release" r:id="rId641"/>
    <hyperlink xmlns:r="http://schemas.openxmlformats.org/officeDocument/2006/relationships" ref="T688" display="Press Release" r:id="rId642"/>
    <hyperlink xmlns:r="http://schemas.openxmlformats.org/officeDocument/2006/relationships" ref="T689" display="Press Release" r:id="rId643"/>
    <hyperlink xmlns:r="http://schemas.openxmlformats.org/officeDocument/2006/relationships" ref="T690" display="Press Release" r:id="rId644"/>
    <hyperlink xmlns:r="http://schemas.openxmlformats.org/officeDocument/2006/relationships" ref="T691" display="Press Release" r:id="rId645"/>
    <hyperlink xmlns:r="http://schemas.openxmlformats.org/officeDocument/2006/relationships" ref="T692" display="Press Release" r:id="rId646"/>
    <hyperlink xmlns:r="http://schemas.openxmlformats.org/officeDocument/2006/relationships" ref="T693" display="Press Release" r:id="rId647"/>
    <hyperlink xmlns:r="http://schemas.openxmlformats.org/officeDocument/2006/relationships" ref="T695" display="Press Release" r:id="rId648"/>
    <hyperlink xmlns:r="http://schemas.openxmlformats.org/officeDocument/2006/relationships" ref="T696" display="Press Release" r:id="rId649"/>
    <hyperlink xmlns:r="http://schemas.openxmlformats.org/officeDocument/2006/relationships" ref="T697" display="Press Release" r:id="rId650"/>
    <hyperlink xmlns:r="http://schemas.openxmlformats.org/officeDocument/2006/relationships" ref="T698" display="Press Release" r:id="rId651"/>
    <hyperlink xmlns:r="http://schemas.openxmlformats.org/officeDocument/2006/relationships" ref="T699" display="Press Release" r:id="rId652"/>
    <hyperlink xmlns:r="http://schemas.openxmlformats.org/officeDocument/2006/relationships" ref="T700" display="Press Release" r:id="rId653"/>
    <hyperlink xmlns:r="http://schemas.openxmlformats.org/officeDocument/2006/relationships" ref="T701" display="Press Release" r:id="rId654"/>
    <hyperlink xmlns:r="http://schemas.openxmlformats.org/officeDocument/2006/relationships" ref="T702" display="Press Release" r:id="rId655"/>
    <hyperlink xmlns:r="http://schemas.openxmlformats.org/officeDocument/2006/relationships" ref="T703" display="Press Release" r:id="rId656"/>
    <hyperlink xmlns:r="http://schemas.openxmlformats.org/officeDocument/2006/relationships" ref="T704" display="Press Release" r:id="rId657"/>
    <hyperlink xmlns:r="http://schemas.openxmlformats.org/officeDocument/2006/relationships" ref="T705" display="Press Release" r:id="rId658"/>
    <hyperlink xmlns:r="http://schemas.openxmlformats.org/officeDocument/2006/relationships" ref="T706" display="Press Release" r:id="rId659"/>
    <hyperlink xmlns:r="http://schemas.openxmlformats.org/officeDocument/2006/relationships" ref="T708" display="Press Release" r:id="rId660"/>
    <hyperlink xmlns:r="http://schemas.openxmlformats.org/officeDocument/2006/relationships" ref="T709" display="Press Release" r:id="rId661"/>
    <hyperlink xmlns:r="http://schemas.openxmlformats.org/officeDocument/2006/relationships" ref="T710" display="Press Release" r:id="rId662"/>
    <hyperlink xmlns:r="http://schemas.openxmlformats.org/officeDocument/2006/relationships" ref="T711" display="Press Release" r:id="rId663"/>
    <hyperlink xmlns:r="http://schemas.openxmlformats.org/officeDocument/2006/relationships" ref="T712" display="Press Release" r:id="rId664"/>
    <hyperlink xmlns:r="http://schemas.openxmlformats.org/officeDocument/2006/relationships" ref="T713" display="Press Release" r:id="rId665"/>
    <hyperlink xmlns:r="http://schemas.openxmlformats.org/officeDocument/2006/relationships" ref="T714" display="Press Release" r:id="rId666"/>
    <hyperlink xmlns:r="http://schemas.openxmlformats.org/officeDocument/2006/relationships" ref="T715" display="Press Release" r:id="rId667"/>
    <hyperlink xmlns:r="http://schemas.openxmlformats.org/officeDocument/2006/relationships" ref="T716" display="Press Release" r:id="rId668"/>
    <hyperlink xmlns:r="http://schemas.openxmlformats.org/officeDocument/2006/relationships" ref="T717" display="Press Release" r:id="rId669"/>
    <hyperlink xmlns:r="http://schemas.openxmlformats.org/officeDocument/2006/relationships" ref="T718" display="Press Release" r:id="rId670"/>
    <hyperlink xmlns:r="http://schemas.openxmlformats.org/officeDocument/2006/relationships" ref="T719" display="Press Release" r:id="rId671"/>
    <hyperlink xmlns:r="http://schemas.openxmlformats.org/officeDocument/2006/relationships" ref="T720" display="Press Release" r:id="rId672"/>
    <hyperlink xmlns:r="http://schemas.openxmlformats.org/officeDocument/2006/relationships" ref="T721" display="Press Release" r:id="rId673"/>
    <hyperlink xmlns:r="http://schemas.openxmlformats.org/officeDocument/2006/relationships" ref="T723" display="Press Release" r:id="rId674"/>
    <hyperlink xmlns:r="http://schemas.openxmlformats.org/officeDocument/2006/relationships" ref="T724" display="Press Release" r:id="rId675"/>
    <hyperlink xmlns:r="http://schemas.openxmlformats.org/officeDocument/2006/relationships" ref="T725" display="Press Release" r:id="rId676"/>
    <hyperlink xmlns:r="http://schemas.openxmlformats.org/officeDocument/2006/relationships" ref="T726" display="Press Release" r:id="rId677"/>
    <hyperlink xmlns:r="http://schemas.openxmlformats.org/officeDocument/2006/relationships" ref="T727" display="Press Release" r:id="rId678"/>
    <hyperlink xmlns:r="http://schemas.openxmlformats.org/officeDocument/2006/relationships" ref="T728" display="Press Release" r:id="rId679"/>
    <hyperlink xmlns:r="http://schemas.openxmlformats.org/officeDocument/2006/relationships" ref="T729" display="Press Release" r:id="rId680"/>
    <hyperlink xmlns:r="http://schemas.openxmlformats.org/officeDocument/2006/relationships" ref="T730" display="Press Release" r:id="rId681"/>
    <hyperlink xmlns:r="http://schemas.openxmlformats.org/officeDocument/2006/relationships" ref="T731" display="Press Release" r:id="rId682"/>
    <hyperlink xmlns:r="http://schemas.openxmlformats.org/officeDocument/2006/relationships" ref="T732" display="Press Release" r:id="rId683"/>
    <hyperlink xmlns:r="http://schemas.openxmlformats.org/officeDocument/2006/relationships" ref="T733" display="Press Release" r:id="rId684"/>
    <hyperlink xmlns:r="http://schemas.openxmlformats.org/officeDocument/2006/relationships" ref="T734" display="Press Release" r:id="rId685"/>
    <hyperlink xmlns:r="http://schemas.openxmlformats.org/officeDocument/2006/relationships" ref="T736" display="Press Release" r:id="rId686"/>
    <hyperlink xmlns:r="http://schemas.openxmlformats.org/officeDocument/2006/relationships" ref="T737" display="Press Release" r:id="rId687"/>
    <hyperlink xmlns:r="http://schemas.openxmlformats.org/officeDocument/2006/relationships" ref="T738" display="Press Release" r:id="rId688"/>
    <hyperlink xmlns:r="http://schemas.openxmlformats.org/officeDocument/2006/relationships" ref="T739" display="Press Release" r:id="rId689"/>
    <hyperlink xmlns:r="http://schemas.openxmlformats.org/officeDocument/2006/relationships" ref="T740" display="Press Release" r:id="rId690"/>
    <hyperlink xmlns:r="http://schemas.openxmlformats.org/officeDocument/2006/relationships" ref="T741" display="Press Release" r:id="rId691"/>
    <hyperlink xmlns:r="http://schemas.openxmlformats.org/officeDocument/2006/relationships" ref="T742" display="Press Release" r:id="rId692"/>
    <hyperlink xmlns:r="http://schemas.openxmlformats.org/officeDocument/2006/relationships" ref="T743" display="Press Release" r:id="rId693"/>
    <hyperlink xmlns:r="http://schemas.openxmlformats.org/officeDocument/2006/relationships" ref="T744" display="Press Release" r:id="rId694"/>
    <hyperlink xmlns:r="http://schemas.openxmlformats.org/officeDocument/2006/relationships" ref="T745" display="Press Release" r:id="rId695"/>
    <hyperlink xmlns:r="http://schemas.openxmlformats.org/officeDocument/2006/relationships" ref="T746" display="Press Release" r:id="rId696"/>
    <hyperlink xmlns:r="http://schemas.openxmlformats.org/officeDocument/2006/relationships" ref="T747" display="Press Release" r:id="rId697"/>
    <hyperlink xmlns:r="http://schemas.openxmlformats.org/officeDocument/2006/relationships" ref="T749" display="Press Release" r:id="rId698"/>
    <hyperlink xmlns:r="http://schemas.openxmlformats.org/officeDocument/2006/relationships" ref="T750" display="Press Release" r:id="rId699"/>
    <hyperlink xmlns:r="http://schemas.openxmlformats.org/officeDocument/2006/relationships" ref="T751" display="Press Release" r:id="rId700"/>
    <hyperlink xmlns:r="http://schemas.openxmlformats.org/officeDocument/2006/relationships" ref="T752" display="Press Release" r:id="rId701"/>
    <hyperlink xmlns:r="http://schemas.openxmlformats.org/officeDocument/2006/relationships" ref="T753" display="Press Release" r:id="rId702"/>
    <hyperlink xmlns:r="http://schemas.openxmlformats.org/officeDocument/2006/relationships" ref="T754" display="Press Release" r:id="rId703"/>
    <hyperlink xmlns:r="http://schemas.openxmlformats.org/officeDocument/2006/relationships" ref="T755" display="Press Release" r:id="rId704"/>
    <hyperlink xmlns:r="http://schemas.openxmlformats.org/officeDocument/2006/relationships" ref="T756" display="Press Release" r:id="rId705"/>
    <hyperlink xmlns:r="http://schemas.openxmlformats.org/officeDocument/2006/relationships" ref="T757" display="Press Release" r:id="rId706"/>
    <hyperlink xmlns:r="http://schemas.openxmlformats.org/officeDocument/2006/relationships" ref="T758" display="Press Release" r:id="rId707"/>
    <hyperlink xmlns:r="http://schemas.openxmlformats.org/officeDocument/2006/relationships" ref="T759" display="Press Release" r:id="rId708"/>
    <hyperlink xmlns:r="http://schemas.openxmlformats.org/officeDocument/2006/relationships" ref="T760" display="Press Release" r:id="rId709"/>
    <hyperlink xmlns:r="http://schemas.openxmlformats.org/officeDocument/2006/relationships" ref="T762" display="Press Release" r:id="rId710"/>
    <hyperlink xmlns:r="http://schemas.openxmlformats.org/officeDocument/2006/relationships" ref="T763" display="Press Release" r:id="rId711"/>
    <hyperlink xmlns:r="http://schemas.openxmlformats.org/officeDocument/2006/relationships" ref="T764" display="Press Release" r:id="rId712"/>
    <hyperlink xmlns:r="http://schemas.openxmlformats.org/officeDocument/2006/relationships" ref="T765" display="Press Release" r:id="rId713"/>
    <hyperlink xmlns:r="http://schemas.openxmlformats.org/officeDocument/2006/relationships" ref="T766" display="Press Release" r:id="rId714"/>
    <hyperlink xmlns:r="http://schemas.openxmlformats.org/officeDocument/2006/relationships" ref="T767" display="Press Release" r:id="rId715"/>
    <hyperlink xmlns:r="http://schemas.openxmlformats.org/officeDocument/2006/relationships" ref="T768" display="Press Release" r:id="rId716"/>
    <hyperlink xmlns:r="http://schemas.openxmlformats.org/officeDocument/2006/relationships" ref="T769" display="Press Release" r:id="rId717"/>
    <hyperlink xmlns:r="http://schemas.openxmlformats.org/officeDocument/2006/relationships" ref="T770" display="Press Release" r:id="rId718"/>
    <hyperlink xmlns:r="http://schemas.openxmlformats.org/officeDocument/2006/relationships" ref="T771" display="Press Release" r:id="rId719"/>
    <hyperlink xmlns:r="http://schemas.openxmlformats.org/officeDocument/2006/relationships" ref="T772" display="Press Release" r:id="rId720"/>
    <hyperlink xmlns:r="http://schemas.openxmlformats.org/officeDocument/2006/relationships" ref="T773" display="Press Release" r:id="rId721"/>
    <hyperlink xmlns:r="http://schemas.openxmlformats.org/officeDocument/2006/relationships" ref="T774" display="Press Release" r:id="rId722"/>
    <hyperlink xmlns:r="http://schemas.openxmlformats.org/officeDocument/2006/relationships" ref="T775" display="Press Release" r:id="rId723"/>
    <hyperlink xmlns:r="http://schemas.openxmlformats.org/officeDocument/2006/relationships" ref="T776" display="Press Release" r:id="rId724"/>
    <hyperlink xmlns:r="http://schemas.openxmlformats.org/officeDocument/2006/relationships" ref="T778" display="Press Release" r:id="rId725"/>
    <hyperlink xmlns:r="http://schemas.openxmlformats.org/officeDocument/2006/relationships" ref="T779" display="Press Release" r:id="rId726"/>
    <hyperlink xmlns:r="http://schemas.openxmlformats.org/officeDocument/2006/relationships" ref="T780" display="Press Release" r:id="rId727"/>
    <hyperlink xmlns:r="http://schemas.openxmlformats.org/officeDocument/2006/relationships" ref="T781" display="Press Release" r:id="rId728"/>
    <hyperlink xmlns:r="http://schemas.openxmlformats.org/officeDocument/2006/relationships" ref="T782" display="Press Release" r:id="rId729"/>
    <hyperlink xmlns:r="http://schemas.openxmlformats.org/officeDocument/2006/relationships" ref="T783" display="Press Release" r:id="rId730"/>
    <hyperlink xmlns:r="http://schemas.openxmlformats.org/officeDocument/2006/relationships" ref="T784" display="Press Release" r:id="rId731"/>
    <hyperlink xmlns:r="http://schemas.openxmlformats.org/officeDocument/2006/relationships" ref="T785" display="Press Release" r:id="rId732"/>
    <hyperlink xmlns:r="http://schemas.openxmlformats.org/officeDocument/2006/relationships" ref="T786" display="Press Release" r:id="rId733"/>
    <hyperlink xmlns:r="http://schemas.openxmlformats.org/officeDocument/2006/relationships" ref="T787" display="Press Release" r:id="rId734"/>
    <hyperlink xmlns:r="http://schemas.openxmlformats.org/officeDocument/2006/relationships" ref="T788" display="Press Release" r:id="rId735"/>
    <hyperlink xmlns:r="http://schemas.openxmlformats.org/officeDocument/2006/relationships" ref="T789" display="Press Release" r:id="rId736"/>
    <hyperlink xmlns:r="http://schemas.openxmlformats.org/officeDocument/2006/relationships" ref="T790" display="Press Release" r:id="rId737"/>
    <hyperlink xmlns:r="http://schemas.openxmlformats.org/officeDocument/2006/relationships" ref="T792" display="Press Release" r:id="rId738"/>
    <hyperlink xmlns:r="http://schemas.openxmlformats.org/officeDocument/2006/relationships" ref="T793" display="Press Release" r:id="rId739"/>
    <hyperlink xmlns:r="http://schemas.openxmlformats.org/officeDocument/2006/relationships" ref="T794" display="Press Release" r:id="rId740"/>
    <hyperlink xmlns:r="http://schemas.openxmlformats.org/officeDocument/2006/relationships" ref="T795" display="Press Release" r:id="rId741"/>
    <hyperlink xmlns:r="http://schemas.openxmlformats.org/officeDocument/2006/relationships" ref="T796" display="Press Release" r:id="rId742"/>
    <hyperlink xmlns:r="http://schemas.openxmlformats.org/officeDocument/2006/relationships" ref="T797" display="Press Release" r:id="rId743"/>
    <hyperlink xmlns:r="http://schemas.openxmlformats.org/officeDocument/2006/relationships" ref="T798" display="Press Release" r:id="rId744"/>
    <hyperlink xmlns:r="http://schemas.openxmlformats.org/officeDocument/2006/relationships" ref="T799" display="Press Release" r:id="rId745"/>
    <hyperlink xmlns:r="http://schemas.openxmlformats.org/officeDocument/2006/relationships" ref="T800" display="Press Release" r:id="rId746"/>
    <hyperlink xmlns:r="http://schemas.openxmlformats.org/officeDocument/2006/relationships" ref="T801" display="Press Release" r:id="rId747"/>
    <hyperlink xmlns:r="http://schemas.openxmlformats.org/officeDocument/2006/relationships" ref="T802" display="Press Release" r:id="rId748"/>
    <hyperlink xmlns:r="http://schemas.openxmlformats.org/officeDocument/2006/relationships" ref="T803" display="Press Release" r:id="rId749"/>
    <hyperlink xmlns:r="http://schemas.openxmlformats.org/officeDocument/2006/relationships" ref="T804" display="Press Release" r:id="rId750"/>
    <hyperlink xmlns:r="http://schemas.openxmlformats.org/officeDocument/2006/relationships" ref="T805" display="Press Release" r:id="rId751"/>
    <hyperlink xmlns:r="http://schemas.openxmlformats.org/officeDocument/2006/relationships" ref="T807" display="Press Release" r:id="rId752"/>
    <hyperlink xmlns:r="http://schemas.openxmlformats.org/officeDocument/2006/relationships" ref="T808" display="Press Release" r:id="rId753"/>
    <hyperlink xmlns:r="http://schemas.openxmlformats.org/officeDocument/2006/relationships" ref="T809" display="Press Release" r:id="rId754"/>
    <hyperlink xmlns:r="http://schemas.openxmlformats.org/officeDocument/2006/relationships" ref="T810" display="Press Release" r:id="rId755"/>
    <hyperlink xmlns:r="http://schemas.openxmlformats.org/officeDocument/2006/relationships" ref="T811" display="Press Release" r:id="rId756"/>
    <hyperlink xmlns:r="http://schemas.openxmlformats.org/officeDocument/2006/relationships" ref="T812" display="Press Release" r:id="rId757"/>
    <hyperlink xmlns:r="http://schemas.openxmlformats.org/officeDocument/2006/relationships" ref="T813" display="Press Release" r:id="rId758"/>
    <hyperlink xmlns:r="http://schemas.openxmlformats.org/officeDocument/2006/relationships" ref="T814" display="Press Release" r:id="rId759"/>
    <hyperlink xmlns:r="http://schemas.openxmlformats.org/officeDocument/2006/relationships" ref="T815" display="Press Release" r:id="rId760"/>
    <hyperlink xmlns:r="http://schemas.openxmlformats.org/officeDocument/2006/relationships" ref="T816" display="Press Release" r:id="rId761"/>
    <hyperlink xmlns:r="http://schemas.openxmlformats.org/officeDocument/2006/relationships" ref="T817" display="Press Release" r:id="rId762"/>
    <hyperlink xmlns:r="http://schemas.openxmlformats.org/officeDocument/2006/relationships" ref="T818" display="Press Release" r:id="rId763"/>
    <hyperlink xmlns:r="http://schemas.openxmlformats.org/officeDocument/2006/relationships" ref="T820" display="Press Release" r:id="rId764"/>
    <hyperlink xmlns:r="http://schemas.openxmlformats.org/officeDocument/2006/relationships" ref="T821" display="Press Release" r:id="rId765"/>
    <hyperlink xmlns:r="http://schemas.openxmlformats.org/officeDocument/2006/relationships" ref="T822" display="Press Release" r:id="rId766"/>
    <hyperlink xmlns:r="http://schemas.openxmlformats.org/officeDocument/2006/relationships" ref="T823" display="Press Release" r:id="rId767"/>
    <hyperlink xmlns:r="http://schemas.openxmlformats.org/officeDocument/2006/relationships" ref="T824" display="Press Release" r:id="rId768"/>
    <hyperlink xmlns:r="http://schemas.openxmlformats.org/officeDocument/2006/relationships" ref="T825" display="Press Release" r:id="rId769"/>
    <hyperlink xmlns:r="http://schemas.openxmlformats.org/officeDocument/2006/relationships" ref="T826" display="Press Release" r:id="rId770"/>
    <hyperlink xmlns:r="http://schemas.openxmlformats.org/officeDocument/2006/relationships" ref="T827" display="Press Release" r:id="rId771"/>
    <hyperlink xmlns:r="http://schemas.openxmlformats.org/officeDocument/2006/relationships" ref="T828" display="Press Release" r:id="rId772"/>
    <hyperlink xmlns:r="http://schemas.openxmlformats.org/officeDocument/2006/relationships" ref="T829" display="Press Release" r:id="rId773"/>
    <hyperlink xmlns:r="http://schemas.openxmlformats.org/officeDocument/2006/relationships" ref="T830" display="Press Release" r:id="rId774"/>
    <hyperlink xmlns:r="http://schemas.openxmlformats.org/officeDocument/2006/relationships" ref="T831" display="Press Release" r:id="rId775"/>
    <hyperlink xmlns:r="http://schemas.openxmlformats.org/officeDocument/2006/relationships" ref="T833" display="Press Release" r:id="rId776"/>
    <hyperlink xmlns:r="http://schemas.openxmlformats.org/officeDocument/2006/relationships" ref="T834" display="Press Release" r:id="rId777"/>
    <hyperlink xmlns:r="http://schemas.openxmlformats.org/officeDocument/2006/relationships" ref="T835" display="Press Release" r:id="rId778"/>
    <hyperlink xmlns:r="http://schemas.openxmlformats.org/officeDocument/2006/relationships" ref="T836" display="Press Release" r:id="rId779"/>
    <hyperlink xmlns:r="http://schemas.openxmlformats.org/officeDocument/2006/relationships" ref="T837" display="Press Release" r:id="rId780"/>
    <hyperlink xmlns:r="http://schemas.openxmlformats.org/officeDocument/2006/relationships" ref="T838" display="Press Release" r:id="rId781"/>
    <hyperlink xmlns:r="http://schemas.openxmlformats.org/officeDocument/2006/relationships" ref="T839" display="Press Release" r:id="rId782"/>
    <hyperlink xmlns:r="http://schemas.openxmlformats.org/officeDocument/2006/relationships" ref="T840" display="Press Release" r:id="rId783"/>
    <hyperlink xmlns:r="http://schemas.openxmlformats.org/officeDocument/2006/relationships" ref="T841" display="Press Release" r:id="rId784"/>
    <hyperlink xmlns:r="http://schemas.openxmlformats.org/officeDocument/2006/relationships" ref="T843" display="Press Release" r:id="rId785"/>
    <hyperlink xmlns:r="http://schemas.openxmlformats.org/officeDocument/2006/relationships" ref="T844" display="Press Release" r:id="rId786"/>
    <hyperlink xmlns:r="http://schemas.openxmlformats.org/officeDocument/2006/relationships" ref="T845" display="Press Release" r:id="rId787"/>
    <hyperlink xmlns:r="http://schemas.openxmlformats.org/officeDocument/2006/relationships" ref="T846" display="Press Release" r:id="rId788"/>
    <hyperlink xmlns:r="http://schemas.openxmlformats.org/officeDocument/2006/relationships" ref="T847" display="Press Release" r:id="rId789"/>
    <hyperlink xmlns:r="http://schemas.openxmlformats.org/officeDocument/2006/relationships" ref="T848" display="Press Release" r:id="rId790"/>
    <hyperlink xmlns:r="http://schemas.openxmlformats.org/officeDocument/2006/relationships" ref="T849" display="Press Release" r:id="rId791"/>
    <hyperlink xmlns:r="http://schemas.openxmlformats.org/officeDocument/2006/relationships" ref="T850" display="Press Release" r:id="rId792"/>
    <hyperlink xmlns:r="http://schemas.openxmlformats.org/officeDocument/2006/relationships" ref="T851" display="Press Release" r:id="rId793"/>
    <hyperlink xmlns:r="http://schemas.openxmlformats.org/officeDocument/2006/relationships" ref="T853" display="Press Release" r:id="rId794"/>
    <hyperlink xmlns:r="http://schemas.openxmlformats.org/officeDocument/2006/relationships" ref="T854" display="Press Release" r:id="rId795"/>
    <hyperlink xmlns:r="http://schemas.openxmlformats.org/officeDocument/2006/relationships" ref="T855" display="Press Release" r:id="rId796"/>
    <hyperlink xmlns:r="http://schemas.openxmlformats.org/officeDocument/2006/relationships" ref="T856" display="Press Release" r:id="rId797"/>
    <hyperlink xmlns:r="http://schemas.openxmlformats.org/officeDocument/2006/relationships" ref="T857" display="Press Release" r:id="rId798"/>
    <hyperlink xmlns:r="http://schemas.openxmlformats.org/officeDocument/2006/relationships" ref="T858" display="Press Release" r:id="rId799"/>
    <hyperlink xmlns:r="http://schemas.openxmlformats.org/officeDocument/2006/relationships" ref="T859" display="Press Release" r:id="rId800"/>
    <hyperlink xmlns:r="http://schemas.openxmlformats.org/officeDocument/2006/relationships" ref="T860" display="Press Release" r:id="rId801"/>
    <hyperlink xmlns:r="http://schemas.openxmlformats.org/officeDocument/2006/relationships" ref="T861" display="Press Release" r:id="rId802"/>
    <hyperlink xmlns:r="http://schemas.openxmlformats.org/officeDocument/2006/relationships" ref="T863" display="Press Release" r:id="rId803"/>
    <hyperlink xmlns:r="http://schemas.openxmlformats.org/officeDocument/2006/relationships" ref="T864" display="Press Release" r:id="rId804"/>
    <hyperlink xmlns:r="http://schemas.openxmlformats.org/officeDocument/2006/relationships" ref="T865" display="Press Release" r:id="rId805"/>
    <hyperlink xmlns:r="http://schemas.openxmlformats.org/officeDocument/2006/relationships" ref="T866" display="Press Release" r:id="rId806"/>
    <hyperlink xmlns:r="http://schemas.openxmlformats.org/officeDocument/2006/relationships" ref="T867" display="Press Release" r:id="rId807"/>
    <hyperlink xmlns:r="http://schemas.openxmlformats.org/officeDocument/2006/relationships" ref="T868" display="Press Release" r:id="rId808"/>
    <hyperlink xmlns:r="http://schemas.openxmlformats.org/officeDocument/2006/relationships" ref="T869" display="Press Release" r:id="rId809"/>
    <hyperlink xmlns:r="http://schemas.openxmlformats.org/officeDocument/2006/relationships" ref="T870" display="Press Release" r:id="rId810"/>
    <hyperlink xmlns:r="http://schemas.openxmlformats.org/officeDocument/2006/relationships" ref="T871" display="Press Release" r:id="rId811"/>
    <hyperlink xmlns:r="http://schemas.openxmlformats.org/officeDocument/2006/relationships" ref="T872" display="Press Release" r:id="rId812"/>
    <hyperlink xmlns:r="http://schemas.openxmlformats.org/officeDocument/2006/relationships" ref="T873" display="Press Release" r:id="rId813"/>
    <hyperlink xmlns:r="http://schemas.openxmlformats.org/officeDocument/2006/relationships" ref="T874" display="Press Release" r:id="rId814"/>
    <hyperlink xmlns:r="http://schemas.openxmlformats.org/officeDocument/2006/relationships" ref="T875" display="Press Release" r:id="rId815"/>
    <hyperlink xmlns:r="http://schemas.openxmlformats.org/officeDocument/2006/relationships" ref="T876" display="Press Release" r:id="rId816"/>
    <hyperlink xmlns:r="http://schemas.openxmlformats.org/officeDocument/2006/relationships" ref="T877" display="Press Release" r:id="rId817"/>
    <hyperlink xmlns:r="http://schemas.openxmlformats.org/officeDocument/2006/relationships" ref="T878" display="Press Release" r:id="rId818"/>
    <hyperlink xmlns:r="http://schemas.openxmlformats.org/officeDocument/2006/relationships" ref="T879" display="Press Release" r:id="rId819"/>
    <hyperlink xmlns:r="http://schemas.openxmlformats.org/officeDocument/2006/relationships" ref="T880" display="Press Release" r:id="rId820"/>
    <hyperlink xmlns:r="http://schemas.openxmlformats.org/officeDocument/2006/relationships" ref="T881" display="Press Release" r:id="rId821"/>
    <hyperlink xmlns:r="http://schemas.openxmlformats.org/officeDocument/2006/relationships" ref="T882" display="Press Release" r:id="rId822"/>
    <hyperlink xmlns:r="http://schemas.openxmlformats.org/officeDocument/2006/relationships" ref="T883" display="Press Release" r:id="rId823"/>
    <hyperlink xmlns:r="http://schemas.openxmlformats.org/officeDocument/2006/relationships" ref="T884" display="Press Release" r:id="rId824"/>
    <hyperlink xmlns:r="http://schemas.openxmlformats.org/officeDocument/2006/relationships" ref="T885" display="Press Release" r:id="rId825"/>
    <hyperlink xmlns:r="http://schemas.openxmlformats.org/officeDocument/2006/relationships" ref="T886" display="Press Release" r:id="rId826"/>
    <hyperlink xmlns:r="http://schemas.openxmlformats.org/officeDocument/2006/relationships" ref="T888" display="Press Release" r:id="rId827"/>
    <hyperlink xmlns:r="http://schemas.openxmlformats.org/officeDocument/2006/relationships" ref="T889" display="Press Release" r:id="rId828"/>
    <hyperlink xmlns:r="http://schemas.openxmlformats.org/officeDocument/2006/relationships" ref="T890" display="Press Release" r:id="rId829"/>
    <hyperlink xmlns:r="http://schemas.openxmlformats.org/officeDocument/2006/relationships" ref="T891" display="Press Release" r:id="rId830"/>
    <hyperlink xmlns:r="http://schemas.openxmlformats.org/officeDocument/2006/relationships" ref="T892" display="Press Release" r:id="rId831"/>
    <hyperlink xmlns:r="http://schemas.openxmlformats.org/officeDocument/2006/relationships" ref="T893" display="Press Release" r:id="rId832"/>
    <hyperlink xmlns:r="http://schemas.openxmlformats.org/officeDocument/2006/relationships" ref="T894" display="Press Release" r:id="rId833"/>
    <hyperlink xmlns:r="http://schemas.openxmlformats.org/officeDocument/2006/relationships" ref="T895" display="Press Release" r:id="rId834"/>
    <hyperlink xmlns:r="http://schemas.openxmlformats.org/officeDocument/2006/relationships" ref="T896" display="Press Release" r:id="rId835"/>
    <hyperlink xmlns:r="http://schemas.openxmlformats.org/officeDocument/2006/relationships" ref="T897" display="Press Release" r:id="rId836"/>
    <hyperlink xmlns:r="http://schemas.openxmlformats.org/officeDocument/2006/relationships" ref="T898" display="Press Release" r:id="rId837"/>
    <hyperlink xmlns:r="http://schemas.openxmlformats.org/officeDocument/2006/relationships" ref="T899" display="Press Release" r:id="rId838"/>
    <hyperlink xmlns:r="http://schemas.openxmlformats.org/officeDocument/2006/relationships" ref="T900" display="Press Release" r:id="rId839"/>
    <hyperlink xmlns:r="http://schemas.openxmlformats.org/officeDocument/2006/relationships" ref="T901" display="Press Release" r:id="rId840"/>
    <hyperlink xmlns:r="http://schemas.openxmlformats.org/officeDocument/2006/relationships" ref="T902" display="Press Release" r:id="rId841"/>
    <hyperlink xmlns:r="http://schemas.openxmlformats.org/officeDocument/2006/relationships" ref="T903" display="Press Release" r:id="rId842"/>
    <hyperlink xmlns:r="http://schemas.openxmlformats.org/officeDocument/2006/relationships" ref="T904" display="Press Release" r:id="rId843"/>
    <hyperlink xmlns:r="http://schemas.openxmlformats.org/officeDocument/2006/relationships" ref="T905" display="Press Release" r:id="rId844"/>
    <hyperlink xmlns:r="http://schemas.openxmlformats.org/officeDocument/2006/relationships" ref="T906" display="Press Release" r:id="rId845"/>
    <hyperlink xmlns:r="http://schemas.openxmlformats.org/officeDocument/2006/relationships" ref="T907" display="Press Release" r:id="rId846"/>
    <hyperlink xmlns:r="http://schemas.openxmlformats.org/officeDocument/2006/relationships" ref="T908" display="Press Release" r:id="rId847"/>
    <hyperlink xmlns:r="http://schemas.openxmlformats.org/officeDocument/2006/relationships" ref="T909" display="Press Release" r:id="rId848"/>
    <hyperlink xmlns:r="http://schemas.openxmlformats.org/officeDocument/2006/relationships" ref="T910" display="Press Release" r:id="rId849"/>
    <hyperlink xmlns:r="http://schemas.openxmlformats.org/officeDocument/2006/relationships" ref="T911" display="Press Release" r:id="rId850"/>
    <hyperlink xmlns:r="http://schemas.openxmlformats.org/officeDocument/2006/relationships" ref="T913" display="Press Release" r:id="rId851"/>
    <hyperlink xmlns:r="http://schemas.openxmlformats.org/officeDocument/2006/relationships" ref="T914" display="Press Release" r:id="rId852"/>
    <hyperlink xmlns:r="http://schemas.openxmlformats.org/officeDocument/2006/relationships" ref="T915" display="Press Release" r:id="rId853"/>
    <hyperlink xmlns:r="http://schemas.openxmlformats.org/officeDocument/2006/relationships" ref="T916" display="Press Release" r:id="rId854"/>
    <hyperlink xmlns:r="http://schemas.openxmlformats.org/officeDocument/2006/relationships" ref="T917" display="Press Release" r:id="rId855"/>
    <hyperlink xmlns:r="http://schemas.openxmlformats.org/officeDocument/2006/relationships" ref="T918" display="Press Release" r:id="rId856"/>
    <hyperlink xmlns:r="http://schemas.openxmlformats.org/officeDocument/2006/relationships" ref="T919" display="Press Release" r:id="rId857"/>
    <hyperlink xmlns:r="http://schemas.openxmlformats.org/officeDocument/2006/relationships" ref="T920" display="Press Release" r:id="rId858"/>
    <hyperlink xmlns:r="http://schemas.openxmlformats.org/officeDocument/2006/relationships" ref="T921" display="Press Release" r:id="rId859"/>
    <hyperlink xmlns:r="http://schemas.openxmlformats.org/officeDocument/2006/relationships" ref="T922" display="Press Release" r:id="rId860"/>
    <hyperlink xmlns:r="http://schemas.openxmlformats.org/officeDocument/2006/relationships" ref="T923" display="Press Release" r:id="rId861"/>
    <hyperlink xmlns:r="http://schemas.openxmlformats.org/officeDocument/2006/relationships" ref="T924" display="Press Release" r:id="rId862"/>
    <hyperlink xmlns:r="http://schemas.openxmlformats.org/officeDocument/2006/relationships" ref="T925" display="Press Release" r:id="rId863"/>
    <hyperlink xmlns:r="http://schemas.openxmlformats.org/officeDocument/2006/relationships" ref="T926" display="Press Release" r:id="rId864"/>
    <hyperlink xmlns:r="http://schemas.openxmlformats.org/officeDocument/2006/relationships" ref="T927" display="Press Release" r:id="rId865"/>
    <hyperlink xmlns:r="http://schemas.openxmlformats.org/officeDocument/2006/relationships" ref="T928" display="Press Release" r:id="rId866"/>
    <hyperlink xmlns:r="http://schemas.openxmlformats.org/officeDocument/2006/relationships" ref="T929" display="Press Release" r:id="rId867"/>
    <hyperlink xmlns:r="http://schemas.openxmlformats.org/officeDocument/2006/relationships" ref="T930" display="Press Release" r:id="rId868"/>
    <hyperlink xmlns:r="http://schemas.openxmlformats.org/officeDocument/2006/relationships" ref="T931" display="Press Release" r:id="rId869"/>
    <hyperlink xmlns:r="http://schemas.openxmlformats.org/officeDocument/2006/relationships" ref="T932" display="Press Release" r:id="rId870"/>
    <hyperlink xmlns:r="http://schemas.openxmlformats.org/officeDocument/2006/relationships" ref="T933" display="Press Release" r:id="rId871"/>
    <hyperlink xmlns:r="http://schemas.openxmlformats.org/officeDocument/2006/relationships" ref="T934" display="Press Release" r:id="rId872"/>
    <hyperlink xmlns:r="http://schemas.openxmlformats.org/officeDocument/2006/relationships" ref="T936" display="Press Release" r:id="rId873"/>
    <hyperlink xmlns:r="http://schemas.openxmlformats.org/officeDocument/2006/relationships" ref="T937" display="Press Release" r:id="rId874"/>
    <hyperlink xmlns:r="http://schemas.openxmlformats.org/officeDocument/2006/relationships" ref="T938" display="Press Release" r:id="rId875"/>
    <hyperlink xmlns:r="http://schemas.openxmlformats.org/officeDocument/2006/relationships" ref="T939" display="Press Release" r:id="rId876"/>
    <hyperlink xmlns:r="http://schemas.openxmlformats.org/officeDocument/2006/relationships" ref="T940" display="Press Release" r:id="rId877"/>
    <hyperlink xmlns:r="http://schemas.openxmlformats.org/officeDocument/2006/relationships" ref="T941" display="Press Release" r:id="rId878"/>
    <hyperlink xmlns:r="http://schemas.openxmlformats.org/officeDocument/2006/relationships" ref="T942" display="Press Release" r:id="rId879"/>
    <hyperlink xmlns:r="http://schemas.openxmlformats.org/officeDocument/2006/relationships" ref="T943" display="Press Release" r:id="rId880"/>
    <hyperlink xmlns:r="http://schemas.openxmlformats.org/officeDocument/2006/relationships" ref="T944" display="Press Release" r:id="rId881"/>
    <hyperlink xmlns:r="http://schemas.openxmlformats.org/officeDocument/2006/relationships" ref="T945" display="Press Release" r:id="rId882"/>
    <hyperlink xmlns:r="http://schemas.openxmlformats.org/officeDocument/2006/relationships" ref="T946" display="Press Release" r:id="rId883"/>
    <hyperlink xmlns:r="http://schemas.openxmlformats.org/officeDocument/2006/relationships" ref="T947" display="Press Release" r:id="rId884"/>
    <hyperlink xmlns:r="http://schemas.openxmlformats.org/officeDocument/2006/relationships" ref="T948" display="Press Release" r:id="rId885"/>
    <hyperlink xmlns:r="http://schemas.openxmlformats.org/officeDocument/2006/relationships" ref="T949" display="Press Release" r:id="rId886"/>
    <hyperlink xmlns:r="http://schemas.openxmlformats.org/officeDocument/2006/relationships" ref="T950" display="Press Release" r:id="rId887"/>
    <hyperlink xmlns:r="http://schemas.openxmlformats.org/officeDocument/2006/relationships" ref="T951" display="Press Release" r:id="rId888"/>
    <hyperlink xmlns:r="http://schemas.openxmlformats.org/officeDocument/2006/relationships" ref="T952" display="Press Release" r:id="rId889"/>
    <hyperlink xmlns:r="http://schemas.openxmlformats.org/officeDocument/2006/relationships" ref="T953" display="Press Release" r:id="rId890"/>
    <hyperlink xmlns:r="http://schemas.openxmlformats.org/officeDocument/2006/relationships" ref="T954" display="Press Release" r:id="rId891"/>
    <hyperlink xmlns:r="http://schemas.openxmlformats.org/officeDocument/2006/relationships" ref="T955" display="Press Release" r:id="rId892"/>
    <hyperlink xmlns:r="http://schemas.openxmlformats.org/officeDocument/2006/relationships" ref="T956" display="Press Release" r:id="rId893"/>
    <hyperlink xmlns:r="http://schemas.openxmlformats.org/officeDocument/2006/relationships" ref="T958" display="Press Release" r:id="rId894"/>
    <hyperlink xmlns:r="http://schemas.openxmlformats.org/officeDocument/2006/relationships" ref="T959" display="Press Release" r:id="rId895"/>
    <hyperlink xmlns:r="http://schemas.openxmlformats.org/officeDocument/2006/relationships" ref="T960" display="Press Release" r:id="rId896"/>
    <hyperlink xmlns:r="http://schemas.openxmlformats.org/officeDocument/2006/relationships" ref="T961" display="Press Release" r:id="rId897"/>
    <hyperlink xmlns:r="http://schemas.openxmlformats.org/officeDocument/2006/relationships" ref="T962" display="Press Release" r:id="rId898"/>
    <hyperlink xmlns:r="http://schemas.openxmlformats.org/officeDocument/2006/relationships" ref="T963" display="Press Release" r:id="rId899"/>
  </hyperlinks>
  <pageMargins left="0.7" right="0.7" top="0.75" bottom="0.75" header="0.3" footer="0.3"/>
  <pageSetup orientation="portrait" paperSize="1"/>
  <legacyDrawing xmlns:r="http://schemas.openxmlformats.org/officeDocument/2006/relationships" r:id="anysvml"/>
</worksheet>
</file>

<file path=xl/worksheets/sheet6.xml><?xml version="1.0" encoding="utf-8"?>
<worksheet xmlns="http://schemas.openxmlformats.org/spreadsheetml/2006/main">
  <sheetPr codeName="Sheet3">
    <outlinePr summaryBelow="1" summaryRight="1"/>
    <pageSetUpPr fitToPage="1"/>
  </sheetPr>
  <dimension ref="A1:CB130"/>
  <sheetViews>
    <sheetView topLeftCell="A1" workbookViewId="0">
      <pane xSplit="2" ySplit="2" topLeftCell="C3" activePane="bottomRight" state="frozen"/>
      <selection pane="topLeft" activeCell="A1" sqref="A1"/>
      <selection pane="bottomLeft" activeCell="A3" sqref="A3"/>
      <selection pane="topRight" activeCell="C1" sqref="C1"/>
      <selection pane="bottomRight" activeCell="A1" sqref="A1"/>
    </sheetView>
  </sheetViews>
  <sheetFormatPr baseColWidth="8" defaultColWidth="9.334285714285709" defaultRowHeight="14.4" outlineLevelRow="1"/>
  <cols>
    <col width="41.2857142857143" customWidth="1" style="1006" min="1" max="1"/>
    <col width="9.71428571428571" customWidth="1" style="1006" min="2" max="6"/>
    <col hidden="1" outlineLevel="1" width="9.71428571428571" customWidth="1" style="1006" min="7" max="10"/>
    <col collapsed="1" width="9.71428571428571" customWidth="1" style="1006" min="11" max="11"/>
    <col hidden="1" outlineLevel="1" width="9.71428571428571" customWidth="1" style="1006" min="12" max="15"/>
    <col collapsed="1" width="9.71428571428571" customWidth="1" style="1006" min="16" max="16"/>
    <col hidden="1" outlineLevel="1" width="9.71428571428571" customWidth="1" style="1006" min="17" max="20"/>
    <col collapsed="1" width="9.71428571428571" customWidth="1" style="1006" min="21" max="21"/>
    <col hidden="1" outlineLevel="1" width="9.71428571428571" customWidth="1" style="1006" min="22" max="25"/>
    <col collapsed="1" width="9.71428571428571" customWidth="1" style="1006" min="26" max="26"/>
    <col hidden="1" outlineLevel="1" width="9.71428571428571" customWidth="1" style="1006" min="27" max="30"/>
    <col collapsed="1" width="9.71428571428571" customWidth="1" style="1006" min="31" max="31"/>
    <col hidden="1" outlineLevel="1" width="9.71428571428571" customWidth="1" style="1006" min="32" max="35"/>
    <col collapsed="1" width="9.71428571428571" customWidth="1" style="1006" min="36" max="36"/>
    <col hidden="1" outlineLevel="1" width="9.71428571428571" customWidth="1" style="1006" min="37" max="40"/>
    <col collapsed="1" width="9.71428571428571" customWidth="1" style="1006" min="41" max="41"/>
    <col hidden="1" outlineLevel="1" width="9.71428571428571" customWidth="1" style="1006" min="42" max="45"/>
    <col collapsed="1" width="9.71428571428571" customWidth="1" style="1006" min="46" max="46"/>
    <col hidden="1" outlineLevel="1" width="9.71428571428571" customWidth="1" style="1006" min="47" max="50"/>
    <col collapsed="1" width="9.71428571428571" customWidth="1" style="1006" min="51" max="51"/>
    <col hidden="1" outlineLevel="1" collapsed="1" width="9.71428571428571" customWidth="1" style="1006" min="52" max="54"/>
    <col hidden="1" outlineLevel="1" width="9.71428571428571" customWidth="1" style="1006" min="55" max="55"/>
    <col collapsed="1" width="9.71428571428571" customWidth="1" style="1006" min="56" max="56"/>
    <col hidden="1" outlineLevel="1" collapsed="1" width="9.71428571428571" customWidth="1" style="1006" min="57" max="59"/>
    <col hidden="1" outlineLevel="1" width="9.71428571428571" customWidth="1" style="1006" min="60" max="60"/>
    <col collapsed="1" width="9.71428571428571" customWidth="1" style="1006" min="61" max="61"/>
    <col hidden="1" outlineLevel="1" collapsed="1" width="9.71428571428571" customWidth="1" style="1006" min="62" max="64"/>
    <col hidden="1" outlineLevel="1" width="9.71428571428571" customWidth="1" style="1006" min="65" max="65"/>
    <col collapsed="1" width="9.71428571428571" customWidth="1" style="1006" min="66" max="66"/>
    <col outlineLevel="1" collapsed="1" width="9.71428571428571" customWidth="1" style="1006" min="67" max="69"/>
    <col outlineLevel="1" width="9.71428571428571" customWidth="1" style="1006" min="70" max="70"/>
    <col width="9.71428571428571" customWidth="1" style="1006" min="71" max="71"/>
    <col hidden="1" outlineLevel="1" collapsed="1" width="9.71428571428571" customWidth="1" style="1006" min="72" max="74"/>
    <col hidden="1" outlineLevel="1" width="9.71428571428571" customWidth="1" style="1006" min="75" max="75"/>
    <col collapsed="1" width="9.71428571428571" customWidth="1" style="1006" min="76" max="76"/>
    <col width="9.71428571428571" customWidth="1" style="1006" min="77" max="79"/>
    <col width="8.71428571428571" customWidth="1" style="1006" min="80" max="80"/>
    <col width="9.28571428571429" customWidth="1" style="1006" min="81" max="86"/>
    <col width="9.28571428571429" customWidth="1" style="1006" min="87" max="16384"/>
  </cols>
  <sheetData>
    <row r="1" ht="28.8" customHeight="1" s="972">
      <c r="A1" s="2166">
        <f>MO.CompanyName</f>
        <v/>
      </c>
      <c r="B1" s="2072" t="n"/>
      <c r="C1" s="1243">
        <f>INDEX(MO_Common_QEndDate,0,COLUMN())</f>
        <v/>
      </c>
      <c r="D1" s="1244">
        <f>INDEX(MO_Common_QEndDate,0,COLUMN())</f>
        <v/>
      </c>
      <c r="E1" s="1244">
        <f>INDEX(MO_Common_QEndDate,0,COLUMN())</f>
        <v/>
      </c>
      <c r="F1" s="1244">
        <f>INDEX(MO_Common_QEndDate,0,COLUMN())</f>
        <v/>
      </c>
      <c r="G1" s="181">
        <f>INDEX(MO_Common_QEndDate,0,COLUMN())</f>
        <v/>
      </c>
      <c r="H1" s="181">
        <f>INDEX(MO_Common_QEndDate,0,COLUMN())</f>
        <v/>
      </c>
      <c r="I1" s="181">
        <f>INDEX(MO_Common_QEndDate,0,COLUMN())</f>
        <v/>
      </c>
      <c r="J1" s="181">
        <f>INDEX(MO_Common_QEndDate,0,COLUMN())</f>
        <v/>
      </c>
      <c r="K1" s="1244">
        <f>INDEX(MO_Common_QEndDate,0,COLUMN())</f>
        <v/>
      </c>
      <c r="L1" s="181">
        <f>INDEX(MO_Common_QEndDate,0,COLUMN())</f>
        <v/>
      </c>
      <c r="M1" s="181">
        <f>INDEX(MO_Common_QEndDate,0,COLUMN())</f>
        <v/>
      </c>
      <c r="N1" s="181">
        <f>INDEX(MO_Common_QEndDate,0,COLUMN())</f>
        <v/>
      </c>
      <c r="O1" s="181">
        <f>INDEX(MO_Common_QEndDate,0,COLUMN())</f>
        <v/>
      </c>
      <c r="P1" s="1244">
        <f>INDEX(MO_Common_QEndDate,0,COLUMN())</f>
        <v/>
      </c>
      <c r="Q1" s="181">
        <f>INDEX(MO_Common_QEndDate,0,COLUMN())</f>
        <v/>
      </c>
      <c r="R1" s="181">
        <f>INDEX(MO_Common_QEndDate,0,COLUMN())</f>
        <v/>
      </c>
      <c r="S1" s="181">
        <f>INDEX(MO_Common_QEndDate,0,COLUMN())</f>
        <v/>
      </c>
      <c r="T1" s="181">
        <f>INDEX(MO_Common_QEndDate,0,COLUMN())</f>
        <v/>
      </c>
      <c r="U1" s="1244">
        <f>INDEX(MO_Common_QEndDate,0,COLUMN())</f>
        <v/>
      </c>
      <c r="V1" s="181">
        <f>INDEX(MO_Common_QEndDate,0,COLUMN())</f>
        <v/>
      </c>
      <c r="W1" s="181">
        <f>INDEX(MO_Common_QEndDate,0,COLUMN())</f>
        <v/>
      </c>
      <c r="X1" s="181">
        <f>INDEX(MO_Common_QEndDate,0,COLUMN())</f>
        <v/>
      </c>
      <c r="Y1" s="181">
        <f>INDEX(MO_Common_QEndDate,0,COLUMN())</f>
        <v/>
      </c>
      <c r="Z1" s="1244">
        <f>INDEX(MO_Common_QEndDate,0,COLUMN())</f>
        <v/>
      </c>
      <c r="AA1" s="181">
        <f>INDEX(MO_Common_QEndDate,0,COLUMN())</f>
        <v/>
      </c>
      <c r="AB1" s="181">
        <f>INDEX(MO_Common_QEndDate,0,COLUMN())</f>
        <v/>
      </c>
      <c r="AC1" s="181">
        <f>INDEX(MO_Common_QEndDate,0,COLUMN())</f>
        <v/>
      </c>
      <c r="AD1" s="181">
        <f>INDEX(MO_Common_QEndDate,0,COLUMN())</f>
        <v/>
      </c>
      <c r="AE1" s="1244">
        <f>INDEX(MO_Common_QEndDate,0,COLUMN())</f>
        <v/>
      </c>
      <c r="AF1" s="181">
        <f>INDEX(MO_Common_QEndDate,0,COLUMN())</f>
        <v/>
      </c>
      <c r="AG1" s="181">
        <f>INDEX(MO_Common_QEndDate,0,COLUMN())</f>
        <v/>
      </c>
      <c r="AH1" s="181">
        <f>INDEX(MO_Common_QEndDate,0,COLUMN())</f>
        <v/>
      </c>
      <c r="AI1" s="181">
        <f>INDEX(MO_Common_QEndDate,0,COLUMN())</f>
        <v/>
      </c>
      <c r="AJ1" s="1244">
        <f>INDEX(MO_Common_QEndDate,0,COLUMN())</f>
        <v/>
      </c>
      <c r="AK1" s="181">
        <f>INDEX(MO_Common_QEndDate,0,COLUMN())</f>
        <v/>
      </c>
      <c r="AL1" s="181">
        <f>INDEX(MO_Common_QEndDate,0,COLUMN())</f>
        <v/>
      </c>
      <c r="AM1" s="181">
        <f>INDEX(MO_Common_QEndDate,0,COLUMN())</f>
        <v/>
      </c>
      <c r="AN1" s="181">
        <f>INDEX(MO_Common_QEndDate,0,COLUMN())</f>
        <v/>
      </c>
      <c r="AO1" s="1244">
        <f>INDEX(MO_Common_QEndDate,0,COLUMN())</f>
        <v/>
      </c>
      <c r="AP1" s="181">
        <f>INDEX(MO_Common_QEndDate,0,COLUMN())</f>
        <v/>
      </c>
      <c r="AQ1" s="181">
        <f>INDEX(MO_Common_QEndDate,0,COLUMN())</f>
        <v/>
      </c>
      <c r="AR1" s="181">
        <f>INDEX(MO_Common_QEndDate,0,COLUMN())</f>
        <v/>
      </c>
      <c r="AS1" s="181">
        <f>INDEX(MO_Common_QEndDate,0,COLUMN())</f>
        <v/>
      </c>
      <c r="AT1" s="1244">
        <f>INDEX(MO_Common_QEndDate,0,COLUMN())</f>
        <v/>
      </c>
      <c r="AU1" s="181">
        <f>INDEX(MO_Common_QEndDate,0,COLUMN())</f>
        <v/>
      </c>
      <c r="AV1" s="181">
        <f>INDEX(MO_Common_QEndDate,0,COLUMN())</f>
        <v/>
      </c>
      <c r="AW1" s="181">
        <f>INDEX(MO_Common_QEndDate,0,COLUMN())</f>
        <v/>
      </c>
      <c r="AX1" s="181">
        <f>INDEX(MO_Common_QEndDate,0,COLUMN())</f>
        <v/>
      </c>
      <c r="AY1" s="1244">
        <f>INDEX(MO_Common_QEndDate,0,COLUMN())</f>
        <v/>
      </c>
      <c r="AZ1" s="181">
        <f>INDEX(MO_Common_QEndDate,0,COLUMN())</f>
        <v/>
      </c>
      <c r="BA1" s="181">
        <f>INDEX(MO_Common_QEndDate,0,COLUMN())</f>
        <v/>
      </c>
      <c r="BB1" s="181">
        <f>INDEX(MO_Common_QEndDate,0,COLUMN())</f>
        <v/>
      </c>
      <c r="BC1" s="181">
        <f>INDEX(MO_Common_QEndDate,0,COLUMN())</f>
        <v/>
      </c>
      <c r="BD1" s="1244">
        <f>INDEX(MO_Common_QEndDate,0,COLUMN())</f>
        <v/>
      </c>
      <c r="BE1" s="181">
        <f>INDEX(MO_Common_QEndDate,0,COLUMN())</f>
        <v/>
      </c>
      <c r="BF1" s="181">
        <f>INDEX(MO_Common_QEndDate,0,COLUMN())</f>
        <v/>
      </c>
      <c r="BG1" s="181">
        <f>INDEX(MO_Common_QEndDate,0,COLUMN())</f>
        <v/>
      </c>
      <c r="BH1" s="181">
        <f>INDEX(MO_Common_QEndDate,0,COLUMN())</f>
        <v/>
      </c>
      <c r="BI1" s="1244">
        <f>INDEX(MO_Common_QEndDate,0,COLUMN())</f>
        <v/>
      </c>
      <c r="BJ1" s="181">
        <f>INDEX(MO_Common_QEndDate,0,COLUMN())</f>
        <v/>
      </c>
      <c r="BK1" s="181">
        <f>INDEX(MO_Common_QEndDate,0,COLUMN())</f>
        <v/>
      </c>
      <c r="BL1" s="181">
        <f>INDEX(MO_Common_QEndDate,0,COLUMN())</f>
        <v/>
      </c>
      <c r="BM1" s="181">
        <f>INDEX(MO_Common_QEndDate,0,COLUMN())</f>
        <v/>
      </c>
      <c r="BN1" s="1244">
        <f>INDEX(MO_Common_QEndDate,0,COLUMN())</f>
        <v/>
      </c>
      <c r="BO1" s="181">
        <f>INDEX(MO_Common_QEndDate,0,COLUMN())</f>
        <v/>
      </c>
      <c r="BP1" s="181">
        <f>INDEX(MO_Common_QEndDate,0,COLUMN())</f>
        <v/>
      </c>
      <c r="BQ1" s="726">
        <f>INDEX(MO_Common_QEndDate,0,COLUMN())</f>
        <v/>
      </c>
      <c r="BR1" s="181">
        <f>INDEX(MO_Common_QEndDate,0,COLUMN())</f>
        <v/>
      </c>
      <c r="BS1" s="1244">
        <f>INDEX(MO_Common_QEndDate,0,COLUMN())</f>
        <v/>
      </c>
      <c r="BT1" s="181">
        <f>INDEX(MO_Common_QEndDate,0,COLUMN())</f>
        <v/>
      </c>
      <c r="BU1" s="181">
        <f>INDEX(MO_Common_QEndDate,0,COLUMN())</f>
        <v/>
      </c>
      <c r="BV1" s="181">
        <f>INDEX(MO_Common_QEndDate,0,COLUMN())</f>
        <v/>
      </c>
      <c r="BW1" s="181">
        <f>INDEX(MO_Common_QEndDate,0,COLUMN())</f>
        <v/>
      </c>
      <c r="BX1" s="1244">
        <f>INDEX(MO_Common_QEndDate,0,COLUMN())</f>
        <v/>
      </c>
      <c r="BY1" s="1244">
        <f>INDEX(MO_Common_QEndDate,0,COLUMN())</f>
        <v/>
      </c>
      <c r="BZ1" s="1244">
        <f>INDEX(MO_Common_QEndDate,0,COLUMN())</f>
        <v/>
      </c>
      <c r="CA1" s="1244">
        <f>INDEX(MO_Common_QEndDate,0,COLUMN())</f>
        <v/>
      </c>
      <c r="CB1" s="2072" t="n"/>
    </row>
    <row r="2" ht="14.4" customFormat="1" customHeight="1" s="2101">
      <c r="A2" s="2179" t="inlineStr">
        <is>
          <t>Reports</t>
        </is>
      </c>
      <c r="B2" s="2071">
        <f>MO.ReportFX</f>
        <v/>
      </c>
      <c r="C2" s="2169">
        <f>INDEX(MO_Common_ColumnHeader,0,COLUMN())</f>
        <v/>
      </c>
      <c r="D2" s="2180">
        <f>INDEX(MO_Common_ColumnHeader,0,COLUMN())</f>
        <v/>
      </c>
      <c r="E2" s="2180">
        <f>INDEX(MO_Common_ColumnHeader,0,COLUMN())</f>
        <v/>
      </c>
      <c r="F2" s="2180">
        <f>INDEX(MO_Common_ColumnHeader,0,COLUMN())</f>
        <v/>
      </c>
      <c r="G2" s="2181">
        <f>INDEX(MO_Common_ColumnHeader,0,COLUMN())</f>
        <v/>
      </c>
      <c r="H2" s="2181">
        <f>INDEX(MO_Common_ColumnHeader,0,COLUMN())</f>
        <v/>
      </c>
      <c r="I2" s="2181">
        <f>INDEX(MO_Common_ColumnHeader,0,COLUMN())</f>
        <v/>
      </c>
      <c r="J2" s="2181">
        <f>INDEX(MO_Common_ColumnHeader,0,COLUMN())</f>
        <v/>
      </c>
      <c r="K2" s="2180">
        <f>INDEX(MO_Common_ColumnHeader,0,COLUMN())</f>
        <v/>
      </c>
      <c r="L2" s="2181">
        <f>INDEX(MO_Common_ColumnHeader,0,COLUMN())</f>
        <v/>
      </c>
      <c r="M2" s="2181">
        <f>INDEX(MO_Common_ColumnHeader,0,COLUMN())</f>
        <v/>
      </c>
      <c r="N2" s="2181">
        <f>INDEX(MO_Common_ColumnHeader,0,COLUMN())</f>
        <v/>
      </c>
      <c r="O2" s="2181">
        <f>INDEX(MO_Common_ColumnHeader,0,COLUMN())</f>
        <v/>
      </c>
      <c r="P2" s="2180">
        <f>INDEX(MO_Common_ColumnHeader,0,COLUMN())</f>
        <v/>
      </c>
      <c r="Q2" s="2181">
        <f>INDEX(MO_Common_ColumnHeader,0,COLUMN())</f>
        <v/>
      </c>
      <c r="R2" s="2181">
        <f>INDEX(MO_Common_ColumnHeader,0,COLUMN())</f>
        <v/>
      </c>
      <c r="S2" s="2181">
        <f>INDEX(MO_Common_ColumnHeader,0,COLUMN())</f>
        <v/>
      </c>
      <c r="T2" s="2181">
        <f>INDEX(MO_Common_ColumnHeader,0,COLUMN())</f>
        <v/>
      </c>
      <c r="U2" s="2180">
        <f>INDEX(MO_Common_ColumnHeader,0,COLUMN())</f>
        <v/>
      </c>
      <c r="V2" s="2181">
        <f>INDEX(MO_Common_ColumnHeader,0,COLUMN())</f>
        <v/>
      </c>
      <c r="W2" s="2181">
        <f>INDEX(MO_Common_ColumnHeader,0,COLUMN())</f>
        <v/>
      </c>
      <c r="X2" s="2181">
        <f>INDEX(MO_Common_ColumnHeader,0,COLUMN())</f>
        <v/>
      </c>
      <c r="Y2" s="2181">
        <f>INDEX(MO_Common_ColumnHeader,0,COLUMN())</f>
        <v/>
      </c>
      <c r="Z2" s="2180">
        <f>INDEX(MO_Common_ColumnHeader,0,COLUMN())</f>
        <v/>
      </c>
      <c r="AA2" s="2181">
        <f>INDEX(MO_Common_ColumnHeader,0,COLUMN())</f>
        <v/>
      </c>
      <c r="AB2" s="2181">
        <f>INDEX(MO_Common_ColumnHeader,0,COLUMN())</f>
        <v/>
      </c>
      <c r="AC2" s="2181">
        <f>INDEX(MO_Common_ColumnHeader,0,COLUMN())</f>
        <v/>
      </c>
      <c r="AD2" s="2181">
        <f>INDEX(MO_Common_ColumnHeader,0,COLUMN())</f>
        <v/>
      </c>
      <c r="AE2" s="2180">
        <f>INDEX(MO_Common_ColumnHeader,0,COLUMN())</f>
        <v/>
      </c>
      <c r="AF2" s="2181">
        <f>INDEX(MO_Common_ColumnHeader,0,COLUMN())</f>
        <v/>
      </c>
      <c r="AG2" s="2181">
        <f>INDEX(MO_Common_ColumnHeader,0,COLUMN())</f>
        <v/>
      </c>
      <c r="AH2" s="2181">
        <f>INDEX(MO_Common_ColumnHeader,0,COLUMN())</f>
        <v/>
      </c>
      <c r="AI2" s="2181">
        <f>INDEX(MO_Common_ColumnHeader,0,COLUMN())</f>
        <v/>
      </c>
      <c r="AJ2" s="2180">
        <f>INDEX(MO_Common_ColumnHeader,0,COLUMN())</f>
        <v/>
      </c>
      <c r="AK2" s="2181">
        <f>INDEX(MO_Common_ColumnHeader,0,COLUMN())</f>
        <v/>
      </c>
      <c r="AL2" s="2181">
        <f>INDEX(MO_Common_ColumnHeader,0,COLUMN())</f>
        <v/>
      </c>
      <c r="AM2" s="2181">
        <f>INDEX(MO_Common_ColumnHeader,0,COLUMN())</f>
        <v/>
      </c>
      <c r="AN2" s="2181">
        <f>INDEX(MO_Common_ColumnHeader,0,COLUMN())</f>
        <v/>
      </c>
      <c r="AO2" s="2180">
        <f>INDEX(MO_Common_ColumnHeader,0,COLUMN())</f>
        <v/>
      </c>
      <c r="AP2" s="2181">
        <f>INDEX(MO_Common_ColumnHeader,0,COLUMN())</f>
        <v/>
      </c>
      <c r="AQ2" s="2181">
        <f>INDEX(MO_Common_ColumnHeader,0,COLUMN())</f>
        <v/>
      </c>
      <c r="AR2" s="2181">
        <f>INDEX(MO_Common_ColumnHeader,0,COLUMN())</f>
        <v/>
      </c>
      <c r="AS2" s="2181">
        <f>INDEX(MO_Common_ColumnHeader,0,COLUMN())</f>
        <v/>
      </c>
      <c r="AT2" s="2180">
        <f>INDEX(MO_Common_ColumnHeader,0,COLUMN())</f>
        <v/>
      </c>
      <c r="AU2" s="2181">
        <f>INDEX(MO_Common_ColumnHeader,0,COLUMN())</f>
        <v/>
      </c>
      <c r="AV2" s="2181">
        <f>INDEX(MO_Common_ColumnHeader,0,COLUMN())</f>
        <v/>
      </c>
      <c r="AW2" s="2181">
        <f>INDEX(MO_Common_ColumnHeader,0,COLUMN())</f>
        <v/>
      </c>
      <c r="AX2" s="2181">
        <f>INDEX(MO_Common_ColumnHeader,0,COLUMN())</f>
        <v/>
      </c>
      <c r="AY2" s="2180">
        <f>INDEX(MO_Common_ColumnHeader,0,COLUMN())</f>
        <v/>
      </c>
      <c r="AZ2" s="2181">
        <f>INDEX(MO_Common_ColumnHeader,0,COLUMN())</f>
        <v/>
      </c>
      <c r="BA2" s="2181">
        <f>INDEX(MO_Common_ColumnHeader,0,COLUMN())</f>
        <v/>
      </c>
      <c r="BB2" s="2181">
        <f>INDEX(MO_Common_ColumnHeader,0,COLUMN())</f>
        <v/>
      </c>
      <c r="BC2" s="2181">
        <f>INDEX(MO_Common_ColumnHeader,0,COLUMN())</f>
        <v/>
      </c>
      <c r="BD2" s="2180">
        <f>INDEX(MO_Common_ColumnHeader,0,COLUMN())</f>
        <v/>
      </c>
      <c r="BE2" s="2181">
        <f>INDEX(MO_Common_ColumnHeader,0,COLUMN())</f>
        <v/>
      </c>
      <c r="BF2" s="2181">
        <f>INDEX(MO_Common_ColumnHeader,0,COLUMN())</f>
        <v/>
      </c>
      <c r="BG2" s="2181">
        <f>INDEX(MO_Common_ColumnHeader,0,COLUMN())</f>
        <v/>
      </c>
      <c r="BH2" s="2181">
        <f>INDEX(MO_Common_ColumnHeader,0,COLUMN())</f>
        <v/>
      </c>
      <c r="BI2" s="2180">
        <f>INDEX(MO_Common_ColumnHeader,0,COLUMN())</f>
        <v/>
      </c>
      <c r="BJ2" s="2181">
        <f>INDEX(MO_Common_ColumnHeader,0,COLUMN())</f>
        <v/>
      </c>
      <c r="BK2" s="2181">
        <f>INDEX(MO_Common_ColumnHeader,0,COLUMN())</f>
        <v/>
      </c>
      <c r="BL2" s="2181">
        <f>INDEX(MO_Common_ColumnHeader,0,COLUMN())</f>
        <v/>
      </c>
      <c r="BM2" s="2181">
        <f>INDEX(MO_Common_ColumnHeader,0,COLUMN())</f>
        <v/>
      </c>
      <c r="BN2" s="2180">
        <f>INDEX(MO_Common_ColumnHeader,0,COLUMN())</f>
        <v/>
      </c>
      <c r="BO2" s="2181">
        <f>INDEX(MO_Common_ColumnHeader,0,COLUMN())</f>
        <v/>
      </c>
      <c r="BP2" s="2181">
        <f>INDEX(MO_Common_ColumnHeader,0,COLUMN())</f>
        <v/>
      </c>
      <c r="BQ2" s="2182">
        <f>INDEX(MO_Common_ColumnHeader,0,COLUMN())</f>
        <v/>
      </c>
      <c r="BR2" s="2181">
        <f>INDEX(MO_Common_ColumnHeader,0,COLUMN())</f>
        <v/>
      </c>
      <c r="BS2" s="2180">
        <f>INDEX(MO_Common_ColumnHeader,0,COLUMN())</f>
        <v/>
      </c>
      <c r="BT2" s="2181">
        <f>INDEX(MO_Common_ColumnHeader,0,COLUMN())</f>
        <v/>
      </c>
      <c r="BU2" s="2181">
        <f>INDEX(MO_Common_ColumnHeader,0,COLUMN())</f>
        <v/>
      </c>
      <c r="BV2" s="2181">
        <f>INDEX(MO_Common_ColumnHeader,0,COLUMN())</f>
        <v/>
      </c>
      <c r="BW2" s="2181">
        <f>INDEX(MO_Common_ColumnHeader,0,COLUMN())</f>
        <v/>
      </c>
      <c r="BX2" s="2180">
        <f>INDEX(MO_Common_ColumnHeader,0,COLUMN())</f>
        <v/>
      </c>
      <c r="BY2" s="2180">
        <f>INDEX(MO_Common_ColumnHeader,0,COLUMN())</f>
        <v/>
      </c>
      <c r="BZ2" s="2180">
        <f>INDEX(MO_Common_ColumnHeader,0,COLUMN())</f>
        <v/>
      </c>
      <c r="CA2" s="2180">
        <f>INDEX(MO_Common_ColumnHeader,0,COLUMN())</f>
        <v/>
      </c>
      <c r="CB2" s="2072" t="n"/>
    </row>
    <row r="3" ht="15" customHeight="1" s="972">
      <c r="A3" s="2183" t="inlineStr">
        <is>
          <t>Capitalization Summary</t>
        </is>
      </c>
      <c r="B3" s="2183" t="n"/>
      <c r="C3" s="2183" t="n"/>
      <c r="D3" s="2183" t="n"/>
      <c r="E3" s="2183" t="n"/>
      <c r="F3" s="2183" t="n"/>
      <c r="G3" s="2183" t="n"/>
      <c r="H3" s="2183" t="n"/>
      <c r="I3" s="2183" t="n"/>
      <c r="J3" s="2183" t="n"/>
      <c r="K3" s="2183" t="n"/>
      <c r="L3" s="2183" t="n"/>
      <c r="M3" s="2183" t="n"/>
      <c r="N3" s="2183" t="n"/>
      <c r="O3" s="2183" t="n"/>
      <c r="P3" s="2183" t="n"/>
      <c r="Q3" s="2183" t="n"/>
      <c r="R3" s="2183" t="n"/>
      <c r="S3" s="2183" t="n"/>
      <c r="T3" s="2183" t="n"/>
      <c r="U3" s="2183" t="n"/>
      <c r="V3" s="2183" t="n"/>
      <c r="W3" s="2183" t="n"/>
      <c r="X3" s="2183" t="n"/>
      <c r="Y3" s="2183" t="n"/>
      <c r="Z3" s="2183" t="n"/>
      <c r="AA3" s="2183" t="n"/>
      <c r="AB3" s="2183" t="n"/>
      <c r="AC3" s="2183" t="n"/>
      <c r="AD3" s="2183" t="n"/>
      <c r="AE3" s="2183" t="n"/>
      <c r="AF3" s="2183" t="n"/>
      <c r="AG3" s="2183" t="n"/>
      <c r="AH3" s="2183" t="n"/>
      <c r="AI3" s="2183" t="n"/>
      <c r="AJ3" s="2183" t="n"/>
      <c r="AK3" s="2183" t="n"/>
      <c r="AL3" s="2183" t="n"/>
      <c r="AM3" s="2183" t="n"/>
      <c r="AN3" s="2183" t="n"/>
      <c r="AO3" s="2183" t="n"/>
      <c r="AP3" s="2183" t="n"/>
      <c r="AQ3" s="2183" t="n"/>
      <c r="AR3" s="2183" t="n"/>
      <c r="AS3" s="2183" t="n"/>
      <c r="AT3" s="2183" t="n"/>
      <c r="AU3" s="2183" t="n"/>
      <c r="AV3" s="2183" t="n"/>
      <c r="AW3" s="2183" t="n"/>
      <c r="AX3" s="2183" t="n"/>
      <c r="AY3" s="2183" t="n"/>
      <c r="AZ3" s="2183" t="n"/>
      <c r="BA3" s="2183" t="n"/>
      <c r="BB3" s="2183" t="n"/>
      <c r="BC3" s="2183" t="n"/>
      <c r="BD3" s="2183" t="n"/>
      <c r="BE3" s="2183" t="n"/>
      <c r="BF3" s="2183" t="n"/>
      <c r="BG3" s="2183" t="n"/>
      <c r="BH3" s="2183" t="n"/>
      <c r="BI3" s="2183" t="n"/>
      <c r="BJ3" s="2183" t="n"/>
      <c r="BK3" s="2183" t="n"/>
      <c r="BL3" s="2183" t="n"/>
      <c r="BM3" s="2183" t="n"/>
      <c r="BN3" s="2183" t="n"/>
      <c r="BO3" s="2183" t="n"/>
      <c r="BP3" s="2183" t="n"/>
      <c r="BQ3" s="2184" t="n"/>
      <c r="BR3" s="2183" t="n"/>
      <c r="BS3" s="2183" t="n"/>
      <c r="BT3" s="2183" t="n"/>
      <c r="BU3" s="2183" t="n"/>
      <c r="BV3" s="2183" t="n"/>
      <c r="BW3" s="2183" t="n"/>
      <c r="BX3" s="2183" t="n"/>
      <c r="BY3" s="2183" t="n"/>
      <c r="BZ3" s="2183" t="n"/>
      <c r="CA3" s="2183" t="n"/>
      <c r="CB3" s="2109" t="n"/>
    </row>
    <row r="4" ht="15" customFormat="1" customHeight="1" s="2185">
      <c r="A4" s="2186">
        <f>"Stock Price - "&amp;SP.ValuationToggle</f>
        <v/>
      </c>
      <c r="B4" s="2187" t="inlineStr">
        <is>
          <t>EoP</t>
        </is>
      </c>
      <c r="C4" s="218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D4" s="218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E4" s="218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F4" s="218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G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H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I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J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K4" s="218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L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M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N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O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P4" s="218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Q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R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S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T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U4" s="2188">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V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W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X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Y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Z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A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B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C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D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E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F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G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H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I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J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K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L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M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N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O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P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Q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R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S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T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U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V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W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X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Y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Z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A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B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C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D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E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F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G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H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I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J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K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L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M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N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O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P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Q4" s="2191">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R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S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T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U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V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W4" s="2189">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X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Y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BZ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CA4" s="219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CB4" s="2192" t="n"/>
    </row>
    <row r="5" ht="15" customFormat="1" customHeight="1" s="2185">
      <c r="A5" s="2193" t="inlineStr">
        <is>
          <t>Total diluted common stock outstanding - EoP</t>
        </is>
      </c>
      <c r="B5" s="2194" t="n"/>
      <c r="C5" s="2195">
        <f>INDEX(MO_PDS_ShareCount_EoP,0,COLUMN())+INDEX(MO_PDS_ShareCount_Diluted_SBC_Treasury,0,COLUMN())</f>
        <v/>
      </c>
      <c r="D5" s="2195">
        <f>INDEX(MO_PDS_ShareCount_EoP,0,COLUMN())+INDEX(MO_PDS_ShareCount_Diluted_SBC_Treasury,0,COLUMN())</f>
        <v/>
      </c>
      <c r="E5" s="2195">
        <f>INDEX(MO_PDS_ShareCount_EoP,0,COLUMN())+INDEX(MO_PDS_ShareCount_Diluted_SBC_Treasury,0,COLUMN())</f>
        <v/>
      </c>
      <c r="F5" s="2195">
        <f>INDEX(MO_PDS_ShareCount_EoP,0,COLUMN())+INDEX(MO_PDS_ShareCount_Diluted_SBC_Treasury,0,COLUMN())</f>
        <v/>
      </c>
      <c r="G5" s="2196">
        <f>INDEX(MO_PDS_ShareCount_EoP,0,COLUMN())+INDEX(MO_PDS_ShareCount_Diluted_SBC_Treasury,0,COLUMN())</f>
        <v/>
      </c>
      <c r="H5" s="2196">
        <f>INDEX(MO_PDS_ShareCount_EoP,0,COLUMN())+INDEX(MO_PDS_ShareCount_Diluted_SBC_Treasury,0,COLUMN())</f>
        <v/>
      </c>
      <c r="I5" s="2196">
        <f>INDEX(MO_PDS_ShareCount_EoP,0,COLUMN())+INDEX(MO_PDS_ShareCount_Diluted_SBC_Treasury,0,COLUMN())</f>
        <v/>
      </c>
      <c r="J5" s="2196">
        <f>INDEX(MO_PDS_ShareCount_EoP,0,COLUMN())+INDEX(MO_PDS_ShareCount_Diluted_SBC_Treasury,0,COLUMN())</f>
        <v/>
      </c>
      <c r="K5" s="2195">
        <f>INDEX(MO_PDS_ShareCount_EoP,0,COLUMN())+INDEX(MO_PDS_ShareCount_Diluted_SBC_Treasury,0,COLUMN())</f>
        <v/>
      </c>
      <c r="L5" s="2196">
        <f>INDEX(MO_PDS_ShareCount_EoP,0,COLUMN())+INDEX(MO_PDS_ShareCount_Diluted_SBC_Treasury,0,COLUMN())</f>
        <v/>
      </c>
      <c r="M5" s="2196">
        <f>INDEX(MO_PDS_ShareCount_EoP,0,COLUMN())+INDEX(MO_PDS_ShareCount_Diluted_SBC_Treasury,0,COLUMN())</f>
        <v/>
      </c>
      <c r="N5" s="2196">
        <f>INDEX(MO_PDS_ShareCount_EoP,0,COLUMN())+INDEX(MO_PDS_ShareCount_Diluted_SBC_Treasury,0,COLUMN())</f>
        <v/>
      </c>
      <c r="O5" s="2196">
        <f>INDEX(MO_PDS_ShareCount_EoP,0,COLUMN())+INDEX(MO_PDS_ShareCount_Diluted_SBC_Treasury,0,COLUMN())</f>
        <v/>
      </c>
      <c r="P5" s="2195">
        <f>INDEX(MO_PDS_ShareCount_EoP,0,COLUMN())+INDEX(MO_PDS_ShareCount_Diluted_SBC_Treasury,0,COLUMN())</f>
        <v/>
      </c>
      <c r="Q5" s="2196">
        <f>INDEX(MO_PDS_ShareCount_EoP,0,COLUMN())+INDEX(MO_PDS_ShareCount_Diluted_SBC_Treasury,0,COLUMN())</f>
        <v/>
      </c>
      <c r="R5" s="2196">
        <f>INDEX(MO_PDS_ShareCount_EoP,0,COLUMN())+INDEX(MO_PDS_ShareCount_Diluted_SBC_Treasury,0,COLUMN())</f>
        <v/>
      </c>
      <c r="S5" s="2196">
        <f>INDEX(MO_PDS_ShareCount_EoP,0,COLUMN())+INDEX(MO_PDS_ShareCount_Diluted_SBC_Treasury,0,COLUMN())</f>
        <v/>
      </c>
      <c r="T5" s="2196">
        <f>INDEX(MO_PDS_ShareCount_EoP,0,COLUMN())+INDEX(MO_PDS_ShareCount_Diluted_SBC_Treasury,0,COLUMN())</f>
        <v/>
      </c>
      <c r="U5" s="2195">
        <f>INDEX(MO_PDS_ShareCount_EoP,0,COLUMN())+INDEX(MO_PDS_ShareCount_Diluted_SBC_Treasury,0,COLUMN())</f>
        <v/>
      </c>
      <c r="V5" s="2196">
        <f>INDEX(MO_PDS_ShareCount_EoP,0,COLUMN())+INDEX(MO_PDS_ShareCount_Diluted_SBC_Treasury,0,COLUMN())</f>
        <v/>
      </c>
      <c r="W5" s="2196">
        <f>INDEX(MO_PDS_ShareCount_EoP,0,COLUMN())+INDEX(MO_PDS_ShareCount_Diluted_SBC_Treasury,0,COLUMN())</f>
        <v/>
      </c>
      <c r="X5" s="2196">
        <f>INDEX(MO_PDS_ShareCount_EoP,0,COLUMN())+INDEX(MO_PDS_ShareCount_Diluted_SBC_Treasury,0,COLUMN())</f>
        <v/>
      </c>
      <c r="Y5" s="2196">
        <f>INDEX(MO_PDS_ShareCount_EoP,0,COLUMN())+INDEX(MO_PDS_ShareCount_Diluted_SBC_Treasury,0,COLUMN())</f>
        <v/>
      </c>
      <c r="Z5" s="2197">
        <f>INDEX(MO_PDS_ShareCount_EoP,0,COLUMN())+INDEX(MO_PDS_ShareCount_Diluted_SBC_Treasury,0,COLUMN())</f>
        <v/>
      </c>
      <c r="AA5" s="2196">
        <f>INDEX(MO_PDS_ShareCount_EoP,0,COLUMN())+INDEX(MO_PDS_ShareCount_Diluted_SBC_Treasury,0,COLUMN())</f>
        <v/>
      </c>
      <c r="AB5" s="2196">
        <f>INDEX(MO_PDS_ShareCount_EoP,0,COLUMN())+INDEX(MO_PDS_ShareCount_Diluted_SBC_Treasury,0,COLUMN())</f>
        <v/>
      </c>
      <c r="AC5" s="2196">
        <f>INDEX(MO_PDS_ShareCount_EoP,0,COLUMN())+INDEX(MO_PDS_ShareCount_Diluted_SBC_Treasury,0,COLUMN())</f>
        <v/>
      </c>
      <c r="AD5" s="2196">
        <f>INDEX(MO_PDS_ShareCount_EoP,0,COLUMN())+INDEX(MO_PDS_ShareCount_Diluted_SBC_Treasury,0,COLUMN())</f>
        <v/>
      </c>
      <c r="AE5" s="2197">
        <f>INDEX(MO_PDS_ShareCount_EoP,0,COLUMN())+INDEX(MO_PDS_ShareCount_Diluted_SBC_Treasury,0,COLUMN())</f>
        <v/>
      </c>
      <c r="AF5" s="2196">
        <f>INDEX(MO_PDS_ShareCount_EoP,0,COLUMN())+INDEX(MO_PDS_ShareCount_Diluted_SBC_Treasury,0,COLUMN())</f>
        <v/>
      </c>
      <c r="AG5" s="2196">
        <f>INDEX(MO_PDS_ShareCount_EoP,0,COLUMN())+INDEX(MO_PDS_ShareCount_Diluted_SBC_Treasury,0,COLUMN())</f>
        <v/>
      </c>
      <c r="AH5" s="2196">
        <f>INDEX(MO_PDS_ShareCount_EoP,0,COLUMN())+INDEX(MO_PDS_ShareCount_Diluted_SBC_Treasury,0,COLUMN())</f>
        <v/>
      </c>
      <c r="AI5" s="2196">
        <f>INDEX(MO_PDS_ShareCount_EoP,0,COLUMN())+INDEX(MO_PDS_ShareCount_Diluted_SBC_Treasury,0,COLUMN())</f>
        <v/>
      </c>
      <c r="AJ5" s="2197">
        <f>INDEX(MO_PDS_ShareCount_EoP,0,COLUMN())+INDEX(MO_PDS_ShareCount_Diluted_SBC_Treasury,0,COLUMN())</f>
        <v/>
      </c>
      <c r="AK5" s="2196">
        <f>INDEX(MO_PDS_ShareCount_EoP,0,COLUMN())+INDEX(MO_PDS_ShareCount_Diluted_SBC_Treasury,0,COLUMN())</f>
        <v/>
      </c>
      <c r="AL5" s="2196">
        <f>INDEX(MO_PDS_ShareCount_EoP,0,COLUMN())+INDEX(MO_PDS_ShareCount_Diluted_SBC_Treasury,0,COLUMN())</f>
        <v/>
      </c>
      <c r="AM5" s="2196">
        <f>INDEX(MO_PDS_ShareCount_EoP,0,COLUMN())+INDEX(MO_PDS_ShareCount_Diluted_SBC_Treasury,0,COLUMN())</f>
        <v/>
      </c>
      <c r="AN5" s="2196">
        <f>INDEX(MO_PDS_ShareCount_EoP,0,COLUMN())+INDEX(MO_PDS_ShareCount_Diluted_SBC_Treasury,0,COLUMN())</f>
        <v/>
      </c>
      <c r="AO5" s="2197">
        <f>INDEX(MO_PDS_ShareCount_EoP,0,COLUMN())+INDEX(MO_PDS_ShareCount_Diluted_SBC_Treasury,0,COLUMN())</f>
        <v/>
      </c>
      <c r="AP5" s="2196">
        <f>INDEX(MO_PDS_ShareCount_EoP,0,COLUMN())+INDEX(MO_PDS_ShareCount_Diluted_SBC_Treasury,0,COLUMN())</f>
        <v/>
      </c>
      <c r="AQ5" s="2196">
        <f>INDEX(MO_PDS_ShareCount_EoP,0,COLUMN())+INDEX(MO_PDS_ShareCount_Diluted_SBC_Treasury,0,COLUMN())</f>
        <v/>
      </c>
      <c r="AR5" s="2196">
        <f>INDEX(MO_PDS_ShareCount_EoP,0,COLUMN())+INDEX(MO_PDS_ShareCount_Diluted_SBC_Treasury,0,COLUMN())</f>
        <v/>
      </c>
      <c r="AS5" s="2196">
        <f>INDEX(MO_PDS_ShareCount_EoP,0,COLUMN())+INDEX(MO_PDS_ShareCount_Diluted_SBC_Treasury,0,COLUMN())</f>
        <v/>
      </c>
      <c r="AT5" s="2197">
        <f>INDEX(MO_PDS_ShareCount_EoP,0,COLUMN())+INDEX(MO_PDS_ShareCount_Diluted_SBC_Treasury,0,COLUMN())</f>
        <v/>
      </c>
      <c r="AU5" s="2196">
        <f>INDEX(MO_PDS_ShareCount_EoP,0,COLUMN())+INDEX(MO_PDS_ShareCount_Diluted_SBC_Treasury,0,COLUMN())</f>
        <v/>
      </c>
      <c r="AV5" s="2196">
        <f>INDEX(MO_PDS_ShareCount_EoP,0,COLUMN())+INDEX(MO_PDS_ShareCount_Diluted_SBC_Treasury,0,COLUMN())</f>
        <v/>
      </c>
      <c r="AW5" s="2196">
        <f>INDEX(MO_PDS_ShareCount_EoP,0,COLUMN())+INDEX(MO_PDS_ShareCount_Diluted_SBC_Treasury,0,COLUMN())</f>
        <v/>
      </c>
      <c r="AX5" s="2196">
        <f>INDEX(MO_PDS_ShareCount_EoP,0,COLUMN())+INDEX(MO_PDS_ShareCount_Diluted_SBC_Treasury,0,COLUMN())</f>
        <v/>
      </c>
      <c r="AY5" s="2197">
        <f>INDEX(MO_PDS_ShareCount_EoP,0,COLUMN())+INDEX(MO_PDS_ShareCount_Diluted_SBC_Treasury,0,COLUMN())</f>
        <v/>
      </c>
      <c r="AZ5" s="2196">
        <f>INDEX(MO_PDS_ShareCount_EoP,0,COLUMN())+INDEX(MO_PDS_ShareCount_Diluted_SBC_Treasury,0,COLUMN())</f>
        <v/>
      </c>
      <c r="BA5" s="2196">
        <f>INDEX(MO_PDS_ShareCount_EoP,0,COLUMN())+INDEX(MO_PDS_ShareCount_Diluted_SBC_Treasury,0,COLUMN())</f>
        <v/>
      </c>
      <c r="BB5" s="2196">
        <f>INDEX(MO_PDS_ShareCount_EoP,0,COLUMN())+INDEX(MO_PDS_ShareCount_Diluted_SBC_Treasury,0,COLUMN())</f>
        <v/>
      </c>
      <c r="BC5" s="2196">
        <f>INDEX(MO_PDS_ShareCount_EoP,0,COLUMN())+INDEX(MO_PDS_ShareCount_Diluted_SBC_Treasury,0,COLUMN())</f>
        <v/>
      </c>
      <c r="BD5" s="2197">
        <f>INDEX(MO_PDS_ShareCount_EoP,0,COLUMN())+INDEX(MO_PDS_ShareCount_Diluted_SBC_Treasury,0,COLUMN())</f>
        <v/>
      </c>
      <c r="BE5" s="2196">
        <f>INDEX(MO_PDS_ShareCount_EoP,0,COLUMN())+INDEX(MO_PDS_ShareCount_Diluted_SBC_Treasury,0,COLUMN())</f>
        <v/>
      </c>
      <c r="BF5" s="2196">
        <f>INDEX(MO_PDS_ShareCount_EoP,0,COLUMN())+INDEX(MO_PDS_ShareCount_Diluted_SBC_Treasury,0,COLUMN())</f>
        <v/>
      </c>
      <c r="BG5" s="2196">
        <f>INDEX(MO_PDS_ShareCount_EoP,0,COLUMN())+INDEX(MO_PDS_ShareCount_Diluted_SBC_Treasury,0,COLUMN())</f>
        <v/>
      </c>
      <c r="BH5" s="2196">
        <f>INDEX(MO_PDS_ShareCount_EoP,0,COLUMN())+INDEX(MO_PDS_ShareCount_Diluted_SBC_Treasury,0,COLUMN())</f>
        <v/>
      </c>
      <c r="BI5" s="2197">
        <f>INDEX(MO_PDS_ShareCount_EoP,0,COLUMN())+INDEX(MO_PDS_ShareCount_Diluted_SBC_Treasury,0,COLUMN())</f>
        <v/>
      </c>
      <c r="BJ5" s="2196">
        <f>INDEX(MO_PDS_ShareCount_EoP,0,COLUMN())+INDEX(MO_PDS_ShareCount_Diluted_SBC_Treasury,0,COLUMN())</f>
        <v/>
      </c>
      <c r="BK5" s="2196">
        <f>INDEX(MO_PDS_ShareCount_EoP,0,COLUMN())+INDEX(MO_PDS_ShareCount_Diluted_SBC_Treasury,0,COLUMN())</f>
        <v/>
      </c>
      <c r="BL5" s="2196">
        <f>INDEX(MO_PDS_ShareCount_EoP,0,COLUMN())+INDEX(MO_PDS_ShareCount_Diluted_SBC_Treasury,0,COLUMN())</f>
        <v/>
      </c>
      <c r="BM5" s="2196">
        <f>INDEX(MO_PDS_ShareCount_EoP,0,COLUMN())+INDEX(MO_PDS_ShareCount_Diluted_SBC_Treasury,0,COLUMN())</f>
        <v/>
      </c>
      <c r="BN5" s="2197">
        <f>INDEX(MO_PDS_ShareCount_EoP,0,COLUMN())+INDEX(MO_PDS_ShareCount_Diluted_SBC_Treasury,0,COLUMN())</f>
        <v/>
      </c>
      <c r="BO5" s="2196">
        <f>INDEX(MO_PDS_ShareCount_EoP,0,COLUMN())+INDEX(MO_PDS_ShareCount_Diluted_SBC_Treasury,0,COLUMN())</f>
        <v/>
      </c>
      <c r="BP5" s="2196">
        <f>INDEX(MO_PDS_ShareCount_EoP,0,COLUMN())+INDEX(MO_PDS_ShareCount_Diluted_SBC_Treasury,0,COLUMN())</f>
        <v/>
      </c>
      <c r="BQ5" s="2198">
        <f>INDEX(MO_PDS_ShareCount_EoP,0,COLUMN())+INDEX(MO_PDS_ShareCount_Diluted_SBC_Treasury,0,COLUMN())</f>
        <v/>
      </c>
      <c r="BR5" s="2196">
        <f>INDEX(MO_PDS_ShareCount_EoP,0,COLUMN())+INDEX(MO_PDS_ShareCount_Diluted_SBC_Treasury,0,COLUMN())</f>
        <v/>
      </c>
      <c r="BS5" s="2197">
        <f>INDEX(MO_PDS_ShareCount_EoP,0,COLUMN())+INDEX(MO_PDS_ShareCount_Diluted_SBC_Treasury,0,COLUMN())</f>
        <v/>
      </c>
      <c r="BT5" s="2196">
        <f>INDEX(MO_PDS_ShareCount_EoP,0,COLUMN())+INDEX(MO_PDS_ShareCount_Diluted_SBC_Treasury,0,COLUMN())</f>
        <v/>
      </c>
      <c r="BU5" s="2196">
        <f>INDEX(MO_PDS_ShareCount_EoP,0,COLUMN())+INDEX(MO_PDS_ShareCount_Diluted_SBC_Treasury,0,COLUMN())</f>
        <v/>
      </c>
      <c r="BV5" s="2196">
        <f>INDEX(MO_PDS_ShareCount_EoP,0,COLUMN())+INDEX(MO_PDS_ShareCount_Diluted_SBC_Treasury,0,COLUMN())</f>
        <v/>
      </c>
      <c r="BW5" s="2196">
        <f>INDEX(MO_PDS_ShareCount_EoP,0,COLUMN())+INDEX(MO_PDS_ShareCount_Diluted_SBC_Treasury,0,COLUMN())</f>
        <v/>
      </c>
      <c r="BX5" s="2197">
        <f>INDEX(MO_PDS_ShareCount_EoP,0,COLUMN())+INDEX(MO_PDS_ShareCount_Diluted_SBC_Treasury,0,COLUMN())</f>
        <v/>
      </c>
      <c r="BY5" s="2197">
        <f>INDEX(MO_PDS_ShareCount_EoP,0,COLUMN())+INDEX(MO_PDS_ShareCount_Diluted_SBC_Treasury,0,COLUMN())</f>
        <v/>
      </c>
      <c r="BZ5" s="2197">
        <f>INDEX(MO_PDS_ShareCount_EoP,0,COLUMN())+INDEX(MO_PDS_ShareCount_Diluted_SBC_Treasury,0,COLUMN())</f>
        <v/>
      </c>
      <c r="CA5" s="2197">
        <f>INDEX(MO_PDS_ShareCount_EoP,0,COLUMN())+INDEX(MO_PDS_ShareCount_Diluted_SBC_Treasury,0,COLUMN())</f>
        <v/>
      </c>
      <c r="CB5" s="2192" t="n"/>
    </row>
    <row r="6" ht="15" customFormat="1" customHeight="1" s="2082">
      <c r="A6" s="1596">
        <f>"Market Cap - "&amp;SP.ValuationToggle</f>
        <v/>
      </c>
      <c r="B6" s="2199" t="n"/>
      <c r="C6" s="2090">
        <f>INDEX(SP_CS_StockPrice,0,COLUMN())*INDEX(SP_CS_ShareCount_EoP_Diluted,0,COLUMN())</f>
        <v/>
      </c>
      <c r="D6" s="2090">
        <f>INDEX(SP_CS_StockPrice,0,COLUMN())*INDEX(SP_CS_ShareCount_EoP_Diluted,0,COLUMN())</f>
        <v/>
      </c>
      <c r="E6" s="2090">
        <f>INDEX(SP_CS_StockPrice,0,COLUMN())*INDEX(SP_CS_ShareCount_EoP_Diluted,0,COLUMN())</f>
        <v/>
      </c>
      <c r="F6" s="2090">
        <f>INDEX(SP_CS_StockPrice,0,COLUMN())*INDEX(SP_CS_ShareCount_EoP_Diluted,0,COLUMN())</f>
        <v/>
      </c>
      <c r="G6" s="2089">
        <f>INDEX(SP_CS_StockPrice,0,COLUMN())*INDEX(SP_CS_ShareCount_EoP_Diluted,0,COLUMN())</f>
        <v/>
      </c>
      <c r="H6" s="2089">
        <f>INDEX(SP_CS_StockPrice,0,COLUMN())*INDEX(SP_CS_ShareCount_EoP_Diluted,0,COLUMN())</f>
        <v/>
      </c>
      <c r="I6" s="2089">
        <f>INDEX(SP_CS_StockPrice,0,COLUMN())*INDEX(SP_CS_ShareCount_EoP_Diluted,0,COLUMN())</f>
        <v/>
      </c>
      <c r="J6" s="2089">
        <f>INDEX(SP_CS_StockPrice,0,COLUMN())*INDEX(SP_CS_ShareCount_EoP_Diluted,0,COLUMN())</f>
        <v/>
      </c>
      <c r="K6" s="2090">
        <f>INDEX(SP_CS_StockPrice,0,COLUMN())*INDEX(SP_CS_ShareCount_EoP_Diluted,0,COLUMN())</f>
        <v/>
      </c>
      <c r="L6" s="2089">
        <f>INDEX(SP_CS_StockPrice,0,COLUMN())*INDEX(SP_CS_ShareCount_EoP_Diluted,0,COLUMN())</f>
        <v/>
      </c>
      <c r="M6" s="2089">
        <f>INDEX(SP_CS_StockPrice,0,COLUMN())*INDEX(SP_CS_ShareCount_EoP_Diluted,0,COLUMN())</f>
        <v/>
      </c>
      <c r="N6" s="2089">
        <f>INDEX(SP_CS_StockPrice,0,COLUMN())*INDEX(SP_CS_ShareCount_EoP_Diluted,0,COLUMN())</f>
        <v/>
      </c>
      <c r="O6" s="2089">
        <f>INDEX(SP_CS_StockPrice,0,COLUMN())*INDEX(SP_CS_ShareCount_EoP_Diluted,0,COLUMN())</f>
        <v/>
      </c>
      <c r="P6" s="2090">
        <f>INDEX(SP_CS_StockPrice,0,COLUMN())*INDEX(SP_CS_ShareCount_EoP_Diluted,0,COLUMN())</f>
        <v/>
      </c>
      <c r="Q6" s="2089">
        <f>INDEX(SP_CS_StockPrice,0,COLUMN())*INDEX(SP_CS_ShareCount_EoP_Diluted,0,COLUMN())</f>
        <v/>
      </c>
      <c r="R6" s="2089">
        <f>INDEX(SP_CS_StockPrice,0,COLUMN())*INDEX(SP_CS_ShareCount_EoP_Diluted,0,COLUMN())</f>
        <v/>
      </c>
      <c r="S6" s="2089">
        <f>INDEX(SP_CS_StockPrice,0,COLUMN())*INDEX(SP_CS_ShareCount_EoP_Diluted,0,COLUMN())</f>
        <v/>
      </c>
      <c r="T6" s="2089">
        <f>INDEX(SP_CS_StockPrice,0,COLUMN())*INDEX(SP_CS_ShareCount_EoP_Diluted,0,COLUMN())</f>
        <v/>
      </c>
      <c r="U6" s="2090">
        <f>INDEX(SP_CS_StockPrice,0,COLUMN())*INDEX(SP_CS_ShareCount_EoP_Diluted,0,COLUMN())</f>
        <v/>
      </c>
      <c r="V6" s="2089">
        <f>INDEX(SP_CS_StockPrice,0,COLUMN())*INDEX(SP_CS_ShareCount_EoP_Diluted,0,COLUMN())</f>
        <v/>
      </c>
      <c r="W6" s="2089">
        <f>INDEX(SP_CS_StockPrice,0,COLUMN())*INDEX(SP_CS_ShareCount_EoP_Diluted,0,COLUMN())</f>
        <v/>
      </c>
      <c r="X6" s="2089">
        <f>INDEX(SP_CS_StockPrice,0,COLUMN())*INDEX(SP_CS_ShareCount_EoP_Diluted,0,COLUMN())</f>
        <v/>
      </c>
      <c r="Y6" s="2089">
        <f>INDEX(SP_CS_StockPrice,0,COLUMN())*INDEX(SP_CS_ShareCount_EoP_Diluted,0,COLUMN())</f>
        <v/>
      </c>
      <c r="Z6" s="2090">
        <f>INDEX(SP_CS_StockPrice,0,COLUMN())*INDEX(SP_CS_ShareCount_EoP_Diluted,0,COLUMN())</f>
        <v/>
      </c>
      <c r="AA6" s="2089">
        <f>INDEX(SP_CS_StockPrice,0,COLUMN())*INDEX(SP_CS_ShareCount_EoP_Diluted,0,COLUMN())</f>
        <v/>
      </c>
      <c r="AB6" s="2089">
        <f>INDEX(SP_CS_StockPrice,0,COLUMN())*INDEX(SP_CS_ShareCount_EoP_Diluted,0,COLUMN())</f>
        <v/>
      </c>
      <c r="AC6" s="2089">
        <f>INDEX(SP_CS_StockPrice,0,COLUMN())*INDEX(SP_CS_ShareCount_EoP_Diluted,0,COLUMN())</f>
        <v/>
      </c>
      <c r="AD6" s="2089">
        <f>INDEX(SP_CS_StockPrice,0,COLUMN())*INDEX(SP_CS_ShareCount_EoP_Diluted,0,COLUMN())</f>
        <v/>
      </c>
      <c r="AE6" s="2090">
        <f>INDEX(SP_CS_StockPrice,0,COLUMN())*INDEX(SP_CS_ShareCount_EoP_Diluted,0,COLUMN())</f>
        <v/>
      </c>
      <c r="AF6" s="2089">
        <f>INDEX(SP_CS_StockPrice,0,COLUMN())*INDEX(SP_CS_ShareCount_EoP_Diluted,0,COLUMN())</f>
        <v/>
      </c>
      <c r="AG6" s="2089">
        <f>INDEX(SP_CS_StockPrice,0,COLUMN())*INDEX(SP_CS_ShareCount_EoP_Diluted,0,COLUMN())</f>
        <v/>
      </c>
      <c r="AH6" s="2089">
        <f>INDEX(SP_CS_StockPrice,0,COLUMN())*INDEX(SP_CS_ShareCount_EoP_Diluted,0,COLUMN())</f>
        <v/>
      </c>
      <c r="AI6" s="2089">
        <f>INDEX(SP_CS_StockPrice,0,COLUMN())*INDEX(SP_CS_ShareCount_EoP_Diluted,0,COLUMN())</f>
        <v/>
      </c>
      <c r="AJ6" s="2090">
        <f>INDEX(SP_CS_StockPrice,0,COLUMN())*INDEX(SP_CS_ShareCount_EoP_Diluted,0,COLUMN())</f>
        <v/>
      </c>
      <c r="AK6" s="2089">
        <f>INDEX(SP_CS_StockPrice,0,COLUMN())*INDEX(SP_CS_ShareCount_EoP_Diluted,0,COLUMN())</f>
        <v/>
      </c>
      <c r="AL6" s="2089">
        <f>INDEX(SP_CS_StockPrice,0,COLUMN())*INDEX(SP_CS_ShareCount_EoP_Diluted,0,COLUMN())</f>
        <v/>
      </c>
      <c r="AM6" s="2089">
        <f>INDEX(SP_CS_StockPrice,0,COLUMN())*INDEX(SP_CS_ShareCount_EoP_Diluted,0,COLUMN())</f>
        <v/>
      </c>
      <c r="AN6" s="2089">
        <f>INDEX(SP_CS_StockPrice,0,COLUMN())*INDEX(SP_CS_ShareCount_EoP_Diluted,0,COLUMN())</f>
        <v/>
      </c>
      <c r="AO6" s="2090">
        <f>INDEX(SP_CS_StockPrice,0,COLUMN())*INDEX(SP_CS_ShareCount_EoP_Diluted,0,COLUMN())</f>
        <v/>
      </c>
      <c r="AP6" s="2089">
        <f>INDEX(SP_CS_StockPrice,0,COLUMN())*INDEX(SP_CS_ShareCount_EoP_Diluted,0,COLUMN())</f>
        <v/>
      </c>
      <c r="AQ6" s="2089">
        <f>INDEX(SP_CS_StockPrice,0,COLUMN())*INDEX(SP_CS_ShareCount_EoP_Diluted,0,COLUMN())</f>
        <v/>
      </c>
      <c r="AR6" s="2089">
        <f>INDEX(SP_CS_StockPrice,0,COLUMN())*INDEX(SP_CS_ShareCount_EoP_Diluted,0,COLUMN())</f>
        <v/>
      </c>
      <c r="AS6" s="2089">
        <f>INDEX(SP_CS_StockPrice,0,COLUMN())*INDEX(SP_CS_ShareCount_EoP_Diluted,0,COLUMN())</f>
        <v/>
      </c>
      <c r="AT6" s="2090">
        <f>INDEX(SP_CS_StockPrice,0,COLUMN())*INDEX(SP_CS_ShareCount_EoP_Diluted,0,COLUMN())</f>
        <v/>
      </c>
      <c r="AU6" s="2089">
        <f>INDEX(SP_CS_StockPrice,0,COLUMN())*INDEX(SP_CS_ShareCount_EoP_Diluted,0,COLUMN())</f>
        <v/>
      </c>
      <c r="AV6" s="2089">
        <f>INDEX(SP_CS_StockPrice,0,COLUMN())*INDEX(SP_CS_ShareCount_EoP_Diluted,0,COLUMN())</f>
        <v/>
      </c>
      <c r="AW6" s="2089">
        <f>INDEX(SP_CS_StockPrice,0,COLUMN())*INDEX(SP_CS_ShareCount_EoP_Diluted,0,COLUMN())</f>
        <v/>
      </c>
      <c r="AX6" s="2089">
        <f>INDEX(SP_CS_StockPrice,0,COLUMN())*INDEX(SP_CS_ShareCount_EoP_Diluted,0,COLUMN())</f>
        <v/>
      </c>
      <c r="AY6" s="2090">
        <f>INDEX(SP_CS_StockPrice,0,COLUMN())*INDEX(SP_CS_ShareCount_EoP_Diluted,0,COLUMN())</f>
        <v/>
      </c>
      <c r="AZ6" s="2089">
        <f>INDEX(SP_CS_StockPrice,0,COLUMN())*INDEX(SP_CS_ShareCount_EoP_Diluted,0,COLUMN())</f>
        <v/>
      </c>
      <c r="BA6" s="2089">
        <f>INDEX(SP_CS_StockPrice,0,COLUMN())*INDEX(SP_CS_ShareCount_EoP_Diluted,0,COLUMN())</f>
        <v/>
      </c>
      <c r="BB6" s="2089">
        <f>INDEX(SP_CS_StockPrice,0,COLUMN())*INDEX(SP_CS_ShareCount_EoP_Diluted,0,COLUMN())</f>
        <v/>
      </c>
      <c r="BC6" s="2089">
        <f>INDEX(SP_CS_StockPrice,0,COLUMN())*INDEX(SP_CS_ShareCount_EoP_Diluted,0,COLUMN())</f>
        <v/>
      </c>
      <c r="BD6" s="2090">
        <f>INDEX(SP_CS_StockPrice,0,COLUMN())*INDEX(SP_CS_ShareCount_EoP_Diluted,0,COLUMN())</f>
        <v/>
      </c>
      <c r="BE6" s="2089">
        <f>INDEX(SP_CS_StockPrice,0,COLUMN())*INDEX(SP_CS_ShareCount_EoP_Diluted,0,COLUMN())</f>
        <v/>
      </c>
      <c r="BF6" s="2089">
        <f>INDEX(SP_CS_StockPrice,0,COLUMN())*INDEX(SP_CS_ShareCount_EoP_Diluted,0,COLUMN())</f>
        <v/>
      </c>
      <c r="BG6" s="2089">
        <f>INDEX(SP_CS_StockPrice,0,COLUMN())*INDEX(SP_CS_ShareCount_EoP_Diluted,0,COLUMN())</f>
        <v/>
      </c>
      <c r="BH6" s="2089">
        <f>INDEX(SP_CS_StockPrice,0,COLUMN())*INDEX(SP_CS_ShareCount_EoP_Diluted,0,COLUMN())</f>
        <v/>
      </c>
      <c r="BI6" s="2090">
        <f>INDEX(SP_CS_StockPrice,0,COLUMN())*INDEX(SP_CS_ShareCount_EoP_Diluted,0,COLUMN())</f>
        <v/>
      </c>
      <c r="BJ6" s="2089">
        <f>INDEX(SP_CS_StockPrice,0,COLUMN())*INDEX(SP_CS_ShareCount_EoP_Diluted,0,COLUMN())</f>
        <v/>
      </c>
      <c r="BK6" s="2089">
        <f>INDEX(SP_CS_StockPrice,0,COLUMN())*INDEX(SP_CS_ShareCount_EoP_Diluted,0,COLUMN())</f>
        <v/>
      </c>
      <c r="BL6" s="2089">
        <f>INDEX(SP_CS_StockPrice,0,COLUMN())*INDEX(SP_CS_ShareCount_EoP_Diluted,0,COLUMN())</f>
        <v/>
      </c>
      <c r="BM6" s="2089">
        <f>INDEX(SP_CS_StockPrice,0,COLUMN())*INDEX(SP_CS_ShareCount_EoP_Diluted,0,COLUMN())</f>
        <v/>
      </c>
      <c r="BN6" s="2090">
        <f>INDEX(SP_CS_StockPrice,0,COLUMN())*INDEX(SP_CS_ShareCount_EoP_Diluted,0,COLUMN())</f>
        <v/>
      </c>
      <c r="BO6" s="2089">
        <f>INDEX(SP_CS_StockPrice,0,COLUMN())*INDEX(SP_CS_ShareCount_EoP_Diluted,0,COLUMN())</f>
        <v/>
      </c>
      <c r="BP6" s="2089">
        <f>INDEX(SP_CS_StockPrice,0,COLUMN())*INDEX(SP_CS_ShareCount_EoP_Diluted,0,COLUMN())</f>
        <v/>
      </c>
      <c r="BQ6" s="2100">
        <f>INDEX(SP_CS_StockPrice,0,COLUMN())*INDEX(SP_CS_ShareCount_EoP_Diluted,0,COLUMN())</f>
        <v/>
      </c>
      <c r="BR6" s="2089">
        <f>INDEX(SP_CS_StockPrice,0,COLUMN())*INDEX(SP_CS_ShareCount_EoP_Diluted,0,COLUMN())</f>
        <v/>
      </c>
      <c r="BS6" s="2090">
        <f>INDEX(SP_CS_StockPrice,0,COLUMN())*INDEX(SP_CS_ShareCount_EoP_Diluted,0,COLUMN())</f>
        <v/>
      </c>
      <c r="BT6" s="2089">
        <f>INDEX(SP_CS_StockPrice,0,COLUMN())*INDEX(SP_CS_ShareCount_EoP_Diluted,0,COLUMN())</f>
        <v/>
      </c>
      <c r="BU6" s="2089">
        <f>INDEX(SP_CS_StockPrice,0,COLUMN())*INDEX(SP_CS_ShareCount_EoP_Diluted,0,COLUMN())</f>
        <v/>
      </c>
      <c r="BV6" s="2089">
        <f>INDEX(SP_CS_StockPrice,0,COLUMN())*INDEX(SP_CS_ShareCount_EoP_Diluted,0,COLUMN())</f>
        <v/>
      </c>
      <c r="BW6" s="2089">
        <f>INDEX(SP_CS_StockPrice,0,COLUMN())*INDEX(SP_CS_ShareCount_EoP_Diluted,0,COLUMN())</f>
        <v/>
      </c>
      <c r="BX6" s="2090">
        <f>INDEX(SP_CS_StockPrice,0,COLUMN())*INDEX(SP_CS_ShareCount_EoP_Diluted,0,COLUMN())</f>
        <v/>
      </c>
      <c r="BY6" s="2090">
        <f>INDEX(SP_CS_StockPrice,0,COLUMN())*INDEX(SP_CS_ShareCount_EoP_Diluted,0,COLUMN())</f>
        <v/>
      </c>
      <c r="BZ6" s="2090">
        <f>INDEX(SP_CS_StockPrice,0,COLUMN())*INDEX(SP_CS_ShareCount_EoP_Diluted,0,COLUMN())</f>
        <v/>
      </c>
      <c r="CA6" s="2090">
        <f>INDEX(SP_CS_StockPrice,0,COLUMN())*INDEX(SP_CS_ShareCount_EoP_Diluted,0,COLUMN())</f>
        <v/>
      </c>
      <c r="CB6" s="2089" t="n"/>
    </row>
    <row r="7" ht="15" customFormat="1" customHeight="1" s="2101">
      <c r="A7" s="1593">
        <f>INDEX(MO_BSS_Cash,0,COLUMN())</f>
        <v/>
      </c>
      <c r="B7" s="2200" t="n"/>
      <c r="C7" s="2087">
        <f>INDEX(MO_BSS_Cash,0,COLUMN())</f>
        <v/>
      </c>
      <c r="D7" s="2087">
        <f>INDEX(MO_BSS_Cash,0,COLUMN())</f>
        <v/>
      </c>
      <c r="E7" s="2087">
        <f>INDEX(MO_BSS_Cash,0,COLUMN())</f>
        <v/>
      </c>
      <c r="F7" s="2087">
        <f>INDEX(MO_BSS_Cash,0,COLUMN())</f>
        <v/>
      </c>
      <c r="G7" s="2072">
        <f>INDEX(MO_BSS_Cash,0,COLUMN())</f>
        <v/>
      </c>
      <c r="H7" s="2072">
        <f>INDEX(MO_BSS_Cash,0,COLUMN())</f>
        <v/>
      </c>
      <c r="I7" s="2072">
        <f>INDEX(MO_BSS_Cash,0,COLUMN())</f>
        <v/>
      </c>
      <c r="J7" s="2072">
        <f>INDEX(MO_BSS_Cash,0,COLUMN())</f>
        <v/>
      </c>
      <c r="K7" s="2087">
        <f>INDEX(MO_BSS_Cash,0,COLUMN())</f>
        <v/>
      </c>
      <c r="L7" s="2072">
        <f>INDEX(MO_BSS_Cash,0,COLUMN())</f>
        <v/>
      </c>
      <c r="M7" s="2072">
        <f>INDEX(MO_BSS_Cash,0,COLUMN())</f>
        <v/>
      </c>
      <c r="N7" s="2072">
        <f>INDEX(MO_BSS_Cash,0,COLUMN())</f>
        <v/>
      </c>
      <c r="O7" s="2072">
        <f>INDEX(MO_BSS_Cash,0,COLUMN())</f>
        <v/>
      </c>
      <c r="P7" s="2087">
        <f>INDEX(MO_BSS_Cash,0,COLUMN())</f>
        <v/>
      </c>
      <c r="Q7" s="2072">
        <f>INDEX(MO_BSS_Cash,0,COLUMN())</f>
        <v/>
      </c>
      <c r="R7" s="2072">
        <f>INDEX(MO_BSS_Cash,0,COLUMN())</f>
        <v/>
      </c>
      <c r="S7" s="2072">
        <f>INDEX(MO_BSS_Cash,0,COLUMN())</f>
        <v/>
      </c>
      <c r="T7" s="2072">
        <f>INDEX(MO_BSS_Cash,0,COLUMN())</f>
        <v/>
      </c>
      <c r="U7" s="2087">
        <f>INDEX(MO_BSS_Cash,0,COLUMN())</f>
        <v/>
      </c>
      <c r="V7" s="2072">
        <f>INDEX(MO_BSS_Cash,0,COLUMN())</f>
        <v/>
      </c>
      <c r="W7" s="2072">
        <f>INDEX(MO_BSS_Cash,0,COLUMN())</f>
        <v/>
      </c>
      <c r="X7" s="2072">
        <f>INDEX(MO_BSS_Cash,0,COLUMN())</f>
        <v/>
      </c>
      <c r="Y7" s="2072">
        <f>INDEX(MO_BSS_Cash,0,COLUMN())</f>
        <v/>
      </c>
      <c r="Z7" s="2087">
        <f>INDEX(MO_BSS_Cash,0,COLUMN())</f>
        <v/>
      </c>
      <c r="AA7" s="2072">
        <f>INDEX(MO_BSS_Cash,0,COLUMN())</f>
        <v/>
      </c>
      <c r="AB7" s="2072">
        <f>INDEX(MO_BSS_Cash,0,COLUMN())</f>
        <v/>
      </c>
      <c r="AC7" s="2072">
        <f>INDEX(MO_BSS_Cash,0,COLUMN())</f>
        <v/>
      </c>
      <c r="AD7" s="2072">
        <f>INDEX(MO_BSS_Cash,0,COLUMN())</f>
        <v/>
      </c>
      <c r="AE7" s="2087">
        <f>INDEX(MO_BSS_Cash,0,COLUMN())</f>
        <v/>
      </c>
      <c r="AF7" s="2072">
        <f>INDEX(MO_BSS_Cash,0,COLUMN())</f>
        <v/>
      </c>
      <c r="AG7" s="2072">
        <f>INDEX(MO_BSS_Cash,0,COLUMN())</f>
        <v/>
      </c>
      <c r="AH7" s="2072">
        <f>INDEX(MO_BSS_Cash,0,COLUMN())</f>
        <v/>
      </c>
      <c r="AI7" s="2072">
        <f>INDEX(MO_BSS_Cash,0,COLUMN())</f>
        <v/>
      </c>
      <c r="AJ7" s="2087">
        <f>INDEX(MO_BSS_Cash,0,COLUMN())</f>
        <v/>
      </c>
      <c r="AK7" s="2072">
        <f>INDEX(MO_BSS_Cash,0,COLUMN())</f>
        <v/>
      </c>
      <c r="AL7" s="2072">
        <f>INDEX(MO_BSS_Cash,0,COLUMN())</f>
        <v/>
      </c>
      <c r="AM7" s="2072">
        <f>INDEX(MO_BSS_Cash,0,COLUMN())</f>
        <v/>
      </c>
      <c r="AN7" s="2072">
        <f>INDEX(MO_BSS_Cash,0,COLUMN())</f>
        <v/>
      </c>
      <c r="AO7" s="2087">
        <f>INDEX(MO_BSS_Cash,0,COLUMN())</f>
        <v/>
      </c>
      <c r="AP7" s="2072">
        <f>INDEX(MO_BSS_Cash,0,COLUMN())</f>
        <v/>
      </c>
      <c r="AQ7" s="2072">
        <f>INDEX(MO_BSS_Cash,0,COLUMN())</f>
        <v/>
      </c>
      <c r="AR7" s="2072">
        <f>INDEX(MO_BSS_Cash,0,COLUMN())</f>
        <v/>
      </c>
      <c r="AS7" s="2072">
        <f>INDEX(MO_BSS_Cash,0,COLUMN())</f>
        <v/>
      </c>
      <c r="AT7" s="2087">
        <f>INDEX(MO_BSS_Cash,0,COLUMN())</f>
        <v/>
      </c>
      <c r="AU7" s="2072">
        <f>INDEX(MO_BSS_Cash,0,COLUMN())</f>
        <v/>
      </c>
      <c r="AV7" s="2072">
        <f>INDEX(MO_BSS_Cash,0,COLUMN())</f>
        <v/>
      </c>
      <c r="AW7" s="2072">
        <f>INDEX(MO_BSS_Cash,0,COLUMN())</f>
        <v/>
      </c>
      <c r="AX7" s="2072">
        <f>INDEX(MO_BSS_Cash,0,COLUMN())</f>
        <v/>
      </c>
      <c r="AY7" s="2087">
        <f>INDEX(MO_BSS_Cash,0,COLUMN())</f>
        <v/>
      </c>
      <c r="AZ7" s="2072">
        <f>INDEX(MO_BSS_Cash,0,COLUMN())</f>
        <v/>
      </c>
      <c r="BA7" s="2072">
        <f>INDEX(MO_BSS_Cash,0,COLUMN())</f>
        <v/>
      </c>
      <c r="BB7" s="2072">
        <f>INDEX(MO_BSS_Cash,0,COLUMN())</f>
        <v/>
      </c>
      <c r="BC7" s="2072">
        <f>INDEX(MO_BSS_Cash,0,COLUMN())</f>
        <v/>
      </c>
      <c r="BD7" s="2087">
        <f>INDEX(MO_BSS_Cash,0,COLUMN())</f>
        <v/>
      </c>
      <c r="BE7" s="2072">
        <f>INDEX(MO_BSS_Cash,0,COLUMN())</f>
        <v/>
      </c>
      <c r="BF7" s="2072">
        <f>INDEX(MO_BSS_Cash,0,COLUMN())</f>
        <v/>
      </c>
      <c r="BG7" s="2072">
        <f>INDEX(MO_BSS_Cash,0,COLUMN())</f>
        <v/>
      </c>
      <c r="BH7" s="2072">
        <f>INDEX(MO_BSS_Cash,0,COLUMN())</f>
        <v/>
      </c>
      <c r="BI7" s="2087">
        <f>INDEX(MO_BSS_Cash,0,COLUMN())</f>
        <v/>
      </c>
      <c r="BJ7" s="2072">
        <f>INDEX(MO_BSS_Cash,0,COLUMN())</f>
        <v/>
      </c>
      <c r="BK7" s="2072">
        <f>INDEX(MO_BSS_Cash,0,COLUMN())</f>
        <v/>
      </c>
      <c r="BL7" s="2072">
        <f>INDEX(MO_BSS_Cash,0,COLUMN())</f>
        <v/>
      </c>
      <c r="BM7" s="2072">
        <f>INDEX(MO_BSS_Cash,0,COLUMN())</f>
        <v/>
      </c>
      <c r="BN7" s="2087">
        <f>INDEX(MO_BSS_Cash,0,COLUMN())</f>
        <v/>
      </c>
      <c r="BO7" s="2072">
        <f>INDEX(MO_BSS_Cash,0,COLUMN())</f>
        <v/>
      </c>
      <c r="BP7" s="2072">
        <f>INDEX(MO_BSS_Cash,0,COLUMN())</f>
        <v/>
      </c>
      <c r="BQ7" s="2073">
        <f>INDEX(MO_BSS_Cash,0,COLUMN())</f>
        <v/>
      </c>
      <c r="BR7" s="2072">
        <f>INDEX(MO_BSS_Cash,0,COLUMN())</f>
        <v/>
      </c>
      <c r="BS7" s="2087">
        <f>INDEX(MO_BSS_Cash,0,COLUMN())</f>
        <v/>
      </c>
      <c r="BT7" s="2072">
        <f>INDEX(MO_BSS_Cash,0,COLUMN())</f>
        <v/>
      </c>
      <c r="BU7" s="2072">
        <f>INDEX(MO_BSS_Cash,0,COLUMN())</f>
        <v/>
      </c>
      <c r="BV7" s="2072">
        <f>INDEX(MO_BSS_Cash,0,COLUMN())</f>
        <v/>
      </c>
      <c r="BW7" s="2072">
        <f>INDEX(MO_BSS_Cash,0,COLUMN())</f>
        <v/>
      </c>
      <c r="BX7" s="2087">
        <f>INDEX(MO_BSS_Cash,0,COLUMN())</f>
        <v/>
      </c>
      <c r="BY7" s="2087">
        <f>INDEX(MO_BSS_Cash,0,COLUMN())</f>
        <v/>
      </c>
      <c r="BZ7" s="2087">
        <f>INDEX(MO_BSS_Cash,0,COLUMN())</f>
        <v/>
      </c>
      <c r="CA7" s="2087">
        <f>INDEX(MO_BSS_Cash,0,COLUMN())</f>
        <v/>
      </c>
      <c r="CB7" s="2072" t="n"/>
    </row>
    <row r="8" ht="15" customFormat="1" customHeight="1" s="2101">
      <c r="A8" s="1593">
        <f>INDEX(MO_BSS_Debt,0,COLUMN())</f>
        <v/>
      </c>
      <c r="B8" s="2200" t="n"/>
      <c r="C8" s="2087">
        <f>INDEX(MO_BSS_Debt,0,COLUMN())</f>
        <v/>
      </c>
      <c r="D8" s="2087">
        <f>INDEX(MO_BSS_Debt,0,COLUMN())</f>
        <v/>
      </c>
      <c r="E8" s="2087">
        <f>INDEX(MO_BSS_Debt,0,COLUMN())</f>
        <v/>
      </c>
      <c r="F8" s="2087">
        <f>INDEX(MO_BSS_Debt,0,COLUMN())</f>
        <v/>
      </c>
      <c r="G8" s="2072">
        <f>INDEX(MO_BSS_Debt,0,COLUMN())</f>
        <v/>
      </c>
      <c r="H8" s="2072">
        <f>INDEX(MO_BSS_Debt,0,COLUMN())</f>
        <v/>
      </c>
      <c r="I8" s="2072">
        <f>INDEX(MO_BSS_Debt,0,COLUMN())</f>
        <v/>
      </c>
      <c r="J8" s="2072">
        <f>INDEX(MO_BSS_Debt,0,COLUMN())</f>
        <v/>
      </c>
      <c r="K8" s="2087">
        <f>INDEX(MO_BSS_Debt,0,COLUMN())</f>
        <v/>
      </c>
      <c r="L8" s="2072">
        <f>INDEX(MO_BSS_Debt,0,COLUMN())</f>
        <v/>
      </c>
      <c r="M8" s="2072">
        <f>INDEX(MO_BSS_Debt,0,COLUMN())</f>
        <v/>
      </c>
      <c r="N8" s="2072">
        <f>INDEX(MO_BSS_Debt,0,COLUMN())</f>
        <v/>
      </c>
      <c r="O8" s="2072">
        <f>INDEX(MO_BSS_Debt,0,COLUMN())</f>
        <v/>
      </c>
      <c r="P8" s="2087">
        <f>INDEX(MO_BSS_Debt,0,COLUMN())</f>
        <v/>
      </c>
      <c r="Q8" s="2072">
        <f>INDEX(MO_BSS_Debt,0,COLUMN())</f>
        <v/>
      </c>
      <c r="R8" s="2072">
        <f>INDEX(MO_BSS_Debt,0,COLUMN())</f>
        <v/>
      </c>
      <c r="S8" s="2072">
        <f>INDEX(MO_BSS_Debt,0,COLUMN())</f>
        <v/>
      </c>
      <c r="T8" s="2072">
        <f>INDEX(MO_BSS_Debt,0,COLUMN())</f>
        <v/>
      </c>
      <c r="U8" s="2087">
        <f>INDEX(MO_BSS_Debt,0,COLUMN())</f>
        <v/>
      </c>
      <c r="V8" s="2072">
        <f>INDEX(MO_BSS_Debt,0,COLUMN())</f>
        <v/>
      </c>
      <c r="W8" s="2072">
        <f>INDEX(MO_BSS_Debt,0,COLUMN())</f>
        <v/>
      </c>
      <c r="X8" s="2072">
        <f>INDEX(MO_BSS_Debt,0,COLUMN())</f>
        <v/>
      </c>
      <c r="Y8" s="2072">
        <f>INDEX(MO_BSS_Debt,0,COLUMN())</f>
        <v/>
      </c>
      <c r="Z8" s="2087">
        <f>INDEX(MO_BSS_Debt,0,COLUMN())</f>
        <v/>
      </c>
      <c r="AA8" s="2072">
        <f>INDEX(MO_BSS_Debt,0,COLUMN())</f>
        <v/>
      </c>
      <c r="AB8" s="2072">
        <f>INDEX(MO_BSS_Debt,0,COLUMN())</f>
        <v/>
      </c>
      <c r="AC8" s="2072">
        <f>INDEX(MO_BSS_Debt,0,COLUMN())</f>
        <v/>
      </c>
      <c r="AD8" s="2072">
        <f>INDEX(MO_BSS_Debt,0,COLUMN())</f>
        <v/>
      </c>
      <c r="AE8" s="2087">
        <f>INDEX(MO_BSS_Debt,0,COLUMN())</f>
        <v/>
      </c>
      <c r="AF8" s="2072">
        <f>INDEX(MO_BSS_Debt,0,COLUMN())</f>
        <v/>
      </c>
      <c r="AG8" s="2072">
        <f>INDEX(MO_BSS_Debt,0,COLUMN())</f>
        <v/>
      </c>
      <c r="AH8" s="2072">
        <f>INDEX(MO_BSS_Debt,0,COLUMN())</f>
        <v/>
      </c>
      <c r="AI8" s="2072">
        <f>INDEX(MO_BSS_Debt,0,COLUMN())</f>
        <v/>
      </c>
      <c r="AJ8" s="2087">
        <f>INDEX(MO_BSS_Debt,0,COLUMN())</f>
        <v/>
      </c>
      <c r="AK8" s="2072">
        <f>INDEX(MO_BSS_Debt,0,COLUMN())</f>
        <v/>
      </c>
      <c r="AL8" s="2072">
        <f>INDEX(MO_BSS_Debt,0,COLUMN())</f>
        <v/>
      </c>
      <c r="AM8" s="2072">
        <f>INDEX(MO_BSS_Debt,0,COLUMN())</f>
        <v/>
      </c>
      <c r="AN8" s="2072">
        <f>INDEX(MO_BSS_Debt,0,COLUMN())</f>
        <v/>
      </c>
      <c r="AO8" s="2087">
        <f>INDEX(MO_BSS_Debt,0,COLUMN())</f>
        <v/>
      </c>
      <c r="AP8" s="2072">
        <f>INDEX(MO_BSS_Debt,0,COLUMN())</f>
        <v/>
      </c>
      <c r="AQ8" s="2072">
        <f>INDEX(MO_BSS_Debt,0,COLUMN())</f>
        <v/>
      </c>
      <c r="AR8" s="2072">
        <f>INDEX(MO_BSS_Debt,0,COLUMN())</f>
        <v/>
      </c>
      <c r="AS8" s="2072">
        <f>INDEX(MO_BSS_Debt,0,COLUMN())</f>
        <v/>
      </c>
      <c r="AT8" s="2087">
        <f>INDEX(MO_BSS_Debt,0,COLUMN())</f>
        <v/>
      </c>
      <c r="AU8" s="2072">
        <f>INDEX(MO_BSS_Debt,0,COLUMN())</f>
        <v/>
      </c>
      <c r="AV8" s="2072">
        <f>INDEX(MO_BSS_Debt,0,COLUMN())</f>
        <v/>
      </c>
      <c r="AW8" s="2072">
        <f>INDEX(MO_BSS_Debt,0,COLUMN())</f>
        <v/>
      </c>
      <c r="AX8" s="2072">
        <f>INDEX(MO_BSS_Debt,0,COLUMN())</f>
        <v/>
      </c>
      <c r="AY8" s="2087">
        <f>INDEX(MO_BSS_Debt,0,COLUMN())</f>
        <v/>
      </c>
      <c r="AZ8" s="2072">
        <f>INDEX(MO_BSS_Debt,0,COLUMN())</f>
        <v/>
      </c>
      <c r="BA8" s="2072">
        <f>INDEX(MO_BSS_Debt,0,COLUMN())</f>
        <v/>
      </c>
      <c r="BB8" s="2072">
        <f>INDEX(MO_BSS_Debt,0,COLUMN())</f>
        <v/>
      </c>
      <c r="BC8" s="2072">
        <f>INDEX(MO_BSS_Debt,0,COLUMN())</f>
        <v/>
      </c>
      <c r="BD8" s="2087">
        <f>INDEX(MO_BSS_Debt,0,COLUMN())</f>
        <v/>
      </c>
      <c r="BE8" s="2072">
        <f>INDEX(MO_BSS_Debt,0,COLUMN())</f>
        <v/>
      </c>
      <c r="BF8" s="2072">
        <f>INDEX(MO_BSS_Debt,0,COLUMN())</f>
        <v/>
      </c>
      <c r="BG8" s="2072">
        <f>INDEX(MO_BSS_Debt,0,COLUMN())</f>
        <v/>
      </c>
      <c r="BH8" s="2072">
        <f>INDEX(MO_BSS_Debt,0,COLUMN())</f>
        <v/>
      </c>
      <c r="BI8" s="2087">
        <f>INDEX(MO_BSS_Debt,0,COLUMN())</f>
        <v/>
      </c>
      <c r="BJ8" s="2072">
        <f>INDEX(MO_BSS_Debt,0,COLUMN())</f>
        <v/>
      </c>
      <c r="BK8" s="2072">
        <f>INDEX(MO_BSS_Debt,0,COLUMN())</f>
        <v/>
      </c>
      <c r="BL8" s="2072">
        <f>INDEX(MO_BSS_Debt,0,COLUMN())</f>
        <v/>
      </c>
      <c r="BM8" s="2072">
        <f>INDEX(MO_BSS_Debt,0,COLUMN())</f>
        <v/>
      </c>
      <c r="BN8" s="2087">
        <f>INDEX(MO_BSS_Debt,0,COLUMN())</f>
        <v/>
      </c>
      <c r="BO8" s="2072">
        <f>INDEX(MO_BSS_Debt,0,COLUMN())</f>
        <v/>
      </c>
      <c r="BP8" s="2072">
        <f>INDEX(MO_BSS_Debt,0,COLUMN())</f>
        <v/>
      </c>
      <c r="BQ8" s="2073">
        <f>INDEX(MO_BSS_Debt,0,COLUMN())</f>
        <v/>
      </c>
      <c r="BR8" s="2072">
        <f>INDEX(MO_BSS_Debt,0,COLUMN())</f>
        <v/>
      </c>
      <c r="BS8" s="2087">
        <f>INDEX(MO_BSS_Debt,0,COLUMN())</f>
        <v/>
      </c>
      <c r="BT8" s="2072">
        <f>INDEX(MO_BSS_Debt,0,COLUMN())</f>
        <v/>
      </c>
      <c r="BU8" s="2072">
        <f>INDEX(MO_BSS_Debt,0,COLUMN())</f>
        <v/>
      </c>
      <c r="BV8" s="2072">
        <f>INDEX(MO_BSS_Debt,0,COLUMN())</f>
        <v/>
      </c>
      <c r="BW8" s="2072">
        <f>INDEX(MO_BSS_Debt,0,COLUMN())</f>
        <v/>
      </c>
      <c r="BX8" s="2087">
        <f>INDEX(MO_BSS_Debt,0,COLUMN())</f>
        <v/>
      </c>
      <c r="BY8" s="2087">
        <f>INDEX(MO_BSS_Debt,0,COLUMN())</f>
        <v/>
      </c>
      <c r="BZ8" s="2087">
        <f>INDEX(MO_BSS_Debt,0,COLUMN())</f>
        <v/>
      </c>
      <c r="CA8" s="2087">
        <f>INDEX(MO_BSS_Debt,0,COLUMN())</f>
        <v/>
      </c>
      <c r="CB8" s="2072" t="n"/>
    </row>
    <row r="9" ht="15" customFormat="1" customHeight="1" s="2101">
      <c r="A9" s="1593" t="inlineStr">
        <is>
          <t>Operating Lease Liabilities</t>
        </is>
      </c>
      <c r="B9" s="2200" t="n"/>
      <c r="C9" s="2087">
        <f>INDEX(MO_BSS_OL,0,COLUMN())</f>
        <v/>
      </c>
      <c r="D9" s="2087">
        <f>INDEX(MO_BSS_OL,0,COLUMN())</f>
        <v/>
      </c>
      <c r="E9" s="2087">
        <f>INDEX(MO_BSS_OL,0,COLUMN())</f>
        <v/>
      </c>
      <c r="F9" s="2087">
        <f>INDEX(MO_BSS_OL,0,COLUMN())</f>
        <v/>
      </c>
      <c r="G9" s="2072">
        <f>INDEX(MO_BSS_OL,0,COLUMN())</f>
        <v/>
      </c>
      <c r="H9" s="2072">
        <f>INDEX(MO_BSS_OL,0,COLUMN())</f>
        <v/>
      </c>
      <c r="I9" s="2072">
        <f>INDEX(MO_BSS_OL,0,COLUMN())</f>
        <v/>
      </c>
      <c r="J9" s="2072">
        <f>INDEX(MO_BSS_OL,0,COLUMN())</f>
        <v/>
      </c>
      <c r="K9" s="2087">
        <f>INDEX(MO_BSS_OL,0,COLUMN())</f>
        <v/>
      </c>
      <c r="L9" s="2072">
        <f>INDEX(MO_BSS_OL,0,COLUMN())</f>
        <v/>
      </c>
      <c r="M9" s="2072">
        <f>INDEX(MO_BSS_OL,0,COLUMN())</f>
        <v/>
      </c>
      <c r="N9" s="2072">
        <f>INDEX(MO_BSS_OL,0,COLUMN())</f>
        <v/>
      </c>
      <c r="O9" s="2072">
        <f>INDEX(MO_BSS_OL,0,COLUMN())</f>
        <v/>
      </c>
      <c r="P9" s="2087">
        <f>INDEX(MO_BSS_OL,0,COLUMN())</f>
        <v/>
      </c>
      <c r="Q9" s="2072">
        <f>INDEX(MO_BSS_OL,0,COLUMN())</f>
        <v/>
      </c>
      <c r="R9" s="2072">
        <f>INDEX(MO_BSS_OL,0,COLUMN())</f>
        <v/>
      </c>
      <c r="S9" s="2072">
        <f>INDEX(MO_BSS_OL,0,COLUMN())</f>
        <v/>
      </c>
      <c r="T9" s="2072">
        <f>INDEX(MO_BSS_OL,0,COLUMN())</f>
        <v/>
      </c>
      <c r="U9" s="2087">
        <f>INDEX(MO_BSS_OL,0,COLUMN())</f>
        <v/>
      </c>
      <c r="V9" s="2072">
        <f>INDEX(MO_BSS_OL,0,COLUMN())</f>
        <v/>
      </c>
      <c r="W9" s="2072">
        <f>INDEX(MO_BSS_OL,0,COLUMN())</f>
        <v/>
      </c>
      <c r="X9" s="2072">
        <f>INDEX(MO_BSS_OL,0,COLUMN())</f>
        <v/>
      </c>
      <c r="Y9" s="2072">
        <f>INDEX(MO_BSS_OL,0,COLUMN())</f>
        <v/>
      </c>
      <c r="Z9" s="2087">
        <f>INDEX(MO_BSS_OL,0,COLUMN())</f>
        <v/>
      </c>
      <c r="AA9" s="2072">
        <f>INDEX(MO_BSS_OL,0,COLUMN())</f>
        <v/>
      </c>
      <c r="AB9" s="2072">
        <f>INDEX(MO_BSS_OL,0,COLUMN())</f>
        <v/>
      </c>
      <c r="AC9" s="2072">
        <f>INDEX(MO_BSS_OL,0,COLUMN())</f>
        <v/>
      </c>
      <c r="AD9" s="2072">
        <f>INDEX(MO_BSS_OL,0,COLUMN())</f>
        <v/>
      </c>
      <c r="AE9" s="2087">
        <f>INDEX(MO_BSS_OL,0,COLUMN())</f>
        <v/>
      </c>
      <c r="AF9" s="2072">
        <f>INDEX(MO_BSS_OL,0,COLUMN())</f>
        <v/>
      </c>
      <c r="AG9" s="2072">
        <f>INDEX(MO_BSS_OL,0,COLUMN())</f>
        <v/>
      </c>
      <c r="AH9" s="2072">
        <f>INDEX(MO_BSS_OL,0,COLUMN())</f>
        <v/>
      </c>
      <c r="AI9" s="2072">
        <f>INDEX(MO_BSS_OL,0,COLUMN())</f>
        <v/>
      </c>
      <c r="AJ9" s="2087">
        <f>INDEX(MO_BSS_OL,0,COLUMN())</f>
        <v/>
      </c>
      <c r="AK9" s="2072">
        <f>INDEX(MO_BSS_OL,0,COLUMN())</f>
        <v/>
      </c>
      <c r="AL9" s="2072">
        <f>INDEX(MO_BSS_OL,0,COLUMN())</f>
        <v/>
      </c>
      <c r="AM9" s="2072">
        <f>INDEX(MO_BSS_OL,0,COLUMN())</f>
        <v/>
      </c>
      <c r="AN9" s="2072">
        <f>INDEX(MO_BSS_OL,0,COLUMN())</f>
        <v/>
      </c>
      <c r="AO9" s="2087">
        <f>INDEX(MO_BSS_OL,0,COLUMN())</f>
        <v/>
      </c>
      <c r="AP9" s="2072">
        <f>INDEX(MO_BSS_OL,0,COLUMN())</f>
        <v/>
      </c>
      <c r="AQ9" s="2072">
        <f>INDEX(MO_BSS_OL,0,COLUMN())</f>
        <v/>
      </c>
      <c r="AR9" s="2072">
        <f>INDEX(MO_BSS_OL,0,COLUMN())</f>
        <v/>
      </c>
      <c r="AS9" s="2072">
        <f>INDEX(MO_BSS_OL,0,COLUMN())</f>
        <v/>
      </c>
      <c r="AT9" s="2087">
        <f>INDEX(MO_BSS_OL,0,COLUMN())</f>
        <v/>
      </c>
      <c r="AU9" s="2072">
        <f>INDEX(MO_BSS_OL,0,COLUMN())</f>
        <v/>
      </c>
      <c r="AV9" s="2072">
        <f>INDEX(MO_BSS_OL,0,COLUMN())</f>
        <v/>
      </c>
      <c r="AW9" s="2072">
        <f>INDEX(MO_BSS_OL,0,COLUMN())</f>
        <v/>
      </c>
      <c r="AX9" s="2072">
        <f>INDEX(MO_BSS_OL,0,COLUMN())</f>
        <v/>
      </c>
      <c r="AY9" s="2087">
        <f>INDEX(MO_BSS_OL,0,COLUMN())</f>
        <v/>
      </c>
      <c r="AZ9" s="2072">
        <f>INDEX(MO_BSS_OL,0,COLUMN())</f>
        <v/>
      </c>
      <c r="BA9" s="2072">
        <f>INDEX(MO_BSS_OL,0,COLUMN())</f>
        <v/>
      </c>
      <c r="BB9" s="2072">
        <f>INDEX(MO_BSS_OL,0,COLUMN())</f>
        <v/>
      </c>
      <c r="BC9" s="2072">
        <f>INDEX(MO_BSS_OL,0,COLUMN())</f>
        <v/>
      </c>
      <c r="BD9" s="2087">
        <f>INDEX(MO_BSS_OL,0,COLUMN())</f>
        <v/>
      </c>
      <c r="BE9" s="2072">
        <f>INDEX(MO_BSS_OL,0,COLUMN())</f>
        <v/>
      </c>
      <c r="BF9" s="2072">
        <f>INDEX(MO_BSS_OL,0,COLUMN())</f>
        <v/>
      </c>
      <c r="BG9" s="2072">
        <f>INDEX(MO_BSS_OL,0,COLUMN())</f>
        <v/>
      </c>
      <c r="BH9" s="2072">
        <f>INDEX(MO_BSS_OL,0,COLUMN())</f>
        <v/>
      </c>
      <c r="BI9" s="2087">
        <f>INDEX(MO_BSS_OL,0,COLUMN())</f>
        <v/>
      </c>
      <c r="BJ9" s="2072">
        <f>INDEX(MO_BSS_OL,0,COLUMN())</f>
        <v/>
      </c>
      <c r="BK9" s="2072">
        <f>INDEX(MO_BSS_OL,0,COLUMN())</f>
        <v/>
      </c>
      <c r="BL9" s="2072">
        <f>INDEX(MO_BSS_OL,0,COLUMN())</f>
        <v/>
      </c>
      <c r="BM9" s="2072">
        <f>INDEX(MO_BSS_OL,0,COLUMN())</f>
        <v/>
      </c>
      <c r="BN9" s="2087">
        <f>INDEX(MO_BSS_OL,0,COLUMN())</f>
        <v/>
      </c>
      <c r="BO9" s="2072">
        <f>INDEX(MO_BSS_OL,0,COLUMN())</f>
        <v/>
      </c>
      <c r="BP9" s="2072">
        <f>INDEX(MO_BSS_OL,0,COLUMN())</f>
        <v/>
      </c>
      <c r="BQ9" s="2073">
        <f>INDEX(MO_BSS_OL,0,COLUMN())</f>
        <v/>
      </c>
      <c r="BR9" s="2072">
        <f>INDEX(MO_BSS_OL,0,COLUMN())</f>
        <v/>
      </c>
      <c r="BS9" s="2087">
        <f>INDEX(MO_BSS_OL,0,COLUMN())</f>
        <v/>
      </c>
      <c r="BT9" s="2072">
        <f>INDEX(MO_BSS_OL,0,COLUMN())</f>
        <v/>
      </c>
      <c r="BU9" s="2072">
        <f>INDEX(MO_BSS_OL,0,COLUMN())</f>
        <v/>
      </c>
      <c r="BV9" s="2072">
        <f>INDEX(MO_BSS_OL,0,COLUMN())</f>
        <v/>
      </c>
      <c r="BW9" s="2072">
        <f>INDEX(MO_BSS_OL,0,COLUMN())</f>
        <v/>
      </c>
      <c r="BX9" s="2087">
        <f>INDEX(MO_BSS_OL,0,COLUMN())</f>
        <v/>
      </c>
      <c r="BY9" s="2087">
        <f>INDEX(MO_BSS_OL,0,COLUMN())</f>
        <v/>
      </c>
      <c r="BZ9" s="2087">
        <f>INDEX(MO_BSS_OL,0,COLUMN())</f>
        <v/>
      </c>
      <c r="CA9" s="2087">
        <f>INDEX(MO_BSS_OL,0,COLUMN())</f>
        <v/>
      </c>
      <c r="CB9" s="2072" t="n"/>
    </row>
    <row r="10" ht="15" customFormat="1" customHeight="1" s="2101">
      <c r="A10" s="1607" t="inlineStr">
        <is>
          <t>Other EV Components</t>
        </is>
      </c>
      <c r="B10" s="2201" t="n"/>
      <c r="C10" s="2092">
        <f>INDEX(MO_VA_EVCalc_NCI,0,COLUMN())+INDEX(MO_VA_EVCalc_Prefs,0,COLUMN())+INDEX(MO_VA_EVCalc_Other,0,COLUMN())</f>
        <v/>
      </c>
      <c r="D10" s="2092">
        <f>INDEX(MO_VA_EVCalc_NCI,0,COLUMN())+INDEX(MO_VA_EVCalc_Prefs,0,COLUMN())+INDEX(MO_VA_EVCalc_Other,0,COLUMN())</f>
        <v/>
      </c>
      <c r="E10" s="2092">
        <f>INDEX(MO_VA_EVCalc_NCI,0,COLUMN())+INDEX(MO_VA_EVCalc_Prefs,0,COLUMN())+INDEX(MO_VA_EVCalc_Other,0,COLUMN())</f>
        <v/>
      </c>
      <c r="F10" s="2092">
        <f>INDEX(MO_VA_EVCalc_NCI,0,COLUMN())+INDEX(MO_VA_EVCalc_Prefs,0,COLUMN())+INDEX(MO_VA_EVCalc_Other,0,COLUMN())</f>
        <v/>
      </c>
      <c r="G10" s="2093">
        <f>INDEX(MO_VA_EVCalc_NCI,0,COLUMN())+INDEX(MO_VA_EVCalc_Prefs,0,COLUMN())+INDEX(MO_VA_EVCalc_Other,0,COLUMN())</f>
        <v/>
      </c>
      <c r="H10" s="2093">
        <f>INDEX(MO_VA_EVCalc_NCI,0,COLUMN())+INDEX(MO_VA_EVCalc_Prefs,0,COLUMN())+INDEX(MO_VA_EVCalc_Other,0,COLUMN())</f>
        <v/>
      </c>
      <c r="I10" s="2093">
        <f>INDEX(MO_VA_EVCalc_NCI,0,COLUMN())+INDEX(MO_VA_EVCalc_Prefs,0,COLUMN())+INDEX(MO_VA_EVCalc_Other,0,COLUMN())</f>
        <v/>
      </c>
      <c r="J10" s="2093">
        <f>INDEX(MO_VA_EVCalc_NCI,0,COLUMN())+INDEX(MO_VA_EVCalc_Prefs,0,COLUMN())+INDEX(MO_VA_EVCalc_Other,0,COLUMN())</f>
        <v/>
      </c>
      <c r="K10" s="2092">
        <f>INDEX(MO_VA_EVCalc_NCI,0,COLUMN())+INDEX(MO_VA_EVCalc_Prefs,0,COLUMN())+INDEX(MO_VA_EVCalc_Other,0,COLUMN())</f>
        <v/>
      </c>
      <c r="L10" s="2093">
        <f>INDEX(MO_VA_EVCalc_NCI,0,COLUMN())+INDEX(MO_VA_EVCalc_Prefs,0,COLUMN())+INDEX(MO_VA_EVCalc_Other,0,COLUMN())</f>
        <v/>
      </c>
      <c r="M10" s="2093">
        <f>INDEX(MO_VA_EVCalc_NCI,0,COLUMN())+INDEX(MO_VA_EVCalc_Prefs,0,COLUMN())+INDEX(MO_VA_EVCalc_Other,0,COLUMN())</f>
        <v/>
      </c>
      <c r="N10" s="2093">
        <f>INDEX(MO_VA_EVCalc_NCI,0,COLUMN())+INDEX(MO_VA_EVCalc_Prefs,0,COLUMN())+INDEX(MO_VA_EVCalc_Other,0,COLUMN())</f>
        <v/>
      </c>
      <c r="O10" s="2093">
        <f>INDEX(MO_VA_EVCalc_NCI,0,COLUMN())+INDEX(MO_VA_EVCalc_Prefs,0,COLUMN())+INDEX(MO_VA_EVCalc_Other,0,COLUMN())</f>
        <v/>
      </c>
      <c r="P10" s="2092">
        <f>INDEX(MO_VA_EVCalc_NCI,0,COLUMN())+INDEX(MO_VA_EVCalc_Prefs,0,COLUMN())+INDEX(MO_VA_EVCalc_Other,0,COLUMN())</f>
        <v/>
      </c>
      <c r="Q10" s="2093">
        <f>INDEX(MO_VA_EVCalc_NCI,0,COLUMN())+INDEX(MO_VA_EVCalc_Prefs,0,COLUMN())+INDEX(MO_VA_EVCalc_Other,0,COLUMN())</f>
        <v/>
      </c>
      <c r="R10" s="2093">
        <f>INDEX(MO_VA_EVCalc_NCI,0,COLUMN())+INDEX(MO_VA_EVCalc_Prefs,0,COLUMN())+INDEX(MO_VA_EVCalc_Other,0,COLUMN())</f>
        <v/>
      </c>
      <c r="S10" s="2093">
        <f>INDEX(MO_VA_EVCalc_NCI,0,COLUMN())+INDEX(MO_VA_EVCalc_Prefs,0,COLUMN())+INDEX(MO_VA_EVCalc_Other,0,COLUMN())</f>
        <v/>
      </c>
      <c r="T10" s="2093">
        <f>INDEX(MO_VA_EVCalc_NCI,0,COLUMN())+INDEX(MO_VA_EVCalc_Prefs,0,COLUMN())+INDEX(MO_VA_EVCalc_Other,0,COLUMN())</f>
        <v/>
      </c>
      <c r="U10" s="2092">
        <f>INDEX(MO_VA_EVCalc_NCI,0,COLUMN())+INDEX(MO_VA_EVCalc_Prefs,0,COLUMN())+INDEX(MO_VA_EVCalc_Other,0,COLUMN())</f>
        <v/>
      </c>
      <c r="V10" s="2093">
        <f>INDEX(MO_VA_EVCalc_NCI,0,COLUMN())+INDEX(MO_VA_EVCalc_Prefs,0,COLUMN())+INDEX(MO_VA_EVCalc_Other,0,COLUMN())</f>
        <v/>
      </c>
      <c r="W10" s="2093">
        <f>INDEX(MO_VA_EVCalc_NCI,0,COLUMN())+INDEX(MO_VA_EVCalc_Prefs,0,COLUMN())+INDEX(MO_VA_EVCalc_Other,0,COLUMN())</f>
        <v/>
      </c>
      <c r="X10" s="2093">
        <f>INDEX(MO_VA_EVCalc_NCI,0,COLUMN())+INDEX(MO_VA_EVCalc_Prefs,0,COLUMN())+INDEX(MO_VA_EVCalc_Other,0,COLUMN())</f>
        <v/>
      </c>
      <c r="Y10" s="2093">
        <f>INDEX(MO_VA_EVCalc_NCI,0,COLUMN())+INDEX(MO_VA_EVCalc_Prefs,0,COLUMN())+INDEX(MO_VA_EVCalc_Other,0,COLUMN())</f>
        <v/>
      </c>
      <c r="Z10" s="2092">
        <f>INDEX(MO_VA_EVCalc_NCI,0,COLUMN())+INDEX(MO_VA_EVCalc_Prefs,0,COLUMN())+INDEX(MO_VA_EVCalc_Other,0,COLUMN())</f>
        <v/>
      </c>
      <c r="AA10" s="2093">
        <f>INDEX(MO_VA_EVCalc_NCI,0,COLUMN())+INDEX(MO_VA_EVCalc_Prefs,0,COLUMN())+INDEX(MO_VA_EVCalc_Other,0,COLUMN())</f>
        <v/>
      </c>
      <c r="AB10" s="2093">
        <f>INDEX(MO_VA_EVCalc_NCI,0,COLUMN())+INDEX(MO_VA_EVCalc_Prefs,0,COLUMN())+INDEX(MO_VA_EVCalc_Other,0,COLUMN())</f>
        <v/>
      </c>
      <c r="AC10" s="2093">
        <f>INDEX(MO_VA_EVCalc_NCI,0,COLUMN())+INDEX(MO_VA_EVCalc_Prefs,0,COLUMN())+INDEX(MO_VA_EVCalc_Other,0,COLUMN())</f>
        <v/>
      </c>
      <c r="AD10" s="2093">
        <f>INDEX(MO_VA_EVCalc_NCI,0,COLUMN())+INDEX(MO_VA_EVCalc_Prefs,0,COLUMN())+INDEX(MO_VA_EVCalc_Other,0,COLUMN())</f>
        <v/>
      </c>
      <c r="AE10" s="2092">
        <f>INDEX(MO_VA_EVCalc_NCI,0,COLUMN())+INDEX(MO_VA_EVCalc_Prefs,0,COLUMN())+INDEX(MO_VA_EVCalc_Other,0,COLUMN())</f>
        <v/>
      </c>
      <c r="AF10" s="2093">
        <f>INDEX(MO_VA_EVCalc_NCI,0,COLUMN())+INDEX(MO_VA_EVCalc_Prefs,0,COLUMN())+INDEX(MO_VA_EVCalc_Other,0,COLUMN())</f>
        <v/>
      </c>
      <c r="AG10" s="2093">
        <f>INDEX(MO_VA_EVCalc_NCI,0,COLUMN())+INDEX(MO_VA_EVCalc_Prefs,0,COLUMN())+INDEX(MO_VA_EVCalc_Other,0,COLUMN())</f>
        <v/>
      </c>
      <c r="AH10" s="2093">
        <f>INDEX(MO_VA_EVCalc_NCI,0,COLUMN())+INDEX(MO_VA_EVCalc_Prefs,0,COLUMN())+INDEX(MO_VA_EVCalc_Other,0,COLUMN())</f>
        <v/>
      </c>
      <c r="AI10" s="2093">
        <f>INDEX(MO_VA_EVCalc_NCI,0,COLUMN())+INDEX(MO_VA_EVCalc_Prefs,0,COLUMN())+INDEX(MO_VA_EVCalc_Other,0,COLUMN())</f>
        <v/>
      </c>
      <c r="AJ10" s="2092">
        <f>INDEX(MO_VA_EVCalc_NCI,0,COLUMN())+INDEX(MO_VA_EVCalc_Prefs,0,COLUMN())+INDEX(MO_VA_EVCalc_Other,0,COLUMN())</f>
        <v/>
      </c>
      <c r="AK10" s="2093">
        <f>INDEX(MO_VA_EVCalc_NCI,0,COLUMN())+INDEX(MO_VA_EVCalc_Prefs,0,COLUMN())+INDEX(MO_VA_EVCalc_Other,0,COLUMN())</f>
        <v/>
      </c>
      <c r="AL10" s="2093">
        <f>INDEX(MO_VA_EVCalc_NCI,0,COLUMN())+INDEX(MO_VA_EVCalc_Prefs,0,COLUMN())+INDEX(MO_VA_EVCalc_Other,0,COLUMN())</f>
        <v/>
      </c>
      <c r="AM10" s="2093">
        <f>INDEX(MO_VA_EVCalc_NCI,0,COLUMN())+INDEX(MO_VA_EVCalc_Prefs,0,COLUMN())+INDEX(MO_VA_EVCalc_Other,0,COLUMN())</f>
        <v/>
      </c>
      <c r="AN10" s="2093">
        <f>INDEX(MO_VA_EVCalc_NCI,0,COLUMN())+INDEX(MO_VA_EVCalc_Prefs,0,COLUMN())+INDEX(MO_VA_EVCalc_Other,0,COLUMN())</f>
        <v/>
      </c>
      <c r="AO10" s="2092">
        <f>INDEX(MO_VA_EVCalc_NCI,0,COLUMN())+INDEX(MO_VA_EVCalc_Prefs,0,COLUMN())+INDEX(MO_VA_EVCalc_Other,0,COLUMN())</f>
        <v/>
      </c>
      <c r="AP10" s="2093">
        <f>INDEX(MO_VA_EVCalc_NCI,0,COLUMN())+INDEX(MO_VA_EVCalc_Prefs,0,COLUMN())+INDEX(MO_VA_EVCalc_Other,0,COLUMN())</f>
        <v/>
      </c>
      <c r="AQ10" s="2093">
        <f>INDEX(MO_VA_EVCalc_NCI,0,COLUMN())+INDEX(MO_VA_EVCalc_Prefs,0,COLUMN())+INDEX(MO_VA_EVCalc_Other,0,COLUMN())</f>
        <v/>
      </c>
      <c r="AR10" s="2093">
        <f>INDEX(MO_VA_EVCalc_NCI,0,COLUMN())+INDEX(MO_VA_EVCalc_Prefs,0,COLUMN())+INDEX(MO_VA_EVCalc_Other,0,COLUMN())</f>
        <v/>
      </c>
      <c r="AS10" s="2093">
        <f>INDEX(MO_VA_EVCalc_NCI,0,COLUMN())+INDEX(MO_VA_EVCalc_Prefs,0,COLUMN())+INDEX(MO_VA_EVCalc_Other,0,COLUMN())</f>
        <v/>
      </c>
      <c r="AT10" s="2092">
        <f>INDEX(MO_VA_EVCalc_NCI,0,COLUMN())+INDEX(MO_VA_EVCalc_Prefs,0,COLUMN())+INDEX(MO_VA_EVCalc_Other,0,COLUMN())</f>
        <v/>
      </c>
      <c r="AU10" s="2093">
        <f>INDEX(MO_VA_EVCalc_NCI,0,COLUMN())+INDEX(MO_VA_EVCalc_Prefs,0,COLUMN())+INDEX(MO_VA_EVCalc_Other,0,COLUMN())</f>
        <v/>
      </c>
      <c r="AV10" s="2093">
        <f>INDEX(MO_VA_EVCalc_NCI,0,COLUMN())+INDEX(MO_VA_EVCalc_Prefs,0,COLUMN())+INDEX(MO_VA_EVCalc_Other,0,COLUMN())</f>
        <v/>
      </c>
      <c r="AW10" s="2093">
        <f>INDEX(MO_VA_EVCalc_NCI,0,COLUMN())+INDEX(MO_VA_EVCalc_Prefs,0,COLUMN())+INDEX(MO_VA_EVCalc_Other,0,COLUMN())</f>
        <v/>
      </c>
      <c r="AX10" s="2093">
        <f>INDEX(MO_VA_EVCalc_NCI,0,COLUMN())+INDEX(MO_VA_EVCalc_Prefs,0,COLUMN())+INDEX(MO_VA_EVCalc_Other,0,COLUMN())</f>
        <v/>
      </c>
      <c r="AY10" s="2092">
        <f>INDEX(MO_VA_EVCalc_NCI,0,COLUMN())+INDEX(MO_VA_EVCalc_Prefs,0,COLUMN())+INDEX(MO_VA_EVCalc_Other,0,COLUMN())</f>
        <v/>
      </c>
      <c r="AZ10" s="2093">
        <f>INDEX(MO_VA_EVCalc_NCI,0,COLUMN())+INDEX(MO_VA_EVCalc_Prefs,0,COLUMN())+INDEX(MO_VA_EVCalc_Other,0,COLUMN())</f>
        <v/>
      </c>
      <c r="BA10" s="2093">
        <f>INDEX(MO_VA_EVCalc_NCI,0,COLUMN())+INDEX(MO_VA_EVCalc_Prefs,0,COLUMN())+INDEX(MO_VA_EVCalc_Other,0,COLUMN())</f>
        <v/>
      </c>
      <c r="BB10" s="2093">
        <f>INDEX(MO_VA_EVCalc_NCI,0,COLUMN())+INDEX(MO_VA_EVCalc_Prefs,0,COLUMN())+INDEX(MO_VA_EVCalc_Other,0,COLUMN())</f>
        <v/>
      </c>
      <c r="BC10" s="2093">
        <f>INDEX(MO_VA_EVCalc_NCI,0,COLUMN())+INDEX(MO_VA_EVCalc_Prefs,0,COLUMN())+INDEX(MO_VA_EVCalc_Other,0,COLUMN())</f>
        <v/>
      </c>
      <c r="BD10" s="2092">
        <f>INDEX(MO_VA_EVCalc_NCI,0,COLUMN())+INDEX(MO_VA_EVCalc_Prefs,0,COLUMN())+INDEX(MO_VA_EVCalc_Other,0,COLUMN())</f>
        <v/>
      </c>
      <c r="BE10" s="2093">
        <f>INDEX(MO_VA_EVCalc_NCI,0,COLUMN())+INDEX(MO_VA_EVCalc_Prefs,0,COLUMN())+INDEX(MO_VA_EVCalc_Other,0,COLUMN())</f>
        <v/>
      </c>
      <c r="BF10" s="2093">
        <f>INDEX(MO_VA_EVCalc_NCI,0,COLUMN())+INDEX(MO_VA_EVCalc_Prefs,0,COLUMN())+INDEX(MO_VA_EVCalc_Other,0,COLUMN())</f>
        <v/>
      </c>
      <c r="BG10" s="2093">
        <f>INDEX(MO_VA_EVCalc_NCI,0,COLUMN())+INDEX(MO_VA_EVCalc_Prefs,0,COLUMN())+INDEX(MO_VA_EVCalc_Other,0,COLUMN())</f>
        <v/>
      </c>
      <c r="BH10" s="2093">
        <f>INDEX(MO_VA_EVCalc_NCI,0,COLUMN())+INDEX(MO_VA_EVCalc_Prefs,0,COLUMN())+INDEX(MO_VA_EVCalc_Other,0,COLUMN())</f>
        <v/>
      </c>
      <c r="BI10" s="2092">
        <f>INDEX(MO_VA_EVCalc_NCI,0,COLUMN())+INDEX(MO_VA_EVCalc_Prefs,0,COLUMN())+INDEX(MO_VA_EVCalc_Other,0,COLUMN())</f>
        <v/>
      </c>
      <c r="BJ10" s="2093">
        <f>INDEX(MO_VA_EVCalc_NCI,0,COLUMN())+INDEX(MO_VA_EVCalc_Prefs,0,COLUMN())+INDEX(MO_VA_EVCalc_Other,0,COLUMN())</f>
        <v/>
      </c>
      <c r="BK10" s="2093">
        <f>INDEX(MO_VA_EVCalc_NCI,0,COLUMN())+INDEX(MO_VA_EVCalc_Prefs,0,COLUMN())+INDEX(MO_VA_EVCalc_Other,0,COLUMN())</f>
        <v/>
      </c>
      <c r="BL10" s="2093">
        <f>INDEX(MO_VA_EVCalc_NCI,0,COLUMN())+INDEX(MO_VA_EVCalc_Prefs,0,COLUMN())+INDEX(MO_VA_EVCalc_Other,0,COLUMN())</f>
        <v/>
      </c>
      <c r="BM10" s="2093">
        <f>INDEX(MO_VA_EVCalc_NCI,0,COLUMN())+INDEX(MO_VA_EVCalc_Prefs,0,COLUMN())+INDEX(MO_VA_EVCalc_Other,0,COLUMN())</f>
        <v/>
      </c>
      <c r="BN10" s="2092">
        <f>INDEX(MO_VA_EVCalc_NCI,0,COLUMN())+INDEX(MO_VA_EVCalc_Prefs,0,COLUMN())+INDEX(MO_VA_EVCalc_Other,0,COLUMN())</f>
        <v/>
      </c>
      <c r="BO10" s="2093">
        <f>INDEX(MO_VA_EVCalc_NCI,0,COLUMN())+INDEX(MO_VA_EVCalc_Prefs,0,COLUMN())+INDEX(MO_VA_EVCalc_Other,0,COLUMN())</f>
        <v/>
      </c>
      <c r="BP10" s="2093">
        <f>INDEX(MO_VA_EVCalc_NCI,0,COLUMN())+INDEX(MO_VA_EVCalc_Prefs,0,COLUMN())+INDEX(MO_VA_EVCalc_Other,0,COLUMN())</f>
        <v/>
      </c>
      <c r="BQ10" s="2095">
        <f>INDEX(MO_VA_EVCalc_NCI,0,COLUMN())+INDEX(MO_VA_EVCalc_Prefs,0,COLUMN())+INDEX(MO_VA_EVCalc_Other,0,COLUMN())</f>
        <v/>
      </c>
      <c r="BR10" s="2093">
        <f>INDEX(MO_VA_EVCalc_NCI,0,COLUMN())+INDEX(MO_VA_EVCalc_Prefs,0,COLUMN())+INDEX(MO_VA_EVCalc_Other,0,COLUMN())</f>
        <v/>
      </c>
      <c r="BS10" s="2092">
        <f>INDEX(MO_VA_EVCalc_NCI,0,COLUMN())+INDEX(MO_VA_EVCalc_Prefs,0,COLUMN())+INDEX(MO_VA_EVCalc_Other,0,COLUMN())</f>
        <v/>
      </c>
      <c r="BT10" s="2093">
        <f>INDEX(MO_VA_EVCalc_NCI,0,COLUMN())+INDEX(MO_VA_EVCalc_Prefs,0,COLUMN())+INDEX(MO_VA_EVCalc_Other,0,COLUMN())</f>
        <v/>
      </c>
      <c r="BU10" s="2093">
        <f>INDEX(MO_VA_EVCalc_NCI,0,COLUMN())+INDEX(MO_VA_EVCalc_Prefs,0,COLUMN())+INDEX(MO_VA_EVCalc_Other,0,COLUMN())</f>
        <v/>
      </c>
      <c r="BV10" s="2093">
        <f>INDEX(MO_VA_EVCalc_NCI,0,COLUMN())+INDEX(MO_VA_EVCalc_Prefs,0,COLUMN())+INDEX(MO_VA_EVCalc_Other,0,COLUMN())</f>
        <v/>
      </c>
      <c r="BW10" s="2093">
        <f>INDEX(MO_VA_EVCalc_NCI,0,COLUMN())+INDEX(MO_VA_EVCalc_Prefs,0,COLUMN())+INDEX(MO_VA_EVCalc_Other,0,COLUMN())</f>
        <v/>
      </c>
      <c r="BX10" s="2092">
        <f>INDEX(MO_VA_EVCalc_NCI,0,COLUMN())+INDEX(MO_VA_EVCalc_Prefs,0,COLUMN())+INDEX(MO_VA_EVCalc_Other,0,COLUMN())</f>
        <v/>
      </c>
      <c r="BY10" s="2092">
        <f>INDEX(MO_VA_EVCalc_NCI,0,COLUMN())+INDEX(MO_VA_EVCalc_Prefs,0,COLUMN())+INDEX(MO_VA_EVCalc_Other,0,COLUMN())</f>
        <v/>
      </c>
      <c r="BZ10" s="2092">
        <f>INDEX(MO_VA_EVCalc_NCI,0,COLUMN())+INDEX(MO_VA_EVCalc_Prefs,0,COLUMN())+INDEX(MO_VA_EVCalc_Other,0,COLUMN())</f>
        <v/>
      </c>
      <c r="CA10" s="2092">
        <f>INDEX(MO_VA_EVCalc_NCI,0,COLUMN())+INDEX(MO_VA_EVCalc_Prefs,0,COLUMN())+INDEX(MO_VA_EVCalc_Other,0,COLUMN())</f>
        <v/>
      </c>
      <c r="CB10" s="2072" t="n"/>
    </row>
    <row r="11" ht="15" customFormat="1" customHeight="1" s="2082">
      <c r="A11" s="1606">
        <f>"Enterprise Value - "&amp;SP.ValuationToggle</f>
        <v/>
      </c>
      <c r="B11" s="2202" t="n"/>
      <c r="C11" s="2203">
        <f>INDEX(SP_CS_MarketCap,0,COLUMN())-INDEX(SP_CS_Cash,0,COLUMN())+INDEX(SP_CS_Debt,0,COLUMN())+INDEX(SP_CS_EVCalc_Other,0,COLUMN())+INDEX(SP_CS_OL,0,COLUMN())</f>
        <v/>
      </c>
      <c r="D11" s="2203">
        <f>INDEX(SP_CS_MarketCap,0,COLUMN())-INDEX(SP_CS_Cash,0,COLUMN())+INDEX(SP_CS_Debt,0,COLUMN())+INDEX(SP_CS_EVCalc_Other,0,COLUMN())+INDEX(SP_CS_OL,0,COLUMN())</f>
        <v/>
      </c>
      <c r="E11" s="2203">
        <f>INDEX(SP_CS_MarketCap,0,COLUMN())-INDEX(SP_CS_Cash,0,COLUMN())+INDEX(SP_CS_Debt,0,COLUMN())+INDEX(SP_CS_EVCalc_Other,0,COLUMN())+INDEX(SP_CS_OL,0,COLUMN())</f>
        <v/>
      </c>
      <c r="F11" s="2203">
        <f>INDEX(SP_CS_MarketCap,0,COLUMN())-INDEX(SP_CS_Cash,0,COLUMN())+INDEX(SP_CS_Debt,0,COLUMN())+INDEX(SP_CS_EVCalc_Other,0,COLUMN())+INDEX(SP_CS_OL,0,COLUMN())</f>
        <v/>
      </c>
      <c r="G11" s="2204">
        <f>INDEX(SP_CS_MarketCap,0,COLUMN())-INDEX(SP_CS_Cash,0,COLUMN())+INDEX(SP_CS_Debt,0,COLUMN())+INDEX(SP_CS_EVCalc_Other,0,COLUMN())+INDEX(SP_CS_OL,0,COLUMN())</f>
        <v/>
      </c>
      <c r="H11" s="2204">
        <f>INDEX(SP_CS_MarketCap,0,COLUMN())-INDEX(SP_CS_Cash,0,COLUMN())+INDEX(SP_CS_Debt,0,COLUMN())+INDEX(SP_CS_EVCalc_Other,0,COLUMN())+INDEX(SP_CS_OL,0,COLUMN())</f>
        <v/>
      </c>
      <c r="I11" s="2204">
        <f>INDEX(SP_CS_MarketCap,0,COLUMN())-INDEX(SP_CS_Cash,0,COLUMN())+INDEX(SP_CS_Debt,0,COLUMN())+INDEX(SP_CS_EVCalc_Other,0,COLUMN())+INDEX(SP_CS_OL,0,COLUMN())</f>
        <v/>
      </c>
      <c r="J11" s="2204">
        <f>INDEX(SP_CS_MarketCap,0,COLUMN())-INDEX(SP_CS_Cash,0,COLUMN())+INDEX(SP_CS_Debt,0,COLUMN())+INDEX(SP_CS_EVCalc_Other,0,COLUMN())+INDEX(SP_CS_OL,0,COLUMN())</f>
        <v/>
      </c>
      <c r="K11" s="2203">
        <f>INDEX(SP_CS_MarketCap,0,COLUMN())-INDEX(SP_CS_Cash,0,COLUMN())+INDEX(SP_CS_Debt,0,COLUMN())+INDEX(SP_CS_EVCalc_Other,0,COLUMN())+INDEX(SP_CS_OL,0,COLUMN())</f>
        <v/>
      </c>
      <c r="L11" s="2204">
        <f>INDEX(SP_CS_MarketCap,0,COLUMN())-INDEX(SP_CS_Cash,0,COLUMN())+INDEX(SP_CS_Debt,0,COLUMN())+INDEX(SP_CS_EVCalc_Other,0,COLUMN())+INDEX(SP_CS_OL,0,COLUMN())</f>
        <v/>
      </c>
      <c r="M11" s="2204">
        <f>INDEX(SP_CS_MarketCap,0,COLUMN())-INDEX(SP_CS_Cash,0,COLUMN())+INDEX(SP_CS_Debt,0,COLUMN())+INDEX(SP_CS_EVCalc_Other,0,COLUMN())+INDEX(SP_CS_OL,0,COLUMN())</f>
        <v/>
      </c>
      <c r="N11" s="2204">
        <f>INDEX(SP_CS_MarketCap,0,COLUMN())-INDEX(SP_CS_Cash,0,COLUMN())+INDEX(SP_CS_Debt,0,COLUMN())+INDEX(SP_CS_EVCalc_Other,0,COLUMN())+INDEX(SP_CS_OL,0,COLUMN())</f>
        <v/>
      </c>
      <c r="O11" s="2204">
        <f>INDEX(SP_CS_MarketCap,0,COLUMN())-INDEX(SP_CS_Cash,0,COLUMN())+INDEX(SP_CS_Debt,0,COLUMN())+INDEX(SP_CS_EVCalc_Other,0,COLUMN())+INDEX(SP_CS_OL,0,COLUMN())</f>
        <v/>
      </c>
      <c r="P11" s="2203">
        <f>INDEX(SP_CS_MarketCap,0,COLUMN())-INDEX(SP_CS_Cash,0,COLUMN())+INDEX(SP_CS_Debt,0,COLUMN())+INDEX(SP_CS_EVCalc_Other,0,COLUMN())+INDEX(SP_CS_OL,0,COLUMN())</f>
        <v/>
      </c>
      <c r="Q11" s="2204">
        <f>INDEX(SP_CS_MarketCap,0,COLUMN())-INDEX(SP_CS_Cash,0,COLUMN())+INDEX(SP_CS_Debt,0,COLUMN())+INDEX(SP_CS_EVCalc_Other,0,COLUMN())+INDEX(SP_CS_OL,0,COLUMN())</f>
        <v/>
      </c>
      <c r="R11" s="2204">
        <f>INDEX(SP_CS_MarketCap,0,COLUMN())-INDEX(SP_CS_Cash,0,COLUMN())+INDEX(SP_CS_Debt,0,COLUMN())+INDEX(SP_CS_EVCalc_Other,0,COLUMN())+INDEX(SP_CS_OL,0,COLUMN())</f>
        <v/>
      </c>
      <c r="S11" s="2204">
        <f>INDEX(SP_CS_MarketCap,0,COLUMN())-INDEX(SP_CS_Cash,0,COLUMN())+INDEX(SP_CS_Debt,0,COLUMN())+INDEX(SP_CS_EVCalc_Other,0,COLUMN())+INDEX(SP_CS_OL,0,COLUMN())</f>
        <v/>
      </c>
      <c r="T11" s="2204">
        <f>INDEX(SP_CS_MarketCap,0,COLUMN())-INDEX(SP_CS_Cash,0,COLUMN())+INDEX(SP_CS_Debt,0,COLUMN())+INDEX(SP_CS_EVCalc_Other,0,COLUMN())+INDEX(SP_CS_OL,0,COLUMN())</f>
        <v/>
      </c>
      <c r="U11" s="2203">
        <f>INDEX(SP_CS_MarketCap,0,COLUMN())-INDEX(SP_CS_Cash,0,COLUMN())+INDEX(SP_CS_Debt,0,COLUMN())+INDEX(SP_CS_EVCalc_Other,0,COLUMN())+INDEX(SP_CS_OL,0,COLUMN())</f>
        <v/>
      </c>
      <c r="V11" s="2204">
        <f>INDEX(SP_CS_MarketCap,0,COLUMN())-INDEX(SP_CS_Cash,0,COLUMN())+INDEX(SP_CS_Debt,0,COLUMN())+INDEX(SP_CS_EVCalc_Other,0,COLUMN())+INDEX(SP_CS_OL,0,COLUMN())</f>
        <v/>
      </c>
      <c r="W11" s="2204">
        <f>INDEX(SP_CS_MarketCap,0,COLUMN())-INDEX(SP_CS_Cash,0,COLUMN())+INDEX(SP_CS_Debt,0,COLUMN())+INDEX(SP_CS_EVCalc_Other,0,COLUMN())+INDEX(SP_CS_OL,0,COLUMN())</f>
        <v/>
      </c>
      <c r="X11" s="2204">
        <f>INDEX(SP_CS_MarketCap,0,COLUMN())-INDEX(SP_CS_Cash,0,COLUMN())+INDEX(SP_CS_Debt,0,COLUMN())+INDEX(SP_CS_EVCalc_Other,0,COLUMN())+INDEX(SP_CS_OL,0,COLUMN())</f>
        <v/>
      </c>
      <c r="Y11" s="2204">
        <f>INDEX(SP_CS_MarketCap,0,COLUMN())-INDEX(SP_CS_Cash,0,COLUMN())+INDEX(SP_CS_Debt,0,COLUMN())+INDEX(SP_CS_EVCalc_Other,0,COLUMN())+INDEX(SP_CS_OL,0,COLUMN())</f>
        <v/>
      </c>
      <c r="Z11" s="2203">
        <f>INDEX(SP_CS_MarketCap,0,COLUMN())-INDEX(SP_CS_Cash,0,COLUMN())+INDEX(SP_CS_Debt,0,COLUMN())+INDEX(SP_CS_EVCalc_Other,0,COLUMN())+INDEX(SP_CS_OL,0,COLUMN())</f>
        <v/>
      </c>
      <c r="AA11" s="2204">
        <f>INDEX(SP_CS_MarketCap,0,COLUMN())-INDEX(SP_CS_Cash,0,COLUMN())+INDEX(SP_CS_Debt,0,COLUMN())+INDEX(SP_CS_EVCalc_Other,0,COLUMN())+INDEX(SP_CS_OL,0,COLUMN())</f>
        <v/>
      </c>
      <c r="AB11" s="2204">
        <f>INDEX(SP_CS_MarketCap,0,COLUMN())-INDEX(SP_CS_Cash,0,COLUMN())+INDEX(SP_CS_Debt,0,COLUMN())+INDEX(SP_CS_EVCalc_Other,0,COLUMN())+INDEX(SP_CS_OL,0,COLUMN())</f>
        <v/>
      </c>
      <c r="AC11" s="2204">
        <f>INDEX(SP_CS_MarketCap,0,COLUMN())-INDEX(SP_CS_Cash,0,COLUMN())+INDEX(SP_CS_Debt,0,COLUMN())+INDEX(SP_CS_EVCalc_Other,0,COLUMN())+INDEX(SP_CS_OL,0,COLUMN())</f>
        <v/>
      </c>
      <c r="AD11" s="2204">
        <f>INDEX(SP_CS_MarketCap,0,COLUMN())-INDEX(SP_CS_Cash,0,COLUMN())+INDEX(SP_CS_Debt,0,COLUMN())+INDEX(SP_CS_EVCalc_Other,0,COLUMN())+INDEX(SP_CS_OL,0,COLUMN())</f>
        <v/>
      </c>
      <c r="AE11" s="2203">
        <f>INDEX(SP_CS_MarketCap,0,COLUMN())-INDEX(SP_CS_Cash,0,COLUMN())+INDEX(SP_CS_Debt,0,COLUMN())+INDEX(SP_CS_EVCalc_Other,0,COLUMN())+INDEX(SP_CS_OL,0,COLUMN())</f>
        <v/>
      </c>
      <c r="AF11" s="2204">
        <f>INDEX(SP_CS_MarketCap,0,COLUMN())-INDEX(SP_CS_Cash,0,COLUMN())+INDEX(SP_CS_Debt,0,COLUMN())+INDEX(SP_CS_EVCalc_Other,0,COLUMN())+INDEX(SP_CS_OL,0,COLUMN())</f>
        <v/>
      </c>
      <c r="AG11" s="2204">
        <f>INDEX(SP_CS_MarketCap,0,COLUMN())-INDEX(SP_CS_Cash,0,COLUMN())+INDEX(SP_CS_Debt,0,COLUMN())+INDEX(SP_CS_EVCalc_Other,0,COLUMN())+INDEX(SP_CS_OL,0,COLUMN())</f>
        <v/>
      </c>
      <c r="AH11" s="2204">
        <f>INDEX(SP_CS_MarketCap,0,COLUMN())-INDEX(SP_CS_Cash,0,COLUMN())+INDEX(SP_CS_Debt,0,COLUMN())+INDEX(SP_CS_EVCalc_Other,0,COLUMN())+INDEX(SP_CS_OL,0,COLUMN())</f>
        <v/>
      </c>
      <c r="AI11" s="2204">
        <f>INDEX(SP_CS_MarketCap,0,COLUMN())-INDEX(SP_CS_Cash,0,COLUMN())+INDEX(SP_CS_Debt,0,COLUMN())+INDEX(SP_CS_EVCalc_Other,0,COLUMN())+INDEX(SP_CS_OL,0,COLUMN())</f>
        <v/>
      </c>
      <c r="AJ11" s="2203">
        <f>INDEX(SP_CS_MarketCap,0,COLUMN())-INDEX(SP_CS_Cash,0,COLUMN())+INDEX(SP_CS_Debt,0,COLUMN())+INDEX(SP_CS_EVCalc_Other,0,COLUMN())+INDEX(SP_CS_OL,0,COLUMN())</f>
        <v/>
      </c>
      <c r="AK11" s="2204">
        <f>INDEX(SP_CS_MarketCap,0,COLUMN())-INDEX(SP_CS_Cash,0,COLUMN())+INDEX(SP_CS_Debt,0,COLUMN())+INDEX(SP_CS_EVCalc_Other,0,COLUMN())+INDEX(SP_CS_OL,0,COLUMN())</f>
        <v/>
      </c>
      <c r="AL11" s="2204">
        <f>INDEX(SP_CS_MarketCap,0,COLUMN())-INDEX(SP_CS_Cash,0,COLUMN())+INDEX(SP_CS_Debt,0,COLUMN())+INDEX(SP_CS_EVCalc_Other,0,COLUMN())+INDEX(SP_CS_OL,0,COLUMN())</f>
        <v/>
      </c>
      <c r="AM11" s="2204">
        <f>INDEX(SP_CS_MarketCap,0,COLUMN())-INDEX(SP_CS_Cash,0,COLUMN())+INDEX(SP_CS_Debt,0,COLUMN())+INDEX(SP_CS_EVCalc_Other,0,COLUMN())+INDEX(SP_CS_OL,0,COLUMN())</f>
        <v/>
      </c>
      <c r="AN11" s="2204">
        <f>INDEX(SP_CS_MarketCap,0,COLUMN())-INDEX(SP_CS_Cash,0,COLUMN())+INDEX(SP_CS_Debt,0,COLUMN())+INDEX(SP_CS_EVCalc_Other,0,COLUMN())+INDEX(SP_CS_OL,0,COLUMN())</f>
        <v/>
      </c>
      <c r="AO11" s="2203">
        <f>INDEX(SP_CS_MarketCap,0,COLUMN())-INDEX(SP_CS_Cash,0,COLUMN())+INDEX(SP_CS_Debt,0,COLUMN())+INDEX(SP_CS_EVCalc_Other,0,COLUMN())+INDEX(SP_CS_OL,0,COLUMN())</f>
        <v/>
      </c>
      <c r="AP11" s="2204">
        <f>INDEX(SP_CS_MarketCap,0,COLUMN())-INDEX(SP_CS_Cash,0,COLUMN())+INDEX(SP_CS_Debt,0,COLUMN())+INDEX(SP_CS_EVCalc_Other,0,COLUMN())+INDEX(SP_CS_OL,0,COLUMN())</f>
        <v/>
      </c>
      <c r="AQ11" s="2204">
        <f>INDEX(SP_CS_MarketCap,0,COLUMN())-INDEX(SP_CS_Cash,0,COLUMN())+INDEX(SP_CS_Debt,0,COLUMN())+INDEX(SP_CS_EVCalc_Other,0,COLUMN())+INDEX(SP_CS_OL,0,COLUMN())</f>
        <v/>
      </c>
      <c r="AR11" s="2204">
        <f>INDEX(SP_CS_MarketCap,0,COLUMN())-INDEX(SP_CS_Cash,0,COLUMN())+INDEX(SP_CS_Debt,0,COLUMN())+INDEX(SP_CS_EVCalc_Other,0,COLUMN())+INDEX(SP_CS_OL,0,COLUMN())</f>
        <v/>
      </c>
      <c r="AS11" s="2204">
        <f>INDEX(SP_CS_MarketCap,0,COLUMN())-INDEX(SP_CS_Cash,0,COLUMN())+INDEX(SP_CS_Debt,0,COLUMN())+INDEX(SP_CS_EVCalc_Other,0,COLUMN())+INDEX(SP_CS_OL,0,COLUMN())</f>
        <v/>
      </c>
      <c r="AT11" s="2203">
        <f>INDEX(SP_CS_MarketCap,0,COLUMN())-INDEX(SP_CS_Cash,0,COLUMN())+INDEX(SP_CS_Debt,0,COLUMN())+INDEX(SP_CS_EVCalc_Other,0,COLUMN())+INDEX(SP_CS_OL,0,COLUMN())</f>
        <v/>
      </c>
      <c r="AU11" s="2204">
        <f>INDEX(SP_CS_MarketCap,0,COLUMN())-INDEX(SP_CS_Cash,0,COLUMN())+INDEX(SP_CS_Debt,0,COLUMN())+INDEX(SP_CS_EVCalc_Other,0,COLUMN())+INDEX(SP_CS_OL,0,COLUMN())</f>
        <v/>
      </c>
      <c r="AV11" s="2204">
        <f>INDEX(SP_CS_MarketCap,0,COLUMN())-INDEX(SP_CS_Cash,0,COLUMN())+INDEX(SP_CS_Debt,0,COLUMN())+INDEX(SP_CS_EVCalc_Other,0,COLUMN())+INDEX(SP_CS_OL,0,COLUMN())</f>
        <v/>
      </c>
      <c r="AW11" s="2204">
        <f>INDEX(SP_CS_MarketCap,0,COLUMN())-INDEX(SP_CS_Cash,0,COLUMN())+INDEX(SP_CS_Debt,0,COLUMN())+INDEX(SP_CS_EVCalc_Other,0,COLUMN())+INDEX(SP_CS_OL,0,COLUMN())</f>
        <v/>
      </c>
      <c r="AX11" s="2204">
        <f>INDEX(SP_CS_MarketCap,0,COLUMN())-INDEX(SP_CS_Cash,0,COLUMN())+INDEX(SP_CS_Debt,0,COLUMN())+INDEX(SP_CS_EVCalc_Other,0,COLUMN())+INDEX(SP_CS_OL,0,COLUMN())</f>
        <v/>
      </c>
      <c r="AY11" s="2203">
        <f>INDEX(SP_CS_MarketCap,0,COLUMN())-INDEX(SP_CS_Cash,0,COLUMN())+INDEX(SP_CS_Debt,0,COLUMN())+INDEX(SP_CS_EVCalc_Other,0,COLUMN())+INDEX(SP_CS_OL,0,COLUMN())</f>
        <v/>
      </c>
      <c r="AZ11" s="2204">
        <f>INDEX(SP_CS_MarketCap,0,COLUMN())-INDEX(SP_CS_Cash,0,COLUMN())+INDEX(SP_CS_Debt,0,COLUMN())+INDEX(SP_CS_EVCalc_Other,0,COLUMN())+INDEX(SP_CS_OL,0,COLUMN())</f>
        <v/>
      </c>
      <c r="BA11" s="2204">
        <f>INDEX(SP_CS_MarketCap,0,COLUMN())-INDEX(SP_CS_Cash,0,COLUMN())+INDEX(SP_CS_Debt,0,COLUMN())+INDEX(SP_CS_EVCalc_Other,0,COLUMN())+INDEX(SP_CS_OL,0,COLUMN())</f>
        <v/>
      </c>
      <c r="BB11" s="2204">
        <f>INDEX(SP_CS_MarketCap,0,COLUMN())-INDEX(SP_CS_Cash,0,COLUMN())+INDEX(SP_CS_Debt,0,COLUMN())+INDEX(SP_CS_EVCalc_Other,0,COLUMN())+INDEX(SP_CS_OL,0,COLUMN())</f>
        <v/>
      </c>
      <c r="BC11" s="2204">
        <f>INDEX(SP_CS_MarketCap,0,COLUMN())-INDEX(SP_CS_Cash,0,COLUMN())+INDEX(SP_CS_Debt,0,COLUMN())+INDEX(SP_CS_EVCalc_Other,0,COLUMN())+INDEX(SP_CS_OL,0,COLUMN())</f>
        <v/>
      </c>
      <c r="BD11" s="2203">
        <f>INDEX(SP_CS_MarketCap,0,COLUMN())-INDEX(SP_CS_Cash,0,COLUMN())+INDEX(SP_CS_Debt,0,COLUMN())+INDEX(SP_CS_EVCalc_Other,0,COLUMN())+INDEX(SP_CS_OL,0,COLUMN())</f>
        <v/>
      </c>
      <c r="BE11" s="2204">
        <f>INDEX(SP_CS_MarketCap,0,COLUMN())-INDEX(SP_CS_Cash,0,COLUMN())+INDEX(SP_CS_Debt,0,COLUMN())+INDEX(SP_CS_EVCalc_Other,0,COLUMN())+INDEX(SP_CS_OL,0,COLUMN())</f>
        <v/>
      </c>
      <c r="BF11" s="2204">
        <f>INDEX(SP_CS_MarketCap,0,COLUMN())-INDEX(SP_CS_Cash,0,COLUMN())+INDEX(SP_CS_Debt,0,COLUMN())+INDEX(SP_CS_EVCalc_Other,0,COLUMN())+INDEX(SP_CS_OL,0,COLUMN())</f>
        <v/>
      </c>
      <c r="BG11" s="2204">
        <f>INDEX(SP_CS_MarketCap,0,COLUMN())-INDEX(SP_CS_Cash,0,COLUMN())+INDEX(SP_CS_Debt,0,COLUMN())+INDEX(SP_CS_EVCalc_Other,0,COLUMN())+INDEX(SP_CS_OL,0,COLUMN())</f>
        <v/>
      </c>
      <c r="BH11" s="2204">
        <f>INDEX(SP_CS_MarketCap,0,COLUMN())-INDEX(SP_CS_Cash,0,COLUMN())+INDEX(SP_CS_Debt,0,COLUMN())+INDEX(SP_CS_EVCalc_Other,0,COLUMN())+INDEX(SP_CS_OL,0,COLUMN())</f>
        <v/>
      </c>
      <c r="BI11" s="2203">
        <f>INDEX(SP_CS_MarketCap,0,COLUMN())-INDEX(SP_CS_Cash,0,COLUMN())+INDEX(SP_CS_Debt,0,COLUMN())+INDEX(SP_CS_EVCalc_Other,0,COLUMN())+INDEX(SP_CS_OL,0,COLUMN())</f>
        <v/>
      </c>
      <c r="BJ11" s="2204">
        <f>INDEX(SP_CS_MarketCap,0,COLUMN())-INDEX(SP_CS_Cash,0,COLUMN())+INDEX(SP_CS_Debt,0,COLUMN())+INDEX(SP_CS_EVCalc_Other,0,COLUMN())+INDEX(SP_CS_OL,0,COLUMN())</f>
        <v/>
      </c>
      <c r="BK11" s="2204">
        <f>INDEX(SP_CS_MarketCap,0,COLUMN())-INDEX(SP_CS_Cash,0,COLUMN())+INDEX(SP_CS_Debt,0,COLUMN())+INDEX(SP_CS_EVCalc_Other,0,COLUMN())+INDEX(SP_CS_OL,0,COLUMN())</f>
        <v/>
      </c>
      <c r="BL11" s="2204">
        <f>INDEX(SP_CS_MarketCap,0,COLUMN())-INDEX(SP_CS_Cash,0,COLUMN())+INDEX(SP_CS_Debt,0,COLUMN())+INDEX(SP_CS_EVCalc_Other,0,COLUMN())+INDEX(SP_CS_OL,0,COLUMN())</f>
        <v/>
      </c>
      <c r="BM11" s="2204">
        <f>INDEX(SP_CS_MarketCap,0,COLUMN())-INDEX(SP_CS_Cash,0,COLUMN())+INDEX(SP_CS_Debt,0,COLUMN())+INDEX(SP_CS_EVCalc_Other,0,COLUMN())+INDEX(SP_CS_OL,0,COLUMN())</f>
        <v/>
      </c>
      <c r="BN11" s="2203">
        <f>INDEX(SP_CS_MarketCap,0,COLUMN())-INDEX(SP_CS_Cash,0,COLUMN())+INDEX(SP_CS_Debt,0,COLUMN())+INDEX(SP_CS_EVCalc_Other,0,COLUMN())+INDEX(SP_CS_OL,0,COLUMN())</f>
        <v/>
      </c>
      <c r="BO11" s="2204">
        <f>INDEX(SP_CS_MarketCap,0,COLUMN())-INDEX(SP_CS_Cash,0,COLUMN())+INDEX(SP_CS_Debt,0,COLUMN())+INDEX(SP_CS_EVCalc_Other,0,COLUMN())+INDEX(SP_CS_OL,0,COLUMN())</f>
        <v/>
      </c>
      <c r="BP11" s="2204">
        <f>INDEX(SP_CS_MarketCap,0,COLUMN())-INDEX(SP_CS_Cash,0,COLUMN())+INDEX(SP_CS_Debt,0,COLUMN())+INDEX(SP_CS_EVCalc_Other,0,COLUMN())+INDEX(SP_CS_OL,0,COLUMN())</f>
        <v/>
      </c>
      <c r="BQ11" s="2205">
        <f>INDEX(SP_CS_MarketCap,0,COLUMN())-INDEX(SP_CS_Cash,0,COLUMN())+INDEX(SP_CS_Debt,0,COLUMN())+INDEX(SP_CS_EVCalc_Other,0,COLUMN())+INDEX(SP_CS_OL,0,COLUMN())</f>
        <v/>
      </c>
      <c r="BR11" s="2204">
        <f>INDEX(SP_CS_MarketCap,0,COLUMN())-INDEX(SP_CS_Cash,0,COLUMN())+INDEX(SP_CS_Debt,0,COLUMN())+INDEX(SP_CS_EVCalc_Other,0,COLUMN())+INDEX(SP_CS_OL,0,COLUMN())</f>
        <v/>
      </c>
      <c r="BS11" s="2203">
        <f>INDEX(SP_CS_MarketCap,0,COLUMN())-INDEX(SP_CS_Cash,0,COLUMN())+INDEX(SP_CS_Debt,0,COLUMN())+INDEX(SP_CS_EVCalc_Other,0,COLUMN())+INDEX(SP_CS_OL,0,COLUMN())</f>
        <v/>
      </c>
      <c r="BT11" s="2204">
        <f>INDEX(SP_CS_MarketCap,0,COLUMN())-INDEX(SP_CS_Cash,0,COLUMN())+INDEX(SP_CS_Debt,0,COLUMN())+INDEX(SP_CS_EVCalc_Other,0,COLUMN())+INDEX(SP_CS_OL,0,COLUMN())</f>
        <v/>
      </c>
      <c r="BU11" s="2204">
        <f>INDEX(SP_CS_MarketCap,0,COLUMN())-INDEX(SP_CS_Cash,0,COLUMN())+INDEX(SP_CS_Debt,0,COLUMN())+INDEX(SP_CS_EVCalc_Other,0,COLUMN())+INDEX(SP_CS_OL,0,COLUMN())</f>
        <v/>
      </c>
      <c r="BV11" s="2204">
        <f>INDEX(SP_CS_MarketCap,0,COLUMN())-INDEX(SP_CS_Cash,0,COLUMN())+INDEX(SP_CS_Debt,0,COLUMN())+INDEX(SP_CS_EVCalc_Other,0,COLUMN())+INDEX(SP_CS_OL,0,COLUMN())</f>
        <v/>
      </c>
      <c r="BW11" s="2204">
        <f>INDEX(SP_CS_MarketCap,0,COLUMN())-INDEX(SP_CS_Cash,0,COLUMN())+INDEX(SP_CS_Debt,0,COLUMN())+INDEX(SP_CS_EVCalc_Other,0,COLUMN())+INDEX(SP_CS_OL,0,COLUMN())</f>
        <v/>
      </c>
      <c r="BX11" s="2203">
        <f>INDEX(SP_CS_MarketCap,0,COLUMN())-INDEX(SP_CS_Cash,0,COLUMN())+INDEX(SP_CS_Debt,0,COLUMN())+INDEX(SP_CS_EVCalc_Other,0,COLUMN())+INDEX(SP_CS_OL,0,COLUMN())</f>
        <v/>
      </c>
      <c r="BY11" s="2203">
        <f>INDEX(SP_CS_MarketCap,0,COLUMN())-INDEX(SP_CS_Cash,0,COLUMN())+INDEX(SP_CS_Debt,0,COLUMN())+INDEX(SP_CS_EVCalc_Other,0,COLUMN())+INDEX(SP_CS_OL,0,COLUMN())</f>
        <v/>
      </c>
      <c r="BZ11" s="2203">
        <f>INDEX(SP_CS_MarketCap,0,COLUMN())-INDEX(SP_CS_Cash,0,COLUMN())+INDEX(SP_CS_Debt,0,COLUMN())+INDEX(SP_CS_EVCalc_Other,0,COLUMN())+INDEX(SP_CS_OL,0,COLUMN())</f>
        <v/>
      </c>
      <c r="CA11" s="2203">
        <f>INDEX(SP_CS_MarketCap,0,COLUMN())-INDEX(SP_CS_Cash,0,COLUMN())+INDEX(SP_CS_Debt,0,COLUMN())+INDEX(SP_CS_EVCalc_Other,0,COLUMN())+INDEX(SP_CS_OL,0,COLUMN())</f>
        <v/>
      </c>
      <c r="CB11" s="2089" t="n"/>
    </row>
    <row r="12" ht="15" customFormat="1" customHeight="1" s="2082">
      <c r="A12" s="1596" t="n"/>
      <c r="B12" s="2199" t="n"/>
      <c r="C12" s="2090" t="n"/>
      <c r="D12" s="2090" t="n"/>
      <c r="E12" s="2090" t="n"/>
      <c r="F12" s="2090" t="n"/>
      <c r="G12" s="2089" t="n"/>
      <c r="H12" s="2089" t="n"/>
      <c r="I12" s="2089" t="n"/>
      <c r="J12" s="2089" t="n"/>
      <c r="K12" s="2090" t="n"/>
      <c r="L12" s="2089" t="n"/>
      <c r="M12" s="2089" t="n"/>
      <c r="N12" s="2089" t="n"/>
      <c r="O12" s="2089" t="n"/>
      <c r="P12" s="2090" t="n"/>
      <c r="Q12" s="2089" t="n"/>
      <c r="R12" s="2089" t="n"/>
      <c r="S12" s="2089" t="n"/>
      <c r="T12" s="2089" t="n"/>
      <c r="U12" s="2090" t="n"/>
      <c r="V12" s="2089" t="n"/>
      <c r="W12" s="2089" t="n"/>
      <c r="X12" s="2089" t="n"/>
      <c r="Y12" s="2089" t="n"/>
      <c r="Z12" s="2090" t="n"/>
      <c r="AA12" s="2089" t="n"/>
      <c r="AB12" s="2089" t="n"/>
      <c r="AC12" s="2089" t="n"/>
      <c r="AD12" s="2089" t="n"/>
      <c r="AE12" s="2090" t="n"/>
      <c r="AF12" s="2089" t="n"/>
      <c r="AG12" s="2089" t="n"/>
      <c r="AH12" s="2089" t="n"/>
      <c r="AI12" s="2089" t="n"/>
      <c r="AJ12" s="2090" t="n"/>
      <c r="AK12" s="2089" t="n"/>
      <c r="AL12" s="2089" t="n"/>
      <c r="AM12" s="2089" t="n"/>
      <c r="AN12" s="2089" t="n"/>
      <c r="AO12" s="2090" t="n"/>
      <c r="AP12" s="2089" t="n"/>
      <c r="AQ12" s="2089" t="n"/>
      <c r="AR12" s="2089" t="n"/>
      <c r="AS12" s="2089" t="n"/>
      <c r="AT12" s="2090" t="n"/>
      <c r="AU12" s="2089" t="n"/>
      <c r="AV12" s="2089" t="n"/>
      <c r="AW12" s="2089" t="n"/>
      <c r="AX12" s="2089" t="n"/>
      <c r="AY12" s="2090" t="n"/>
      <c r="AZ12" s="2089" t="n"/>
      <c r="BA12" s="2089" t="n"/>
      <c r="BB12" s="2089" t="n"/>
      <c r="BC12" s="2089" t="n"/>
      <c r="BD12" s="2090" t="n"/>
      <c r="BE12" s="2089" t="n"/>
      <c r="BF12" s="2089" t="n"/>
      <c r="BG12" s="2089" t="n"/>
      <c r="BH12" s="2089" t="n"/>
      <c r="BI12" s="2090" t="n"/>
      <c r="BJ12" s="2089" t="n"/>
      <c r="BK12" s="2089" t="n"/>
      <c r="BL12" s="2089" t="n"/>
      <c r="BM12" s="2089" t="n"/>
      <c r="BN12" s="2090" t="n"/>
      <c r="BO12" s="2089" t="n"/>
      <c r="BP12" s="2089" t="n"/>
      <c r="BQ12" s="2100" t="n"/>
      <c r="BR12" s="2089" t="n"/>
      <c r="BS12" s="2090" t="n"/>
      <c r="BT12" s="2089" t="n"/>
      <c r="BU12" s="2089" t="n"/>
      <c r="BV12" s="2089" t="n"/>
      <c r="BW12" s="2089" t="n"/>
      <c r="BX12" s="2090" t="n"/>
      <c r="BY12" s="2090" t="n"/>
      <c r="BZ12" s="2090" t="n"/>
      <c r="CA12" s="2090" t="n"/>
      <c r="CB12" s="2089" t="n"/>
    </row>
    <row r="13" ht="15" customHeight="1" s="972">
      <c r="A13" s="2183" t="inlineStr">
        <is>
          <t>Company-Specific Operational Data</t>
        </is>
      </c>
      <c r="B13" s="2206" t="n"/>
      <c r="C13" s="2206" t="n"/>
      <c r="D13" s="2206" t="n"/>
      <c r="E13" s="2206" t="n"/>
      <c r="F13" s="2206" t="n"/>
      <c r="G13" s="2206" t="n"/>
      <c r="H13" s="2206" t="n"/>
      <c r="I13" s="2206" t="n"/>
      <c r="J13" s="2206" t="n"/>
      <c r="K13" s="2206" t="n"/>
      <c r="L13" s="2206" t="n"/>
      <c r="M13" s="2206" t="n"/>
      <c r="N13" s="2206" t="n"/>
      <c r="O13" s="2206" t="n"/>
      <c r="P13" s="2206" t="n"/>
      <c r="Q13" s="2206" t="n"/>
      <c r="R13" s="2206" t="n"/>
      <c r="S13" s="2206" t="n"/>
      <c r="T13" s="2206" t="n"/>
      <c r="U13" s="2206" t="n"/>
      <c r="V13" s="2206" t="n"/>
      <c r="W13" s="2206" t="n"/>
      <c r="X13" s="2206" t="n"/>
      <c r="Y13" s="2206" t="n"/>
      <c r="Z13" s="2206" t="n"/>
      <c r="AA13" s="2206" t="n"/>
      <c r="AB13" s="2206" t="n"/>
      <c r="AC13" s="2206" t="n"/>
      <c r="AD13" s="2206" t="n"/>
      <c r="AE13" s="2206" t="n"/>
      <c r="AF13" s="2206" t="n"/>
      <c r="AG13" s="2206" t="n"/>
      <c r="AH13" s="2206" t="n"/>
      <c r="AI13" s="2206" t="n"/>
      <c r="AJ13" s="2206" t="n"/>
      <c r="AK13" s="2206" t="n"/>
      <c r="AL13" s="2206" t="n"/>
      <c r="AM13" s="2206" t="n"/>
      <c r="AN13" s="2206" t="n"/>
      <c r="AO13" s="2206" t="n"/>
      <c r="AP13" s="2206" t="n"/>
      <c r="AQ13" s="2206" t="n"/>
      <c r="AR13" s="2206" t="n"/>
      <c r="AS13" s="2206" t="n"/>
      <c r="AT13" s="2206" t="n"/>
      <c r="AU13" s="2206" t="n"/>
      <c r="AV13" s="2206" t="n"/>
      <c r="AW13" s="2206" t="n"/>
      <c r="AX13" s="2206" t="n"/>
      <c r="AY13" s="2206" t="n"/>
      <c r="AZ13" s="2206" t="n"/>
      <c r="BA13" s="2206" t="n"/>
      <c r="BB13" s="2206" t="n"/>
      <c r="BC13" s="2206" t="n"/>
      <c r="BD13" s="2206" t="n"/>
      <c r="BE13" s="2206" t="n"/>
      <c r="BF13" s="2206" t="n"/>
      <c r="BG13" s="2206" t="n"/>
      <c r="BH13" s="2206" t="n"/>
      <c r="BI13" s="2206" t="n"/>
      <c r="BJ13" s="2206" t="n"/>
      <c r="BK13" s="2206" t="n"/>
      <c r="BL13" s="2206" t="n"/>
      <c r="BM13" s="2206" t="n"/>
      <c r="BN13" s="2206" t="n"/>
      <c r="BO13" s="2206" t="n"/>
      <c r="BP13" s="2206" t="n"/>
      <c r="BQ13" s="2207" t="n"/>
      <c r="BR13" s="2206" t="n"/>
      <c r="BS13" s="2206" t="n"/>
      <c r="BT13" s="2206" t="n"/>
      <c r="BU13" s="2206" t="n"/>
      <c r="BV13" s="2206" t="n"/>
      <c r="BW13" s="2206" t="n"/>
      <c r="BX13" s="2206" t="n"/>
      <c r="BY13" s="2206" t="n"/>
      <c r="BZ13" s="2206" t="n"/>
      <c r="CA13" s="2206" t="n"/>
      <c r="CB13" s="2072" t="n"/>
    </row>
    <row r="14" ht="14.4" customFormat="1" customHeight="1" s="1460">
      <c r="A14" s="1486">
        <f>Model!A8</f>
        <v/>
      </c>
      <c r="B14" s="1462" t="n"/>
      <c r="C14" s="1463" t="n"/>
      <c r="D14" s="1463">
        <f>Model!D8</f>
        <v/>
      </c>
      <c r="E14" s="1463">
        <f>Model!E8</f>
        <v/>
      </c>
      <c r="F14" s="1463">
        <f>Model!F8</f>
        <v/>
      </c>
      <c r="G14" s="1466">
        <f>Model!G8</f>
        <v/>
      </c>
      <c r="H14" s="1466">
        <f>Model!H8</f>
        <v/>
      </c>
      <c r="I14" s="1466">
        <f>Model!I8</f>
        <v/>
      </c>
      <c r="J14" s="1466">
        <f>Model!J8</f>
        <v/>
      </c>
      <c r="K14" s="1463">
        <f>Model!K8</f>
        <v/>
      </c>
      <c r="L14" s="1466">
        <f>Model!L8</f>
        <v/>
      </c>
      <c r="M14" s="1466">
        <f>Model!M8</f>
        <v/>
      </c>
      <c r="N14" s="1466">
        <f>Model!N8</f>
        <v/>
      </c>
      <c r="O14" s="1466">
        <f>Model!O8</f>
        <v/>
      </c>
      <c r="P14" s="1463">
        <f>Model!P8</f>
        <v/>
      </c>
      <c r="Q14" s="1466">
        <f>Model!Q8</f>
        <v/>
      </c>
      <c r="R14" s="1466">
        <f>Model!R8</f>
        <v/>
      </c>
      <c r="S14" s="1466">
        <f>Model!S8</f>
        <v/>
      </c>
      <c r="T14" s="1466">
        <f>Model!T8</f>
        <v/>
      </c>
      <c r="U14" s="1463">
        <f>Model!U8</f>
        <v/>
      </c>
      <c r="V14" s="1466">
        <f>Model!V8</f>
        <v/>
      </c>
      <c r="W14" s="1466">
        <f>Model!W8</f>
        <v/>
      </c>
      <c r="X14" s="1466">
        <f>Model!X8</f>
        <v/>
      </c>
      <c r="Y14" s="1466">
        <f>Model!Y8</f>
        <v/>
      </c>
      <c r="Z14" s="1463">
        <f>Model!Z8</f>
        <v/>
      </c>
      <c r="AA14" s="1466">
        <f>Model!AA8</f>
        <v/>
      </c>
      <c r="AB14" s="1466">
        <f>Model!AB8</f>
        <v/>
      </c>
      <c r="AC14" s="1466">
        <f>Model!AC8</f>
        <v/>
      </c>
      <c r="AD14" s="1466">
        <f>Model!AD8</f>
        <v/>
      </c>
      <c r="AE14" s="1463">
        <f>Model!AE8</f>
        <v/>
      </c>
      <c r="AF14" s="1466">
        <f>Model!AF8</f>
        <v/>
      </c>
      <c r="AG14" s="1466">
        <f>Model!AG8</f>
        <v/>
      </c>
      <c r="AH14" s="1466">
        <f>Model!AH8</f>
        <v/>
      </c>
      <c r="AI14" s="1466">
        <f>Model!AI8</f>
        <v/>
      </c>
      <c r="AJ14" s="1463">
        <f>Model!AJ8</f>
        <v/>
      </c>
      <c r="AK14" s="1466">
        <f>Model!AK8</f>
        <v/>
      </c>
      <c r="AL14" s="1466">
        <f>Model!AL8</f>
        <v/>
      </c>
      <c r="AM14" s="1466">
        <f>Model!AM8</f>
        <v/>
      </c>
      <c r="AN14" s="1466">
        <f>Model!AN8</f>
        <v/>
      </c>
      <c r="AO14" s="1463">
        <f>Model!AO8</f>
        <v/>
      </c>
      <c r="AP14" s="1466">
        <f>Model!AP8</f>
        <v/>
      </c>
      <c r="AQ14" s="1466">
        <f>Model!AQ8</f>
        <v/>
      </c>
      <c r="AR14" s="1466">
        <f>Model!AR8</f>
        <v/>
      </c>
      <c r="AS14" s="1466">
        <f>Model!AS8</f>
        <v/>
      </c>
      <c r="AT14" s="1463">
        <f>Model!AT8</f>
        <v/>
      </c>
      <c r="AU14" s="1466">
        <f>Model!AU8</f>
        <v/>
      </c>
      <c r="AV14" s="1466">
        <f>Model!AV8</f>
        <v/>
      </c>
      <c r="AW14" s="1466">
        <f>Model!AW8</f>
        <v/>
      </c>
      <c r="AX14" s="1466">
        <f>Model!AX8</f>
        <v/>
      </c>
      <c r="AY14" s="1463">
        <f>Model!AY8</f>
        <v/>
      </c>
      <c r="AZ14" s="1466">
        <f>Model!AZ8</f>
        <v/>
      </c>
      <c r="BA14" s="1466">
        <f>Model!BA8</f>
        <v/>
      </c>
      <c r="BB14" s="1466">
        <f>Model!BB8</f>
        <v/>
      </c>
      <c r="BC14" s="1466">
        <f>Model!BC8</f>
        <v/>
      </c>
      <c r="BD14" s="1463">
        <f>Model!BD8</f>
        <v/>
      </c>
      <c r="BE14" s="1466">
        <f>Model!BE8</f>
        <v/>
      </c>
      <c r="BF14" s="1466">
        <f>Model!BF8</f>
        <v/>
      </c>
      <c r="BG14" s="1466">
        <f>Model!BG8</f>
        <v/>
      </c>
      <c r="BH14" s="1466">
        <f>Model!BH8</f>
        <v/>
      </c>
      <c r="BI14" s="1463">
        <f>Model!BI8</f>
        <v/>
      </c>
      <c r="BJ14" s="1466">
        <f>Model!BJ8</f>
        <v/>
      </c>
      <c r="BK14" s="1466">
        <f>Model!BK8</f>
        <v/>
      </c>
      <c r="BL14" s="1466">
        <f>Model!BL8</f>
        <v/>
      </c>
      <c r="BM14" s="1466">
        <f>Model!BM8</f>
        <v/>
      </c>
      <c r="BN14" s="1463">
        <f>Model!BN8</f>
        <v/>
      </c>
      <c r="BO14" s="1466">
        <f>Model!BO8</f>
        <v/>
      </c>
      <c r="BP14" s="1466">
        <f>Model!BP8</f>
        <v/>
      </c>
      <c r="BQ14" s="1491">
        <f>Model!BQ8</f>
        <v/>
      </c>
      <c r="BR14" s="1466">
        <f>Model!BR8</f>
        <v/>
      </c>
      <c r="BS14" s="1463">
        <f>Model!BS8</f>
        <v/>
      </c>
      <c r="BT14" s="1466">
        <f>Model!BT8</f>
        <v/>
      </c>
      <c r="BU14" s="1466">
        <f>Model!BU8</f>
        <v/>
      </c>
      <c r="BV14" s="1466">
        <f>Model!BV8</f>
        <v/>
      </c>
      <c r="BW14" s="1466">
        <f>Model!BW8</f>
        <v/>
      </c>
      <c r="BX14" s="1463">
        <f>Model!BX8</f>
        <v/>
      </c>
      <c r="BY14" s="1463">
        <f>Model!BY8</f>
        <v/>
      </c>
      <c r="BZ14" s="1463">
        <f>Model!BZ8</f>
        <v/>
      </c>
      <c r="CA14" s="1463">
        <f>Model!CA8</f>
        <v/>
      </c>
      <c r="CB14" s="1466" t="n"/>
    </row>
    <row r="15" ht="14.4" customFormat="1" customHeight="1" s="1460">
      <c r="A15" s="1486">
        <f>Model!A10</f>
        <v/>
      </c>
      <c r="B15" s="1462" t="n"/>
      <c r="C15" s="1463" t="n"/>
      <c r="D15" s="1463">
        <f>Model!D10</f>
        <v/>
      </c>
      <c r="E15" s="1463">
        <f>Model!E10</f>
        <v/>
      </c>
      <c r="F15" s="1463">
        <f>Model!F10</f>
        <v/>
      </c>
      <c r="G15" s="1466">
        <f>Model!G10</f>
        <v/>
      </c>
      <c r="H15" s="1466">
        <f>Model!H10</f>
        <v/>
      </c>
      <c r="I15" s="1466">
        <f>Model!I10</f>
        <v/>
      </c>
      <c r="J15" s="1466">
        <f>Model!J10</f>
        <v/>
      </c>
      <c r="K15" s="1463">
        <f>Model!K10</f>
        <v/>
      </c>
      <c r="L15" s="1466">
        <f>Model!L10</f>
        <v/>
      </c>
      <c r="M15" s="1466">
        <f>Model!M10</f>
        <v/>
      </c>
      <c r="N15" s="1466">
        <f>Model!N10</f>
        <v/>
      </c>
      <c r="O15" s="1466">
        <f>Model!O10</f>
        <v/>
      </c>
      <c r="P15" s="1463">
        <f>Model!P10</f>
        <v/>
      </c>
      <c r="Q15" s="1466">
        <f>Model!Q10</f>
        <v/>
      </c>
      <c r="R15" s="1466">
        <f>Model!R10</f>
        <v/>
      </c>
      <c r="S15" s="1466">
        <f>Model!S10</f>
        <v/>
      </c>
      <c r="T15" s="1466">
        <f>Model!T10</f>
        <v/>
      </c>
      <c r="U15" s="1463">
        <f>Model!U10</f>
        <v/>
      </c>
      <c r="V15" s="1466">
        <f>Model!V10</f>
        <v/>
      </c>
      <c r="W15" s="1466">
        <f>Model!W10</f>
        <v/>
      </c>
      <c r="X15" s="1466">
        <f>Model!X10</f>
        <v/>
      </c>
      <c r="Y15" s="1466">
        <f>Model!Y10</f>
        <v/>
      </c>
      <c r="Z15" s="1463">
        <f>Model!Z10</f>
        <v/>
      </c>
      <c r="AA15" s="1466">
        <f>Model!AA10</f>
        <v/>
      </c>
      <c r="AB15" s="1466">
        <f>Model!AB10</f>
        <v/>
      </c>
      <c r="AC15" s="1466">
        <f>Model!AC10</f>
        <v/>
      </c>
      <c r="AD15" s="1466">
        <f>Model!AD10</f>
        <v/>
      </c>
      <c r="AE15" s="1463">
        <f>Model!AE10</f>
        <v/>
      </c>
      <c r="AF15" s="1466">
        <f>Model!AF10</f>
        <v/>
      </c>
      <c r="AG15" s="1466">
        <f>Model!AG10</f>
        <v/>
      </c>
      <c r="AH15" s="1466">
        <f>Model!AH10</f>
        <v/>
      </c>
      <c r="AI15" s="1466">
        <f>Model!AI10</f>
        <v/>
      </c>
      <c r="AJ15" s="1463">
        <f>Model!AJ10</f>
        <v/>
      </c>
      <c r="AK15" s="1466">
        <f>Model!AK10</f>
        <v/>
      </c>
      <c r="AL15" s="1466">
        <f>Model!AL10</f>
        <v/>
      </c>
      <c r="AM15" s="1466">
        <f>Model!AM10</f>
        <v/>
      </c>
      <c r="AN15" s="1466">
        <f>Model!AN10</f>
        <v/>
      </c>
      <c r="AO15" s="1463">
        <f>Model!AO10</f>
        <v/>
      </c>
      <c r="AP15" s="1466">
        <f>Model!AP10</f>
        <v/>
      </c>
      <c r="AQ15" s="1466">
        <f>Model!AQ10</f>
        <v/>
      </c>
      <c r="AR15" s="1466">
        <f>Model!AR10</f>
        <v/>
      </c>
      <c r="AS15" s="1466">
        <f>Model!AS10</f>
        <v/>
      </c>
      <c r="AT15" s="1463">
        <f>Model!AT10</f>
        <v/>
      </c>
      <c r="AU15" s="1466">
        <f>Model!AU10</f>
        <v/>
      </c>
      <c r="AV15" s="1466">
        <f>Model!AV10</f>
        <v/>
      </c>
      <c r="AW15" s="1466">
        <f>Model!AW10</f>
        <v/>
      </c>
      <c r="AX15" s="1466">
        <f>Model!AX10</f>
        <v/>
      </c>
      <c r="AY15" s="1463">
        <f>Model!AY10</f>
        <v/>
      </c>
      <c r="AZ15" s="1466">
        <f>Model!AZ10</f>
        <v/>
      </c>
      <c r="BA15" s="1466">
        <f>Model!BA10</f>
        <v/>
      </c>
      <c r="BB15" s="1466">
        <f>Model!BB10</f>
        <v/>
      </c>
      <c r="BC15" s="1466">
        <f>Model!BC10</f>
        <v/>
      </c>
      <c r="BD15" s="1463">
        <f>Model!BD10</f>
        <v/>
      </c>
      <c r="BE15" s="1466">
        <f>Model!BE10</f>
        <v/>
      </c>
      <c r="BF15" s="1466">
        <f>Model!BF10</f>
        <v/>
      </c>
      <c r="BG15" s="1466">
        <f>Model!BG10</f>
        <v/>
      </c>
      <c r="BH15" s="1466">
        <f>Model!BH10</f>
        <v/>
      </c>
      <c r="BI15" s="1463">
        <f>Model!BI10</f>
        <v/>
      </c>
      <c r="BJ15" s="1466">
        <f>Model!BJ10</f>
        <v/>
      </c>
      <c r="BK15" s="1466">
        <f>Model!BK10</f>
        <v/>
      </c>
      <c r="BL15" s="1466">
        <f>Model!BL10</f>
        <v/>
      </c>
      <c r="BM15" s="1466">
        <f>Model!BM10</f>
        <v/>
      </c>
      <c r="BN15" s="1463">
        <f>Model!BN10</f>
        <v/>
      </c>
      <c r="BO15" s="1466">
        <f>Model!BO10</f>
        <v/>
      </c>
      <c r="BP15" s="1466">
        <f>Model!BP10</f>
        <v/>
      </c>
      <c r="BQ15" s="1491">
        <f>Model!BQ10</f>
        <v/>
      </c>
      <c r="BR15" s="1466">
        <f>Model!BR10</f>
        <v/>
      </c>
      <c r="BS15" s="1463">
        <f>Model!BS10</f>
        <v/>
      </c>
      <c r="BT15" s="1466">
        <f>Model!BT10</f>
        <v/>
      </c>
      <c r="BU15" s="1466">
        <f>Model!BU10</f>
        <v/>
      </c>
      <c r="BV15" s="1466">
        <f>Model!BV10</f>
        <v/>
      </c>
      <c r="BW15" s="1466">
        <f>Model!BW10</f>
        <v/>
      </c>
      <c r="BX15" s="1463">
        <f>Model!BX10</f>
        <v/>
      </c>
      <c r="BY15" s="1463">
        <f>Model!BY10</f>
        <v/>
      </c>
      <c r="BZ15" s="1463">
        <f>Model!BZ10</f>
        <v/>
      </c>
      <c r="CA15" s="1463">
        <f>Model!CA10</f>
        <v/>
      </c>
      <c r="CB15" s="1466" t="n"/>
    </row>
    <row r="16" ht="14.4" customFormat="1" customHeight="1" s="1460">
      <c r="A16" s="1486">
        <f>Model!A12</f>
        <v/>
      </c>
      <c r="B16" s="1462" t="n"/>
      <c r="C16" s="1463" t="n"/>
      <c r="D16" s="1463">
        <f>Model!D12</f>
        <v/>
      </c>
      <c r="E16" s="1463">
        <f>Model!E12</f>
        <v/>
      </c>
      <c r="F16" s="1463">
        <f>Model!F12</f>
        <v/>
      </c>
      <c r="G16" s="1466">
        <f>Model!G12</f>
        <v/>
      </c>
      <c r="H16" s="1466">
        <f>Model!H12</f>
        <v/>
      </c>
      <c r="I16" s="1466">
        <f>Model!I12</f>
        <v/>
      </c>
      <c r="J16" s="1466">
        <f>Model!J12</f>
        <v/>
      </c>
      <c r="K16" s="1463">
        <f>Model!K12</f>
        <v/>
      </c>
      <c r="L16" s="1466">
        <f>Model!L12</f>
        <v/>
      </c>
      <c r="M16" s="1466">
        <f>Model!M12</f>
        <v/>
      </c>
      <c r="N16" s="1466">
        <f>Model!N12</f>
        <v/>
      </c>
      <c r="O16" s="1466">
        <f>Model!O12</f>
        <v/>
      </c>
      <c r="P16" s="1463">
        <f>Model!P12</f>
        <v/>
      </c>
      <c r="Q16" s="1466">
        <f>Model!Q12</f>
        <v/>
      </c>
      <c r="R16" s="1466">
        <f>Model!R12</f>
        <v/>
      </c>
      <c r="S16" s="1466">
        <f>Model!S12</f>
        <v/>
      </c>
      <c r="T16" s="1466">
        <f>Model!T12</f>
        <v/>
      </c>
      <c r="U16" s="1463">
        <f>Model!U12</f>
        <v/>
      </c>
      <c r="V16" s="1466">
        <f>Model!V12</f>
        <v/>
      </c>
      <c r="W16" s="1466">
        <f>Model!W12</f>
        <v/>
      </c>
      <c r="X16" s="1466">
        <f>Model!X12</f>
        <v/>
      </c>
      <c r="Y16" s="1466">
        <f>Model!Y12</f>
        <v/>
      </c>
      <c r="Z16" s="1463">
        <f>Model!Z12</f>
        <v/>
      </c>
      <c r="AA16" s="1466">
        <f>Model!AA12</f>
        <v/>
      </c>
      <c r="AB16" s="1466">
        <f>Model!AB12</f>
        <v/>
      </c>
      <c r="AC16" s="1466">
        <f>Model!AC12</f>
        <v/>
      </c>
      <c r="AD16" s="1466">
        <f>Model!AD12</f>
        <v/>
      </c>
      <c r="AE16" s="1463">
        <f>Model!AE12</f>
        <v/>
      </c>
      <c r="AF16" s="1466">
        <f>Model!AF12</f>
        <v/>
      </c>
      <c r="AG16" s="1466">
        <f>Model!AG12</f>
        <v/>
      </c>
      <c r="AH16" s="1466">
        <f>Model!AH12</f>
        <v/>
      </c>
      <c r="AI16" s="1466">
        <f>Model!AI12</f>
        <v/>
      </c>
      <c r="AJ16" s="1463">
        <f>Model!AJ12</f>
        <v/>
      </c>
      <c r="AK16" s="1466">
        <f>Model!AK12</f>
        <v/>
      </c>
      <c r="AL16" s="1466">
        <f>Model!AL12</f>
        <v/>
      </c>
      <c r="AM16" s="1466">
        <f>Model!AM12</f>
        <v/>
      </c>
      <c r="AN16" s="1466">
        <f>Model!AN12</f>
        <v/>
      </c>
      <c r="AO16" s="1463">
        <f>Model!AO12</f>
        <v/>
      </c>
      <c r="AP16" s="1466">
        <f>Model!AP12</f>
        <v/>
      </c>
      <c r="AQ16" s="1466">
        <f>Model!AQ12</f>
        <v/>
      </c>
      <c r="AR16" s="1466">
        <f>Model!AR12</f>
        <v/>
      </c>
      <c r="AS16" s="1466">
        <f>Model!AS12</f>
        <v/>
      </c>
      <c r="AT16" s="1463">
        <f>Model!AT12</f>
        <v/>
      </c>
      <c r="AU16" s="1466">
        <f>Model!AU12</f>
        <v/>
      </c>
      <c r="AV16" s="1466">
        <f>Model!AV12</f>
        <v/>
      </c>
      <c r="AW16" s="1466">
        <f>Model!AW12</f>
        <v/>
      </c>
      <c r="AX16" s="1466">
        <f>Model!AX12</f>
        <v/>
      </c>
      <c r="AY16" s="1463">
        <f>Model!AY12</f>
        <v/>
      </c>
      <c r="AZ16" s="1466">
        <f>Model!AZ12</f>
        <v/>
      </c>
      <c r="BA16" s="1466">
        <f>Model!BA12</f>
        <v/>
      </c>
      <c r="BB16" s="1466">
        <f>Model!BB12</f>
        <v/>
      </c>
      <c r="BC16" s="1466">
        <f>Model!BC12</f>
        <v/>
      </c>
      <c r="BD16" s="1463">
        <f>Model!BD12</f>
        <v/>
      </c>
      <c r="BE16" s="1466">
        <f>Model!BE12</f>
        <v/>
      </c>
      <c r="BF16" s="1466">
        <f>Model!BF12</f>
        <v/>
      </c>
      <c r="BG16" s="1466">
        <f>Model!BG12</f>
        <v/>
      </c>
      <c r="BH16" s="1466">
        <f>Model!BH12</f>
        <v/>
      </c>
      <c r="BI16" s="1463">
        <f>Model!BI12</f>
        <v/>
      </c>
      <c r="BJ16" s="1466">
        <f>Model!BJ12</f>
        <v/>
      </c>
      <c r="BK16" s="1466">
        <f>Model!BK12</f>
        <v/>
      </c>
      <c r="BL16" s="1466">
        <f>Model!BL12</f>
        <v/>
      </c>
      <c r="BM16" s="1466">
        <f>Model!BM12</f>
        <v/>
      </c>
      <c r="BN16" s="1463">
        <f>Model!BN12</f>
        <v/>
      </c>
      <c r="BO16" s="1466">
        <f>Model!BO12</f>
        <v/>
      </c>
      <c r="BP16" s="1466">
        <f>Model!BP12</f>
        <v/>
      </c>
      <c r="BQ16" s="1491">
        <f>Model!BQ12</f>
        <v/>
      </c>
      <c r="BR16" s="1466">
        <f>Model!BR12</f>
        <v/>
      </c>
      <c r="BS16" s="1463">
        <f>Model!BS12</f>
        <v/>
      </c>
      <c r="BT16" s="1466">
        <f>Model!BT12</f>
        <v/>
      </c>
      <c r="BU16" s="1466">
        <f>Model!BU12</f>
        <v/>
      </c>
      <c r="BV16" s="1466">
        <f>Model!BV12</f>
        <v/>
      </c>
      <c r="BW16" s="1466">
        <f>Model!BW12</f>
        <v/>
      </c>
      <c r="BX16" s="1463">
        <f>Model!BX12</f>
        <v/>
      </c>
      <c r="BY16" s="1463">
        <f>Model!BY12</f>
        <v/>
      </c>
      <c r="BZ16" s="1463">
        <f>Model!BZ12</f>
        <v/>
      </c>
      <c r="CA16" s="1463">
        <f>Model!CA12</f>
        <v/>
      </c>
      <c r="CB16" s="1466" t="n"/>
    </row>
    <row r="17" ht="14.4" customFormat="1" customHeight="1" s="1460">
      <c r="A17" s="1486">
        <f>Model!A14</f>
        <v/>
      </c>
      <c r="B17" s="1462" t="n"/>
      <c r="C17" s="1463" t="n"/>
      <c r="D17" s="1463">
        <f>Model!D14</f>
        <v/>
      </c>
      <c r="E17" s="1463">
        <f>Model!E14</f>
        <v/>
      </c>
      <c r="F17" s="1463">
        <f>Model!F14</f>
        <v/>
      </c>
      <c r="G17" s="1466">
        <f>Model!G14</f>
        <v/>
      </c>
      <c r="H17" s="1466">
        <f>Model!H14</f>
        <v/>
      </c>
      <c r="I17" s="1466">
        <f>Model!I14</f>
        <v/>
      </c>
      <c r="J17" s="1466">
        <f>Model!J14</f>
        <v/>
      </c>
      <c r="K17" s="1463">
        <f>Model!K14</f>
        <v/>
      </c>
      <c r="L17" s="1466">
        <f>Model!L14</f>
        <v/>
      </c>
      <c r="M17" s="1466">
        <f>Model!M14</f>
        <v/>
      </c>
      <c r="N17" s="1466">
        <f>Model!N14</f>
        <v/>
      </c>
      <c r="O17" s="1466">
        <f>Model!O14</f>
        <v/>
      </c>
      <c r="P17" s="1463">
        <f>Model!P14</f>
        <v/>
      </c>
      <c r="Q17" s="1466">
        <f>Model!Q14</f>
        <v/>
      </c>
      <c r="R17" s="1466">
        <f>Model!R14</f>
        <v/>
      </c>
      <c r="S17" s="1466">
        <f>Model!S14</f>
        <v/>
      </c>
      <c r="T17" s="1466">
        <f>Model!T14</f>
        <v/>
      </c>
      <c r="U17" s="1463">
        <f>Model!U14</f>
        <v/>
      </c>
      <c r="V17" s="1466">
        <f>Model!V14</f>
        <v/>
      </c>
      <c r="W17" s="1466">
        <f>Model!W14</f>
        <v/>
      </c>
      <c r="X17" s="1466">
        <f>Model!X14</f>
        <v/>
      </c>
      <c r="Y17" s="1466">
        <f>Model!Y14</f>
        <v/>
      </c>
      <c r="Z17" s="1463">
        <f>Model!Z14</f>
        <v/>
      </c>
      <c r="AA17" s="1466">
        <f>Model!AA14</f>
        <v/>
      </c>
      <c r="AB17" s="1466">
        <f>Model!AB14</f>
        <v/>
      </c>
      <c r="AC17" s="1466">
        <f>Model!AC14</f>
        <v/>
      </c>
      <c r="AD17" s="1466">
        <f>Model!AD14</f>
        <v/>
      </c>
      <c r="AE17" s="1463">
        <f>Model!AE14</f>
        <v/>
      </c>
      <c r="AF17" s="1466">
        <f>Model!AF14</f>
        <v/>
      </c>
      <c r="AG17" s="1466">
        <f>Model!AG14</f>
        <v/>
      </c>
      <c r="AH17" s="1466">
        <f>Model!AH14</f>
        <v/>
      </c>
      <c r="AI17" s="1466">
        <f>Model!AI14</f>
        <v/>
      </c>
      <c r="AJ17" s="1463">
        <f>Model!AJ14</f>
        <v/>
      </c>
      <c r="AK17" s="1466">
        <f>Model!AK14</f>
        <v/>
      </c>
      <c r="AL17" s="1466">
        <f>Model!AL14</f>
        <v/>
      </c>
      <c r="AM17" s="1466">
        <f>Model!AM14</f>
        <v/>
      </c>
      <c r="AN17" s="1466">
        <f>Model!AN14</f>
        <v/>
      </c>
      <c r="AO17" s="1463">
        <f>Model!AO14</f>
        <v/>
      </c>
      <c r="AP17" s="1466">
        <f>Model!AP14</f>
        <v/>
      </c>
      <c r="AQ17" s="1466">
        <f>Model!AQ14</f>
        <v/>
      </c>
      <c r="AR17" s="1466">
        <f>Model!AR14</f>
        <v/>
      </c>
      <c r="AS17" s="1466">
        <f>Model!AS14</f>
        <v/>
      </c>
      <c r="AT17" s="1463">
        <f>Model!AT14</f>
        <v/>
      </c>
      <c r="AU17" s="1466">
        <f>Model!AU14</f>
        <v/>
      </c>
      <c r="AV17" s="1466">
        <f>Model!AV14</f>
        <v/>
      </c>
      <c r="AW17" s="1466">
        <f>Model!AW14</f>
        <v/>
      </c>
      <c r="AX17" s="1466">
        <f>Model!AX14</f>
        <v/>
      </c>
      <c r="AY17" s="1463">
        <f>Model!AY14</f>
        <v/>
      </c>
      <c r="AZ17" s="1466">
        <f>Model!AZ14</f>
        <v/>
      </c>
      <c r="BA17" s="1466">
        <f>Model!BA14</f>
        <v/>
      </c>
      <c r="BB17" s="1466">
        <f>Model!BB14</f>
        <v/>
      </c>
      <c r="BC17" s="1466">
        <f>Model!BC14</f>
        <v/>
      </c>
      <c r="BD17" s="1463">
        <f>Model!BD14</f>
        <v/>
      </c>
      <c r="BE17" s="1466">
        <f>Model!BE14</f>
        <v/>
      </c>
      <c r="BF17" s="1466">
        <f>Model!BF14</f>
        <v/>
      </c>
      <c r="BG17" s="1466">
        <f>Model!BG14</f>
        <v/>
      </c>
      <c r="BH17" s="1466">
        <f>Model!BH14</f>
        <v/>
      </c>
      <c r="BI17" s="1463">
        <f>Model!BI14</f>
        <v/>
      </c>
      <c r="BJ17" s="1466">
        <f>Model!BJ14</f>
        <v/>
      </c>
      <c r="BK17" s="1466">
        <f>Model!BK14</f>
        <v/>
      </c>
      <c r="BL17" s="1466">
        <f>Model!BL14</f>
        <v/>
      </c>
      <c r="BM17" s="1466">
        <f>Model!BM14</f>
        <v/>
      </c>
      <c r="BN17" s="1463">
        <f>Model!BN14</f>
        <v/>
      </c>
      <c r="BO17" s="1466">
        <f>Model!BO14</f>
        <v/>
      </c>
      <c r="BP17" s="1466">
        <f>Model!BP14</f>
        <v/>
      </c>
      <c r="BQ17" s="1491">
        <f>Model!BQ14</f>
        <v/>
      </c>
      <c r="BR17" s="1466">
        <f>Model!BR14</f>
        <v/>
      </c>
      <c r="BS17" s="1463">
        <f>Model!BS14</f>
        <v/>
      </c>
      <c r="BT17" s="1466">
        <f>Model!BT14</f>
        <v/>
      </c>
      <c r="BU17" s="1466">
        <f>Model!BU14</f>
        <v/>
      </c>
      <c r="BV17" s="1466">
        <f>Model!BV14</f>
        <v/>
      </c>
      <c r="BW17" s="1466">
        <f>Model!BW14</f>
        <v/>
      </c>
      <c r="BX17" s="1463">
        <f>Model!BX14</f>
        <v/>
      </c>
      <c r="BY17" s="1463">
        <f>Model!BY14</f>
        <v/>
      </c>
      <c r="BZ17" s="1463">
        <f>Model!BZ14</f>
        <v/>
      </c>
      <c r="CA17" s="1463">
        <f>Model!CA14</f>
        <v/>
      </c>
      <c r="CB17" s="1466" t="n"/>
    </row>
    <row r="18" ht="14.4" customFormat="1" customHeight="1" s="1460">
      <c r="A18" s="1486">
        <f>Model!A17</f>
        <v/>
      </c>
      <c r="B18" s="1462" t="n"/>
      <c r="C18" s="1463" t="n"/>
      <c r="D18" s="1463">
        <f>Model!D17</f>
        <v/>
      </c>
      <c r="E18" s="1463">
        <f>Model!E17</f>
        <v/>
      </c>
      <c r="F18" s="1463">
        <f>Model!F17</f>
        <v/>
      </c>
      <c r="G18" s="1466">
        <f>Model!G17</f>
        <v/>
      </c>
      <c r="H18" s="1466">
        <f>Model!H17</f>
        <v/>
      </c>
      <c r="I18" s="1466">
        <f>Model!I17</f>
        <v/>
      </c>
      <c r="J18" s="1466">
        <f>Model!J17</f>
        <v/>
      </c>
      <c r="K18" s="1463">
        <f>Model!K17</f>
        <v/>
      </c>
      <c r="L18" s="1466">
        <f>Model!L17</f>
        <v/>
      </c>
      <c r="M18" s="1466">
        <f>Model!M17</f>
        <v/>
      </c>
      <c r="N18" s="1466">
        <f>Model!N17</f>
        <v/>
      </c>
      <c r="O18" s="1466">
        <f>Model!O17</f>
        <v/>
      </c>
      <c r="P18" s="1463">
        <f>Model!P17</f>
        <v/>
      </c>
      <c r="Q18" s="1466">
        <f>Model!Q17</f>
        <v/>
      </c>
      <c r="R18" s="1466">
        <f>Model!R17</f>
        <v/>
      </c>
      <c r="S18" s="1466">
        <f>Model!S17</f>
        <v/>
      </c>
      <c r="T18" s="1466">
        <f>Model!T17</f>
        <v/>
      </c>
      <c r="U18" s="1463">
        <f>Model!U17</f>
        <v/>
      </c>
      <c r="V18" s="1466">
        <f>Model!V17</f>
        <v/>
      </c>
      <c r="W18" s="1466">
        <f>Model!W17</f>
        <v/>
      </c>
      <c r="X18" s="1466">
        <f>Model!X17</f>
        <v/>
      </c>
      <c r="Y18" s="1466">
        <f>Model!Y17</f>
        <v/>
      </c>
      <c r="Z18" s="1463">
        <f>Model!Z17</f>
        <v/>
      </c>
      <c r="AA18" s="1466">
        <f>Model!AA17</f>
        <v/>
      </c>
      <c r="AB18" s="1466">
        <f>Model!AB17</f>
        <v/>
      </c>
      <c r="AC18" s="1466">
        <f>Model!AC17</f>
        <v/>
      </c>
      <c r="AD18" s="1466">
        <f>Model!AD17</f>
        <v/>
      </c>
      <c r="AE18" s="1463">
        <f>Model!AE17</f>
        <v/>
      </c>
      <c r="AF18" s="1466">
        <f>Model!AF17</f>
        <v/>
      </c>
      <c r="AG18" s="1466">
        <f>Model!AG17</f>
        <v/>
      </c>
      <c r="AH18" s="1466">
        <f>Model!AH17</f>
        <v/>
      </c>
      <c r="AI18" s="1466">
        <f>Model!AI17</f>
        <v/>
      </c>
      <c r="AJ18" s="1463">
        <f>Model!AJ17</f>
        <v/>
      </c>
      <c r="AK18" s="1466">
        <f>Model!AK17</f>
        <v/>
      </c>
      <c r="AL18" s="1466">
        <f>Model!AL17</f>
        <v/>
      </c>
      <c r="AM18" s="1466">
        <f>Model!AM17</f>
        <v/>
      </c>
      <c r="AN18" s="1466">
        <f>Model!AN17</f>
        <v/>
      </c>
      <c r="AO18" s="1463">
        <f>Model!AO17</f>
        <v/>
      </c>
      <c r="AP18" s="1466">
        <f>Model!AP17</f>
        <v/>
      </c>
      <c r="AQ18" s="1466">
        <f>Model!AQ17</f>
        <v/>
      </c>
      <c r="AR18" s="1466">
        <f>Model!AR17</f>
        <v/>
      </c>
      <c r="AS18" s="1466">
        <f>Model!AS17</f>
        <v/>
      </c>
      <c r="AT18" s="1463">
        <f>Model!AT17</f>
        <v/>
      </c>
      <c r="AU18" s="1466">
        <f>Model!AU17</f>
        <v/>
      </c>
      <c r="AV18" s="1466">
        <f>Model!AV17</f>
        <v/>
      </c>
      <c r="AW18" s="1466">
        <f>Model!AW17</f>
        <v/>
      </c>
      <c r="AX18" s="1466">
        <f>Model!AX17</f>
        <v/>
      </c>
      <c r="AY18" s="1463">
        <f>Model!AY17</f>
        <v/>
      </c>
      <c r="AZ18" s="1466">
        <f>Model!AZ17</f>
        <v/>
      </c>
      <c r="BA18" s="1466">
        <f>Model!BA17</f>
        <v/>
      </c>
      <c r="BB18" s="1466">
        <f>Model!BB17</f>
        <v/>
      </c>
      <c r="BC18" s="1466">
        <f>Model!BC17</f>
        <v/>
      </c>
      <c r="BD18" s="1463">
        <f>Model!BD17</f>
        <v/>
      </c>
      <c r="BE18" s="1466">
        <f>Model!BE17</f>
        <v/>
      </c>
      <c r="BF18" s="1466">
        <f>Model!BF17</f>
        <v/>
      </c>
      <c r="BG18" s="1466">
        <f>Model!BG17</f>
        <v/>
      </c>
      <c r="BH18" s="1466">
        <f>Model!BH17</f>
        <v/>
      </c>
      <c r="BI18" s="1463">
        <f>Model!BI17</f>
        <v/>
      </c>
      <c r="BJ18" s="1466">
        <f>Model!BJ17</f>
        <v/>
      </c>
      <c r="BK18" s="1466">
        <f>Model!BK17</f>
        <v/>
      </c>
      <c r="BL18" s="1466">
        <f>Model!BL17</f>
        <v/>
      </c>
      <c r="BM18" s="1466">
        <f>Model!BM17</f>
        <v/>
      </c>
      <c r="BN18" s="1463">
        <f>Model!BN17</f>
        <v/>
      </c>
      <c r="BO18" s="1466">
        <f>Model!BO17</f>
        <v/>
      </c>
      <c r="BP18" s="1466">
        <f>Model!BP17</f>
        <v/>
      </c>
      <c r="BQ18" s="1491">
        <f>Model!BQ17</f>
        <v/>
      </c>
      <c r="BR18" s="1466">
        <f>Model!BR17</f>
        <v/>
      </c>
      <c r="BS18" s="1463">
        <f>Model!BS17</f>
        <v/>
      </c>
      <c r="BT18" s="1466">
        <f>Model!BT17</f>
        <v/>
      </c>
      <c r="BU18" s="1466">
        <f>Model!BU17</f>
        <v/>
      </c>
      <c r="BV18" s="1466">
        <f>Model!BV17</f>
        <v/>
      </c>
      <c r="BW18" s="1466">
        <f>Model!BW17</f>
        <v/>
      </c>
      <c r="BX18" s="1463">
        <f>Model!BX17</f>
        <v/>
      </c>
      <c r="BY18" s="1463">
        <f>Model!BY17</f>
        <v/>
      </c>
      <c r="BZ18" s="1463">
        <f>Model!BZ17</f>
        <v/>
      </c>
      <c r="CA18" s="1463">
        <f>Model!CA17</f>
        <v/>
      </c>
      <c r="CB18" s="1466" t="n"/>
    </row>
    <row r="19" ht="14.4" customFormat="1" customHeight="1" s="1460">
      <c r="A19" s="1495">
        <f>Model!A19</f>
        <v/>
      </c>
      <c r="B19" s="1524" t="n"/>
      <c r="C19" s="1525" t="n"/>
      <c r="D19" s="1525">
        <f>Model!D19</f>
        <v/>
      </c>
      <c r="E19" s="1525">
        <f>Model!E19</f>
        <v/>
      </c>
      <c r="F19" s="1525">
        <f>Model!F19</f>
        <v/>
      </c>
      <c r="G19" s="1526">
        <f>Model!G19</f>
        <v/>
      </c>
      <c r="H19" s="1526">
        <f>Model!H19</f>
        <v/>
      </c>
      <c r="I19" s="1526">
        <f>Model!I19</f>
        <v/>
      </c>
      <c r="J19" s="1526">
        <f>Model!J19</f>
        <v/>
      </c>
      <c r="K19" s="1525">
        <f>Model!K19</f>
        <v/>
      </c>
      <c r="L19" s="1526">
        <f>Model!L19</f>
        <v/>
      </c>
      <c r="M19" s="1526">
        <f>Model!M19</f>
        <v/>
      </c>
      <c r="N19" s="1526">
        <f>Model!N19</f>
        <v/>
      </c>
      <c r="O19" s="1526">
        <f>Model!O19</f>
        <v/>
      </c>
      <c r="P19" s="1525">
        <f>Model!P19</f>
        <v/>
      </c>
      <c r="Q19" s="1526">
        <f>Model!Q19</f>
        <v/>
      </c>
      <c r="R19" s="1526">
        <f>Model!R19</f>
        <v/>
      </c>
      <c r="S19" s="1526">
        <f>Model!S19</f>
        <v/>
      </c>
      <c r="T19" s="1526">
        <f>Model!T19</f>
        <v/>
      </c>
      <c r="U19" s="1525">
        <f>Model!U19</f>
        <v/>
      </c>
      <c r="V19" s="1526">
        <f>Model!V19</f>
        <v/>
      </c>
      <c r="W19" s="1526">
        <f>Model!W19</f>
        <v/>
      </c>
      <c r="X19" s="1526">
        <f>Model!X19</f>
        <v/>
      </c>
      <c r="Y19" s="1526">
        <f>Model!Y19</f>
        <v/>
      </c>
      <c r="Z19" s="1525">
        <f>Model!Z19</f>
        <v/>
      </c>
      <c r="AA19" s="1526">
        <f>Model!AA19</f>
        <v/>
      </c>
      <c r="AB19" s="1526">
        <f>Model!AB19</f>
        <v/>
      </c>
      <c r="AC19" s="1526">
        <f>Model!AC19</f>
        <v/>
      </c>
      <c r="AD19" s="1526">
        <f>Model!AD19</f>
        <v/>
      </c>
      <c r="AE19" s="1525">
        <f>Model!AE19</f>
        <v/>
      </c>
      <c r="AF19" s="1526">
        <f>Model!AF19</f>
        <v/>
      </c>
      <c r="AG19" s="1526">
        <f>Model!AG19</f>
        <v/>
      </c>
      <c r="AH19" s="1526">
        <f>Model!AH19</f>
        <v/>
      </c>
      <c r="AI19" s="1526">
        <f>Model!AI19</f>
        <v/>
      </c>
      <c r="AJ19" s="1525">
        <f>Model!AJ19</f>
        <v/>
      </c>
      <c r="AK19" s="1526">
        <f>Model!AK19</f>
        <v/>
      </c>
      <c r="AL19" s="1526">
        <f>Model!AL19</f>
        <v/>
      </c>
      <c r="AM19" s="1526">
        <f>Model!AM19</f>
        <v/>
      </c>
      <c r="AN19" s="1526">
        <f>Model!AN19</f>
        <v/>
      </c>
      <c r="AO19" s="1525">
        <f>Model!AO19</f>
        <v/>
      </c>
      <c r="AP19" s="1526">
        <f>Model!AP19</f>
        <v/>
      </c>
      <c r="AQ19" s="1526">
        <f>Model!AQ19</f>
        <v/>
      </c>
      <c r="AR19" s="1526">
        <f>Model!AR19</f>
        <v/>
      </c>
      <c r="AS19" s="1526">
        <f>Model!AS19</f>
        <v/>
      </c>
      <c r="AT19" s="1525">
        <f>Model!AT19</f>
        <v/>
      </c>
      <c r="AU19" s="1526">
        <f>Model!AU19</f>
        <v/>
      </c>
      <c r="AV19" s="1526">
        <f>Model!AV19</f>
        <v/>
      </c>
      <c r="AW19" s="1526">
        <f>Model!AW19</f>
        <v/>
      </c>
      <c r="AX19" s="1526">
        <f>Model!AX19</f>
        <v/>
      </c>
      <c r="AY19" s="1525">
        <f>Model!AY19</f>
        <v/>
      </c>
      <c r="AZ19" s="1526">
        <f>Model!AZ19</f>
        <v/>
      </c>
      <c r="BA19" s="1526">
        <f>Model!BA19</f>
        <v/>
      </c>
      <c r="BB19" s="1526">
        <f>Model!BB19</f>
        <v/>
      </c>
      <c r="BC19" s="1526">
        <f>Model!BC19</f>
        <v/>
      </c>
      <c r="BD19" s="1525">
        <f>Model!BD19</f>
        <v/>
      </c>
      <c r="BE19" s="1526">
        <f>Model!BE19</f>
        <v/>
      </c>
      <c r="BF19" s="1526">
        <f>Model!BF19</f>
        <v/>
      </c>
      <c r="BG19" s="1526">
        <f>Model!BG19</f>
        <v/>
      </c>
      <c r="BH19" s="1526">
        <f>Model!BH19</f>
        <v/>
      </c>
      <c r="BI19" s="1525">
        <f>Model!BI19</f>
        <v/>
      </c>
      <c r="BJ19" s="1526">
        <f>Model!BJ19</f>
        <v/>
      </c>
      <c r="BK19" s="1526">
        <f>Model!BK19</f>
        <v/>
      </c>
      <c r="BL19" s="1526">
        <f>Model!BL19</f>
        <v/>
      </c>
      <c r="BM19" s="1526">
        <f>Model!BM19</f>
        <v/>
      </c>
      <c r="BN19" s="1525">
        <f>Model!BN19</f>
        <v/>
      </c>
      <c r="BO19" s="1526">
        <f>Model!BO19</f>
        <v/>
      </c>
      <c r="BP19" s="1526">
        <f>Model!BP19</f>
        <v/>
      </c>
      <c r="BQ19" s="1537">
        <f>Model!BQ19</f>
        <v/>
      </c>
      <c r="BR19" s="1526">
        <f>Model!BR19</f>
        <v/>
      </c>
      <c r="BS19" s="1525">
        <f>Model!BS19</f>
        <v/>
      </c>
      <c r="BT19" s="1526">
        <f>Model!BT19</f>
        <v/>
      </c>
      <c r="BU19" s="1526">
        <f>Model!BU19</f>
        <v/>
      </c>
      <c r="BV19" s="1526">
        <f>Model!BV19</f>
        <v/>
      </c>
      <c r="BW19" s="1526">
        <f>Model!BW19</f>
        <v/>
      </c>
      <c r="BX19" s="1525">
        <f>Model!BX19</f>
        <v/>
      </c>
      <c r="BY19" s="1525">
        <f>Model!BY19</f>
        <v/>
      </c>
      <c r="BZ19" s="1525">
        <f>Model!BZ19</f>
        <v/>
      </c>
      <c r="CA19" s="1525">
        <f>Model!CA19</f>
        <v/>
      </c>
      <c r="CB19" s="1466" t="n"/>
    </row>
    <row r="20" ht="14.4" customFormat="1" customHeight="1" s="1504">
      <c r="A20" s="1530">
        <f>Model!A22</f>
        <v/>
      </c>
      <c r="B20" s="1531" t="n"/>
      <c r="C20" s="1532" t="n"/>
      <c r="D20" s="1532">
        <f>Model!D22</f>
        <v/>
      </c>
      <c r="E20" s="1532">
        <f>Model!E22</f>
        <v/>
      </c>
      <c r="F20" s="1532">
        <f>Model!F22</f>
        <v/>
      </c>
      <c r="G20" s="1533">
        <f>Model!G22</f>
        <v/>
      </c>
      <c r="H20" s="1533">
        <f>Model!H22</f>
        <v/>
      </c>
      <c r="I20" s="1533">
        <f>Model!I22</f>
        <v/>
      </c>
      <c r="J20" s="1533">
        <f>Model!J22</f>
        <v/>
      </c>
      <c r="K20" s="1532">
        <f>Model!K22</f>
        <v/>
      </c>
      <c r="L20" s="1533">
        <f>Model!L22</f>
        <v/>
      </c>
      <c r="M20" s="1533">
        <f>Model!M22</f>
        <v/>
      </c>
      <c r="N20" s="1533">
        <f>Model!N22</f>
        <v/>
      </c>
      <c r="O20" s="1533">
        <f>Model!O22</f>
        <v/>
      </c>
      <c r="P20" s="1532">
        <f>Model!P22</f>
        <v/>
      </c>
      <c r="Q20" s="1533">
        <f>Model!Q22</f>
        <v/>
      </c>
      <c r="R20" s="1533">
        <f>Model!R22</f>
        <v/>
      </c>
      <c r="S20" s="1533">
        <f>Model!S22</f>
        <v/>
      </c>
      <c r="T20" s="1533">
        <f>Model!T22</f>
        <v/>
      </c>
      <c r="U20" s="1532">
        <f>Model!U22</f>
        <v/>
      </c>
      <c r="V20" s="1533">
        <f>Model!V22</f>
        <v/>
      </c>
      <c r="W20" s="1533">
        <f>Model!W22</f>
        <v/>
      </c>
      <c r="X20" s="1533">
        <f>Model!X22</f>
        <v/>
      </c>
      <c r="Y20" s="1533">
        <f>Model!Y22</f>
        <v/>
      </c>
      <c r="Z20" s="1532">
        <f>Model!Z22</f>
        <v/>
      </c>
      <c r="AA20" s="1533">
        <f>Model!AA22</f>
        <v/>
      </c>
      <c r="AB20" s="1533">
        <f>Model!AB22</f>
        <v/>
      </c>
      <c r="AC20" s="1533">
        <f>Model!AC22</f>
        <v/>
      </c>
      <c r="AD20" s="1533">
        <f>Model!AD22</f>
        <v/>
      </c>
      <c r="AE20" s="1532">
        <f>Model!AE22</f>
        <v/>
      </c>
      <c r="AF20" s="1533">
        <f>Model!AF22</f>
        <v/>
      </c>
      <c r="AG20" s="1533">
        <f>Model!AG22</f>
        <v/>
      </c>
      <c r="AH20" s="1533">
        <f>Model!AH22</f>
        <v/>
      </c>
      <c r="AI20" s="1533">
        <f>Model!AI22</f>
        <v/>
      </c>
      <c r="AJ20" s="1532">
        <f>Model!AJ22</f>
        <v/>
      </c>
      <c r="AK20" s="1533">
        <f>Model!AK22</f>
        <v/>
      </c>
      <c r="AL20" s="1533">
        <f>Model!AL22</f>
        <v/>
      </c>
      <c r="AM20" s="1533">
        <f>Model!AM22</f>
        <v/>
      </c>
      <c r="AN20" s="1533">
        <f>Model!AN22</f>
        <v/>
      </c>
      <c r="AO20" s="1532">
        <f>Model!AO22</f>
        <v/>
      </c>
      <c r="AP20" s="1533">
        <f>Model!AP22</f>
        <v/>
      </c>
      <c r="AQ20" s="1533">
        <f>Model!AQ22</f>
        <v/>
      </c>
      <c r="AR20" s="1533">
        <f>Model!AR22</f>
        <v/>
      </c>
      <c r="AS20" s="1533">
        <f>Model!AS22</f>
        <v/>
      </c>
      <c r="AT20" s="1532">
        <f>Model!AT22</f>
        <v/>
      </c>
      <c r="AU20" s="1533">
        <f>Model!AU22</f>
        <v/>
      </c>
      <c r="AV20" s="1533">
        <f>Model!AV22</f>
        <v/>
      </c>
      <c r="AW20" s="1533">
        <f>Model!AW22</f>
        <v/>
      </c>
      <c r="AX20" s="1533">
        <f>Model!AX22</f>
        <v/>
      </c>
      <c r="AY20" s="1532">
        <f>Model!AY22</f>
        <v/>
      </c>
      <c r="AZ20" s="1533">
        <f>Model!AZ22</f>
        <v/>
      </c>
      <c r="BA20" s="1533">
        <f>Model!BA22</f>
        <v/>
      </c>
      <c r="BB20" s="1533">
        <f>Model!BB22</f>
        <v/>
      </c>
      <c r="BC20" s="1533">
        <f>Model!BC22</f>
        <v/>
      </c>
      <c r="BD20" s="1532">
        <f>Model!BD22</f>
        <v/>
      </c>
      <c r="BE20" s="1533">
        <f>Model!BE22</f>
        <v/>
      </c>
      <c r="BF20" s="1533">
        <f>Model!BF22</f>
        <v/>
      </c>
      <c r="BG20" s="1533">
        <f>Model!BG22</f>
        <v/>
      </c>
      <c r="BH20" s="1533">
        <f>Model!BH22</f>
        <v/>
      </c>
      <c r="BI20" s="1532">
        <f>Model!BI22</f>
        <v/>
      </c>
      <c r="BJ20" s="1533">
        <f>Model!BJ22</f>
        <v/>
      </c>
      <c r="BK20" s="1533">
        <f>Model!BK22</f>
        <v/>
      </c>
      <c r="BL20" s="1533">
        <f>Model!BL22</f>
        <v/>
      </c>
      <c r="BM20" s="1533">
        <f>Model!BM22</f>
        <v/>
      </c>
      <c r="BN20" s="1532">
        <f>Model!BN22</f>
        <v/>
      </c>
      <c r="BO20" s="1533">
        <f>Model!BO22</f>
        <v/>
      </c>
      <c r="BP20" s="1533">
        <f>Model!BP22</f>
        <v/>
      </c>
      <c r="BQ20" s="1534">
        <f>Model!BQ22</f>
        <v/>
      </c>
      <c r="BR20" s="1533">
        <f>Model!BR22</f>
        <v/>
      </c>
      <c r="BS20" s="1532">
        <f>Model!BS22</f>
        <v/>
      </c>
      <c r="BT20" s="1533">
        <f>Model!BT22</f>
        <v/>
      </c>
      <c r="BU20" s="1533">
        <f>Model!BU22</f>
        <v/>
      </c>
      <c r="BV20" s="1533">
        <f>Model!BV22</f>
        <v/>
      </c>
      <c r="BW20" s="1533">
        <f>Model!BW22</f>
        <v/>
      </c>
      <c r="BX20" s="1532">
        <f>Model!BX22</f>
        <v/>
      </c>
      <c r="BY20" s="1532">
        <f>Model!BY22</f>
        <v/>
      </c>
      <c r="BZ20" s="1532">
        <f>Model!BZ22</f>
        <v/>
      </c>
      <c r="CA20" s="1532">
        <f>Model!CA22</f>
        <v/>
      </c>
      <c r="CB20" s="1533" t="n"/>
    </row>
    <row r="21" ht="14.4" customFormat="1" customHeight="1" s="1372">
      <c r="A21" s="1447" t="n"/>
      <c r="B21" s="1448" t="n"/>
      <c r="C21" s="1449" t="n"/>
      <c r="D21" s="1449" t="n"/>
      <c r="E21" s="1449" t="n"/>
      <c r="F21" s="1449" t="n"/>
      <c r="G21" s="1450" t="n"/>
      <c r="H21" s="1450" t="n"/>
      <c r="I21" s="1450" t="n"/>
      <c r="J21" s="1450" t="n"/>
      <c r="K21" s="1449" t="n"/>
      <c r="L21" s="1450" t="n"/>
      <c r="M21" s="1450" t="n"/>
      <c r="N21" s="1450" t="n"/>
      <c r="O21" s="1450" t="n"/>
      <c r="P21" s="1449" t="n"/>
      <c r="Q21" s="1450" t="n"/>
      <c r="R21" s="1450" t="n"/>
      <c r="S21" s="1450" t="n"/>
      <c r="T21" s="1450" t="n"/>
      <c r="U21" s="1449" t="n"/>
      <c r="V21" s="1450" t="n"/>
      <c r="W21" s="1450" t="n"/>
      <c r="X21" s="1450" t="n"/>
      <c r="Y21" s="1450" t="n"/>
      <c r="Z21" s="1449" t="n"/>
      <c r="AA21" s="1450" t="n"/>
      <c r="AB21" s="1450" t="n"/>
      <c r="AC21" s="1450" t="n"/>
      <c r="AD21" s="1450" t="n"/>
      <c r="AE21" s="1449" t="n"/>
      <c r="AF21" s="1450" t="n"/>
      <c r="AG21" s="1450" t="n"/>
      <c r="AH21" s="1450" t="n"/>
      <c r="AI21" s="1450" t="n"/>
      <c r="AJ21" s="1449" t="n"/>
      <c r="AK21" s="1450" t="n"/>
      <c r="AL21" s="1450" t="n"/>
      <c r="AM21" s="1450" t="n"/>
      <c r="AN21" s="1450" t="n"/>
      <c r="AO21" s="1449" t="n"/>
      <c r="AP21" s="1450" t="n"/>
      <c r="AQ21" s="1450" t="n"/>
      <c r="AR21" s="1450" t="n"/>
      <c r="AS21" s="1450" t="n"/>
      <c r="AT21" s="1449" t="n"/>
      <c r="AU21" s="1450" t="n"/>
      <c r="AV21" s="1450" t="n"/>
      <c r="AW21" s="1450" t="n"/>
      <c r="AX21" s="1450" t="n"/>
      <c r="AY21" s="1449" t="n"/>
      <c r="AZ21" s="1450" t="n"/>
      <c r="BA21" s="1450" t="n"/>
      <c r="BB21" s="1450" t="n"/>
      <c r="BC21" s="1450" t="n"/>
      <c r="BD21" s="1449" t="n"/>
      <c r="BE21" s="1450" t="n"/>
      <c r="BF21" s="1450" t="n"/>
      <c r="BG21" s="1450" t="n"/>
      <c r="BH21" s="1450" t="n"/>
      <c r="BI21" s="1449" t="n"/>
      <c r="BJ21" s="1450" t="n"/>
      <c r="BK21" s="1450" t="n"/>
      <c r="BL21" s="1450" t="n"/>
      <c r="BM21" s="1450" t="n"/>
      <c r="BN21" s="1449" t="n"/>
      <c r="BO21" s="1450" t="n"/>
      <c r="BP21" s="1450" t="n"/>
      <c r="BQ21" s="1451" t="n"/>
      <c r="BR21" s="1450" t="n"/>
      <c r="BS21" s="1449" t="n"/>
      <c r="BT21" s="1450" t="n"/>
      <c r="BU21" s="1450" t="n"/>
      <c r="BV21" s="1450" t="n"/>
      <c r="BW21" s="1450" t="n"/>
      <c r="BX21" s="1449" t="n"/>
      <c r="BY21" s="1449" t="n"/>
      <c r="BZ21" s="1449" t="n"/>
      <c r="CA21" s="1449" t="n"/>
      <c r="CB21" s="1450" t="n"/>
    </row>
    <row r="22" ht="15" customHeight="1" s="972">
      <c r="A22" s="2183" t="inlineStr">
        <is>
          <t>GAAP and Non-GAAP Financials</t>
        </is>
      </c>
      <c r="B22" s="2206" t="n"/>
      <c r="C22" s="2206" t="n"/>
      <c r="D22" s="2206" t="n"/>
      <c r="E22" s="2206" t="n"/>
      <c r="F22" s="2206" t="n"/>
      <c r="G22" s="2206" t="n"/>
      <c r="H22" s="2206" t="n"/>
      <c r="I22" s="2206" t="n"/>
      <c r="J22" s="2206" t="n"/>
      <c r="K22" s="2206" t="n"/>
      <c r="L22" s="2206" t="n"/>
      <c r="M22" s="2206" t="n"/>
      <c r="N22" s="2206" t="n"/>
      <c r="O22" s="2206" t="n"/>
      <c r="P22" s="2206" t="n"/>
      <c r="Q22" s="2206" t="n"/>
      <c r="R22" s="2206" t="n"/>
      <c r="S22" s="2206" t="n"/>
      <c r="T22" s="2206" t="n"/>
      <c r="U22" s="2206" t="n"/>
      <c r="V22" s="2206" t="n"/>
      <c r="W22" s="2206" t="n"/>
      <c r="X22" s="2206" t="n"/>
      <c r="Y22" s="2206" t="n"/>
      <c r="Z22" s="2206" t="n"/>
      <c r="AA22" s="2206" t="n"/>
      <c r="AB22" s="2206" t="n"/>
      <c r="AC22" s="2206" t="n"/>
      <c r="AD22" s="2206" t="n"/>
      <c r="AE22" s="2206" t="n"/>
      <c r="AF22" s="2206" t="n"/>
      <c r="AG22" s="2206" t="n"/>
      <c r="AH22" s="2206" t="n"/>
      <c r="AI22" s="2206" t="n"/>
      <c r="AJ22" s="2206" t="n"/>
      <c r="AK22" s="2206" t="n"/>
      <c r="AL22" s="2206" t="n"/>
      <c r="AM22" s="2206" t="n"/>
      <c r="AN22" s="2206" t="n"/>
      <c r="AO22" s="2206" t="n"/>
      <c r="AP22" s="2206" t="n"/>
      <c r="AQ22" s="2206" t="n"/>
      <c r="AR22" s="2206" t="n"/>
      <c r="AS22" s="2206" t="n"/>
      <c r="AT22" s="2206" t="n"/>
      <c r="AU22" s="2206" t="n"/>
      <c r="AV22" s="2206" t="n"/>
      <c r="AW22" s="2206" t="n"/>
      <c r="AX22" s="2206" t="n"/>
      <c r="AY22" s="2206" t="n"/>
      <c r="AZ22" s="2206" t="n"/>
      <c r="BA22" s="2206" t="n"/>
      <c r="BB22" s="2206" t="n"/>
      <c r="BC22" s="2206" t="n"/>
      <c r="BD22" s="2206" t="n"/>
      <c r="BE22" s="2206" t="n"/>
      <c r="BF22" s="2206" t="n"/>
      <c r="BG22" s="2206" t="n"/>
      <c r="BH22" s="2206" t="n"/>
      <c r="BI22" s="2206" t="n"/>
      <c r="BJ22" s="2206" t="n"/>
      <c r="BK22" s="2206" t="n"/>
      <c r="BL22" s="2206" t="n"/>
      <c r="BM22" s="2206" t="n"/>
      <c r="BN22" s="2206" t="n"/>
      <c r="BO22" s="2206" t="n"/>
      <c r="BP22" s="2206" t="n"/>
      <c r="BQ22" s="2207" t="n"/>
      <c r="BR22" s="2206" t="n"/>
      <c r="BS22" s="2206" t="n"/>
      <c r="BT22" s="2206" t="n"/>
      <c r="BU22" s="2206" t="n"/>
      <c r="BV22" s="2206" t="n"/>
      <c r="BW22" s="2206" t="n"/>
      <c r="BX22" s="2206" t="n"/>
      <c r="BY22" s="2206" t="n"/>
      <c r="BZ22" s="2206" t="n"/>
      <c r="CA22" s="2206" t="n"/>
      <c r="CB22" s="2089" t="n"/>
    </row>
    <row r="23" ht="15" customFormat="1" customHeight="1" s="2082">
      <c r="A23" s="1596">
        <f>INDEX(MO_RIS_REV,0,COLUMN())</f>
        <v/>
      </c>
      <c r="B23" s="2199" t="n"/>
      <c r="C23" s="2090">
        <f>INDEX(MO_RIS_REV,0,COLUMN())</f>
        <v/>
      </c>
      <c r="D23" s="2090">
        <f>INDEX(MO_RIS_REV,0,COLUMN())</f>
        <v/>
      </c>
      <c r="E23" s="2090">
        <f>INDEX(MO_RIS_REV,0,COLUMN())</f>
        <v/>
      </c>
      <c r="F23" s="2090">
        <f>INDEX(MO_RIS_REV,0,COLUMN())</f>
        <v/>
      </c>
      <c r="G23" s="2089">
        <f>INDEX(MO_RIS_REV,0,COLUMN())</f>
        <v/>
      </c>
      <c r="H23" s="2089">
        <f>INDEX(MO_RIS_REV,0,COLUMN())</f>
        <v/>
      </c>
      <c r="I23" s="2089">
        <f>INDEX(MO_RIS_REV,0,COLUMN())</f>
        <v/>
      </c>
      <c r="J23" s="2089">
        <f>INDEX(MO_RIS_REV,0,COLUMN())</f>
        <v/>
      </c>
      <c r="K23" s="2090">
        <f>INDEX(MO_RIS_REV,0,COLUMN())</f>
        <v/>
      </c>
      <c r="L23" s="2089">
        <f>INDEX(MO_RIS_REV,0,COLUMN())</f>
        <v/>
      </c>
      <c r="M23" s="2089">
        <f>INDEX(MO_RIS_REV,0,COLUMN())</f>
        <v/>
      </c>
      <c r="N23" s="2089">
        <f>INDEX(MO_RIS_REV,0,COLUMN())</f>
        <v/>
      </c>
      <c r="O23" s="2089">
        <f>INDEX(MO_RIS_REV,0,COLUMN())</f>
        <v/>
      </c>
      <c r="P23" s="2090">
        <f>INDEX(MO_RIS_REV,0,COLUMN())</f>
        <v/>
      </c>
      <c r="Q23" s="2089">
        <f>INDEX(MO_RIS_REV,0,COLUMN())</f>
        <v/>
      </c>
      <c r="R23" s="2089">
        <f>INDEX(MO_RIS_REV,0,COLUMN())</f>
        <v/>
      </c>
      <c r="S23" s="2089">
        <f>INDEX(MO_RIS_REV,0,COLUMN())</f>
        <v/>
      </c>
      <c r="T23" s="2089">
        <f>INDEX(MO_RIS_REV,0,COLUMN())</f>
        <v/>
      </c>
      <c r="U23" s="2090">
        <f>INDEX(MO_RIS_REV,0,COLUMN())</f>
        <v/>
      </c>
      <c r="V23" s="2089">
        <f>INDEX(MO_RIS_REV,0,COLUMN())</f>
        <v/>
      </c>
      <c r="W23" s="2089">
        <f>INDEX(MO_RIS_REV,0,COLUMN())</f>
        <v/>
      </c>
      <c r="X23" s="2089">
        <f>INDEX(MO_RIS_REV,0,COLUMN())</f>
        <v/>
      </c>
      <c r="Y23" s="2089">
        <f>INDEX(MO_RIS_REV,0,COLUMN())</f>
        <v/>
      </c>
      <c r="Z23" s="2090">
        <f>INDEX(MO_RIS_REV,0,COLUMN())</f>
        <v/>
      </c>
      <c r="AA23" s="2089">
        <f>INDEX(MO_RIS_REV,0,COLUMN())</f>
        <v/>
      </c>
      <c r="AB23" s="2089">
        <f>INDEX(MO_RIS_REV,0,COLUMN())</f>
        <v/>
      </c>
      <c r="AC23" s="2089">
        <f>INDEX(MO_RIS_REV,0,COLUMN())</f>
        <v/>
      </c>
      <c r="AD23" s="2089">
        <f>INDEX(MO_RIS_REV,0,COLUMN())</f>
        <v/>
      </c>
      <c r="AE23" s="2090">
        <f>INDEX(MO_RIS_REV,0,COLUMN())</f>
        <v/>
      </c>
      <c r="AF23" s="2089">
        <f>INDEX(MO_RIS_REV,0,COLUMN())</f>
        <v/>
      </c>
      <c r="AG23" s="2089">
        <f>INDEX(MO_RIS_REV,0,COLUMN())</f>
        <v/>
      </c>
      <c r="AH23" s="2089">
        <f>INDEX(MO_RIS_REV,0,COLUMN())</f>
        <v/>
      </c>
      <c r="AI23" s="2089">
        <f>INDEX(MO_RIS_REV,0,COLUMN())</f>
        <v/>
      </c>
      <c r="AJ23" s="2090">
        <f>INDEX(MO_RIS_REV,0,COLUMN())</f>
        <v/>
      </c>
      <c r="AK23" s="2089">
        <f>INDEX(MO_RIS_REV,0,COLUMN())</f>
        <v/>
      </c>
      <c r="AL23" s="2089">
        <f>INDEX(MO_RIS_REV,0,COLUMN())</f>
        <v/>
      </c>
      <c r="AM23" s="2089">
        <f>INDEX(MO_RIS_REV,0,COLUMN())</f>
        <v/>
      </c>
      <c r="AN23" s="2089">
        <f>INDEX(MO_RIS_REV,0,COLUMN())</f>
        <v/>
      </c>
      <c r="AO23" s="2090">
        <f>INDEX(MO_RIS_REV,0,COLUMN())</f>
        <v/>
      </c>
      <c r="AP23" s="2089">
        <f>INDEX(MO_RIS_REV,0,COLUMN())</f>
        <v/>
      </c>
      <c r="AQ23" s="2089">
        <f>INDEX(MO_RIS_REV,0,COLUMN())</f>
        <v/>
      </c>
      <c r="AR23" s="2089">
        <f>INDEX(MO_RIS_REV,0,COLUMN())</f>
        <v/>
      </c>
      <c r="AS23" s="2089">
        <f>INDEX(MO_RIS_REV,0,COLUMN())</f>
        <v/>
      </c>
      <c r="AT23" s="2090">
        <f>INDEX(MO_RIS_REV,0,COLUMN())</f>
        <v/>
      </c>
      <c r="AU23" s="2089">
        <f>INDEX(MO_RIS_REV,0,COLUMN())</f>
        <v/>
      </c>
      <c r="AV23" s="2089">
        <f>INDEX(MO_RIS_REV,0,COLUMN())</f>
        <v/>
      </c>
      <c r="AW23" s="2089">
        <f>INDEX(MO_RIS_REV,0,COLUMN())</f>
        <v/>
      </c>
      <c r="AX23" s="2089">
        <f>INDEX(MO_RIS_REV,0,COLUMN())</f>
        <v/>
      </c>
      <c r="AY23" s="2090">
        <f>INDEX(MO_RIS_REV,0,COLUMN())</f>
        <v/>
      </c>
      <c r="AZ23" s="2089">
        <f>INDEX(MO_RIS_REV,0,COLUMN())</f>
        <v/>
      </c>
      <c r="BA23" s="2089">
        <f>INDEX(MO_RIS_REV,0,COLUMN())</f>
        <v/>
      </c>
      <c r="BB23" s="2089">
        <f>INDEX(MO_RIS_REV,0,COLUMN())</f>
        <v/>
      </c>
      <c r="BC23" s="2089">
        <f>INDEX(MO_RIS_REV,0,COLUMN())</f>
        <v/>
      </c>
      <c r="BD23" s="2090">
        <f>INDEX(MO_RIS_REV,0,COLUMN())</f>
        <v/>
      </c>
      <c r="BE23" s="2089">
        <f>INDEX(MO_RIS_REV,0,COLUMN())</f>
        <v/>
      </c>
      <c r="BF23" s="2089">
        <f>INDEX(MO_RIS_REV,0,COLUMN())</f>
        <v/>
      </c>
      <c r="BG23" s="2089">
        <f>INDEX(MO_RIS_REV,0,COLUMN())</f>
        <v/>
      </c>
      <c r="BH23" s="2089">
        <f>INDEX(MO_RIS_REV,0,COLUMN())</f>
        <v/>
      </c>
      <c r="BI23" s="2090">
        <f>INDEX(MO_RIS_REV,0,COLUMN())</f>
        <v/>
      </c>
      <c r="BJ23" s="2089">
        <f>INDEX(MO_RIS_REV,0,COLUMN())</f>
        <v/>
      </c>
      <c r="BK23" s="2089">
        <f>INDEX(MO_RIS_REV,0,COLUMN())</f>
        <v/>
      </c>
      <c r="BL23" s="2089">
        <f>INDEX(MO_RIS_REV,0,COLUMN())</f>
        <v/>
      </c>
      <c r="BM23" s="2089">
        <f>INDEX(MO_RIS_REV,0,COLUMN())</f>
        <v/>
      </c>
      <c r="BN23" s="2090">
        <f>INDEX(MO_RIS_REV,0,COLUMN())</f>
        <v/>
      </c>
      <c r="BO23" s="2089">
        <f>INDEX(MO_RIS_REV,0,COLUMN())</f>
        <v/>
      </c>
      <c r="BP23" s="2089">
        <f>INDEX(MO_RIS_REV,0,COLUMN())</f>
        <v/>
      </c>
      <c r="BQ23" s="2100">
        <f>INDEX(MO_RIS_REV,0,COLUMN())</f>
        <v/>
      </c>
      <c r="BR23" s="2089">
        <f>INDEX(MO_RIS_REV,0,COLUMN())</f>
        <v/>
      </c>
      <c r="BS23" s="2090">
        <f>INDEX(MO_RIS_REV,0,COLUMN())</f>
        <v/>
      </c>
      <c r="BT23" s="2089">
        <f>INDEX(MO_RIS_REV,0,COLUMN())</f>
        <v/>
      </c>
      <c r="BU23" s="2089">
        <f>INDEX(MO_RIS_REV,0,COLUMN())</f>
        <v/>
      </c>
      <c r="BV23" s="2089">
        <f>INDEX(MO_RIS_REV,0,COLUMN())</f>
        <v/>
      </c>
      <c r="BW23" s="2089">
        <f>INDEX(MO_RIS_REV,0,COLUMN())</f>
        <v/>
      </c>
      <c r="BX23" s="2090">
        <f>INDEX(MO_RIS_REV,0,COLUMN())</f>
        <v/>
      </c>
      <c r="BY23" s="2090">
        <f>INDEX(MO_RIS_REV,0,COLUMN())</f>
        <v/>
      </c>
      <c r="BZ23" s="2090">
        <f>INDEX(MO_RIS_REV,0,COLUMN())</f>
        <v/>
      </c>
      <c r="CA23" s="2090">
        <f>INDEX(MO_RIS_REV,0,COLUMN())</f>
        <v/>
      </c>
      <c r="CB23" s="2089" t="n"/>
    </row>
    <row r="24" ht="15" customFormat="1" customHeight="1" s="2101">
      <c r="A24" s="1593">
        <f>INDEX(MO_RIS_COGS,0,COLUMN())</f>
        <v/>
      </c>
      <c r="B24" s="2200" t="n"/>
      <c r="C24" s="2087">
        <f>INDEX(MO_RIS_COGS,0,COLUMN())</f>
        <v/>
      </c>
      <c r="D24" s="2087">
        <f>INDEX(MO_RIS_COGS,0,COLUMN())</f>
        <v/>
      </c>
      <c r="E24" s="2087">
        <f>INDEX(MO_RIS_COGS,0,COLUMN())</f>
        <v/>
      </c>
      <c r="F24" s="2087">
        <f>INDEX(MO_RIS_COGS,0,COLUMN())</f>
        <v/>
      </c>
      <c r="G24" s="2072">
        <f>INDEX(MO_RIS_COGS,0,COLUMN())</f>
        <v/>
      </c>
      <c r="H24" s="2072">
        <f>INDEX(MO_RIS_COGS,0,COLUMN())</f>
        <v/>
      </c>
      <c r="I24" s="2072">
        <f>INDEX(MO_RIS_COGS,0,COLUMN())</f>
        <v/>
      </c>
      <c r="J24" s="2072">
        <f>INDEX(MO_RIS_COGS,0,COLUMN())</f>
        <v/>
      </c>
      <c r="K24" s="2087">
        <f>INDEX(MO_RIS_COGS,0,COLUMN())</f>
        <v/>
      </c>
      <c r="L24" s="2072">
        <f>INDEX(MO_RIS_COGS,0,COLUMN())</f>
        <v/>
      </c>
      <c r="M24" s="2072">
        <f>INDEX(MO_RIS_COGS,0,COLUMN())</f>
        <v/>
      </c>
      <c r="N24" s="2072">
        <f>INDEX(MO_RIS_COGS,0,COLUMN())</f>
        <v/>
      </c>
      <c r="O24" s="2072">
        <f>INDEX(MO_RIS_COGS,0,COLUMN())</f>
        <v/>
      </c>
      <c r="P24" s="2087">
        <f>INDEX(MO_RIS_COGS,0,COLUMN())</f>
        <v/>
      </c>
      <c r="Q24" s="2072">
        <f>INDEX(MO_RIS_COGS,0,COLUMN())</f>
        <v/>
      </c>
      <c r="R24" s="2072">
        <f>INDEX(MO_RIS_COGS,0,COLUMN())</f>
        <v/>
      </c>
      <c r="S24" s="2072">
        <f>INDEX(MO_RIS_COGS,0,COLUMN())</f>
        <v/>
      </c>
      <c r="T24" s="2072">
        <f>INDEX(MO_RIS_COGS,0,COLUMN())</f>
        <v/>
      </c>
      <c r="U24" s="2087">
        <f>INDEX(MO_RIS_COGS,0,COLUMN())</f>
        <v/>
      </c>
      <c r="V24" s="2072">
        <f>INDEX(MO_RIS_COGS,0,COLUMN())</f>
        <v/>
      </c>
      <c r="W24" s="2072">
        <f>INDEX(MO_RIS_COGS,0,COLUMN())</f>
        <v/>
      </c>
      <c r="X24" s="2072">
        <f>INDEX(MO_RIS_COGS,0,COLUMN())</f>
        <v/>
      </c>
      <c r="Y24" s="2072">
        <f>INDEX(MO_RIS_COGS,0,COLUMN())</f>
        <v/>
      </c>
      <c r="Z24" s="2087">
        <f>INDEX(MO_RIS_COGS,0,COLUMN())</f>
        <v/>
      </c>
      <c r="AA24" s="2072">
        <f>INDEX(MO_RIS_COGS,0,COLUMN())</f>
        <v/>
      </c>
      <c r="AB24" s="2072">
        <f>INDEX(MO_RIS_COGS,0,COLUMN())</f>
        <v/>
      </c>
      <c r="AC24" s="2072">
        <f>INDEX(MO_RIS_COGS,0,COLUMN())</f>
        <v/>
      </c>
      <c r="AD24" s="2072">
        <f>INDEX(MO_RIS_COGS,0,COLUMN())</f>
        <v/>
      </c>
      <c r="AE24" s="2087">
        <f>INDEX(MO_RIS_COGS,0,COLUMN())</f>
        <v/>
      </c>
      <c r="AF24" s="2072">
        <f>INDEX(MO_RIS_COGS,0,COLUMN())</f>
        <v/>
      </c>
      <c r="AG24" s="2072">
        <f>INDEX(MO_RIS_COGS,0,COLUMN())</f>
        <v/>
      </c>
      <c r="AH24" s="2072">
        <f>INDEX(MO_RIS_COGS,0,COLUMN())</f>
        <v/>
      </c>
      <c r="AI24" s="2072">
        <f>INDEX(MO_RIS_COGS,0,COLUMN())</f>
        <v/>
      </c>
      <c r="AJ24" s="2087">
        <f>INDEX(MO_RIS_COGS,0,COLUMN())</f>
        <v/>
      </c>
      <c r="AK24" s="2072">
        <f>INDEX(MO_RIS_COGS,0,COLUMN())</f>
        <v/>
      </c>
      <c r="AL24" s="2072">
        <f>INDEX(MO_RIS_COGS,0,COLUMN())</f>
        <v/>
      </c>
      <c r="AM24" s="2072">
        <f>INDEX(MO_RIS_COGS,0,COLUMN())</f>
        <v/>
      </c>
      <c r="AN24" s="2072">
        <f>INDEX(MO_RIS_COGS,0,COLUMN())</f>
        <v/>
      </c>
      <c r="AO24" s="2087">
        <f>INDEX(MO_RIS_COGS,0,COLUMN())</f>
        <v/>
      </c>
      <c r="AP24" s="2072">
        <f>INDEX(MO_RIS_COGS,0,COLUMN())</f>
        <v/>
      </c>
      <c r="AQ24" s="2072">
        <f>INDEX(MO_RIS_COGS,0,COLUMN())</f>
        <v/>
      </c>
      <c r="AR24" s="2072">
        <f>INDEX(MO_RIS_COGS,0,COLUMN())</f>
        <v/>
      </c>
      <c r="AS24" s="2072">
        <f>INDEX(MO_RIS_COGS,0,COLUMN())</f>
        <v/>
      </c>
      <c r="AT24" s="2087">
        <f>INDEX(MO_RIS_COGS,0,COLUMN())</f>
        <v/>
      </c>
      <c r="AU24" s="2072">
        <f>INDEX(MO_RIS_COGS,0,COLUMN())</f>
        <v/>
      </c>
      <c r="AV24" s="2072">
        <f>INDEX(MO_RIS_COGS,0,COLUMN())</f>
        <v/>
      </c>
      <c r="AW24" s="2072">
        <f>INDEX(MO_RIS_COGS,0,COLUMN())</f>
        <v/>
      </c>
      <c r="AX24" s="2072">
        <f>INDEX(MO_RIS_COGS,0,COLUMN())</f>
        <v/>
      </c>
      <c r="AY24" s="2087">
        <f>INDEX(MO_RIS_COGS,0,COLUMN())</f>
        <v/>
      </c>
      <c r="AZ24" s="2072">
        <f>INDEX(MO_RIS_COGS,0,COLUMN())</f>
        <v/>
      </c>
      <c r="BA24" s="2072">
        <f>INDEX(MO_RIS_COGS,0,COLUMN())</f>
        <v/>
      </c>
      <c r="BB24" s="2072">
        <f>INDEX(MO_RIS_COGS,0,COLUMN())</f>
        <v/>
      </c>
      <c r="BC24" s="2072">
        <f>INDEX(MO_RIS_COGS,0,COLUMN())</f>
        <v/>
      </c>
      <c r="BD24" s="2087">
        <f>INDEX(MO_RIS_COGS,0,COLUMN())</f>
        <v/>
      </c>
      <c r="BE24" s="2072">
        <f>INDEX(MO_RIS_COGS,0,COLUMN())</f>
        <v/>
      </c>
      <c r="BF24" s="2072">
        <f>INDEX(MO_RIS_COGS,0,COLUMN())</f>
        <v/>
      </c>
      <c r="BG24" s="2072">
        <f>INDEX(MO_RIS_COGS,0,COLUMN())</f>
        <v/>
      </c>
      <c r="BH24" s="2072">
        <f>INDEX(MO_RIS_COGS,0,COLUMN())</f>
        <v/>
      </c>
      <c r="BI24" s="2087">
        <f>INDEX(MO_RIS_COGS,0,COLUMN())</f>
        <v/>
      </c>
      <c r="BJ24" s="2072">
        <f>INDEX(MO_RIS_COGS,0,COLUMN())</f>
        <v/>
      </c>
      <c r="BK24" s="2072">
        <f>INDEX(MO_RIS_COGS,0,COLUMN())</f>
        <v/>
      </c>
      <c r="BL24" s="2072">
        <f>INDEX(MO_RIS_COGS,0,COLUMN())</f>
        <v/>
      </c>
      <c r="BM24" s="2072">
        <f>INDEX(MO_RIS_COGS,0,COLUMN())</f>
        <v/>
      </c>
      <c r="BN24" s="2087">
        <f>INDEX(MO_RIS_COGS,0,COLUMN())</f>
        <v/>
      </c>
      <c r="BO24" s="2072">
        <f>INDEX(MO_RIS_COGS,0,COLUMN())</f>
        <v/>
      </c>
      <c r="BP24" s="2072">
        <f>INDEX(MO_RIS_COGS,0,COLUMN())</f>
        <v/>
      </c>
      <c r="BQ24" s="2073">
        <f>INDEX(MO_RIS_COGS,0,COLUMN())</f>
        <v/>
      </c>
      <c r="BR24" s="2072">
        <f>INDEX(MO_RIS_COGS,0,COLUMN())</f>
        <v/>
      </c>
      <c r="BS24" s="2087">
        <f>INDEX(MO_RIS_COGS,0,COLUMN())</f>
        <v/>
      </c>
      <c r="BT24" s="2072">
        <f>INDEX(MO_RIS_COGS,0,COLUMN())</f>
        <v/>
      </c>
      <c r="BU24" s="2072">
        <f>INDEX(MO_RIS_COGS,0,COLUMN())</f>
        <v/>
      </c>
      <c r="BV24" s="2072">
        <f>INDEX(MO_RIS_COGS,0,COLUMN())</f>
        <v/>
      </c>
      <c r="BW24" s="2072">
        <f>INDEX(MO_RIS_COGS,0,COLUMN())</f>
        <v/>
      </c>
      <c r="BX24" s="2087">
        <f>INDEX(MO_RIS_COGS,0,COLUMN())</f>
        <v/>
      </c>
      <c r="BY24" s="2087">
        <f>INDEX(MO_RIS_COGS,0,COLUMN())</f>
        <v/>
      </c>
      <c r="BZ24" s="2087">
        <f>INDEX(MO_RIS_COGS,0,COLUMN())</f>
        <v/>
      </c>
      <c r="CA24" s="2087">
        <f>INDEX(MO_RIS_COGS,0,COLUMN())</f>
        <v/>
      </c>
      <c r="CB24" s="2072" t="n"/>
    </row>
    <row r="25" ht="15" customFormat="1" customHeight="1" s="2101">
      <c r="A25" s="1593">
        <f>INDEX(MO_RIS_SBC_COGS,0,COLUMN())</f>
        <v/>
      </c>
      <c r="B25" s="2200" t="n"/>
      <c r="C25" s="2087">
        <f>INDEX(MO_RIS_SBC_COGS,0,COLUMN())</f>
        <v/>
      </c>
      <c r="D25" s="2087">
        <f>INDEX(MO_RIS_SBC_COGS,0,COLUMN())</f>
        <v/>
      </c>
      <c r="E25" s="2087">
        <f>INDEX(MO_RIS_SBC_COGS,0,COLUMN())</f>
        <v/>
      </c>
      <c r="F25" s="2087">
        <f>INDEX(MO_RIS_SBC_COGS,0,COLUMN())</f>
        <v/>
      </c>
      <c r="G25" s="2072">
        <f>INDEX(MO_RIS_SBC_COGS,0,COLUMN())</f>
        <v/>
      </c>
      <c r="H25" s="2072">
        <f>INDEX(MO_RIS_SBC_COGS,0,COLUMN())</f>
        <v/>
      </c>
      <c r="I25" s="2072">
        <f>INDEX(MO_RIS_SBC_COGS,0,COLUMN())</f>
        <v/>
      </c>
      <c r="J25" s="2072">
        <f>INDEX(MO_RIS_SBC_COGS,0,COLUMN())</f>
        <v/>
      </c>
      <c r="K25" s="2087">
        <f>INDEX(MO_RIS_SBC_COGS,0,COLUMN())</f>
        <v/>
      </c>
      <c r="L25" s="2072">
        <f>INDEX(MO_RIS_SBC_COGS,0,COLUMN())</f>
        <v/>
      </c>
      <c r="M25" s="2072">
        <f>INDEX(MO_RIS_SBC_COGS,0,COLUMN())</f>
        <v/>
      </c>
      <c r="N25" s="2072">
        <f>INDEX(MO_RIS_SBC_COGS,0,COLUMN())</f>
        <v/>
      </c>
      <c r="O25" s="2072">
        <f>INDEX(MO_RIS_SBC_COGS,0,COLUMN())</f>
        <v/>
      </c>
      <c r="P25" s="2087">
        <f>INDEX(MO_RIS_SBC_COGS,0,COLUMN())</f>
        <v/>
      </c>
      <c r="Q25" s="2072">
        <f>INDEX(MO_RIS_SBC_COGS,0,COLUMN())</f>
        <v/>
      </c>
      <c r="R25" s="2072">
        <f>INDEX(MO_RIS_SBC_COGS,0,COLUMN())</f>
        <v/>
      </c>
      <c r="S25" s="2072">
        <f>INDEX(MO_RIS_SBC_COGS,0,COLUMN())</f>
        <v/>
      </c>
      <c r="T25" s="2072">
        <f>INDEX(MO_RIS_SBC_COGS,0,COLUMN())</f>
        <v/>
      </c>
      <c r="U25" s="2087">
        <f>INDEX(MO_RIS_SBC_COGS,0,COLUMN())</f>
        <v/>
      </c>
      <c r="V25" s="2072">
        <f>INDEX(MO_RIS_SBC_COGS,0,COLUMN())</f>
        <v/>
      </c>
      <c r="W25" s="2072">
        <f>INDEX(MO_RIS_SBC_COGS,0,COLUMN())</f>
        <v/>
      </c>
      <c r="X25" s="2072">
        <f>INDEX(MO_RIS_SBC_COGS,0,COLUMN())</f>
        <v/>
      </c>
      <c r="Y25" s="2072">
        <f>INDEX(MO_RIS_SBC_COGS,0,COLUMN())</f>
        <v/>
      </c>
      <c r="Z25" s="2087">
        <f>INDEX(MO_RIS_SBC_COGS,0,COLUMN())</f>
        <v/>
      </c>
      <c r="AA25" s="2072">
        <f>INDEX(MO_RIS_SBC_COGS,0,COLUMN())</f>
        <v/>
      </c>
      <c r="AB25" s="2072">
        <f>INDEX(MO_RIS_SBC_COGS,0,COLUMN())</f>
        <v/>
      </c>
      <c r="AC25" s="2072">
        <f>INDEX(MO_RIS_SBC_COGS,0,COLUMN())</f>
        <v/>
      </c>
      <c r="AD25" s="2072">
        <f>INDEX(MO_RIS_SBC_COGS,0,COLUMN())</f>
        <v/>
      </c>
      <c r="AE25" s="2087">
        <f>INDEX(MO_RIS_SBC_COGS,0,COLUMN())</f>
        <v/>
      </c>
      <c r="AF25" s="2072">
        <f>INDEX(MO_RIS_SBC_COGS,0,COLUMN())</f>
        <v/>
      </c>
      <c r="AG25" s="2072">
        <f>INDEX(MO_RIS_SBC_COGS,0,COLUMN())</f>
        <v/>
      </c>
      <c r="AH25" s="2072">
        <f>INDEX(MO_RIS_SBC_COGS,0,COLUMN())</f>
        <v/>
      </c>
      <c r="AI25" s="2072">
        <f>INDEX(MO_RIS_SBC_COGS,0,COLUMN())</f>
        <v/>
      </c>
      <c r="AJ25" s="2087">
        <f>INDEX(MO_RIS_SBC_COGS,0,COLUMN())</f>
        <v/>
      </c>
      <c r="AK25" s="2072">
        <f>INDEX(MO_RIS_SBC_COGS,0,COLUMN())</f>
        <v/>
      </c>
      <c r="AL25" s="2072">
        <f>INDEX(MO_RIS_SBC_COGS,0,COLUMN())</f>
        <v/>
      </c>
      <c r="AM25" s="2072">
        <f>INDEX(MO_RIS_SBC_COGS,0,COLUMN())</f>
        <v/>
      </c>
      <c r="AN25" s="2072">
        <f>INDEX(MO_RIS_SBC_COGS,0,COLUMN())</f>
        <v/>
      </c>
      <c r="AO25" s="2087">
        <f>INDEX(MO_RIS_SBC_COGS,0,COLUMN())</f>
        <v/>
      </c>
      <c r="AP25" s="2072">
        <f>INDEX(MO_RIS_SBC_COGS,0,COLUMN())</f>
        <v/>
      </c>
      <c r="AQ25" s="2072">
        <f>INDEX(MO_RIS_SBC_COGS,0,COLUMN())</f>
        <v/>
      </c>
      <c r="AR25" s="2072">
        <f>INDEX(MO_RIS_SBC_COGS,0,COLUMN())</f>
        <v/>
      </c>
      <c r="AS25" s="2072">
        <f>INDEX(MO_RIS_SBC_COGS,0,COLUMN())</f>
        <v/>
      </c>
      <c r="AT25" s="2087">
        <f>INDEX(MO_RIS_SBC_COGS,0,COLUMN())</f>
        <v/>
      </c>
      <c r="AU25" s="2072">
        <f>INDEX(MO_RIS_SBC_COGS,0,COLUMN())</f>
        <v/>
      </c>
      <c r="AV25" s="2072">
        <f>INDEX(MO_RIS_SBC_COGS,0,COLUMN())</f>
        <v/>
      </c>
      <c r="AW25" s="2072">
        <f>INDEX(MO_RIS_SBC_COGS,0,COLUMN())</f>
        <v/>
      </c>
      <c r="AX25" s="2072">
        <f>INDEX(MO_RIS_SBC_COGS,0,COLUMN())</f>
        <v/>
      </c>
      <c r="AY25" s="2087">
        <f>INDEX(MO_RIS_SBC_COGS,0,COLUMN())</f>
        <v/>
      </c>
      <c r="AZ25" s="2072">
        <f>INDEX(MO_RIS_SBC_COGS,0,COLUMN())</f>
        <v/>
      </c>
      <c r="BA25" s="2072">
        <f>INDEX(MO_RIS_SBC_COGS,0,COLUMN())</f>
        <v/>
      </c>
      <c r="BB25" s="2072">
        <f>INDEX(MO_RIS_SBC_COGS,0,COLUMN())</f>
        <v/>
      </c>
      <c r="BC25" s="2072">
        <f>INDEX(MO_RIS_SBC_COGS,0,COLUMN())</f>
        <v/>
      </c>
      <c r="BD25" s="2087">
        <f>INDEX(MO_RIS_SBC_COGS,0,COLUMN())</f>
        <v/>
      </c>
      <c r="BE25" s="2072">
        <f>INDEX(MO_RIS_SBC_COGS,0,COLUMN())</f>
        <v/>
      </c>
      <c r="BF25" s="2072">
        <f>INDEX(MO_RIS_SBC_COGS,0,COLUMN())</f>
        <v/>
      </c>
      <c r="BG25" s="2072">
        <f>INDEX(MO_RIS_SBC_COGS,0,COLUMN())</f>
        <v/>
      </c>
      <c r="BH25" s="2072">
        <f>INDEX(MO_RIS_SBC_COGS,0,COLUMN())</f>
        <v/>
      </c>
      <c r="BI25" s="2087">
        <f>INDEX(MO_RIS_SBC_COGS,0,COLUMN())</f>
        <v/>
      </c>
      <c r="BJ25" s="2072">
        <f>INDEX(MO_RIS_SBC_COGS,0,COLUMN())</f>
        <v/>
      </c>
      <c r="BK25" s="2072">
        <f>INDEX(MO_RIS_SBC_COGS,0,COLUMN())</f>
        <v/>
      </c>
      <c r="BL25" s="2072">
        <f>INDEX(MO_RIS_SBC_COGS,0,COLUMN())</f>
        <v/>
      </c>
      <c r="BM25" s="2072">
        <f>INDEX(MO_RIS_SBC_COGS,0,COLUMN())</f>
        <v/>
      </c>
      <c r="BN25" s="2087">
        <f>INDEX(MO_RIS_SBC_COGS,0,COLUMN())</f>
        <v/>
      </c>
      <c r="BO25" s="2072">
        <f>INDEX(MO_RIS_SBC_COGS,0,COLUMN())</f>
        <v/>
      </c>
      <c r="BP25" s="2072">
        <f>INDEX(MO_RIS_SBC_COGS,0,COLUMN())</f>
        <v/>
      </c>
      <c r="BQ25" s="2073">
        <f>INDEX(MO_RIS_SBC_COGS,0,COLUMN())</f>
        <v/>
      </c>
      <c r="BR25" s="2072">
        <f>INDEX(MO_RIS_SBC_COGS,0,COLUMN())</f>
        <v/>
      </c>
      <c r="BS25" s="2087">
        <f>INDEX(MO_RIS_SBC_COGS,0,COLUMN())</f>
        <v/>
      </c>
      <c r="BT25" s="2072">
        <f>INDEX(MO_RIS_SBC_COGS,0,COLUMN())</f>
        <v/>
      </c>
      <c r="BU25" s="2072">
        <f>INDEX(MO_RIS_SBC_COGS,0,COLUMN())</f>
        <v/>
      </c>
      <c r="BV25" s="2072">
        <f>INDEX(MO_RIS_SBC_COGS,0,COLUMN())</f>
        <v/>
      </c>
      <c r="BW25" s="2072">
        <f>INDEX(MO_RIS_SBC_COGS,0,COLUMN())</f>
        <v/>
      </c>
      <c r="BX25" s="2087">
        <f>INDEX(MO_RIS_SBC_COGS,0,COLUMN())</f>
        <v/>
      </c>
      <c r="BY25" s="2087">
        <f>INDEX(MO_RIS_SBC_COGS,0,COLUMN())</f>
        <v/>
      </c>
      <c r="BZ25" s="2087">
        <f>INDEX(MO_RIS_SBC_COGS,0,COLUMN())</f>
        <v/>
      </c>
      <c r="CA25" s="2087">
        <f>INDEX(MO_RIS_SBC_COGS,0,COLUMN())</f>
        <v/>
      </c>
      <c r="CB25" s="2072" t="n"/>
    </row>
    <row r="26" ht="15" customFormat="1" customHeight="1" s="2101">
      <c r="A26" s="1593">
        <f>INDEX(MO_RIS_COGS_Adjustments_Other,0,COLUMN())</f>
        <v/>
      </c>
      <c r="B26" s="2200" t="n"/>
      <c r="C26" s="2087">
        <f>INDEX(MO_RIS_COGS_Adjustments_Other,0,COLUMN())</f>
        <v/>
      </c>
      <c r="D26" s="2087">
        <f>INDEX(MO_RIS_COGS_Adjustments_Other,0,COLUMN())</f>
        <v/>
      </c>
      <c r="E26" s="2087">
        <f>INDEX(MO_RIS_COGS_Adjustments_Other,0,COLUMN())</f>
        <v/>
      </c>
      <c r="F26" s="2087">
        <f>INDEX(MO_RIS_COGS_Adjustments_Other,0,COLUMN())</f>
        <v/>
      </c>
      <c r="G26" s="2072">
        <f>INDEX(MO_RIS_COGS_Adjustments_Other,0,COLUMN())</f>
        <v/>
      </c>
      <c r="H26" s="2072">
        <f>INDEX(MO_RIS_COGS_Adjustments_Other,0,COLUMN())</f>
        <v/>
      </c>
      <c r="I26" s="2072">
        <f>INDEX(MO_RIS_COGS_Adjustments_Other,0,COLUMN())</f>
        <v/>
      </c>
      <c r="J26" s="2072">
        <f>INDEX(MO_RIS_COGS_Adjustments_Other,0,COLUMN())</f>
        <v/>
      </c>
      <c r="K26" s="2087">
        <f>INDEX(MO_RIS_COGS_Adjustments_Other,0,COLUMN())</f>
        <v/>
      </c>
      <c r="L26" s="2072">
        <f>INDEX(MO_RIS_COGS_Adjustments_Other,0,COLUMN())</f>
        <v/>
      </c>
      <c r="M26" s="2072">
        <f>INDEX(MO_RIS_COGS_Adjustments_Other,0,COLUMN())</f>
        <v/>
      </c>
      <c r="N26" s="2072">
        <f>INDEX(MO_RIS_COGS_Adjustments_Other,0,COLUMN())</f>
        <v/>
      </c>
      <c r="O26" s="2072">
        <f>INDEX(MO_RIS_COGS_Adjustments_Other,0,COLUMN())</f>
        <v/>
      </c>
      <c r="P26" s="2087">
        <f>INDEX(MO_RIS_COGS_Adjustments_Other,0,COLUMN())</f>
        <v/>
      </c>
      <c r="Q26" s="2072">
        <f>INDEX(MO_RIS_COGS_Adjustments_Other,0,COLUMN())</f>
        <v/>
      </c>
      <c r="R26" s="2072">
        <f>INDEX(MO_RIS_COGS_Adjustments_Other,0,COLUMN())</f>
        <v/>
      </c>
      <c r="S26" s="2072">
        <f>INDEX(MO_RIS_COGS_Adjustments_Other,0,COLUMN())</f>
        <v/>
      </c>
      <c r="T26" s="2072">
        <f>INDEX(MO_RIS_COGS_Adjustments_Other,0,COLUMN())</f>
        <v/>
      </c>
      <c r="U26" s="2087">
        <f>INDEX(MO_RIS_COGS_Adjustments_Other,0,COLUMN())</f>
        <v/>
      </c>
      <c r="V26" s="2072">
        <f>INDEX(MO_RIS_COGS_Adjustments_Other,0,COLUMN())</f>
        <v/>
      </c>
      <c r="W26" s="2072">
        <f>INDEX(MO_RIS_COGS_Adjustments_Other,0,COLUMN())</f>
        <v/>
      </c>
      <c r="X26" s="2072">
        <f>INDEX(MO_RIS_COGS_Adjustments_Other,0,COLUMN())</f>
        <v/>
      </c>
      <c r="Y26" s="2072">
        <f>INDEX(MO_RIS_COGS_Adjustments_Other,0,COLUMN())</f>
        <v/>
      </c>
      <c r="Z26" s="2087">
        <f>INDEX(MO_RIS_COGS_Adjustments_Other,0,COLUMN())</f>
        <v/>
      </c>
      <c r="AA26" s="2072">
        <f>INDEX(MO_RIS_COGS_Adjustments_Other,0,COLUMN())</f>
        <v/>
      </c>
      <c r="AB26" s="2072">
        <f>INDEX(MO_RIS_COGS_Adjustments_Other,0,COLUMN())</f>
        <v/>
      </c>
      <c r="AC26" s="2072">
        <f>INDEX(MO_RIS_COGS_Adjustments_Other,0,COLUMN())</f>
        <v/>
      </c>
      <c r="AD26" s="2072">
        <f>INDEX(MO_RIS_COGS_Adjustments_Other,0,COLUMN())</f>
        <v/>
      </c>
      <c r="AE26" s="2087">
        <f>INDEX(MO_RIS_COGS_Adjustments_Other,0,COLUMN())</f>
        <v/>
      </c>
      <c r="AF26" s="2072">
        <f>INDEX(MO_RIS_COGS_Adjustments_Other,0,COLUMN())</f>
        <v/>
      </c>
      <c r="AG26" s="2072">
        <f>INDEX(MO_RIS_COGS_Adjustments_Other,0,COLUMN())</f>
        <v/>
      </c>
      <c r="AH26" s="2072">
        <f>INDEX(MO_RIS_COGS_Adjustments_Other,0,COLUMN())</f>
        <v/>
      </c>
      <c r="AI26" s="2072">
        <f>INDEX(MO_RIS_COGS_Adjustments_Other,0,COLUMN())</f>
        <v/>
      </c>
      <c r="AJ26" s="2087">
        <f>INDEX(MO_RIS_COGS_Adjustments_Other,0,COLUMN())</f>
        <v/>
      </c>
      <c r="AK26" s="2072">
        <f>INDEX(MO_RIS_COGS_Adjustments_Other,0,COLUMN())</f>
        <v/>
      </c>
      <c r="AL26" s="2072">
        <f>INDEX(MO_RIS_COGS_Adjustments_Other,0,COLUMN())</f>
        <v/>
      </c>
      <c r="AM26" s="2072">
        <f>INDEX(MO_RIS_COGS_Adjustments_Other,0,COLUMN())</f>
        <v/>
      </c>
      <c r="AN26" s="2072">
        <f>INDEX(MO_RIS_COGS_Adjustments_Other,0,COLUMN())</f>
        <v/>
      </c>
      <c r="AO26" s="2087">
        <f>INDEX(MO_RIS_COGS_Adjustments_Other,0,COLUMN())</f>
        <v/>
      </c>
      <c r="AP26" s="2072">
        <f>INDEX(MO_RIS_COGS_Adjustments_Other,0,COLUMN())</f>
        <v/>
      </c>
      <c r="AQ26" s="2072">
        <f>INDEX(MO_RIS_COGS_Adjustments_Other,0,COLUMN())</f>
        <v/>
      </c>
      <c r="AR26" s="2072">
        <f>INDEX(MO_RIS_COGS_Adjustments_Other,0,COLUMN())</f>
        <v/>
      </c>
      <c r="AS26" s="2072">
        <f>INDEX(MO_RIS_COGS_Adjustments_Other,0,COLUMN())</f>
        <v/>
      </c>
      <c r="AT26" s="2087">
        <f>INDEX(MO_RIS_COGS_Adjustments_Other,0,COLUMN())</f>
        <v/>
      </c>
      <c r="AU26" s="2072">
        <f>INDEX(MO_RIS_COGS_Adjustments_Other,0,COLUMN())</f>
        <v/>
      </c>
      <c r="AV26" s="2072">
        <f>INDEX(MO_RIS_COGS_Adjustments_Other,0,COLUMN())</f>
        <v/>
      </c>
      <c r="AW26" s="2072">
        <f>INDEX(MO_RIS_COGS_Adjustments_Other,0,COLUMN())</f>
        <v/>
      </c>
      <c r="AX26" s="2072">
        <f>INDEX(MO_RIS_COGS_Adjustments_Other,0,COLUMN())</f>
        <v/>
      </c>
      <c r="AY26" s="2087">
        <f>INDEX(MO_RIS_COGS_Adjustments_Other,0,COLUMN())</f>
        <v/>
      </c>
      <c r="AZ26" s="2072">
        <f>INDEX(MO_RIS_COGS_Adjustments_Other,0,COLUMN())</f>
        <v/>
      </c>
      <c r="BA26" s="2072">
        <f>INDEX(MO_RIS_COGS_Adjustments_Other,0,COLUMN())</f>
        <v/>
      </c>
      <c r="BB26" s="2072">
        <f>INDEX(MO_RIS_COGS_Adjustments_Other,0,COLUMN())</f>
        <v/>
      </c>
      <c r="BC26" s="2072">
        <f>INDEX(MO_RIS_COGS_Adjustments_Other,0,COLUMN())</f>
        <v/>
      </c>
      <c r="BD26" s="2087">
        <f>INDEX(MO_RIS_COGS_Adjustments_Other,0,COLUMN())</f>
        <v/>
      </c>
      <c r="BE26" s="2072">
        <f>INDEX(MO_RIS_COGS_Adjustments_Other,0,COLUMN())</f>
        <v/>
      </c>
      <c r="BF26" s="2072">
        <f>INDEX(MO_RIS_COGS_Adjustments_Other,0,COLUMN())</f>
        <v/>
      </c>
      <c r="BG26" s="2072">
        <f>INDEX(MO_RIS_COGS_Adjustments_Other,0,COLUMN())</f>
        <v/>
      </c>
      <c r="BH26" s="2072">
        <f>INDEX(MO_RIS_COGS_Adjustments_Other,0,COLUMN())</f>
        <v/>
      </c>
      <c r="BI26" s="2087">
        <f>INDEX(MO_RIS_COGS_Adjustments_Other,0,COLUMN())</f>
        <v/>
      </c>
      <c r="BJ26" s="2072">
        <f>INDEX(MO_RIS_COGS_Adjustments_Other,0,COLUMN())</f>
        <v/>
      </c>
      <c r="BK26" s="2072">
        <f>INDEX(MO_RIS_COGS_Adjustments_Other,0,COLUMN())</f>
        <v/>
      </c>
      <c r="BL26" s="2072">
        <f>INDEX(MO_RIS_COGS_Adjustments_Other,0,COLUMN())</f>
        <v/>
      </c>
      <c r="BM26" s="2072">
        <f>INDEX(MO_RIS_COGS_Adjustments_Other,0,COLUMN())</f>
        <v/>
      </c>
      <c r="BN26" s="2087">
        <f>INDEX(MO_RIS_COGS_Adjustments_Other,0,COLUMN())</f>
        <v/>
      </c>
      <c r="BO26" s="2072">
        <f>INDEX(MO_RIS_COGS_Adjustments_Other,0,COLUMN())</f>
        <v/>
      </c>
      <c r="BP26" s="2072">
        <f>INDEX(MO_RIS_COGS_Adjustments_Other,0,COLUMN())</f>
        <v/>
      </c>
      <c r="BQ26" s="2073">
        <f>INDEX(MO_RIS_COGS_Adjustments_Other,0,COLUMN())</f>
        <v/>
      </c>
      <c r="BR26" s="2072">
        <f>INDEX(MO_RIS_COGS_Adjustments_Other,0,COLUMN())</f>
        <v/>
      </c>
      <c r="BS26" s="2087">
        <f>INDEX(MO_RIS_COGS_Adjustments_Other,0,COLUMN())</f>
        <v/>
      </c>
      <c r="BT26" s="2072">
        <f>INDEX(MO_RIS_COGS_Adjustments_Other,0,COLUMN())</f>
        <v/>
      </c>
      <c r="BU26" s="2072">
        <f>INDEX(MO_RIS_COGS_Adjustments_Other,0,COLUMN())</f>
        <v/>
      </c>
      <c r="BV26" s="2072">
        <f>INDEX(MO_RIS_COGS_Adjustments_Other,0,COLUMN())</f>
        <v/>
      </c>
      <c r="BW26" s="2072">
        <f>INDEX(MO_RIS_COGS_Adjustments_Other,0,COLUMN())</f>
        <v/>
      </c>
      <c r="BX26" s="2087">
        <f>INDEX(MO_RIS_COGS_Adjustments_Other,0,COLUMN())</f>
        <v/>
      </c>
      <c r="BY26" s="2087">
        <f>INDEX(MO_RIS_COGS_Adjustments_Other,0,COLUMN())</f>
        <v/>
      </c>
      <c r="BZ26" s="2087">
        <f>INDEX(MO_RIS_COGS_Adjustments_Other,0,COLUMN())</f>
        <v/>
      </c>
      <c r="CA26" s="2087">
        <f>INDEX(MO_RIS_COGS_Adjustments_Other,0,COLUMN())</f>
        <v/>
      </c>
      <c r="CB26" s="2072" t="n"/>
    </row>
    <row r="27" ht="15" customFormat="1" customHeight="1" s="2101">
      <c r="A27" s="1593">
        <f>INDEX(MO_RIS_DAintangibles_COGS,0,COLUMN())</f>
        <v/>
      </c>
      <c r="B27" s="2200" t="n"/>
      <c r="C27" s="2087">
        <f>INDEX(MO_RIS_DAintangibles_COGS,0,COLUMN())</f>
        <v/>
      </c>
      <c r="D27" s="2087">
        <f>INDEX(MO_RIS_DAintangibles_COGS,0,COLUMN())</f>
        <v/>
      </c>
      <c r="E27" s="2087">
        <f>INDEX(MO_RIS_DAintangibles_COGS,0,COLUMN())</f>
        <v/>
      </c>
      <c r="F27" s="2087">
        <f>INDEX(MO_RIS_DAintangibles_COGS,0,COLUMN())</f>
        <v/>
      </c>
      <c r="G27" s="2072">
        <f>INDEX(MO_RIS_DAintangibles_COGS,0,COLUMN())</f>
        <v/>
      </c>
      <c r="H27" s="2072">
        <f>INDEX(MO_RIS_DAintangibles_COGS,0,COLUMN())</f>
        <v/>
      </c>
      <c r="I27" s="2072">
        <f>INDEX(MO_RIS_DAintangibles_COGS,0,COLUMN())</f>
        <v/>
      </c>
      <c r="J27" s="2072">
        <f>INDEX(MO_RIS_DAintangibles_COGS,0,COLUMN())</f>
        <v/>
      </c>
      <c r="K27" s="2087">
        <f>INDEX(MO_RIS_DAintangibles_COGS,0,COLUMN())</f>
        <v/>
      </c>
      <c r="L27" s="2072">
        <f>INDEX(MO_RIS_DAintangibles_COGS,0,COLUMN())</f>
        <v/>
      </c>
      <c r="M27" s="2072">
        <f>INDEX(MO_RIS_DAintangibles_COGS,0,COLUMN())</f>
        <v/>
      </c>
      <c r="N27" s="2072">
        <f>INDEX(MO_RIS_DAintangibles_COGS,0,COLUMN())</f>
        <v/>
      </c>
      <c r="O27" s="2072">
        <f>INDEX(MO_RIS_DAintangibles_COGS,0,COLUMN())</f>
        <v/>
      </c>
      <c r="P27" s="2087">
        <f>INDEX(MO_RIS_DAintangibles_COGS,0,COLUMN())</f>
        <v/>
      </c>
      <c r="Q27" s="2072">
        <f>INDEX(MO_RIS_DAintangibles_COGS,0,COLUMN())</f>
        <v/>
      </c>
      <c r="R27" s="2072">
        <f>INDEX(MO_RIS_DAintangibles_COGS,0,COLUMN())</f>
        <v/>
      </c>
      <c r="S27" s="2072">
        <f>INDEX(MO_RIS_DAintangibles_COGS,0,COLUMN())</f>
        <v/>
      </c>
      <c r="T27" s="2072">
        <f>INDEX(MO_RIS_DAintangibles_COGS,0,COLUMN())</f>
        <v/>
      </c>
      <c r="U27" s="2087">
        <f>INDEX(MO_RIS_DAintangibles_COGS,0,COLUMN())</f>
        <v/>
      </c>
      <c r="V27" s="2072">
        <f>INDEX(MO_RIS_DAintangibles_COGS,0,COLUMN())</f>
        <v/>
      </c>
      <c r="W27" s="2072">
        <f>INDEX(MO_RIS_DAintangibles_COGS,0,COLUMN())</f>
        <v/>
      </c>
      <c r="X27" s="2072">
        <f>INDEX(MO_RIS_DAintangibles_COGS,0,COLUMN())</f>
        <v/>
      </c>
      <c r="Y27" s="2072">
        <f>INDEX(MO_RIS_DAintangibles_COGS,0,COLUMN())</f>
        <v/>
      </c>
      <c r="Z27" s="2087">
        <f>INDEX(MO_RIS_DAintangibles_COGS,0,COLUMN())</f>
        <v/>
      </c>
      <c r="AA27" s="2072">
        <f>INDEX(MO_RIS_DAintangibles_COGS,0,COLUMN())</f>
        <v/>
      </c>
      <c r="AB27" s="2072">
        <f>INDEX(MO_RIS_DAintangibles_COGS,0,COLUMN())</f>
        <v/>
      </c>
      <c r="AC27" s="2072">
        <f>INDEX(MO_RIS_DAintangibles_COGS,0,COLUMN())</f>
        <v/>
      </c>
      <c r="AD27" s="2072">
        <f>INDEX(MO_RIS_DAintangibles_COGS,0,COLUMN())</f>
        <v/>
      </c>
      <c r="AE27" s="2087">
        <f>INDEX(MO_RIS_DAintangibles_COGS,0,COLUMN())</f>
        <v/>
      </c>
      <c r="AF27" s="2072">
        <f>INDEX(MO_RIS_DAintangibles_COGS,0,COLUMN())</f>
        <v/>
      </c>
      <c r="AG27" s="2072">
        <f>INDEX(MO_RIS_DAintangibles_COGS,0,COLUMN())</f>
        <v/>
      </c>
      <c r="AH27" s="2072">
        <f>INDEX(MO_RIS_DAintangibles_COGS,0,COLUMN())</f>
        <v/>
      </c>
      <c r="AI27" s="2072">
        <f>INDEX(MO_RIS_DAintangibles_COGS,0,COLUMN())</f>
        <v/>
      </c>
      <c r="AJ27" s="2087">
        <f>INDEX(MO_RIS_DAintangibles_COGS,0,COLUMN())</f>
        <v/>
      </c>
      <c r="AK27" s="2072">
        <f>INDEX(MO_RIS_DAintangibles_COGS,0,COLUMN())</f>
        <v/>
      </c>
      <c r="AL27" s="2072">
        <f>INDEX(MO_RIS_DAintangibles_COGS,0,COLUMN())</f>
        <v/>
      </c>
      <c r="AM27" s="2072">
        <f>INDEX(MO_RIS_DAintangibles_COGS,0,COLUMN())</f>
        <v/>
      </c>
      <c r="AN27" s="2072">
        <f>INDEX(MO_RIS_DAintangibles_COGS,0,COLUMN())</f>
        <v/>
      </c>
      <c r="AO27" s="2087">
        <f>INDEX(MO_RIS_DAintangibles_COGS,0,COLUMN())</f>
        <v/>
      </c>
      <c r="AP27" s="2072">
        <f>INDEX(MO_RIS_DAintangibles_COGS,0,COLUMN())</f>
        <v/>
      </c>
      <c r="AQ27" s="2072">
        <f>INDEX(MO_RIS_DAintangibles_COGS,0,COLUMN())</f>
        <v/>
      </c>
      <c r="AR27" s="2072">
        <f>INDEX(MO_RIS_DAintangibles_COGS,0,COLUMN())</f>
        <v/>
      </c>
      <c r="AS27" s="2072">
        <f>INDEX(MO_RIS_DAintangibles_COGS,0,COLUMN())</f>
        <v/>
      </c>
      <c r="AT27" s="2087">
        <f>INDEX(MO_RIS_DAintangibles_COGS,0,COLUMN())</f>
        <v/>
      </c>
      <c r="AU27" s="2072">
        <f>INDEX(MO_RIS_DAintangibles_COGS,0,COLUMN())</f>
        <v/>
      </c>
      <c r="AV27" s="2072">
        <f>INDEX(MO_RIS_DAintangibles_COGS,0,COLUMN())</f>
        <v/>
      </c>
      <c r="AW27" s="2072">
        <f>INDEX(MO_RIS_DAintangibles_COGS,0,COLUMN())</f>
        <v/>
      </c>
      <c r="AX27" s="2072">
        <f>INDEX(MO_RIS_DAintangibles_COGS,0,COLUMN())</f>
        <v/>
      </c>
      <c r="AY27" s="2087">
        <f>INDEX(MO_RIS_DAintangibles_COGS,0,COLUMN())</f>
        <v/>
      </c>
      <c r="AZ27" s="2072">
        <f>INDEX(MO_RIS_DAintangibles_COGS,0,COLUMN())</f>
        <v/>
      </c>
      <c r="BA27" s="2072">
        <f>INDEX(MO_RIS_DAintangibles_COGS,0,COLUMN())</f>
        <v/>
      </c>
      <c r="BB27" s="2072">
        <f>INDEX(MO_RIS_DAintangibles_COGS,0,COLUMN())</f>
        <v/>
      </c>
      <c r="BC27" s="2072">
        <f>INDEX(MO_RIS_DAintangibles_COGS,0,COLUMN())</f>
        <v/>
      </c>
      <c r="BD27" s="2087">
        <f>INDEX(MO_RIS_DAintangibles_COGS,0,COLUMN())</f>
        <v/>
      </c>
      <c r="BE27" s="2072">
        <f>INDEX(MO_RIS_DAintangibles_COGS,0,COLUMN())</f>
        <v/>
      </c>
      <c r="BF27" s="2072">
        <f>INDEX(MO_RIS_DAintangibles_COGS,0,COLUMN())</f>
        <v/>
      </c>
      <c r="BG27" s="2072">
        <f>INDEX(MO_RIS_DAintangibles_COGS,0,COLUMN())</f>
        <v/>
      </c>
      <c r="BH27" s="2072">
        <f>INDEX(MO_RIS_DAintangibles_COGS,0,COLUMN())</f>
        <v/>
      </c>
      <c r="BI27" s="2087">
        <f>INDEX(MO_RIS_DAintangibles_COGS,0,COLUMN())</f>
        <v/>
      </c>
      <c r="BJ27" s="2072">
        <f>INDEX(MO_RIS_DAintangibles_COGS,0,COLUMN())</f>
        <v/>
      </c>
      <c r="BK27" s="2072">
        <f>INDEX(MO_RIS_DAintangibles_COGS,0,COLUMN())</f>
        <v/>
      </c>
      <c r="BL27" s="2072">
        <f>INDEX(MO_RIS_DAintangibles_COGS,0,COLUMN())</f>
        <v/>
      </c>
      <c r="BM27" s="2072">
        <f>INDEX(MO_RIS_DAintangibles_COGS,0,COLUMN())</f>
        <v/>
      </c>
      <c r="BN27" s="2087">
        <f>INDEX(MO_RIS_DAintangibles_COGS,0,COLUMN())</f>
        <v/>
      </c>
      <c r="BO27" s="2072">
        <f>INDEX(MO_RIS_DAintangibles_COGS,0,COLUMN())</f>
        <v/>
      </c>
      <c r="BP27" s="2072">
        <f>INDEX(MO_RIS_DAintangibles_COGS,0,COLUMN())</f>
        <v/>
      </c>
      <c r="BQ27" s="2073">
        <f>INDEX(MO_RIS_DAintangibles_COGS,0,COLUMN())</f>
        <v/>
      </c>
      <c r="BR27" s="2072">
        <f>INDEX(MO_RIS_DAintangibles_COGS,0,COLUMN())</f>
        <v/>
      </c>
      <c r="BS27" s="2087">
        <f>INDEX(MO_RIS_DAintangibles_COGS,0,COLUMN())</f>
        <v/>
      </c>
      <c r="BT27" s="2072">
        <f>INDEX(MO_RIS_DAintangibles_COGS,0,COLUMN())</f>
        <v/>
      </c>
      <c r="BU27" s="2072">
        <f>INDEX(MO_RIS_DAintangibles_COGS,0,COLUMN())</f>
        <v/>
      </c>
      <c r="BV27" s="2072">
        <f>INDEX(MO_RIS_DAintangibles_COGS,0,COLUMN())</f>
        <v/>
      </c>
      <c r="BW27" s="2072">
        <f>INDEX(MO_RIS_DAintangibles_COGS,0,COLUMN())</f>
        <v/>
      </c>
      <c r="BX27" s="2087">
        <f>INDEX(MO_RIS_DAintangibles_COGS,0,COLUMN())</f>
        <v/>
      </c>
      <c r="BY27" s="2087">
        <f>INDEX(MO_RIS_DAintangibles_COGS,0,COLUMN())</f>
        <v/>
      </c>
      <c r="BZ27" s="2087">
        <f>INDEX(MO_RIS_DAintangibles_COGS,0,COLUMN())</f>
        <v/>
      </c>
      <c r="CA27" s="2087">
        <f>INDEX(MO_RIS_DAintangibles_COGS,0,COLUMN())</f>
        <v/>
      </c>
      <c r="CB27" s="2072" t="n"/>
    </row>
    <row r="28" ht="15" customFormat="1" customHeight="1" s="2101">
      <c r="A28" s="1593">
        <f>INDEX(MO_RIS_RD_NONGAAP,0,COLUMN())</f>
        <v/>
      </c>
      <c r="B28" s="2200" t="n"/>
      <c r="C28" s="2087">
        <f>INDEX(MO_RIS_RD_NONGAAP,0,COLUMN())</f>
        <v/>
      </c>
      <c r="D28" s="2087">
        <f>INDEX(MO_RIS_RD_NONGAAP,0,COLUMN())</f>
        <v/>
      </c>
      <c r="E28" s="2087">
        <f>INDEX(MO_RIS_RD_NONGAAP,0,COLUMN())</f>
        <v/>
      </c>
      <c r="F28" s="2087">
        <f>INDEX(MO_RIS_RD_NONGAAP,0,COLUMN())</f>
        <v/>
      </c>
      <c r="G28" s="2072">
        <f>INDEX(MO_RIS_RD_NONGAAP,0,COLUMN())</f>
        <v/>
      </c>
      <c r="H28" s="2072">
        <f>INDEX(MO_RIS_RD_NONGAAP,0,COLUMN())</f>
        <v/>
      </c>
      <c r="I28" s="2072">
        <f>INDEX(MO_RIS_RD_NONGAAP,0,COLUMN())</f>
        <v/>
      </c>
      <c r="J28" s="2072">
        <f>INDEX(MO_RIS_RD_NONGAAP,0,COLUMN())</f>
        <v/>
      </c>
      <c r="K28" s="2087">
        <f>INDEX(MO_RIS_RD_NONGAAP,0,COLUMN())</f>
        <v/>
      </c>
      <c r="L28" s="2072">
        <f>INDEX(MO_RIS_RD_NONGAAP,0,COLUMN())</f>
        <v/>
      </c>
      <c r="M28" s="2072">
        <f>INDEX(MO_RIS_RD_NONGAAP,0,COLUMN())</f>
        <v/>
      </c>
      <c r="N28" s="2072">
        <f>INDEX(MO_RIS_RD_NONGAAP,0,COLUMN())</f>
        <v/>
      </c>
      <c r="O28" s="2072">
        <f>INDEX(MO_RIS_RD_NONGAAP,0,COLUMN())</f>
        <v/>
      </c>
      <c r="P28" s="2087">
        <f>INDEX(MO_RIS_RD_NONGAAP,0,COLUMN())</f>
        <v/>
      </c>
      <c r="Q28" s="2072">
        <f>INDEX(MO_RIS_RD_NONGAAP,0,COLUMN())</f>
        <v/>
      </c>
      <c r="R28" s="2072">
        <f>INDEX(MO_RIS_RD_NONGAAP,0,COLUMN())</f>
        <v/>
      </c>
      <c r="S28" s="2072">
        <f>INDEX(MO_RIS_RD_NONGAAP,0,COLUMN())</f>
        <v/>
      </c>
      <c r="T28" s="2072">
        <f>INDEX(MO_RIS_RD_NONGAAP,0,COLUMN())</f>
        <v/>
      </c>
      <c r="U28" s="2087">
        <f>INDEX(MO_RIS_RD_NONGAAP,0,COLUMN())</f>
        <v/>
      </c>
      <c r="V28" s="2072">
        <f>INDEX(MO_RIS_RD_NONGAAP,0,COLUMN())</f>
        <v/>
      </c>
      <c r="W28" s="2072">
        <f>INDEX(MO_RIS_RD_NONGAAP,0,COLUMN())</f>
        <v/>
      </c>
      <c r="X28" s="2072">
        <f>INDEX(MO_RIS_RD_NONGAAP,0,COLUMN())</f>
        <v/>
      </c>
      <c r="Y28" s="2072">
        <f>INDEX(MO_RIS_RD_NONGAAP,0,COLUMN())</f>
        <v/>
      </c>
      <c r="Z28" s="2087">
        <f>INDEX(MO_RIS_RD_NONGAAP,0,COLUMN())</f>
        <v/>
      </c>
      <c r="AA28" s="2072">
        <f>INDEX(MO_RIS_RD_NONGAAP,0,COLUMN())</f>
        <v/>
      </c>
      <c r="AB28" s="2072">
        <f>INDEX(MO_RIS_RD_NONGAAP,0,COLUMN())</f>
        <v/>
      </c>
      <c r="AC28" s="2072">
        <f>INDEX(MO_RIS_RD_NONGAAP,0,COLUMN())</f>
        <v/>
      </c>
      <c r="AD28" s="2072">
        <f>INDEX(MO_RIS_RD_NONGAAP,0,COLUMN())</f>
        <v/>
      </c>
      <c r="AE28" s="2087">
        <f>INDEX(MO_RIS_RD_NONGAAP,0,COLUMN())</f>
        <v/>
      </c>
      <c r="AF28" s="2072">
        <f>INDEX(MO_RIS_RD_NONGAAP,0,COLUMN())</f>
        <v/>
      </c>
      <c r="AG28" s="2072">
        <f>INDEX(MO_RIS_RD_NONGAAP,0,COLUMN())</f>
        <v/>
      </c>
      <c r="AH28" s="2072">
        <f>INDEX(MO_RIS_RD_NONGAAP,0,COLUMN())</f>
        <v/>
      </c>
      <c r="AI28" s="2072">
        <f>INDEX(MO_RIS_RD_NONGAAP,0,COLUMN())</f>
        <v/>
      </c>
      <c r="AJ28" s="2087">
        <f>INDEX(MO_RIS_RD_NONGAAP,0,COLUMN())</f>
        <v/>
      </c>
      <c r="AK28" s="2072">
        <f>INDEX(MO_RIS_RD_NONGAAP,0,COLUMN())</f>
        <v/>
      </c>
      <c r="AL28" s="2072">
        <f>INDEX(MO_RIS_RD_NONGAAP,0,COLUMN())</f>
        <v/>
      </c>
      <c r="AM28" s="2072">
        <f>INDEX(MO_RIS_RD_NONGAAP,0,COLUMN())</f>
        <v/>
      </c>
      <c r="AN28" s="2072">
        <f>INDEX(MO_RIS_RD_NONGAAP,0,COLUMN())</f>
        <v/>
      </c>
      <c r="AO28" s="2087">
        <f>INDEX(MO_RIS_RD_NONGAAP,0,COLUMN())</f>
        <v/>
      </c>
      <c r="AP28" s="2072">
        <f>INDEX(MO_RIS_RD_NONGAAP,0,COLUMN())</f>
        <v/>
      </c>
      <c r="AQ28" s="2072">
        <f>INDEX(MO_RIS_RD_NONGAAP,0,COLUMN())</f>
        <v/>
      </c>
      <c r="AR28" s="2072">
        <f>INDEX(MO_RIS_RD_NONGAAP,0,COLUMN())</f>
        <v/>
      </c>
      <c r="AS28" s="2072">
        <f>INDEX(MO_RIS_RD_NONGAAP,0,COLUMN())</f>
        <v/>
      </c>
      <c r="AT28" s="2087">
        <f>INDEX(MO_RIS_RD_NONGAAP,0,COLUMN())</f>
        <v/>
      </c>
      <c r="AU28" s="2072">
        <f>INDEX(MO_RIS_RD_NONGAAP,0,COLUMN())</f>
        <v/>
      </c>
      <c r="AV28" s="2072">
        <f>INDEX(MO_RIS_RD_NONGAAP,0,COLUMN())</f>
        <v/>
      </c>
      <c r="AW28" s="2072">
        <f>INDEX(MO_RIS_RD_NONGAAP,0,COLUMN())</f>
        <v/>
      </c>
      <c r="AX28" s="2072">
        <f>INDEX(MO_RIS_RD_NONGAAP,0,COLUMN())</f>
        <v/>
      </c>
      <c r="AY28" s="2087">
        <f>INDEX(MO_RIS_RD_NONGAAP,0,COLUMN())</f>
        <v/>
      </c>
      <c r="AZ28" s="2072">
        <f>INDEX(MO_RIS_RD_NONGAAP,0,COLUMN())</f>
        <v/>
      </c>
      <c r="BA28" s="2072">
        <f>INDEX(MO_RIS_RD_NONGAAP,0,COLUMN())</f>
        <v/>
      </c>
      <c r="BB28" s="2072">
        <f>INDEX(MO_RIS_RD_NONGAAP,0,COLUMN())</f>
        <v/>
      </c>
      <c r="BC28" s="2072">
        <f>INDEX(MO_RIS_RD_NONGAAP,0,COLUMN())</f>
        <v/>
      </c>
      <c r="BD28" s="2087">
        <f>INDEX(MO_RIS_RD_NONGAAP,0,COLUMN())</f>
        <v/>
      </c>
      <c r="BE28" s="2072">
        <f>INDEX(MO_RIS_RD_NONGAAP,0,COLUMN())</f>
        <v/>
      </c>
      <c r="BF28" s="2072">
        <f>INDEX(MO_RIS_RD_NONGAAP,0,COLUMN())</f>
        <v/>
      </c>
      <c r="BG28" s="2072">
        <f>INDEX(MO_RIS_RD_NONGAAP,0,COLUMN())</f>
        <v/>
      </c>
      <c r="BH28" s="2072">
        <f>INDEX(MO_RIS_RD_NONGAAP,0,COLUMN())</f>
        <v/>
      </c>
      <c r="BI28" s="2087">
        <f>INDEX(MO_RIS_RD_NONGAAP,0,COLUMN())</f>
        <v/>
      </c>
      <c r="BJ28" s="2072">
        <f>INDEX(MO_RIS_RD_NONGAAP,0,COLUMN())</f>
        <v/>
      </c>
      <c r="BK28" s="2072">
        <f>INDEX(MO_RIS_RD_NONGAAP,0,COLUMN())</f>
        <v/>
      </c>
      <c r="BL28" s="2072">
        <f>INDEX(MO_RIS_RD_NONGAAP,0,COLUMN())</f>
        <v/>
      </c>
      <c r="BM28" s="2072">
        <f>INDEX(MO_RIS_RD_NONGAAP,0,COLUMN())</f>
        <v/>
      </c>
      <c r="BN28" s="2087">
        <f>INDEX(MO_RIS_RD_NONGAAP,0,COLUMN())</f>
        <v/>
      </c>
      <c r="BO28" s="2072">
        <f>INDEX(MO_RIS_RD_NONGAAP,0,COLUMN())</f>
        <v/>
      </c>
      <c r="BP28" s="2072">
        <f>INDEX(MO_RIS_RD_NONGAAP,0,COLUMN())</f>
        <v/>
      </c>
      <c r="BQ28" s="2073">
        <f>INDEX(MO_RIS_RD_NONGAAP,0,COLUMN())</f>
        <v/>
      </c>
      <c r="BR28" s="2072">
        <f>INDEX(MO_RIS_RD_NONGAAP,0,COLUMN())</f>
        <v/>
      </c>
      <c r="BS28" s="2087">
        <f>INDEX(MO_RIS_RD_NONGAAP,0,COLUMN())</f>
        <v/>
      </c>
      <c r="BT28" s="2072">
        <f>INDEX(MO_RIS_RD_NONGAAP,0,COLUMN())</f>
        <v/>
      </c>
      <c r="BU28" s="2072">
        <f>INDEX(MO_RIS_RD_NONGAAP,0,COLUMN())</f>
        <v/>
      </c>
      <c r="BV28" s="2072">
        <f>INDEX(MO_RIS_RD_NONGAAP,0,COLUMN())</f>
        <v/>
      </c>
      <c r="BW28" s="2072">
        <f>INDEX(MO_RIS_RD_NONGAAP,0,COLUMN())</f>
        <v/>
      </c>
      <c r="BX28" s="2087">
        <f>INDEX(MO_RIS_RD_NONGAAP,0,COLUMN())</f>
        <v/>
      </c>
      <c r="BY28" s="2087">
        <f>INDEX(MO_RIS_RD_NONGAAP,0,COLUMN())</f>
        <v/>
      </c>
      <c r="BZ28" s="2087">
        <f>INDEX(MO_RIS_RD_NONGAAP,0,COLUMN())</f>
        <v/>
      </c>
      <c r="CA28" s="2087">
        <f>INDEX(MO_RIS_RD_NONGAAP,0,COLUMN())</f>
        <v/>
      </c>
      <c r="CB28" s="2072" t="n"/>
    </row>
    <row r="29" ht="15" customFormat="1" customHeight="1" s="2101">
      <c r="A29" s="1593">
        <f>INDEX(MO_RIS_GA_NONGAAP,0,COLUMN())</f>
        <v/>
      </c>
      <c r="B29" s="2200" t="n"/>
      <c r="C29" s="2087">
        <f>INDEX(MO_RIS_GA_NONGAAP,0,COLUMN())</f>
        <v/>
      </c>
      <c r="D29" s="2087">
        <f>INDEX(MO_RIS_GA_NONGAAP,0,COLUMN())</f>
        <v/>
      </c>
      <c r="E29" s="2087">
        <f>INDEX(MO_RIS_GA_NONGAAP,0,COLUMN())</f>
        <v/>
      </c>
      <c r="F29" s="2087">
        <f>INDEX(MO_RIS_GA_NONGAAP,0,COLUMN())</f>
        <v/>
      </c>
      <c r="G29" s="2072">
        <f>INDEX(MO_RIS_GA_NONGAAP,0,COLUMN())</f>
        <v/>
      </c>
      <c r="H29" s="2072">
        <f>INDEX(MO_RIS_GA_NONGAAP,0,COLUMN())</f>
        <v/>
      </c>
      <c r="I29" s="2072">
        <f>INDEX(MO_RIS_GA_NONGAAP,0,COLUMN())</f>
        <v/>
      </c>
      <c r="J29" s="2072">
        <f>INDEX(MO_RIS_GA_NONGAAP,0,COLUMN())</f>
        <v/>
      </c>
      <c r="K29" s="2087">
        <f>INDEX(MO_RIS_GA_NONGAAP,0,COLUMN())</f>
        <v/>
      </c>
      <c r="L29" s="2072">
        <f>INDEX(MO_RIS_GA_NONGAAP,0,COLUMN())</f>
        <v/>
      </c>
      <c r="M29" s="2072">
        <f>INDEX(MO_RIS_GA_NONGAAP,0,COLUMN())</f>
        <v/>
      </c>
      <c r="N29" s="2072">
        <f>INDEX(MO_RIS_GA_NONGAAP,0,COLUMN())</f>
        <v/>
      </c>
      <c r="O29" s="2072">
        <f>INDEX(MO_RIS_GA_NONGAAP,0,COLUMN())</f>
        <v/>
      </c>
      <c r="P29" s="2087">
        <f>INDEX(MO_RIS_GA_NONGAAP,0,COLUMN())</f>
        <v/>
      </c>
      <c r="Q29" s="2072">
        <f>INDEX(MO_RIS_GA_NONGAAP,0,COLUMN())</f>
        <v/>
      </c>
      <c r="R29" s="2072">
        <f>INDEX(MO_RIS_GA_NONGAAP,0,COLUMN())</f>
        <v/>
      </c>
      <c r="S29" s="2072">
        <f>INDEX(MO_RIS_GA_NONGAAP,0,COLUMN())</f>
        <v/>
      </c>
      <c r="T29" s="2072">
        <f>INDEX(MO_RIS_GA_NONGAAP,0,COLUMN())</f>
        <v/>
      </c>
      <c r="U29" s="2087">
        <f>INDEX(MO_RIS_GA_NONGAAP,0,COLUMN())</f>
        <v/>
      </c>
      <c r="V29" s="2072">
        <f>INDEX(MO_RIS_GA_NONGAAP,0,COLUMN())</f>
        <v/>
      </c>
      <c r="W29" s="2072">
        <f>INDEX(MO_RIS_GA_NONGAAP,0,COLUMN())</f>
        <v/>
      </c>
      <c r="X29" s="2072">
        <f>INDEX(MO_RIS_GA_NONGAAP,0,COLUMN())</f>
        <v/>
      </c>
      <c r="Y29" s="2072">
        <f>INDEX(MO_RIS_GA_NONGAAP,0,COLUMN())</f>
        <v/>
      </c>
      <c r="Z29" s="2087">
        <f>INDEX(MO_RIS_GA_NONGAAP,0,COLUMN())</f>
        <v/>
      </c>
      <c r="AA29" s="2072">
        <f>INDEX(MO_RIS_GA_NONGAAP,0,COLUMN())</f>
        <v/>
      </c>
      <c r="AB29" s="2072">
        <f>INDEX(MO_RIS_GA_NONGAAP,0,COLUMN())</f>
        <v/>
      </c>
      <c r="AC29" s="2072">
        <f>INDEX(MO_RIS_GA_NONGAAP,0,COLUMN())</f>
        <v/>
      </c>
      <c r="AD29" s="2072">
        <f>INDEX(MO_RIS_GA_NONGAAP,0,COLUMN())</f>
        <v/>
      </c>
      <c r="AE29" s="2087">
        <f>INDEX(MO_RIS_GA_NONGAAP,0,COLUMN())</f>
        <v/>
      </c>
      <c r="AF29" s="2072">
        <f>INDEX(MO_RIS_GA_NONGAAP,0,COLUMN())</f>
        <v/>
      </c>
      <c r="AG29" s="2072">
        <f>INDEX(MO_RIS_GA_NONGAAP,0,COLUMN())</f>
        <v/>
      </c>
      <c r="AH29" s="2072">
        <f>INDEX(MO_RIS_GA_NONGAAP,0,COLUMN())</f>
        <v/>
      </c>
      <c r="AI29" s="2072">
        <f>INDEX(MO_RIS_GA_NONGAAP,0,COLUMN())</f>
        <v/>
      </c>
      <c r="AJ29" s="2087">
        <f>INDEX(MO_RIS_GA_NONGAAP,0,COLUMN())</f>
        <v/>
      </c>
      <c r="AK29" s="2072">
        <f>INDEX(MO_RIS_GA_NONGAAP,0,COLUMN())</f>
        <v/>
      </c>
      <c r="AL29" s="2072">
        <f>INDEX(MO_RIS_GA_NONGAAP,0,COLUMN())</f>
        <v/>
      </c>
      <c r="AM29" s="2072">
        <f>INDEX(MO_RIS_GA_NONGAAP,0,COLUMN())</f>
        <v/>
      </c>
      <c r="AN29" s="2072">
        <f>INDEX(MO_RIS_GA_NONGAAP,0,COLUMN())</f>
        <v/>
      </c>
      <c r="AO29" s="2087">
        <f>INDEX(MO_RIS_GA_NONGAAP,0,COLUMN())</f>
        <v/>
      </c>
      <c r="AP29" s="2072">
        <f>INDEX(MO_RIS_GA_NONGAAP,0,COLUMN())</f>
        <v/>
      </c>
      <c r="AQ29" s="2072">
        <f>INDEX(MO_RIS_GA_NONGAAP,0,COLUMN())</f>
        <v/>
      </c>
      <c r="AR29" s="2072">
        <f>INDEX(MO_RIS_GA_NONGAAP,0,COLUMN())</f>
        <v/>
      </c>
      <c r="AS29" s="2072">
        <f>INDEX(MO_RIS_GA_NONGAAP,0,COLUMN())</f>
        <v/>
      </c>
      <c r="AT29" s="2087">
        <f>INDEX(MO_RIS_GA_NONGAAP,0,COLUMN())</f>
        <v/>
      </c>
      <c r="AU29" s="2072">
        <f>INDEX(MO_RIS_GA_NONGAAP,0,COLUMN())</f>
        <v/>
      </c>
      <c r="AV29" s="2072">
        <f>INDEX(MO_RIS_GA_NONGAAP,0,COLUMN())</f>
        <v/>
      </c>
      <c r="AW29" s="2072">
        <f>INDEX(MO_RIS_GA_NONGAAP,0,COLUMN())</f>
        <v/>
      </c>
      <c r="AX29" s="2072">
        <f>INDEX(MO_RIS_GA_NONGAAP,0,COLUMN())</f>
        <v/>
      </c>
      <c r="AY29" s="2087">
        <f>INDEX(MO_RIS_GA_NONGAAP,0,COLUMN())</f>
        <v/>
      </c>
      <c r="AZ29" s="2072">
        <f>INDEX(MO_RIS_GA_NONGAAP,0,COLUMN())</f>
        <v/>
      </c>
      <c r="BA29" s="2072">
        <f>INDEX(MO_RIS_GA_NONGAAP,0,COLUMN())</f>
        <v/>
      </c>
      <c r="BB29" s="2072">
        <f>INDEX(MO_RIS_GA_NONGAAP,0,COLUMN())</f>
        <v/>
      </c>
      <c r="BC29" s="2072">
        <f>INDEX(MO_RIS_GA_NONGAAP,0,COLUMN())</f>
        <v/>
      </c>
      <c r="BD29" s="2087">
        <f>INDEX(MO_RIS_GA_NONGAAP,0,COLUMN())</f>
        <v/>
      </c>
      <c r="BE29" s="2072">
        <f>INDEX(MO_RIS_GA_NONGAAP,0,COLUMN())</f>
        <v/>
      </c>
      <c r="BF29" s="2072">
        <f>INDEX(MO_RIS_GA_NONGAAP,0,COLUMN())</f>
        <v/>
      </c>
      <c r="BG29" s="2072">
        <f>INDEX(MO_RIS_GA_NONGAAP,0,COLUMN())</f>
        <v/>
      </c>
      <c r="BH29" s="2072">
        <f>INDEX(MO_RIS_GA_NONGAAP,0,COLUMN())</f>
        <v/>
      </c>
      <c r="BI29" s="2087">
        <f>INDEX(MO_RIS_GA_NONGAAP,0,COLUMN())</f>
        <v/>
      </c>
      <c r="BJ29" s="2072">
        <f>INDEX(MO_RIS_GA_NONGAAP,0,COLUMN())</f>
        <v/>
      </c>
      <c r="BK29" s="2072">
        <f>INDEX(MO_RIS_GA_NONGAAP,0,COLUMN())</f>
        <v/>
      </c>
      <c r="BL29" s="2072">
        <f>INDEX(MO_RIS_GA_NONGAAP,0,COLUMN())</f>
        <v/>
      </c>
      <c r="BM29" s="2072">
        <f>INDEX(MO_RIS_GA_NONGAAP,0,COLUMN())</f>
        <v/>
      </c>
      <c r="BN29" s="2087">
        <f>INDEX(MO_RIS_GA_NONGAAP,0,COLUMN())</f>
        <v/>
      </c>
      <c r="BO29" s="2072">
        <f>INDEX(MO_RIS_GA_NONGAAP,0,COLUMN())</f>
        <v/>
      </c>
      <c r="BP29" s="2072">
        <f>INDEX(MO_RIS_GA_NONGAAP,0,COLUMN())</f>
        <v/>
      </c>
      <c r="BQ29" s="2073">
        <f>INDEX(MO_RIS_GA_NONGAAP,0,COLUMN())</f>
        <v/>
      </c>
      <c r="BR29" s="2072">
        <f>INDEX(MO_RIS_GA_NONGAAP,0,COLUMN())</f>
        <v/>
      </c>
      <c r="BS29" s="2087">
        <f>INDEX(MO_RIS_GA_NONGAAP,0,COLUMN())</f>
        <v/>
      </c>
      <c r="BT29" s="2072">
        <f>INDEX(MO_RIS_GA_NONGAAP,0,COLUMN())</f>
        <v/>
      </c>
      <c r="BU29" s="2072">
        <f>INDEX(MO_RIS_GA_NONGAAP,0,COLUMN())</f>
        <v/>
      </c>
      <c r="BV29" s="2072">
        <f>INDEX(MO_RIS_GA_NONGAAP,0,COLUMN())</f>
        <v/>
      </c>
      <c r="BW29" s="2072">
        <f>INDEX(MO_RIS_GA_NONGAAP,0,COLUMN())</f>
        <v/>
      </c>
      <c r="BX29" s="2087">
        <f>INDEX(MO_RIS_GA_NONGAAP,0,COLUMN())</f>
        <v/>
      </c>
      <c r="BY29" s="2087">
        <f>INDEX(MO_RIS_GA_NONGAAP,0,COLUMN())</f>
        <v/>
      </c>
      <c r="BZ29" s="2087">
        <f>INDEX(MO_RIS_GA_NONGAAP,0,COLUMN())</f>
        <v/>
      </c>
      <c r="CA29" s="2087">
        <f>INDEX(MO_RIS_GA_NONGAAP,0,COLUMN())</f>
        <v/>
      </c>
      <c r="CB29" s="2072" t="n"/>
    </row>
    <row r="30" ht="15" customFormat="1" customHeight="1" s="2101">
      <c r="A30" s="1593">
        <f>INDEX(MO_RIS_SM_NONGAAP,0,COLUMN())</f>
        <v/>
      </c>
      <c r="B30" s="2200" t="n"/>
      <c r="C30" s="2087">
        <f>INDEX(MO_RIS_SM_NONGAAP,0,COLUMN())</f>
        <v/>
      </c>
      <c r="D30" s="2087">
        <f>INDEX(MO_RIS_SM_NONGAAP,0,COLUMN())</f>
        <v/>
      </c>
      <c r="E30" s="2087">
        <f>INDEX(MO_RIS_SM_NONGAAP,0,COLUMN())</f>
        <v/>
      </c>
      <c r="F30" s="2087">
        <f>INDEX(MO_RIS_SM_NONGAAP,0,COLUMN())</f>
        <v/>
      </c>
      <c r="G30" s="2072">
        <f>INDEX(MO_RIS_SM_NONGAAP,0,COLUMN())</f>
        <v/>
      </c>
      <c r="H30" s="2072">
        <f>INDEX(MO_RIS_SM_NONGAAP,0,COLUMN())</f>
        <v/>
      </c>
      <c r="I30" s="2072">
        <f>INDEX(MO_RIS_SM_NONGAAP,0,COLUMN())</f>
        <v/>
      </c>
      <c r="J30" s="2072">
        <f>INDEX(MO_RIS_SM_NONGAAP,0,COLUMN())</f>
        <v/>
      </c>
      <c r="K30" s="2087">
        <f>INDEX(MO_RIS_SM_NONGAAP,0,COLUMN())</f>
        <v/>
      </c>
      <c r="L30" s="2072">
        <f>INDEX(MO_RIS_SM_NONGAAP,0,COLUMN())</f>
        <v/>
      </c>
      <c r="M30" s="2072">
        <f>INDEX(MO_RIS_SM_NONGAAP,0,COLUMN())</f>
        <v/>
      </c>
      <c r="N30" s="2072">
        <f>INDEX(MO_RIS_SM_NONGAAP,0,COLUMN())</f>
        <v/>
      </c>
      <c r="O30" s="2072">
        <f>INDEX(MO_RIS_SM_NONGAAP,0,COLUMN())</f>
        <v/>
      </c>
      <c r="P30" s="2087">
        <f>INDEX(MO_RIS_SM_NONGAAP,0,COLUMN())</f>
        <v/>
      </c>
      <c r="Q30" s="2072">
        <f>INDEX(MO_RIS_SM_NONGAAP,0,COLUMN())</f>
        <v/>
      </c>
      <c r="R30" s="2072">
        <f>INDEX(MO_RIS_SM_NONGAAP,0,COLUMN())</f>
        <v/>
      </c>
      <c r="S30" s="2072">
        <f>INDEX(MO_RIS_SM_NONGAAP,0,COLUMN())</f>
        <v/>
      </c>
      <c r="T30" s="2072">
        <f>INDEX(MO_RIS_SM_NONGAAP,0,COLUMN())</f>
        <v/>
      </c>
      <c r="U30" s="2087">
        <f>INDEX(MO_RIS_SM_NONGAAP,0,COLUMN())</f>
        <v/>
      </c>
      <c r="V30" s="2072">
        <f>INDEX(MO_RIS_SM_NONGAAP,0,COLUMN())</f>
        <v/>
      </c>
      <c r="W30" s="2072">
        <f>INDEX(MO_RIS_SM_NONGAAP,0,COLUMN())</f>
        <v/>
      </c>
      <c r="X30" s="2072">
        <f>INDEX(MO_RIS_SM_NONGAAP,0,COLUMN())</f>
        <v/>
      </c>
      <c r="Y30" s="2072">
        <f>INDEX(MO_RIS_SM_NONGAAP,0,COLUMN())</f>
        <v/>
      </c>
      <c r="Z30" s="2087">
        <f>INDEX(MO_RIS_SM_NONGAAP,0,COLUMN())</f>
        <v/>
      </c>
      <c r="AA30" s="2072">
        <f>INDEX(MO_RIS_SM_NONGAAP,0,COLUMN())</f>
        <v/>
      </c>
      <c r="AB30" s="2072">
        <f>INDEX(MO_RIS_SM_NONGAAP,0,COLUMN())</f>
        <v/>
      </c>
      <c r="AC30" s="2072">
        <f>INDEX(MO_RIS_SM_NONGAAP,0,COLUMN())</f>
        <v/>
      </c>
      <c r="AD30" s="2072">
        <f>INDEX(MO_RIS_SM_NONGAAP,0,COLUMN())</f>
        <v/>
      </c>
      <c r="AE30" s="2087">
        <f>INDEX(MO_RIS_SM_NONGAAP,0,COLUMN())</f>
        <v/>
      </c>
      <c r="AF30" s="2072">
        <f>INDEX(MO_RIS_SM_NONGAAP,0,COLUMN())</f>
        <v/>
      </c>
      <c r="AG30" s="2072">
        <f>INDEX(MO_RIS_SM_NONGAAP,0,COLUMN())</f>
        <v/>
      </c>
      <c r="AH30" s="2072">
        <f>INDEX(MO_RIS_SM_NONGAAP,0,COLUMN())</f>
        <v/>
      </c>
      <c r="AI30" s="2072">
        <f>INDEX(MO_RIS_SM_NONGAAP,0,COLUMN())</f>
        <v/>
      </c>
      <c r="AJ30" s="2087">
        <f>INDEX(MO_RIS_SM_NONGAAP,0,COLUMN())</f>
        <v/>
      </c>
      <c r="AK30" s="2072">
        <f>INDEX(MO_RIS_SM_NONGAAP,0,COLUMN())</f>
        <v/>
      </c>
      <c r="AL30" s="2072">
        <f>INDEX(MO_RIS_SM_NONGAAP,0,COLUMN())</f>
        <v/>
      </c>
      <c r="AM30" s="2072">
        <f>INDEX(MO_RIS_SM_NONGAAP,0,COLUMN())</f>
        <v/>
      </c>
      <c r="AN30" s="2072">
        <f>INDEX(MO_RIS_SM_NONGAAP,0,COLUMN())</f>
        <v/>
      </c>
      <c r="AO30" s="2087">
        <f>INDEX(MO_RIS_SM_NONGAAP,0,COLUMN())</f>
        <v/>
      </c>
      <c r="AP30" s="2072">
        <f>INDEX(MO_RIS_SM_NONGAAP,0,COLUMN())</f>
        <v/>
      </c>
      <c r="AQ30" s="2072">
        <f>INDEX(MO_RIS_SM_NONGAAP,0,COLUMN())</f>
        <v/>
      </c>
      <c r="AR30" s="2072">
        <f>INDEX(MO_RIS_SM_NONGAAP,0,COLUMN())</f>
        <v/>
      </c>
      <c r="AS30" s="2072">
        <f>INDEX(MO_RIS_SM_NONGAAP,0,COLUMN())</f>
        <v/>
      </c>
      <c r="AT30" s="2087">
        <f>INDEX(MO_RIS_SM_NONGAAP,0,COLUMN())</f>
        <v/>
      </c>
      <c r="AU30" s="2072">
        <f>INDEX(MO_RIS_SM_NONGAAP,0,COLUMN())</f>
        <v/>
      </c>
      <c r="AV30" s="2072">
        <f>INDEX(MO_RIS_SM_NONGAAP,0,COLUMN())</f>
        <v/>
      </c>
      <c r="AW30" s="2072">
        <f>INDEX(MO_RIS_SM_NONGAAP,0,COLUMN())</f>
        <v/>
      </c>
      <c r="AX30" s="2072">
        <f>INDEX(MO_RIS_SM_NONGAAP,0,COLUMN())</f>
        <v/>
      </c>
      <c r="AY30" s="2087">
        <f>INDEX(MO_RIS_SM_NONGAAP,0,COLUMN())</f>
        <v/>
      </c>
      <c r="AZ30" s="2072">
        <f>INDEX(MO_RIS_SM_NONGAAP,0,COLUMN())</f>
        <v/>
      </c>
      <c r="BA30" s="2072">
        <f>INDEX(MO_RIS_SM_NONGAAP,0,COLUMN())</f>
        <v/>
      </c>
      <c r="BB30" s="2072">
        <f>INDEX(MO_RIS_SM_NONGAAP,0,COLUMN())</f>
        <v/>
      </c>
      <c r="BC30" s="2072">
        <f>INDEX(MO_RIS_SM_NONGAAP,0,COLUMN())</f>
        <v/>
      </c>
      <c r="BD30" s="2087">
        <f>INDEX(MO_RIS_SM_NONGAAP,0,COLUMN())</f>
        <v/>
      </c>
      <c r="BE30" s="2072">
        <f>INDEX(MO_RIS_SM_NONGAAP,0,COLUMN())</f>
        <v/>
      </c>
      <c r="BF30" s="2072">
        <f>INDEX(MO_RIS_SM_NONGAAP,0,COLUMN())</f>
        <v/>
      </c>
      <c r="BG30" s="2072">
        <f>INDEX(MO_RIS_SM_NONGAAP,0,COLUMN())</f>
        <v/>
      </c>
      <c r="BH30" s="2072">
        <f>INDEX(MO_RIS_SM_NONGAAP,0,COLUMN())</f>
        <v/>
      </c>
      <c r="BI30" s="2087">
        <f>INDEX(MO_RIS_SM_NONGAAP,0,COLUMN())</f>
        <v/>
      </c>
      <c r="BJ30" s="2072">
        <f>INDEX(MO_RIS_SM_NONGAAP,0,COLUMN())</f>
        <v/>
      </c>
      <c r="BK30" s="2072">
        <f>INDEX(MO_RIS_SM_NONGAAP,0,COLUMN())</f>
        <v/>
      </c>
      <c r="BL30" s="2072">
        <f>INDEX(MO_RIS_SM_NONGAAP,0,COLUMN())</f>
        <v/>
      </c>
      <c r="BM30" s="2072">
        <f>INDEX(MO_RIS_SM_NONGAAP,0,COLUMN())</f>
        <v/>
      </c>
      <c r="BN30" s="2087">
        <f>INDEX(MO_RIS_SM_NONGAAP,0,COLUMN())</f>
        <v/>
      </c>
      <c r="BO30" s="2072">
        <f>INDEX(MO_RIS_SM_NONGAAP,0,COLUMN())</f>
        <v/>
      </c>
      <c r="BP30" s="2072">
        <f>INDEX(MO_RIS_SM_NONGAAP,0,COLUMN())</f>
        <v/>
      </c>
      <c r="BQ30" s="2073">
        <f>INDEX(MO_RIS_SM_NONGAAP,0,COLUMN())</f>
        <v/>
      </c>
      <c r="BR30" s="2072">
        <f>INDEX(MO_RIS_SM_NONGAAP,0,COLUMN())</f>
        <v/>
      </c>
      <c r="BS30" s="2087">
        <f>INDEX(MO_RIS_SM_NONGAAP,0,COLUMN())</f>
        <v/>
      </c>
      <c r="BT30" s="2072">
        <f>INDEX(MO_RIS_SM_NONGAAP,0,COLUMN())</f>
        <v/>
      </c>
      <c r="BU30" s="2072">
        <f>INDEX(MO_RIS_SM_NONGAAP,0,COLUMN())</f>
        <v/>
      </c>
      <c r="BV30" s="2072">
        <f>INDEX(MO_RIS_SM_NONGAAP,0,COLUMN())</f>
        <v/>
      </c>
      <c r="BW30" s="2072">
        <f>INDEX(MO_RIS_SM_NONGAAP,0,COLUMN())</f>
        <v/>
      </c>
      <c r="BX30" s="2087">
        <f>INDEX(MO_RIS_SM_NONGAAP,0,COLUMN())</f>
        <v/>
      </c>
      <c r="BY30" s="2087">
        <f>INDEX(MO_RIS_SM_NONGAAP,0,COLUMN())</f>
        <v/>
      </c>
      <c r="BZ30" s="2087">
        <f>INDEX(MO_RIS_SM_NONGAAP,0,COLUMN())</f>
        <v/>
      </c>
      <c r="CA30" s="2087">
        <f>INDEX(MO_RIS_SM_NONGAAP,0,COLUMN())</f>
        <v/>
      </c>
      <c r="CB30" s="2072" t="n"/>
    </row>
    <row r="31" ht="15" customFormat="1" customHeight="1" s="2101">
      <c r="A31" s="1607">
        <f>INDEX(MO_RIS_OtherOperating_NONGAAP,0,COLUMN())</f>
        <v/>
      </c>
      <c r="B31" s="2201" t="n"/>
      <c r="C31" s="2092">
        <f>INDEX(MO_RIS_OtherOperating_NONGAAP,0,COLUMN())</f>
        <v/>
      </c>
      <c r="D31" s="2092">
        <f>INDEX(MO_RIS_OtherOperating_NONGAAP,0,COLUMN())</f>
        <v/>
      </c>
      <c r="E31" s="2092">
        <f>INDEX(MO_RIS_OtherOperating_NONGAAP,0,COLUMN())</f>
        <v/>
      </c>
      <c r="F31" s="2092">
        <f>INDEX(MO_RIS_OtherOperating_NONGAAP,0,COLUMN())</f>
        <v/>
      </c>
      <c r="G31" s="2093">
        <f>INDEX(MO_RIS_OtherOperating_NONGAAP,0,COLUMN())</f>
        <v/>
      </c>
      <c r="H31" s="2093">
        <f>INDEX(MO_RIS_OtherOperating_NONGAAP,0,COLUMN())</f>
        <v/>
      </c>
      <c r="I31" s="2093">
        <f>INDEX(MO_RIS_OtherOperating_NONGAAP,0,COLUMN())</f>
        <v/>
      </c>
      <c r="J31" s="2093">
        <f>INDEX(MO_RIS_OtherOperating_NONGAAP,0,COLUMN())</f>
        <v/>
      </c>
      <c r="K31" s="2092">
        <f>INDEX(MO_RIS_OtherOperating_NONGAAP,0,COLUMN())</f>
        <v/>
      </c>
      <c r="L31" s="2093">
        <f>INDEX(MO_RIS_OtherOperating_NONGAAP,0,COLUMN())</f>
        <v/>
      </c>
      <c r="M31" s="2093">
        <f>INDEX(MO_RIS_OtherOperating_NONGAAP,0,COLUMN())</f>
        <v/>
      </c>
      <c r="N31" s="2093">
        <f>INDEX(MO_RIS_OtherOperating_NONGAAP,0,COLUMN())</f>
        <v/>
      </c>
      <c r="O31" s="2093">
        <f>INDEX(MO_RIS_OtherOperating_NONGAAP,0,COLUMN())</f>
        <v/>
      </c>
      <c r="P31" s="2092">
        <f>INDEX(MO_RIS_OtherOperating_NONGAAP,0,COLUMN())</f>
        <v/>
      </c>
      <c r="Q31" s="2093">
        <f>INDEX(MO_RIS_OtherOperating_NONGAAP,0,COLUMN())</f>
        <v/>
      </c>
      <c r="R31" s="2093">
        <f>INDEX(MO_RIS_OtherOperating_NONGAAP,0,COLUMN())</f>
        <v/>
      </c>
      <c r="S31" s="2093">
        <f>INDEX(MO_RIS_OtherOperating_NONGAAP,0,COLUMN())</f>
        <v/>
      </c>
      <c r="T31" s="2093">
        <f>INDEX(MO_RIS_OtherOperating_NONGAAP,0,COLUMN())</f>
        <v/>
      </c>
      <c r="U31" s="2092">
        <f>INDEX(MO_RIS_OtherOperating_NONGAAP,0,COLUMN())</f>
        <v/>
      </c>
      <c r="V31" s="2093">
        <f>INDEX(MO_RIS_OtherOperating_NONGAAP,0,COLUMN())</f>
        <v/>
      </c>
      <c r="W31" s="2093">
        <f>INDEX(MO_RIS_OtherOperating_NONGAAP,0,COLUMN())</f>
        <v/>
      </c>
      <c r="X31" s="2093">
        <f>INDEX(MO_RIS_OtherOperating_NONGAAP,0,COLUMN())</f>
        <v/>
      </c>
      <c r="Y31" s="2093">
        <f>INDEX(MO_RIS_OtherOperating_NONGAAP,0,COLUMN())</f>
        <v/>
      </c>
      <c r="Z31" s="2092">
        <f>INDEX(MO_RIS_OtherOperating_NONGAAP,0,COLUMN())</f>
        <v/>
      </c>
      <c r="AA31" s="2093">
        <f>INDEX(MO_RIS_OtherOperating_NONGAAP,0,COLUMN())</f>
        <v/>
      </c>
      <c r="AB31" s="2093">
        <f>INDEX(MO_RIS_OtherOperating_NONGAAP,0,COLUMN())</f>
        <v/>
      </c>
      <c r="AC31" s="2093">
        <f>INDEX(MO_RIS_OtherOperating_NONGAAP,0,COLUMN())</f>
        <v/>
      </c>
      <c r="AD31" s="2093">
        <f>INDEX(MO_RIS_OtherOperating_NONGAAP,0,COLUMN())</f>
        <v/>
      </c>
      <c r="AE31" s="2092">
        <f>INDEX(MO_RIS_OtherOperating_NONGAAP,0,COLUMN())</f>
        <v/>
      </c>
      <c r="AF31" s="2093">
        <f>INDEX(MO_RIS_OtherOperating_NONGAAP,0,COLUMN())</f>
        <v/>
      </c>
      <c r="AG31" s="2093">
        <f>INDEX(MO_RIS_OtherOperating_NONGAAP,0,COLUMN())</f>
        <v/>
      </c>
      <c r="AH31" s="2093">
        <f>INDEX(MO_RIS_OtherOperating_NONGAAP,0,COLUMN())</f>
        <v/>
      </c>
      <c r="AI31" s="2093">
        <f>INDEX(MO_RIS_OtherOperating_NONGAAP,0,COLUMN())</f>
        <v/>
      </c>
      <c r="AJ31" s="2092">
        <f>INDEX(MO_RIS_OtherOperating_NONGAAP,0,COLUMN())</f>
        <v/>
      </c>
      <c r="AK31" s="2093">
        <f>INDEX(MO_RIS_OtherOperating_NONGAAP,0,COLUMN())</f>
        <v/>
      </c>
      <c r="AL31" s="2093">
        <f>INDEX(MO_RIS_OtherOperating_NONGAAP,0,COLUMN())</f>
        <v/>
      </c>
      <c r="AM31" s="2093">
        <f>INDEX(MO_RIS_OtherOperating_NONGAAP,0,COLUMN())</f>
        <v/>
      </c>
      <c r="AN31" s="2093">
        <f>INDEX(MO_RIS_OtherOperating_NONGAAP,0,COLUMN())</f>
        <v/>
      </c>
      <c r="AO31" s="2092">
        <f>INDEX(MO_RIS_OtherOperating_NONGAAP,0,COLUMN())</f>
        <v/>
      </c>
      <c r="AP31" s="2093">
        <f>INDEX(MO_RIS_OtherOperating_NONGAAP,0,COLUMN())</f>
        <v/>
      </c>
      <c r="AQ31" s="2093">
        <f>INDEX(MO_RIS_OtherOperating_NONGAAP,0,COLUMN())</f>
        <v/>
      </c>
      <c r="AR31" s="2093">
        <f>INDEX(MO_RIS_OtherOperating_NONGAAP,0,COLUMN())</f>
        <v/>
      </c>
      <c r="AS31" s="2093">
        <f>INDEX(MO_RIS_OtherOperating_NONGAAP,0,COLUMN())</f>
        <v/>
      </c>
      <c r="AT31" s="2092">
        <f>INDEX(MO_RIS_OtherOperating_NONGAAP,0,COLUMN())</f>
        <v/>
      </c>
      <c r="AU31" s="2093">
        <f>INDEX(MO_RIS_OtherOperating_NONGAAP,0,COLUMN())</f>
        <v/>
      </c>
      <c r="AV31" s="2093">
        <f>INDEX(MO_RIS_OtherOperating_NONGAAP,0,COLUMN())</f>
        <v/>
      </c>
      <c r="AW31" s="2093">
        <f>INDEX(MO_RIS_OtherOperating_NONGAAP,0,COLUMN())</f>
        <v/>
      </c>
      <c r="AX31" s="2093">
        <f>INDEX(MO_RIS_OtherOperating_NONGAAP,0,COLUMN())</f>
        <v/>
      </c>
      <c r="AY31" s="2092">
        <f>INDEX(MO_RIS_OtherOperating_NONGAAP,0,COLUMN())</f>
        <v/>
      </c>
      <c r="AZ31" s="2093">
        <f>INDEX(MO_RIS_OtherOperating_NONGAAP,0,COLUMN())</f>
        <v/>
      </c>
      <c r="BA31" s="2093">
        <f>INDEX(MO_RIS_OtherOperating_NONGAAP,0,COLUMN())</f>
        <v/>
      </c>
      <c r="BB31" s="2093">
        <f>INDEX(MO_RIS_OtherOperating_NONGAAP,0,COLUMN())</f>
        <v/>
      </c>
      <c r="BC31" s="2093">
        <f>INDEX(MO_RIS_OtherOperating_NONGAAP,0,COLUMN())</f>
        <v/>
      </c>
      <c r="BD31" s="2092">
        <f>INDEX(MO_RIS_OtherOperating_NONGAAP,0,COLUMN())</f>
        <v/>
      </c>
      <c r="BE31" s="2093">
        <f>INDEX(MO_RIS_OtherOperating_NONGAAP,0,COLUMN())</f>
        <v/>
      </c>
      <c r="BF31" s="2093">
        <f>INDEX(MO_RIS_OtherOperating_NONGAAP,0,COLUMN())</f>
        <v/>
      </c>
      <c r="BG31" s="2093">
        <f>INDEX(MO_RIS_OtherOperating_NONGAAP,0,COLUMN())</f>
        <v/>
      </c>
      <c r="BH31" s="2093">
        <f>INDEX(MO_RIS_OtherOperating_NONGAAP,0,COLUMN())</f>
        <v/>
      </c>
      <c r="BI31" s="2092">
        <f>INDEX(MO_RIS_OtherOperating_NONGAAP,0,COLUMN())</f>
        <v/>
      </c>
      <c r="BJ31" s="2093">
        <f>INDEX(MO_RIS_OtherOperating_NONGAAP,0,COLUMN())</f>
        <v/>
      </c>
      <c r="BK31" s="2093">
        <f>INDEX(MO_RIS_OtherOperating_NONGAAP,0,COLUMN())</f>
        <v/>
      </c>
      <c r="BL31" s="2093">
        <f>INDEX(MO_RIS_OtherOperating_NONGAAP,0,COLUMN())</f>
        <v/>
      </c>
      <c r="BM31" s="2093">
        <f>INDEX(MO_RIS_OtherOperating_NONGAAP,0,COLUMN())</f>
        <v/>
      </c>
      <c r="BN31" s="2092">
        <f>INDEX(MO_RIS_OtherOperating_NONGAAP,0,COLUMN())</f>
        <v/>
      </c>
      <c r="BO31" s="2093">
        <f>INDEX(MO_RIS_OtherOperating_NONGAAP,0,COLUMN())</f>
        <v/>
      </c>
      <c r="BP31" s="2093">
        <f>INDEX(MO_RIS_OtherOperating_NONGAAP,0,COLUMN())</f>
        <v/>
      </c>
      <c r="BQ31" s="2095">
        <f>INDEX(MO_RIS_OtherOperating_NONGAAP,0,COLUMN())</f>
        <v/>
      </c>
      <c r="BR31" s="2093">
        <f>INDEX(MO_RIS_OtherOperating_NONGAAP,0,COLUMN())</f>
        <v/>
      </c>
      <c r="BS31" s="2092">
        <f>INDEX(MO_RIS_OtherOperating_NONGAAP,0,COLUMN())</f>
        <v/>
      </c>
      <c r="BT31" s="2093">
        <f>INDEX(MO_RIS_OtherOperating_NONGAAP,0,COLUMN())</f>
        <v/>
      </c>
      <c r="BU31" s="2093">
        <f>INDEX(MO_RIS_OtherOperating_NONGAAP,0,COLUMN())</f>
        <v/>
      </c>
      <c r="BV31" s="2093">
        <f>INDEX(MO_RIS_OtherOperating_NONGAAP,0,COLUMN())</f>
        <v/>
      </c>
      <c r="BW31" s="2093">
        <f>INDEX(MO_RIS_OtherOperating_NONGAAP,0,COLUMN())</f>
        <v/>
      </c>
      <c r="BX31" s="2092">
        <f>INDEX(MO_RIS_OtherOperating_NONGAAP,0,COLUMN())</f>
        <v/>
      </c>
      <c r="BY31" s="2092">
        <f>INDEX(MO_RIS_OtherOperating_NONGAAP,0,COLUMN())</f>
        <v/>
      </c>
      <c r="BZ31" s="2092">
        <f>INDEX(MO_RIS_OtherOperating_NONGAAP,0,COLUMN())</f>
        <v/>
      </c>
      <c r="CA31" s="2092">
        <f>INDEX(MO_RIS_OtherOperating_NONGAAP,0,COLUMN())</f>
        <v/>
      </c>
      <c r="CB31" s="2072" t="n"/>
    </row>
    <row r="32" ht="15" customFormat="1" customHeight="1" s="2082">
      <c r="A32" s="1606">
        <f>INDEX(MO_RIS_Reported_OperatingIncome_NONGAAP,0,COLUMN())</f>
        <v/>
      </c>
      <c r="B32" s="2202" t="n"/>
      <c r="C32" s="2203">
        <f>INDEX(MO_RIS_Reported_OperatingIncome_NONGAAP,0,COLUMN())</f>
        <v/>
      </c>
      <c r="D32" s="2203">
        <f>INDEX(MO_RIS_Reported_OperatingIncome_NONGAAP,0,COLUMN())</f>
        <v/>
      </c>
      <c r="E32" s="2203">
        <f>INDEX(MO_RIS_Reported_OperatingIncome_NONGAAP,0,COLUMN())</f>
        <v/>
      </c>
      <c r="F32" s="2203">
        <f>INDEX(MO_RIS_Reported_OperatingIncome_NONGAAP,0,COLUMN())</f>
        <v/>
      </c>
      <c r="G32" s="2204">
        <f>INDEX(MO_RIS_Reported_OperatingIncome_NONGAAP,0,COLUMN())</f>
        <v/>
      </c>
      <c r="H32" s="2204">
        <f>INDEX(MO_RIS_Reported_OperatingIncome_NONGAAP,0,COLUMN())</f>
        <v/>
      </c>
      <c r="I32" s="2204">
        <f>INDEX(MO_RIS_Reported_OperatingIncome_NONGAAP,0,COLUMN())</f>
        <v/>
      </c>
      <c r="J32" s="2204">
        <f>INDEX(MO_RIS_Reported_OperatingIncome_NONGAAP,0,COLUMN())</f>
        <v/>
      </c>
      <c r="K32" s="2203">
        <f>INDEX(MO_RIS_Reported_OperatingIncome_NONGAAP,0,COLUMN())</f>
        <v/>
      </c>
      <c r="L32" s="2204">
        <f>INDEX(MO_RIS_Reported_OperatingIncome_NONGAAP,0,COLUMN())</f>
        <v/>
      </c>
      <c r="M32" s="2204">
        <f>INDEX(MO_RIS_Reported_OperatingIncome_NONGAAP,0,COLUMN())</f>
        <v/>
      </c>
      <c r="N32" s="2204">
        <f>INDEX(MO_RIS_Reported_OperatingIncome_NONGAAP,0,COLUMN())</f>
        <v/>
      </c>
      <c r="O32" s="2204">
        <f>INDEX(MO_RIS_Reported_OperatingIncome_NONGAAP,0,COLUMN())</f>
        <v/>
      </c>
      <c r="P32" s="2203">
        <f>INDEX(MO_RIS_Reported_OperatingIncome_NONGAAP,0,COLUMN())</f>
        <v/>
      </c>
      <c r="Q32" s="2204">
        <f>INDEX(MO_RIS_Reported_OperatingIncome_NONGAAP,0,COLUMN())</f>
        <v/>
      </c>
      <c r="R32" s="2204">
        <f>INDEX(MO_RIS_Reported_OperatingIncome_NONGAAP,0,COLUMN())</f>
        <v/>
      </c>
      <c r="S32" s="2204">
        <f>INDEX(MO_RIS_Reported_OperatingIncome_NONGAAP,0,COLUMN())</f>
        <v/>
      </c>
      <c r="T32" s="2204">
        <f>INDEX(MO_RIS_Reported_OperatingIncome_NONGAAP,0,COLUMN())</f>
        <v/>
      </c>
      <c r="U32" s="2203">
        <f>INDEX(MO_RIS_Reported_OperatingIncome_NONGAAP,0,COLUMN())</f>
        <v/>
      </c>
      <c r="V32" s="2204">
        <f>INDEX(MO_RIS_Reported_OperatingIncome_NONGAAP,0,COLUMN())</f>
        <v/>
      </c>
      <c r="W32" s="2204">
        <f>INDEX(MO_RIS_Reported_OperatingIncome_NONGAAP,0,COLUMN())</f>
        <v/>
      </c>
      <c r="X32" s="2204">
        <f>INDEX(MO_RIS_Reported_OperatingIncome_NONGAAP,0,COLUMN())</f>
        <v/>
      </c>
      <c r="Y32" s="2204">
        <f>INDEX(MO_RIS_Reported_OperatingIncome_NONGAAP,0,COLUMN())</f>
        <v/>
      </c>
      <c r="Z32" s="2203">
        <f>INDEX(MO_RIS_Reported_OperatingIncome_NONGAAP,0,COLUMN())</f>
        <v/>
      </c>
      <c r="AA32" s="2204">
        <f>INDEX(MO_RIS_Reported_OperatingIncome_NONGAAP,0,COLUMN())</f>
        <v/>
      </c>
      <c r="AB32" s="2204">
        <f>INDEX(MO_RIS_Reported_OperatingIncome_NONGAAP,0,COLUMN())</f>
        <v/>
      </c>
      <c r="AC32" s="2204">
        <f>INDEX(MO_RIS_Reported_OperatingIncome_NONGAAP,0,COLUMN())</f>
        <v/>
      </c>
      <c r="AD32" s="2204">
        <f>INDEX(MO_RIS_Reported_OperatingIncome_NONGAAP,0,COLUMN())</f>
        <v/>
      </c>
      <c r="AE32" s="2203">
        <f>INDEX(MO_RIS_Reported_OperatingIncome_NONGAAP,0,COLUMN())</f>
        <v/>
      </c>
      <c r="AF32" s="2204">
        <f>INDEX(MO_RIS_Reported_OperatingIncome_NONGAAP,0,COLUMN())</f>
        <v/>
      </c>
      <c r="AG32" s="2204">
        <f>INDEX(MO_RIS_Reported_OperatingIncome_NONGAAP,0,COLUMN())</f>
        <v/>
      </c>
      <c r="AH32" s="2204">
        <f>INDEX(MO_RIS_Reported_OperatingIncome_NONGAAP,0,COLUMN())</f>
        <v/>
      </c>
      <c r="AI32" s="2204">
        <f>INDEX(MO_RIS_Reported_OperatingIncome_NONGAAP,0,COLUMN())</f>
        <v/>
      </c>
      <c r="AJ32" s="2203">
        <f>INDEX(MO_RIS_Reported_OperatingIncome_NONGAAP,0,COLUMN())</f>
        <v/>
      </c>
      <c r="AK32" s="2204">
        <f>INDEX(MO_RIS_Reported_OperatingIncome_NONGAAP,0,COLUMN())</f>
        <v/>
      </c>
      <c r="AL32" s="2204">
        <f>INDEX(MO_RIS_Reported_OperatingIncome_NONGAAP,0,COLUMN())</f>
        <v/>
      </c>
      <c r="AM32" s="2204">
        <f>INDEX(MO_RIS_Reported_OperatingIncome_NONGAAP,0,COLUMN())</f>
        <v/>
      </c>
      <c r="AN32" s="2204">
        <f>INDEX(MO_RIS_Reported_OperatingIncome_NONGAAP,0,COLUMN())</f>
        <v/>
      </c>
      <c r="AO32" s="2203">
        <f>INDEX(MO_RIS_Reported_OperatingIncome_NONGAAP,0,COLUMN())</f>
        <v/>
      </c>
      <c r="AP32" s="2204">
        <f>INDEX(MO_RIS_Reported_OperatingIncome_NONGAAP,0,COLUMN())</f>
        <v/>
      </c>
      <c r="AQ32" s="2204">
        <f>INDEX(MO_RIS_Reported_OperatingIncome_NONGAAP,0,COLUMN())</f>
        <v/>
      </c>
      <c r="AR32" s="2204">
        <f>INDEX(MO_RIS_Reported_OperatingIncome_NONGAAP,0,COLUMN())</f>
        <v/>
      </c>
      <c r="AS32" s="2204">
        <f>INDEX(MO_RIS_Reported_OperatingIncome_NONGAAP,0,COLUMN())</f>
        <v/>
      </c>
      <c r="AT32" s="2203">
        <f>INDEX(MO_RIS_Reported_OperatingIncome_NONGAAP,0,COLUMN())</f>
        <v/>
      </c>
      <c r="AU32" s="2204">
        <f>INDEX(MO_RIS_Reported_OperatingIncome_NONGAAP,0,COLUMN())</f>
        <v/>
      </c>
      <c r="AV32" s="2204">
        <f>INDEX(MO_RIS_Reported_OperatingIncome_NONGAAP,0,COLUMN())</f>
        <v/>
      </c>
      <c r="AW32" s="2204">
        <f>INDEX(MO_RIS_Reported_OperatingIncome_NONGAAP,0,COLUMN())</f>
        <v/>
      </c>
      <c r="AX32" s="2204">
        <f>INDEX(MO_RIS_Reported_OperatingIncome_NONGAAP,0,COLUMN())</f>
        <v/>
      </c>
      <c r="AY32" s="2203">
        <f>INDEX(MO_RIS_Reported_OperatingIncome_NONGAAP,0,COLUMN())</f>
        <v/>
      </c>
      <c r="AZ32" s="2204">
        <f>INDEX(MO_RIS_Reported_OperatingIncome_NONGAAP,0,COLUMN())</f>
        <v/>
      </c>
      <c r="BA32" s="2204">
        <f>INDEX(MO_RIS_Reported_OperatingIncome_NONGAAP,0,COLUMN())</f>
        <v/>
      </c>
      <c r="BB32" s="2204">
        <f>INDEX(MO_RIS_Reported_OperatingIncome_NONGAAP,0,COLUMN())</f>
        <v/>
      </c>
      <c r="BC32" s="2204">
        <f>INDEX(MO_RIS_Reported_OperatingIncome_NONGAAP,0,COLUMN())</f>
        <v/>
      </c>
      <c r="BD32" s="2203">
        <f>INDEX(MO_RIS_Reported_OperatingIncome_NONGAAP,0,COLUMN())</f>
        <v/>
      </c>
      <c r="BE32" s="2204">
        <f>INDEX(MO_RIS_Reported_OperatingIncome_NONGAAP,0,COLUMN())</f>
        <v/>
      </c>
      <c r="BF32" s="2204">
        <f>INDEX(MO_RIS_Reported_OperatingIncome_NONGAAP,0,COLUMN())</f>
        <v/>
      </c>
      <c r="BG32" s="2204">
        <f>INDEX(MO_RIS_Reported_OperatingIncome_NONGAAP,0,COLUMN())</f>
        <v/>
      </c>
      <c r="BH32" s="2204">
        <f>INDEX(MO_RIS_Reported_OperatingIncome_NONGAAP,0,COLUMN())</f>
        <v/>
      </c>
      <c r="BI32" s="2203">
        <f>INDEX(MO_RIS_Reported_OperatingIncome_NONGAAP,0,COLUMN())</f>
        <v/>
      </c>
      <c r="BJ32" s="2204">
        <f>INDEX(MO_RIS_Reported_OperatingIncome_NONGAAP,0,COLUMN())</f>
        <v/>
      </c>
      <c r="BK32" s="2204">
        <f>INDEX(MO_RIS_Reported_OperatingIncome_NONGAAP,0,COLUMN())</f>
        <v/>
      </c>
      <c r="BL32" s="2204">
        <f>INDEX(MO_RIS_Reported_OperatingIncome_NONGAAP,0,COLUMN())</f>
        <v/>
      </c>
      <c r="BM32" s="2204">
        <f>INDEX(MO_RIS_Reported_OperatingIncome_NONGAAP,0,COLUMN())</f>
        <v/>
      </c>
      <c r="BN32" s="2203">
        <f>INDEX(MO_RIS_Reported_OperatingIncome_NONGAAP,0,COLUMN())</f>
        <v/>
      </c>
      <c r="BO32" s="2204">
        <f>INDEX(MO_RIS_Reported_OperatingIncome_NONGAAP,0,COLUMN())</f>
        <v/>
      </c>
      <c r="BP32" s="2204">
        <f>INDEX(MO_RIS_Reported_OperatingIncome_NONGAAP,0,COLUMN())</f>
        <v/>
      </c>
      <c r="BQ32" s="2205">
        <f>INDEX(MO_RIS_Reported_OperatingIncome_NONGAAP,0,COLUMN())</f>
        <v/>
      </c>
      <c r="BR32" s="2204">
        <f>INDEX(MO_RIS_Reported_OperatingIncome_NONGAAP,0,COLUMN())</f>
        <v/>
      </c>
      <c r="BS32" s="2203">
        <f>INDEX(MO_RIS_Reported_OperatingIncome_NONGAAP,0,COLUMN())</f>
        <v/>
      </c>
      <c r="BT32" s="2204">
        <f>INDEX(MO_RIS_Reported_OperatingIncome_NONGAAP,0,COLUMN())</f>
        <v/>
      </c>
      <c r="BU32" s="2204">
        <f>INDEX(MO_RIS_Reported_OperatingIncome_NONGAAP,0,COLUMN())</f>
        <v/>
      </c>
      <c r="BV32" s="2204">
        <f>INDEX(MO_RIS_Reported_OperatingIncome_NONGAAP,0,COLUMN())</f>
        <v/>
      </c>
      <c r="BW32" s="2204">
        <f>INDEX(MO_RIS_Reported_OperatingIncome_NONGAAP,0,COLUMN())</f>
        <v/>
      </c>
      <c r="BX32" s="2203">
        <f>INDEX(MO_RIS_Reported_OperatingIncome_NONGAAP,0,COLUMN())</f>
        <v/>
      </c>
      <c r="BY32" s="2203">
        <f>INDEX(MO_RIS_Reported_OperatingIncome_NONGAAP,0,COLUMN())</f>
        <v/>
      </c>
      <c r="BZ32" s="2203">
        <f>INDEX(MO_RIS_Reported_OperatingIncome_NONGAAP,0,COLUMN())</f>
        <v/>
      </c>
      <c r="CA32" s="2203">
        <f>INDEX(MO_RIS_Reported_OperatingIncome_NONGAAP,0,COLUMN())</f>
        <v/>
      </c>
      <c r="CB32" s="2089" t="n"/>
    </row>
    <row r="33" ht="15" customFormat="1" customHeight="1" s="2101">
      <c r="A33" s="1593">
        <f>INDEX(MO_RIS_IE_Net_NONGAAP,0,COLUMN())</f>
        <v/>
      </c>
      <c r="B33" s="2200" t="n"/>
      <c r="C33" s="2087">
        <f>INDEX(MO_RIS_IE_Net_NONGAAP,0,COLUMN())</f>
        <v/>
      </c>
      <c r="D33" s="2087">
        <f>INDEX(MO_RIS_IE_Net_NONGAAP,0,COLUMN())</f>
        <v/>
      </c>
      <c r="E33" s="2087">
        <f>INDEX(MO_RIS_IE_Net_NONGAAP,0,COLUMN())</f>
        <v/>
      </c>
      <c r="F33" s="2087">
        <f>INDEX(MO_RIS_IE_Net_NONGAAP,0,COLUMN())</f>
        <v/>
      </c>
      <c r="G33" s="2072">
        <f>INDEX(MO_RIS_IE_Net_NONGAAP,0,COLUMN())</f>
        <v/>
      </c>
      <c r="H33" s="2072">
        <f>INDEX(MO_RIS_IE_Net_NONGAAP,0,COLUMN())</f>
        <v/>
      </c>
      <c r="I33" s="2072">
        <f>INDEX(MO_RIS_IE_Net_NONGAAP,0,COLUMN())</f>
        <v/>
      </c>
      <c r="J33" s="2072">
        <f>INDEX(MO_RIS_IE_Net_NONGAAP,0,COLUMN())</f>
        <v/>
      </c>
      <c r="K33" s="2087">
        <f>INDEX(MO_RIS_IE_Net_NONGAAP,0,COLUMN())</f>
        <v/>
      </c>
      <c r="L33" s="2072">
        <f>INDEX(MO_RIS_IE_Net_NONGAAP,0,COLUMN())</f>
        <v/>
      </c>
      <c r="M33" s="2072">
        <f>INDEX(MO_RIS_IE_Net_NONGAAP,0,COLUMN())</f>
        <v/>
      </c>
      <c r="N33" s="2072">
        <f>INDEX(MO_RIS_IE_Net_NONGAAP,0,COLUMN())</f>
        <v/>
      </c>
      <c r="O33" s="2072">
        <f>INDEX(MO_RIS_IE_Net_NONGAAP,0,COLUMN())</f>
        <v/>
      </c>
      <c r="P33" s="2087">
        <f>INDEX(MO_RIS_IE_Net_NONGAAP,0,COLUMN())</f>
        <v/>
      </c>
      <c r="Q33" s="2072">
        <f>INDEX(MO_RIS_IE_Net_NONGAAP,0,COLUMN())</f>
        <v/>
      </c>
      <c r="R33" s="2072">
        <f>INDEX(MO_RIS_IE_Net_NONGAAP,0,COLUMN())</f>
        <v/>
      </c>
      <c r="S33" s="2072">
        <f>INDEX(MO_RIS_IE_Net_NONGAAP,0,COLUMN())</f>
        <v/>
      </c>
      <c r="T33" s="2072">
        <f>INDEX(MO_RIS_IE_Net_NONGAAP,0,COLUMN())</f>
        <v/>
      </c>
      <c r="U33" s="2087">
        <f>INDEX(MO_RIS_IE_Net_NONGAAP,0,COLUMN())</f>
        <v/>
      </c>
      <c r="V33" s="2072">
        <f>INDEX(MO_RIS_IE_Net_NONGAAP,0,COLUMN())</f>
        <v/>
      </c>
      <c r="W33" s="2072">
        <f>INDEX(MO_RIS_IE_Net_NONGAAP,0,COLUMN())</f>
        <v/>
      </c>
      <c r="X33" s="2072">
        <f>INDEX(MO_RIS_IE_Net_NONGAAP,0,COLUMN())</f>
        <v/>
      </c>
      <c r="Y33" s="2072">
        <f>INDEX(MO_RIS_IE_Net_NONGAAP,0,COLUMN())</f>
        <v/>
      </c>
      <c r="Z33" s="2087">
        <f>INDEX(MO_RIS_IE_Net_NONGAAP,0,COLUMN())</f>
        <v/>
      </c>
      <c r="AA33" s="2072">
        <f>INDEX(MO_RIS_IE_Net_NONGAAP,0,COLUMN())</f>
        <v/>
      </c>
      <c r="AB33" s="2072">
        <f>INDEX(MO_RIS_IE_Net_NONGAAP,0,COLUMN())</f>
        <v/>
      </c>
      <c r="AC33" s="2072">
        <f>INDEX(MO_RIS_IE_Net_NONGAAP,0,COLUMN())</f>
        <v/>
      </c>
      <c r="AD33" s="2072">
        <f>INDEX(MO_RIS_IE_Net_NONGAAP,0,COLUMN())</f>
        <v/>
      </c>
      <c r="AE33" s="2087">
        <f>INDEX(MO_RIS_IE_Net_NONGAAP,0,COLUMN())</f>
        <v/>
      </c>
      <c r="AF33" s="2072">
        <f>INDEX(MO_RIS_IE_Net_NONGAAP,0,COLUMN())</f>
        <v/>
      </c>
      <c r="AG33" s="2072">
        <f>INDEX(MO_RIS_IE_Net_NONGAAP,0,COLUMN())</f>
        <v/>
      </c>
      <c r="AH33" s="2072">
        <f>INDEX(MO_RIS_IE_Net_NONGAAP,0,COLUMN())</f>
        <v/>
      </c>
      <c r="AI33" s="2072">
        <f>INDEX(MO_RIS_IE_Net_NONGAAP,0,COLUMN())</f>
        <v/>
      </c>
      <c r="AJ33" s="2087">
        <f>INDEX(MO_RIS_IE_Net_NONGAAP,0,COLUMN())</f>
        <v/>
      </c>
      <c r="AK33" s="2072">
        <f>INDEX(MO_RIS_IE_Net_NONGAAP,0,COLUMN())</f>
        <v/>
      </c>
      <c r="AL33" s="2072">
        <f>INDEX(MO_RIS_IE_Net_NONGAAP,0,COLUMN())</f>
        <v/>
      </c>
      <c r="AM33" s="2072">
        <f>INDEX(MO_RIS_IE_Net_NONGAAP,0,COLUMN())</f>
        <v/>
      </c>
      <c r="AN33" s="2072">
        <f>INDEX(MO_RIS_IE_Net_NONGAAP,0,COLUMN())</f>
        <v/>
      </c>
      <c r="AO33" s="2087">
        <f>INDEX(MO_RIS_IE_Net_NONGAAP,0,COLUMN())</f>
        <v/>
      </c>
      <c r="AP33" s="2072">
        <f>INDEX(MO_RIS_IE_Net_NONGAAP,0,COLUMN())</f>
        <v/>
      </c>
      <c r="AQ33" s="2072">
        <f>INDEX(MO_RIS_IE_Net_NONGAAP,0,COLUMN())</f>
        <v/>
      </c>
      <c r="AR33" s="2072">
        <f>INDEX(MO_RIS_IE_Net_NONGAAP,0,COLUMN())</f>
        <v/>
      </c>
      <c r="AS33" s="2072">
        <f>INDEX(MO_RIS_IE_Net_NONGAAP,0,COLUMN())</f>
        <v/>
      </c>
      <c r="AT33" s="2087">
        <f>INDEX(MO_RIS_IE_Net_NONGAAP,0,COLUMN())</f>
        <v/>
      </c>
      <c r="AU33" s="2072">
        <f>INDEX(MO_RIS_IE_Net_NONGAAP,0,COLUMN())</f>
        <v/>
      </c>
      <c r="AV33" s="2072">
        <f>INDEX(MO_RIS_IE_Net_NONGAAP,0,COLUMN())</f>
        <v/>
      </c>
      <c r="AW33" s="2072">
        <f>INDEX(MO_RIS_IE_Net_NONGAAP,0,COLUMN())</f>
        <v/>
      </c>
      <c r="AX33" s="2072">
        <f>INDEX(MO_RIS_IE_Net_NONGAAP,0,COLUMN())</f>
        <v/>
      </c>
      <c r="AY33" s="2087">
        <f>INDEX(MO_RIS_IE_Net_NONGAAP,0,COLUMN())</f>
        <v/>
      </c>
      <c r="AZ33" s="2072">
        <f>INDEX(MO_RIS_IE_Net_NONGAAP,0,COLUMN())</f>
        <v/>
      </c>
      <c r="BA33" s="2072">
        <f>INDEX(MO_RIS_IE_Net_NONGAAP,0,COLUMN())</f>
        <v/>
      </c>
      <c r="BB33" s="2072">
        <f>INDEX(MO_RIS_IE_Net_NONGAAP,0,COLUMN())</f>
        <v/>
      </c>
      <c r="BC33" s="2072">
        <f>INDEX(MO_RIS_IE_Net_NONGAAP,0,COLUMN())</f>
        <v/>
      </c>
      <c r="BD33" s="2087">
        <f>INDEX(MO_RIS_IE_Net_NONGAAP,0,COLUMN())</f>
        <v/>
      </c>
      <c r="BE33" s="2072">
        <f>INDEX(MO_RIS_IE_Net_NONGAAP,0,COLUMN())</f>
        <v/>
      </c>
      <c r="BF33" s="2072">
        <f>INDEX(MO_RIS_IE_Net_NONGAAP,0,COLUMN())</f>
        <v/>
      </c>
      <c r="BG33" s="2072">
        <f>INDEX(MO_RIS_IE_Net_NONGAAP,0,COLUMN())</f>
        <v/>
      </c>
      <c r="BH33" s="2072">
        <f>INDEX(MO_RIS_IE_Net_NONGAAP,0,COLUMN())</f>
        <v/>
      </c>
      <c r="BI33" s="2087">
        <f>INDEX(MO_RIS_IE_Net_NONGAAP,0,COLUMN())</f>
        <v/>
      </c>
      <c r="BJ33" s="2072">
        <f>INDEX(MO_RIS_IE_Net_NONGAAP,0,COLUMN())</f>
        <v/>
      </c>
      <c r="BK33" s="2072">
        <f>INDEX(MO_RIS_IE_Net_NONGAAP,0,COLUMN())</f>
        <v/>
      </c>
      <c r="BL33" s="2072">
        <f>INDEX(MO_RIS_IE_Net_NONGAAP,0,COLUMN())</f>
        <v/>
      </c>
      <c r="BM33" s="2072">
        <f>INDEX(MO_RIS_IE_Net_NONGAAP,0,COLUMN())</f>
        <v/>
      </c>
      <c r="BN33" s="2087">
        <f>INDEX(MO_RIS_IE_Net_NONGAAP,0,COLUMN())</f>
        <v/>
      </c>
      <c r="BO33" s="2072">
        <f>INDEX(MO_RIS_IE_Net_NONGAAP,0,COLUMN())</f>
        <v/>
      </c>
      <c r="BP33" s="2072">
        <f>INDEX(MO_RIS_IE_Net_NONGAAP,0,COLUMN())</f>
        <v/>
      </c>
      <c r="BQ33" s="2073">
        <f>INDEX(MO_RIS_IE_Net_NONGAAP,0,COLUMN())</f>
        <v/>
      </c>
      <c r="BR33" s="2072">
        <f>INDEX(MO_RIS_IE_Net_NONGAAP,0,COLUMN())</f>
        <v/>
      </c>
      <c r="BS33" s="2087">
        <f>INDEX(MO_RIS_IE_Net_NONGAAP,0,COLUMN())</f>
        <v/>
      </c>
      <c r="BT33" s="2072">
        <f>INDEX(MO_RIS_IE_Net_NONGAAP,0,COLUMN())</f>
        <v/>
      </c>
      <c r="BU33" s="2072">
        <f>INDEX(MO_RIS_IE_Net_NONGAAP,0,COLUMN())</f>
        <v/>
      </c>
      <c r="BV33" s="2072">
        <f>INDEX(MO_RIS_IE_Net_NONGAAP,0,COLUMN())</f>
        <v/>
      </c>
      <c r="BW33" s="2072">
        <f>INDEX(MO_RIS_IE_Net_NONGAAP,0,COLUMN())</f>
        <v/>
      </c>
      <c r="BX33" s="2087">
        <f>INDEX(MO_RIS_IE_Net_NONGAAP,0,COLUMN())</f>
        <v/>
      </c>
      <c r="BY33" s="2087">
        <f>INDEX(MO_RIS_IE_Net_NONGAAP,0,COLUMN())</f>
        <v/>
      </c>
      <c r="BZ33" s="2087">
        <f>INDEX(MO_RIS_IE_Net_NONGAAP,0,COLUMN())</f>
        <v/>
      </c>
      <c r="CA33" s="2087">
        <f>INDEX(MO_RIS_IE_Net_NONGAAP,0,COLUMN())</f>
        <v/>
      </c>
      <c r="CB33" s="2072" t="n"/>
    </row>
    <row r="34" ht="15" customFormat="1" customHeight="1" s="2101">
      <c r="A34" s="1607">
        <f>INDEX(MO_RIS_OI_NONGAAP,0,COLUMN())</f>
        <v/>
      </c>
      <c r="B34" s="2201" t="n"/>
      <c r="C34" s="2092">
        <f>INDEX(MO_RIS_OI_NONGAAP,0,COLUMN())</f>
        <v/>
      </c>
      <c r="D34" s="2092">
        <f>INDEX(MO_RIS_OI_NONGAAP,0,COLUMN())</f>
        <v/>
      </c>
      <c r="E34" s="2092">
        <f>INDEX(MO_RIS_OI_NONGAAP,0,COLUMN())</f>
        <v/>
      </c>
      <c r="F34" s="2092">
        <f>INDEX(MO_RIS_OI_NONGAAP,0,COLUMN())</f>
        <v/>
      </c>
      <c r="G34" s="2093">
        <f>INDEX(MO_RIS_OI_NONGAAP,0,COLUMN())</f>
        <v/>
      </c>
      <c r="H34" s="2093">
        <f>INDEX(MO_RIS_OI_NONGAAP,0,COLUMN())</f>
        <v/>
      </c>
      <c r="I34" s="2093">
        <f>INDEX(MO_RIS_OI_NONGAAP,0,COLUMN())</f>
        <v/>
      </c>
      <c r="J34" s="2093">
        <f>INDEX(MO_RIS_OI_NONGAAP,0,COLUMN())</f>
        <v/>
      </c>
      <c r="K34" s="2092">
        <f>INDEX(MO_RIS_OI_NONGAAP,0,COLUMN())</f>
        <v/>
      </c>
      <c r="L34" s="2093">
        <f>INDEX(MO_RIS_OI_NONGAAP,0,COLUMN())</f>
        <v/>
      </c>
      <c r="M34" s="2093">
        <f>INDEX(MO_RIS_OI_NONGAAP,0,COLUMN())</f>
        <v/>
      </c>
      <c r="N34" s="2093">
        <f>INDEX(MO_RIS_OI_NONGAAP,0,COLUMN())</f>
        <v/>
      </c>
      <c r="O34" s="2093">
        <f>INDEX(MO_RIS_OI_NONGAAP,0,COLUMN())</f>
        <v/>
      </c>
      <c r="P34" s="2092">
        <f>INDEX(MO_RIS_OI_NONGAAP,0,COLUMN())</f>
        <v/>
      </c>
      <c r="Q34" s="2093">
        <f>INDEX(MO_RIS_OI_NONGAAP,0,COLUMN())</f>
        <v/>
      </c>
      <c r="R34" s="2093">
        <f>INDEX(MO_RIS_OI_NONGAAP,0,COLUMN())</f>
        <v/>
      </c>
      <c r="S34" s="2093">
        <f>INDEX(MO_RIS_OI_NONGAAP,0,COLUMN())</f>
        <v/>
      </c>
      <c r="T34" s="2093">
        <f>INDEX(MO_RIS_OI_NONGAAP,0,COLUMN())</f>
        <v/>
      </c>
      <c r="U34" s="2092">
        <f>INDEX(MO_RIS_OI_NONGAAP,0,COLUMN())</f>
        <v/>
      </c>
      <c r="V34" s="2093">
        <f>INDEX(MO_RIS_OI_NONGAAP,0,COLUMN())</f>
        <v/>
      </c>
      <c r="W34" s="2093">
        <f>INDEX(MO_RIS_OI_NONGAAP,0,COLUMN())</f>
        <v/>
      </c>
      <c r="X34" s="2093">
        <f>INDEX(MO_RIS_OI_NONGAAP,0,COLUMN())</f>
        <v/>
      </c>
      <c r="Y34" s="2093">
        <f>INDEX(MO_RIS_OI_NONGAAP,0,COLUMN())</f>
        <v/>
      </c>
      <c r="Z34" s="2092">
        <f>INDEX(MO_RIS_OI_NONGAAP,0,COLUMN())</f>
        <v/>
      </c>
      <c r="AA34" s="2093">
        <f>INDEX(MO_RIS_OI_NONGAAP,0,COLUMN())</f>
        <v/>
      </c>
      <c r="AB34" s="2093">
        <f>INDEX(MO_RIS_OI_NONGAAP,0,COLUMN())</f>
        <v/>
      </c>
      <c r="AC34" s="2093">
        <f>INDEX(MO_RIS_OI_NONGAAP,0,COLUMN())</f>
        <v/>
      </c>
      <c r="AD34" s="2093">
        <f>INDEX(MO_RIS_OI_NONGAAP,0,COLUMN())</f>
        <v/>
      </c>
      <c r="AE34" s="2092">
        <f>INDEX(MO_RIS_OI_NONGAAP,0,COLUMN())</f>
        <v/>
      </c>
      <c r="AF34" s="2093">
        <f>INDEX(MO_RIS_OI_NONGAAP,0,COLUMN())</f>
        <v/>
      </c>
      <c r="AG34" s="2093">
        <f>INDEX(MO_RIS_OI_NONGAAP,0,COLUMN())</f>
        <v/>
      </c>
      <c r="AH34" s="2093">
        <f>INDEX(MO_RIS_OI_NONGAAP,0,COLUMN())</f>
        <v/>
      </c>
      <c r="AI34" s="2093">
        <f>INDEX(MO_RIS_OI_NONGAAP,0,COLUMN())</f>
        <v/>
      </c>
      <c r="AJ34" s="2092">
        <f>INDEX(MO_RIS_OI_NONGAAP,0,COLUMN())</f>
        <v/>
      </c>
      <c r="AK34" s="2093">
        <f>INDEX(MO_RIS_OI_NONGAAP,0,COLUMN())</f>
        <v/>
      </c>
      <c r="AL34" s="2093">
        <f>INDEX(MO_RIS_OI_NONGAAP,0,COLUMN())</f>
        <v/>
      </c>
      <c r="AM34" s="2093">
        <f>INDEX(MO_RIS_OI_NONGAAP,0,COLUMN())</f>
        <v/>
      </c>
      <c r="AN34" s="2093">
        <f>INDEX(MO_RIS_OI_NONGAAP,0,COLUMN())</f>
        <v/>
      </c>
      <c r="AO34" s="2092">
        <f>INDEX(MO_RIS_OI_NONGAAP,0,COLUMN())</f>
        <v/>
      </c>
      <c r="AP34" s="2093">
        <f>INDEX(MO_RIS_OI_NONGAAP,0,COLUMN())</f>
        <v/>
      </c>
      <c r="AQ34" s="2093">
        <f>INDEX(MO_RIS_OI_NONGAAP,0,COLUMN())</f>
        <v/>
      </c>
      <c r="AR34" s="2093">
        <f>INDEX(MO_RIS_OI_NONGAAP,0,COLUMN())</f>
        <v/>
      </c>
      <c r="AS34" s="2093">
        <f>INDEX(MO_RIS_OI_NONGAAP,0,COLUMN())</f>
        <v/>
      </c>
      <c r="AT34" s="2092">
        <f>INDEX(MO_RIS_OI_NONGAAP,0,COLUMN())</f>
        <v/>
      </c>
      <c r="AU34" s="2093">
        <f>INDEX(MO_RIS_OI_NONGAAP,0,COLUMN())</f>
        <v/>
      </c>
      <c r="AV34" s="2093">
        <f>INDEX(MO_RIS_OI_NONGAAP,0,COLUMN())</f>
        <v/>
      </c>
      <c r="AW34" s="2093">
        <f>INDEX(MO_RIS_OI_NONGAAP,0,COLUMN())</f>
        <v/>
      </c>
      <c r="AX34" s="2093">
        <f>INDEX(MO_RIS_OI_NONGAAP,0,COLUMN())</f>
        <v/>
      </c>
      <c r="AY34" s="2092">
        <f>INDEX(MO_RIS_OI_NONGAAP,0,COLUMN())</f>
        <v/>
      </c>
      <c r="AZ34" s="2093">
        <f>INDEX(MO_RIS_OI_NONGAAP,0,COLUMN())</f>
        <v/>
      </c>
      <c r="BA34" s="2093">
        <f>INDEX(MO_RIS_OI_NONGAAP,0,COLUMN())</f>
        <v/>
      </c>
      <c r="BB34" s="2093">
        <f>INDEX(MO_RIS_OI_NONGAAP,0,COLUMN())</f>
        <v/>
      </c>
      <c r="BC34" s="2093">
        <f>INDEX(MO_RIS_OI_NONGAAP,0,COLUMN())</f>
        <v/>
      </c>
      <c r="BD34" s="2092">
        <f>INDEX(MO_RIS_OI_NONGAAP,0,COLUMN())</f>
        <v/>
      </c>
      <c r="BE34" s="2093">
        <f>INDEX(MO_RIS_OI_NONGAAP,0,COLUMN())</f>
        <v/>
      </c>
      <c r="BF34" s="2093">
        <f>INDEX(MO_RIS_OI_NONGAAP,0,COLUMN())</f>
        <v/>
      </c>
      <c r="BG34" s="2093">
        <f>INDEX(MO_RIS_OI_NONGAAP,0,COLUMN())</f>
        <v/>
      </c>
      <c r="BH34" s="2093">
        <f>INDEX(MO_RIS_OI_NONGAAP,0,COLUMN())</f>
        <v/>
      </c>
      <c r="BI34" s="2092">
        <f>INDEX(MO_RIS_OI_NONGAAP,0,COLUMN())</f>
        <v/>
      </c>
      <c r="BJ34" s="2093">
        <f>INDEX(MO_RIS_OI_NONGAAP,0,COLUMN())</f>
        <v/>
      </c>
      <c r="BK34" s="2093">
        <f>INDEX(MO_RIS_OI_NONGAAP,0,COLUMN())</f>
        <v/>
      </c>
      <c r="BL34" s="2093">
        <f>INDEX(MO_RIS_OI_NONGAAP,0,COLUMN())</f>
        <v/>
      </c>
      <c r="BM34" s="2093">
        <f>INDEX(MO_RIS_OI_NONGAAP,0,COLUMN())</f>
        <v/>
      </c>
      <c r="BN34" s="2092">
        <f>INDEX(MO_RIS_OI_NONGAAP,0,COLUMN())</f>
        <v/>
      </c>
      <c r="BO34" s="2093">
        <f>INDEX(MO_RIS_OI_NONGAAP,0,COLUMN())</f>
        <v/>
      </c>
      <c r="BP34" s="2093">
        <f>INDEX(MO_RIS_OI_NONGAAP,0,COLUMN())</f>
        <v/>
      </c>
      <c r="BQ34" s="2095">
        <f>INDEX(MO_RIS_OI_NONGAAP,0,COLUMN())</f>
        <v/>
      </c>
      <c r="BR34" s="2093">
        <f>INDEX(MO_RIS_OI_NONGAAP,0,COLUMN())</f>
        <v/>
      </c>
      <c r="BS34" s="2092">
        <f>INDEX(MO_RIS_OI_NONGAAP,0,COLUMN())</f>
        <v/>
      </c>
      <c r="BT34" s="2093">
        <f>INDEX(MO_RIS_OI_NONGAAP,0,COLUMN())</f>
        <v/>
      </c>
      <c r="BU34" s="2093">
        <f>INDEX(MO_RIS_OI_NONGAAP,0,COLUMN())</f>
        <v/>
      </c>
      <c r="BV34" s="2093">
        <f>INDEX(MO_RIS_OI_NONGAAP,0,COLUMN())</f>
        <v/>
      </c>
      <c r="BW34" s="2093">
        <f>INDEX(MO_RIS_OI_NONGAAP,0,COLUMN())</f>
        <v/>
      </c>
      <c r="BX34" s="2092">
        <f>INDEX(MO_RIS_OI_NONGAAP,0,COLUMN())</f>
        <v/>
      </c>
      <c r="BY34" s="2092">
        <f>INDEX(MO_RIS_OI_NONGAAP,0,COLUMN())</f>
        <v/>
      </c>
      <c r="BZ34" s="2092">
        <f>INDEX(MO_RIS_OI_NONGAAP,0,COLUMN())</f>
        <v/>
      </c>
      <c r="CA34" s="2092">
        <f>INDEX(MO_RIS_OI_NONGAAP,0,COLUMN())</f>
        <v/>
      </c>
      <c r="CB34" s="2072" t="n"/>
    </row>
    <row r="35" ht="15" customFormat="1" customHeight="1" s="2082">
      <c r="A35" s="1606">
        <f>INDEX(MO_RIS_EBT_NONGAAP,0,COLUMN())</f>
        <v/>
      </c>
      <c r="B35" s="2202" t="n"/>
      <c r="C35" s="2203">
        <f>INDEX(MO_RIS_EBT_NONGAAP,0,COLUMN())</f>
        <v/>
      </c>
      <c r="D35" s="2203">
        <f>INDEX(MO_RIS_EBT_NONGAAP,0,COLUMN())</f>
        <v/>
      </c>
      <c r="E35" s="2203">
        <f>INDEX(MO_RIS_EBT_NONGAAP,0,COLUMN())</f>
        <v/>
      </c>
      <c r="F35" s="2203">
        <f>INDEX(MO_RIS_EBT_NONGAAP,0,COLUMN())</f>
        <v/>
      </c>
      <c r="G35" s="2204">
        <f>INDEX(MO_RIS_EBT_NONGAAP,0,COLUMN())</f>
        <v/>
      </c>
      <c r="H35" s="2204">
        <f>INDEX(MO_RIS_EBT_NONGAAP,0,COLUMN())</f>
        <v/>
      </c>
      <c r="I35" s="2204">
        <f>INDEX(MO_RIS_EBT_NONGAAP,0,COLUMN())</f>
        <v/>
      </c>
      <c r="J35" s="2204">
        <f>INDEX(MO_RIS_EBT_NONGAAP,0,COLUMN())</f>
        <v/>
      </c>
      <c r="K35" s="2203">
        <f>INDEX(MO_RIS_EBT_NONGAAP,0,COLUMN())</f>
        <v/>
      </c>
      <c r="L35" s="2204">
        <f>INDEX(MO_RIS_EBT_NONGAAP,0,COLUMN())</f>
        <v/>
      </c>
      <c r="M35" s="2204">
        <f>INDEX(MO_RIS_EBT_NONGAAP,0,COLUMN())</f>
        <v/>
      </c>
      <c r="N35" s="2204">
        <f>INDEX(MO_RIS_EBT_NONGAAP,0,COLUMN())</f>
        <v/>
      </c>
      <c r="O35" s="2204">
        <f>INDEX(MO_RIS_EBT_NONGAAP,0,COLUMN())</f>
        <v/>
      </c>
      <c r="P35" s="2203">
        <f>INDEX(MO_RIS_EBT_NONGAAP,0,COLUMN())</f>
        <v/>
      </c>
      <c r="Q35" s="2204">
        <f>INDEX(MO_RIS_EBT_NONGAAP,0,COLUMN())</f>
        <v/>
      </c>
      <c r="R35" s="2204">
        <f>INDEX(MO_RIS_EBT_NONGAAP,0,COLUMN())</f>
        <v/>
      </c>
      <c r="S35" s="2204">
        <f>INDEX(MO_RIS_EBT_NONGAAP,0,COLUMN())</f>
        <v/>
      </c>
      <c r="T35" s="2204">
        <f>INDEX(MO_RIS_EBT_NONGAAP,0,COLUMN())</f>
        <v/>
      </c>
      <c r="U35" s="2203">
        <f>INDEX(MO_RIS_EBT_NONGAAP,0,COLUMN())</f>
        <v/>
      </c>
      <c r="V35" s="2204">
        <f>INDEX(MO_RIS_EBT_NONGAAP,0,COLUMN())</f>
        <v/>
      </c>
      <c r="W35" s="2204">
        <f>INDEX(MO_RIS_EBT_NONGAAP,0,COLUMN())</f>
        <v/>
      </c>
      <c r="X35" s="2204">
        <f>INDEX(MO_RIS_EBT_NONGAAP,0,COLUMN())</f>
        <v/>
      </c>
      <c r="Y35" s="2204">
        <f>INDEX(MO_RIS_EBT_NONGAAP,0,COLUMN())</f>
        <v/>
      </c>
      <c r="Z35" s="2203">
        <f>INDEX(MO_RIS_EBT_NONGAAP,0,COLUMN())</f>
        <v/>
      </c>
      <c r="AA35" s="2204">
        <f>INDEX(MO_RIS_EBT_NONGAAP,0,COLUMN())</f>
        <v/>
      </c>
      <c r="AB35" s="2204">
        <f>INDEX(MO_RIS_EBT_NONGAAP,0,COLUMN())</f>
        <v/>
      </c>
      <c r="AC35" s="2204">
        <f>INDEX(MO_RIS_EBT_NONGAAP,0,COLUMN())</f>
        <v/>
      </c>
      <c r="AD35" s="2204">
        <f>INDEX(MO_RIS_EBT_NONGAAP,0,COLUMN())</f>
        <v/>
      </c>
      <c r="AE35" s="2203">
        <f>INDEX(MO_RIS_EBT_NONGAAP,0,COLUMN())</f>
        <v/>
      </c>
      <c r="AF35" s="2204">
        <f>INDEX(MO_RIS_EBT_NONGAAP,0,COLUMN())</f>
        <v/>
      </c>
      <c r="AG35" s="2204">
        <f>INDEX(MO_RIS_EBT_NONGAAP,0,COLUMN())</f>
        <v/>
      </c>
      <c r="AH35" s="2204">
        <f>INDEX(MO_RIS_EBT_NONGAAP,0,COLUMN())</f>
        <v/>
      </c>
      <c r="AI35" s="2204">
        <f>INDEX(MO_RIS_EBT_NONGAAP,0,COLUMN())</f>
        <v/>
      </c>
      <c r="AJ35" s="2203">
        <f>INDEX(MO_RIS_EBT_NONGAAP,0,COLUMN())</f>
        <v/>
      </c>
      <c r="AK35" s="2204">
        <f>INDEX(MO_RIS_EBT_NONGAAP,0,COLUMN())</f>
        <v/>
      </c>
      <c r="AL35" s="2204">
        <f>INDEX(MO_RIS_EBT_NONGAAP,0,COLUMN())</f>
        <v/>
      </c>
      <c r="AM35" s="2204">
        <f>INDEX(MO_RIS_EBT_NONGAAP,0,COLUMN())</f>
        <v/>
      </c>
      <c r="AN35" s="2204">
        <f>INDEX(MO_RIS_EBT_NONGAAP,0,COLUMN())</f>
        <v/>
      </c>
      <c r="AO35" s="2203">
        <f>INDEX(MO_RIS_EBT_NONGAAP,0,COLUMN())</f>
        <v/>
      </c>
      <c r="AP35" s="2204">
        <f>INDEX(MO_RIS_EBT_NONGAAP,0,COLUMN())</f>
        <v/>
      </c>
      <c r="AQ35" s="2204">
        <f>INDEX(MO_RIS_EBT_NONGAAP,0,COLUMN())</f>
        <v/>
      </c>
      <c r="AR35" s="2204">
        <f>INDEX(MO_RIS_EBT_NONGAAP,0,COLUMN())</f>
        <v/>
      </c>
      <c r="AS35" s="2204">
        <f>INDEX(MO_RIS_EBT_NONGAAP,0,COLUMN())</f>
        <v/>
      </c>
      <c r="AT35" s="2203">
        <f>INDEX(MO_RIS_EBT_NONGAAP,0,COLUMN())</f>
        <v/>
      </c>
      <c r="AU35" s="2204">
        <f>INDEX(MO_RIS_EBT_NONGAAP,0,COLUMN())</f>
        <v/>
      </c>
      <c r="AV35" s="2204">
        <f>INDEX(MO_RIS_EBT_NONGAAP,0,COLUMN())</f>
        <v/>
      </c>
      <c r="AW35" s="2204">
        <f>INDEX(MO_RIS_EBT_NONGAAP,0,COLUMN())</f>
        <v/>
      </c>
      <c r="AX35" s="2204">
        <f>INDEX(MO_RIS_EBT_NONGAAP,0,COLUMN())</f>
        <v/>
      </c>
      <c r="AY35" s="2203">
        <f>INDEX(MO_RIS_EBT_NONGAAP,0,COLUMN())</f>
        <v/>
      </c>
      <c r="AZ35" s="2204">
        <f>INDEX(MO_RIS_EBT_NONGAAP,0,COLUMN())</f>
        <v/>
      </c>
      <c r="BA35" s="2204">
        <f>INDEX(MO_RIS_EBT_NONGAAP,0,COLUMN())</f>
        <v/>
      </c>
      <c r="BB35" s="2204">
        <f>INDEX(MO_RIS_EBT_NONGAAP,0,COLUMN())</f>
        <v/>
      </c>
      <c r="BC35" s="2204">
        <f>INDEX(MO_RIS_EBT_NONGAAP,0,COLUMN())</f>
        <v/>
      </c>
      <c r="BD35" s="2203">
        <f>INDEX(MO_RIS_EBT_NONGAAP,0,COLUMN())</f>
        <v/>
      </c>
      <c r="BE35" s="2204">
        <f>INDEX(MO_RIS_EBT_NONGAAP,0,COLUMN())</f>
        <v/>
      </c>
      <c r="BF35" s="2204">
        <f>INDEX(MO_RIS_EBT_NONGAAP,0,COLUMN())</f>
        <v/>
      </c>
      <c r="BG35" s="2204">
        <f>INDEX(MO_RIS_EBT_NONGAAP,0,COLUMN())</f>
        <v/>
      </c>
      <c r="BH35" s="2204">
        <f>INDEX(MO_RIS_EBT_NONGAAP,0,COLUMN())</f>
        <v/>
      </c>
      <c r="BI35" s="2203">
        <f>INDEX(MO_RIS_EBT_NONGAAP,0,COLUMN())</f>
        <v/>
      </c>
      <c r="BJ35" s="2204">
        <f>INDEX(MO_RIS_EBT_NONGAAP,0,COLUMN())</f>
        <v/>
      </c>
      <c r="BK35" s="2204">
        <f>INDEX(MO_RIS_EBT_NONGAAP,0,COLUMN())</f>
        <v/>
      </c>
      <c r="BL35" s="2204">
        <f>INDEX(MO_RIS_EBT_NONGAAP,0,COLUMN())</f>
        <v/>
      </c>
      <c r="BM35" s="2204">
        <f>INDEX(MO_RIS_EBT_NONGAAP,0,COLUMN())</f>
        <v/>
      </c>
      <c r="BN35" s="2203">
        <f>INDEX(MO_RIS_EBT_NONGAAP,0,COLUMN())</f>
        <v/>
      </c>
      <c r="BO35" s="2204">
        <f>INDEX(MO_RIS_EBT_NONGAAP,0,COLUMN())</f>
        <v/>
      </c>
      <c r="BP35" s="2204">
        <f>INDEX(MO_RIS_EBT_NONGAAP,0,COLUMN())</f>
        <v/>
      </c>
      <c r="BQ35" s="2205">
        <f>INDEX(MO_RIS_EBT_NONGAAP,0,COLUMN())</f>
        <v/>
      </c>
      <c r="BR35" s="2204">
        <f>INDEX(MO_RIS_EBT_NONGAAP,0,COLUMN())</f>
        <v/>
      </c>
      <c r="BS35" s="2203">
        <f>INDEX(MO_RIS_EBT_NONGAAP,0,COLUMN())</f>
        <v/>
      </c>
      <c r="BT35" s="2204">
        <f>INDEX(MO_RIS_EBT_NONGAAP,0,COLUMN())</f>
        <v/>
      </c>
      <c r="BU35" s="2204">
        <f>INDEX(MO_RIS_EBT_NONGAAP,0,COLUMN())</f>
        <v/>
      </c>
      <c r="BV35" s="2204">
        <f>INDEX(MO_RIS_EBT_NONGAAP,0,COLUMN())</f>
        <v/>
      </c>
      <c r="BW35" s="2204">
        <f>INDEX(MO_RIS_EBT_NONGAAP,0,COLUMN())</f>
        <v/>
      </c>
      <c r="BX35" s="2203">
        <f>INDEX(MO_RIS_EBT_NONGAAP,0,COLUMN())</f>
        <v/>
      </c>
      <c r="BY35" s="2203">
        <f>INDEX(MO_RIS_EBT_NONGAAP,0,COLUMN())</f>
        <v/>
      </c>
      <c r="BZ35" s="2203">
        <f>INDEX(MO_RIS_EBT_NONGAAP,0,COLUMN())</f>
        <v/>
      </c>
      <c r="CA35" s="2203">
        <f>INDEX(MO_RIS_EBT_NONGAAP,0,COLUMN())</f>
        <v/>
      </c>
      <c r="CB35" s="2089" t="n"/>
    </row>
    <row r="36" ht="15" customFormat="1" customHeight="1" s="2101">
      <c r="A36" s="1607">
        <f>INDEX(MO_RIS_Tax_NONGAAP,0,COLUMN())</f>
        <v/>
      </c>
      <c r="B36" s="2201" t="n"/>
      <c r="C36" s="2092">
        <f>INDEX(MO_RIS_Tax_NONGAAP,0,COLUMN())</f>
        <v/>
      </c>
      <c r="D36" s="2092">
        <f>INDEX(MO_RIS_Tax_NONGAAP,0,COLUMN())</f>
        <v/>
      </c>
      <c r="E36" s="2092">
        <f>INDEX(MO_RIS_Tax_NONGAAP,0,COLUMN())</f>
        <v/>
      </c>
      <c r="F36" s="2092">
        <f>INDEX(MO_RIS_Tax_NONGAAP,0,COLUMN())</f>
        <v/>
      </c>
      <c r="G36" s="2093">
        <f>INDEX(MO_RIS_Tax_NONGAAP,0,COLUMN())</f>
        <v/>
      </c>
      <c r="H36" s="2093">
        <f>INDEX(MO_RIS_Tax_NONGAAP,0,COLUMN())</f>
        <v/>
      </c>
      <c r="I36" s="2093">
        <f>INDEX(MO_RIS_Tax_NONGAAP,0,COLUMN())</f>
        <v/>
      </c>
      <c r="J36" s="2093">
        <f>INDEX(MO_RIS_Tax_NONGAAP,0,COLUMN())</f>
        <v/>
      </c>
      <c r="K36" s="2092">
        <f>INDEX(MO_RIS_Tax_NONGAAP,0,COLUMN())</f>
        <v/>
      </c>
      <c r="L36" s="2093">
        <f>INDEX(MO_RIS_Tax_NONGAAP,0,COLUMN())</f>
        <v/>
      </c>
      <c r="M36" s="2093">
        <f>INDEX(MO_RIS_Tax_NONGAAP,0,COLUMN())</f>
        <v/>
      </c>
      <c r="N36" s="2093">
        <f>INDEX(MO_RIS_Tax_NONGAAP,0,COLUMN())</f>
        <v/>
      </c>
      <c r="O36" s="2093">
        <f>INDEX(MO_RIS_Tax_NONGAAP,0,COLUMN())</f>
        <v/>
      </c>
      <c r="P36" s="2092">
        <f>INDEX(MO_RIS_Tax_NONGAAP,0,COLUMN())</f>
        <v/>
      </c>
      <c r="Q36" s="2093">
        <f>INDEX(MO_RIS_Tax_NONGAAP,0,COLUMN())</f>
        <v/>
      </c>
      <c r="R36" s="2093">
        <f>INDEX(MO_RIS_Tax_NONGAAP,0,COLUMN())</f>
        <v/>
      </c>
      <c r="S36" s="2093">
        <f>INDEX(MO_RIS_Tax_NONGAAP,0,COLUMN())</f>
        <v/>
      </c>
      <c r="T36" s="2093">
        <f>INDEX(MO_RIS_Tax_NONGAAP,0,COLUMN())</f>
        <v/>
      </c>
      <c r="U36" s="2092">
        <f>INDEX(MO_RIS_Tax_NONGAAP,0,COLUMN())</f>
        <v/>
      </c>
      <c r="V36" s="2093">
        <f>INDEX(MO_RIS_Tax_NONGAAP,0,COLUMN())</f>
        <v/>
      </c>
      <c r="W36" s="2093">
        <f>INDEX(MO_RIS_Tax_NONGAAP,0,COLUMN())</f>
        <v/>
      </c>
      <c r="X36" s="2093">
        <f>INDEX(MO_RIS_Tax_NONGAAP,0,COLUMN())</f>
        <v/>
      </c>
      <c r="Y36" s="2093">
        <f>INDEX(MO_RIS_Tax_NONGAAP,0,COLUMN())</f>
        <v/>
      </c>
      <c r="Z36" s="2092">
        <f>INDEX(MO_RIS_Tax_NONGAAP,0,COLUMN())</f>
        <v/>
      </c>
      <c r="AA36" s="2093">
        <f>INDEX(MO_RIS_Tax_NONGAAP,0,COLUMN())</f>
        <v/>
      </c>
      <c r="AB36" s="2093">
        <f>INDEX(MO_RIS_Tax_NONGAAP,0,COLUMN())</f>
        <v/>
      </c>
      <c r="AC36" s="2093">
        <f>INDEX(MO_RIS_Tax_NONGAAP,0,COLUMN())</f>
        <v/>
      </c>
      <c r="AD36" s="2093">
        <f>INDEX(MO_RIS_Tax_NONGAAP,0,COLUMN())</f>
        <v/>
      </c>
      <c r="AE36" s="2092">
        <f>INDEX(MO_RIS_Tax_NONGAAP,0,COLUMN())</f>
        <v/>
      </c>
      <c r="AF36" s="2093">
        <f>INDEX(MO_RIS_Tax_NONGAAP,0,COLUMN())</f>
        <v/>
      </c>
      <c r="AG36" s="2093">
        <f>INDEX(MO_RIS_Tax_NONGAAP,0,COLUMN())</f>
        <v/>
      </c>
      <c r="AH36" s="2093">
        <f>INDEX(MO_RIS_Tax_NONGAAP,0,COLUMN())</f>
        <v/>
      </c>
      <c r="AI36" s="2093">
        <f>INDEX(MO_RIS_Tax_NONGAAP,0,COLUMN())</f>
        <v/>
      </c>
      <c r="AJ36" s="2092">
        <f>INDEX(MO_RIS_Tax_NONGAAP,0,COLUMN())</f>
        <v/>
      </c>
      <c r="AK36" s="2093">
        <f>INDEX(MO_RIS_Tax_NONGAAP,0,COLUMN())</f>
        <v/>
      </c>
      <c r="AL36" s="2093">
        <f>INDEX(MO_RIS_Tax_NONGAAP,0,COLUMN())</f>
        <v/>
      </c>
      <c r="AM36" s="2093">
        <f>INDEX(MO_RIS_Tax_NONGAAP,0,COLUMN())</f>
        <v/>
      </c>
      <c r="AN36" s="2093">
        <f>INDEX(MO_RIS_Tax_NONGAAP,0,COLUMN())</f>
        <v/>
      </c>
      <c r="AO36" s="2092">
        <f>INDEX(MO_RIS_Tax_NONGAAP,0,COLUMN())</f>
        <v/>
      </c>
      <c r="AP36" s="2093">
        <f>INDEX(MO_RIS_Tax_NONGAAP,0,COLUMN())</f>
        <v/>
      </c>
      <c r="AQ36" s="2093">
        <f>INDEX(MO_RIS_Tax_NONGAAP,0,COLUMN())</f>
        <v/>
      </c>
      <c r="AR36" s="2093">
        <f>INDEX(MO_RIS_Tax_NONGAAP,0,COLUMN())</f>
        <v/>
      </c>
      <c r="AS36" s="2093">
        <f>INDEX(MO_RIS_Tax_NONGAAP,0,COLUMN())</f>
        <v/>
      </c>
      <c r="AT36" s="2092">
        <f>INDEX(MO_RIS_Tax_NONGAAP,0,COLUMN())</f>
        <v/>
      </c>
      <c r="AU36" s="2093">
        <f>INDEX(MO_RIS_Tax_NONGAAP,0,COLUMN())</f>
        <v/>
      </c>
      <c r="AV36" s="2093">
        <f>INDEX(MO_RIS_Tax_NONGAAP,0,COLUMN())</f>
        <v/>
      </c>
      <c r="AW36" s="2093">
        <f>INDEX(MO_RIS_Tax_NONGAAP,0,COLUMN())</f>
        <v/>
      </c>
      <c r="AX36" s="2093">
        <f>INDEX(MO_RIS_Tax_NONGAAP,0,COLUMN())</f>
        <v/>
      </c>
      <c r="AY36" s="2092">
        <f>INDEX(MO_RIS_Tax_NONGAAP,0,COLUMN())</f>
        <v/>
      </c>
      <c r="AZ36" s="2093">
        <f>INDEX(MO_RIS_Tax_NONGAAP,0,COLUMN())</f>
        <v/>
      </c>
      <c r="BA36" s="2093">
        <f>INDEX(MO_RIS_Tax_NONGAAP,0,COLUMN())</f>
        <v/>
      </c>
      <c r="BB36" s="2093">
        <f>INDEX(MO_RIS_Tax_NONGAAP,0,COLUMN())</f>
        <v/>
      </c>
      <c r="BC36" s="2093">
        <f>INDEX(MO_RIS_Tax_NONGAAP,0,COLUMN())</f>
        <v/>
      </c>
      <c r="BD36" s="2092">
        <f>INDEX(MO_RIS_Tax_NONGAAP,0,COLUMN())</f>
        <v/>
      </c>
      <c r="BE36" s="2093">
        <f>INDEX(MO_RIS_Tax_NONGAAP,0,COLUMN())</f>
        <v/>
      </c>
      <c r="BF36" s="2093">
        <f>INDEX(MO_RIS_Tax_NONGAAP,0,COLUMN())</f>
        <v/>
      </c>
      <c r="BG36" s="2093">
        <f>INDEX(MO_RIS_Tax_NONGAAP,0,COLUMN())</f>
        <v/>
      </c>
      <c r="BH36" s="2093">
        <f>INDEX(MO_RIS_Tax_NONGAAP,0,COLUMN())</f>
        <v/>
      </c>
      <c r="BI36" s="2092">
        <f>INDEX(MO_RIS_Tax_NONGAAP,0,COLUMN())</f>
        <v/>
      </c>
      <c r="BJ36" s="2093">
        <f>INDEX(MO_RIS_Tax_NONGAAP,0,COLUMN())</f>
        <v/>
      </c>
      <c r="BK36" s="2093">
        <f>INDEX(MO_RIS_Tax_NONGAAP,0,COLUMN())</f>
        <v/>
      </c>
      <c r="BL36" s="2093">
        <f>INDEX(MO_RIS_Tax_NONGAAP,0,COLUMN())</f>
        <v/>
      </c>
      <c r="BM36" s="2093">
        <f>INDEX(MO_RIS_Tax_NONGAAP,0,COLUMN())</f>
        <v/>
      </c>
      <c r="BN36" s="2092">
        <f>INDEX(MO_RIS_Tax_NONGAAP,0,COLUMN())</f>
        <v/>
      </c>
      <c r="BO36" s="2093">
        <f>INDEX(MO_RIS_Tax_NONGAAP,0,COLUMN())</f>
        <v/>
      </c>
      <c r="BP36" s="2093">
        <f>INDEX(MO_RIS_Tax_NONGAAP,0,COLUMN())</f>
        <v/>
      </c>
      <c r="BQ36" s="2095">
        <f>INDEX(MO_RIS_Tax_NONGAAP,0,COLUMN())</f>
        <v/>
      </c>
      <c r="BR36" s="2093">
        <f>INDEX(MO_RIS_Tax_NONGAAP,0,COLUMN())</f>
        <v/>
      </c>
      <c r="BS36" s="2092">
        <f>INDEX(MO_RIS_Tax_NONGAAP,0,COLUMN())</f>
        <v/>
      </c>
      <c r="BT36" s="2093">
        <f>INDEX(MO_RIS_Tax_NONGAAP,0,COLUMN())</f>
        <v/>
      </c>
      <c r="BU36" s="2093">
        <f>INDEX(MO_RIS_Tax_NONGAAP,0,COLUMN())</f>
        <v/>
      </c>
      <c r="BV36" s="2093">
        <f>INDEX(MO_RIS_Tax_NONGAAP,0,COLUMN())</f>
        <v/>
      </c>
      <c r="BW36" s="2093">
        <f>INDEX(MO_RIS_Tax_NONGAAP,0,COLUMN())</f>
        <v/>
      </c>
      <c r="BX36" s="2092">
        <f>INDEX(MO_RIS_Tax_NONGAAP,0,COLUMN())</f>
        <v/>
      </c>
      <c r="BY36" s="2092">
        <f>INDEX(MO_RIS_Tax_NONGAAP,0,COLUMN())</f>
        <v/>
      </c>
      <c r="BZ36" s="2092">
        <f>INDEX(MO_RIS_Tax_NONGAAP,0,COLUMN())</f>
        <v/>
      </c>
      <c r="CA36" s="2092">
        <f>INDEX(MO_RIS_Tax_NONGAAP,0,COLUMN())</f>
        <v/>
      </c>
      <c r="CB36" s="2072" t="n"/>
    </row>
    <row r="37" ht="15" customFormat="1" customHeight="1" s="2082">
      <c r="A37" s="1606">
        <f>INDEX(MO_RIS_NI_NONGAAP_Diluted,0,COLUMN())</f>
        <v/>
      </c>
      <c r="B37" s="2202" t="n"/>
      <c r="C37" s="2203">
        <f>INDEX(MO_RIS_NI_NONGAAP_Diluted,0,COLUMN())</f>
        <v/>
      </c>
      <c r="D37" s="2203">
        <f>INDEX(MO_RIS_NI_NONGAAP_Diluted,0,COLUMN())</f>
        <v/>
      </c>
      <c r="E37" s="2203">
        <f>INDEX(MO_RIS_NI_NONGAAP_Diluted,0,COLUMN())</f>
        <v/>
      </c>
      <c r="F37" s="2203">
        <f>INDEX(MO_RIS_NI_NONGAAP_Diluted,0,COLUMN())</f>
        <v/>
      </c>
      <c r="G37" s="2204">
        <f>INDEX(MO_RIS_NI_NONGAAP_Diluted,0,COLUMN())</f>
        <v/>
      </c>
      <c r="H37" s="2204">
        <f>INDEX(MO_RIS_NI_NONGAAP_Diluted,0,COLUMN())</f>
        <v/>
      </c>
      <c r="I37" s="2204">
        <f>INDEX(MO_RIS_NI_NONGAAP_Diluted,0,COLUMN())</f>
        <v/>
      </c>
      <c r="J37" s="2204">
        <f>INDEX(MO_RIS_NI_NONGAAP_Diluted,0,COLUMN())</f>
        <v/>
      </c>
      <c r="K37" s="2203">
        <f>INDEX(MO_RIS_NI_NONGAAP_Diluted,0,COLUMN())</f>
        <v/>
      </c>
      <c r="L37" s="2204">
        <f>INDEX(MO_RIS_NI_NONGAAP_Diluted,0,COLUMN())</f>
        <v/>
      </c>
      <c r="M37" s="2204">
        <f>INDEX(MO_RIS_NI_NONGAAP_Diluted,0,COLUMN())</f>
        <v/>
      </c>
      <c r="N37" s="2204">
        <f>INDEX(MO_RIS_NI_NONGAAP_Diluted,0,COLUMN())</f>
        <v/>
      </c>
      <c r="O37" s="2204">
        <f>INDEX(MO_RIS_NI_NONGAAP_Diluted,0,COLUMN())</f>
        <v/>
      </c>
      <c r="P37" s="2203">
        <f>INDEX(MO_RIS_NI_NONGAAP_Diluted,0,COLUMN())</f>
        <v/>
      </c>
      <c r="Q37" s="2204">
        <f>INDEX(MO_RIS_NI_NONGAAP_Diluted,0,COLUMN())</f>
        <v/>
      </c>
      <c r="R37" s="2204">
        <f>INDEX(MO_RIS_NI_NONGAAP_Diluted,0,COLUMN())</f>
        <v/>
      </c>
      <c r="S37" s="2204">
        <f>INDEX(MO_RIS_NI_NONGAAP_Diluted,0,COLUMN())</f>
        <v/>
      </c>
      <c r="T37" s="2204">
        <f>INDEX(MO_RIS_NI_NONGAAP_Diluted,0,COLUMN())</f>
        <v/>
      </c>
      <c r="U37" s="2203">
        <f>INDEX(MO_RIS_NI_NONGAAP_Diluted,0,COLUMN())</f>
        <v/>
      </c>
      <c r="V37" s="2204">
        <f>INDEX(MO_RIS_NI_NONGAAP_Diluted,0,COLUMN())</f>
        <v/>
      </c>
      <c r="W37" s="2204">
        <f>INDEX(MO_RIS_NI_NONGAAP_Diluted,0,COLUMN())</f>
        <v/>
      </c>
      <c r="X37" s="2204">
        <f>INDEX(MO_RIS_NI_NONGAAP_Diluted,0,COLUMN())</f>
        <v/>
      </c>
      <c r="Y37" s="2204">
        <f>INDEX(MO_RIS_NI_NONGAAP_Diluted,0,COLUMN())</f>
        <v/>
      </c>
      <c r="Z37" s="2203">
        <f>INDEX(MO_RIS_NI_NONGAAP_Diluted,0,COLUMN())</f>
        <v/>
      </c>
      <c r="AA37" s="2204">
        <f>INDEX(MO_RIS_NI_NONGAAP_Diluted,0,COLUMN())</f>
        <v/>
      </c>
      <c r="AB37" s="2204">
        <f>INDEX(MO_RIS_NI_NONGAAP_Diluted,0,COLUMN())</f>
        <v/>
      </c>
      <c r="AC37" s="2204">
        <f>INDEX(MO_RIS_NI_NONGAAP_Diluted,0,COLUMN())</f>
        <v/>
      </c>
      <c r="AD37" s="2204">
        <f>INDEX(MO_RIS_NI_NONGAAP_Diluted,0,COLUMN())</f>
        <v/>
      </c>
      <c r="AE37" s="2203">
        <f>INDEX(MO_RIS_NI_NONGAAP_Diluted,0,COLUMN())</f>
        <v/>
      </c>
      <c r="AF37" s="2204">
        <f>INDEX(MO_RIS_NI_NONGAAP_Diluted,0,COLUMN())</f>
        <v/>
      </c>
      <c r="AG37" s="2204">
        <f>INDEX(MO_RIS_NI_NONGAAP_Diluted,0,COLUMN())</f>
        <v/>
      </c>
      <c r="AH37" s="2204">
        <f>INDEX(MO_RIS_NI_NONGAAP_Diluted,0,COLUMN())</f>
        <v/>
      </c>
      <c r="AI37" s="2204">
        <f>INDEX(MO_RIS_NI_NONGAAP_Diluted,0,COLUMN())</f>
        <v/>
      </c>
      <c r="AJ37" s="2203">
        <f>INDEX(MO_RIS_NI_NONGAAP_Diluted,0,COLUMN())</f>
        <v/>
      </c>
      <c r="AK37" s="2204">
        <f>INDEX(MO_RIS_NI_NONGAAP_Diluted,0,COLUMN())</f>
        <v/>
      </c>
      <c r="AL37" s="2204">
        <f>INDEX(MO_RIS_NI_NONGAAP_Diluted,0,COLUMN())</f>
        <v/>
      </c>
      <c r="AM37" s="2204">
        <f>INDEX(MO_RIS_NI_NONGAAP_Diluted,0,COLUMN())</f>
        <v/>
      </c>
      <c r="AN37" s="2204">
        <f>INDEX(MO_RIS_NI_NONGAAP_Diluted,0,COLUMN())</f>
        <v/>
      </c>
      <c r="AO37" s="2203">
        <f>INDEX(MO_RIS_NI_NONGAAP_Diluted,0,COLUMN())</f>
        <v/>
      </c>
      <c r="AP37" s="2204">
        <f>INDEX(MO_RIS_NI_NONGAAP_Diluted,0,COLUMN())</f>
        <v/>
      </c>
      <c r="AQ37" s="2204">
        <f>INDEX(MO_RIS_NI_NONGAAP_Diluted,0,COLUMN())</f>
        <v/>
      </c>
      <c r="AR37" s="2204">
        <f>INDEX(MO_RIS_NI_NONGAAP_Diluted,0,COLUMN())</f>
        <v/>
      </c>
      <c r="AS37" s="2204">
        <f>INDEX(MO_RIS_NI_NONGAAP_Diluted,0,COLUMN())</f>
        <v/>
      </c>
      <c r="AT37" s="2203">
        <f>INDEX(MO_RIS_NI_NONGAAP_Diluted,0,COLUMN())</f>
        <v/>
      </c>
      <c r="AU37" s="2204">
        <f>INDEX(MO_RIS_NI_NONGAAP_Diluted,0,COLUMN())</f>
        <v/>
      </c>
      <c r="AV37" s="2204">
        <f>INDEX(MO_RIS_NI_NONGAAP_Diluted,0,COLUMN())</f>
        <v/>
      </c>
      <c r="AW37" s="2204">
        <f>INDEX(MO_RIS_NI_NONGAAP_Diluted,0,COLUMN())</f>
        <v/>
      </c>
      <c r="AX37" s="2204">
        <f>INDEX(MO_RIS_NI_NONGAAP_Diluted,0,COLUMN())</f>
        <v/>
      </c>
      <c r="AY37" s="2203">
        <f>INDEX(MO_RIS_NI_NONGAAP_Diluted,0,COLUMN())</f>
        <v/>
      </c>
      <c r="AZ37" s="2204">
        <f>INDEX(MO_RIS_NI_NONGAAP_Diluted,0,COLUMN())</f>
        <v/>
      </c>
      <c r="BA37" s="2204">
        <f>INDEX(MO_RIS_NI_NONGAAP_Diluted,0,COLUMN())</f>
        <v/>
      </c>
      <c r="BB37" s="2204">
        <f>INDEX(MO_RIS_NI_NONGAAP_Diluted,0,COLUMN())</f>
        <v/>
      </c>
      <c r="BC37" s="2204">
        <f>INDEX(MO_RIS_NI_NONGAAP_Diluted,0,COLUMN())</f>
        <v/>
      </c>
      <c r="BD37" s="2203">
        <f>INDEX(MO_RIS_NI_NONGAAP_Diluted,0,COLUMN())</f>
        <v/>
      </c>
      <c r="BE37" s="2204">
        <f>INDEX(MO_RIS_NI_NONGAAP_Diluted,0,COLUMN())</f>
        <v/>
      </c>
      <c r="BF37" s="2204">
        <f>INDEX(MO_RIS_NI_NONGAAP_Diluted,0,COLUMN())</f>
        <v/>
      </c>
      <c r="BG37" s="2204">
        <f>INDEX(MO_RIS_NI_NONGAAP_Diluted,0,COLUMN())</f>
        <v/>
      </c>
      <c r="BH37" s="2204">
        <f>INDEX(MO_RIS_NI_NONGAAP_Diluted,0,COLUMN())</f>
        <v/>
      </c>
      <c r="BI37" s="2203">
        <f>INDEX(MO_RIS_NI_NONGAAP_Diluted,0,COLUMN())</f>
        <v/>
      </c>
      <c r="BJ37" s="2204">
        <f>INDEX(MO_RIS_NI_NONGAAP_Diluted,0,COLUMN())</f>
        <v/>
      </c>
      <c r="BK37" s="2204">
        <f>INDEX(MO_RIS_NI_NONGAAP_Diluted,0,COLUMN())</f>
        <v/>
      </c>
      <c r="BL37" s="2204">
        <f>INDEX(MO_RIS_NI_NONGAAP_Diluted,0,COLUMN())</f>
        <v/>
      </c>
      <c r="BM37" s="2204">
        <f>INDEX(MO_RIS_NI_NONGAAP_Diluted,0,COLUMN())</f>
        <v/>
      </c>
      <c r="BN37" s="2203">
        <f>INDEX(MO_RIS_NI_NONGAAP_Diluted,0,COLUMN())</f>
        <v/>
      </c>
      <c r="BO37" s="2204">
        <f>INDEX(MO_RIS_NI_NONGAAP_Diluted,0,COLUMN())</f>
        <v/>
      </c>
      <c r="BP37" s="2204">
        <f>INDEX(MO_RIS_NI_NONGAAP_Diluted,0,COLUMN())</f>
        <v/>
      </c>
      <c r="BQ37" s="2205">
        <f>INDEX(MO_RIS_NI_NONGAAP_Diluted,0,COLUMN())</f>
        <v/>
      </c>
      <c r="BR37" s="2204">
        <f>INDEX(MO_RIS_NI_NONGAAP_Diluted,0,COLUMN())</f>
        <v/>
      </c>
      <c r="BS37" s="2203">
        <f>INDEX(MO_RIS_NI_NONGAAP_Diluted,0,COLUMN())</f>
        <v/>
      </c>
      <c r="BT37" s="2204">
        <f>INDEX(MO_RIS_NI_NONGAAP_Diluted,0,COLUMN())</f>
        <v/>
      </c>
      <c r="BU37" s="2204">
        <f>INDEX(MO_RIS_NI_NONGAAP_Diluted,0,COLUMN())</f>
        <v/>
      </c>
      <c r="BV37" s="2204">
        <f>INDEX(MO_RIS_NI_NONGAAP_Diluted,0,COLUMN())</f>
        <v/>
      </c>
      <c r="BW37" s="2204">
        <f>INDEX(MO_RIS_NI_NONGAAP_Diluted,0,COLUMN())</f>
        <v/>
      </c>
      <c r="BX37" s="2203">
        <f>INDEX(MO_RIS_NI_NONGAAP_Diluted,0,COLUMN())</f>
        <v/>
      </c>
      <c r="BY37" s="2203">
        <f>INDEX(MO_RIS_NI_NONGAAP_Diluted,0,COLUMN())</f>
        <v/>
      </c>
      <c r="BZ37" s="2203">
        <f>INDEX(MO_RIS_NI_NONGAAP_Diluted,0,COLUMN())</f>
        <v/>
      </c>
      <c r="CA37" s="2203">
        <f>INDEX(MO_RIS_NI_NONGAAP_Diluted,0,COLUMN())</f>
        <v/>
      </c>
      <c r="CB37" s="2089" t="n"/>
    </row>
    <row r="38" ht="15" customFormat="1" customHeight="1" s="2101">
      <c r="A38" s="2208" t="inlineStr">
        <is>
          <t>GAAP Adjustments</t>
        </is>
      </c>
      <c r="B38" s="2201" t="n"/>
      <c r="C38" s="2092">
        <f>INDEX(MO_RIS_NI_NONGAAP_Diluted,0,COLUMN())-INDEX(MO_RIS_NI_GAAP_Basic,0,COLUMN())</f>
        <v/>
      </c>
      <c r="D38" s="2092">
        <f>INDEX(MO_RIS_NI_NONGAAP_Diluted,0,COLUMN())-INDEX(MO_RIS_NI_GAAP_Basic,0,COLUMN())</f>
        <v/>
      </c>
      <c r="E38" s="2092">
        <f>INDEX(MO_RIS_NI_NONGAAP_Diluted,0,COLUMN())-INDEX(MO_RIS_NI_GAAP_Basic,0,COLUMN())</f>
        <v/>
      </c>
      <c r="F38" s="2092">
        <f>INDEX(MO_RIS_NI_NONGAAP_Diluted,0,COLUMN())-INDEX(MO_RIS_NI_GAAP_Basic,0,COLUMN())</f>
        <v/>
      </c>
      <c r="G38" s="2093">
        <f>INDEX(MO_RIS_NI_NONGAAP_Diluted,0,COLUMN())-INDEX(MO_RIS_NI_GAAP_Basic,0,COLUMN())</f>
        <v/>
      </c>
      <c r="H38" s="2093">
        <f>INDEX(MO_RIS_NI_NONGAAP_Diluted,0,COLUMN())-INDEX(MO_RIS_NI_GAAP_Basic,0,COLUMN())</f>
        <v/>
      </c>
      <c r="I38" s="2093">
        <f>INDEX(MO_RIS_NI_NONGAAP_Diluted,0,COLUMN())-INDEX(MO_RIS_NI_GAAP_Basic,0,COLUMN())</f>
        <v/>
      </c>
      <c r="J38" s="2093">
        <f>INDEX(MO_RIS_NI_NONGAAP_Diluted,0,COLUMN())-INDEX(MO_RIS_NI_GAAP_Basic,0,COLUMN())</f>
        <v/>
      </c>
      <c r="K38" s="2092">
        <f>INDEX(MO_RIS_NI_NONGAAP_Diluted,0,COLUMN())-INDEX(MO_RIS_NI_GAAP_Basic,0,COLUMN())</f>
        <v/>
      </c>
      <c r="L38" s="2093">
        <f>INDEX(MO_RIS_NI_NONGAAP_Diluted,0,COLUMN())-INDEX(MO_RIS_NI_GAAP_Basic,0,COLUMN())</f>
        <v/>
      </c>
      <c r="M38" s="2093">
        <f>INDEX(MO_RIS_NI_NONGAAP_Diluted,0,COLUMN())-INDEX(MO_RIS_NI_GAAP_Basic,0,COLUMN())</f>
        <v/>
      </c>
      <c r="N38" s="2093">
        <f>INDEX(MO_RIS_NI_NONGAAP_Diluted,0,COLUMN())-INDEX(MO_RIS_NI_GAAP_Basic,0,COLUMN())</f>
        <v/>
      </c>
      <c r="O38" s="2093">
        <f>INDEX(MO_RIS_NI_NONGAAP_Diluted,0,COLUMN())-INDEX(MO_RIS_NI_GAAP_Basic,0,COLUMN())</f>
        <v/>
      </c>
      <c r="P38" s="2092">
        <f>INDEX(MO_RIS_NI_NONGAAP_Diluted,0,COLUMN())-INDEX(MO_RIS_NI_GAAP_Basic,0,COLUMN())</f>
        <v/>
      </c>
      <c r="Q38" s="2093">
        <f>INDEX(MO_RIS_NI_NONGAAP_Diluted,0,COLUMN())-INDEX(MO_RIS_NI_GAAP_Basic,0,COLUMN())</f>
        <v/>
      </c>
      <c r="R38" s="2093">
        <f>INDEX(MO_RIS_NI_NONGAAP_Diluted,0,COLUMN())-INDEX(MO_RIS_NI_GAAP_Basic,0,COLUMN())</f>
        <v/>
      </c>
      <c r="S38" s="2093">
        <f>INDEX(MO_RIS_NI_NONGAAP_Diluted,0,COLUMN())-INDEX(MO_RIS_NI_GAAP_Basic,0,COLUMN())</f>
        <v/>
      </c>
      <c r="T38" s="2093">
        <f>INDEX(MO_RIS_NI_NONGAAP_Diluted,0,COLUMN())-INDEX(MO_RIS_NI_GAAP_Basic,0,COLUMN())</f>
        <v/>
      </c>
      <c r="U38" s="2092">
        <f>INDEX(MO_RIS_NI_NONGAAP_Diluted,0,COLUMN())-INDEX(MO_RIS_NI_GAAP_Basic,0,COLUMN())</f>
        <v/>
      </c>
      <c r="V38" s="2093">
        <f>INDEX(MO_RIS_NI_NONGAAP_Diluted,0,COLUMN())-INDEX(MO_RIS_NI_GAAP_Basic,0,COLUMN())</f>
        <v/>
      </c>
      <c r="W38" s="2093">
        <f>INDEX(MO_RIS_NI_NONGAAP_Diluted,0,COLUMN())-INDEX(MO_RIS_NI_GAAP_Basic,0,COLUMN())</f>
        <v/>
      </c>
      <c r="X38" s="2093">
        <f>INDEX(MO_RIS_NI_NONGAAP_Diluted,0,COLUMN())-INDEX(MO_RIS_NI_GAAP_Basic,0,COLUMN())</f>
        <v/>
      </c>
      <c r="Y38" s="2093">
        <f>INDEX(MO_RIS_NI_NONGAAP_Diluted,0,COLUMN())-INDEX(MO_RIS_NI_GAAP_Basic,0,COLUMN())</f>
        <v/>
      </c>
      <c r="Z38" s="2092">
        <f>INDEX(MO_RIS_NI_NONGAAP_Diluted,0,COLUMN())-INDEX(MO_RIS_NI_GAAP_Basic,0,COLUMN())</f>
        <v/>
      </c>
      <c r="AA38" s="2093">
        <f>INDEX(MO_RIS_NI_NONGAAP_Diluted,0,COLUMN())-INDEX(MO_RIS_NI_GAAP_Basic,0,COLUMN())</f>
        <v/>
      </c>
      <c r="AB38" s="2093">
        <f>INDEX(MO_RIS_NI_NONGAAP_Diluted,0,COLUMN())-INDEX(MO_RIS_NI_GAAP_Basic,0,COLUMN())</f>
        <v/>
      </c>
      <c r="AC38" s="2093">
        <f>INDEX(MO_RIS_NI_NONGAAP_Diluted,0,COLUMN())-INDEX(MO_RIS_NI_GAAP_Basic,0,COLUMN())</f>
        <v/>
      </c>
      <c r="AD38" s="2093">
        <f>INDEX(MO_RIS_NI_NONGAAP_Diluted,0,COLUMN())-INDEX(MO_RIS_NI_GAAP_Basic,0,COLUMN())</f>
        <v/>
      </c>
      <c r="AE38" s="2092">
        <f>INDEX(MO_RIS_NI_NONGAAP_Diluted,0,COLUMN())-INDEX(MO_RIS_NI_GAAP_Basic,0,COLUMN())</f>
        <v/>
      </c>
      <c r="AF38" s="2093">
        <f>INDEX(MO_RIS_NI_NONGAAP_Diluted,0,COLUMN())-INDEX(MO_RIS_NI_GAAP_Basic,0,COLUMN())</f>
        <v/>
      </c>
      <c r="AG38" s="2093">
        <f>INDEX(MO_RIS_NI_NONGAAP_Diluted,0,COLUMN())-INDEX(MO_RIS_NI_GAAP_Basic,0,COLUMN())</f>
        <v/>
      </c>
      <c r="AH38" s="2093">
        <f>INDEX(MO_RIS_NI_NONGAAP_Diluted,0,COLUMN())-INDEX(MO_RIS_NI_GAAP_Basic,0,COLUMN())</f>
        <v/>
      </c>
      <c r="AI38" s="2093">
        <f>INDEX(MO_RIS_NI_NONGAAP_Diluted,0,COLUMN())-INDEX(MO_RIS_NI_GAAP_Basic,0,COLUMN())</f>
        <v/>
      </c>
      <c r="AJ38" s="2092">
        <f>INDEX(MO_RIS_NI_NONGAAP_Diluted,0,COLUMN())-INDEX(MO_RIS_NI_GAAP_Basic,0,COLUMN())</f>
        <v/>
      </c>
      <c r="AK38" s="2093">
        <f>INDEX(MO_RIS_NI_NONGAAP_Diluted,0,COLUMN())-INDEX(MO_RIS_NI_GAAP_Basic,0,COLUMN())</f>
        <v/>
      </c>
      <c r="AL38" s="2093">
        <f>INDEX(MO_RIS_NI_NONGAAP_Diluted,0,COLUMN())-INDEX(MO_RIS_NI_GAAP_Basic,0,COLUMN())</f>
        <v/>
      </c>
      <c r="AM38" s="2093">
        <f>INDEX(MO_RIS_NI_NONGAAP_Diluted,0,COLUMN())-INDEX(MO_RIS_NI_GAAP_Basic,0,COLUMN())</f>
        <v/>
      </c>
      <c r="AN38" s="2093">
        <f>INDEX(MO_RIS_NI_NONGAAP_Diluted,0,COLUMN())-INDEX(MO_RIS_NI_GAAP_Basic,0,COLUMN())</f>
        <v/>
      </c>
      <c r="AO38" s="2092">
        <f>INDEX(MO_RIS_NI_NONGAAP_Diluted,0,COLUMN())-INDEX(MO_RIS_NI_GAAP_Basic,0,COLUMN())</f>
        <v/>
      </c>
      <c r="AP38" s="2093">
        <f>INDEX(MO_RIS_NI_NONGAAP_Diluted,0,COLUMN())-INDEX(MO_RIS_NI_GAAP_Basic,0,COLUMN())</f>
        <v/>
      </c>
      <c r="AQ38" s="2093">
        <f>INDEX(MO_RIS_NI_NONGAAP_Diluted,0,COLUMN())-INDEX(MO_RIS_NI_GAAP_Basic,0,COLUMN())</f>
        <v/>
      </c>
      <c r="AR38" s="2093">
        <f>INDEX(MO_RIS_NI_NONGAAP_Diluted,0,COLUMN())-INDEX(MO_RIS_NI_GAAP_Basic,0,COLUMN())</f>
        <v/>
      </c>
      <c r="AS38" s="2093">
        <f>INDEX(MO_RIS_NI_NONGAAP_Diluted,0,COLUMN())-INDEX(MO_RIS_NI_GAAP_Basic,0,COLUMN())</f>
        <v/>
      </c>
      <c r="AT38" s="2092">
        <f>INDEX(MO_RIS_NI_NONGAAP_Diluted,0,COLUMN())-INDEX(MO_RIS_NI_GAAP_Basic,0,COLUMN())</f>
        <v/>
      </c>
      <c r="AU38" s="2093">
        <f>INDEX(MO_RIS_NI_NONGAAP_Diluted,0,COLUMN())-INDEX(MO_RIS_NI_GAAP_Basic,0,COLUMN())</f>
        <v/>
      </c>
      <c r="AV38" s="2093">
        <f>INDEX(MO_RIS_NI_NONGAAP_Diluted,0,COLUMN())-INDEX(MO_RIS_NI_GAAP_Basic,0,COLUMN())</f>
        <v/>
      </c>
      <c r="AW38" s="2093">
        <f>INDEX(MO_RIS_NI_NONGAAP_Diluted,0,COLUMN())-INDEX(MO_RIS_NI_GAAP_Basic,0,COLUMN())</f>
        <v/>
      </c>
      <c r="AX38" s="2093">
        <f>INDEX(MO_RIS_NI_NONGAAP_Diluted,0,COLUMN())-INDEX(MO_RIS_NI_GAAP_Basic,0,COLUMN())</f>
        <v/>
      </c>
      <c r="AY38" s="2092">
        <f>INDEX(MO_RIS_NI_NONGAAP_Diluted,0,COLUMN())-INDEX(MO_RIS_NI_GAAP_Basic,0,COLUMN())</f>
        <v/>
      </c>
      <c r="AZ38" s="2093">
        <f>INDEX(MO_RIS_NI_NONGAAP_Diluted,0,COLUMN())-INDEX(MO_RIS_NI_GAAP_Basic,0,COLUMN())</f>
        <v/>
      </c>
      <c r="BA38" s="2093">
        <f>INDEX(MO_RIS_NI_NONGAAP_Diluted,0,COLUMN())-INDEX(MO_RIS_NI_GAAP_Basic,0,COLUMN())</f>
        <v/>
      </c>
      <c r="BB38" s="2093">
        <f>INDEX(MO_RIS_NI_NONGAAP_Diluted,0,COLUMN())-INDEX(MO_RIS_NI_GAAP_Basic,0,COLUMN())</f>
        <v/>
      </c>
      <c r="BC38" s="2093">
        <f>INDEX(MO_RIS_NI_NONGAAP_Diluted,0,COLUMN())-INDEX(MO_RIS_NI_GAAP_Basic,0,COLUMN())</f>
        <v/>
      </c>
      <c r="BD38" s="2092">
        <f>INDEX(MO_RIS_NI_NONGAAP_Diluted,0,COLUMN())-INDEX(MO_RIS_NI_GAAP_Basic,0,COLUMN())</f>
        <v/>
      </c>
      <c r="BE38" s="2093">
        <f>INDEX(MO_RIS_NI_NONGAAP_Diluted,0,COLUMN())-INDEX(MO_RIS_NI_GAAP_Basic,0,COLUMN())</f>
        <v/>
      </c>
      <c r="BF38" s="2093">
        <f>INDEX(MO_RIS_NI_NONGAAP_Diluted,0,COLUMN())-INDEX(MO_RIS_NI_GAAP_Basic,0,COLUMN())</f>
        <v/>
      </c>
      <c r="BG38" s="2093">
        <f>INDEX(MO_RIS_NI_NONGAAP_Diluted,0,COLUMN())-INDEX(MO_RIS_NI_GAAP_Basic,0,COLUMN())</f>
        <v/>
      </c>
      <c r="BH38" s="2093">
        <f>INDEX(MO_RIS_NI_NONGAAP_Diluted,0,COLUMN())-INDEX(MO_RIS_NI_GAAP_Basic,0,COLUMN())</f>
        <v/>
      </c>
      <c r="BI38" s="2092">
        <f>INDEX(MO_RIS_NI_NONGAAP_Diluted,0,COLUMN())-INDEX(MO_RIS_NI_GAAP_Basic,0,COLUMN())</f>
        <v/>
      </c>
      <c r="BJ38" s="2093">
        <f>INDEX(MO_RIS_NI_NONGAAP_Diluted,0,COLUMN())-INDEX(MO_RIS_NI_GAAP_Basic,0,COLUMN())</f>
        <v/>
      </c>
      <c r="BK38" s="2093">
        <f>INDEX(MO_RIS_NI_NONGAAP_Diluted,0,COLUMN())-INDEX(MO_RIS_NI_GAAP_Basic,0,COLUMN())</f>
        <v/>
      </c>
      <c r="BL38" s="2093">
        <f>INDEX(MO_RIS_NI_NONGAAP_Diluted,0,COLUMN())-INDEX(MO_RIS_NI_GAAP_Basic,0,COLUMN())</f>
        <v/>
      </c>
      <c r="BM38" s="2093">
        <f>INDEX(MO_RIS_NI_NONGAAP_Diluted,0,COLUMN())-INDEX(MO_RIS_NI_GAAP_Basic,0,COLUMN())</f>
        <v/>
      </c>
      <c r="BN38" s="2092">
        <f>INDEX(MO_RIS_NI_NONGAAP_Diluted,0,COLUMN())-INDEX(MO_RIS_NI_GAAP_Basic,0,COLUMN())</f>
        <v/>
      </c>
      <c r="BO38" s="2093">
        <f>INDEX(MO_RIS_NI_NONGAAP_Diluted,0,COLUMN())-INDEX(MO_RIS_NI_GAAP_Basic,0,COLUMN())</f>
        <v/>
      </c>
      <c r="BP38" s="2093">
        <f>INDEX(MO_RIS_NI_NONGAAP_Diluted,0,COLUMN())-INDEX(MO_RIS_NI_GAAP_Basic,0,COLUMN())</f>
        <v/>
      </c>
      <c r="BQ38" s="2095">
        <f>INDEX(MO_RIS_NI_NONGAAP_Diluted,0,COLUMN())-INDEX(MO_RIS_NI_GAAP_Basic,0,COLUMN())</f>
        <v/>
      </c>
      <c r="BR38" s="2093">
        <f>INDEX(MO_RIS_NI_NONGAAP_Diluted,0,COLUMN())-INDEX(MO_RIS_NI_GAAP_Basic,0,COLUMN())</f>
        <v/>
      </c>
      <c r="BS38" s="2092">
        <f>INDEX(MO_RIS_NI_NONGAAP_Diluted,0,COLUMN())-INDEX(MO_RIS_NI_GAAP_Basic,0,COLUMN())</f>
        <v/>
      </c>
      <c r="BT38" s="2093">
        <f>INDEX(MO_RIS_NI_NONGAAP_Diluted,0,COLUMN())-INDEX(MO_RIS_NI_GAAP_Basic,0,COLUMN())</f>
        <v/>
      </c>
      <c r="BU38" s="2093">
        <f>INDEX(MO_RIS_NI_NONGAAP_Diluted,0,COLUMN())-INDEX(MO_RIS_NI_GAAP_Basic,0,COLUMN())</f>
        <v/>
      </c>
      <c r="BV38" s="2093">
        <f>INDEX(MO_RIS_NI_NONGAAP_Diluted,0,COLUMN())-INDEX(MO_RIS_NI_GAAP_Basic,0,COLUMN())</f>
        <v/>
      </c>
      <c r="BW38" s="2093">
        <f>INDEX(MO_RIS_NI_NONGAAP_Diluted,0,COLUMN())-INDEX(MO_RIS_NI_GAAP_Basic,0,COLUMN())</f>
        <v/>
      </c>
      <c r="BX38" s="2092">
        <f>INDEX(MO_RIS_NI_NONGAAP_Diluted,0,COLUMN())-INDEX(MO_RIS_NI_GAAP_Basic,0,COLUMN())</f>
        <v/>
      </c>
      <c r="BY38" s="2092">
        <f>INDEX(MO_RIS_NI_NONGAAP_Diluted,0,COLUMN())-INDEX(MO_RIS_NI_GAAP_Basic,0,COLUMN())</f>
        <v/>
      </c>
      <c r="BZ38" s="2092">
        <f>INDEX(MO_RIS_NI_NONGAAP_Diluted,0,COLUMN())-INDEX(MO_RIS_NI_GAAP_Basic,0,COLUMN())</f>
        <v/>
      </c>
      <c r="CA38" s="2092">
        <f>INDEX(MO_RIS_NI_NONGAAP_Diluted,0,COLUMN())-INDEX(MO_RIS_NI_GAAP_Basic,0,COLUMN())</f>
        <v/>
      </c>
      <c r="CB38" s="2072" t="n"/>
    </row>
    <row r="39" ht="15" customFormat="1" customHeight="1" s="2082">
      <c r="A39" s="1606">
        <f>INDEX(MO_RIS_NI_GAAP_Basic,0,COLUMN())</f>
        <v/>
      </c>
      <c r="B39" s="2202" t="n"/>
      <c r="C39" s="2203">
        <f>INDEX(MO_RIS_NI_GAAP_Basic,0,COLUMN())</f>
        <v/>
      </c>
      <c r="D39" s="2203">
        <f>INDEX(MO_RIS_NI_GAAP_Basic,0,COLUMN())</f>
        <v/>
      </c>
      <c r="E39" s="2203">
        <f>INDEX(MO_RIS_NI_GAAP_Basic,0,COLUMN())</f>
        <v/>
      </c>
      <c r="F39" s="2203">
        <f>INDEX(MO_RIS_NI_GAAP_Basic,0,COLUMN())</f>
        <v/>
      </c>
      <c r="G39" s="2204">
        <f>INDEX(MO_RIS_NI_GAAP_Basic,0,COLUMN())</f>
        <v/>
      </c>
      <c r="H39" s="2204">
        <f>INDEX(MO_RIS_NI_GAAP_Basic,0,COLUMN())</f>
        <v/>
      </c>
      <c r="I39" s="2204">
        <f>INDEX(MO_RIS_NI_GAAP_Basic,0,COLUMN())</f>
        <v/>
      </c>
      <c r="J39" s="2204">
        <f>INDEX(MO_RIS_NI_GAAP_Basic,0,COLUMN())</f>
        <v/>
      </c>
      <c r="K39" s="2203">
        <f>INDEX(MO_RIS_NI_GAAP_Basic,0,COLUMN())</f>
        <v/>
      </c>
      <c r="L39" s="2204">
        <f>INDEX(MO_RIS_NI_GAAP_Basic,0,COLUMN())</f>
        <v/>
      </c>
      <c r="M39" s="2204">
        <f>INDEX(MO_RIS_NI_GAAP_Basic,0,COLUMN())</f>
        <v/>
      </c>
      <c r="N39" s="2204">
        <f>INDEX(MO_RIS_NI_GAAP_Basic,0,COLUMN())</f>
        <v/>
      </c>
      <c r="O39" s="2204">
        <f>INDEX(MO_RIS_NI_GAAP_Basic,0,COLUMN())</f>
        <v/>
      </c>
      <c r="P39" s="2203">
        <f>INDEX(MO_RIS_NI_GAAP_Basic,0,COLUMN())</f>
        <v/>
      </c>
      <c r="Q39" s="2204">
        <f>INDEX(MO_RIS_NI_GAAP_Basic,0,COLUMN())</f>
        <v/>
      </c>
      <c r="R39" s="2204">
        <f>INDEX(MO_RIS_NI_GAAP_Basic,0,COLUMN())</f>
        <v/>
      </c>
      <c r="S39" s="2204">
        <f>INDEX(MO_RIS_NI_GAAP_Basic,0,COLUMN())</f>
        <v/>
      </c>
      <c r="T39" s="2204">
        <f>INDEX(MO_RIS_NI_GAAP_Basic,0,COLUMN())</f>
        <v/>
      </c>
      <c r="U39" s="2203">
        <f>INDEX(MO_RIS_NI_GAAP_Basic,0,COLUMN())</f>
        <v/>
      </c>
      <c r="V39" s="2204">
        <f>INDEX(MO_RIS_NI_GAAP_Basic,0,COLUMN())</f>
        <v/>
      </c>
      <c r="W39" s="2204">
        <f>INDEX(MO_RIS_NI_GAAP_Basic,0,COLUMN())</f>
        <v/>
      </c>
      <c r="X39" s="2204">
        <f>INDEX(MO_RIS_NI_GAAP_Basic,0,COLUMN())</f>
        <v/>
      </c>
      <c r="Y39" s="2204">
        <f>INDEX(MO_RIS_NI_GAAP_Basic,0,COLUMN())</f>
        <v/>
      </c>
      <c r="Z39" s="2203">
        <f>INDEX(MO_RIS_NI_GAAP_Basic,0,COLUMN())</f>
        <v/>
      </c>
      <c r="AA39" s="2204">
        <f>INDEX(MO_RIS_NI_GAAP_Basic,0,COLUMN())</f>
        <v/>
      </c>
      <c r="AB39" s="2204">
        <f>INDEX(MO_RIS_NI_GAAP_Basic,0,COLUMN())</f>
        <v/>
      </c>
      <c r="AC39" s="2204">
        <f>INDEX(MO_RIS_NI_GAAP_Basic,0,COLUMN())</f>
        <v/>
      </c>
      <c r="AD39" s="2204">
        <f>INDEX(MO_RIS_NI_GAAP_Basic,0,COLUMN())</f>
        <v/>
      </c>
      <c r="AE39" s="2203">
        <f>INDEX(MO_RIS_NI_GAAP_Basic,0,COLUMN())</f>
        <v/>
      </c>
      <c r="AF39" s="2204">
        <f>INDEX(MO_RIS_NI_GAAP_Basic,0,COLUMN())</f>
        <v/>
      </c>
      <c r="AG39" s="2204">
        <f>INDEX(MO_RIS_NI_GAAP_Basic,0,COLUMN())</f>
        <v/>
      </c>
      <c r="AH39" s="2204">
        <f>INDEX(MO_RIS_NI_GAAP_Basic,0,COLUMN())</f>
        <v/>
      </c>
      <c r="AI39" s="2204">
        <f>INDEX(MO_RIS_NI_GAAP_Basic,0,COLUMN())</f>
        <v/>
      </c>
      <c r="AJ39" s="2203">
        <f>INDEX(MO_RIS_NI_GAAP_Basic,0,COLUMN())</f>
        <v/>
      </c>
      <c r="AK39" s="2204">
        <f>INDEX(MO_RIS_NI_GAAP_Basic,0,COLUMN())</f>
        <v/>
      </c>
      <c r="AL39" s="2204">
        <f>INDEX(MO_RIS_NI_GAAP_Basic,0,COLUMN())</f>
        <v/>
      </c>
      <c r="AM39" s="2204">
        <f>INDEX(MO_RIS_NI_GAAP_Basic,0,COLUMN())</f>
        <v/>
      </c>
      <c r="AN39" s="2204">
        <f>INDEX(MO_RIS_NI_GAAP_Basic,0,COLUMN())</f>
        <v/>
      </c>
      <c r="AO39" s="2203">
        <f>INDEX(MO_RIS_NI_GAAP_Basic,0,COLUMN())</f>
        <v/>
      </c>
      <c r="AP39" s="2204">
        <f>INDEX(MO_RIS_NI_GAAP_Basic,0,COLUMN())</f>
        <v/>
      </c>
      <c r="AQ39" s="2204">
        <f>INDEX(MO_RIS_NI_GAAP_Basic,0,COLUMN())</f>
        <v/>
      </c>
      <c r="AR39" s="2204">
        <f>INDEX(MO_RIS_NI_GAAP_Basic,0,COLUMN())</f>
        <v/>
      </c>
      <c r="AS39" s="2204">
        <f>INDEX(MO_RIS_NI_GAAP_Basic,0,COLUMN())</f>
        <v/>
      </c>
      <c r="AT39" s="2203">
        <f>INDEX(MO_RIS_NI_GAAP_Basic,0,COLUMN())</f>
        <v/>
      </c>
      <c r="AU39" s="2204">
        <f>INDEX(MO_RIS_NI_GAAP_Basic,0,COLUMN())</f>
        <v/>
      </c>
      <c r="AV39" s="2204">
        <f>INDEX(MO_RIS_NI_GAAP_Basic,0,COLUMN())</f>
        <v/>
      </c>
      <c r="AW39" s="2204">
        <f>INDEX(MO_RIS_NI_GAAP_Basic,0,COLUMN())</f>
        <v/>
      </c>
      <c r="AX39" s="2204">
        <f>INDEX(MO_RIS_NI_GAAP_Basic,0,COLUMN())</f>
        <v/>
      </c>
      <c r="AY39" s="2203">
        <f>INDEX(MO_RIS_NI_GAAP_Basic,0,COLUMN())</f>
        <v/>
      </c>
      <c r="AZ39" s="2204">
        <f>INDEX(MO_RIS_NI_GAAP_Basic,0,COLUMN())</f>
        <v/>
      </c>
      <c r="BA39" s="2204">
        <f>INDEX(MO_RIS_NI_GAAP_Basic,0,COLUMN())</f>
        <v/>
      </c>
      <c r="BB39" s="2204">
        <f>INDEX(MO_RIS_NI_GAAP_Basic,0,COLUMN())</f>
        <v/>
      </c>
      <c r="BC39" s="2204">
        <f>INDEX(MO_RIS_NI_GAAP_Basic,0,COLUMN())</f>
        <v/>
      </c>
      <c r="BD39" s="2203">
        <f>INDEX(MO_RIS_NI_GAAP_Basic,0,COLUMN())</f>
        <v/>
      </c>
      <c r="BE39" s="2204">
        <f>INDEX(MO_RIS_NI_GAAP_Basic,0,COLUMN())</f>
        <v/>
      </c>
      <c r="BF39" s="2204">
        <f>INDEX(MO_RIS_NI_GAAP_Basic,0,COLUMN())</f>
        <v/>
      </c>
      <c r="BG39" s="2204">
        <f>INDEX(MO_RIS_NI_GAAP_Basic,0,COLUMN())</f>
        <v/>
      </c>
      <c r="BH39" s="2204">
        <f>INDEX(MO_RIS_NI_GAAP_Basic,0,COLUMN())</f>
        <v/>
      </c>
      <c r="BI39" s="2203">
        <f>INDEX(MO_RIS_NI_GAAP_Basic,0,COLUMN())</f>
        <v/>
      </c>
      <c r="BJ39" s="2204">
        <f>INDEX(MO_RIS_NI_GAAP_Basic,0,COLUMN())</f>
        <v/>
      </c>
      <c r="BK39" s="2204">
        <f>INDEX(MO_RIS_NI_GAAP_Basic,0,COLUMN())</f>
        <v/>
      </c>
      <c r="BL39" s="2204">
        <f>INDEX(MO_RIS_NI_GAAP_Basic,0,COLUMN())</f>
        <v/>
      </c>
      <c r="BM39" s="2204">
        <f>INDEX(MO_RIS_NI_GAAP_Basic,0,COLUMN())</f>
        <v/>
      </c>
      <c r="BN39" s="2203">
        <f>INDEX(MO_RIS_NI_GAAP_Basic,0,COLUMN())</f>
        <v/>
      </c>
      <c r="BO39" s="2204">
        <f>INDEX(MO_RIS_NI_GAAP_Basic,0,COLUMN())</f>
        <v/>
      </c>
      <c r="BP39" s="2204">
        <f>INDEX(MO_RIS_NI_GAAP_Basic,0,COLUMN())</f>
        <v/>
      </c>
      <c r="BQ39" s="2205">
        <f>INDEX(MO_RIS_NI_GAAP_Basic,0,COLUMN())</f>
        <v/>
      </c>
      <c r="BR39" s="2204">
        <f>INDEX(MO_RIS_NI_GAAP_Basic,0,COLUMN())</f>
        <v/>
      </c>
      <c r="BS39" s="2203">
        <f>INDEX(MO_RIS_NI_GAAP_Basic,0,COLUMN())</f>
        <v/>
      </c>
      <c r="BT39" s="2204">
        <f>INDEX(MO_RIS_NI_GAAP_Basic,0,COLUMN())</f>
        <v/>
      </c>
      <c r="BU39" s="2204">
        <f>INDEX(MO_RIS_NI_GAAP_Basic,0,COLUMN())</f>
        <v/>
      </c>
      <c r="BV39" s="2204">
        <f>INDEX(MO_RIS_NI_GAAP_Basic,0,COLUMN())</f>
        <v/>
      </c>
      <c r="BW39" s="2204">
        <f>INDEX(MO_RIS_NI_GAAP_Basic,0,COLUMN())</f>
        <v/>
      </c>
      <c r="BX39" s="2203">
        <f>INDEX(MO_RIS_NI_GAAP_Basic,0,COLUMN())</f>
        <v/>
      </c>
      <c r="BY39" s="2203">
        <f>INDEX(MO_RIS_NI_GAAP_Basic,0,COLUMN())</f>
        <v/>
      </c>
      <c r="BZ39" s="2203">
        <f>INDEX(MO_RIS_NI_GAAP_Basic,0,COLUMN())</f>
        <v/>
      </c>
      <c r="CA39" s="2203">
        <f>INDEX(MO_RIS_NI_GAAP_Basic,0,COLUMN())</f>
        <v/>
      </c>
      <c r="CB39" s="2089" t="n"/>
    </row>
    <row r="40" ht="15" customFormat="1" customHeight="1" s="2082">
      <c r="A40" s="1596" t="n"/>
      <c r="B40" s="2199" t="n"/>
      <c r="C40" s="2090" t="n"/>
      <c r="D40" s="2090" t="n"/>
      <c r="E40" s="2090" t="n"/>
      <c r="F40" s="2090" t="n"/>
      <c r="G40" s="2089" t="n"/>
      <c r="H40" s="2089" t="n"/>
      <c r="I40" s="2089" t="n"/>
      <c r="J40" s="2089" t="n"/>
      <c r="K40" s="2090" t="n"/>
      <c r="L40" s="2089" t="n"/>
      <c r="M40" s="2089" t="n"/>
      <c r="N40" s="2089" t="n"/>
      <c r="O40" s="2089" t="n"/>
      <c r="P40" s="2090" t="n"/>
      <c r="Q40" s="2089" t="n"/>
      <c r="R40" s="2089" t="n"/>
      <c r="S40" s="2089" t="n"/>
      <c r="T40" s="2089" t="n"/>
      <c r="U40" s="2090" t="n"/>
      <c r="V40" s="2089" t="n"/>
      <c r="W40" s="2089" t="n"/>
      <c r="X40" s="2089" t="n"/>
      <c r="Y40" s="2089" t="n"/>
      <c r="Z40" s="2090" t="n"/>
      <c r="AA40" s="2089" t="n"/>
      <c r="AB40" s="2089" t="n"/>
      <c r="AC40" s="2089" t="n"/>
      <c r="AD40" s="2089" t="n"/>
      <c r="AE40" s="2090" t="n"/>
      <c r="AF40" s="2089" t="n"/>
      <c r="AG40" s="2089" t="n"/>
      <c r="AH40" s="2089" t="n"/>
      <c r="AI40" s="2089" t="n"/>
      <c r="AJ40" s="2090" t="n"/>
      <c r="AK40" s="2089" t="n"/>
      <c r="AL40" s="2089" t="n"/>
      <c r="AM40" s="2089" t="n"/>
      <c r="AN40" s="2089" t="n"/>
      <c r="AO40" s="2090" t="n"/>
      <c r="AP40" s="2089" t="n"/>
      <c r="AQ40" s="2089" t="n"/>
      <c r="AR40" s="2089" t="n"/>
      <c r="AS40" s="2089" t="n"/>
      <c r="AT40" s="2090" t="n"/>
      <c r="AU40" s="2089" t="n"/>
      <c r="AV40" s="2089" t="n"/>
      <c r="AW40" s="2089" t="n"/>
      <c r="AX40" s="2089" t="n"/>
      <c r="AY40" s="2090" t="n"/>
      <c r="AZ40" s="2089" t="n"/>
      <c r="BA40" s="2089" t="n"/>
      <c r="BB40" s="2089" t="n"/>
      <c r="BC40" s="2089" t="n"/>
      <c r="BD40" s="2090" t="n"/>
      <c r="BE40" s="2089" t="n"/>
      <c r="BF40" s="2089" t="n"/>
      <c r="BG40" s="2089" t="n"/>
      <c r="BH40" s="2089" t="n"/>
      <c r="BI40" s="2090" t="n"/>
      <c r="BJ40" s="2089" t="n"/>
      <c r="BK40" s="2089" t="n"/>
      <c r="BL40" s="2089" t="n"/>
      <c r="BM40" s="2089" t="n"/>
      <c r="BN40" s="2090" t="n"/>
      <c r="BO40" s="2089" t="n"/>
      <c r="BP40" s="2089" t="n"/>
      <c r="BQ40" s="2100" t="n"/>
      <c r="BR40" s="2089" t="n"/>
      <c r="BS40" s="2090" t="n"/>
      <c r="BT40" s="2089" t="n"/>
      <c r="BU40" s="2089" t="n"/>
      <c r="BV40" s="2089" t="n"/>
      <c r="BW40" s="2089" t="n"/>
      <c r="BX40" s="2090" t="n"/>
      <c r="BY40" s="2090" t="n"/>
      <c r="BZ40" s="2090" t="n"/>
      <c r="CA40" s="2090" t="n"/>
      <c r="CB40" s="2089" t="n"/>
    </row>
    <row r="41" ht="15" customFormat="1" customHeight="1" s="2185">
      <c r="A41" s="2209">
        <f>INDEX(MO_RIS_EPS_WAD,0,COLUMN())</f>
        <v/>
      </c>
      <c r="B41" s="2210" t="n"/>
      <c r="C41" s="2211">
        <f>INDEX(MO_RIS_EPS_WAD,0,COLUMN())</f>
        <v/>
      </c>
      <c r="D41" s="2211">
        <f>INDEX(MO_RIS_EPS_WAD,0,COLUMN())</f>
        <v/>
      </c>
      <c r="E41" s="2211">
        <f>INDEX(MO_RIS_EPS_WAD,0,COLUMN())</f>
        <v/>
      </c>
      <c r="F41" s="2211">
        <f>INDEX(MO_RIS_EPS_WAD,0,COLUMN())</f>
        <v/>
      </c>
      <c r="G41" s="2192">
        <f>INDEX(MO_RIS_EPS_WAD,0,COLUMN())</f>
        <v/>
      </c>
      <c r="H41" s="2192">
        <f>INDEX(MO_RIS_EPS_WAD,0,COLUMN())</f>
        <v/>
      </c>
      <c r="I41" s="2192">
        <f>INDEX(MO_RIS_EPS_WAD,0,COLUMN())</f>
        <v/>
      </c>
      <c r="J41" s="2192">
        <f>INDEX(MO_RIS_EPS_WAD,0,COLUMN())</f>
        <v/>
      </c>
      <c r="K41" s="2211">
        <f>INDEX(MO_RIS_EPS_WAD,0,COLUMN())</f>
        <v/>
      </c>
      <c r="L41" s="2192">
        <f>INDEX(MO_RIS_EPS_WAD,0,COLUMN())</f>
        <v/>
      </c>
      <c r="M41" s="2192">
        <f>INDEX(MO_RIS_EPS_WAD,0,COLUMN())</f>
        <v/>
      </c>
      <c r="N41" s="2192">
        <f>INDEX(MO_RIS_EPS_WAD,0,COLUMN())</f>
        <v/>
      </c>
      <c r="O41" s="2192">
        <f>INDEX(MO_RIS_EPS_WAD,0,COLUMN())</f>
        <v/>
      </c>
      <c r="P41" s="2211">
        <f>INDEX(MO_RIS_EPS_WAD,0,COLUMN())</f>
        <v/>
      </c>
      <c r="Q41" s="2192">
        <f>INDEX(MO_RIS_EPS_WAD,0,COLUMN())</f>
        <v/>
      </c>
      <c r="R41" s="2192">
        <f>INDEX(MO_RIS_EPS_WAD,0,COLUMN())</f>
        <v/>
      </c>
      <c r="S41" s="2192">
        <f>INDEX(MO_RIS_EPS_WAD,0,COLUMN())</f>
        <v/>
      </c>
      <c r="T41" s="2192">
        <f>INDEX(MO_RIS_EPS_WAD,0,COLUMN())</f>
        <v/>
      </c>
      <c r="U41" s="2211">
        <f>INDEX(MO_RIS_EPS_WAD,0,COLUMN())</f>
        <v/>
      </c>
      <c r="V41" s="2192">
        <f>INDEX(MO_RIS_EPS_WAD,0,COLUMN())</f>
        <v/>
      </c>
      <c r="W41" s="2192">
        <f>INDEX(MO_RIS_EPS_WAD,0,COLUMN())</f>
        <v/>
      </c>
      <c r="X41" s="2192">
        <f>INDEX(MO_RIS_EPS_WAD,0,COLUMN())</f>
        <v/>
      </c>
      <c r="Y41" s="2192">
        <f>INDEX(MO_RIS_EPS_WAD,0,COLUMN())</f>
        <v/>
      </c>
      <c r="Z41" s="2211">
        <f>INDEX(MO_RIS_EPS_WAD,0,COLUMN())</f>
        <v/>
      </c>
      <c r="AA41" s="2192">
        <f>INDEX(MO_RIS_EPS_WAD,0,COLUMN())</f>
        <v/>
      </c>
      <c r="AB41" s="2192">
        <f>INDEX(MO_RIS_EPS_WAD,0,COLUMN())</f>
        <v/>
      </c>
      <c r="AC41" s="2192">
        <f>INDEX(MO_RIS_EPS_WAD,0,COLUMN())</f>
        <v/>
      </c>
      <c r="AD41" s="2192">
        <f>INDEX(MO_RIS_EPS_WAD,0,COLUMN())</f>
        <v/>
      </c>
      <c r="AE41" s="2211">
        <f>INDEX(MO_RIS_EPS_WAD,0,COLUMN())</f>
        <v/>
      </c>
      <c r="AF41" s="2192">
        <f>INDEX(MO_RIS_EPS_WAD,0,COLUMN())</f>
        <v/>
      </c>
      <c r="AG41" s="2192">
        <f>INDEX(MO_RIS_EPS_WAD,0,COLUMN())</f>
        <v/>
      </c>
      <c r="AH41" s="2192">
        <f>INDEX(MO_RIS_EPS_WAD,0,COLUMN())</f>
        <v/>
      </c>
      <c r="AI41" s="2192">
        <f>INDEX(MO_RIS_EPS_WAD,0,COLUMN())</f>
        <v/>
      </c>
      <c r="AJ41" s="2211">
        <f>INDEX(MO_RIS_EPS_WAD,0,COLUMN())</f>
        <v/>
      </c>
      <c r="AK41" s="2192">
        <f>INDEX(MO_RIS_EPS_WAD,0,COLUMN())</f>
        <v/>
      </c>
      <c r="AL41" s="2192">
        <f>INDEX(MO_RIS_EPS_WAD,0,COLUMN())</f>
        <v/>
      </c>
      <c r="AM41" s="2192">
        <f>INDEX(MO_RIS_EPS_WAD,0,COLUMN())</f>
        <v/>
      </c>
      <c r="AN41" s="2192">
        <f>INDEX(MO_RIS_EPS_WAD,0,COLUMN())</f>
        <v/>
      </c>
      <c r="AO41" s="2211">
        <f>INDEX(MO_RIS_EPS_WAD,0,COLUMN())</f>
        <v/>
      </c>
      <c r="AP41" s="2192">
        <f>INDEX(MO_RIS_EPS_WAD,0,COLUMN())</f>
        <v/>
      </c>
      <c r="AQ41" s="2192">
        <f>INDEX(MO_RIS_EPS_WAD,0,COLUMN())</f>
        <v/>
      </c>
      <c r="AR41" s="2192">
        <f>INDEX(MO_RIS_EPS_WAD,0,COLUMN())</f>
        <v/>
      </c>
      <c r="AS41" s="2192">
        <f>INDEX(MO_RIS_EPS_WAD,0,COLUMN())</f>
        <v/>
      </c>
      <c r="AT41" s="2211">
        <f>INDEX(MO_RIS_EPS_WAD,0,COLUMN())</f>
        <v/>
      </c>
      <c r="AU41" s="2192">
        <f>INDEX(MO_RIS_EPS_WAD,0,COLUMN())</f>
        <v/>
      </c>
      <c r="AV41" s="2192">
        <f>INDEX(MO_RIS_EPS_WAD,0,COLUMN())</f>
        <v/>
      </c>
      <c r="AW41" s="2192">
        <f>INDEX(MO_RIS_EPS_WAD,0,COLUMN())</f>
        <v/>
      </c>
      <c r="AX41" s="2192">
        <f>INDEX(MO_RIS_EPS_WAD,0,COLUMN())</f>
        <v/>
      </c>
      <c r="AY41" s="2211">
        <f>INDEX(MO_RIS_EPS_WAD,0,COLUMN())</f>
        <v/>
      </c>
      <c r="AZ41" s="2192">
        <f>INDEX(MO_RIS_EPS_WAD,0,COLUMN())</f>
        <v/>
      </c>
      <c r="BA41" s="2192">
        <f>INDEX(MO_RIS_EPS_WAD,0,COLUMN())</f>
        <v/>
      </c>
      <c r="BB41" s="2192">
        <f>INDEX(MO_RIS_EPS_WAD,0,COLUMN())</f>
        <v/>
      </c>
      <c r="BC41" s="2192">
        <f>INDEX(MO_RIS_EPS_WAD,0,COLUMN())</f>
        <v/>
      </c>
      <c r="BD41" s="2211">
        <f>INDEX(MO_RIS_EPS_WAD,0,COLUMN())</f>
        <v/>
      </c>
      <c r="BE41" s="2192">
        <f>INDEX(MO_RIS_EPS_WAD,0,COLUMN())</f>
        <v/>
      </c>
      <c r="BF41" s="2192">
        <f>INDEX(MO_RIS_EPS_WAD,0,COLUMN())</f>
        <v/>
      </c>
      <c r="BG41" s="2192">
        <f>INDEX(MO_RIS_EPS_WAD,0,COLUMN())</f>
        <v/>
      </c>
      <c r="BH41" s="2192">
        <f>INDEX(MO_RIS_EPS_WAD,0,COLUMN())</f>
        <v/>
      </c>
      <c r="BI41" s="2211">
        <f>INDEX(MO_RIS_EPS_WAD,0,COLUMN())</f>
        <v/>
      </c>
      <c r="BJ41" s="2192">
        <f>INDEX(MO_RIS_EPS_WAD,0,COLUMN())</f>
        <v/>
      </c>
      <c r="BK41" s="2192">
        <f>INDEX(MO_RIS_EPS_WAD,0,COLUMN())</f>
        <v/>
      </c>
      <c r="BL41" s="2192">
        <f>INDEX(MO_RIS_EPS_WAD,0,COLUMN())</f>
        <v/>
      </c>
      <c r="BM41" s="2192">
        <f>INDEX(MO_RIS_EPS_WAD,0,COLUMN())</f>
        <v/>
      </c>
      <c r="BN41" s="2211">
        <f>INDEX(MO_RIS_EPS_WAD,0,COLUMN())</f>
        <v/>
      </c>
      <c r="BO41" s="2192">
        <f>INDEX(MO_RIS_EPS_WAD,0,COLUMN())</f>
        <v/>
      </c>
      <c r="BP41" s="2192">
        <f>INDEX(MO_RIS_EPS_WAD,0,COLUMN())</f>
        <v/>
      </c>
      <c r="BQ41" s="2212">
        <f>INDEX(MO_RIS_EPS_WAD,0,COLUMN())</f>
        <v/>
      </c>
      <c r="BR41" s="2192">
        <f>INDEX(MO_RIS_EPS_WAD,0,COLUMN())</f>
        <v/>
      </c>
      <c r="BS41" s="2211">
        <f>INDEX(MO_RIS_EPS_WAD,0,COLUMN())</f>
        <v/>
      </c>
      <c r="BT41" s="2192">
        <f>INDEX(MO_RIS_EPS_WAD,0,COLUMN())</f>
        <v/>
      </c>
      <c r="BU41" s="2192">
        <f>INDEX(MO_RIS_EPS_WAD,0,COLUMN())</f>
        <v/>
      </c>
      <c r="BV41" s="2192">
        <f>INDEX(MO_RIS_EPS_WAD,0,COLUMN())</f>
        <v/>
      </c>
      <c r="BW41" s="2192">
        <f>INDEX(MO_RIS_EPS_WAD,0,COLUMN())</f>
        <v/>
      </c>
      <c r="BX41" s="2211">
        <f>INDEX(MO_RIS_EPS_WAD,0,COLUMN())</f>
        <v/>
      </c>
      <c r="BY41" s="2211">
        <f>INDEX(MO_RIS_EPS_WAD,0,COLUMN())</f>
        <v/>
      </c>
      <c r="BZ41" s="2211">
        <f>INDEX(MO_RIS_EPS_WAD,0,COLUMN())</f>
        <v/>
      </c>
      <c r="CA41" s="2211">
        <f>INDEX(MO_RIS_EPS_WAD,0,COLUMN())</f>
        <v/>
      </c>
      <c r="CB41" s="2192" t="n"/>
    </row>
    <row r="42" ht="15" customFormat="1" customHeight="1" s="2101">
      <c r="A42" s="1611">
        <f>INDEX(MO_RIS_ShareCount_WAD_Adj,0,COLUMN())</f>
        <v/>
      </c>
      <c r="B42" s="2200" t="n"/>
      <c r="C42" s="2087">
        <f>INDEX(MO_RIS_ShareCount_WAD_Adj,0,COLUMN())</f>
        <v/>
      </c>
      <c r="D42" s="2087">
        <f>INDEX(MO_RIS_ShareCount_WAD_Adj,0,COLUMN())</f>
        <v/>
      </c>
      <c r="E42" s="2087">
        <f>INDEX(MO_RIS_ShareCount_WAD_Adj,0,COLUMN())</f>
        <v/>
      </c>
      <c r="F42" s="2087">
        <f>INDEX(MO_RIS_ShareCount_WAD_Adj,0,COLUMN())</f>
        <v/>
      </c>
      <c r="G42" s="2072">
        <f>INDEX(MO_RIS_ShareCount_WAD_Adj,0,COLUMN())</f>
        <v/>
      </c>
      <c r="H42" s="2072">
        <f>INDEX(MO_RIS_ShareCount_WAD_Adj,0,COLUMN())</f>
        <v/>
      </c>
      <c r="I42" s="2072">
        <f>INDEX(MO_RIS_ShareCount_WAD_Adj,0,COLUMN())</f>
        <v/>
      </c>
      <c r="J42" s="2072">
        <f>INDEX(MO_RIS_ShareCount_WAD_Adj,0,COLUMN())</f>
        <v/>
      </c>
      <c r="K42" s="2087">
        <f>INDEX(MO_RIS_ShareCount_WAD_Adj,0,COLUMN())</f>
        <v/>
      </c>
      <c r="L42" s="2072">
        <f>INDEX(MO_RIS_ShareCount_WAD_Adj,0,COLUMN())</f>
        <v/>
      </c>
      <c r="M42" s="2072">
        <f>INDEX(MO_RIS_ShareCount_WAD_Adj,0,COLUMN())</f>
        <v/>
      </c>
      <c r="N42" s="2072">
        <f>INDEX(MO_RIS_ShareCount_WAD_Adj,0,COLUMN())</f>
        <v/>
      </c>
      <c r="O42" s="2072">
        <f>INDEX(MO_RIS_ShareCount_WAD_Adj,0,COLUMN())</f>
        <v/>
      </c>
      <c r="P42" s="2087">
        <f>INDEX(MO_RIS_ShareCount_WAD_Adj,0,COLUMN())</f>
        <v/>
      </c>
      <c r="Q42" s="2072">
        <f>INDEX(MO_RIS_ShareCount_WAD_Adj,0,COLUMN())</f>
        <v/>
      </c>
      <c r="R42" s="2072">
        <f>INDEX(MO_RIS_ShareCount_WAD_Adj,0,COLUMN())</f>
        <v/>
      </c>
      <c r="S42" s="2072">
        <f>INDEX(MO_RIS_ShareCount_WAD_Adj,0,COLUMN())</f>
        <v/>
      </c>
      <c r="T42" s="2072">
        <f>INDEX(MO_RIS_ShareCount_WAD_Adj,0,COLUMN())</f>
        <v/>
      </c>
      <c r="U42" s="2087">
        <f>INDEX(MO_RIS_ShareCount_WAD_Adj,0,COLUMN())</f>
        <v/>
      </c>
      <c r="V42" s="2072">
        <f>INDEX(MO_RIS_ShareCount_WAD_Adj,0,COLUMN())</f>
        <v/>
      </c>
      <c r="W42" s="2072">
        <f>INDEX(MO_RIS_ShareCount_WAD_Adj,0,COLUMN())</f>
        <v/>
      </c>
      <c r="X42" s="2072">
        <f>INDEX(MO_RIS_ShareCount_WAD_Adj,0,COLUMN())</f>
        <v/>
      </c>
      <c r="Y42" s="2072">
        <f>INDEX(MO_RIS_ShareCount_WAD_Adj,0,COLUMN())</f>
        <v/>
      </c>
      <c r="Z42" s="2087">
        <f>INDEX(MO_RIS_ShareCount_WAD_Adj,0,COLUMN())</f>
        <v/>
      </c>
      <c r="AA42" s="2072">
        <f>INDEX(MO_RIS_ShareCount_WAD_Adj,0,COLUMN())</f>
        <v/>
      </c>
      <c r="AB42" s="2072">
        <f>INDEX(MO_RIS_ShareCount_WAD_Adj,0,COLUMN())</f>
        <v/>
      </c>
      <c r="AC42" s="2072">
        <f>INDEX(MO_RIS_ShareCount_WAD_Adj,0,COLUMN())</f>
        <v/>
      </c>
      <c r="AD42" s="2072">
        <f>INDEX(MO_RIS_ShareCount_WAD_Adj,0,COLUMN())</f>
        <v/>
      </c>
      <c r="AE42" s="2087">
        <f>INDEX(MO_RIS_ShareCount_WAD_Adj,0,COLUMN())</f>
        <v/>
      </c>
      <c r="AF42" s="2072">
        <f>INDEX(MO_RIS_ShareCount_WAD_Adj,0,COLUMN())</f>
        <v/>
      </c>
      <c r="AG42" s="2072">
        <f>INDEX(MO_RIS_ShareCount_WAD_Adj,0,COLUMN())</f>
        <v/>
      </c>
      <c r="AH42" s="2072">
        <f>INDEX(MO_RIS_ShareCount_WAD_Adj,0,COLUMN())</f>
        <v/>
      </c>
      <c r="AI42" s="2072">
        <f>INDEX(MO_RIS_ShareCount_WAD_Adj,0,COLUMN())</f>
        <v/>
      </c>
      <c r="AJ42" s="2087">
        <f>INDEX(MO_RIS_ShareCount_WAD_Adj,0,COLUMN())</f>
        <v/>
      </c>
      <c r="AK42" s="2072">
        <f>INDEX(MO_RIS_ShareCount_WAD_Adj,0,COLUMN())</f>
        <v/>
      </c>
      <c r="AL42" s="2072">
        <f>INDEX(MO_RIS_ShareCount_WAD_Adj,0,COLUMN())</f>
        <v/>
      </c>
      <c r="AM42" s="2072">
        <f>INDEX(MO_RIS_ShareCount_WAD_Adj,0,COLUMN())</f>
        <v/>
      </c>
      <c r="AN42" s="2072">
        <f>INDEX(MO_RIS_ShareCount_WAD_Adj,0,COLUMN())</f>
        <v/>
      </c>
      <c r="AO42" s="2087">
        <f>INDEX(MO_RIS_ShareCount_WAD_Adj,0,COLUMN())</f>
        <v/>
      </c>
      <c r="AP42" s="2072">
        <f>INDEX(MO_RIS_ShareCount_WAD_Adj,0,COLUMN())</f>
        <v/>
      </c>
      <c r="AQ42" s="2072">
        <f>INDEX(MO_RIS_ShareCount_WAD_Adj,0,COLUMN())</f>
        <v/>
      </c>
      <c r="AR42" s="2072">
        <f>INDEX(MO_RIS_ShareCount_WAD_Adj,0,COLUMN())</f>
        <v/>
      </c>
      <c r="AS42" s="2072">
        <f>INDEX(MO_RIS_ShareCount_WAD_Adj,0,COLUMN())</f>
        <v/>
      </c>
      <c r="AT42" s="2087">
        <f>INDEX(MO_RIS_ShareCount_WAD_Adj,0,COLUMN())</f>
        <v/>
      </c>
      <c r="AU42" s="2072">
        <f>INDEX(MO_RIS_ShareCount_WAD_Adj,0,COLUMN())</f>
        <v/>
      </c>
      <c r="AV42" s="2072">
        <f>INDEX(MO_RIS_ShareCount_WAD_Adj,0,COLUMN())</f>
        <v/>
      </c>
      <c r="AW42" s="2072">
        <f>INDEX(MO_RIS_ShareCount_WAD_Adj,0,COLUMN())</f>
        <v/>
      </c>
      <c r="AX42" s="2072">
        <f>INDEX(MO_RIS_ShareCount_WAD_Adj,0,COLUMN())</f>
        <v/>
      </c>
      <c r="AY42" s="2087">
        <f>INDEX(MO_RIS_ShareCount_WAD_Adj,0,COLUMN())</f>
        <v/>
      </c>
      <c r="AZ42" s="2072">
        <f>INDEX(MO_RIS_ShareCount_WAD_Adj,0,COLUMN())</f>
        <v/>
      </c>
      <c r="BA42" s="2072">
        <f>INDEX(MO_RIS_ShareCount_WAD_Adj,0,COLUMN())</f>
        <v/>
      </c>
      <c r="BB42" s="2072">
        <f>INDEX(MO_RIS_ShareCount_WAD_Adj,0,COLUMN())</f>
        <v/>
      </c>
      <c r="BC42" s="2072">
        <f>INDEX(MO_RIS_ShareCount_WAD_Adj,0,COLUMN())</f>
        <v/>
      </c>
      <c r="BD42" s="2087">
        <f>INDEX(MO_RIS_ShareCount_WAD_Adj,0,COLUMN())</f>
        <v/>
      </c>
      <c r="BE42" s="2072">
        <f>INDEX(MO_RIS_ShareCount_WAD_Adj,0,COLUMN())</f>
        <v/>
      </c>
      <c r="BF42" s="2072">
        <f>INDEX(MO_RIS_ShareCount_WAD_Adj,0,COLUMN())</f>
        <v/>
      </c>
      <c r="BG42" s="2072">
        <f>INDEX(MO_RIS_ShareCount_WAD_Adj,0,COLUMN())</f>
        <v/>
      </c>
      <c r="BH42" s="2072">
        <f>INDEX(MO_RIS_ShareCount_WAD_Adj,0,COLUMN())</f>
        <v/>
      </c>
      <c r="BI42" s="2087">
        <f>INDEX(MO_RIS_ShareCount_WAD_Adj,0,COLUMN())</f>
        <v/>
      </c>
      <c r="BJ42" s="2072">
        <f>INDEX(MO_RIS_ShareCount_WAD_Adj,0,COLUMN())</f>
        <v/>
      </c>
      <c r="BK42" s="2072">
        <f>INDEX(MO_RIS_ShareCount_WAD_Adj,0,COLUMN())</f>
        <v/>
      </c>
      <c r="BL42" s="2072">
        <f>INDEX(MO_RIS_ShareCount_WAD_Adj,0,COLUMN())</f>
        <v/>
      </c>
      <c r="BM42" s="2072">
        <f>INDEX(MO_RIS_ShareCount_WAD_Adj,0,COLUMN())</f>
        <v/>
      </c>
      <c r="BN42" s="2087">
        <f>INDEX(MO_RIS_ShareCount_WAD_Adj,0,COLUMN())</f>
        <v/>
      </c>
      <c r="BO42" s="2072">
        <f>INDEX(MO_RIS_ShareCount_WAD_Adj,0,COLUMN())</f>
        <v/>
      </c>
      <c r="BP42" s="2072">
        <f>INDEX(MO_RIS_ShareCount_WAD_Adj,0,COLUMN())</f>
        <v/>
      </c>
      <c r="BQ42" s="2073">
        <f>INDEX(MO_RIS_ShareCount_WAD_Adj,0,COLUMN())</f>
        <v/>
      </c>
      <c r="BR42" s="2072">
        <f>INDEX(MO_RIS_ShareCount_WAD_Adj,0,COLUMN())</f>
        <v/>
      </c>
      <c r="BS42" s="2087">
        <f>INDEX(MO_RIS_ShareCount_WAD_Adj,0,COLUMN())</f>
        <v/>
      </c>
      <c r="BT42" s="2072">
        <f>INDEX(MO_RIS_ShareCount_WAD_Adj,0,COLUMN())</f>
        <v/>
      </c>
      <c r="BU42" s="2072">
        <f>INDEX(MO_RIS_ShareCount_WAD_Adj,0,COLUMN())</f>
        <v/>
      </c>
      <c r="BV42" s="2072">
        <f>INDEX(MO_RIS_ShareCount_WAD_Adj,0,COLUMN())</f>
        <v/>
      </c>
      <c r="BW42" s="2072">
        <f>INDEX(MO_RIS_ShareCount_WAD_Adj,0,COLUMN())</f>
        <v/>
      </c>
      <c r="BX42" s="2087">
        <f>INDEX(MO_RIS_ShareCount_WAD_Adj,0,COLUMN())</f>
        <v/>
      </c>
      <c r="BY42" s="2087">
        <f>INDEX(MO_RIS_ShareCount_WAD_Adj,0,COLUMN())</f>
        <v/>
      </c>
      <c r="BZ42" s="2087">
        <f>INDEX(MO_RIS_ShareCount_WAD_Adj,0,COLUMN())</f>
        <v/>
      </c>
      <c r="CA42" s="2087">
        <f>INDEX(MO_RIS_ShareCount_WAD_Adj,0,COLUMN())</f>
        <v/>
      </c>
      <c r="CB42" s="2072" t="n"/>
    </row>
    <row r="43" ht="15" customFormat="1" customHeight="1" s="2101">
      <c r="A43" s="1593" t="n"/>
      <c r="B43" s="2200" t="n"/>
      <c r="C43" s="2087" t="n"/>
      <c r="D43" s="2087" t="n"/>
      <c r="E43" s="2087" t="n"/>
      <c r="F43" s="2087" t="n"/>
      <c r="G43" s="2072" t="n"/>
      <c r="H43" s="2072" t="n"/>
      <c r="I43" s="2072" t="n"/>
      <c r="J43" s="2072" t="n"/>
      <c r="K43" s="2087" t="n"/>
      <c r="L43" s="2072" t="n"/>
      <c r="M43" s="2072" t="n"/>
      <c r="N43" s="2072" t="n"/>
      <c r="O43" s="2072" t="n"/>
      <c r="P43" s="2087" t="n"/>
      <c r="Q43" s="2072" t="n"/>
      <c r="R43" s="2072" t="n"/>
      <c r="S43" s="2072" t="n"/>
      <c r="T43" s="2072" t="n"/>
      <c r="U43" s="2087" t="n"/>
      <c r="V43" s="2072" t="n"/>
      <c r="W43" s="2072" t="n"/>
      <c r="X43" s="2072" t="n"/>
      <c r="Y43" s="2072" t="n"/>
      <c r="Z43" s="2087" t="n"/>
      <c r="AA43" s="2072" t="n"/>
      <c r="AB43" s="2072" t="n"/>
      <c r="AC43" s="2072" t="n"/>
      <c r="AD43" s="2072" t="n"/>
      <c r="AE43" s="2087" t="n"/>
      <c r="AF43" s="2072" t="n"/>
      <c r="AG43" s="2072" t="n"/>
      <c r="AH43" s="2072" t="n"/>
      <c r="AI43" s="2072" t="n"/>
      <c r="AJ43" s="2087" t="n"/>
      <c r="AK43" s="2072" t="n"/>
      <c r="AL43" s="2072" t="n"/>
      <c r="AM43" s="2072" t="n"/>
      <c r="AN43" s="2072" t="n"/>
      <c r="AO43" s="2087" t="n"/>
      <c r="AP43" s="2072" t="n"/>
      <c r="AQ43" s="2072" t="n"/>
      <c r="AR43" s="2072" t="n"/>
      <c r="AS43" s="2072" t="n"/>
      <c r="AT43" s="2087" t="n"/>
      <c r="AU43" s="2072" t="n"/>
      <c r="AV43" s="2072" t="n"/>
      <c r="AW43" s="2072" t="n"/>
      <c r="AX43" s="2072" t="n"/>
      <c r="AY43" s="2087" t="n"/>
      <c r="AZ43" s="2072" t="n"/>
      <c r="BA43" s="2072" t="n"/>
      <c r="BB43" s="2072" t="n"/>
      <c r="BC43" s="2072" t="n"/>
      <c r="BD43" s="2087" t="n"/>
      <c r="BE43" s="2072" t="n"/>
      <c r="BF43" s="2072" t="n"/>
      <c r="BG43" s="2072" t="n"/>
      <c r="BH43" s="2072" t="n"/>
      <c r="BI43" s="2087" t="n"/>
      <c r="BJ43" s="2072" t="n"/>
      <c r="BK43" s="2072" t="n"/>
      <c r="BL43" s="2072" t="n"/>
      <c r="BM43" s="2072" t="n"/>
      <c r="BN43" s="2087" t="n"/>
      <c r="BO43" s="2072" t="n"/>
      <c r="BP43" s="2072" t="n"/>
      <c r="BQ43" s="2073" t="n"/>
      <c r="BR43" s="2072" t="n"/>
      <c r="BS43" s="2087" t="n"/>
      <c r="BT43" s="2072" t="n"/>
      <c r="BU43" s="2072" t="n"/>
      <c r="BV43" s="2072" t="n"/>
      <c r="BW43" s="2072" t="n"/>
      <c r="BX43" s="2087" t="n"/>
      <c r="BY43" s="2087" t="n"/>
      <c r="BZ43" s="2087" t="n"/>
      <c r="CA43" s="2087" t="n"/>
      <c r="CB43" s="2072" t="n"/>
    </row>
    <row r="44" ht="15" customHeight="1" s="972">
      <c r="A44" s="2213" t="inlineStr">
        <is>
          <t>Non-GAAP Financials</t>
        </is>
      </c>
      <c r="B44" s="2214" t="n"/>
      <c r="C44" s="2214" t="n"/>
      <c r="D44" s="2214" t="n"/>
      <c r="E44" s="2214" t="n"/>
      <c r="F44" s="2214" t="n"/>
      <c r="G44" s="2214" t="n"/>
      <c r="H44" s="2214" t="n"/>
      <c r="I44" s="2214" t="n"/>
      <c r="J44" s="2214" t="n"/>
      <c r="K44" s="2214" t="n"/>
      <c r="L44" s="2214" t="n"/>
      <c r="M44" s="2214" t="n"/>
      <c r="N44" s="2214" t="n"/>
      <c r="O44" s="2214" t="n"/>
      <c r="P44" s="2214" t="n"/>
      <c r="Q44" s="2214" t="n"/>
      <c r="R44" s="2214" t="n"/>
      <c r="S44" s="2214" t="n"/>
      <c r="T44" s="2214" t="n"/>
      <c r="U44" s="2214" t="n"/>
      <c r="V44" s="2214" t="n"/>
      <c r="W44" s="2214" t="n"/>
      <c r="X44" s="2214" t="n"/>
      <c r="Y44" s="2214" t="n"/>
      <c r="Z44" s="2214" t="n"/>
      <c r="AA44" s="2214" t="n"/>
      <c r="AB44" s="2214" t="n"/>
      <c r="AC44" s="2214" t="n"/>
      <c r="AD44" s="2214" t="n"/>
      <c r="AE44" s="2214" t="n"/>
      <c r="AF44" s="2214" t="n"/>
      <c r="AG44" s="2214" t="n"/>
      <c r="AH44" s="2214" t="n"/>
      <c r="AI44" s="2214" t="n"/>
      <c r="AJ44" s="2214" t="n"/>
      <c r="AK44" s="2214" t="n"/>
      <c r="AL44" s="2214" t="n"/>
      <c r="AM44" s="2214" t="n"/>
      <c r="AN44" s="2214" t="n"/>
      <c r="AO44" s="2214" t="n"/>
      <c r="AP44" s="2214" t="n"/>
      <c r="AQ44" s="2214" t="n"/>
      <c r="AR44" s="2214" t="n"/>
      <c r="AS44" s="2214" t="n"/>
      <c r="AT44" s="2214" t="n"/>
      <c r="AU44" s="2214" t="n"/>
      <c r="AV44" s="2214" t="n"/>
      <c r="AW44" s="2214" t="n"/>
      <c r="AX44" s="2214" t="n"/>
      <c r="AY44" s="2214" t="n"/>
      <c r="AZ44" s="2214" t="n"/>
      <c r="BA44" s="2214" t="n"/>
      <c r="BB44" s="2214" t="n"/>
      <c r="BC44" s="2214" t="n"/>
      <c r="BD44" s="2214" t="n"/>
      <c r="BE44" s="2214" t="n"/>
      <c r="BF44" s="2214" t="n"/>
      <c r="BG44" s="2214" t="n"/>
      <c r="BH44" s="2214" t="n"/>
      <c r="BI44" s="2214" t="n"/>
      <c r="BJ44" s="2214" t="n"/>
      <c r="BK44" s="2214" t="n"/>
      <c r="BL44" s="2214" t="n"/>
      <c r="BM44" s="2214" t="n"/>
      <c r="BN44" s="2214" t="n"/>
      <c r="BO44" s="2214" t="n"/>
      <c r="BP44" s="2214" t="n"/>
      <c r="BQ44" s="2215" t="n"/>
      <c r="BR44" s="2214" t="n"/>
      <c r="BS44" s="2214" t="n"/>
      <c r="BT44" s="2214" t="n"/>
      <c r="BU44" s="2214" t="n"/>
      <c r="BV44" s="2214" t="n"/>
      <c r="BW44" s="2214" t="n"/>
      <c r="BX44" s="2214" t="n"/>
      <c r="BY44" s="2214" t="n"/>
      <c r="BZ44" s="2214" t="n"/>
      <c r="CA44" s="2214" t="n"/>
      <c r="CB44" s="2109" t="n"/>
    </row>
    <row r="45" ht="15" customFormat="1" customHeight="1" s="2082">
      <c r="A45" s="1596">
        <f>INDEX(MO_RIS_EBITDA_Adj,0,COLUMN())</f>
        <v/>
      </c>
      <c r="B45" s="2199" t="n"/>
      <c r="C45" s="2090">
        <f>INDEX(MO_RIS_EBITDA_Adj,0,COLUMN())</f>
        <v/>
      </c>
      <c r="D45" s="2090">
        <f>INDEX(MO_RIS_EBITDA_Adj,0,COLUMN())</f>
        <v/>
      </c>
      <c r="E45" s="2090">
        <f>INDEX(MO_RIS_EBITDA_Adj,0,COLUMN())</f>
        <v/>
      </c>
      <c r="F45" s="2090">
        <f>INDEX(MO_RIS_EBITDA_Adj,0,COLUMN())</f>
        <v/>
      </c>
      <c r="G45" s="2089">
        <f>INDEX(MO_RIS_EBITDA_Adj,0,COLUMN())</f>
        <v/>
      </c>
      <c r="H45" s="2089">
        <f>INDEX(MO_RIS_EBITDA_Adj,0,COLUMN())</f>
        <v/>
      </c>
      <c r="I45" s="2089">
        <f>INDEX(MO_RIS_EBITDA_Adj,0,COLUMN())</f>
        <v/>
      </c>
      <c r="J45" s="2089">
        <f>INDEX(MO_RIS_EBITDA_Adj,0,COLUMN())</f>
        <v/>
      </c>
      <c r="K45" s="2090">
        <f>INDEX(MO_RIS_EBITDA_Adj,0,COLUMN())</f>
        <v/>
      </c>
      <c r="L45" s="2089">
        <f>INDEX(MO_RIS_EBITDA_Adj,0,COLUMN())</f>
        <v/>
      </c>
      <c r="M45" s="2089">
        <f>INDEX(MO_RIS_EBITDA_Adj,0,COLUMN())</f>
        <v/>
      </c>
      <c r="N45" s="2089">
        <f>INDEX(MO_RIS_EBITDA_Adj,0,COLUMN())</f>
        <v/>
      </c>
      <c r="O45" s="2089">
        <f>INDEX(MO_RIS_EBITDA_Adj,0,COLUMN())</f>
        <v/>
      </c>
      <c r="P45" s="2090">
        <f>INDEX(MO_RIS_EBITDA_Adj,0,COLUMN())</f>
        <v/>
      </c>
      <c r="Q45" s="2089">
        <f>INDEX(MO_RIS_EBITDA_Adj,0,COLUMN())</f>
        <v/>
      </c>
      <c r="R45" s="2089">
        <f>INDEX(MO_RIS_EBITDA_Adj,0,COLUMN())</f>
        <v/>
      </c>
      <c r="S45" s="2089">
        <f>INDEX(MO_RIS_EBITDA_Adj,0,COLUMN())</f>
        <v/>
      </c>
      <c r="T45" s="2089">
        <f>INDEX(MO_RIS_EBITDA_Adj,0,COLUMN())</f>
        <v/>
      </c>
      <c r="U45" s="2090">
        <f>INDEX(MO_RIS_EBITDA_Adj,0,COLUMN())</f>
        <v/>
      </c>
      <c r="V45" s="2089">
        <f>INDEX(MO_RIS_EBITDA_Adj,0,COLUMN())</f>
        <v/>
      </c>
      <c r="W45" s="2089">
        <f>INDEX(MO_RIS_EBITDA_Adj,0,COLUMN())</f>
        <v/>
      </c>
      <c r="X45" s="2089">
        <f>INDEX(MO_RIS_EBITDA_Adj,0,COLUMN())</f>
        <v/>
      </c>
      <c r="Y45" s="2089">
        <f>INDEX(MO_RIS_EBITDA_Adj,0,COLUMN())</f>
        <v/>
      </c>
      <c r="Z45" s="2090">
        <f>INDEX(MO_RIS_EBITDA_Adj,0,COLUMN())</f>
        <v/>
      </c>
      <c r="AA45" s="2089">
        <f>INDEX(MO_RIS_EBITDA_Adj,0,COLUMN())</f>
        <v/>
      </c>
      <c r="AB45" s="2089">
        <f>INDEX(MO_RIS_EBITDA_Adj,0,COLUMN())</f>
        <v/>
      </c>
      <c r="AC45" s="2089">
        <f>INDEX(MO_RIS_EBITDA_Adj,0,COLUMN())</f>
        <v/>
      </c>
      <c r="AD45" s="2089">
        <f>INDEX(MO_RIS_EBITDA_Adj,0,COLUMN())</f>
        <v/>
      </c>
      <c r="AE45" s="2090">
        <f>INDEX(MO_RIS_EBITDA_Adj,0,COLUMN())</f>
        <v/>
      </c>
      <c r="AF45" s="2089">
        <f>INDEX(MO_RIS_EBITDA_Adj,0,COLUMN())</f>
        <v/>
      </c>
      <c r="AG45" s="2089">
        <f>INDEX(MO_RIS_EBITDA_Adj,0,COLUMN())</f>
        <v/>
      </c>
      <c r="AH45" s="2089">
        <f>INDEX(MO_RIS_EBITDA_Adj,0,COLUMN())</f>
        <v/>
      </c>
      <c r="AI45" s="2089">
        <f>INDEX(MO_RIS_EBITDA_Adj,0,COLUMN())</f>
        <v/>
      </c>
      <c r="AJ45" s="2090">
        <f>INDEX(MO_RIS_EBITDA_Adj,0,COLUMN())</f>
        <v/>
      </c>
      <c r="AK45" s="2089">
        <f>INDEX(MO_RIS_EBITDA_Adj,0,COLUMN())</f>
        <v/>
      </c>
      <c r="AL45" s="2089">
        <f>INDEX(MO_RIS_EBITDA_Adj,0,COLUMN())</f>
        <v/>
      </c>
      <c r="AM45" s="2089">
        <f>INDEX(MO_RIS_EBITDA_Adj,0,COLUMN())</f>
        <v/>
      </c>
      <c r="AN45" s="2089">
        <f>INDEX(MO_RIS_EBITDA_Adj,0,COLUMN())</f>
        <v/>
      </c>
      <c r="AO45" s="2090">
        <f>INDEX(MO_RIS_EBITDA_Adj,0,COLUMN())</f>
        <v/>
      </c>
      <c r="AP45" s="2089">
        <f>INDEX(MO_RIS_EBITDA_Adj,0,COLUMN())</f>
        <v/>
      </c>
      <c r="AQ45" s="2089">
        <f>INDEX(MO_RIS_EBITDA_Adj,0,COLUMN())</f>
        <v/>
      </c>
      <c r="AR45" s="2089">
        <f>INDEX(MO_RIS_EBITDA_Adj,0,COLUMN())</f>
        <v/>
      </c>
      <c r="AS45" s="2089">
        <f>INDEX(MO_RIS_EBITDA_Adj,0,COLUMN())</f>
        <v/>
      </c>
      <c r="AT45" s="2090">
        <f>INDEX(MO_RIS_EBITDA_Adj,0,COLUMN())</f>
        <v/>
      </c>
      <c r="AU45" s="2089">
        <f>INDEX(MO_RIS_EBITDA_Adj,0,COLUMN())</f>
        <v/>
      </c>
      <c r="AV45" s="2089">
        <f>INDEX(MO_RIS_EBITDA_Adj,0,COLUMN())</f>
        <v/>
      </c>
      <c r="AW45" s="2089">
        <f>INDEX(MO_RIS_EBITDA_Adj,0,COLUMN())</f>
        <v/>
      </c>
      <c r="AX45" s="2089">
        <f>INDEX(MO_RIS_EBITDA_Adj,0,COLUMN())</f>
        <v/>
      </c>
      <c r="AY45" s="2090">
        <f>INDEX(MO_RIS_EBITDA_Adj,0,COLUMN())</f>
        <v/>
      </c>
      <c r="AZ45" s="2089">
        <f>INDEX(MO_RIS_EBITDA_Adj,0,COLUMN())</f>
        <v/>
      </c>
      <c r="BA45" s="2089">
        <f>INDEX(MO_RIS_EBITDA_Adj,0,COLUMN())</f>
        <v/>
      </c>
      <c r="BB45" s="2089">
        <f>INDEX(MO_RIS_EBITDA_Adj,0,COLUMN())</f>
        <v/>
      </c>
      <c r="BC45" s="2089">
        <f>INDEX(MO_RIS_EBITDA_Adj,0,COLUMN())</f>
        <v/>
      </c>
      <c r="BD45" s="2090">
        <f>INDEX(MO_RIS_EBITDA_Adj,0,COLUMN())</f>
        <v/>
      </c>
      <c r="BE45" s="2089">
        <f>INDEX(MO_RIS_EBITDA_Adj,0,COLUMN())</f>
        <v/>
      </c>
      <c r="BF45" s="2089">
        <f>INDEX(MO_RIS_EBITDA_Adj,0,COLUMN())</f>
        <v/>
      </c>
      <c r="BG45" s="2089">
        <f>INDEX(MO_RIS_EBITDA_Adj,0,COLUMN())</f>
        <v/>
      </c>
      <c r="BH45" s="2089">
        <f>INDEX(MO_RIS_EBITDA_Adj,0,COLUMN())</f>
        <v/>
      </c>
      <c r="BI45" s="2090">
        <f>INDEX(MO_RIS_EBITDA_Adj,0,COLUMN())</f>
        <v/>
      </c>
      <c r="BJ45" s="2089">
        <f>INDEX(MO_RIS_EBITDA_Adj,0,COLUMN())</f>
        <v/>
      </c>
      <c r="BK45" s="2089">
        <f>INDEX(MO_RIS_EBITDA_Adj,0,COLUMN())</f>
        <v/>
      </c>
      <c r="BL45" s="2089">
        <f>INDEX(MO_RIS_EBITDA_Adj,0,COLUMN())</f>
        <v/>
      </c>
      <c r="BM45" s="2089">
        <f>INDEX(MO_RIS_EBITDA_Adj,0,COLUMN())</f>
        <v/>
      </c>
      <c r="BN45" s="2090">
        <f>INDEX(MO_RIS_EBITDA_Adj,0,COLUMN())</f>
        <v/>
      </c>
      <c r="BO45" s="2089">
        <f>INDEX(MO_RIS_EBITDA_Adj,0,COLUMN())</f>
        <v/>
      </c>
      <c r="BP45" s="2089">
        <f>INDEX(MO_RIS_EBITDA_Adj,0,COLUMN())</f>
        <v/>
      </c>
      <c r="BQ45" s="2100">
        <f>INDEX(MO_RIS_EBITDA_Adj,0,COLUMN())</f>
        <v/>
      </c>
      <c r="BR45" s="2089">
        <f>INDEX(MO_RIS_EBITDA_Adj,0,COLUMN())</f>
        <v/>
      </c>
      <c r="BS45" s="2090">
        <f>INDEX(MO_RIS_EBITDA_Adj,0,COLUMN())</f>
        <v/>
      </c>
      <c r="BT45" s="2089">
        <f>INDEX(MO_RIS_EBITDA_Adj,0,COLUMN())</f>
        <v/>
      </c>
      <c r="BU45" s="2089">
        <f>INDEX(MO_RIS_EBITDA_Adj,0,COLUMN())</f>
        <v/>
      </c>
      <c r="BV45" s="2089">
        <f>INDEX(MO_RIS_EBITDA_Adj,0,COLUMN())</f>
        <v/>
      </c>
      <c r="BW45" s="2089">
        <f>INDEX(MO_RIS_EBITDA_Adj,0,COLUMN())</f>
        <v/>
      </c>
      <c r="BX45" s="2090">
        <f>INDEX(MO_RIS_EBITDA_Adj,0,COLUMN())</f>
        <v/>
      </c>
      <c r="BY45" s="2090">
        <f>INDEX(MO_RIS_EBITDA_Adj,0,COLUMN())</f>
        <v/>
      </c>
      <c r="BZ45" s="2090">
        <f>INDEX(MO_RIS_EBITDA_Adj,0,COLUMN())</f>
        <v/>
      </c>
      <c r="CA45" s="2090">
        <f>INDEX(MO_RIS_EBITDA_Adj,0,COLUMN())</f>
        <v/>
      </c>
      <c r="CB45" s="2089" t="n"/>
    </row>
    <row r="46" ht="15" customFormat="1" customHeight="1" s="2082">
      <c r="A46" s="1596">
        <f>INDEX(MO_RIS_NI_NONGAAP_Diluted,0,COLUMN())</f>
        <v/>
      </c>
      <c r="B46" s="2199" t="n"/>
      <c r="C46" s="2090">
        <f>INDEX(MO_RIS_NI_NONGAAP_Diluted,0,COLUMN())</f>
        <v/>
      </c>
      <c r="D46" s="2090">
        <f>INDEX(MO_RIS_NI_NONGAAP_Diluted,0,COLUMN())</f>
        <v/>
      </c>
      <c r="E46" s="2090">
        <f>INDEX(MO_RIS_NI_NONGAAP_Diluted,0,COLUMN())</f>
        <v/>
      </c>
      <c r="F46" s="2090">
        <f>INDEX(MO_RIS_NI_NONGAAP_Diluted,0,COLUMN())</f>
        <v/>
      </c>
      <c r="G46" s="2089">
        <f>INDEX(MO_RIS_NI_NONGAAP_Diluted,0,COLUMN())</f>
        <v/>
      </c>
      <c r="H46" s="2089">
        <f>INDEX(MO_RIS_NI_NONGAAP_Diluted,0,COLUMN())</f>
        <v/>
      </c>
      <c r="I46" s="2089">
        <f>INDEX(MO_RIS_NI_NONGAAP_Diluted,0,COLUMN())</f>
        <v/>
      </c>
      <c r="J46" s="2089">
        <f>INDEX(MO_RIS_NI_NONGAAP_Diluted,0,COLUMN())</f>
        <v/>
      </c>
      <c r="K46" s="2090">
        <f>INDEX(MO_RIS_NI_NONGAAP_Diluted,0,COLUMN())</f>
        <v/>
      </c>
      <c r="L46" s="2089">
        <f>INDEX(MO_RIS_NI_NONGAAP_Diluted,0,COLUMN())</f>
        <v/>
      </c>
      <c r="M46" s="2089">
        <f>INDEX(MO_RIS_NI_NONGAAP_Diluted,0,COLUMN())</f>
        <v/>
      </c>
      <c r="N46" s="2089">
        <f>INDEX(MO_RIS_NI_NONGAAP_Diluted,0,COLUMN())</f>
        <v/>
      </c>
      <c r="O46" s="2089">
        <f>INDEX(MO_RIS_NI_NONGAAP_Diluted,0,COLUMN())</f>
        <v/>
      </c>
      <c r="P46" s="2090">
        <f>INDEX(MO_RIS_NI_NONGAAP_Diluted,0,COLUMN())</f>
        <v/>
      </c>
      <c r="Q46" s="2089">
        <f>INDEX(MO_RIS_NI_NONGAAP_Diluted,0,COLUMN())</f>
        <v/>
      </c>
      <c r="R46" s="2089">
        <f>INDEX(MO_RIS_NI_NONGAAP_Diluted,0,COLUMN())</f>
        <v/>
      </c>
      <c r="S46" s="2089">
        <f>INDEX(MO_RIS_NI_NONGAAP_Diluted,0,COLUMN())</f>
        <v/>
      </c>
      <c r="T46" s="2089">
        <f>INDEX(MO_RIS_NI_NONGAAP_Diluted,0,COLUMN())</f>
        <v/>
      </c>
      <c r="U46" s="2090">
        <f>INDEX(MO_RIS_NI_NONGAAP_Diluted,0,COLUMN())</f>
        <v/>
      </c>
      <c r="V46" s="2089">
        <f>INDEX(MO_RIS_NI_NONGAAP_Diluted,0,COLUMN())</f>
        <v/>
      </c>
      <c r="W46" s="2089">
        <f>INDEX(MO_RIS_NI_NONGAAP_Diluted,0,COLUMN())</f>
        <v/>
      </c>
      <c r="X46" s="2089">
        <f>INDEX(MO_RIS_NI_NONGAAP_Diluted,0,COLUMN())</f>
        <v/>
      </c>
      <c r="Y46" s="2089">
        <f>INDEX(MO_RIS_NI_NONGAAP_Diluted,0,COLUMN())</f>
        <v/>
      </c>
      <c r="Z46" s="2090">
        <f>INDEX(MO_RIS_NI_NONGAAP_Diluted,0,COLUMN())</f>
        <v/>
      </c>
      <c r="AA46" s="2089">
        <f>INDEX(MO_RIS_NI_NONGAAP_Diluted,0,COLUMN())</f>
        <v/>
      </c>
      <c r="AB46" s="2089">
        <f>INDEX(MO_RIS_NI_NONGAAP_Diluted,0,COLUMN())</f>
        <v/>
      </c>
      <c r="AC46" s="2089">
        <f>INDEX(MO_RIS_NI_NONGAAP_Diluted,0,COLUMN())</f>
        <v/>
      </c>
      <c r="AD46" s="2089">
        <f>INDEX(MO_RIS_NI_NONGAAP_Diluted,0,COLUMN())</f>
        <v/>
      </c>
      <c r="AE46" s="2090">
        <f>INDEX(MO_RIS_NI_NONGAAP_Diluted,0,COLUMN())</f>
        <v/>
      </c>
      <c r="AF46" s="2089">
        <f>INDEX(MO_RIS_NI_NONGAAP_Diluted,0,COLUMN())</f>
        <v/>
      </c>
      <c r="AG46" s="2089">
        <f>INDEX(MO_RIS_NI_NONGAAP_Diluted,0,COLUMN())</f>
        <v/>
      </c>
      <c r="AH46" s="2089">
        <f>INDEX(MO_RIS_NI_NONGAAP_Diluted,0,COLUMN())</f>
        <v/>
      </c>
      <c r="AI46" s="2089">
        <f>INDEX(MO_RIS_NI_NONGAAP_Diluted,0,COLUMN())</f>
        <v/>
      </c>
      <c r="AJ46" s="2090">
        <f>INDEX(MO_RIS_NI_NONGAAP_Diluted,0,COLUMN())</f>
        <v/>
      </c>
      <c r="AK46" s="2089">
        <f>INDEX(MO_RIS_NI_NONGAAP_Diluted,0,COLUMN())</f>
        <v/>
      </c>
      <c r="AL46" s="2089">
        <f>INDEX(MO_RIS_NI_NONGAAP_Diluted,0,COLUMN())</f>
        <v/>
      </c>
      <c r="AM46" s="2089">
        <f>INDEX(MO_RIS_NI_NONGAAP_Diluted,0,COLUMN())</f>
        <v/>
      </c>
      <c r="AN46" s="2089">
        <f>INDEX(MO_RIS_NI_NONGAAP_Diluted,0,COLUMN())</f>
        <v/>
      </c>
      <c r="AO46" s="2090">
        <f>INDEX(MO_RIS_NI_NONGAAP_Diluted,0,COLUMN())</f>
        <v/>
      </c>
      <c r="AP46" s="2089">
        <f>INDEX(MO_RIS_NI_NONGAAP_Diluted,0,COLUMN())</f>
        <v/>
      </c>
      <c r="AQ46" s="2089">
        <f>INDEX(MO_RIS_NI_NONGAAP_Diluted,0,COLUMN())</f>
        <v/>
      </c>
      <c r="AR46" s="2089">
        <f>INDEX(MO_RIS_NI_NONGAAP_Diluted,0,COLUMN())</f>
        <v/>
      </c>
      <c r="AS46" s="2089">
        <f>INDEX(MO_RIS_NI_NONGAAP_Diluted,0,COLUMN())</f>
        <v/>
      </c>
      <c r="AT46" s="2090">
        <f>INDEX(MO_RIS_NI_NONGAAP_Diluted,0,COLUMN())</f>
        <v/>
      </c>
      <c r="AU46" s="2089">
        <f>INDEX(MO_RIS_NI_NONGAAP_Diluted,0,COLUMN())</f>
        <v/>
      </c>
      <c r="AV46" s="2089">
        <f>INDEX(MO_RIS_NI_NONGAAP_Diluted,0,COLUMN())</f>
        <v/>
      </c>
      <c r="AW46" s="2089">
        <f>INDEX(MO_RIS_NI_NONGAAP_Diluted,0,COLUMN())</f>
        <v/>
      </c>
      <c r="AX46" s="2089">
        <f>INDEX(MO_RIS_NI_NONGAAP_Diluted,0,COLUMN())</f>
        <v/>
      </c>
      <c r="AY46" s="2090">
        <f>INDEX(MO_RIS_NI_NONGAAP_Diluted,0,COLUMN())</f>
        <v/>
      </c>
      <c r="AZ46" s="2089">
        <f>INDEX(MO_RIS_NI_NONGAAP_Diluted,0,COLUMN())</f>
        <v/>
      </c>
      <c r="BA46" s="2089">
        <f>INDEX(MO_RIS_NI_NONGAAP_Diluted,0,COLUMN())</f>
        <v/>
      </c>
      <c r="BB46" s="2089">
        <f>INDEX(MO_RIS_NI_NONGAAP_Diluted,0,COLUMN())</f>
        <v/>
      </c>
      <c r="BC46" s="2089">
        <f>INDEX(MO_RIS_NI_NONGAAP_Diluted,0,COLUMN())</f>
        <v/>
      </c>
      <c r="BD46" s="2090">
        <f>INDEX(MO_RIS_NI_NONGAAP_Diluted,0,COLUMN())</f>
        <v/>
      </c>
      <c r="BE46" s="2089">
        <f>INDEX(MO_RIS_NI_NONGAAP_Diluted,0,COLUMN())</f>
        <v/>
      </c>
      <c r="BF46" s="2089">
        <f>INDEX(MO_RIS_NI_NONGAAP_Diluted,0,COLUMN())</f>
        <v/>
      </c>
      <c r="BG46" s="2089">
        <f>INDEX(MO_RIS_NI_NONGAAP_Diluted,0,COLUMN())</f>
        <v/>
      </c>
      <c r="BH46" s="2089">
        <f>INDEX(MO_RIS_NI_NONGAAP_Diluted,0,COLUMN())</f>
        <v/>
      </c>
      <c r="BI46" s="2090">
        <f>INDEX(MO_RIS_NI_NONGAAP_Diluted,0,COLUMN())</f>
        <v/>
      </c>
      <c r="BJ46" s="2089">
        <f>INDEX(MO_RIS_NI_NONGAAP_Diluted,0,COLUMN())</f>
        <v/>
      </c>
      <c r="BK46" s="2089">
        <f>INDEX(MO_RIS_NI_NONGAAP_Diluted,0,COLUMN())</f>
        <v/>
      </c>
      <c r="BL46" s="2089">
        <f>INDEX(MO_RIS_NI_NONGAAP_Diluted,0,COLUMN())</f>
        <v/>
      </c>
      <c r="BM46" s="2089">
        <f>INDEX(MO_RIS_NI_NONGAAP_Diluted,0,COLUMN())</f>
        <v/>
      </c>
      <c r="BN46" s="2090">
        <f>INDEX(MO_RIS_NI_NONGAAP_Diluted,0,COLUMN())</f>
        <v/>
      </c>
      <c r="BO46" s="2089">
        <f>INDEX(MO_RIS_NI_NONGAAP_Diluted,0,COLUMN())</f>
        <v/>
      </c>
      <c r="BP46" s="2089">
        <f>INDEX(MO_RIS_NI_NONGAAP_Diluted,0,COLUMN())</f>
        <v/>
      </c>
      <c r="BQ46" s="2100">
        <f>INDEX(MO_RIS_NI_NONGAAP_Diluted,0,COLUMN())</f>
        <v/>
      </c>
      <c r="BR46" s="2089">
        <f>INDEX(MO_RIS_NI_NONGAAP_Diluted,0,COLUMN())</f>
        <v/>
      </c>
      <c r="BS46" s="2090">
        <f>INDEX(MO_RIS_NI_NONGAAP_Diluted,0,COLUMN())</f>
        <v/>
      </c>
      <c r="BT46" s="2089">
        <f>INDEX(MO_RIS_NI_NONGAAP_Diluted,0,COLUMN())</f>
        <v/>
      </c>
      <c r="BU46" s="2089">
        <f>INDEX(MO_RIS_NI_NONGAAP_Diluted,0,COLUMN())</f>
        <v/>
      </c>
      <c r="BV46" s="2089">
        <f>INDEX(MO_RIS_NI_NONGAAP_Diluted,0,COLUMN())</f>
        <v/>
      </c>
      <c r="BW46" s="2089">
        <f>INDEX(MO_RIS_NI_NONGAAP_Diluted,0,COLUMN())</f>
        <v/>
      </c>
      <c r="BX46" s="2090">
        <f>INDEX(MO_RIS_NI_NONGAAP_Diluted,0,COLUMN())</f>
        <v/>
      </c>
      <c r="BY46" s="2090">
        <f>INDEX(MO_RIS_NI_NONGAAP_Diluted,0,COLUMN())</f>
        <v/>
      </c>
      <c r="BZ46" s="2090">
        <f>INDEX(MO_RIS_NI_NONGAAP_Diluted,0,COLUMN())</f>
        <v/>
      </c>
      <c r="CA46" s="2090">
        <f>INDEX(MO_RIS_NI_NONGAAP_Diluted,0,COLUMN())</f>
        <v/>
      </c>
      <c r="CB46" s="2089" t="n"/>
    </row>
    <row r="47" ht="15" customFormat="1" customHeight="1" s="2185">
      <c r="A47" s="2209">
        <f>INDEX(MO_RIS_EPS_WAD_Adj,0,COLUMN())</f>
        <v/>
      </c>
      <c r="B47" s="2210" t="n"/>
      <c r="C47" s="2211">
        <f>INDEX(MO_RIS_EPS_WAD_Adj,0,COLUMN())</f>
        <v/>
      </c>
      <c r="D47" s="2211">
        <f>INDEX(MO_RIS_EPS_WAD_Adj,0,COLUMN())</f>
        <v/>
      </c>
      <c r="E47" s="2211">
        <f>INDEX(MO_RIS_EPS_WAD_Adj,0,COLUMN())</f>
        <v/>
      </c>
      <c r="F47" s="2211">
        <f>INDEX(MO_RIS_EPS_WAD_Adj,0,COLUMN())</f>
        <v/>
      </c>
      <c r="G47" s="2192">
        <f>INDEX(MO_RIS_EPS_WAD_Adj,0,COLUMN())</f>
        <v/>
      </c>
      <c r="H47" s="2192">
        <f>INDEX(MO_RIS_EPS_WAD_Adj,0,COLUMN())</f>
        <v/>
      </c>
      <c r="I47" s="2192">
        <f>INDEX(MO_RIS_EPS_WAD_Adj,0,COLUMN())</f>
        <v/>
      </c>
      <c r="J47" s="2192">
        <f>INDEX(MO_RIS_EPS_WAD_Adj,0,COLUMN())</f>
        <v/>
      </c>
      <c r="K47" s="2211">
        <f>INDEX(MO_RIS_EPS_WAD_Adj,0,COLUMN())</f>
        <v/>
      </c>
      <c r="L47" s="2192">
        <f>INDEX(MO_RIS_EPS_WAD_Adj,0,COLUMN())</f>
        <v/>
      </c>
      <c r="M47" s="2192">
        <f>INDEX(MO_RIS_EPS_WAD_Adj,0,COLUMN())</f>
        <v/>
      </c>
      <c r="N47" s="2192">
        <f>INDEX(MO_RIS_EPS_WAD_Adj,0,COLUMN())</f>
        <v/>
      </c>
      <c r="O47" s="2192">
        <f>INDEX(MO_RIS_EPS_WAD_Adj,0,COLUMN())</f>
        <v/>
      </c>
      <c r="P47" s="2211">
        <f>INDEX(MO_RIS_EPS_WAD_Adj,0,COLUMN())</f>
        <v/>
      </c>
      <c r="Q47" s="2192">
        <f>INDEX(MO_RIS_EPS_WAD_Adj,0,COLUMN())</f>
        <v/>
      </c>
      <c r="R47" s="2192">
        <f>INDEX(MO_RIS_EPS_WAD_Adj,0,COLUMN())</f>
        <v/>
      </c>
      <c r="S47" s="2192">
        <f>INDEX(MO_RIS_EPS_WAD_Adj,0,COLUMN())</f>
        <v/>
      </c>
      <c r="T47" s="2192">
        <f>INDEX(MO_RIS_EPS_WAD_Adj,0,COLUMN())</f>
        <v/>
      </c>
      <c r="U47" s="2211">
        <f>INDEX(MO_RIS_EPS_WAD_Adj,0,COLUMN())</f>
        <v/>
      </c>
      <c r="V47" s="2192">
        <f>INDEX(MO_RIS_EPS_WAD_Adj,0,COLUMN())</f>
        <v/>
      </c>
      <c r="W47" s="2192">
        <f>INDEX(MO_RIS_EPS_WAD_Adj,0,COLUMN())</f>
        <v/>
      </c>
      <c r="X47" s="2192">
        <f>INDEX(MO_RIS_EPS_WAD_Adj,0,COLUMN())</f>
        <v/>
      </c>
      <c r="Y47" s="2192">
        <f>INDEX(MO_RIS_EPS_WAD_Adj,0,COLUMN())</f>
        <v/>
      </c>
      <c r="Z47" s="2211">
        <f>INDEX(MO_RIS_EPS_WAD_Adj,0,COLUMN())</f>
        <v/>
      </c>
      <c r="AA47" s="2192">
        <f>INDEX(MO_RIS_EPS_WAD_Adj,0,COLUMN())</f>
        <v/>
      </c>
      <c r="AB47" s="2192">
        <f>INDEX(MO_RIS_EPS_WAD_Adj,0,COLUMN())</f>
        <v/>
      </c>
      <c r="AC47" s="2192">
        <f>INDEX(MO_RIS_EPS_WAD_Adj,0,COLUMN())</f>
        <v/>
      </c>
      <c r="AD47" s="2192">
        <f>INDEX(MO_RIS_EPS_WAD_Adj,0,COLUMN())</f>
        <v/>
      </c>
      <c r="AE47" s="2211">
        <f>INDEX(MO_RIS_EPS_WAD_Adj,0,COLUMN())</f>
        <v/>
      </c>
      <c r="AF47" s="2192">
        <f>INDEX(MO_RIS_EPS_WAD_Adj,0,COLUMN())</f>
        <v/>
      </c>
      <c r="AG47" s="2192">
        <f>INDEX(MO_RIS_EPS_WAD_Adj,0,COLUMN())</f>
        <v/>
      </c>
      <c r="AH47" s="2192">
        <f>INDEX(MO_RIS_EPS_WAD_Adj,0,COLUMN())</f>
        <v/>
      </c>
      <c r="AI47" s="2192">
        <f>INDEX(MO_RIS_EPS_WAD_Adj,0,COLUMN())</f>
        <v/>
      </c>
      <c r="AJ47" s="2211">
        <f>INDEX(MO_RIS_EPS_WAD_Adj,0,COLUMN())</f>
        <v/>
      </c>
      <c r="AK47" s="2192">
        <f>INDEX(MO_RIS_EPS_WAD_Adj,0,COLUMN())</f>
        <v/>
      </c>
      <c r="AL47" s="2192">
        <f>INDEX(MO_RIS_EPS_WAD_Adj,0,COLUMN())</f>
        <v/>
      </c>
      <c r="AM47" s="2192">
        <f>INDEX(MO_RIS_EPS_WAD_Adj,0,COLUMN())</f>
        <v/>
      </c>
      <c r="AN47" s="2192">
        <f>INDEX(MO_RIS_EPS_WAD_Adj,0,COLUMN())</f>
        <v/>
      </c>
      <c r="AO47" s="2211">
        <f>INDEX(MO_RIS_EPS_WAD_Adj,0,COLUMN())</f>
        <v/>
      </c>
      <c r="AP47" s="2192">
        <f>INDEX(MO_RIS_EPS_WAD_Adj,0,COLUMN())</f>
        <v/>
      </c>
      <c r="AQ47" s="2192">
        <f>INDEX(MO_RIS_EPS_WAD_Adj,0,COLUMN())</f>
        <v/>
      </c>
      <c r="AR47" s="2192">
        <f>INDEX(MO_RIS_EPS_WAD_Adj,0,COLUMN())</f>
        <v/>
      </c>
      <c r="AS47" s="2192">
        <f>INDEX(MO_RIS_EPS_WAD_Adj,0,COLUMN())</f>
        <v/>
      </c>
      <c r="AT47" s="2211">
        <f>INDEX(MO_RIS_EPS_WAD_Adj,0,COLUMN())</f>
        <v/>
      </c>
      <c r="AU47" s="2192">
        <f>INDEX(MO_RIS_EPS_WAD_Adj,0,COLUMN())</f>
        <v/>
      </c>
      <c r="AV47" s="2192">
        <f>INDEX(MO_RIS_EPS_WAD_Adj,0,COLUMN())</f>
        <v/>
      </c>
      <c r="AW47" s="2192">
        <f>INDEX(MO_RIS_EPS_WAD_Adj,0,COLUMN())</f>
        <v/>
      </c>
      <c r="AX47" s="2192">
        <f>INDEX(MO_RIS_EPS_WAD_Adj,0,COLUMN())</f>
        <v/>
      </c>
      <c r="AY47" s="2211">
        <f>INDEX(MO_RIS_EPS_WAD_Adj,0,COLUMN())</f>
        <v/>
      </c>
      <c r="AZ47" s="2192">
        <f>INDEX(MO_RIS_EPS_WAD_Adj,0,COLUMN())</f>
        <v/>
      </c>
      <c r="BA47" s="2192">
        <f>INDEX(MO_RIS_EPS_WAD_Adj,0,COLUMN())</f>
        <v/>
      </c>
      <c r="BB47" s="2192">
        <f>INDEX(MO_RIS_EPS_WAD_Adj,0,COLUMN())</f>
        <v/>
      </c>
      <c r="BC47" s="2192">
        <f>INDEX(MO_RIS_EPS_WAD_Adj,0,COLUMN())</f>
        <v/>
      </c>
      <c r="BD47" s="2211">
        <f>INDEX(MO_RIS_EPS_WAD_Adj,0,COLUMN())</f>
        <v/>
      </c>
      <c r="BE47" s="2192">
        <f>INDEX(MO_RIS_EPS_WAD_Adj,0,COLUMN())</f>
        <v/>
      </c>
      <c r="BF47" s="2192">
        <f>INDEX(MO_RIS_EPS_WAD_Adj,0,COLUMN())</f>
        <v/>
      </c>
      <c r="BG47" s="2192">
        <f>INDEX(MO_RIS_EPS_WAD_Adj,0,COLUMN())</f>
        <v/>
      </c>
      <c r="BH47" s="2192">
        <f>INDEX(MO_RIS_EPS_WAD_Adj,0,COLUMN())</f>
        <v/>
      </c>
      <c r="BI47" s="2211">
        <f>INDEX(MO_RIS_EPS_WAD_Adj,0,COLUMN())</f>
        <v/>
      </c>
      <c r="BJ47" s="2192">
        <f>INDEX(MO_RIS_EPS_WAD_Adj,0,COLUMN())</f>
        <v/>
      </c>
      <c r="BK47" s="2192">
        <f>INDEX(MO_RIS_EPS_WAD_Adj,0,COLUMN())</f>
        <v/>
      </c>
      <c r="BL47" s="2192">
        <f>INDEX(MO_RIS_EPS_WAD_Adj,0,COLUMN())</f>
        <v/>
      </c>
      <c r="BM47" s="2192">
        <f>INDEX(MO_RIS_EPS_WAD_Adj,0,COLUMN())</f>
        <v/>
      </c>
      <c r="BN47" s="2211">
        <f>INDEX(MO_RIS_EPS_WAD_Adj,0,COLUMN())</f>
        <v/>
      </c>
      <c r="BO47" s="2192">
        <f>INDEX(MO_RIS_EPS_WAD_Adj,0,COLUMN())</f>
        <v/>
      </c>
      <c r="BP47" s="2192">
        <f>INDEX(MO_RIS_EPS_WAD_Adj,0,COLUMN())</f>
        <v/>
      </c>
      <c r="BQ47" s="2212">
        <f>INDEX(MO_RIS_EPS_WAD_Adj,0,COLUMN())</f>
        <v/>
      </c>
      <c r="BR47" s="2192">
        <f>INDEX(MO_RIS_EPS_WAD_Adj,0,COLUMN())</f>
        <v/>
      </c>
      <c r="BS47" s="2211">
        <f>INDEX(MO_RIS_EPS_WAD_Adj,0,COLUMN())</f>
        <v/>
      </c>
      <c r="BT47" s="2192">
        <f>INDEX(MO_RIS_EPS_WAD_Adj,0,COLUMN())</f>
        <v/>
      </c>
      <c r="BU47" s="2192">
        <f>INDEX(MO_RIS_EPS_WAD_Adj,0,COLUMN())</f>
        <v/>
      </c>
      <c r="BV47" s="2192">
        <f>INDEX(MO_RIS_EPS_WAD_Adj,0,COLUMN())</f>
        <v/>
      </c>
      <c r="BW47" s="2192">
        <f>INDEX(MO_RIS_EPS_WAD_Adj,0,COLUMN())</f>
        <v/>
      </c>
      <c r="BX47" s="2211">
        <f>INDEX(MO_RIS_EPS_WAD_Adj,0,COLUMN())</f>
        <v/>
      </c>
      <c r="BY47" s="2211">
        <f>INDEX(MO_RIS_EPS_WAD_Adj,0,COLUMN())</f>
        <v/>
      </c>
      <c r="BZ47" s="2211">
        <f>INDEX(MO_RIS_EPS_WAD_Adj,0,COLUMN())</f>
        <v/>
      </c>
      <c r="CA47" s="2211">
        <f>INDEX(MO_RIS_EPS_WAD_Adj,0,COLUMN())</f>
        <v/>
      </c>
      <c r="CB47" s="2192" t="n"/>
    </row>
    <row r="48" ht="15" customHeight="1" s="972">
      <c r="A48" s="2109" t="n"/>
      <c r="B48" s="2216" t="n"/>
      <c r="C48" s="2168" t="n"/>
      <c r="D48" s="2168" t="n"/>
      <c r="E48" s="2168" t="n"/>
      <c r="F48" s="2168" t="n"/>
      <c r="G48" s="2173" t="n"/>
      <c r="H48" s="2173" t="n"/>
      <c r="I48" s="2173" t="n"/>
      <c r="J48" s="2173" t="n"/>
      <c r="K48" s="2168" t="n"/>
      <c r="L48" s="2173" t="n"/>
      <c r="M48" s="2173" t="n"/>
      <c r="N48" s="2173" t="n"/>
      <c r="O48" s="2173" t="n"/>
      <c r="P48" s="2168" t="n"/>
      <c r="Q48" s="2173" t="n"/>
      <c r="R48" s="2173" t="n"/>
      <c r="S48" s="2173" t="n"/>
      <c r="T48" s="2173" t="n"/>
      <c r="U48" s="2168" t="n"/>
      <c r="V48" s="2173" t="n"/>
      <c r="W48" s="2173" t="n"/>
      <c r="X48" s="2173" t="n"/>
      <c r="Y48" s="2178" t="n"/>
      <c r="Z48" s="2108" t="n"/>
      <c r="AA48" s="2173" t="n"/>
      <c r="AB48" s="2173" t="n"/>
      <c r="AC48" s="2173" t="n"/>
      <c r="AD48" s="2178" t="n"/>
      <c r="AE48" s="2108" t="n"/>
      <c r="AF48" s="2173" t="n"/>
      <c r="AG48" s="2173" t="n"/>
      <c r="AH48" s="2173" t="n"/>
      <c r="AI48" s="2178" t="n"/>
      <c r="AJ48" s="2108" t="n"/>
      <c r="AK48" s="2173" t="n"/>
      <c r="AL48" s="2173" t="n"/>
      <c r="AM48" s="2173" t="n"/>
      <c r="AN48" s="2178" t="n"/>
      <c r="AO48" s="2108" t="n"/>
      <c r="AP48" s="2173" t="n"/>
      <c r="AQ48" s="2173" t="n"/>
      <c r="AR48" s="2173" t="n"/>
      <c r="AS48" s="2178" t="n"/>
      <c r="AT48" s="2108" t="n"/>
      <c r="AU48" s="2173" t="n"/>
      <c r="AV48" s="2173" t="n"/>
      <c r="AW48" s="2173" t="n"/>
      <c r="AX48" s="2178" t="n"/>
      <c r="AY48" s="2108" t="n"/>
      <c r="AZ48" s="2173" t="n"/>
      <c r="BA48" s="2173" t="n"/>
      <c r="BB48" s="2173" t="n"/>
      <c r="BC48" s="2178" t="n"/>
      <c r="BD48" s="2108" t="n"/>
      <c r="BE48" s="2173" t="n"/>
      <c r="BF48" s="2173" t="n"/>
      <c r="BG48" s="2173" t="n"/>
      <c r="BH48" s="2178" t="n"/>
      <c r="BI48" s="2108" t="n"/>
      <c r="BJ48" s="2173" t="n"/>
      <c r="BK48" s="2173" t="n"/>
      <c r="BL48" s="2173" t="n"/>
      <c r="BM48" s="2178" t="n"/>
      <c r="BN48" s="2108" t="n"/>
      <c r="BO48" s="2173" t="n"/>
      <c r="BP48" s="2173" t="n"/>
      <c r="BQ48" s="2217" t="n"/>
      <c r="BR48" s="2178" t="n"/>
      <c r="BS48" s="2108" t="n"/>
      <c r="BT48" s="2173" t="n"/>
      <c r="BU48" s="2173" t="n"/>
      <c r="BV48" s="2173" t="n"/>
      <c r="BW48" s="2178" t="n"/>
      <c r="BX48" s="2108" t="n"/>
      <c r="BY48" s="2108" t="n"/>
      <c r="BZ48" s="2108" t="n"/>
      <c r="CA48" s="2108" t="n"/>
      <c r="CB48" s="2109" t="n"/>
    </row>
    <row r="49" ht="15" customHeight="1" s="972">
      <c r="A49" s="2083" t="inlineStr">
        <is>
          <t>Margin Analysis</t>
        </is>
      </c>
      <c r="B49" s="2206" t="n"/>
      <c r="C49" s="2206" t="n"/>
      <c r="D49" s="2206" t="n"/>
      <c r="E49" s="2206" t="n"/>
      <c r="F49" s="2206" t="n"/>
      <c r="G49" s="2206" t="n"/>
      <c r="H49" s="2206" t="n"/>
      <c r="I49" s="2206" t="n"/>
      <c r="J49" s="2206" t="n"/>
      <c r="K49" s="2206" t="n"/>
      <c r="L49" s="2206" t="n"/>
      <c r="M49" s="2206" t="n"/>
      <c r="N49" s="2206" t="n"/>
      <c r="O49" s="2206" t="n"/>
      <c r="P49" s="2206" t="n"/>
      <c r="Q49" s="2206" t="n"/>
      <c r="R49" s="2206" t="n"/>
      <c r="S49" s="2206" t="n"/>
      <c r="T49" s="2206" t="n"/>
      <c r="U49" s="2206" t="n"/>
      <c r="V49" s="2206" t="n"/>
      <c r="W49" s="2206" t="n"/>
      <c r="X49" s="2206" t="n"/>
      <c r="Y49" s="2206" t="n"/>
      <c r="Z49" s="2206" t="n"/>
      <c r="AA49" s="2206" t="n"/>
      <c r="AB49" s="2206" t="n"/>
      <c r="AC49" s="2206" t="n"/>
      <c r="AD49" s="2206" t="n"/>
      <c r="AE49" s="2206" t="n"/>
      <c r="AF49" s="2206" t="n"/>
      <c r="AG49" s="2206" t="n"/>
      <c r="AH49" s="2206" t="n"/>
      <c r="AI49" s="2206" t="n"/>
      <c r="AJ49" s="2206" t="n"/>
      <c r="AK49" s="2206" t="n"/>
      <c r="AL49" s="2206" t="n"/>
      <c r="AM49" s="2206" t="n"/>
      <c r="AN49" s="2206" t="n"/>
      <c r="AO49" s="2206" t="n"/>
      <c r="AP49" s="2206" t="n"/>
      <c r="AQ49" s="2206" t="n"/>
      <c r="AR49" s="2206" t="n"/>
      <c r="AS49" s="2206" t="n"/>
      <c r="AT49" s="2206" t="n"/>
      <c r="AU49" s="2206" t="n"/>
      <c r="AV49" s="2206" t="n"/>
      <c r="AW49" s="2206" t="n"/>
      <c r="AX49" s="2206" t="n"/>
      <c r="AY49" s="2206" t="n"/>
      <c r="AZ49" s="2206" t="n"/>
      <c r="BA49" s="2206" t="n"/>
      <c r="BB49" s="2206" t="n"/>
      <c r="BC49" s="2206" t="n"/>
      <c r="BD49" s="2206" t="n"/>
      <c r="BE49" s="2206" t="n"/>
      <c r="BF49" s="2206" t="n"/>
      <c r="BG49" s="2206" t="n"/>
      <c r="BH49" s="2206" t="n"/>
      <c r="BI49" s="2206" t="n"/>
      <c r="BJ49" s="2206" t="n"/>
      <c r="BK49" s="2206" t="n"/>
      <c r="BL49" s="2206" t="n"/>
      <c r="BM49" s="2206" t="n"/>
      <c r="BN49" s="2206" t="n"/>
      <c r="BO49" s="2206" t="n"/>
      <c r="BP49" s="2206" t="n"/>
      <c r="BQ49" s="2207" t="n"/>
      <c r="BR49" s="2206" t="n"/>
      <c r="BS49" s="2206" t="n"/>
      <c r="BT49" s="2206" t="n"/>
      <c r="BU49" s="2206" t="n"/>
      <c r="BV49" s="2206" t="n"/>
      <c r="BW49" s="2206" t="n"/>
      <c r="BX49" s="2206" t="n"/>
      <c r="BY49" s="2206" t="n"/>
      <c r="BZ49" s="2206" t="n"/>
      <c r="CA49" s="2206" t="n"/>
      <c r="CB49" s="2072" t="n"/>
    </row>
    <row r="50" ht="15" customFormat="1" customHeight="1" s="2165">
      <c r="A50" s="2106">
        <f>INDEX(MO_MA_COGS_NONGAAP,0,COLUMN())</f>
        <v/>
      </c>
      <c r="B50" s="2216" t="n"/>
      <c r="C50" s="2136">
        <f>INDEX(MO_MA_COGS_NONGAAP,0,COLUMN())</f>
        <v/>
      </c>
      <c r="D50" s="2136">
        <f>INDEX(MO_MA_COGS_NONGAAP,0,COLUMN())</f>
        <v/>
      </c>
      <c r="E50" s="2136">
        <f>INDEX(MO_MA_COGS_NONGAAP,0,COLUMN())</f>
        <v/>
      </c>
      <c r="F50" s="2136">
        <f>INDEX(MO_MA_COGS_NONGAAP,0,COLUMN())</f>
        <v/>
      </c>
      <c r="G50" s="2218">
        <f>INDEX(MO_MA_COGS_NONGAAP,0,COLUMN())</f>
        <v/>
      </c>
      <c r="H50" s="2218">
        <f>INDEX(MO_MA_COGS_NONGAAP,0,COLUMN())</f>
        <v/>
      </c>
      <c r="I50" s="2218">
        <f>INDEX(MO_MA_COGS_NONGAAP,0,COLUMN())</f>
        <v/>
      </c>
      <c r="J50" s="2218">
        <f>INDEX(MO_MA_COGS_NONGAAP,0,COLUMN())</f>
        <v/>
      </c>
      <c r="K50" s="2136">
        <f>INDEX(MO_MA_COGS_NONGAAP,0,COLUMN())</f>
        <v/>
      </c>
      <c r="L50" s="2218">
        <f>INDEX(MO_MA_COGS_NONGAAP,0,COLUMN())</f>
        <v/>
      </c>
      <c r="M50" s="2218">
        <f>INDEX(MO_MA_COGS_NONGAAP,0,COLUMN())</f>
        <v/>
      </c>
      <c r="N50" s="2218">
        <f>INDEX(MO_MA_COGS_NONGAAP,0,COLUMN())</f>
        <v/>
      </c>
      <c r="O50" s="2218">
        <f>INDEX(MO_MA_COGS_NONGAAP,0,COLUMN())</f>
        <v/>
      </c>
      <c r="P50" s="2136">
        <f>INDEX(MO_MA_COGS_NONGAAP,0,COLUMN())</f>
        <v/>
      </c>
      <c r="Q50" s="2218">
        <f>INDEX(MO_MA_COGS_NONGAAP,0,COLUMN())</f>
        <v/>
      </c>
      <c r="R50" s="2218">
        <f>INDEX(MO_MA_COGS_NONGAAP,0,COLUMN())</f>
        <v/>
      </c>
      <c r="S50" s="2218">
        <f>INDEX(MO_MA_COGS_NONGAAP,0,COLUMN())</f>
        <v/>
      </c>
      <c r="T50" s="2218">
        <f>INDEX(MO_MA_COGS_NONGAAP,0,COLUMN())</f>
        <v/>
      </c>
      <c r="U50" s="2136">
        <f>INDEX(MO_MA_COGS_NONGAAP,0,COLUMN())</f>
        <v/>
      </c>
      <c r="V50" s="2218">
        <f>INDEX(MO_MA_COGS_NONGAAP,0,COLUMN())</f>
        <v/>
      </c>
      <c r="W50" s="2218">
        <f>INDEX(MO_MA_COGS_NONGAAP,0,COLUMN())</f>
        <v/>
      </c>
      <c r="X50" s="2218">
        <f>INDEX(MO_MA_COGS_NONGAAP,0,COLUMN())</f>
        <v/>
      </c>
      <c r="Y50" s="2218">
        <f>INDEX(MO_MA_COGS_NONGAAP,0,COLUMN())</f>
        <v/>
      </c>
      <c r="Z50" s="2136">
        <f>INDEX(MO_MA_COGS_NONGAAP,0,COLUMN())</f>
        <v/>
      </c>
      <c r="AA50" s="2218">
        <f>INDEX(MO_MA_COGS_NONGAAP,0,COLUMN())</f>
        <v/>
      </c>
      <c r="AB50" s="2218">
        <f>INDEX(MO_MA_COGS_NONGAAP,0,COLUMN())</f>
        <v/>
      </c>
      <c r="AC50" s="2218">
        <f>INDEX(MO_MA_COGS_NONGAAP,0,COLUMN())</f>
        <v/>
      </c>
      <c r="AD50" s="2218">
        <f>INDEX(MO_MA_COGS_NONGAAP,0,COLUMN())</f>
        <v/>
      </c>
      <c r="AE50" s="2136">
        <f>INDEX(MO_MA_COGS_NONGAAP,0,COLUMN())</f>
        <v/>
      </c>
      <c r="AF50" s="2218">
        <f>INDEX(MO_MA_COGS_NONGAAP,0,COLUMN())</f>
        <v/>
      </c>
      <c r="AG50" s="2218">
        <f>INDEX(MO_MA_COGS_NONGAAP,0,COLUMN())</f>
        <v/>
      </c>
      <c r="AH50" s="2218">
        <f>INDEX(MO_MA_COGS_NONGAAP,0,COLUMN())</f>
        <v/>
      </c>
      <c r="AI50" s="2218">
        <f>INDEX(MO_MA_COGS_NONGAAP,0,COLUMN())</f>
        <v/>
      </c>
      <c r="AJ50" s="2136">
        <f>INDEX(MO_MA_COGS_NONGAAP,0,COLUMN())</f>
        <v/>
      </c>
      <c r="AK50" s="2218">
        <f>INDEX(MO_MA_COGS_NONGAAP,0,COLUMN())</f>
        <v/>
      </c>
      <c r="AL50" s="2218">
        <f>INDEX(MO_MA_COGS_NONGAAP,0,COLUMN())</f>
        <v/>
      </c>
      <c r="AM50" s="2218">
        <f>INDEX(MO_MA_COGS_NONGAAP,0,COLUMN())</f>
        <v/>
      </c>
      <c r="AN50" s="2218">
        <f>INDEX(MO_MA_COGS_NONGAAP,0,COLUMN())</f>
        <v/>
      </c>
      <c r="AO50" s="2136">
        <f>INDEX(MO_MA_COGS_NONGAAP,0,COLUMN())</f>
        <v/>
      </c>
      <c r="AP50" s="2218">
        <f>INDEX(MO_MA_COGS_NONGAAP,0,COLUMN())</f>
        <v/>
      </c>
      <c r="AQ50" s="2218">
        <f>INDEX(MO_MA_COGS_NONGAAP,0,COLUMN())</f>
        <v/>
      </c>
      <c r="AR50" s="2218">
        <f>INDEX(MO_MA_COGS_NONGAAP,0,COLUMN())</f>
        <v/>
      </c>
      <c r="AS50" s="2218">
        <f>INDEX(MO_MA_COGS_NONGAAP,0,COLUMN())</f>
        <v/>
      </c>
      <c r="AT50" s="2136">
        <f>INDEX(MO_MA_COGS_NONGAAP,0,COLUMN())</f>
        <v/>
      </c>
      <c r="AU50" s="2218">
        <f>INDEX(MO_MA_COGS_NONGAAP,0,COLUMN())</f>
        <v/>
      </c>
      <c r="AV50" s="2218">
        <f>INDEX(MO_MA_COGS_NONGAAP,0,COLUMN())</f>
        <v/>
      </c>
      <c r="AW50" s="2218">
        <f>INDEX(MO_MA_COGS_NONGAAP,0,COLUMN())</f>
        <v/>
      </c>
      <c r="AX50" s="2218">
        <f>INDEX(MO_MA_COGS_NONGAAP,0,COLUMN())</f>
        <v/>
      </c>
      <c r="AY50" s="2136">
        <f>INDEX(MO_MA_COGS_NONGAAP,0,COLUMN())</f>
        <v/>
      </c>
      <c r="AZ50" s="2218">
        <f>INDEX(MO_MA_COGS_NONGAAP,0,COLUMN())</f>
        <v/>
      </c>
      <c r="BA50" s="2218">
        <f>INDEX(MO_MA_COGS_NONGAAP,0,COLUMN())</f>
        <v/>
      </c>
      <c r="BB50" s="2218">
        <f>INDEX(MO_MA_COGS_NONGAAP,0,COLUMN())</f>
        <v/>
      </c>
      <c r="BC50" s="2218">
        <f>INDEX(MO_MA_COGS_NONGAAP,0,COLUMN())</f>
        <v/>
      </c>
      <c r="BD50" s="2136">
        <f>INDEX(MO_MA_COGS_NONGAAP,0,COLUMN())</f>
        <v/>
      </c>
      <c r="BE50" s="2218">
        <f>INDEX(MO_MA_COGS_NONGAAP,0,COLUMN())</f>
        <v/>
      </c>
      <c r="BF50" s="2218">
        <f>INDEX(MO_MA_COGS_NONGAAP,0,COLUMN())</f>
        <v/>
      </c>
      <c r="BG50" s="2218">
        <f>INDEX(MO_MA_COGS_NONGAAP,0,COLUMN())</f>
        <v/>
      </c>
      <c r="BH50" s="2218">
        <f>INDEX(MO_MA_COGS_NONGAAP,0,COLUMN())</f>
        <v/>
      </c>
      <c r="BI50" s="2136">
        <f>INDEX(MO_MA_COGS_NONGAAP,0,COLUMN())</f>
        <v/>
      </c>
      <c r="BJ50" s="2218">
        <f>INDEX(MO_MA_COGS_NONGAAP,0,COLUMN())</f>
        <v/>
      </c>
      <c r="BK50" s="2218">
        <f>INDEX(MO_MA_COGS_NONGAAP,0,COLUMN())</f>
        <v/>
      </c>
      <c r="BL50" s="2218">
        <f>INDEX(MO_MA_COGS_NONGAAP,0,COLUMN())</f>
        <v/>
      </c>
      <c r="BM50" s="2218">
        <f>INDEX(MO_MA_COGS_NONGAAP,0,COLUMN())</f>
        <v/>
      </c>
      <c r="BN50" s="2136">
        <f>INDEX(MO_MA_COGS_NONGAAP,0,COLUMN())</f>
        <v/>
      </c>
      <c r="BO50" s="2218">
        <f>INDEX(MO_MA_COGS_NONGAAP,0,COLUMN())</f>
        <v/>
      </c>
      <c r="BP50" s="2218">
        <f>INDEX(MO_MA_COGS_NONGAAP,0,COLUMN())</f>
        <v/>
      </c>
      <c r="BQ50" s="2219">
        <f>INDEX(MO_MA_COGS_NONGAAP,0,COLUMN())</f>
        <v/>
      </c>
      <c r="BR50" s="2218">
        <f>INDEX(MO_MA_COGS_NONGAAP,0,COLUMN())</f>
        <v/>
      </c>
      <c r="BS50" s="2108">
        <f>INDEX(MO_MA_COGS_NONGAAP,0,COLUMN())</f>
        <v/>
      </c>
      <c r="BT50" s="2218">
        <f>INDEX(MO_MA_COGS_NONGAAP,0,COLUMN())</f>
        <v/>
      </c>
      <c r="BU50" s="2218">
        <f>INDEX(MO_MA_COGS_NONGAAP,0,COLUMN())</f>
        <v/>
      </c>
      <c r="BV50" s="2218">
        <f>INDEX(MO_MA_COGS_NONGAAP,0,COLUMN())</f>
        <v/>
      </c>
      <c r="BW50" s="2218">
        <f>INDEX(MO_MA_COGS_NONGAAP,0,COLUMN())</f>
        <v/>
      </c>
      <c r="BX50" s="2108">
        <f>INDEX(MO_MA_COGS_NONGAAP,0,COLUMN())</f>
        <v/>
      </c>
      <c r="BY50" s="2108">
        <f>INDEX(MO_MA_COGS_NONGAAP,0,COLUMN())</f>
        <v/>
      </c>
      <c r="BZ50" s="2108">
        <f>INDEX(MO_MA_COGS_NONGAAP,0,COLUMN())</f>
        <v/>
      </c>
      <c r="CA50" s="2108">
        <f>INDEX(MO_MA_COGS_NONGAAP,0,COLUMN())</f>
        <v/>
      </c>
      <c r="CB50" s="2109" t="n"/>
    </row>
    <row r="51" ht="15" customFormat="1" customHeight="1" s="2165">
      <c r="A51" s="2106">
        <f>INDEX(MO_MA_RD_NONGAAP,0,COLUMN())</f>
        <v/>
      </c>
      <c r="B51" s="2216" t="n"/>
      <c r="C51" s="2136">
        <f>INDEX(MO_MA_RD_NONGAAP,0,COLUMN())</f>
        <v/>
      </c>
      <c r="D51" s="2136">
        <f>INDEX(MO_MA_RD_NONGAAP,0,COLUMN())</f>
        <v/>
      </c>
      <c r="E51" s="2136">
        <f>INDEX(MO_MA_RD_NONGAAP,0,COLUMN())</f>
        <v/>
      </c>
      <c r="F51" s="2136">
        <f>INDEX(MO_MA_RD_NONGAAP,0,COLUMN())</f>
        <v/>
      </c>
      <c r="G51" s="2218">
        <f>INDEX(MO_MA_RD_NONGAAP,0,COLUMN())</f>
        <v/>
      </c>
      <c r="H51" s="2218">
        <f>INDEX(MO_MA_RD_NONGAAP,0,COLUMN())</f>
        <v/>
      </c>
      <c r="I51" s="2218">
        <f>INDEX(MO_MA_RD_NONGAAP,0,COLUMN())</f>
        <v/>
      </c>
      <c r="J51" s="2218">
        <f>INDEX(MO_MA_RD_NONGAAP,0,COLUMN())</f>
        <v/>
      </c>
      <c r="K51" s="2136">
        <f>INDEX(MO_MA_RD_NONGAAP,0,COLUMN())</f>
        <v/>
      </c>
      <c r="L51" s="2218">
        <f>INDEX(MO_MA_RD_NONGAAP,0,COLUMN())</f>
        <v/>
      </c>
      <c r="M51" s="2218">
        <f>INDEX(MO_MA_RD_NONGAAP,0,COLUMN())</f>
        <v/>
      </c>
      <c r="N51" s="2218">
        <f>INDEX(MO_MA_RD_NONGAAP,0,COLUMN())</f>
        <v/>
      </c>
      <c r="O51" s="2218">
        <f>INDEX(MO_MA_RD_NONGAAP,0,COLUMN())</f>
        <v/>
      </c>
      <c r="P51" s="2136">
        <f>INDEX(MO_MA_RD_NONGAAP,0,COLUMN())</f>
        <v/>
      </c>
      <c r="Q51" s="2218">
        <f>INDEX(MO_MA_RD_NONGAAP,0,COLUMN())</f>
        <v/>
      </c>
      <c r="R51" s="2218">
        <f>INDEX(MO_MA_RD_NONGAAP,0,COLUMN())</f>
        <v/>
      </c>
      <c r="S51" s="2218">
        <f>INDEX(MO_MA_RD_NONGAAP,0,COLUMN())</f>
        <v/>
      </c>
      <c r="T51" s="2218">
        <f>INDEX(MO_MA_RD_NONGAAP,0,COLUMN())</f>
        <v/>
      </c>
      <c r="U51" s="2136">
        <f>INDEX(MO_MA_RD_NONGAAP,0,COLUMN())</f>
        <v/>
      </c>
      <c r="V51" s="2218">
        <f>INDEX(MO_MA_RD_NONGAAP,0,COLUMN())</f>
        <v/>
      </c>
      <c r="W51" s="2218">
        <f>INDEX(MO_MA_RD_NONGAAP,0,COLUMN())</f>
        <v/>
      </c>
      <c r="X51" s="2218">
        <f>INDEX(MO_MA_RD_NONGAAP,0,COLUMN())</f>
        <v/>
      </c>
      <c r="Y51" s="2218">
        <f>INDEX(MO_MA_RD_NONGAAP,0,COLUMN())</f>
        <v/>
      </c>
      <c r="Z51" s="2136">
        <f>INDEX(MO_MA_RD_NONGAAP,0,COLUMN())</f>
        <v/>
      </c>
      <c r="AA51" s="2218">
        <f>INDEX(MO_MA_RD_NONGAAP,0,COLUMN())</f>
        <v/>
      </c>
      <c r="AB51" s="2218">
        <f>INDEX(MO_MA_RD_NONGAAP,0,COLUMN())</f>
        <v/>
      </c>
      <c r="AC51" s="2218">
        <f>INDEX(MO_MA_RD_NONGAAP,0,COLUMN())</f>
        <v/>
      </c>
      <c r="AD51" s="2218">
        <f>INDEX(MO_MA_RD_NONGAAP,0,COLUMN())</f>
        <v/>
      </c>
      <c r="AE51" s="2136">
        <f>INDEX(MO_MA_RD_NONGAAP,0,COLUMN())</f>
        <v/>
      </c>
      <c r="AF51" s="2218">
        <f>INDEX(MO_MA_RD_NONGAAP,0,COLUMN())</f>
        <v/>
      </c>
      <c r="AG51" s="2218">
        <f>INDEX(MO_MA_RD_NONGAAP,0,COLUMN())</f>
        <v/>
      </c>
      <c r="AH51" s="2218">
        <f>INDEX(MO_MA_RD_NONGAAP,0,COLUMN())</f>
        <v/>
      </c>
      <c r="AI51" s="2218">
        <f>INDEX(MO_MA_RD_NONGAAP,0,COLUMN())</f>
        <v/>
      </c>
      <c r="AJ51" s="2136">
        <f>INDEX(MO_MA_RD_NONGAAP,0,COLUMN())</f>
        <v/>
      </c>
      <c r="AK51" s="2218">
        <f>INDEX(MO_MA_RD_NONGAAP,0,COLUMN())</f>
        <v/>
      </c>
      <c r="AL51" s="2218">
        <f>INDEX(MO_MA_RD_NONGAAP,0,COLUMN())</f>
        <v/>
      </c>
      <c r="AM51" s="2218">
        <f>INDEX(MO_MA_RD_NONGAAP,0,COLUMN())</f>
        <v/>
      </c>
      <c r="AN51" s="2218">
        <f>INDEX(MO_MA_RD_NONGAAP,0,COLUMN())</f>
        <v/>
      </c>
      <c r="AO51" s="2136">
        <f>INDEX(MO_MA_RD_NONGAAP,0,COLUMN())</f>
        <v/>
      </c>
      <c r="AP51" s="2218">
        <f>INDEX(MO_MA_RD_NONGAAP,0,COLUMN())</f>
        <v/>
      </c>
      <c r="AQ51" s="2218">
        <f>INDEX(MO_MA_RD_NONGAAP,0,COLUMN())</f>
        <v/>
      </c>
      <c r="AR51" s="2218">
        <f>INDEX(MO_MA_RD_NONGAAP,0,COLUMN())</f>
        <v/>
      </c>
      <c r="AS51" s="2218">
        <f>INDEX(MO_MA_RD_NONGAAP,0,COLUMN())</f>
        <v/>
      </c>
      <c r="AT51" s="2136">
        <f>INDEX(MO_MA_RD_NONGAAP,0,COLUMN())</f>
        <v/>
      </c>
      <c r="AU51" s="2218">
        <f>INDEX(MO_MA_RD_NONGAAP,0,COLUMN())</f>
        <v/>
      </c>
      <c r="AV51" s="2218">
        <f>INDEX(MO_MA_RD_NONGAAP,0,COLUMN())</f>
        <v/>
      </c>
      <c r="AW51" s="2218">
        <f>INDEX(MO_MA_RD_NONGAAP,0,COLUMN())</f>
        <v/>
      </c>
      <c r="AX51" s="2218">
        <f>INDEX(MO_MA_RD_NONGAAP,0,COLUMN())</f>
        <v/>
      </c>
      <c r="AY51" s="2136">
        <f>INDEX(MO_MA_RD_NONGAAP,0,COLUMN())</f>
        <v/>
      </c>
      <c r="AZ51" s="2218">
        <f>INDEX(MO_MA_RD_NONGAAP,0,COLUMN())</f>
        <v/>
      </c>
      <c r="BA51" s="2218">
        <f>INDEX(MO_MA_RD_NONGAAP,0,COLUMN())</f>
        <v/>
      </c>
      <c r="BB51" s="2218">
        <f>INDEX(MO_MA_RD_NONGAAP,0,COLUMN())</f>
        <v/>
      </c>
      <c r="BC51" s="2218">
        <f>INDEX(MO_MA_RD_NONGAAP,0,COLUMN())</f>
        <v/>
      </c>
      <c r="BD51" s="2136">
        <f>INDEX(MO_MA_RD_NONGAAP,0,COLUMN())</f>
        <v/>
      </c>
      <c r="BE51" s="2218">
        <f>INDEX(MO_MA_RD_NONGAAP,0,COLUMN())</f>
        <v/>
      </c>
      <c r="BF51" s="2218">
        <f>INDEX(MO_MA_RD_NONGAAP,0,COLUMN())</f>
        <v/>
      </c>
      <c r="BG51" s="2218">
        <f>INDEX(MO_MA_RD_NONGAAP,0,COLUMN())</f>
        <v/>
      </c>
      <c r="BH51" s="2218">
        <f>INDEX(MO_MA_RD_NONGAAP,0,COLUMN())</f>
        <v/>
      </c>
      <c r="BI51" s="2136">
        <f>INDEX(MO_MA_RD_NONGAAP,0,COLUMN())</f>
        <v/>
      </c>
      <c r="BJ51" s="2218">
        <f>INDEX(MO_MA_RD_NONGAAP,0,COLUMN())</f>
        <v/>
      </c>
      <c r="BK51" s="2218">
        <f>INDEX(MO_MA_RD_NONGAAP,0,COLUMN())</f>
        <v/>
      </c>
      <c r="BL51" s="2218">
        <f>INDEX(MO_MA_RD_NONGAAP,0,COLUMN())</f>
        <v/>
      </c>
      <c r="BM51" s="2218">
        <f>INDEX(MO_MA_RD_NONGAAP,0,COLUMN())</f>
        <v/>
      </c>
      <c r="BN51" s="2136">
        <f>INDEX(MO_MA_RD_NONGAAP,0,COLUMN())</f>
        <v/>
      </c>
      <c r="BO51" s="2218">
        <f>INDEX(MO_MA_RD_NONGAAP,0,COLUMN())</f>
        <v/>
      </c>
      <c r="BP51" s="2218">
        <f>INDEX(MO_MA_RD_NONGAAP,0,COLUMN())</f>
        <v/>
      </c>
      <c r="BQ51" s="2219">
        <f>INDEX(MO_MA_RD_NONGAAP,0,COLUMN())</f>
        <v/>
      </c>
      <c r="BR51" s="2218">
        <f>INDEX(MO_MA_RD_NONGAAP,0,COLUMN())</f>
        <v/>
      </c>
      <c r="BS51" s="2108">
        <f>INDEX(MO_MA_RD_NONGAAP,0,COLUMN())</f>
        <v/>
      </c>
      <c r="BT51" s="2218">
        <f>INDEX(MO_MA_RD_NONGAAP,0,COLUMN())</f>
        <v/>
      </c>
      <c r="BU51" s="2218">
        <f>INDEX(MO_MA_RD_NONGAAP,0,COLUMN())</f>
        <v/>
      </c>
      <c r="BV51" s="2218">
        <f>INDEX(MO_MA_RD_NONGAAP,0,COLUMN())</f>
        <v/>
      </c>
      <c r="BW51" s="2218">
        <f>INDEX(MO_MA_RD_NONGAAP,0,COLUMN())</f>
        <v/>
      </c>
      <c r="BX51" s="2108">
        <f>INDEX(MO_MA_RD_NONGAAP,0,COLUMN())</f>
        <v/>
      </c>
      <c r="BY51" s="2108">
        <f>INDEX(MO_MA_RD_NONGAAP,0,COLUMN())</f>
        <v/>
      </c>
      <c r="BZ51" s="2108">
        <f>INDEX(MO_MA_RD_NONGAAP,0,COLUMN())</f>
        <v/>
      </c>
      <c r="CA51" s="2108">
        <f>INDEX(MO_MA_RD_NONGAAP,0,COLUMN())</f>
        <v/>
      </c>
      <c r="CB51" s="2109" t="n"/>
    </row>
    <row r="52" ht="15" customFormat="1" customHeight="1" s="2165">
      <c r="A52" s="2106">
        <f>INDEX(MO_MA_GA_NONGAAP,0,COLUMN())</f>
        <v/>
      </c>
      <c r="B52" s="2216" t="n"/>
      <c r="C52" s="2136">
        <f>INDEX(MO_MA_GA_NONGAAP,0,COLUMN())</f>
        <v/>
      </c>
      <c r="D52" s="2136">
        <f>INDEX(MO_MA_GA_NONGAAP,0,COLUMN())</f>
        <v/>
      </c>
      <c r="E52" s="2136">
        <f>INDEX(MO_MA_GA_NONGAAP,0,COLUMN())</f>
        <v/>
      </c>
      <c r="F52" s="2136">
        <f>INDEX(MO_MA_GA_NONGAAP,0,COLUMN())</f>
        <v/>
      </c>
      <c r="G52" s="2218">
        <f>INDEX(MO_MA_GA_NONGAAP,0,COLUMN())</f>
        <v/>
      </c>
      <c r="H52" s="2218">
        <f>INDEX(MO_MA_GA_NONGAAP,0,COLUMN())</f>
        <v/>
      </c>
      <c r="I52" s="2218">
        <f>INDEX(MO_MA_GA_NONGAAP,0,COLUMN())</f>
        <v/>
      </c>
      <c r="J52" s="2218">
        <f>INDEX(MO_MA_GA_NONGAAP,0,COLUMN())</f>
        <v/>
      </c>
      <c r="K52" s="2136">
        <f>INDEX(MO_MA_GA_NONGAAP,0,COLUMN())</f>
        <v/>
      </c>
      <c r="L52" s="2218">
        <f>INDEX(MO_MA_GA_NONGAAP,0,COLUMN())</f>
        <v/>
      </c>
      <c r="M52" s="2218">
        <f>INDEX(MO_MA_GA_NONGAAP,0,COLUMN())</f>
        <v/>
      </c>
      <c r="N52" s="2218">
        <f>INDEX(MO_MA_GA_NONGAAP,0,COLUMN())</f>
        <v/>
      </c>
      <c r="O52" s="2218">
        <f>INDEX(MO_MA_GA_NONGAAP,0,COLUMN())</f>
        <v/>
      </c>
      <c r="P52" s="2136">
        <f>INDEX(MO_MA_GA_NONGAAP,0,COLUMN())</f>
        <v/>
      </c>
      <c r="Q52" s="2218">
        <f>INDEX(MO_MA_GA_NONGAAP,0,COLUMN())</f>
        <v/>
      </c>
      <c r="R52" s="2218">
        <f>INDEX(MO_MA_GA_NONGAAP,0,COLUMN())</f>
        <v/>
      </c>
      <c r="S52" s="2218">
        <f>INDEX(MO_MA_GA_NONGAAP,0,COLUMN())</f>
        <v/>
      </c>
      <c r="T52" s="2218">
        <f>INDEX(MO_MA_GA_NONGAAP,0,COLUMN())</f>
        <v/>
      </c>
      <c r="U52" s="2136">
        <f>INDEX(MO_MA_GA_NONGAAP,0,COLUMN())</f>
        <v/>
      </c>
      <c r="V52" s="2218">
        <f>INDEX(MO_MA_GA_NONGAAP,0,COLUMN())</f>
        <v/>
      </c>
      <c r="W52" s="2218">
        <f>INDEX(MO_MA_GA_NONGAAP,0,COLUMN())</f>
        <v/>
      </c>
      <c r="X52" s="2218">
        <f>INDEX(MO_MA_GA_NONGAAP,0,COLUMN())</f>
        <v/>
      </c>
      <c r="Y52" s="2218">
        <f>INDEX(MO_MA_GA_NONGAAP,0,COLUMN())</f>
        <v/>
      </c>
      <c r="Z52" s="2136">
        <f>INDEX(MO_MA_GA_NONGAAP,0,COLUMN())</f>
        <v/>
      </c>
      <c r="AA52" s="2218">
        <f>INDEX(MO_MA_GA_NONGAAP,0,COLUMN())</f>
        <v/>
      </c>
      <c r="AB52" s="2218">
        <f>INDEX(MO_MA_GA_NONGAAP,0,COLUMN())</f>
        <v/>
      </c>
      <c r="AC52" s="2218">
        <f>INDEX(MO_MA_GA_NONGAAP,0,COLUMN())</f>
        <v/>
      </c>
      <c r="AD52" s="2218">
        <f>INDEX(MO_MA_GA_NONGAAP,0,COLUMN())</f>
        <v/>
      </c>
      <c r="AE52" s="2136">
        <f>INDEX(MO_MA_GA_NONGAAP,0,COLUMN())</f>
        <v/>
      </c>
      <c r="AF52" s="2218">
        <f>INDEX(MO_MA_GA_NONGAAP,0,COLUMN())</f>
        <v/>
      </c>
      <c r="AG52" s="2218">
        <f>INDEX(MO_MA_GA_NONGAAP,0,COLUMN())</f>
        <v/>
      </c>
      <c r="AH52" s="2218">
        <f>INDEX(MO_MA_GA_NONGAAP,0,COLUMN())</f>
        <v/>
      </c>
      <c r="AI52" s="2218">
        <f>INDEX(MO_MA_GA_NONGAAP,0,COLUMN())</f>
        <v/>
      </c>
      <c r="AJ52" s="2136">
        <f>INDEX(MO_MA_GA_NONGAAP,0,COLUMN())</f>
        <v/>
      </c>
      <c r="AK52" s="2218">
        <f>INDEX(MO_MA_GA_NONGAAP,0,COLUMN())</f>
        <v/>
      </c>
      <c r="AL52" s="2218">
        <f>INDEX(MO_MA_GA_NONGAAP,0,COLUMN())</f>
        <v/>
      </c>
      <c r="AM52" s="2218">
        <f>INDEX(MO_MA_GA_NONGAAP,0,COLUMN())</f>
        <v/>
      </c>
      <c r="AN52" s="2218">
        <f>INDEX(MO_MA_GA_NONGAAP,0,COLUMN())</f>
        <v/>
      </c>
      <c r="AO52" s="2136">
        <f>INDEX(MO_MA_GA_NONGAAP,0,COLUMN())</f>
        <v/>
      </c>
      <c r="AP52" s="2218">
        <f>INDEX(MO_MA_GA_NONGAAP,0,COLUMN())</f>
        <v/>
      </c>
      <c r="AQ52" s="2218">
        <f>INDEX(MO_MA_GA_NONGAAP,0,COLUMN())</f>
        <v/>
      </c>
      <c r="AR52" s="2218">
        <f>INDEX(MO_MA_GA_NONGAAP,0,COLUMN())</f>
        <v/>
      </c>
      <c r="AS52" s="2218">
        <f>INDEX(MO_MA_GA_NONGAAP,0,COLUMN())</f>
        <v/>
      </c>
      <c r="AT52" s="2136">
        <f>INDEX(MO_MA_GA_NONGAAP,0,COLUMN())</f>
        <v/>
      </c>
      <c r="AU52" s="2218">
        <f>INDEX(MO_MA_GA_NONGAAP,0,COLUMN())</f>
        <v/>
      </c>
      <c r="AV52" s="2218">
        <f>INDEX(MO_MA_GA_NONGAAP,0,COLUMN())</f>
        <v/>
      </c>
      <c r="AW52" s="2218">
        <f>INDEX(MO_MA_GA_NONGAAP,0,COLUMN())</f>
        <v/>
      </c>
      <c r="AX52" s="2218">
        <f>INDEX(MO_MA_GA_NONGAAP,0,COLUMN())</f>
        <v/>
      </c>
      <c r="AY52" s="2136">
        <f>INDEX(MO_MA_GA_NONGAAP,0,COLUMN())</f>
        <v/>
      </c>
      <c r="AZ52" s="2218">
        <f>INDEX(MO_MA_GA_NONGAAP,0,COLUMN())</f>
        <v/>
      </c>
      <c r="BA52" s="2218">
        <f>INDEX(MO_MA_GA_NONGAAP,0,COLUMN())</f>
        <v/>
      </c>
      <c r="BB52" s="2218">
        <f>INDEX(MO_MA_GA_NONGAAP,0,COLUMN())</f>
        <v/>
      </c>
      <c r="BC52" s="2218">
        <f>INDEX(MO_MA_GA_NONGAAP,0,COLUMN())</f>
        <v/>
      </c>
      <c r="BD52" s="2136">
        <f>INDEX(MO_MA_GA_NONGAAP,0,COLUMN())</f>
        <v/>
      </c>
      <c r="BE52" s="2218">
        <f>INDEX(MO_MA_GA_NONGAAP,0,COLUMN())</f>
        <v/>
      </c>
      <c r="BF52" s="2218">
        <f>INDEX(MO_MA_GA_NONGAAP,0,COLUMN())</f>
        <v/>
      </c>
      <c r="BG52" s="2218">
        <f>INDEX(MO_MA_GA_NONGAAP,0,COLUMN())</f>
        <v/>
      </c>
      <c r="BH52" s="2218">
        <f>INDEX(MO_MA_GA_NONGAAP,0,COLUMN())</f>
        <v/>
      </c>
      <c r="BI52" s="2136">
        <f>INDEX(MO_MA_GA_NONGAAP,0,COLUMN())</f>
        <v/>
      </c>
      <c r="BJ52" s="2218">
        <f>INDEX(MO_MA_GA_NONGAAP,0,COLUMN())</f>
        <v/>
      </c>
      <c r="BK52" s="2218">
        <f>INDEX(MO_MA_GA_NONGAAP,0,COLUMN())</f>
        <v/>
      </c>
      <c r="BL52" s="2218">
        <f>INDEX(MO_MA_GA_NONGAAP,0,COLUMN())</f>
        <v/>
      </c>
      <c r="BM52" s="2218">
        <f>INDEX(MO_MA_GA_NONGAAP,0,COLUMN())</f>
        <v/>
      </c>
      <c r="BN52" s="2136">
        <f>INDEX(MO_MA_GA_NONGAAP,0,COLUMN())</f>
        <v/>
      </c>
      <c r="BO52" s="2218">
        <f>INDEX(MO_MA_GA_NONGAAP,0,COLUMN())</f>
        <v/>
      </c>
      <c r="BP52" s="2218">
        <f>INDEX(MO_MA_GA_NONGAAP,0,COLUMN())</f>
        <v/>
      </c>
      <c r="BQ52" s="2219">
        <f>INDEX(MO_MA_GA_NONGAAP,0,COLUMN())</f>
        <v/>
      </c>
      <c r="BR52" s="2218">
        <f>INDEX(MO_MA_GA_NONGAAP,0,COLUMN())</f>
        <v/>
      </c>
      <c r="BS52" s="2108">
        <f>INDEX(MO_MA_GA_NONGAAP,0,COLUMN())</f>
        <v/>
      </c>
      <c r="BT52" s="2218">
        <f>INDEX(MO_MA_GA_NONGAAP,0,COLUMN())</f>
        <v/>
      </c>
      <c r="BU52" s="2218">
        <f>INDEX(MO_MA_GA_NONGAAP,0,COLUMN())</f>
        <v/>
      </c>
      <c r="BV52" s="2218">
        <f>INDEX(MO_MA_GA_NONGAAP,0,COLUMN())</f>
        <v/>
      </c>
      <c r="BW52" s="2218">
        <f>INDEX(MO_MA_GA_NONGAAP,0,COLUMN())</f>
        <v/>
      </c>
      <c r="BX52" s="2108">
        <f>INDEX(MO_MA_GA_NONGAAP,0,COLUMN())</f>
        <v/>
      </c>
      <c r="BY52" s="2108">
        <f>INDEX(MO_MA_GA_NONGAAP,0,COLUMN())</f>
        <v/>
      </c>
      <c r="BZ52" s="2108">
        <f>INDEX(MO_MA_GA_NONGAAP,0,COLUMN())</f>
        <v/>
      </c>
      <c r="CA52" s="2108">
        <f>INDEX(MO_MA_GA_NONGAAP,0,COLUMN())</f>
        <v/>
      </c>
      <c r="CB52" s="2109" t="n"/>
    </row>
    <row r="53" ht="15" customFormat="1" customHeight="1" s="2165">
      <c r="A53" s="2220">
        <f>INDEX(MO_MA_SM_NONGAAP,0,COLUMN())</f>
        <v/>
      </c>
      <c r="B53" s="2221" t="n"/>
      <c r="C53" s="2222">
        <f>INDEX(MO_MA_SM_NONGAAP,0,COLUMN())</f>
        <v/>
      </c>
      <c r="D53" s="2222">
        <f>INDEX(MO_MA_SM_NONGAAP,0,COLUMN())</f>
        <v/>
      </c>
      <c r="E53" s="2222">
        <f>INDEX(MO_MA_SM_NONGAAP,0,COLUMN())</f>
        <v/>
      </c>
      <c r="F53" s="2222">
        <f>INDEX(MO_MA_SM_NONGAAP,0,COLUMN())</f>
        <v/>
      </c>
      <c r="G53" s="2223">
        <f>INDEX(MO_MA_SM_NONGAAP,0,COLUMN())</f>
        <v/>
      </c>
      <c r="H53" s="2223">
        <f>INDEX(MO_MA_SM_NONGAAP,0,COLUMN())</f>
        <v/>
      </c>
      <c r="I53" s="2223">
        <f>INDEX(MO_MA_SM_NONGAAP,0,COLUMN())</f>
        <v/>
      </c>
      <c r="J53" s="2223">
        <f>INDEX(MO_MA_SM_NONGAAP,0,COLUMN())</f>
        <v/>
      </c>
      <c r="K53" s="2222">
        <f>INDEX(MO_MA_SM_NONGAAP,0,COLUMN())</f>
        <v/>
      </c>
      <c r="L53" s="2223">
        <f>INDEX(MO_MA_SM_NONGAAP,0,COLUMN())</f>
        <v/>
      </c>
      <c r="M53" s="2223">
        <f>INDEX(MO_MA_SM_NONGAAP,0,COLUMN())</f>
        <v/>
      </c>
      <c r="N53" s="2223">
        <f>INDEX(MO_MA_SM_NONGAAP,0,COLUMN())</f>
        <v/>
      </c>
      <c r="O53" s="2223">
        <f>INDEX(MO_MA_SM_NONGAAP,0,COLUMN())</f>
        <v/>
      </c>
      <c r="P53" s="2222">
        <f>INDEX(MO_MA_SM_NONGAAP,0,COLUMN())</f>
        <v/>
      </c>
      <c r="Q53" s="2223">
        <f>INDEX(MO_MA_SM_NONGAAP,0,COLUMN())</f>
        <v/>
      </c>
      <c r="R53" s="2223">
        <f>INDEX(MO_MA_SM_NONGAAP,0,COLUMN())</f>
        <v/>
      </c>
      <c r="S53" s="2223">
        <f>INDEX(MO_MA_SM_NONGAAP,0,COLUMN())</f>
        <v/>
      </c>
      <c r="T53" s="2223">
        <f>INDEX(MO_MA_SM_NONGAAP,0,COLUMN())</f>
        <v/>
      </c>
      <c r="U53" s="2222">
        <f>INDEX(MO_MA_SM_NONGAAP,0,COLUMN())</f>
        <v/>
      </c>
      <c r="V53" s="2223">
        <f>INDEX(MO_MA_SM_NONGAAP,0,COLUMN())</f>
        <v/>
      </c>
      <c r="W53" s="2223">
        <f>INDEX(MO_MA_SM_NONGAAP,0,COLUMN())</f>
        <v/>
      </c>
      <c r="X53" s="2223">
        <f>INDEX(MO_MA_SM_NONGAAP,0,COLUMN())</f>
        <v/>
      </c>
      <c r="Y53" s="2223">
        <f>INDEX(MO_MA_SM_NONGAAP,0,COLUMN())</f>
        <v/>
      </c>
      <c r="Z53" s="2222">
        <f>INDEX(MO_MA_SM_NONGAAP,0,COLUMN())</f>
        <v/>
      </c>
      <c r="AA53" s="2223">
        <f>INDEX(MO_MA_SM_NONGAAP,0,COLUMN())</f>
        <v/>
      </c>
      <c r="AB53" s="2223">
        <f>INDEX(MO_MA_SM_NONGAAP,0,COLUMN())</f>
        <v/>
      </c>
      <c r="AC53" s="2223">
        <f>INDEX(MO_MA_SM_NONGAAP,0,COLUMN())</f>
        <v/>
      </c>
      <c r="AD53" s="2223">
        <f>INDEX(MO_MA_SM_NONGAAP,0,COLUMN())</f>
        <v/>
      </c>
      <c r="AE53" s="2222">
        <f>INDEX(MO_MA_SM_NONGAAP,0,COLUMN())</f>
        <v/>
      </c>
      <c r="AF53" s="2223">
        <f>INDEX(MO_MA_SM_NONGAAP,0,COLUMN())</f>
        <v/>
      </c>
      <c r="AG53" s="2223">
        <f>INDEX(MO_MA_SM_NONGAAP,0,COLUMN())</f>
        <v/>
      </c>
      <c r="AH53" s="2223">
        <f>INDEX(MO_MA_SM_NONGAAP,0,COLUMN())</f>
        <v/>
      </c>
      <c r="AI53" s="2223">
        <f>INDEX(MO_MA_SM_NONGAAP,0,COLUMN())</f>
        <v/>
      </c>
      <c r="AJ53" s="2222">
        <f>INDEX(MO_MA_SM_NONGAAP,0,COLUMN())</f>
        <v/>
      </c>
      <c r="AK53" s="2223">
        <f>INDEX(MO_MA_SM_NONGAAP,0,COLUMN())</f>
        <v/>
      </c>
      <c r="AL53" s="2223">
        <f>INDEX(MO_MA_SM_NONGAAP,0,COLUMN())</f>
        <v/>
      </c>
      <c r="AM53" s="2223">
        <f>INDEX(MO_MA_SM_NONGAAP,0,COLUMN())</f>
        <v/>
      </c>
      <c r="AN53" s="2223">
        <f>INDEX(MO_MA_SM_NONGAAP,0,COLUMN())</f>
        <v/>
      </c>
      <c r="AO53" s="2222">
        <f>INDEX(MO_MA_SM_NONGAAP,0,COLUMN())</f>
        <v/>
      </c>
      <c r="AP53" s="2223">
        <f>INDEX(MO_MA_SM_NONGAAP,0,COLUMN())</f>
        <v/>
      </c>
      <c r="AQ53" s="2223">
        <f>INDEX(MO_MA_SM_NONGAAP,0,COLUMN())</f>
        <v/>
      </c>
      <c r="AR53" s="2223">
        <f>INDEX(MO_MA_SM_NONGAAP,0,COLUMN())</f>
        <v/>
      </c>
      <c r="AS53" s="2223">
        <f>INDEX(MO_MA_SM_NONGAAP,0,COLUMN())</f>
        <v/>
      </c>
      <c r="AT53" s="2222">
        <f>INDEX(MO_MA_SM_NONGAAP,0,COLUMN())</f>
        <v/>
      </c>
      <c r="AU53" s="2223">
        <f>INDEX(MO_MA_SM_NONGAAP,0,COLUMN())</f>
        <v/>
      </c>
      <c r="AV53" s="2223">
        <f>INDEX(MO_MA_SM_NONGAAP,0,COLUMN())</f>
        <v/>
      </c>
      <c r="AW53" s="2223">
        <f>INDEX(MO_MA_SM_NONGAAP,0,COLUMN())</f>
        <v/>
      </c>
      <c r="AX53" s="2223">
        <f>INDEX(MO_MA_SM_NONGAAP,0,COLUMN())</f>
        <v/>
      </c>
      <c r="AY53" s="2222">
        <f>INDEX(MO_MA_SM_NONGAAP,0,COLUMN())</f>
        <v/>
      </c>
      <c r="AZ53" s="2223">
        <f>INDEX(MO_MA_SM_NONGAAP,0,COLUMN())</f>
        <v/>
      </c>
      <c r="BA53" s="2223">
        <f>INDEX(MO_MA_SM_NONGAAP,0,COLUMN())</f>
        <v/>
      </c>
      <c r="BB53" s="2223">
        <f>INDEX(MO_MA_SM_NONGAAP,0,COLUMN())</f>
        <v/>
      </c>
      <c r="BC53" s="2223">
        <f>INDEX(MO_MA_SM_NONGAAP,0,COLUMN())</f>
        <v/>
      </c>
      <c r="BD53" s="2222">
        <f>INDEX(MO_MA_SM_NONGAAP,0,COLUMN())</f>
        <v/>
      </c>
      <c r="BE53" s="2223">
        <f>INDEX(MO_MA_SM_NONGAAP,0,COLUMN())</f>
        <v/>
      </c>
      <c r="BF53" s="2223">
        <f>INDEX(MO_MA_SM_NONGAAP,0,COLUMN())</f>
        <v/>
      </c>
      <c r="BG53" s="2223">
        <f>INDEX(MO_MA_SM_NONGAAP,0,COLUMN())</f>
        <v/>
      </c>
      <c r="BH53" s="2223">
        <f>INDEX(MO_MA_SM_NONGAAP,0,COLUMN())</f>
        <v/>
      </c>
      <c r="BI53" s="2222">
        <f>INDEX(MO_MA_SM_NONGAAP,0,COLUMN())</f>
        <v/>
      </c>
      <c r="BJ53" s="2223">
        <f>INDEX(MO_MA_SM_NONGAAP,0,COLUMN())</f>
        <v/>
      </c>
      <c r="BK53" s="2223">
        <f>INDEX(MO_MA_SM_NONGAAP,0,COLUMN())</f>
        <v/>
      </c>
      <c r="BL53" s="2223">
        <f>INDEX(MO_MA_SM_NONGAAP,0,COLUMN())</f>
        <v/>
      </c>
      <c r="BM53" s="2223">
        <f>INDEX(MO_MA_SM_NONGAAP,0,COLUMN())</f>
        <v/>
      </c>
      <c r="BN53" s="2222">
        <f>INDEX(MO_MA_SM_NONGAAP,0,COLUMN())</f>
        <v/>
      </c>
      <c r="BO53" s="2223">
        <f>INDEX(MO_MA_SM_NONGAAP,0,COLUMN())</f>
        <v/>
      </c>
      <c r="BP53" s="2223">
        <f>INDEX(MO_MA_SM_NONGAAP,0,COLUMN())</f>
        <v/>
      </c>
      <c r="BQ53" s="2224">
        <f>INDEX(MO_MA_SM_NONGAAP,0,COLUMN())</f>
        <v/>
      </c>
      <c r="BR53" s="2223">
        <f>INDEX(MO_MA_SM_NONGAAP,0,COLUMN())</f>
        <v/>
      </c>
      <c r="BS53" s="2225">
        <f>INDEX(MO_MA_SM_NONGAAP,0,COLUMN())</f>
        <v/>
      </c>
      <c r="BT53" s="2223">
        <f>INDEX(MO_MA_SM_NONGAAP,0,COLUMN())</f>
        <v/>
      </c>
      <c r="BU53" s="2223">
        <f>INDEX(MO_MA_SM_NONGAAP,0,COLUMN())</f>
        <v/>
      </c>
      <c r="BV53" s="2223">
        <f>INDEX(MO_MA_SM_NONGAAP,0,COLUMN())</f>
        <v/>
      </c>
      <c r="BW53" s="2223">
        <f>INDEX(MO_MA_SM_NONGAAP,0,COLUMN())</f>
        <v/>
      </c>
      <c r="BX53" s="2225">
        <f>INDEX(MO_MA_SM_NONGAAP,0,COLUMN())</f>
        <v/>
      </c>
      <c r="BY53" s="2225">
        <f>INDEX(MO_MA_SM_NONGAAP,0,COLUMN())</f>
        <v/>
      </c>
      <c r="BZ53" s="2225">
        <f>INDEX(MO_MA_SM_NONGAAP,0,COLUMN())</f>
        <v/>
      </c>
      <c r="CA53" s="2225">
        <f>INDEX(MO_MA_SM_NONGAAP,0,COLUMN())</f>
        <v/>
      </c>
      <c r="CB53" s="2109" t="n"/>
    </row>
    <row r="54" ht="15" customFormat="1" customHeight="1" s="2105">
      <c r="A54" s="2226">
        <f>INDEX(MO_MA_OperatingIncome_NONGAAP,0,COLUMN())</f>
        <v/>
      </c>
      <c r="B54" s="2227" t="n"/>
      <c r="C54" s="2228">
        <f>INDEX(MO_MA_OperatingIncome_NONGAAP,0,COLUMN())</f>
        <v/>
      </c>
      <c r="D54" s="2228">
        <f>INDEX(MO_MA_OperatingIncome_NONGAAP,0,COLUMN())</f>
        <v/>
      </c>
      <c r="E54" s="2228">
        <f>INDEX(MO_MA_OperatingIncome_NONGAAP,0,COLUMN())</f>
        <v/>
      </c>
      <c r="F54" s="2228">
        <f>INDEX(MO_MA_OperatingIncome_NONGAAP,0,COLUMN())</f>
        <v/>
      </c>
      <c r="G54" s="2229">
        <f>INDEX(MO_MA_OperatingIncome_NONGAAP,0,COLUMN())</f>
        <v/>
      </c>
      <c r="H54" s="2229">
        <f>INDEX(MO_MA_OperatingIncome_NONGAAP,0,COLUMN())</f>
        <v/>
      </c>
      <c r="I54" s="2229">
        <f>INDEX(MO_MA_OperatingIncome_NONGAAP,0,COLUMN())</f>
        <v/>
      </c>
      <c r="J54" s="2229">
        <f>INDEX(MO_MA_OperatingIncome_NONGAAP,0,COLUMN())</f>
        <v/>
      </c>
      <c r="K54" s="2228">
        <f>INDEX(MO_MA_OperatingIncome_NONGAAP,0,COLUMN())</f>
        <v/>
      </c>
      <c r="L54" s="2229">
        <f>INDEX(MO_MA_OperatingIncome_NONGAAP,0,COLUMN())</f>
        <v/>
      </c>
      <c r="M54" s="2229">
        <f>INDEX(MO_MA_OperatingIncome_NONGAAP,0,COLUMN())</f>
        <v/>
      </c>
      <c r="N54" s="2229">
        <f>INDEX(MO_MA_OperatingIncome_NONGAAP,0,COLUMN())</f>
        <v/>
      </c>
      <c r="O54" s="2229">
        <f>INDEX(MO_MA_OperatingIncome_NONGAAP,0,COLUMN())</f>
        <v/>
      </c>
      <c r="P54" s="2228">
        <f>INDEX(MO_MA_OperatingIncome_NONGAAP,0,COLUMN())</f>
        <v/>
      </c>
      <c r="Q54" s="2229">
        <f>INDEX(MO_MA_OperatingIncome_NONGAAP,0,COLUMN())</f>
        <v/>
      </c>
      <c r="R54" s="2229">
        <f>INDEX(MO_MA_OperatingIncome_NONGAAP,0,COLUMN())</f>
        <v/>
      </c>
      <c r="S54" s="2229">
        <f>INDEX(MO_MA_OperatingIncome_NONGAAP,0,COLUMN())</f>
        <v/>
      </c>
      <c r="T54" s="2229">
        <f>INDEX(MO_MA_OperatingIncome_NONGAAP,0,COLUMN())</f>
        <v/>
      </c>
      <c r="U54" s="2228">
        <f>INDEX(MO_MA_OperatingIncome_NONGAAP,0,COLUMN())</f>
        <v/>
      </c>
      <c r="V54" s="2229">
        <f>INDEX(MO_MA_OperatingIncome_NONGAAP,0,COLUMN())</f>
        <v/>
      </c>
      <c r="W54" s="2229">
        <f>INDEX(MO_MA_OperatingIncome_NONGAAP,0,COLUMN())</f>
        <v/>
      </c>
      <c r="X54" s="2229">
        <f>INDEX(MO_MA_OperatingIncome_NONGAAP,0,COLUMN())</f>
        <v/>
      </c>
      <c r="Y54" s="2229">
        <f>INDEX(MO_MA_OperatingIncome_NONGAAP,0,COLUMN())</f>
        <v/>
      </c>
      <c r="Z54" s="2228">
        <f>INDEX(MO_MA_OperatingIncome_NONGAAP,0,COLUMN())</f>
        <v/>
      </c>
      <c r="AA54" s="2229">
        <f>INDEX(MO_MA_OperatingIncome_NONGAAP,0,COLUMN())</f>
        <v/>
      </c>
      <c r="AB54" s="2229">
        <f>INDEX(MO_MA_OperatingIncome_NONGAAP,0,COLUMN())</f>
        <v/>
      </c>
      <c r="AC54" s="2229">
        <f>INDEX(MO_MA_OperatingIncome_NONGAAP,0,COLUMN())</f>
        <v/>
      </c>
      <c r="AD54" s="2229">
        <f>INDEX(MO_MA_OperatingIncome_NONGAAP,0,COLUMN())</f>
        <v/>
      </c>
      <c r="AE54" s="2228">
        <f>INDEX(MO_MA_OperatingIncome_NONGAAP,0,COLUMN())</f>
        <v/>
      </c>
      <c r="AF54" s="2229">
        <f>INDEX(MO_MA_OperatingIncome_NONGAAP,0,COLUMN())</f>
        <v/>
      </c>
      <c r="AG54" s="2229">
        <f>INDEX(MO_MA_OperatingIncome_NONGAAP,0,COLUMN())</f>
        <v/>
      </c>
      <c r="AH54" s="2229">
        <f>INDEX(MO_MA_OperatingIncome_NONGAAP,0,COLUMN())</f>
        <v/>
      </c>
      <c r="AI54" s="2229">
        <f>INDEX(MO_MA_OperatingIncome_NONGAAP,0,COLUMN())</f>
        <v/>
      </c>
      <c r="AJ54" s="2228">
        <f>INDEX(MO_MA_OperatingIncome_NONGAAP,0,COLUMN())</f>
        <v/>
      </c>
      <c r="AK54" s="2229">
        <f>INDEX(MO_MA_OperatingIncome_NONGAAP,0,COLUMN())</f>
        <v/>
      </c>
      <c r="AL54" s="2229">
        <f>INDEX(MO_MA_OperatingIncome_NONGAAP,0,COLUMN())</f>
        <v/>
      </c>
      <c r="AM54" s="2229">
        <f>INDEX(MO_MA_OperatingIncome_NONGAAP,0,COLUMN())</f>
        <v/>
      </c>
      <c r="AN54" s="2229">
        <f>INDEX(MO_MA_OperatingIncome_NONGAAP,0,COLUMN())</f>
        <v/>
      </c>
      <c r="AO54" s="2228">
        <f>INDEX(MO_MA_OperatingIncome_NONGAAP,0,COLUMN())</f>
        <v/>
      </c>
      <c r="AP54" s="2229">
        <f>INDEX(MO_MA_OperatingIncome_NONGAAP,0,COLUMN())</f>
        <v/>
      </c>
      <c r="AQ54" s="2229">
        <f>INDEX(MO_MA_OperatingIncome_NONGAAP,0,COLUMN())</f>
        <v/>
      </c>
      <c r="AR54" s="2229">
        <f>INDEX(MO_MA_OperatingIncome_NONGAAP,0,COLUMN())</f>
        <v/>
      </c>
      <c r="AS54" s="2229">
        <f>INDEX(MO_MA_OperatingIncome_NONGAAP,0,COLUMN())</f>
        <v/>
      </c>
      <c r="AT54" s="2228">
        <f>INDEX(MO_MA_OperatingIncome_NONGAAP,0,COLUMN())</f>
        <v/>
      </c>
      <c r="AU54" s="2229">
        <f>INDEX(MO_MA_OperatingIncome_NONGAAP,0,COLUMN())</f>
        <v/>
      </c>
      <c r="AV54" s="2229">
        <f>INDEX(MO_MA_OperatingIncome_NONGAAP,0,COLUMN())</f>
        <v/>
      </c>
      <c r="AW54" s="2229">
        <f>INDEX(MO_MA_OperatingIncome_NONGAAP,0,COLUMN())</f>
        <v/>
      </c>
      <c r="AX54" s="2229">
        <f>INDEX(MO_MA_OperatingIncome_NONGAAP,0,COLUMN())</f>
        <v/>
      </c>
      <c r="AY54" s="2228">
        <f>INDEX(MO_MA_OperatingIncome_NONGAAP,0,COLUMN())</f>
        <v/>
      </c>
      <c r="AZ54" s="2229">
        <f>INDEX(MO_MA_OperatingIncome_NONGAAP,0,COLUMN())</f>
        <v/>
      </c>
      <c r="BA54" s="2229">
        <f>INDEX(MO_MA_OperatingIncome_NONGAAP,0,COLUMN())</f>
        <v/>
      </c>
      <c r="BB54" s="2229">
        <f>INDEX(MO_MA_OperatingIncome_NONGAAP,0,COLUMN())</f>
        <v/>
      </c>
      <c r="BC54" s="2229">
        <f>INDEX(MO_MA_OperatingIncome_NONGAAP,0,COLUMN())</f>
        <v/>
      </c>
      <c r="BD54" s="2228">
        <f>INDEX(MO_MA_OperatingIncome_NONGAAP,0,COLUMN())</f>
        <v/>
      </c>
      <c r="BE54" s="2229">
        <f>INDEX(MO_MA_OperatingIncome_NONGAAP,0,COLUMN())</f>
        <v/>
      </c>
      <c r="BF54" s="2229">
        <f>INDEX(MO_MA_OperatingIncome_NONGAAP,0,COLUMN())</f>
        <v/>
      </c>
      <c r="BG54" s="2229">
        <f>INDEX(MO_MA_OperatingIncome_NONGAAP,0,COLUMN())</f>
        <v/>
      </c>
      <c r="BH54" s="2229">
        <f>INDEX(MO_MA_OperatingIncome_NONGAAP,0,COLUMN())</f>
        <v/>
      </c>
      <c r="BI54" s="2228">
        <f>INDEX(MO_MA_OperatingIncome_NONGAAP,0,COLUMN())</f>
        <v/>
      </c>
      <c r="BJ54" s="2229">
        <f>INDEX(MO_MA_OperatingIncome_NONGAAP,0,COLUMN())</f>
        <v/>
      </c>
      <c r="BK54" s="2229">
        <f>INDEX(MO_MA_OperatingIncome_NONGAAP,0,COLUMN())</f>
        <v/>
      </c>
      <c r="BL54" s="2229">
        <f>INDEX(MO_MA_OperatingIncome_NONGAAP,0,COLUMN())</f>
        <v/>
      </c>
      <c r="BM54" s="2229">
        <f>INDEX(MO_MA_OperatingIncome_NONGAAP,0,COLUMN())</f>
        <v/>
      </c>
      <c r="BN54" s="2228">
        <f>INDEX(MO_MA_OperatingIncome_NONGAAP,0,COLUMN())</f>
        <v/>
      </c>
      <c r="BO54" s="2229">
        <f>INDEX(MO_MA_OperatingIncome_NONGAAP,0,COLUMN())</f>
        <v/>
      </c>
      <c r="BP54" s="2229">
        <f>INDEX(MO_MA_OperatingIncome_NONGAAP,0,COLUMN())</f>
        <v/>
      </c>
      <c r="BQ54" s="2230">
        <f>INDEX(MO_MA_OperatingIncome_NONGAAP,0,COLUMN())</f>
        <v/>
      </c>
      <c r="BR54" s="2229">
        <f>INDEX(MO_MA_OperatingIncome_NONGAAP,0,COLUMN())</f>
        <v/>
      </c>
      <c r="BS54" s="2228">
        <f>INDEX(MO_MA_OperatingIncome_NONGAAP,0,COLUMN())</f>
        <v/>
      </c>
      <c r="BT54" s="2229">
        <f>INDEX(MO_MA_OperatingIncome_NONGAAP,0,COLUMN())</f>
        <v/>
      </c>
      <c r="BU54" s="2229">
        <f>INDEX(MO_MA_OperatingIncome_NONGAAP,0,COLUMN())</f>
        <v/>
      </c>
      <c r="BV54" s="2229">
        <f>INDEX(MO_MA_OperatingIncome_NONGAAP,0,COLUMN())</f>
        <v/>
      </c>
      <c r="BW54" s="2229">
        <f>INDEX(MO_MA_OperatingIncome_NONGAAP,0,COLUMN())</f>
        <v/>
      </c>
      <c r="BX54" s="2228">
        <f>INDEX(MO_MA_OperatingIncome_NONGAAP,0,COLUMN())</f>
        <v/>
      </c>
      <c r="BY54" s="2228">
        <f>INDEX(MO_MA_OperatingIncome_NONGAAP,0,COLUMN())</f>
        <v/>
      </c>
      <c r="BZ54" s="2228">
        <f>INDEX(MO_MA_OperatingIncome_NONGAAP,0,COLUMN())</f>
        <v/>
      </c>
      <c r="CA54" s="2228">
        <f>INDEX(MO_MA_OperatingIncome_NONGAAP,0,COLUMN())</f>
        <v/>
      </c>
      <c r="CB54" s="2111" t="n"/>
    </row>
    <row r="55" ht="15" customFormat="1" customHeight="1" s="2105">
      <c r="A55" s="2226">
        <f>INDEX(MO_MA_OperatingIncome,0,COLUMN())</f>
        <v/>
      </c>
      <c r="B55" s="2227" t="n"/>
      <c r="C55" s="2228">
        <f>INDEX(MO_MA_OperatingIncome,0,COLUMN())</f>
        <v/>
      </c>
      <c r="D55" s="2228">
        <f>INDEX(MO_MA_OperatingIncome,0,COLUMN())</f>
        <v/>
      </c>
      <c r="E55" s="2228">
        <f>INDEX(MO_MA_OperatingIncome,0,COLUMN())</f>
        <v/>
      </c>
      <c r="F55" s="2228">
        <f>INDEX(MO_MA_OperatingIncome,0,COLUMN())</f>
        <v/>
      </c>
      <c r="G55" s="2229">
        <f>INDEX(MO_MA_OperatingIncome,0,COLUMN())</f>
        <v/>
      </c>
      <c r="H55" s="2229">
        <f>INDEX(MO_MA_OperatingIncome,0,COLUMN())</f>
        <v/>
      </c>
      <c r="I55" s="2229">
        <f>INDEX(MO_MA_OperatingIncome,0,COLUMN())</f>
        <v/>
      </c>
      <c r="J55" s="2229">
        <f>INDEX(MO_MA_OperatingIncome,0,COLUMN())</f>
        <v/>
      </c>
      <c r="K55" s="2228">
        <f>INDEX(MO_MA_OperatingIncome,0,COLUMN())</f>
        <v/>
      </c>
      <c r="L55" s="2229">
        <f>INDEX(MO_MA_OperatingIncome,0,COLUMN())</f>
        <v/>
      </c>
      <c r="M55" s="2229">
        <f>INDEX(MO_MA_OperatingIncome,0,COLUMN())</f>
        <v/>
      </c>
      <c r="N55" s="2229">
        <f>INDEX(MO_MA_OperatingIncome,0,COLUMN())</f>
        <v/>
      </c>
      <c r="O55" s="2229">
        <f>INDEX(MO_MA_OperatingIncome,0,COLUMN())</f>
        <v/>
      </c>
      <c r="P55" s="2228">
        <f>INDEX(MO_MA_OperatingIncome,0,COLUMN())</f>
        <v/>
      </c>
      <c r="Q55" s="2229">
        <f>INDEX(MO_MA_OperatingIncome,0,COLUMN())</f>
        <v/>
      </c>
      <c r="R55" s="2229">
        <f>INDEX(MO_MA_OperatingIncome,0,COLUMN())</f>
        <v/>
      </c>
      <c r="S55" s="2229">
        <f>INDEX(MO_MA_OperatingIncome,0,COLUMN())</f>
        <v/>
      </c>
      <c r="T55" s="2229">
        <f>INDEX(MO_MA_OperatingIncome,0,COLUMN())</f>
        <v/>
      </c>
      <c r="U55" s="2228">
        <f>INDEX(MO_MA_OperatingIncome,0,COLUMN())</f>
        <v/>
      </c>
      <c r="V55" s="2229">
        <f>INDEX(MO_MA_OperatingIncome,0,COLUMN())</f>
        <v/>
      </c>
      <c r="W55" s="2229">
        <f>INDEX(MO_MA_OperatingIncome,0,COLUMN())</f>
        <v/>
      </c>
      <c r="X55" s="2229">
        <f>INDEX(MO_MA_OperatingIncome,0,COLUMN())</f>
        <v/>
      </c>
      <c r="Y55" s="2229">
        <f>INDEX(MO_MA_OperatingIncome,0,COLUMN())</f>
        <v/>
      </c>
      <c r="Z55" s="2228">
        <f>INDEX(MO_MA_OperatingIncome,0,COLUMN())</f>
        <v/>
      </c>
      <c r="AA55" s="2229">
        <f>INDEX(MO_MA_OperatingIncome,0,COLUMN())</f>
        <v/>
      </c>
      <c r="AB55" s="2229">
        <f>INDEX(MO_MA_OperatingIncome,0,COLUMN())</f>
        <v/>
      </c>
      <c r="AC55" s="2229">
        <f>INDEX(MO_MA_OperatingIncome,0,COLUMN())</f>
        <v/>
      </c>
      <c r="AD55" s="2229">
        <f>INDEX(MO_MA_OperatingIncome,0,COLUMN())</f>
        <v/>
      </c>
      <c r="AE55" s="2228">
        <f>INDEX(MO_MA_OperatingIncome,0,COLUMN())</f>
        <v/>
      </c>
      <c r="AF55" s="2229">
        <f>INDEX(MO_MA_OperatingIncome,0,COLUMN())</f>
        <v/>
      </c>
      <c r="AG55" s="2229">
        <f>INDEX(MO_MA_OperatingIncome,0,COLUMN())</f>
        <v/>
      </c>
      <c r="AH55" s="2229">
        <f>INDEX(MO_MA_OperatingIncome,0,COLUMN())</f>
        <v/>
      </c>
      <c r="AI55" s="2229">
        <f>INDEX(MO_MA_OperatingIncome,0,COLUMN())</f>
        <v/>
      </c>
      <c r="AJ55" s="2228">
        <f>INDEX(MO_MA_OperatingIncome,0,COLUMN())</f>
        <v/>
      </c>
      <c r="AK55" s="2229">
        <f>INDEX(MO_MA_OperatingIncome,0,COLUMN())</f>
        <v/>
      </c>
      <c r="AL55" s="2229">
        <f>INDEX(MO_MA_OperatingIncome,0,COLUMN())</f>
        <v/>
      </c>
      <c r="AM55" s="2229">
        <f>INDEX(MO_MA_OperatingIncome,0,COLUMN())</f>
        <v/>
      </c>
      <c r="AN55" s="2229">
        <f>INDEX(MO_MA_OperatingIncome,0,COLUMN())</f>
        <v/>
      </c>
      <c r="AO55" s="2228">
        <f>INDEX(MO_MA_OperatingIncome,0,COLUMN())</f>
        <v/>
      </c>
      <c r="AP55" s="2229">
        <f>INDEX(MO_MA_OperatingIncome,0,COLUMN())</f>
        <v/>
      </c>
      <c r="AQ55" s="2229">
        <f>INDEX(MO_MA_OperatingIncome,0,COLUMN())</f>
        <v/>
      </c>
      <c r="AR55" s="2229">
        <f>INDEX(MO_MA_OperatingIncome,0,COLUMN())</f>
        <v/>
      </c>
      <c r="AS55" s="2229">
        <f>INDEX(MO_MA_OperatingIncome,0,COLUMN())</f>
        <v/>
      </c>
      <c r="AT55" s="2228">
        <f>INDEX(MO_MA_OperatingIncome,0,COLUMN())</f>
        <v/>
      </c>
      <c r="AU55" s="2229">
        <f>INDEX(MO_MA_OperatingIncome,0,COLUMN())</f>
        <v/>
      </c>
      <c r="AV55" s="2229">
        <f>INDEX(MO_MA_OperatingIncome,0,COLUMN())</f>
        <v/>
      </c>
      <c r="AW55" s="2229">
        <f>INDEX(MO_MA_OperatingIncome,0,COLUMN())</f>
        <v/>
      </c>
      <c r="AX55" s="2229">
        <f>INDEX(MO_MA_OperatingIncome,0,COLUMN())</f>
        <v/>
      </c>
      <c r="AY55" s="2228">
        <f>INDEX(MO_MA_OperatingIncome,0,COLUMN())</f>
        <v/>
      </c>
      <c r="AZ55" s="2229">
        <f>INDEX(MO_MA_OperatingIncome,0,COLUMN())</f>
        <v/>
      </c>
      <c r="BA55" s="2229">
        <f>INDEX(MO_MA_OperatingIncome,0,COLUMN())</f>
        <v/>
      </c>
      <c r="BB55" s="2229">
        <f>INDEX(MO_MA_OperatingIncome,0,COLUMN())</f>
        <v/>
      </c>
      <c r="BC55" s="2229">
        <f>INDEX(MO_MA_OperatingIncome,0,COLUMN())</f>
        <v/>
      </c>
      <c r="BD55" s="2228">
        <f>INDEX(MO_MA_OperatingIncome,0,COLUMN())</f>
        <v/>
      </c>
      <c r="BE55" s="2229">
        <f>INDEX(MO_MA_OperatingIncome,0,COLUMN())</f>
        <v/>
      </c>
      <c r="BF55" s="2229">
        <f>INDEX(MO_MA_OperatingIncome,0,COLUMN())</f>
        <v/>
      </c>
      <c r="BG55" s="2229">
        <f>INDEX(MO_MA_OperatingIncome,0,COLUMN())</f>
        <v/>
      </c>
      <c r="BH55" s="2229">
        <f>INDEX(MO_MA_OperatingIncome,0,COLUMN())</f>
        <v/>
      </c>
      <c r="BI55" s="2228">
        <f>INDEX(MO_MA_OperatingIncome,0,COLUMN())</f>
        <v/>
      </c>
      <c r="BJ55" s="2229">
        <f>INDEX(MO_MA_OperatingIncome,0,COLUMN())</f>
        <v/>
      </c>
      <c r="BK55" s="2229">
        <f>INDEX(MO_MA_OperatingIncome,0,COLUMN())</f>
        <v/>
      </c>
      <c r="BL55" s="2229">
        <f>INDEX(MO_MA_OperatingIncome,0,COLUMN())</f>
        <v/>
      </c>
      <c r="BM55" s="2229">
        <f>INDEX(MO_MA_OperatingIncome,0,COLUMN())</f>
        <v/>
      </c>
      <c r="BN55" s="2228">
        <f>INDEX(MO_MA_OperatingIncome,0,COLUMN())</f>
        <v/>
      </c>
      <c r="BO55" s="2229">
        <f>INDEX(MO_MA_OperatingIncome,0,COLUMN())</f>
        <v/>
      </c>
      <c r="BP55" s="2229">
        <f>INDEX(MO_MA_OperatingIncome,0,COLUMN())</f>
        <v/>
      </c>
      <c r="BQ55" s="2230">
        <f>INDEX(MO_MA_OperatingIncome,0,COLUMN())</f>
        <v/>
      </c>
      <c r="BR55" s="2229">
        <f>INDEX(MO_MA_OperatingIncome,0,COLUMN())</f>
        <v/>
      </c>
      <c r="BS55" s="2228">
        <f>INDEX(MO_MA_OperatingIncome,0,COLUMN())</f>
        <v/>
      </c>
      <c r="BT55" s="2229">
        <f>INDEX(MO_MA_OperatingIncome,0,COLUMN())</f>
        <v/>
      </c>
      <c r="BU55" s="2229">
        <f>INDEX(MO_MA_OperatingIncome,0,COLUMN())</f>
        <v/>
      </c>
      <c r="BV55" s="2229">
        <f>INDEX(MO_MA_OperatingIncome,0,COLUMN())</f>
        <v/>
      </c>
      <c r="BW55" s="2229">
        <f>INDEX(MO_MA_OperatingIncome,0,COLUMN())</f>
        <v/>
      </c>
      <c r="BX55" s="2228">
        <f>INDEX(MO_MA_OperatingIncome,0,COLUMN())</f>
        <v/>
      </c>
      <c r="BY55" s="2228">
        <f>INDEX(MO_MA_OperatingIncome,0,COLUMN())</f>
        <v/>
      </c>
      <c r="BZ55" s="2228">
        <f>INDEX(MO_MA_OperatingIncome,0,COLUMN())</f>
        <v/>
      </c>
      <c r="CA55" s="2228">
        <f>INDEX(MO_MA_OperatingIncome,0,COLUMN())</f>
        <v/>
      </c>
      <c r="CB55" s="2111" t="n"/>
    </row>
    <row r="56" ht="15" customHeight="1" s="972">
      <c r="A56" s="2209" t="n"/>
      <c r="B56" s="2199" t="n"/>
      <c r="C56" s="2090" t="n"/>
      <c r="D56" s="2090" t="n"/>
      <c r="E56" s="2090" t="n"/>
      <c r="F56" s="2090" t="n"/>
      <c r="G56" s="2089" t="n"/>
      <c r="H56" s="2089" t="n"/>
      <c r="I56" s="2089" t="n"/>
      <c r="J56" s="2089" t="n"/>
      <c r="K56" s="2090" t="n"/>
      <c r="L56" s="2089" t="n"/>
      <c r="M56" s="2089" t="n"/>
      <c r="N56" s="2089" t="n"/>
      <c r="O56" s="2089" t="n"/>
      <c r="P56" s="2090" t="n"/>
      <c r="Q56" s="2089" t="n"/>
      <c r="R56" s="2089" t="n"/>
      <c r="S56" s="2089" t="n"/>
      <c r="T56" s="2089" t="n"/>
      <c r="U56" s="2090" t="n"/>
      <c r="V56" s="2089" t="n"/>
      <c r="W56" s="2089" t="n"/>
      <c r="X56" s="2089" t="n"/>
      <c r="Y56" s="2089" t="n"/>
      <c r="Z56" s="2090" t="n"/>
      <c r="AA56" s="2089" t="n"/>
      <c r="AB56" s="2089" t="n"/>
      <c r="AC56" s="2089" t="n"/>
      <c r="AD56" s="2089" t="n"/>
      <c r="AE56" s="2090" t="n"/>
      <c r="AF56" s="2089" t="n"/>
      <c r="AG56" s="2089" t="n"/>
      <c r="AH56" s="2089" t="n"/>
      <c r="AI56" s="2089" t="n"/>
      <c r="AJ56" s="2090" t="n"/>
      <c r="AK56" s="2089" t="n"/>
      <c r="AL56" s="2089" t="n"/>
      <c r="AM56" s="2089" t="n"/>
      <c r="AN56" s="2089" t="n"/>
      <c r="AO56" s="2090" t="n"/>
      <c r="AP56" s="2089" t="n"/>
      <c r="AQ56" s="2089" t="n"/>
      <c r="AR56" s="2089" t="n"/>
      <c r="AS56" s="2089" t="n"/>
      <c r="AT56" s="2090" t="n"/>
      <c r="AU56" s="2089" t="n"/>
      <c r="AV56" s="2089" t="n"/>
      <c r="AW56" s="2089" t="n"/>
      <c r="AX56" s="2089" t="n"/>
      <c r="AY56" s="2090" t="n"/>
      <c r="AZ56" s="2089" t="n"/>
      <c r="BA56" s="2089" t="n"/>
      <c r="BB56" s="2089" t="n"/>
      <c r="BC56" s="2089" t="n"/>
      <c r="BD56" s="2090" t="n"/>
      <c r="BE56" s="2089" t="n"/>
      <c r="BF56" s="2089" t="n"/>
      <c r="BG56" s="2089" t="n"/>
      <c r="BH56" s="2089" t="n"/>
      <c r="BI56" s="2090" t="n"/>
      <c r="BJ56" s="2089" t="n"/>
      <c r="BK56" s="2089" t="n"/>
      <c r="BL56" s="2089" t="n"/>
      <c r="BM56" s="2089" t="n"/>
      <c r="BN56" s="2090" t="n"/>
      <c r="BO56" s="2089" t="n"/>
      <c r="BP56" s="2089" t="n"/>
      <c r="BQ56" s="2100" t="n"/>
      <c r="BR56" s="2089" t="n"/>
      <c r="BS56" s="2090" t="n"/>
      <c r="BT56" s="2089" t="n"/>
      <c r="BU56" s="2089" t="n"/>
      <c r="BV56" s="2089" t="n"/>
      <c r="BW56" s="2089" t="n"/>
      <c r="BX56" s="2090" t="n"/>
      <c r="BY56" s="2090" t="n"/>
      <c r="BZ56" s="2090" t="n"/>
      <c r="CA56" s="2090" t="n"/>
      <c r="CB56" s="2089" t="n"/>
    </row>
    <row r="57" ht="15" customHeight="1" s="972">
      <c r="A57" s="2083" t="inlineStr">
        <is>
          <t>Cash Flow Analysis</t>
        </is>
      </c>
      <c r="B57" s="2206" t="n"/>
      <c r="C57" s="2206" t="n"/>
      <c r="D57" s="2206" t="n"/>
      <c r="E57" s="2206" t="n"/>
      <c r="F57" s="2206" t="n"/>
      <c r="G57" s="2206" t="n"/>
      <c r="H57" s="2206" t="n"/>
      <c r="I57" s="2206" t="n"/>
      <c r="J57" s="2206" t="n"/>
      <c r="K57" s="2206" t="n"/>
      <c r="L57" s="2206" t="n"/>
      <c r="M57" s="2206" t="n"/>
      <c r="N57" s="2206" t="n"/>
      <c r="O57" s="2206" t="n"/>
      <c r="P57" s="2206" t="n"/>
      <c r="Q57" s="2206" t="n"/>
      <c r="R57" s="2206" t="n"/>
      <c r="S57" s="2206" t="n"/>
      <c r="T57" s="2206" t="n"/>
      <c r="U57" s="2206" t="n"/>
      <c r="V57" s="2206" t="n"/>
      <c r="W57" s="2206" t="n"/>
      <c r="X57" s="2206" t="n"/>
      <c r="Y57" s="2206" t="n"/>
      <c r="Z57" s="2206" t="n"/>
      <c r="AA57" s="2206" t="n"/>
      <c r="AB57" s="2206" t="n"/>
      <c r="AC57" s="2206" t="n"/>
      <c r="AD57" s="2206" t="n"/>
      <c r="AE57" s="2206" t="n"/>
      <c r="AF57" s="2206" t="n"/>
      <c r="AG57" s="2206" t="n"/>
      <c r="AH57" s="2206" t="n"/>
      <c r="AI57" s="2206" t="n"/>
      <c r="AJ57" s="2206" t="n"/>
      <c r="AK57" s="2206" t="n"/>
      <c r="AL57" s="2206" t="n"/>
      <c r="AM57" s="2206" t="n"/>
      <c r="AN57" s="2206" t="n"/>
      <c r="AO57" s="2206" t="n"/>
      <c r="AP57" s="2206" t="n"/>
      <c r="AQ57" s="2206" t="n"/>
      <c r="AR57" s="2206" t="n"/>
      <c r="AS57" s="2206" t="n"/>
      <c r="AT57" s="2206" t="n"/>
      <c r="AU57" s="2206" t="n"/>
      <c r="AV57" s="2206" t="n"/>
      <c r="AW57" s="2206" t="n"/>
      <c r="AX57" s="2206" t="n"/>
      <c r="AY57" s="2206" t="n"/>
      <c r="AZ57" s="2206" t="n"/>
      <c r="BA57" s="2206" t="n"/>
      <c r="BB57" s="2206" t="n"/>
      <c r="BC57" s="2206" t="n"/>
      <c r="BD57" s="2206" t="n"/>
      <c r="BE57" s="2206" t="n"/>
      <c r="BF57" s="2206" t="n"/>
      <c r="BG57" s="2206" t="n"/>
      <c r="BH57" s="2206" t="n"/>
      <c r="BI57" s="2206" t="n"/>
      <c r="BJ57" s="2206" t="n"/>
      <c r="BK57" s="2206" t="n"/>
      <c r="BL57" s="2206" t="n"/>
      <c r="BM57" s="2206" t="n"/>
      <c r="BN57" s="2206" t="n"/>
      <c r="BO57" s="2206" t="n"/>
      <c r="BP57" s="2206" t="n"/>
      <c r="BQ57" s="2207" t="n"/>
      <c r="BR57" s="2206" t="n"/>
      <c r="BS57" s="2206" t="n"/>
      <c r="BT57" s="2206" t="n"/>
      <c r="BU57" s="2206" t="n"/>
      <c r="BV57" s="2206" t="n"/>
      <c r="BW57" s="2206" t="n"/>
      <c r="BX57" s="2206" t="n"/>
      <c r="BY57" s="2206" t="n"/>
      <c r="BZ57" s="2206" t="n"/>
      <c r="CA57" s="2206" t="n"/>
      <c r="CB57" s="2072" t="n"/>
    </row>
    <row r="58" hidden="1" outlineLevel="1" ht="15" customFormat="1" customHeight="1" s="2082">
      <c r="A58" s="1596">
        <f>INDEX(MO_CFSum_CFO_BeforeWC,0,COLUMN())</f>
        <v/>
      </c>
      <c r="B58" s="2199" t="n"/>
      <c r="C58" s="2090">
        <f>INDEX(MO_CFSum_CFO_BeforeWC,0,COLUMN())</f>
        <v/>
      </c>
      <c r="D58" s="2090">
        <f>INDEX(MO_CFSum_CFO_BeforeWC,0,COLUMN())</f>
        <v/>
      </c>
      <c r="E58" s="2090">
        <f>INDEX(MO_CFSum_CFO_BeforeWC,0,COLUMN())</f>
        <v/>
      </c>
      <c r="F58" s="2090">
        <f>INDEX(MO_CFSum_CFO_BeforeWC,0,COLUMN())</f>
        <v/>
      </c>
      <c r="G58" s="2089">
        <f>INDEX(MO_CFSum_CFO_BeforeWC,0,COLUMN())</f>
        <v/>
      </c>
      <c r="H58" s="2089">
        <f>INDEX(MO_CFSum_CFO_BeforeWC,0,COLUMN())</f>
        <v/>
      </c>
      <c r="I58" s="2089">
        <f>INDEX(MO_CFSum_CFO_BeforeWC,0,COLUMN())</f>
        <v/>
      </c>
      <c r="J58" s="2089">
        <f>INDEX(MO_CFSum_CFO_BeforeWC,0,COLUMN())</f>
        <v/>
      </c>
      <c r="K58" s="2090">
        <f>INDEX(MO_CFSum_CFO_BeforeWC,0,COLUMN())</f>
        <v/>
      </c>
      <c r="L58" s="2089">
        <f>INDEX(MO_CFSum_CFO_BeforeWC,0,COLUMN())</f>
        <v/>
      </c>
      <c r="M58" s="2089">
        <f>INDEX(MO_CFSum_CFO_BeforeWC,0,COLUMN())</f>
        <v/>
      </c>
      <c r="N58" s="2089">
        <f>INDEX(MO_CFSum_CFO_BeforeWC,0,COLUMN())</f>
        <v/>
      </c>
      <c r="O58" s="2089">
        <f>INDEX(MO_CFSum_CFO_BeforeWC,0,COLUMN())</f>
        <v/>
      </c>
      <c r="P58" s="2090">
        <f>INDEX(MO_CFSum_CFO_BeforeWC,0,COLUMN())</f>
        <v/>
      </c>
      <c r="Q58" s="2089">
        <f>INDEX(MO_CFSum_CFO_BeforeWC,0,COLUMN())</f>
        <v/>
      </c>
      <c r="R58" s="2089">
        <f>INDEX(MO_CFSum_CFO_BeforeWC,0,COLUMN())</f>
        <v/>
      </c>
      <c r="S58" s="2089">
        <f>INDEX(MO_CFSum_CFO_BeforeWC,0,COLUMN())</f>
        <v/>
      </c>
      <c r="T58" s="2089">
        <f>INDEX(MO_CFSum_CFO_BeforeWC,0,COLUMN())</f>
        <v/>
      </c>
      <c r="U58" s="2090">
        <f>INDEX(MO_CFSum_CFO_BeforeWC,0,COLUMN())</f>
        <v/>
      </c>
      <c r="V58" s="2089">
        <f>INDEX(MO_CFSum_CFO_BeforeWC,0,COLUMN())</f>
        <v/>
      </c>
      <c r="W58" s="2089">
        <f>INDEX(MO_CFSum_CFO_BeforeWC,0,COLUMN())</f>
        <v/>
      </c>
      <c r="X58" s="2089">
        <f>INDEX(MO_CFSum_CFO_BeforeWC,0,COLUMN())</f>
        <v/>
      </c>
      <c r="Y58" s="2089">
        <f>INDEX(MO_CFSum_CFO_BeforeWC,0,COLUMN())</f>
        <v/>
      </c>
      <c r="Z58" s="2090">
        <f>INDEX(MO_CFSum_CFO_BeforeWC,0,COLUMN())</f>
        <v/>
      </c>
      <c r="AA58" s="2089">
        <f>INDEX(MO_CFSum_CFO_BeforeWC,0,COLUMN())</f>
        <v/>
      </c>
      <c r="AB58" s="2089">
        <f>INDEX(MO_CFSum_CFO_BeforeWC,0,COLUMN())</f>
        <v/>
      </c>
      <c r="AC58" s="2089">
        <f>INDEX(MO_CFSum_CFO_BeforeWC,0,COLUMN())</f>
        <v/>
      </c>
      <c r="AD58" s="2089">
        <f>INDEX(MO_CFSum_CFO_BeforeWC,0,COLUMN())</f>
        <v/>
      </c>
      <c r="AE58" s="2090">
        <f>INDEX(MO_CFSum_CFO_BeforeWC,0,COLUMN())</f>
        <v/>
      </c>
      <c r="AF58" s="2089">
        <f>INDEX(MO_CFSum_CFO_BeforeWC,0,COLUMN())</f>
        <v/>
      </c>
      <c r="AG58" s="2089">
        <f>INDEX(MO_CFSum_CFO_BeforeWC,0,COLUMN())</f>
        <v/>
      </c>
      <c r="AH58" s="2089">
        <f>INDEX(MO_CFSum_CFO_BeforeWC,0,COLUMN())</f>
        <v/>
      </c>
      <c r="AI58" s="2089">
        <f>INDEX(MO_CFSum_CFO_BeforeWC,0,COLUMN())</f>
        <v/>
      </c>
      <c r="AJ58" s="2090">
        <f>INDEX(MO_CFSum_CFO_BeforeWC,0,COLUMN())</f>
        <v/>
      </c>
      <c r="AK58" s="2089">
        <f>INDEX(MO_CFSum_CFO_BeforeWC,0,COLUMN())</f>
        <v/>
      </c>
      <c r="AL58" s="2089">
        <f>INDEX(MO_CFSum_CFO_BeforeWC,0,COLUMN())</f>
        <v/>
      </c>
      <c r="AM58" s="2089">
        <f>INDEX(MO_CFSum_CFO_BeforeWC,0,COLUMN())</f>
        <v/>
      </c>
      <c r="AN58" s="2089">
        <f>INDEX(MO_CFSum_CFO_BeforeWC,0,COLUMN())</f>
        <v/>
      </c>
      <c r="AO58" s="2090">
        <f>INDEX(MO_CFSum_CFO_BeforeWC,0,COLUMN())</f>
        <v/>
      </c>
      <c r="AP58" s="2089">
        <f>INDEX(MO_CFSum_CFO_BeforeWC,0,COLUMN())</f>
        <v/>
      </c>
      <c r="AQ58" s="2089">
        <f>INDEX(MO_CFSum_CFO_BeforeWC,0,COLUMN())</f>
        <v/>
      </c>
      <c r="AR58" s="2089">
        <f>INDEX(MO_CFSum_CFO_BeforeWC,0,COLUMN())</f>
        <v/>
      </c>
      <c r="AS58" s="2089">
        <f>INDEX(MO_CFSum_CFO_BeforeWC,0,COLUMN())</f>
        <v/>
      </c>
      <c r="AT58" s="2090">
        <f>INDEX(MO_CFSum_CFO_BeforeWC,0,COLUMN())</f>
        <v/>
      </c>
      <c r="AU58" s="2089">
        <f>INDEX(MO_CFSum_CFO_BeforeWC,0,COLUMN())</f>
        <v/>
      </c>
      <c r="AV58" s="2089">
        <f>INDEX(MO_CFSum_CFO_BeforeWC,0,COLUMN())</f>
        <v/>
      </c>
      <c r="AW58" s="2089">
        <f>INDEX(MO_CFSum_CFO_BeforeWC,0,COLUMN())</f>
        <v/>
      </c>
      <c r="AX58" s="2089">
        <f>INDEX(MO_CFSum_CFO_BeforeWC,0,COLUMN())</f>
        <v/>
      </c>
      <c r="AY58" s="2090">
        <f>INDEX(MO_CFSum_CFO_BeforeWC,0,COLUMN())</f>
        <v/>
      </c>
      <c r="AZ58" s="2089">
        <f>INDEX(MO_CFSum_CFO_BeforeWC,0,COLUMN())</f>
        <v/>
      </c>
      <c r="BA58" s="2089">
        <f>INDEX(MO_CFSum_CFO_BeforeWC,0,COLUMN())</f>
        <v/>
      </c>
      <c r="BB58" s="2089">
        <f>INDEX(MO_CFSum_CFO_BeforeWC,0,COLUMN())</f>
        <v/>
      </c>
      <c r="BC58" s="2089">
        <f>INDEX(MO_CFSum_CFO_BeforeWC,0,COLUMN())</f>
        <v/>
      </c>
      <c r="BD58" s="2090">
        <f>INDEX(MO_CFSum_CFO_BeforeWC,0,COLUMN())</f>
        <v/>
      </c>
      <c r="BE58" s="2089">
        <f>INDEX(MO_CFSum_CFO_BeforeWC,0,COLUMN())</f>
        <v/>
      </c>
      <c r="BF58" s="2089">
        <f>INDEX(MO_CFSum_CFO_BeforeWC,0,COLUMN())</f>
        <v/>
      </c>
      <c r="BG58" s="2089">
        <f>INDEX(MO_CFSum_CFO_BeforeWC,0,COLUMN())</f>
        <v/>
      </c>
      <c r="BH58" s="2089">
        <f>INDEX(MO_CFSum_CFO_BeforeWC,0,COLUMN())</f>
        <v/>
      </c>
      <c r="BI58" s="2090">
        <f>INDEX(MO_CFSum_CFO_BeforeWC,0,COLUMN())</f>
        <v/>
      </c>
      <c r="BJ58" s="2089">
        <f>INDEX(MO_CFSum_CFO_BeforeWC,0,COLUMN())</f>
        <v/>
      </c>
      <c r="BK58" s="2089">
        <f>INDEX(MO_CFSum_CFO_BeforeWC,0,COLUMN())</f>
        <v/>
      </c>
      <c r="BL58" s="2089">
        <f>INDEX(MO_CFSum_CFO_BeforeWC,0,COLUMN())</f>
        <v/>
      </c>
      <c r="BM58" s="2089">
        <f>INDEX(MO_CFSum_CFO_BeforeWC,0,COLUMN())</f>
        <v/>
      </c>
      <c r="BN58" s="2090">
        <f>INDEX(MO_CFSum_CFO_BeforeWC,0,COLUMN())</f>
        <v/>
      </c>
      <c r="BO58" s="2089">
        <f>INDEX(MO_CFSum_CFO_BeforeWC,0,COLUMN())</f>
        <v/>
      </c>
      <c r="BP58" s="2089">
        <f>INDEX(MO_CFSum_CFO_BeforeWC,0,COLUMN())</f>
        <v/>
      </c>
      <c r="BQ58" s="2100">
        <f>INDEX(MO_CFSum_CFO_BeforeWC,0,COLUMN())</f>
        <v/>
      </c>
      <c r="BR58" s="2089">
        <f>INDEX(MO_CFSum_CFO_BeforeWC,0,COLUMN())</f>
        <v/>
      </c>
      <c r="BS58" s="2090">
        <f>INDEX(MO_CFSum_CFO_BeforeWC,0,COLUMN())</f>
        <v/>
      </c>
      <c r="BT58" s="2089">
        <f>INDEX(MO_CFSum_CFO_BeforeWC,0,COLUMN())</f>
        <v/>
      </c>
      <c r="BU58" s="2089">
        <f>INDEX(MO_CFSum_CFO_BeforeWC,0,COLUMN())</f>
        <v/>
      </c>
      <c r="BV58" s="2089">
        <f>INDEX(MO_CFSum_CFO_BeforeWC,0,COLUMN())</f>
        <v/>
      </c>
      <c r="BW58" s="2089">
        <f>INDEX(MO_CFSum_CFO_BeforeWC,0,COLUMN())</f>
        <v/>
      </c>
      <c r="BX58" s="2090">
        <f>INDEX(MO_CFSum_CFO_BeforeWC,0,COLUMN())</f>
        <v/>
      </c>
      <c r="BY58" s="2090">
        <f>INDEX(MO_CFSum_CFO_BeforeWC,0,COLUMN())</f>
        <v/>
      </c>
      <c r="BZ58" s="2090">
        <f>INDEX(MO_CFSum_CFO_BeforeWC,0,COLUMN())</f>
        <v/>
      </c>
      <c r="CA58" s="2090">
        <f>INDEX(MO_CFSum_CFO_BeforeWC,0,COLUMN())</f>
        <v/>
      </c>
      <c r="CB58" s="2089" t="n"/>
    </row>
    <row r="59" hidden="1" outlineLevel="1" ht="15" customFormat="1" customHeight="1" s="2082">
      <c r="A59" s="1607" t="inlineStr">
        <is>
          <t>Change in WC</t>
        </is>
      </c>
      <c r="B59" s="2201" t="n"/>
      <c r="C59" s="2092">
        <f>SUM(OFFSET(INDEX(MO_CFS_CFO_BeforeWC,0,COLUMN()),1,0,ROW(INDEX(MO_CFS_CFO,0,COLUMN()))-ROW(INDEX(MO_CFS_CFO_BeforeWC,0,COLUMN()))-1,1))</f>
        <v/>
      </c>
      <c r="D59" s="2092">
        <f>SUM(OFFSET(INDEX(MO_CFS_CFO_BeforeWC,0,COLUMN()),1,0,ROW(INDEX(MO_CFS_CFO,0,COLUMN()))-ROW(INDEX(MO_CFS_CFO_BeforeWC,0,COLUMN()))-1,1))</f>
        <v/>
      </c>
      <c r="E59" s="2092">
        <f>SUM(OFFSET(INDEX(MO_CFS_CFO_BeforeWC,0,COLUMN()),1,0,ROW(INDEX(MO_CFS_CFO,0,COLUMN()))-ROW(INDEX(MO_CFS_CFO_BeforeWC,0,COLUMN()))-1,1))</f>
        <v/>
      </c>
      <c r="F59" s="2092">
        <f>SUM(OFFSET(INDEX(MO_CFS_CFO_BeforeWC,0,COLUMN()),1,0,ROW(INDEX(MO_CFS_CFO,0,COLUMN()))-ROW(INDEX(MO_CFS_CFO_BeforeWC,0,COLUMN()))-1,1))</f>
        <v/>
      </c>
      <c r="G59" s="2093">
        <f>SUM(OFFSET(INDEX(MO_CFS_CFO_BeforeWC,0,COLUMN()),1,0,ROW(INDEX(MO_CFS_CFO,0,COLUMN()))-ROW(INDEX(MO_CFS_CFO_BeforeWC,0,COLUMN()))-1,1))</f>
        <v/>
      </c>
      <c r="H59" s="2093">
        <f>SUM(OFFSET(INDEX(MO_CFS_CFO_BeforeWC,0,COLUMN()),1,0,ROW(INDEX(MO_CFS_CFO,0,COLUMN()))-ROW(INDEX(MO_CFS_CFO_BeforeWC,0,COLUMN()))-1,1))</f>
        <v/>
      </c>
      <c r="I59" s="2093">
        <f>SUM(OFFSET(INDEX(MO_CFS_CFO_BeforeWC,0,COLUMN()),1,0,ROW(INDEX(MO_CFS_CFO,0,COLUMN()))-ROW(INDEX(MO_CFS_CFO_BeforeWC,0,COLUMN()))-1,1))</f>
        <v/>
      </c>
      <c r="J59" s="2093">
        <f>SUM(OFFSET(INDEX(MO_CFS_CFO_BeforeWC,0,COLUMN()),1,0,ROW(INDEX(MO_CFS_CFO,0,COLUMN()))-ROW(INDEX(MO_CFS_CFO_BeforeWC,0,COLUMN()))-1,1))</f>
        <v/>
      </c>
      <c r="K59" s="2092">
        <f>SUM(OFFSET(INDEX(MO_CFS_CFO_BeforeWC,0,COLUMN()),1,0,ROW(INDEX(MO_CFS_CFO,0,COLUMN()))-ROW(INDEX(MO_CFS_CFO_BeforeWC,0,COLUMN()))-1,1))</f>
        <v/>
      </c>
      <c r="L59" s="2093">
        <f>SUM(OFFSET(INDEX(MO_CFS_CFO_BeforeWC,0,COLUMN()),1,0,ROW(INDEX(MO_CFS_CFO,0,COLUMN()))-ROW(INDEX(MO_CFS_CFO_BeforeWC,0,COLUMN()))-1,1))</f>
        <v/>
      </c>
      <c r="M59" s="2093">
        <f>SUM(OFFSET(INDEX(MO_CFS_CFO_BeforeWC,0,COLUMN()),1,0,ROW(INDEX(MO_CFS_CFO,0,COLUMN()))-ROW(INDEX(MO_CFS_CFO_BeforeWC,0,COLUMN()))-1,1))</f>
        <v/>
      </c>
      <c r="N59" s="2093">
        <f>SUM(OFFSET(INDEX(MO_CFS_CFO_BeforeWC,0,COLUMN()),1,0,ROW(INDEX(MO_CFS_CFO,0,COLUMN()))-ROW(INDEX(MO_CFS_CFO_BeforeWC,0,COLUMN()))-1,1))</f>
        <v/>
      </c>
      <c r="O59" s="2093">
        <f>SUM(OFFSET(INDEX(MO_CFS_CFO_BeforeWC,0,COLUMN()),1,0,ROW(INDEX(MO_CFS_CFO,0,COLUMN()))-ROW(INDEX(MO_CFS_CFO_BeforeWC,0,COLUMN()))-1,1))</f>
        <v/>
      </c>
      <c r="P59" s="2092">
        <f>SUM(OFFSET(INDEX(MO_CFS_CFO_BeforeWC,0,COLUMN()),1,0,ROW(INDEX(MO_CFS_CFO,0,COLUMN()))-ROW(INDEX(MO_CFS_CFO_BeforeWC,0,COLUMN()))-1,1))</f>
        <v/>
      </c>
      <c r="Q59" s="2093">
        <f>SUM(OFFSET(INDEX(MO_CFS_CFO_BeforeWC,0,COLUMN()),1,0,ROW(INDEX(MO_CFS_CFO,0,COLUMN()))-ROW(INDEX(MO_CFS_CFO_BeforeWC,0,COLUMN()))-1,1))</f>
        <v/>
      </c>
      <c r="R59" s="2093">
        <f>SUM(OFFSET(INDEX(MO_CFS_CFO_BeforeWC,0,COLUMN()),1,0,ROW(INDEX(MO_CFS_CFO,0,COLUMN()))-ROW(INDEX(MO_CFS_CFO_BeforeWC,0,COLUMN()))-1,1))</f>
        <v/>
      </c>
      <c r="S59" s="2093">
        <f>SUM(OFFSET(INDEX(MO_CFS_CFO_BeforeWC,0,COLUMN()),1,0,ROW(INDEX(MO_CFS_CFO,0,COLUMN()))-ROW(INDEX(MO_CFS_CFO_BeforeWC,0,COLUMN()))-1,1))</f>
        <v/>
      </c>
      <c r="T59" s="2093">
        <f>SUM(OFFSET(INDEX(MO_CFS_CFO_BeforeWC,0,COLUMN()),1,0,ROW(INDEX(MO_CFS_CFO,0,COLUMN()))-ROW(INDEX(MO_CFS_CFO_BeforeWC,0,COLUMN()))-1,1))</f>
        <v/>
      </c>
      <c r="U59" s="2092">
        <f>SUM(OFFSET(INDEX(MO_CFS_CFO_BeforeWC,0,COLUMN()),1,0,ROW(INDEX(MO_CFS_CFO,0,COLUMN()))-ROW(INDEX(MO_CFS_CFO_BeforeWC,0,COLUMN()))-1,1))</f>
        <v/>
      </c>
      <c r="V59" s="2093">
        <f>SUM(OFFSET(INDEX(MO_CFS_CFO_BeforeWC,0,COLUMN()),1,0,ROW(INDEX(MO_CFS_CFO,0,COLUMN()))-ROW(INDEX(MO_CFS_CFO_BeforeWC,0,COLUMN()))-1,1))</f>
        <v/>
      </c>
      <c r="W59" s="2093">
        <f>SUM(OFFSET(INDEX(MO_CFS_CFO_BeforeWC,0,COLUMN()),1,0,ROW(INDEX(MO_CFS_CFO,0,COLUMN()))-ROW(INDEX(MO_CFS_CFO_BeforeWC,0,COLUMN()))-1,1))</f>
        <v/>
      </c>
      <c r="X59" s="2093">
        <f>SUM(OFFSET(INDEX(MO_CFS_CFO_BeforeWC,0,COLUMN()),1,0,ROW(INDEX(MO_CFS_CFO,0,COLUMN()))-ROW(INDEX(MO_CFS_CFO_BeforeWC,0,COLUMN()))-1,1))</f>
        <v/>
      </c>
      <c r="Y59" s="2093">
        <f>SUM(OFFSET(INDEX(MO_CFS_CFO_BeforeWC,0,COLUMN()),1,0,ROW(INDEX(MO_CFS_CFO,0,COLUMN()))-ROW(INDEX(MO_CFS_CFO_BeforeWC,0,COLUMN()))-1,1))</f>
        <v/>
      </c>
      <c r="Z59" s="2092">
        <f>SUM(OFFSET(INDEX(MO_CFS_CFO_BeforeWC,0,COLUMN()),1,0,ROW(INDEX(MO_CFS_CFO,0,COLUMN()))-ROW(INDEX(MO_CFS_CFO_BeforeWC,0,COLUMN()))-1,1))</f>
        <v/>
      </c>
      <c r="AA59" s="2093">
        <f>SUM(OFFSET(INDEX(MO_CFS_CFO_BeforeWC,0,COLUMN()),1,0,ROW(INDEX(MO_CFS_CFO,0,COLUMN()))-ROW(INDEX(MO_CFS_CFO_BeforeWC,0,COLUMN()))-1,1))</f>
        <v/>
      </c>
      <c r="AB59" s="2093">
        <f>SUM(OFFSET(INDEX(MO_CFS_CFO_BeforeWC,0,COLUMN()),1,0,ROW(INDEX(MO_CFS_CFO,0,COLUMN()))-ROW(INDEX(MO_CFS_CFO_BeforeWC,0,COLUMN()))-1,1))</f>
        <v/>
      </c>
      <c r="AC59" s="2093">
        <f>SUM(OFFSET(INDEX(MO_CFS_CFO_BeforeWC,0,COLUMN()),1,0,ROW(INDEX(MO_CFS_CFO,0,COLUMN()))-ROW(INDEX(MO_CFS_CFO_BeforeWC,0,COLUMN()))-1,1))</f>
        <v/>
      </c>
      <c r="AD59" s="2093">
        <f>SUM(OFFSET(INDEX(MO_CFS_CFO_BeforeWC,0,COLUMN()),1,0,ROW(INDEX(MO_CFS_CFO,0,COLUMN()))-ROW(INDEX(MO_CFS_CFO_BeforeWC,0,COLUMN()))-1,1))</f>
        <v/>
      </c>
      <c r="AE59" s="2092">
        <f>SUM(OFFSET(INDEX(MO_CFS_CFO_BeforeWC,0,COLUMN()),1,0,ROW(INDEX(MO_CFS_CFO,0,COLUMN()))-ROW(INDEX(MO_CFS_CFO_BeforeWC,0,COLUMN()))-1,1))</f>
        <v/>
      </c>
      <c r="AF59" s="2093">
        <f>SUM(OFFSET(INDEX(MO_CFS_CFO_BeforeWC,0,COLUMN()),1,0,ROW(INDEX(MO_CFS_CFO,0,COLUMN()))-ROW(INDEX(MO_CFS_CFO_BeforeWC,0,COLUMN()))-1,1))</f>
        <v/>
      </c>
      <c r="AG59" s="2093">
        <f>SUM(OFFSET(INDEX(MO_CFS_CFO_BeforeWC,0,COLUMN()),1,0,ROW(INDEX(MO_CFS_CFO,0,COLUMN()))-ROW(INDEX(MO_CFS_CFO_BeforeWC,0,COLUMN()))-1,1))</f>
        <v/>
      </c>
      <c r="AH59" s="2093">
        <f>SUM(OFFSET(INDEX(MO_CFS_CFO_BeforeWC,0,COLUMN()),1,0,ROW(INDEX(MO_CFS_CFO,0,COLUMN()))-ROW(INDEX(MO_CFS_CFO_BeforeWC,0,COLUMN()))-1,1))</f>
        <v/>
      </c>
      <c r="AI59" s="2093">
        <f>SUM(OFFSET(INDEX(MO_CFS_CFO_BeforeWC,0,COLUMN()),1,0,ROW(INDEX(MO_CFS_CFO,0,COLUMN()))-ROW(INDEX(MO_CFS_CFO_BeforeWC,0,COLUMN()))-1,1))</f>
        <v/>
      </c>
      <c r="AJ59" s="2092">
        <f>SUM(OFFSET(INDEX(MO_CFS_CFO_BeforeWC,0,COLUMN()),1,0,ROW(INDEX(MO_CFS_CFO,0,COLUMN()))-ROW(INDEX(MO_CFS_CFO_BeforeWC,0,COLUMN()))-1,1))</f>
        <v/>
      </c>
      <c r="AK59" s="2093">
        <f>SUM(OFFSET(INDEX(MO_CFS_CFO_BeforeWC,0,COLUMN()),1,0,ROW(INDEX(MO_CFS_CFO,0,COLUMN()))-ROW(INDEX(MO_CFS_CFO_BeforeWC,0,COLUMN()))-1,1))</f>
        <v/>
      </c>
      <c r="AL59" s="2093">
        <f>SUM(OFFSET(INDEX(MO_CFS_CFO_BeforeWC,0,COLUMN()),1,0,ROW(INDEX(MO_CFS_CFO,0,COLUMN()))-ROW(INDEX(MO_CFS_CFO_BeforeWC,0,COLUMN()))-1,1))</f>
        <v/>
      </c>
      <c r="AM59" s="2093">
        <f>SUM(OFFSET(INDEX(MO_CFS_CFO_BeforeWC,0,COLUMN()),1,0,ROW(INDEX(MO_CFS_CFO,0,COLUMN()))-ROW(INDEX(MO_CFS_CFO_BeforeWC,0,COLUMN()))-1,1))</f>
        <v/>
      </c>
      <c r="AN59" s="2093">
        <f>SUM(OFFSET(INDEX(MO_CFS_CFO_BeforeWC,0,COLUMN()),1,0,ROW(INDEX(MO_CFS_CFO,0,COLUMN()))-ROW(INDEX(MO_CFS_CFO_BeforeWC,0,COLUMN()))-1,1))</f>
        <v/>
      </c>
      <c r="AO59" s="2092">
        <f>SUM(OFFSET(INDEX(MO_CFS_CFO_BeforeWC,0,COLUMN()),1,0,ROW(INDEX(MO_CFS_CFO,0,COLUMN()))-ROW(INDEX(MO_CFS_CFO_BeforeWC,0,COLUMN()))-1,1))</f>
        <v/>
      </c>
      <c r="AP59" s="2093">
        <f>SUM(OFFSET(INDEX(MO_CFS_CFO_BeforeWC,0,COLUMN()),1,0,ROW(INDEX(MO_CFS_CFO,0,COLUMN()))-ROW(INDEX(MO_CFS_CFO_BeforeWC,0,COLUMN()))-1,1))</f>
        <v/>
      </c>
      <c r="AQ59" s="2093">
        <f>SUM(OFFSET(INDEX(MO_CFS_CFO_BeforeWC,0,COLUMN()),1,0,ROW(INDEX(MO_CFS_CFO,0,COLUMN()))-ROW(INDEX(MO_CFS_CFO_BeforeWC,0,COLUMN()))-1,1))</f>
        <v/>
      </c>
      <c r="AR59" s="2093">
        <f>SUM(OFFSET(INDEX(MO_CFS_CFO_BeforeWC,0,COLUMN()),1,0,ROW(INDEX(MO_CFS_CFO,0,COLUMN()))-ROW(INDEX(MO_CFS_CFO_BeforeWC,0,COLUMN()))-1,1))</f>
        <v/>
      </c>
      <c r="AS59" s="2093">
        <f>SUM(OFFSET(INDEX(MO_CFS_CFO_BeforeWC,0,COLUMN()),1,0,ROW(INDEX(MO_CFS_CFO,0,COLUMN()))-ROW(INDEX(MO_CFS_CFO_BeforeWC,0,COLUMN()))-1,1))</f>
        <v/>
      </c>
      <c r="AT59" s="2092">
        <f>SUM(OFFSET(INDEX(MO_CFS_CFO_BeforeWC,0,COLUMN()),1,0,ROW(INDEX(MO_CFS_CFO,0,COLUMN()))-ROW(INDEX(MO_CFS_CFO_BeforeWC,0,COLUMN()))-1,1))</f>
        <v/>
      </c>
      <c r="AU59" s="2093">
        <f>SUM(OFFSET(INDEX(MO_CFS_CFO_BeforeWC,0,COLUMN()),1,0,ROW(INDEX(MO_CFS_CFO,0,COLUMN()))-ROW(INDEX(MO_CFS_CFO_BeforeWC,0,COLUMN()))-1,1))</f>
        <v/>
      </c>
      <c r="AV59" s="2093">
        <f>SUM(OFFSET(INDEX(MO_CFS_CFO_BeforeWC,0,COLUMN()),1,0,ROW(INDEX(MO_CFS_CFO,0,COLUMN()))-ROW(INDEX(MO_CFS_CFO_BeforeWC,0,COLUMN()))-1,1))</f>
        <v/>
      </c>
      <c r="AW59" s="2093">
        <f>SUM(OFFSET(INDEX(MO_CFS_CFO_BeforeWC,0,COLUMN()),1,0,ROW(INDEX(MO_CFS_CFO,0,COLUMN()))-ROW(INDEX(MO_CFS_CFO_BeforeWC,0,COLUMN()))-1,1))</f>
        <v/>
      </c>
      <c r="AX59" s="2093">
        <f>SUM(OFFSET(INDEX(MO_CFS_CFO_BeforeWC,0,COLUMN()),1,0,ROW(INDEX(MO_CFS_CFO,0,COLUMN()))-ROW(INDEX(MO_CFS_CFO_BeforeWC,0,COLUMN()))-1,1))</f>
        <v/>
      </c>
      <c r="AY59" s="2092">
        <f>SUM(OFFSET(INDEX(MO_CFS_CFO_BeforeWC,0,COLUMN()),1,0,ROW(INDEX(MO_CFS_CFO,0,COLUMN()))-ROW(INDEX(MO_CFS_CFO_BeforeWC,0,COLUMN()))-1,1))</f>
        <v/>
      </c>
      <c r="AZ59" s="2093">
        <f>SUM(OFFSET(INDEX(MO_CFS_CFO_BeforeWC,0,COLUMN()),1,0,ROW(INDEX(MO_CFS_CFO,0,COLUMN()))-ROW(INDEX(MO_CFS_CFO_BeforeWC,0,COLUMN()))-1,1))</f>
        <v/>
      </c>
      <c r="BA59" s="2093">
        <f>SUM(OFFSET(INDEX(MO_CFS_CFO_BeforeWC,0,COLUMN()),1,0,ROW(INDEX(MO_CFS_CFO,0,COLUMN()))-ROW(INDEX(MO_CFS_CFO_BeforeWC,0,COLUMN()))-1,1))</f>
        <v/>
      </c>
      <c r="BB59" s="2093">
        <f>SUM(OFFSET(INDEX(MO_CFS_CFO_BeforeWC,0,COLUMN()),1,0,ROW(INDEX(MO_CFS_CFO,0,COLUMN()))-ROW(INDEX(MO_CFS_CFO_BeforeWC,0,COLUMN()))-1,1))</f>
        <v/>
      </c>
      <c r="BC59" s="2093">
        <f>SUM(OFFSET(INDEX(MO_CFS_CFO_BeforeWC,0,COLUMN()),1,0,ROW(INDEX(MO_CFS_CFO,0,COLUMN()))-ROW(INDEX(MO_CFS_CFO_BeforeWC,0,COLUMN()))-1,1))</f>
        <v/>
      </c>
      <c r="BD59" s="2092">
        <f>SUM(OFFSET(INDEX(MO_CFS_CFO_BeforeWC,0,COLUMN()),1,0,ROW(INDEX(MO_CFS_CFO,0,COLUMN()))-ROW(INDEX(MO_CFS_CFO_BeforeWC,0,COLUMN()))-1,1))</f>
        <v/>
      </c>
      <c r="BE59" s="2093">
        <f>SUM(OFFSET(INDEX(MO_CFS_CFO_BeforeWC,0,COLUMN()),1,0,ROW(INDEX(MO_CFS_CFO,0,COLUMN()))-ROW(INDEX(MO_CFS_CFO_BeforeWC,0,COLUMN()))-1,1))</f>
        <v/>
      </c>
      <c r="BF59" s="2093">
        <f>SUM(OFFSET(INDEX(MO_CFS_CFO_BeforeWC,0,COLUMN()),1,0,ROW(INDEX(MO_CFS_CFO,0,COLUMN()))-ROW(INDEX(MO_CFS_CFO_BeforeWC,0,COLUMN()))-1,1))</f>
        <v/>
      </c>
      <c r="BG59" s="2093">
        <f>SUM(OFFSET(INDEX(MO_CFS_CFO_BeforeWC,0,COLUMN()),1,0,ROW(INDEX(MO_CFS_CFO,0,COLUMN()))-ROW(INDEX(MO_CFS_CFO_BeforeWC,0,COLUMN()))-1,1))</f>
        <v/>
      </c>
      <c r="BH59" s="2093">
        <f>SUM(OFFSET(INDEX(MO_CFS_CFO_BeforeWC,0,COLUMN()),1,0,ROW(INDEX(MO_CFS_CFO,0,COLUMN()))-ROW(INDEX(MO_CFS_CFO_BeforeWC,0,COLUMN()))-1,1))</f>
        <v/>
      </c>
      <c r="BI59" s="2092">
        <f>SUM(OFFSET(INDEX(MO_CFS_CFO_BeforeWC,0,COLUMN()),1,0,ROW(INDEX(MO_CFS_CFO,0,COLUMN()))-ROW(INDEX(MO_CFS_CFO_BeforeWC,0,COLUMN()))-1,1))</f>
        <v/>
      </c>
      <c r="BJ59" s="2093">
        <f>SUM(OFFSET(INDEX(MO_CFS_CFO_BeforeWC,0,COLUMN()),1,0,ROW(INDEX(MO_CFS_CFO,0,COLUMN()))-ROW(INDEX(MO_CFS_CFO_BeforeWC,0,COLUMN()))-1,1))</f>
        <v/>
      </c>
      <c r="BK59" s="2093">
        <f>SUM(OFFSET(INDEX(MO_CFS_CFO_BeforeWC,0,COLUMN()),1,0,ROW(INDEX(MO_CFS_CFO,0,COLUMN()))-ROW(INDEX(MO_CFS_CFO_BeforeWC,0,COLUMN()))-1,1))</f>
        <v/>
      </c>
      <c r="BL59" s="2093">
        <f>SUM(OFFSET(INDEX(MO_CFS_CFO_BeforeWC,0,COLUMN()),1,0,ROW(INDEX(MO_CFS_CFO,0,COLUMN()))-ROW(INDEX(MO_CFS_CFO_BeforeWC,0,COLUMN()))-1,1))</f>
        <v/>
      </c>
      <c r="BM59" s="2093">
        <f>SUM(OFFSET(INDEX(MO_CFS_CFO_BeforeWC,0,COLUMN()),1,0,ROW(INDEX(MO_CFS_CFO,0,COLUMN()))-ROW(INDEX(MO_CFS_CFO_BeforeWC,0,COLUMN()))-1,1))</f>
        <v/>
      </c>
      <c r="BN59" s="2092">
        <f>SUM(OFFSET(INDEX(MO_CFS_CFO_BeforeWC,0,COLUMN()),1,0,ROW(INDEX(MO_CFS_CFO,0,COLUMN()))-ROW(INDEX(MO_CFS_CFO_BeforeWC,0,COLUMN()))-1,1))</f>
        <v/>
      </c>
      <c r="BO59" s="2093">
        <f>SUM(OFFSET(INDEX(MO_CFS_CFO_BeforeWC,0,COLUMN()),1,0,ROW(INDEX(MO_CFS_CFO,0,COLUMN()))-ROW(INDEX(MO_CFS_CFO_BeforeWC,0,COLUMN()))-1,1))</f>
        <v/>
      </c>
      <c r="BP59" s="2093">
        <f>SUM(OFFSET(INDEX(MO_CFS_CFO_BeforeWC,0,COLUMN()),1,0,ROW(INDEX(MO_CFS_CFO,0,COLUMN()))-ROW(INDEX(MO_CFS_CFO_BeforeWC,0,COLUMN()))-1,1))</f>
        <v/>
      </c>
      <c r="BQ59" s="2095">
        <f>SUM(OFFSET(INDEX(MO_CFS_CFO_BeforeWC,0,COLUMN()),1,0,ROW(INDEX(MO_CFS_CFO,0,COLUMN()))-ROW(INDEX(MO_CFS_CFO_BeforeWC,0,COLUMN()))-1,1))</f>
        <v/>
      </c>
      <c r="BR59" s="2093">
        <f>SUM(OFFSET(INDEX(MO_CFS_CFO_BeforeWC,0,COLUMN()),1,0,ROW(INDEX(MO_CFS_CFO,0,COLUMN()))-ROW(INDEX(MO_CFS_CFO_BeforeWC,0,COLUMN()))-1,1))</f>
        <v/>
      </c>
      <c r="BS59" s="2092">
        <f>SUM(OFFSET(INDEX(MO_CFS_CFO_BeforeWC,0,COLUMN()),1,0,ROW(INDEX(MO_CFS_CFO,0,COLUMN()))-ROW(INDEX(MO_CFS_CFO_BeforeWC,0,COLUMN()))-1,1))</f>
        <v/>
      </c>
      <c r="BT59" s="2093">
        <f>SUM(OFFSET(INDEX(MO_CFS_CFO_BeforeWC,0,COLUMN()),1,0,ROW(INDEX(MO_CFS_CFO,0,COLUMN()))-ROW(INDEX(MO_CFS_CFO_BeforeWC,0,COLUMN()))-1,1))</f>
        <v/>
      </c>
      <c r="BU59" s="2093">
        <f>SUM(OFFSET(INDEX(MO_CFS_CFO_BeforeWC,0,COLUMN()),1,0,ROW(INDEX(MO_CFS_CFO,0,COLUMN()))-ROW(INDEX(MO_CFS_CFO_BeforeWC,0,COLUMN()))-1,1))</f>
        <v/>
      </c>
      <c r="BV59" s="2093">
        <f>SUM(OFFSET(INDEX(MO_CFS_CFO_BeforeWC,0,COLUMN()),1,0,ROW(INDEX(MO_CFS_CFO,0,COLUMN()))-ROW(INDEX(MO_CFS_CFO_BeforeWC,0,COLUMN()))-1,1))</f>
        <v/>
      </c>
      <c r="BW59" s="2093">
        <f>SUM(OFFSET(INDEX(MO_CFS_CFO_BeforeWC,0,COLUMN()),1,0,ROW(INDEX(MO_CFS_CFO,0,COLUMN()))-ROW(INDEX(MO_CFS_CFO_BeforeWC,0,COLUMN()))-1,1))</f>
        <v/>
      </c>
      <c r="BX59" s="2092">
        <f>SUM(OFFSET(INDEX(MO_CFS_CFO_BeforeWC,0,COLUMN()),1,0,ROW(INDEX(MO_CFS_CFO,0,COLUMN()))-ROW(INDEX(MO_CFS_CFO_BeforeWC,0,COLUMN()))-1,1))</f>
        <v/>
      </c>
      <c r="BY59" s="2092">
        <f>SUM(OFFSET(INDEX(MO_CFS_CFO_BeforeWC,0,COLUMN()),1,0,ROW(INDEX(MO_CFS_CFO,0,COLUMN()))-ROW(INDEX(MO_CFS_CFO_BeforeWC,0,COLUMN()))-1,1))</f>
        <v/>
      </c>
      <c r="BZ59" s="2092">
        <f>SUM(OFFSET(INDEX(MO_CFS_CFO_BeforeWC,0,COLUMN()),1,0,ROW(INDEX(MO_CFS_CFO,0,COLUMN()))-ROW(INDEX(MO_CFS_CFO_BeforeWC,0,COLUMN()))-1,1))</f>
        <v/>
      </c>
      <c r="CA59" s="2092">
        <f>SUM(OFFSET(INDEX(MO_CFS_CFO_BeforeWC,0,COLUMN()),1,0,ROW(INDEX(MO_CFS_CFO,0,COLUMN()))-ROW(INDEX(MO_CFS_CFO_BeforeWC,0,COLUMN()))-1,1))</f>
        <v/>
      </c>
      <c r="CB59" s="2072" t="n"/>
    </row>
    <row r="60" collapsed="1" ht="15" customFormat="1" customHeight="1" s="2082">
      <c r="A60" s="1596" t="inlineStr">
        <is>
          <t>Operating Cash Flow after WC</t>
        </is>
      </c>
      <c r="B60" s="2199" t="n"/>
      <c r="C60" s="2090">
        <f>SUM(C58:C59)</f>
        <v/>
      </c>
      <c r="D60" s="2090">
        <f>SUM(D58:D59)</f>
        <v/>
      </c>
      <c r="E60" s="2090">
        <f>SUM(E58:E59)</f>
        <v/>
      </c>
      <c r="F60" s="2090">
        <f>SUM(F58:F59)</f>
        <v/>
      </c>
      <c r="G60" s="2089">
        <f>SUM(G58:G59)</f>
        <v/>
      </c>
      <c r="H60" s="2089">
        <f>SUM(H58:H59)</f>
        <v/>
      </c>
      <c r="I60" s="2089">
        <f>SUM(I58:I59)</f>
        <v/>
      </c>
      <c r="J60" s="2089">
        <f>SUM(J58:J59)</f>
        <v/>
      </c>
      <c r="K60" s="2090">
        <f>SUM(K58:K59)</f>
        <v/>
      </c>
      <c r="L60" s="2089">
        <f>SUM(L58:L59)</f>
        <v/>
      </c>
      <c r="M60" s="2089">
        <f>SUM(M58:M59)</f>
        <v/>
      </c>
      <c r="N60" s="2089">
        <f>SUM(N58:N59)</f>
        <v/>
      </c>
      <c r="O60" s="2089">
        <f>SUM(O58:O59)</f>
        <v/>
      </c>
      <c r="P60" s="2090">
        <f>SUM(P58:P59)</f>
        <v/>
      </c>
      <c r="Q60" s="2089">
        <f>SUM(Q58:Q59)</f>
        <v/>
      </c>
      <c r="R60" s="2089">
        <f>SUM(R58:R59)</f>
        <v/>
      </c>
      <c r="S60" s="2089">
        <f>SUM(S58:S59)</f>
        <v/>
      </c>
      <c r="T60" s="2089">
        <f>SUM(T58:T59)</f>
        <v/>
      </c>
      <c r="U60" s="2090">
        <f>SUM(U58:U59)</f>
        <v/>
      </c>
      <c r="V60" s="2089">
        <f>SUM(V58:V59)</f>
        <v/>
      </c>
      <c r="W60" s="2089">
        <f>SUM(W58:W59)</f>
        <v/>
      </c>
      <c r="X60" s="2089">
        <f>SUM(X58:X59)</f>
        <v/>
      </c>
      <c r="Y60" s="2089">
        <f>SUM(Y58:Y59)</f>
        <v/>
      </c>
      <c r="Z60" s="2090">
        <f>SUM(Z58:Z59)</f>
        <v/>
      </c>
      <c r="AA60" s="2089">
        <f>SUM(AA58:AA59)</f>
        <v/>
      </c>
      <c r="AB60" s="2089">
        <f>SUM(AB58:AB59)</f>
        <v/>
      </c>
      <c r="AC60" s="2089">
        <f>SUM(AC58:AC59)</f>
        <v/>
      </c>
      <c r="AD60" s="2089">
        <f>SUM(AD58:AD59)</f>
        <v/>
      </c>
      <c r="AE60" s="2090">
        <f>SUM(AE58:AE59)</f>
        <v/>
      </c>
      <c r="AF60" s="2089">
        <f>SUM(AF58:AF59)</f>
        <v/>
      </c>
      <c r="AG60" s="2089">
        <f>SUM(AG58:AG59)</f>
        <v/>
      </c>
      <c r="AH60" s="2089">
        <f>SUM(AH58:AH59)</f>
        <v/>
      </c>
      <c r="AI60" s="2089">
        <f>SUM(AI58:AI59)</f>
        <v/>
      </c>
      <c r="AJ60" s="2090">
        <f>SUM(AJ58:AJ59)</f>
        <v/>
      </c>
      <c r="AK60" s="2089">
        <f>SUM(AK58:AK59)</f>
        <v/>
      </c>
      <c r="AL60" s="2089">
        <f>SUM(AL58:AL59)</f>
        <v/>
      </c>
      <c r="AM60" s="2089">
        <f>SUM(AM58:AM59)</f>
        <v/>
      </c>
      <c r="AN60" s="2089">
        <f>SUM(AN58:AN59)</f>
        <v/>
      </c>
      <c r="AO60" s="2090">
        <f>SUM(AO58:AO59)</f>
        <v/>
      </c>
      <c r="AP60" s="2089">
        <f>SUM(AP58:AP59)</f>
        <v/>
      </c>
      <c r="AQ60" s="2089">
        <f>SUM(AQ58:AQ59)</f>
        <v/>
      </c>
      <c r="AR60" s="2089">
        <f>SUM(AR58:AR59)</f>
        <v/>
      </c>
      <c r="AS60" s="2089">
        <f>SUM(AS58:AS59)</f>
        <v/>
      </c>
      <c r="AT60" s="2090">
        <f>SUM(AT58:AT59)</f>
        <v/>
      </c>
      <c r="AU60" s="2089">
        <f>SUM(AU58:AU59)</f>
        <v/>
      </c>
      <c r="AV60" s="2089">
        <f>SUM(AV58:AV59)</f>
        <v/>
      </c>
      <c r="AW60" s="2089">
        <f>SUM(AW58:AW59)</f>
        <v/>
      </c>
      <c r="AX60" s="2089">
        <f>SUM(AX58:AX59)</f>
        <v/>
      </c>
      <c r="AY60" s="2090">
        <f>SUM(AY58:AY59)</f>
        <v/>
      </c>
      <c r="AZ60" s="2089">
        <f>SUM(AZ58:AZ59)</f>
        <v/>
      </c>
      <c r="BA60" s="2089">
        <f>SUM(BA58:BA59)</f>
        <v/>
      </c>
      <c r="BB60" s="2089">
        <f>SUM(BB58:BB59)</f>
        <v/>
      </c>
      <c r="BC60" s="2089">
        <f>SUM(BC58:BC59)</f>
        <v/>
      </c>
      <c r="BD60" s="2090">
        <f>SUM(BD58:BD59)</f>
        <v/>
      </c>
      <c r="BE60" s="2089">
        <f>SUM(BE58:BE59)</f>
        <v/>
      </c>
      <c r="BF60" s="2089">
        <f>SUM(BF58:BF59)</f>
        <v/>
      </c>
      <c r="BG60" s="2089">
        <f>SUM(BG58:BG59)</f>
        <v/>
      </c>
      <c r="BH60" s="2089">
        <f>SUM(BH58:BH59)</f>
        <v/>
      </c>
      <c r="BI60" s="2090">
        <f>SUM(BI58:BI59)</f>
        <v/>
      </c>
      <c r="BJ60" s="2089">
        <f>SUM(BJ58:BJ59)</f>
        <v/>
      </c>
      <c r="BK60" s="2089">
        <f>SUM(BK58:BK59)</f>
        <v/>
      </c>
      <c r="BL60" s="2089">
        <f>SUM(BL58:BL59)</f>
        <v/>
      </c>
      <c r="BM60" s="2089">
        <f>SUM(BM58:BM59)</f>
        <v/>
      </c>
      <c r="BN60" s="2090">
        <f>SUM(BN58:BN59)</f>
        <v/>
      </c>
      <c r="BO60" s="2089">
        <f>SUM(BO58:BO59)</f>
        <v/>
      </c>
      <c r="BP60" s="2089">
        <f>SUM(BP58:BP59)</f>
        <v/>
      </c>
      <c r="BQ60" s="2100">
        <f>SUM(BQ58:BQ59)</f>
        <v/>
      </c>
      <c r="BR60" s="2089">
        <f>SUM(BR58:BR59)</f>
        <v/>
      </c>
      <c r="BS60" s="2090">
        <f>SUM(BS58:BS59)</f>
        <v/>
      </c>
      <c r="BT60" s="2089">
        <f>SUM(BT58:BT59)</f>
        <v/>
      </c>
      <c r="BU60" s="2089">
        <f>SUM(BU58:BU59)</f>
        <v/>
      </c>
      <c r="BV60" s="2089">
        <f>SUM(BV58:BV59)</f>
        <v/>
      </c>
      <c r="BW60" s="2089">
        <f>SUM(BW58:BW59)</f>
        <v/>
      </c>
      <c r="BX60" s="2090">
        <f>SUM(BX58:BX59)</f>
        <v/>
      </c>
      <c r="BY60" s="2090">
        <f>SUM(BY58:BY59)</f>
        <v/>
      </c>
      <c r="BZ60" s="2090">
        <f>SUM(BZ58:BZ59)</f>
        <v/>
      </c>
      <c r="CA60" s="2090">
        <f>SUM(CA58:CA59)</f>
        <v/>
      </c>
      <c r="CB60" s="2072" t="n"/>
    </row>
    <row r="61" ht="15" customFormat="1" customHeight="1" s="2101">
      <c r="A61" s="1607">
        <f>INDEX(MO_CFSum_Capex,0,COLUMN())</f>
        <v/>
      </c>
      <c r="B61" s="2201" t="n"/>
      <c r="C61" s="2092">
        <f>INDEX(MO_CFSum_Capex,0,COLUMN())</f>
        <v/>
      </c>
      <c r="D61" s="2092">
        <f>INDEX(MO_CFSum_Capex,0,COLUMN())</f>
        <v/>
      </c>
      <c r="E61" s="2092">
        <f>INDEX(MO_CFSum_Capex,0,COLUMN())</f>
        <v/>
      </c>
      <c r="F61" s="2092">
        <f>INDEX(MO_CFSum_Capex,0,COLUMN())</f>
        <v/>
      </c>
      <c r="G61" s="2093">
        <f>INDEX(MO_CFSum_Capex,0,COLUMN())</f>
        <v/>
      </c>
      <c r="H61" s="2093">
        <f>INDEX(MO_CFSum_Capex,0,COLUMN())</f>
        <v/>
      </c>
      <c r="I61" s="2093">
        <f>INDEX(MO_CFSum_Capex,0,COLUMN())</f>
        <v/>
      </c>
      <c r="J61" s="2093">
        <f>INDEX(MO_CFSum_Capex,0,COLUMN())</f>
        <v/>
      </c>
      <c r="K61" s="2092">
        <f>INDEX(MO_CFSum_Capex,0,COLUMN())</f>
        <v/>
      </c>
      <c r="L61" s="2093">
        <f>INDEX(MO_CFSum_Capex,0,COLUMN())</f>
        <v/>
      </c>
      <c r="M61" s="2093">
        <f>INDEX(MO_CFSum_Capex,0,COLUMN())</f>
        <v/>
      </c>
      <c r="N61" s="2093">
        <f>INDEX(MO_CFSum_Capex,0,COLUMN())</f>
        <v/>
      </c>
      <c r="O61" s="2093">
        <f>INDEX(MO_CFSum_Capex,0,COLUMN())</f>
        <v/>
      </c>
      <c r="P61" s="2092">
        <f>INDEX(MO_CFSum_Capex,0,COLUMN())</f>
        <v/>
      </c>
      <c r="Q61" s="2093">
        <f>INDEX(MO_CFSum_Capex,0,COLUMN())</f>
        <v/>
      </c>
      <c r="R61" s="2093">
        <f>INDEX(MO_CFSum_Capex,0,COLUMN())</f>
        <v/>
      </c>
      <c r="S61" s="2093">
        <f>INDEX(MO_CFSum_Capex,0,COLUMN())</f>
        <v/>
      </c>
      <c r="T61" s="2093">
        <f>INDEX(MO_CFSum_Capex,0,COLUMN())</f>
        <v/>
      </c>
      <c r="U61" s="2092">
        <f>INDEX(MO_CFSum_Capex,0,COLUMN())</f>
        <v/>
      </c>
      <c r="V61" s="2093">
        <f>INDEX(MO_CFSum_Capex,0,COLUMN())</f>
        <v/>
      </c>
      <c r="W61" s="2093">
        <f>INDEX(MO_CFSum_Capex,0,COLUMN())</f>
        <v/>
      </c>
      <c r="X61" s="2093">
        <f>INDEX(MO_CFSum_Capex,0,COLUMN())</f>
        <v/>
      </c>
      <c r="Y61" s="2093">
        <f>INDEX(MO_CFSum_Capex,0,COLUMN())</f>
        <v/>
      </c>
      <c r="Z61" s="2092">
        <f>INDEX(MO_CFSum_Capex,0,COLUMN())</f>
        <v/>
      </c>
      <c r="AA61" s="2093">
        <f>INDEX(MO_CFSum_Capex,0,COLUMN())</f>
        <v/>
      </c>
      <c r="AB61" s="2093">
        <f>INDEX(MO_CFSum_Capex,0,COLUMN())</f>
        <v/>
      </c>
      <c r="AC61" s="2093">
        <f>INDEX(MO_CFSum_Capex,0,COLUMN())</f>
        <v/>
      </c>
      <c r="AD61" s="2093">
        <f>INDEX(MO_CFSum_Capex,0,COLUMN())</f>
        <v/>
      </c>
      <c r="AE61" s="2092">
        <f>INDEX(MO_CFSum_Capex,0,COLUMN())</f>
        <v/>
      </c>
      <c r="AF61" s="2093">
        <f>INDEX(MO_CFSum_Capex,0,COLUMN())</f>
        <v/>
      </c>
      <c r="AG61" s="2093">
        <f>INDEX(MO_CFSum_Capex,0,COLUMN())</f>
        <v/>
      </c>
      <c r="AH61" s="2093">
        <f>INDEX(MO_CFSum_Capex,0,COLUMN())</f>
        <v/>
      </c>
      <c r="AI61" s="2093">
        <f>INDEX(MO_CFSum_Capex,0,COLUMN())</f>
        <v/>
      </c>
      <c r="AJ61" s="2092">
        <f>INDEX(MO_CFSum_Capex,0,COLUMN())</f>
        <v/>
      </c>
      <c r="AK61" s="2093">
        <f>INDEX(MO_CFSum_Capex,0,COLUMN())</f>
        <v/>
      </c>
      <c r="AL61" s="2093">
        <f>INDEX(MO_CFSum_Capex,0,COLUMN())</f>
        <v/>
      </c>
      <c r="AM61" s="2093">
        <f>INDEX(MO_CFSum_Capex,0,COLUMN())</f>
        <v/>
      </c>
      <c r="AN61" s="2093">
        <f>INDEX(MO_CFSum_Capex,0,COLUMN())</f>
        <v/>
      </c>
      <c r="AO61" s="2092">
        <f>INDEX(MO_CFSum_Capex,0,COLUMN())</f>
        <v/>
      </c>
      <c r="AP61" s="2093">
        <f>INDEX(MO_CFSum_Capex,0,COLUMN())</f>
        <v/>
      </c>
      <c r="AQ61" s="2093">
        <f>INDEX(MO_CFSum_Capex,0,COLUMN())</f>
        <v/>
      </c>
      <c r="AR61" s="2093">
        <f>INDEX(MO_CFSum_Capex,0,COLUMN())</f>
        <v/>
      </c>
      <c r="AS61" s="2093">
        <f>INDEX(MO_CFSum_Capex,0,COLUMN())</f>
        <v/>
      </c>
      <c r="AT61" s="2092">
        <f>INDEX(MO_CFSum_Capex,0,COLUMN())</f>
        <v/>
      </c>
      <c r="AU61" s="2093">
        <f>INDEX(MO_CFSum_Capex,0,COLUMN())</f>
        <v/>
      </c>
      <c r="AV61" s="2093">
        <f>INDEX(MO_CFSum_Capex,0,COLUMN())</f>
        <v/>
      </c>
      <c r="AW61" s="2093">
        <f>INDEX(MO_CFSum_Capex,0,COLUMN())</f>
        <v/>
      </c>
      <c r="AX61" s="2093">
        <f>INDEX(MO_CFSum_Capex,0,COLUMN())</f>
        <v/>
      </c>
      <c r="AY61" s="2092">
        <f>INDEX(MO_CFSum_Capex,0,COLUMN())</f>
        <v/>
      </c>
      <c r="AZ61" s="2093">
        <f>INDEX(MO_CFSum_Capex,0,COLUMN())</f>
        <v/>
      </c>
      <c r="BA61" s="2093">
        <f>INDEX(MO_CFSum_Capex,0,COLUMN())</f>
        <v/>
      </c>
      <c r="BB61" s="2093">
        <f>INDEX(MO_CFSum_Capex,0,COLUMN())</f>
        <v/>
      </c>
      <c r="BC61" s="2093">
        <f>INDEX(MO_CFSum_Capex,0,COLUMN())</f>
        <v/>
      </c>
      <c r="BD61" s="2092">
        <f>INDEX(MO_CFSum_Capex,0,COLUMN())</f>
        <v/>
      </c>
      <c r="BE61" s="2093">
        <f>INDEX(MO_CFSum_Capex,0,COLUMN())</f>
        <v/>
      </c>
      <c r="BF61" s="2093">
        <f>INDEX(MO_CFSum_Capex,0,COLUMN())</f>
        <v/>
      </c>
      <c r="BG61" s="2093">
        <f>INDEX(MO_CFSum_Capex,0,COLUMN())</f>
        <v/>
      </c>
      <c r="BH61" s="2093">
        <f>INDEX(MO_CFSum_Capex,0,COLUMN())</f>
        <v/>
      </c>
      <c r="BI61" s="2092">
        <f>INDEX(MO_CFSum_Capex,0,COLUMN())</f>
        <v/>
      </c>
      <c r="BJ61" s="2093">
        <f>INDEX(MO_CFSum_Capex,0,COLUMN())</f>
        <v/>
      </c>
      <c r="BK61" s="2093">
        <f>INDEX(MO_CFSum_Capex,0,COLUMN())</f>
        <v/>
      </c>
      <c r="BL61" s="2093">
        <f>INDEX(MO_CFSum_Capex,0,COLUMN())</f>
        <v/>
      </c>
      <c r="BM61" s="2093">
        <f>INDEX(MO_CFSum_Capex,0,COLUMN())</f>
        <v/>
      </c>
      <c r="BN61" s="2092">
        <f>INDEX(MO_CFSum_Capex,0,COLUMN())</f>
        <v/>
      </c>
      <c r="BO61" s="2093">
        <f>INDEX(MO_CFSum_Capex,0,COLUMN())</f>
        <v/>
      </c>
      <c r="BP61" s="2093">
        <f>INDEX(MO_CFSum_Capex,0,COLUMN())</f>
        <v/>
      </c>
      <c r="BQ61" s="2095">
        <f>INDEX(MO_CFSum_Capex,0,COLUMN())</f>
        <v/>
      </c>
      <c r="BR61" s="2093">
        <f>INDEX(MO_CFSum_Capex,0,COLUMN())</f>
        <v/>
      </c>
      <c r="BS61" s="2092">
        <f>INDEX(MO_CFSum_Capex,0,COLUMN())</f>
        <v/>
      </c>
      <c r="BT61" s="2093">
        <f>INDEX(MO_CFSum_Capex,0,COLUMN())</f>
        <v/>
      </c>
      <c r="BU61" s="2093">
        <f>INDEX(MO_CFSum_Capex,0,COLUMN())</f>
        <v/>
      </c>
      <c r="BV61" s="2093">
        <f>INDEX(MO_CFSum_Capex,0,COLUMN())</f>
        <v/>
      </c>
      <c r="BW61" s="2093">
        <f>INDEX(MO_CFSum_Capex,0,COLUMN())</f>
        <v/>
      </c>
      <c r="BX61" s="2092">
        <f>INDEX(MO_CFSum_Capex,0,COLUMN())</f>
        <v/>
      </c>
      <c r="BY61" s="2092">
        <f>INDEX(MO_CFSum_Capex,0,COLUMN())</f>
        <v/>
      </c>
      <c r="BZ61" s="2092">
        <f>INDEX(MO_CFSum_Capex,0,COLUMN())</f>
        <v/>
      </c>
      <c r="CA61" s="2092">
        <f>INDEX(MO_CFSum_Capex,0,COLUMN())</f>
        <v/>
      </c>
      <c r="CB61" s="2072" t="n"/>
    </row>
    <row r="62" ht="15" customFormat="1" customHeight="1" s="2082">
      <c r="A62" s="1606" t="inlineStr">
        <is>
          <t>Core FCF, Pre Div</t>
        </is>
      </c>
      <c r="B62" s="2202" t="n"/>
      <c r="C62" s="2203">
        <f>SUM(C60:C61)</f>
        <v/>
      </c>
      <c r="D62" s="2203">
        <f>SUM(D60:D61)</f>
        <v/>
      </c>
      <c r="E62" s="2203">
        <f>SUM(E60:E61)</f>
        <v/>
      </c>
      <c r="F62" s="2203">
        <f>SUM(F60:F61)</f>
        <v/>
      </c>
      <c r="G62" s="2204">
        <f>SUM(G60:G61)</f>
        <v/>
      </c>
      <c r="H62" s="2204">
        <f>SUM(H60:H61)</f>
        <v/>
      </c>
      <c r="I62" s="2204">
        <f>SUM(I60:I61)</f>
        <v/>
      </c>
      <c r="J62" s="2204">
        <f>SUM(J60:J61)</f>
        <v/>
      </c>
      <c r="K62" s="2203">
        <f>SUM(K60:K61)</f>
        <v/>
      </c>
      <c r="L62" s="2204">
        <f>SUM(L60:L61)</f>
        <v/>
      </c>
      <c r="M62" s="2204">
        <f>SUM(M60:M61)</f>
        <v/>
      </c>
      <c r="N62" s="2204">
        <f>SUM(N60:N61)</f>
        <v/>
      </c>
      <c r="O62" s="2204">
        <f>SUM(O60:O61)</f>
        <v/>
      </c>
      <c r="P62" s="2203">
        <f>SUM(P60:P61)</f>
        <v/>
      </c>
      <c r="Q62" s="2204">
        <f>SUM(Q60:Q61)</f>
        <v/>
      </c>
      <c r="R62" s="2204">
        <f>SUM(R60:R61)</f>
        <v/>
      </c>
      <c r="S62" s="2204">
        <f>SUM(S60:S61)</f>
        <v/>
      </c>
      <c r="T62" s="2204">
        <f>SUM(T60:T61)</f>
        <v/>
      </c>
      <c r="U62" s="2203">
        <f>SUM(U60:U61)</f>
        <v/>
      </c>
      <c r="V62" s="2204">
        <f>SUM(V60:V61)</f>
        <v/>
      </c>
      <c r="W62" s="2204">
        <f>SUM(W60:W61)</f>
        <v/>
      </c>
      <c r="X62" s="2204">
        <f>SUM(X60:X61)</f>
        <v/>
      </c>
      <c r="Y62" s="2204">
        <f>SUM(Y60:Y61)</f>
        <v/>
      </c>
      <c r="Z62" s="2203">
        <f>SUM(Z60:Z61)</f>
        <v/>
      </c>
      <c r="AA62" s="2204">
        <f>SUM(AA60:AA61)</f>
        <v/>
      </c>
      <c r="AB62" s="2204">
        <f>SUM(AB60:AB61)</f>
        <v/>
      </c>
      <c r="AC62" s="2204">
        <f>SUM(AC60:AC61)</f>
        <v/>
      </c>
      <c r="AD62" s="2204">
        <f>SUM(AD60:AD61)</f>
        <v/>
      </c>
      <c r="AE62" s="2203">
        <f>SUM(AE60:AE61)</f>
        <v/>
      </c>
      <c r="AF62" s="2204">
        <f>SUM(AF60:AF61)</f>
        <v/>
      </c>
      <c r="AG62" s="2204">
        <f>SUM(AG60:AG61)</f>
        <v/>
      </c>
      <c r="AH62" s="2204">
        <f>SUM(AH60:AH61)</f>
        <v/>
      </c>
      <c r="AI62" s="2204">
        <f>SUM(AI60:AI61)</f>
        <v/>
      </c>
      <c r="AJ62" s="2203">
        <f>SUM(AJ60:AJ61)</f>
        <v/>
      </c>
      <c r="AK62" s="2204">
        <f>SUM(AK60:AK61)</f>
        <v/>
      </c>
      <c r="AL62" s="2204">
        <f>SUM(AL60:AL61)</f>
        <v/>
      </c>
      <c r="AM62" s="2204">
        <f>SUM(AM60:AM61)</f>
        <v/>
      </c>
      <c r="AN62" s="2204">
        <f>SUM(AN60:AN61)</f>
        <v/>
      </c>
      <c r="AO62" s="2203">
        <f>SUM(AO60:AO61)</f>
        <v/>
      </c>
      <c r="AP62" s="2204">
        <f>SUM(AP60:AP61)</f>
        <v/>
      </c>
      <c r="AQ62" s="2204">
        <f>SUM(AQ60:AQ61)</f>
        <v/>
      </c>
      <c r="AR62" s="2204">
        <f>SUM(AR60:AR61)</f>
        <v/>
      </c>
      <c r="AS62" s="2204">
        <f>SUM(AS60:AS61)</f>
        <v/>
      </c>
      <c r="AT62" s="2203">
        <f>SUM(AT60:AT61)</f>
        <v/>
      </c>
      <c r="AU62" s="2204">
        <f>SUM(AU60:AU61)</f>
        <v/>
      </c>
      <c r="AV62" s="2204">
        <f>SUM(AV60:AV61)</f>
        <v/>
      </c>
      <c r="AW62" s="2204">
        <f>SUM(AW60:AW61)</f>
        <v/>
      </c>
      <c r="AX62" s="2204">
        <f>SUM(AX60:AX61)</f>
        <v/>
      </c>
      <c r="AY62" s="2203">
        <f>SUM(AY60:AY61)</f>
        <v/>
      </c>
      <c r="AZ62" s="2204">
        <f>SUM(AZ60:AZ61)</f>
        <v/>
      </c>
      <c r="BA62" s="2204">
        <f>SUM(BA60:BA61)</f>
        <v/>
      </c>
      <c r="BB62" s="2204">
        <f>SUM(BB60:BB61)</f>
        <v/>
      </c>
      <c r="BC62" s="2204">
        <f>SUM(BC60:BC61)</f>
        <v/>
      </c>
      <c r="BD62" s="2203">
        <f>SUM(BD60:BD61)</f>
        <v/>
      </c>
      <c r="BE62" s="2204">
        <f>SUM(BE60:BE61)</f>
        <v/>
      </c>
      <c r="BF62" s="2204">
        <f>SUM(BF60:BF61)</f>
        <v/>
      </c>
      <c r="BG62" s="2204">
        <f>SUM(BG60:BG61)</f>
        <v/>
      </c>
      <c r="BH62" s="2204">
        <f>SUM(BH60:BH61)</f>
        <v/>
      </c>
      <c r="BI62" s="2203">
        <f>SUM(BI60:BI61)</f>
        <v/>
      </c>
      <c r="BJ62" s="2204">
        <f>SUM(BJ60:BJ61)</f>
        <v/>
      </c>
      <c r="BK62" s="2204">
        <f>SUM(BK60:BK61)</f>
        <v/>
      </c>
      <c r="BL62" s="2204">
        <f>SUM(BL60:BL61)</f>
        <v/>
      </c>
      <c r="BM62" s="2204">
        <f>SUM(BM60:BM61)</f>
        <v/>
      </c>
      <c r="BN62" s="2203">
        <f>SUM(BN60:BN61)</f>
        <v/>
      </c>
      <c r="BO62" s="2204">
        <f>SUM(BO60:BO61)</f>
        <v/>
      </c>
      <c r="BP62" s="2204">
        <f>SUM(BP60:BP61)</f>
        <v/>
      </c>
      <c r="BQ62" s="2205">
        <f>SUM(BQ60:BQ61)</f>
        <v/>
      </c>
      <c r="BR62" s="2204">
        <f>SUM(BR60:BR61)</f>
        <v/>
      </c>
      <c r="BS62" s="2203">
        <f>SUM(BS60:BS61)</f>
        <v/>
      </c>
      <c r="BT62" s="2204">
        <f>SUM(BT60:BT61)</f>
        <v/>
      </c>
      <c r="BU62" s="2204">
        <f>SUM(BU60:BU61)</f>
        <v/>
      </c>
      <c r="BV62" s="2204">
        <f>SUM(BV60:BV61)</f>
        <v/>
      </c>
      <c r="BW62" s="2204">
        <f>SUM(BW60:BW61)</f>
        <v/>
      </c>
      <c r="BX62" s="2203">
        <f>SUM(BX60:BX61)</f>
        <v/>
      </c>
      <c r="BY62" s="2203">
        <f>SUM(BY60:BY61)</f>
        <v/>
      </c>
      <c r="BZ62" s="2203">
        <f>SUM(BZ60:BZ61)</f>
        <v/>
      </c>
      <c r="CA62" s="2203">
        <f>SUM(CA60:CA61)</f>
        <v/>
      </c>
      <c r="CB62" s="2089" t="n"/>
    </row>
    <row r="63" ht="15" customFormat="1" customHeight="1" s="2101">
      <c r="A63" s="1607">
        <f>INDEX(MO_CFSum_Dividend,0,COLUMN())</f>
        <v/>
      </c>
      <c r="B63" s="2201" t="n"/>
      <c r="C63" s="2092">
        <f>INDEX(MO_CFSum_Dividend,0,COLUMN())</f>
        <v/>
      </c>
      <c r="D63" s="2092">
        <f>INDEX(MO_CFSum_Dividend,0,COLUMN())</f>
        <v/>
      </c>
      <c r="E63" s="2092">
        <f>INDEX(MO_CFSum_Dividend,0,COLUMN())</f>
        <v/>
      </c>
      <c r="F63" s="2092">
        <f>INDEX(MO_CFSum_Dividend,0,COLUMN())</f>
        <v/>
      </c>
      <c r="G63" s="2093">
        <f>INDEX(MO_CFSum_Dividend,0,COLUMN())</f>
        <v/>
      </c>
      <c r="H63" s="2093">
        <f>INDEX(MO_CFSum_Dividend,0,COLUMN())</f>
        <v/>
      </c>
      <c r="I63" s="2093">
        <f>INDEX(MO_CFSum_Dividend,0,COLUMN())</f>
        <v/>
      </c>
      <c r="J63" s="2093">
        <f>INDEX(MO_CFSum_Dividend,0,COLUMN())</f>
        <v/>
      </c>
      <c r="K63" s="2092">
        <f>INDEX(MO_CFSum_Dividend,0,COLUMN())</f>
        <v/>
      </c>
      <c r="L63" s="2093">
        <f>INDEX(MO_CFSum_Dividend,0,COLUMN())</f>
        <v/>
      </c>
      <c r="M63" s="2093">
        <f>INDEX(MO_CFSum_Dividend,0,COLUMN())</f>
        <v/>
      </c>
      <c r="N63" s="2093">
        <f>INDEX(MO_CFSum_Dividend,0,COLUMN())</f>
        <v/>
      </c>
      <c r="O63" s="2093">
        <f>INDEX(MO_CFSum_Dividend,0,COLUMN())</f>
        <v/>
      </c>
      <c r="P63" s="2092">
        <f>INDEX(MO_CFSum_Dividend,0,COLUMN())</f>
        <v/>
      </c>
      <c r="Q63" s="2093">
        <f>INDEX(MO_CFSum_Dividend,0,COLUMN())</f>
        <v/>
      </c>
      <c r="R63" s="2093">
        <f>INDEX(MO_CFSum_Dividend,0,COLUMN())</f>
        <v/>
      </c>
      <c r="S63" s="2093">
        <f>INDEX(MO_CFSum_Dividend,0,COLUMN())</f>
        <v/>
      </c>
      <c r="T63" s="2093">
        <f>INDEX(MO_CFSum_Dividend,0,COLUMN())</f>
        <v/>
      </c>
      <c r="U63" s="2092">
        <f>INDEX(MO_CFSum_Dividend,0,COLUMN())</f>
        <v/>
      </c>
      <c r="V63" s="2093">
        <f>INDEX(MO_CFSum_Dividend,0,COLUMN())</f>
        <v/>
      </c>
      <c r="W63" s="2093">
        <f>INDEX(MO_CFSum_Dividend,0,COLUMN())</f>
        <v/>
      </c>
      <c r="X63" s="2093">
        <f>INDEX(MO_CFSum_Dividend,0,COLUMN())</f>
        <v/>
      </c>
      <c r="Y63" s="2093">
        <f>INDEX(MO_CFSum_Dividend,0,COLUMN())</f>
        <v/>
      </c>
      <c r="Z63" s="2092">
        <f>INDEX(MO_CFSum_Dividend,0,COLUMN())</f>
        <v/>
      </c>
      <c r="AA63" s="2093">
        <f>INDEX(MO_CFSum_Dividend,0,COLUMN())</f>
        <v/>
      </c>
      <c r="AB63" s="2093">
        <f>INDEX(MO_CFSum_Dividend,0,COLUMN())</f>
        <v/>
      </c>
      <c r="AC63" s="2093">
        <f>INDEX(MO_CFSum_Dividend,0,COLUMN())</f>
        <v/>
      </c>
      <c r="AD63" s="2093">
        <f>INDEX(MO_CFSum_Dividend,0,COLUMN())</f>
        <v/>
      </c>
      <c r="AE63" s="2092">
        <f>INDEX(MO_CFSum_Dividend,0,COLUMN())</f>
        <v/>
      </c>
      <c r="AF63" s="2093">
        <f>INDEX(MO_CFSum_Dividend,0,COLUMN())</f>
        <v/>
      </c>
      <c r="AG63" s="2093">
        <f>INDEX(MO_CFSum_Dividend,0,COLUMN())</f>
        <v/>
      </c>
      <c r="AH63" s="2093">
        <f>INDEX(MO_CFSum_Dividend,0,COLUMN())</f>
        <v/>
      </c>
      <c r="AI63" s="2093">
        <f>INDEX(MO_CFSum_Dividend,0,COLUMN())</f>
        <v/>
      </c>
      <c r="AJ63" s="2092">
        <f>INDEX(MO_CFSum_Dividend,0,COLUMN())</f>
        <v/>
      </c>
      <c r="AK63" s="2093">
        <f>INDEX(MO_CFSum_Dividend,0,COLUMN())</f>
        <v/>
      </c>
      <c r="AL63" s="2093">
        <f>INDEX(MO_CFSum_Dividend,0,COLUMN())</f>
        <v/>
      </c>
      <c r="AM63" s="2093">
        <f>INDEX(MO_CFSum_Dividend,0,COLUMN())</f>
        <v/>
      </c>
      <c r="AN63" s="2093">
        <f>INDEX(MO_CFSum_Dividend,0,COLUMN())</f>
        <v/>
      </c>
      <c r="AO63" s="2092">
        <f>INDEX(MO_CFSum_Dividend,0,COLUMN())</f>
        <v/>
      </c>
      <c r="AP63" s="2093">
        <f>INDEX(MO_CFSum_Dividend,0,COLUMN())</f>
        <v/>
      </c>
      <c r="AQ63" s="2093">
        <f>INDEX(MO_CFSum_Dividend,0,COLUMN())</f>
        <v/>
      </c>
      <c r="AR63" s="2093">
        <f>INDEX(MO_CFSum_Dividend,0,COLUMN())</f>
        <v/>
      </c>
      <c r="AS63" s="2093">
        <f>INDEX(MO_CFSum_Dividend,0,COLUMN())</f>
        <v/>
      </c>
      <c r="AT63" s="2092">
        <f>INDEX(MO_CFSum_Dividend,0,COLUMN())</f>
        <v/>
      </c>
      <c r="AU63" s="2093">
        <f>INDEX(MO_CFSum_Dividend,0,COLUMN())</f>
        <v/>
      </c>
      <c r="AV63" s="2093">
        <f>INDEX(MO_CFSum_Dividend,0,COLUMN())</f>
        <v/>
      </c>
      <c r="AW63" s="2093">
        <f>INDEX(MO_CFSum_Dividend,0,COLUMN())</f>
        <v/>
      </c>
      <c r="AX63" s="2093">
        <f>INDEX(MO_CFSum_Dividend,0,COLUMN())</f>
        <v/>
      </c>
      <c r="AY63" s="2092">
        <f>INDEX(MO_CFSum_Dividend,0,COLUMN())</f>
        <v/>
      </c>
      <c r="AZ63" s="2093">
        <f>INDEX(MO_CFSum_Dividend,0,COLUMN())</f>
        <v/>
      </c>
      <c r="BA63" s="2093">
        <f>INDEX(MO_CFSum_Dividend,0,COLUMN())</f>
        <v/>
      </c>
      <c r="BB63" s="2093">
        <f>INDEX(MO_CFSum_Dividend,0,COLUMN())</f>
        <v/>
      </c>
      <c r="BC63" s="2093">
        <f>INDEX(MO_CFSum_Dividend,0,COLUMN())</f>
        <v/>
      </c>
      <c r="BD63" s="2092">
        <f>INDEX(MO_CFSum_Dividend,0,COLUMN())</f>
        <v/>
      </c>
      <c r="BE63" s="2093">
        <f>INDEX(MO_CFSum_Dividend,0,COLUMN())</f>
        <v/>
      </c>
      <c r="BF63" s="2093">
        <f>INDEX(MO_CFSum_Dividend,0,COLUMN())</f>
        <v/>
      </c>
      <c r="BG63" s="2093">
        <f>INDEX(MO_CFSum_Dividend,0,COLUMN())</f>
        <v/>
      </c>
      <c r="BH63" s="2093">
        <f>INDEX(MO_CFSum_Dividend,0,COLUMN())</f>
        <v/>
      </c>
      <c r="BI63" s="2092">
        <f>INDEX(MO_CFSum_Dividend,0,COLUMN())</f>
        <v/>
      </c>
      <c r="BJ63" s="2093">
        <f>INDEX(MO_CFSum_Dividend,0,COLUMN())</f>
        <v/>
      </c>
      <c r="BK63" s="2093">
        <f>INDEX(MO_CFSum_Dividend,0,COLUMN())</f>
        <v/>
      </c>
      <c r="BL63" s="2093">
        <f>INDEX(MO_CFSum_Dividend,0,COLUMN())</f>
        <v/>
      </c>
      <c r="BM63" s="2093">
        <f>INDEX(MO_CFSum_Dividend,0,COLUMN())</f>
        <v/>
      </c>
      <c r="BN63" s="2092">
        <f>INDEX(MO_CFSum_Dividend,0,COLUMN())</f>
        <v/>
      </c>
      <c r="BO63" s="2093">
        <f>INDEX(MO_CFSum_Dividend,0,COLUMN())</f>
        <v/>
      </c>
      <c r="BP63" s="2093">
        <f>INDEX(MO_CFSum_Dividend,0,COLUMN())</f>
        <v/>
      </c>
      <c r="BQ63" s="2095">
        <f>INDEX(MO_CFSum_Dividend,0,COLUMN())</f>
        <v/>
      </c>
      <c r="BR63" s="2093">
        <f>INDEX(MO_CFSum_Dividend,0,COLUMN())</f>
        <v/>
      </c>
      <c r="BS63" s="2092">
        <f>INDEX(MO_CFSum_Dividend,0,COLUMN())</f>
        <v/>
      </c>
      <c r="BT63" s="2093">
        <f>INDEX(MO_CFSum_Dividend,0,COLUMN())</f>
        <v/>
      </c>
      <c r="BU63" s="2093">
        <f>INDEX(MO_CFSum_Dividend,0,COLUMN())</f>
        <v/>
      </c>
      <c r="BV63" s="2093">
        <f>INDEX(MO_CFSum_Dividend,0,COLUMN())</f>
        <v/>
      </c>
      <c r="BW63" s="2093">
        <f>INDEX(MO_CFSum_Dividend,0,COLUMN())</f>
        <v/>
      </c>
      <c r="BX63" s="2092">
        <f>INDEX(MO_CFSum_Dividend,0,COLUMN())</f>
        <v/>
      </c>
      <c r="BY63" s="2092">
        <f>INDEX(MO_CFSum_Dividend,0,COLUMN())</f>
        <v/>
      </c>
      <c r="BZ63" s="2092">
        <f>INDEX(MO_CFSum_Dividend,0,COLUMN())</f>
        <v/>
      </c>
      <c r="CA63" s="2092">
        <f>INDEX(MO_CFSum_Dividend,0,COLUMN())</f>
        <v/>
      </c>
      <c r="CB63" s="2072" t="n"/>
    </row>
    <row r="64" ht="15" customFormat="1" customHeight="1" s="2082">
      <c r="A64" s="1606" t="inlineStr">
        <is>
          <t>Core FCF, Post Div</t>
        </is>
      </c>
      <c r="B64" s="2202" t="n"/>
      <c r="C64" s="2203">
        <f>SUM(C62:C63)</f>
        <v/>
      </c>
      <c r="D64" s="2203">
        <f>SUM(D62:D63)</f>
        <v/>
      </c>
      <c r="E64" s="2203">
        <f>SUM(E62:E63)</f>
        <v/>
      </c>
      <c r="F64" s="2203">
        <f>SUM(F62:F63)</f>
        <v/>
      </c>
      <c r="G64" s="2204">
        <f>SUM(G62:G63)</f>
        <v/>
      </c>
      <c r="H64" s="2204">
        <f>SUM(H62:H63)</f>
        <v/>
      </c>
      <c r="I64" s="2204">
        <f>SUM(I62:I63)</f>
        <v/>
      </c>
      <c r="J64" s="2204">
        <f>SUM(J62:J63)</f>
        <v/>
      </c>
      <c r="K64" s="2203">
        <f>SUM(K62:K63)</f>
        <v/>
      </c>
      <c r="L64" s="2204">
        <f>SUM(L62:L63)</f>
        <v/>
      </c>
      <c r="M64" s="2204">
        <f>SUM(M62:M63)</f>
        <v/>
      </c>
      <c r="N64" s="2204">
        <f>SUM(N62:N63)</f>
        <v/>
      </c>
      <c r="O64" s="2204">
        <f>SUM(O62:O63)</f>
        <v/>
      </c>
      <c r="P64" s="2203">
        <f>SUM(P62:P63)</f>
        <v/>
      </c>
      <c r="Q64" s="2204">
        <f>SUM(Q62:Q63)</f>
        <v/>
      </c>
      <c r="R64" s="2204">
        <f>SUM(R62:R63)</f>
        <v/>
      </c>
      <c r="S64" s="2204">
        <f>SUM(S62:S63)</f>
        <v/>
      </c>
      <c r="T64" s="2204">
        <f>SUM(T62:T63)</f>
        <v/>
      </c>
      <c r="U64" s="2203">
        <f>SUM(U62:U63)</f>
        <v/>
      </c>
      <c r="V64" s="2204">
        <f>SUM(V62:V63)</f>
        <v/>
      </c>
      <c r="W64" s="2204">
        <f>SUM(W62:W63)</f>
        <v/>
      </c>
      <c r="X64" s="2204">
        <f>SUM(X62:X63)</f>
        <v/>
      </c>
      <c r="Y64" s="2204">
        <f>SUM(Y62:Y63)</f>
        <v/>
      </c>
      <c r="Z64" s="2203">
        <f>SUM(Z62:Z63)</f>
        <v/>
      </c>
      <c r="AA64" s="2204">
        <f>SUM(AA62:AA63)</f>
        <v/>
      </c>
      <c r="AB64" s="2204">
        <f>SUM(AB62:AB63)</f>
        <v/>
      </c>
      <c r="AC64" s="2204">
        <f>SUM(AC62:AC63)</f>
        <v/>
      </c>
      <c r="AD64" s="2204">
        <f>SUM(AD62:AD63)</f>
        <v/>
      </c>
      <c r="AE64" s="2203">
        <f>SUM(AE62:AE63)</f>
        <v/>
      </c>
      <c r="AF64" s="2204">
        <f>SUM(AF62:AF63)</f>
        <v/>
      </c>
      <c r="AG64" s="2204">
        <f>SUM(AG62:AG63)</f>
        <v/>
      </c>
      <c r="AH64" s="2204">
        <f>SUM(AH62:AH63)</f>
        <v/>
      </c>
      <c r="AI64" s="2204">
        <f>SUM(AI62:AI63)</f>
        <v/>
      </c>
      <c r="AJ64" s="2203">
        <f>SUM(AJ62:AJ63)</f>
        <v/>
      </c>
      <c r="AK64" s="2204">
        <f>SUM(AK62:AK63)</f>
        <v/>
      </c>
      <c r="AL64" s="2204">
        <f>SUM(AL62:AL63)</f>
        <v/>
      </c>
      <c r="AM64" s="2204">
        <f>SUM(AM62:AM63)</f>
        <v/>
      </c>
      <c r="AN64" s="2204">
        <f>SUM(AN62:AN63)</f>
        <v/>
      </c>
      <c r="AO64" s="2203">
        <f>SUM(AO62:AO63)</f>
        <v/>
      </c>
      <c r="AP64" s="2204">
        <f>SUM(AP62:AP63)</f>
        <v/>
      </c>
      <c r="AQ64" s="2204">
        <f>SUM(AQ62:AQ63)</f>
        <v/>
      </c>
      <c r="AR64" s="2204">
        <f>SUM(AR62:AR63)</f>
        <v/>
      </c>
      <c r="AS64" s="2204">
        <f>SUM(AS62:AS63)</f>
        <v/>
      </c>
      <c r="AT64" s="2203">
        <f>SUM(AT62:AT63)</f>
        <v/>
      </c>
      <c r="AU64" s="2204">
        <f>SUM(AU62:AU63)</f>
        <v/>
      </c>
      <c r="AV64" s="2204">
        <f>SUM(AV62:AV63)</f>
        <v/>
      </c>
      <c r="AW64" s="2204">
        <f>SUM(AW62:AW63)</f>
        <v/>
      </c>
      <c r="AX64" s="2204">
        <f>SUM(AX62:AX63)</f>
        <v/>
      </c>
      <c r="AY64" s="2203">
        <f>SUM(AY62:AY63)</f>
        <v/>
      </c>
      <c r="AZ64" s="2204">
        <f>SUM(AZ62:AZ63)</f>
        <v/>
      </c>
      <c r="BA64" s="2204">
        <f>SUM(BA62:BA63)</f>
        <v/>
      </c>
      <c r="BB64" s="2204">
        <f>SUM(BB62:BB63)</f>
        <v/>
      </c>
      <c r="BC64" s="2204">
        <f>SUM(BC62:BC63)</f>
        <v/>
      </c>
      <c r="BD64" s="2203">
        <f>SUM(BD62:BD63)</f>
        <v/>
      </c>
      <c r="BE64" s="2204">
        <f>SUM(BE62:BE63)</f>
        <v/>
      </c>
      <c r="BF64" s="2204">
        <f>SUM(BF62:BF63)</f>
        <v/>
      </c>
      <c r="BG64" s="2204">
        <f>SUM(BG62:BG63)</f>
        <v/>
      </c>
      <c r="BH64" s="2204">
        <f>SUM(BH62:BH63)</f>
        <v/>
      </c>
      <c r="BI64" s="2203">
        <f>SUM(BI62:BI63)</f>
        <v/>
      </c>
      <c r="BJ64" s="2204">
        <f>SUM(BJ62:BJ63)</f>
        <v/>
      </c>
      <c r="BK64" s="2204">
        <f>SUM(BK62:BK63)</f>
        <v/>
      </c>
      <c r="BL64" s="2204">
        <f>SUM(BL62:BL63)</f>
        <v/>
      </c>
      <c r="BM64" s="2204">
        <f>SUM(BM62:BM63)</f>
        <v/>
      </c>
      <c r="BN64" s="2203">
        <f>SUM(BN62:BN63)</f>
        <v/>
      </c>
      <c r="BO64" s="2204">
        <f>SUM(BO62:BO63)</f>
        <v/>
      </c>
      <c r="BP64" s="2204">
        <f>SUM(BP62:BP63)</f>
        <v/>
      </c>
      <c r="BQ64" s="2205">
        <f>SUM(BQ62:BQ63)</f>
        <v/>
      </c>
      <c r="BR64" s="2204">
        <f>SUM(BR62:BR63)</f>
        <v/>
      </c>
      <c r="BS64" s="2203">
        <f>SUM(BS62:BS63)</f>
        <v/>
      </c>
      <c r="BT64" s="2204">
        <f>SUM(BT62:BT63)</f>
        <v/>
      </c>
      <c r="BU64" s="2204">
        <f>SUM(BU62:BU63)</f>
        <v/>
      </c>
      <c r="BV64" s="2204">
        <f>SUM(BV62:BV63)</f>
        <v/>
      </c>
      <c r="BW64" s="2204">
        <f>SUM(BW62:BW63)</f>
        <v/>
      </c>
      <c r="BX64" s="2203">
        <f>SUM(BX62:BX63)</f>
        <v/>
      </c>
      <c r="BY64" s="2203">
        <f>SUM(BY62:BY63)</f>
        <v/>
      </c>
      <c r="BZ64" s="2203">
        <f>SUM(BZ62:BZ63)</f>
        <v/>
      </c>
      <c r="CA64" s="2203">
        <f>SUM(CA62:CA63)</f>
        <v/>
      </c>
      <c r="CB64" s="2089" t="n"/>
    </row>
    <row r="65" ht="15" customFormat="1" customHeight="1" s="2101">
      <c r="A65" s="1593">
        <f>INDEX(MO_CFSum_Acquisition,0,COLUMN())</f>
        <v/>
      </c>
      <c r="B65" s="2200" t="n"/>
      <c r="C65" s="2087">
        <f>INDEX(MO_CFSum_Acquisition,0,COLUMN())</f>
        <v/>
      </c>
      <c r="D65" s="2087">
        <f>INDEX(MO_CFSum_Acquisition,0,COLUMN())</f>
        <v/>
      </c>
      <c r="E65" s="2087">
        <f>INDEX(MO_CFSum_Acquisition,0,COLUMN())</f>
        <v/>
      </c>
      <c r="F65" s="2087">
        <f>INDEX(MO_CFSum_Acquisition,0,COLUMN())</f>
        <v/>
      </c>
      <c r="G65" s="2072">
        <f>INDEX(MO_CFSum_Acquisition,0,COLUMN())</f>
        <v/>
      </c>
      <c r="H65" s="2072">
        <f>INDEX(MO_CFSum_Acquisition,0,COLUMN())</f>
        <v/>
      </c>
      <c r="I65" s="2072">
        <f>INDEX(MO_CFSum_Acquisition,0,COLUMN())</f>
        <v/>
      </c>
      <c r="J65" s="2072">
        <f>INDEX(MO_CFSum_Acquisition,0,COLUMN())</f>
        <v/>
      </c>
      <c r="K65" s="2087">
        <f>INDEX(MO_CFSum_Acquisition,0,COLUMN())</f>
        <v/>
      </c>
      <c r="L65" s="2072">
        <f>INDEX(MO_CFSum_Acquisition,0,COLUMN())</f>
        <v/>
      </c>
      <c r="M65" s="2072">
        <f>INDEX(MO_CFSum_Acquisition,0,COLUMN())</f>
        <v/>
      </c>
      <c r="N65" s="2072">
        <f>INDEX(MO_CFSum_Acquisition,0,COLUMN())</f>
        <v/>
      </c>
      <c r="O65" s="2072">
        <f>INDEX(MO_CFSum_Acquisition,0,COLUMN())</f>
        <v/>
      </c>
      <c r="P65" s="2087">
        <f>INDEX(MO_CFSum_Acquisition,0,COLUMN())</f>
        <v/>
      </c>
      <c r="Q65" s="2072">
        <f>INDEX(MO_CFSum_Acquisition,0,COLUMN())</f>
        <v/>
      </c>
      <c r="R65" s="2072">
        <f>INDEX(MO_CFSum_Acquisition,0,COLUMN())</f>
        <v/>
      </c>
      <c r="S65" s="2072">
        <f>INDEX(MO_CFSum_Acquisition,0,COLUMN())</f>
        <v/>
      </c>
      <c r="T65" s="2072">
        <f>INDEX(MO_CFSum_Acquisition,0,COLUMN())</f>
        <v/>
      </c>
      <c r="U65" s="2087">
        <f>INDEX(MO_CFSum_Acquisition,0,COLUMN())</f>
        <v/>
      </c>
      <c r="V65" s="2072">
        <f>INDEX(MO_CFSum_Acquisition,0,COLUMN())</f>
        <v/>
      </c>
      <c r="W65" s="2072">
        <f>INDEX(MO_CFSum_Acquisition,0,COLUMN())</f>
        <v/>
      </c>
      <c r="X65" s="2072">
        <f>INDEX(MO_CFSum_Acquisition,0,COLUMN())</f>
        <v/>
      </c>
      <c r="Y65" s="2072">
        <f>INDEX(MO_CFSum_Acquisition,0,COLUMN())</f>
        <v/>
      </c>
      <c r="Z65" s="2087">
        <f>INDEX(MO_CFSum_Acquisition,0,COLUMN())</f>
        <v/>
      </c>
      <c r="AA65" s="2072">
        <f>INDEX(MO_CFSum_Acquisition,0,COLUMN())</f>
        <v/>
      </c>
      <c r="AB65" s="2072">
        <f>INDEX(MO_CFSum_Acquisition,0,COLUMN())</f>
        <v/>
      </c>
      <c r="AC65" s="2072">
        <f>INDEX(MO_CFSum_Acquisition,0,COLUMN())</f>
        <v/>
      </c>
      <c r="AD65" s="2072">
        <f>INDEX(MO_CFSum_Acquisition,0,COLUMN())</f>
        <v/>
      </c>
      <c r="AE65" s="2087">
        <f>INDEX(MO_CFSum_Acquisition,0,COLUMN())</f>
        <v/>
      </c>
      <c r="AF65" s="2072">
        <f>INDEX(MO_CFSum_Acquisition,0,COLUMN())</f>
        <v/>
      </c>
      <c r="AG65" s="2072">
        <f>INDEX(MO_CFSum_Acquisition,0,COLUMN())</f>
        <v/>
      </c>
      <c r="AH65" s="2072">
        <f>INDEX(MO_CFSum_Acquisition,0,COLUMN())</f>
        <v/>
      </c>
      <c r="AI65" s="2072">
        <f>INDEX(MO_CFSum_Acquisition,0,COLUMN())</f>
        <v/>
      </c>
      <c r="AJ65" s="2087">
        <f>INDEX(MO_CFSum_Acquisition,0,COLUMN())</f>
        <v/>
      </c>
      <c r="AK65" s="2072">
        <f>INDEX(MO_CFSum_Acquisition,0,COLUMN())</f>
        <v/>
      </c>
      <c r="AL65" s="2072">
        <f>INDEX(MO_CFSum_Acquisition,0,COLUMN())</f>
        <v/>
      </c>
      <c r="AM65" s="2072">
        <f>INDEX(MO_CFSum_Acquisition,0,COLUMN())</f>
        <v/>
      </c>
      <c r="AN65" s="2072">
        <f>INDEX(MO_CFSum_Acquisition,0,COLUMN())</f>
        <v/>
      </c>
      <c r="AO65" s="2087">
        <f>INDEX(MO_CFSum_Acquisition,0,COLUMN())</f>
        <v/>
      </c>
      <c r="AP65" s="2072">
        <f>INDEX(MO_CFSum_Acquisition,0,COLUMN())</f>
        <v/>
      </c>
      <c r="AQ65" s="2072">
        <f>INDEX(MO_CFSum_Acquisition,0,COLUMN())</f>
        <v/>
      </c>
      <c r="AR65" s="2072">
        <f>INDEX(MO_CFSum_Acquisition,0,COLUMN())</f>
        <v/>
      </c>
      <c r="AS65" s="2072">
        <f>INDEX(MO_CFSum_Acquisition,0,COLUMN())</f>
        <v/>
      </c>
      <c r="AT65" s="2087">
        <f>INDEX(MO_CFSum_Acquisition,0,COLUMN())</f>
        <v/>
      </c>
      <c r="AU65" s="2072">
        <f>INDEX(MO_CFSum_Acquisition,0,COLUMN())</f>
        <v/>
      </c>
      <c r="AV65" s="2072">
        <f>INDEX(MO_CFSum_Acquisition,0,COLUMN())</f>
        <v/>
      </c>
      <c r="AW65" s="2072">
        <f>INDEX(MO_CFSum_Acquisition,0,COLUMN())</f>
        <v/>
      </c>
      <c r="AX65" s="2072">
        <f>INDEX(MO_CFSum_Acquisition,0,COLUMN())</f>
        <v/>
      </c>
      <c r="AY65" s="2087">
        <f>INDEX(MO_CFSum_Acquisition,0,COLUMN())</f>
        <v/>
      </c>
      <c r="AZ65" s="2072">
        <f>INDEX(MO_CFSum_Acquisition,0,COLUMN())</f>
        <v/>
      </c>
      <c r="BA65" s="2072">
        <f>INDEX(MO_CFSum_Acquisition,0,COLUMN())</f>
        <v/>
      </c>
      <c r="BB65" s="2072">
        <f>INDEX(MO_CFSum_Acquisition,0,COLUMN())</f>
        <v/>
      </c>
      <c r="BC65" s="2072">
        <f>INDEX(MO_CFSum_Acquisition,0,COLUMN())</f>
        <v/>
      </c>
      <c r="BD65" s="2087">
        <f>INDEX(MO_CFSum_Acquisition,0,COLUMN())</f>
        <v/>
      </c>
      <c r="BE65" s="2072">
        <f>INDEX(MO_CFSum_Acquisition,0,COLUMN())</f>
        <v/>
      </c>
      <c r="BF65" s="2072">
        <f>INDEX(MO_CFSum_Acquisition,0,COLUMN())</f>
        <v/>
      </c>
      <c r="BG65" s="2072">
        <f>INDEX(MO_CFSum_Acquisition,0,COLUMN())</f>
        <v/>
      </c>
      <c r="BH65" s="2072">
        <f>INDEX(MO_CFSum_Acquisition,0,COLUMN())</f>
        <v/>
      </c>
      <c r="BI65" s="2087">
        <f>INDEX(MO_CFSum_Acquisition,0,COLUMN())</f>
        <v/>
      </c>
      <c r="BJ65" s="2072">
        <f>INDEX(MO_CFSum_Acquisition,0,COLUMN())</f>
        <v/>
      </c>
      <c r="BK65" s="2072">
        <f>INDEX(MO_CFSum_Acquisition,0,COLUMN())</f>
        <v/>
      </c>
      <c r="BL65" s="2072">
        <f>INDEX(MO_CFSum_Acquisition,0,COLUMN())</f>
        <v/>
      </c>
      <c r="BM65" s="2072">
        <f>INDEX(MO_CFSum_Acquisition,0,COLUMN())</f>
        <v/>
      </c>
      <c r="BN65" s="2087">
        <f>INDEX(MO_CFSum_Acquisition,0,COLUMN())</f>
        <v/>
      </c>
      <c r="BO65" s="2072">
        <f>INDEX(MO_CFSum_Acquisition,0,COLUMN())</f>
        <v/>
      </c>
      <c r="BP65" s="2072">
        <f>INDEX(MO_CFSum_Acquisition,0,COLUMN())</f>
        <v/>
      </c>
      <c r="BQ65" s="2073">
        <f>INDEX(MO_CFSum_Acquisition,0,COLUMN())</f>
        <v/>
      </c>
      <c r="BR65" s="2072">
        <f>INDEX(MO_CFSum_Acquisition,0,COLUMN())</f>
        <v/>
      </c>
      <c r="BS65" s="2087">
        <f>INDEX(MO_CFSum_Acquisition,0,COLUMN())</f>
        <v/>
      </c>
      <c r="BT65" s="2072">
        <f>INDEX(MO_CFSum_Acquisition,0,COLUMN())</f>
        <v/>
      </c>
      <c r="BU65" s="2072">
        <f>INDEX(MO_CFSum_Acquisition,0,COLUMN())</f>
        <v/>
      </c>
      <c r="BV65" s="2072">
        <f>INDEX(MO_CFSum_Acquisition,0,COLUMN())</f>
        <v/>
      </c>
      <c r="BW65" s="2072">
        <f>INDEX(MO_CFSum_Acquisition,0,COLUMN())</f>
        <v/>
      </c>
      <c r="BX65" s="2087">
        <f>INDEX(MO_CFSum_Acquisition,0,COLUMN())</f>
        <v/>
      </c>
      <c r="BY65" s="2087">
        <f>INDEX(MO_CFSum_Acquisition,0,COLUMN())</f>
        <v/>
      </c>
      <c r="BZ65" s="2087">
        <f>INDEX(MO_CFSum_Acquisition,0,COLUMN())</f>
        <v/>
      </c>
      <c r="CA65" s="2087">
        <f>INDEX(MO_CFSum_Acquisition,0,COLUMN())</f>
        <v/>
      </c>
      <c r="CB65" s="2072" t="n"/>
    </row>
    <row r="66" ht="15" customFormat="1" customHeight="1" s="2101">
      <c r="A66" s="1593">
        <f>INDEX(MO_CFSum_Divestiture,0,COLUMN())</f>
        <v/>
      </c>
      <c r="B66" s="2200" t="n"/>
      <c r="C66" s="2087">
        <f>INDEX(MO_CFSum_Divestiture,0,COLUMN())</f>
        <v/>
      </c>
      <c r="D66" s="2087">
        <f>INDEX(MO_CFSum_Divestiture,0,COLUMN())</f>
        <v/>
      </c>
      <c r="E66" s="2087">
        <f>INDEX(MO_CFSum_Divestiture,0,COLUMN())</f>
        <v/>
      </c>
      <c r="F66" s="2087">
        <f>INDEX(MO_CFSum_Divestiture,0,COLUMN())</f>
        <v/>
      </c>
      <c r="G66" s="2072">
        <f>INDEX(MO_CFSum_Divestiture,0,COLUMN())</f>
        <v/>
      </c>
      <c r="H66" s="2072">
        <f>INDEX(MO_CFSum_Divestiture,0,COLUMN())</f>
        <v/>
      </c>
      <c r="I66" s="2072">
        <f>INDEX(MO_CFSum_Divestiture,0,COLUMN())</f>
        <v/>
      </c>
      <c r="J66" s="2072">
        <f>INDEX(MO_CFSum_Divestiture,0,COLUMN())</f>
        <v/>
      </c>
      <c r="K66" s="2087">
        <f>INDEX(MO_CFSum_Divestiture,0,COLUMN())</f>
        <v/>
      </c>
      <c r="L66" s="2072">
        <f>INDEX(MO_CFSum_Divestiture,0,COLUMN())</f>
        <v/>
      </c>
      <c r="M66" s="2072">
        <f>INDEX(MO_CFSum_Divestiture,0,COLUMN())</f>
        <v/>
      </c>
      <c r="N66" s="2072">
        <f>INDEX(MO_CFSum_Divestiture,0,COLUMN())</f>
        <v/>
      </c>
      <c r="O66" s="2072">
        <f>INDEX(MO_CFSum_Divestiture,0,COLUMN())</f>
        <v/>
      </c>
      <c r="P66" s="2087">
        <f>INDEX(MO_CFSum_Divestiture,0,COLUMN())</f>
        <v/>
      </c>
      <c r="Q66" s="2072">
        <f>INDEX(MO_CFSum_Divestiture,0,COLUMN())</f>
        <v/>
      </c>
      <c r="R66" s="2072">
        <f>INDEX(MO_CFSum_Divestiture,0,COLUMN())</f>
        <v/>
      </c>
      <c r="S66" s="2072">
        <f>INDEX(MO_CFSum_Divestiture,0,COLUMN())</f>
        <v/>
      </c>
      <c r="T66" s="2072">
        <f>INDEX(MO_CFSum_Divestiture,0,COLUMN())</f>
        <v/>
      </c>
      <c r="U66" s="2087">
        <f>INDEX(MO_CFSum_Divestiture,0,COLUMN())</f>
        <v/>
      </c>
      <c r="V66" s="2072">
        <f>INDEX(MO_CFSum_Divestiture,0,COLUMN())</f>
        <v/>
      </c>
      <c r="W66" s="2072">
        <f>INDEX(MO_CFSum_Divestiture,0,COLUMN())</f>
        <v/>
      </c>
      <c r="X66" s="2072">
        <f>INDEX(MO_CFSum_Divestiture,0,COLUMN())</f>
        <v/>
      </c>
      <c r="Y66" s="2072">
        <f>INDEX(MO_CFSum_Divestiture,0,COLUMN())</f>
        <v/>
      </c>
      <c r="Z66" s="2087">
        <f>INDEX(MO_CFSum_Divestiture,0,COLUMN())</f>
        <v/>
      </c>
      <c r="AA66" s="2072">
        <f>INDEX(MO_CFSum_Divestiture,0,COLUMN())</f>
        <v/>
      </c>
      <c r="AB66" s="2072">
        <f>INDEX(MO_CFSum_Divestiture,0,COLUMN())</f>
        <v/>
      </c>
      <c r="AC66" s="2072">
        <f>INDEX(MO_CFSum_Divestiture,0,COLUMN())</f>
        <v/>
      </c>
      <c r="AD66" s="2072">
        <f>INDEX(MO_CFSum_Divestiture,0,COLUMN())</f>
        <v/>
      </c>
      <c r="AE66" s="2087">
        <f>INDEX(MO_CFSum_Divestiture,0,COLUMN())</f>
        <v/>
      </c>
      <c r="AF66" s="2072">
        <f>INDEX(MO_CFSum_Divestiture,0,COLUMN())</f>
        <v/>
      </c>
      <c r="AG66" s="2072">
        <f>INDEX(MO_CFSum_Divestiture,0,COLUMN())</f>
        <v/>
      </c>
      <c r="AH66" s="2072">
        <f>INDEX(MO_CFSum_Divestiture,0,COLUMN())</f>
        <v/>
      </c>
      <c r="AI66" s="2072">
        <f>INDEX(MO_CFSum_Divestiture,0,COLUMN())</f>
        <v/>
      </c>
      <c r="AJ66" s="2087">
        <f>INDEX(MO_CFSum_Divestiture,0,COLUMN())</f>
        <v/>
      </c>
      <c r="AK66" s="2072">
        <f>INDEX(MO_CFSum_Divestiture,0,COLUMN())</f>
        <v/>
      </c>
      <c r="AL66" s="2072">
        <f>INDEX(MO_CFSum_Divestiture,0,COLUMN())</f>
        <v/>
      </c>
      <c r="AM66" s="2072">
        <f>INDEX(MO_CFSum_Divestiture,0,COLUMN())</f>
        <v/>
      </c>
      <c r="AN66" s="2072">
        <f>INDEX(MO_CFSum_Divestiture,0,COLUMN())</f>
        <v/>
      </c>
      <c r="AO66" s="2087">
        <f>INDEX(MO_CFSum_Divestiture,0,COLUMN())</f>
        <v/>
      </c>
      <c r="AP66" s="2072">
        <f>INDEX(MO_CFSum_Divestiture,0,COLUMN())</f>
        <v/>
      </c>
      <c r="AQ66" s="2072">
        <f>INDEX(MO_CFSum_Divestiture,0,COLUMN())</f>
        <v/>
      </c>
      <c r="AR66" s="2072">
        <f>INDEX(MO_CFSum_Divestiture,0,COLUMN())</f>
        <v/>
      </c>
      <c r="AS66" s="2072">
        <f>INDEX(MO_CFSum_Divestiture,0,COLUMN())</f>
        <v/>
      </c>
      <c r="AT66" s="2087">
        <f>INDEX(MO_CFSum_Divestiture,0,COLUMN())</f>
        <v/>
      </c>
      <c r="AU66" s="2072">
        <f>INDEX(MO_CFSum_Divestiture,0,COLUMN())</f>
        <v/>
      </c>
      <c r="AV66" s="2072">
        <f>INDEX(MO_CFSum_Divestiture,0,COLUMN())</f>
        <v/>
      </c>
      <c r="AW66" s="2072">
        <f>INDEX(MO_CFSum_Divestiture,0,COLUMN())</f>
        <v/>
      </c>
      <c r="AX66" s="2072">
        <f>INDEX(MO_CFSum_Divestiture,0,COLUMN())</f>
        <v/>
      </c>
      <c r="AY66" s="2087">
        <f>INDEX(MO_CFSum_Divestiture,0,COLUMN())</f>
        <v/>
      </c>
      <c r="AZ66" s="2072">
        <f>INDEX(MO_CFSum_Divestiture,0,COLUMN())</f>
        <v/>
      </c>
      <c r="BA66" s="2072">
        <f>INDEX(MO_CFSum_Divestiture,0,COLUMN())</f>
        <v/>
      </c>
      <c r="BB66" s="2072">
        <f>INDEX(MO_CFSum_Divestiture,0,COLUMN())</f>
        <v/>
      </c>
      <c r="BC66" s="2072">
        <f>INDEX(MO_CFSum_Divestiture,0,COLUMN())</f>
        <v/>
      </c>
      <c r="BD66" s="2087">
        <f>INDEX(MO_CFSum_Divestiture,0,COLUMN())</f>
        <v/>
      </c>
      <c r="BE66" s="2072">
        <f>INDEX(MO_CFSum_Divestiture,0,COLUMN())</f>
        <v/>
      </c>
      <c r="BF66" s="2072">
        <f>INDEX(MO_CFSum_Divestiture,0,COLUMN())</f>
        <v/>
      </c>
      <c r="BG66" s="2072">
        <f>INDEX(MO_CFSum_Divestiture,0,COLUMN())</f>
        <v/>
      </c>
      <c r="BH66" s="2072">
        <f>INDEX(MO_CFSum_Divestiture,0,COLUMN())</f>
        <v/>
      </c>
      <c r="BI66" s="2087">
        <f>INDEX(MO_CFSum_Divestiture,0,COLUMN())</f>
        <v/>
      </c>
      <c r="BJ66" s="2072">
        <f>INDEX(MO_CFSum_Divestiture,0,COLUMN())</f>
        <v/>
      </c>
      <c r="BK66" s="2072">
        <f>INDEX(MO_CFSum_Divestiture,0,COLUMN())</f>
        <v/>
      </c>
      <c r="BL66" s="2072">
        <f>INDEX(MO_CFSum_Divestiture,0,COLUMN())</f>
        <v/>
      </c>
      <c r="BM66" s="2072">
        <f>INDEX(MO_CFSum_Divestiture,0,COLUMN())</f>
        <v/>
      </c>
      <c r="BN66" s="2087">
        <f>INDEX(MO_CFSum_Divestiture,0,COLUMN())</f>
        <v/>
      </c>
      <c r="BO66" s="2072">
        <f>INDEX(MO_CFSum_Divestiture,0,COLUMN())</f>
        <v/>
      </c>
      <c r="BP66" s="2072">
        <f>INDEX(MO_CFSum_Divestiture,0,COLUMN())</f>
        <v/>
      </c>
      <c r="BQ66" s="2073">
        <f>INDEX(MO_CFSum_Divestiture,0,COLUMN())</f>
        <v/>
      </c>
      <c r="BR66" s="2072">
        <f>INDEX(MO_CFSum_Divestiture,0,COLUMN())</f>
        <v/>
      </c>
      <c r="BS66" s="2087">
        <f>INDEX(MO_CFSum_Divestiture,0,COLUMN())</f>
        <v/>
      </c>
      <c r="BT66" s="2072">
        <f>INDEX(MO_CFSum_Divestiture,0,COLUMN())</f>
        <v/>
      </c>
      <c r="BU66" s="2072">
        <f>INDEX(MO_CFSum_Divestiture,0,COLUMN())</f>
        <v/>
      </c>
      <c r="BV66" s="2072">
        <f>INDEX(MO_CFSum_Divestiture,0,COLUMN())</f>
        <v/>
      </c>
      <c r="BW66" s="2072">
        <f>INDEX(MO_CFSum_Divestiture,0,COLUMN())</f>
        <v/>
      </c>
      <c r="BX66" s="2087">
        <f>INDEX(MO_CFSum_Divestiture,0,COLUMN())</f>
        <v/>
      </c>
      <c r="BY66" s="2087">
        <f>INDEX(MO_CFSum_Divestiture,0,COLUMN())</f>
        <v/>
      </c>
      <c r="BZ66" s="2087">
        <f>INDEX(MO_CFSum_Divestiture,0,COLUMN())</f>
        <v/>
      </c>
      <c r="CA66" s="2087">
        <f>INDEX(MO_CFSum_Divestiture,0,COLUMN())</f>
        <v/>
      </c>
      <c r="CB66" s="2072" t="n"/>
    </row>
    <row r="67" ht="15" customFormat="1" customHeight="1" s="2101">
      <c r="A67" s="1593" t="inlineStr">
        <is>
          <t>New Equity Issuance</t>
        </is>
      </c>
      <c r="B67" s="2200" t="n"/>
      <c r="C67" s="2087">
        <f>INDEX(MO_CFSum_NetShares,0,COLUMN())</f>
        <v/>
      </c>
      <c r="D67" s="2087">
        <f>INDEX(MO_CFSum_NetShares,0,COLUMN())</f>
        <v/>
      </c>
      <c r="E67" s="2087">
        <f>INDEX(MO_CFSum_NetShares,0,COLUMN())</f>
        <v/>
      </c>
      <c r="F67" s="2087">
        <f>INDEX(MO_CFSum_NetShares,0,COLUMN())</f>
        <v/>
      </c>
      <c r="G67" s="2072">
        <f>INDEX(MO_CFSum_NetShares,0,COLUMN())</f>
        <v/>
      </c>
      <c r="H67" s="2072">
        <f>INDEX(MO_CFSum_NetShares,0,COLUMN())</f>
        <v/>
      </c>
      <c r="I67" s="2072">
        <f>INDEX(MO_CFSum_NetShares,0,COLUMN())</f>
        <v/>
      </c>
      <c r="J67" s="2072">
        <f>INDEX(MO_CFSum_NetShares,0,COLUMN())</f>
        <v/>
      </c>
      <c r="K67" s="2087">
        <f>INDEX(MO_CFSum_NetShares,0,COLUMN())</f>
        <v/>
      </c>
      <c r="L67" s="2072">
        <f>INDEX(MO_CFSum_NetShares,0,COLUMN())</f>
        <v/>
      </c>
      <c r="M67" s="2072">
        <f>INDEX(MO_CFSum_NetShares,0,COLUMN())</f>
        <v/>
      </c>
      <c r="N67" s="2072">
        <f>INDEX(MO_CFSum_NetShares,0,COLUMN())</f>
        <v/>
      </c>
      <c r="O67" s="2072">
        <f>INDEX(MO_CFSum_NetShares,0,COLUMN())</f>
        <v/>
      </c>
      <c r="P67" s="2087">
        <f>INDEX(MO_CFSum_NetShares,0,COLUMN())</f>
        <v/>
      </c>
      <c r="Q67" s="2072">
        <f>INDEX(MO_CFSum_NetShares,0,COLUMN())</f>
        <v/>
      </c>
      <c r="R67" s="2072">
        <f>INDEX(MO_CFSum_NetShares,0,COLUMN())</f>
        <v/>
      </c>
      <c r="S67" s="2072">
        <f>INDEX(MO_CFSum_NetShares,0,COLUMN())</f>
        <v/>
      </c>
      <c r="T67" s="2072">
        <f>INDEX(MO_CFSum_NetShares,0,COLUMN())</f>
        <v/>
      </c>
      <c r="U67" s="2087">
        <f>INDEX(MO_CFSum_NetShares,0,COLUMN())</f>
        <v/>
      </c>
      <c r="V67" s="2072">
        <f>INDEX(MO_CFSum_NetShares,0,COLUMN())</f>
        <v/>
      </c>
      <c r="W67" s="2072">
        <f>INDEX(MO_CFSum_NetShares,0,COLUMN())</f>
        <v/>
      </c>
      <c r="X67" s="2072">
        <f>INDEX(MO_CFSum_NetShares,0,COLUMN())</f>
        <v/>
      </c>
      <c r="Y67" s="2072">
        <f>INDEX(MO_CFSum_NetShares,0,COLUMN())</f>
        <v/>
      </c>
      <c r="Z67" s="2087">
        <f>INDEX(MO_CFSum_NetShares,0,COLUMN())</f>
        <v/>
      </c>
      <c r="AA67" s="2072">
        <f>INDEX(MO_CFSum_NetShares,0,COLUMN())</f>
        <v/>
      </c>
      <c r="AB67" s="2072">
        <f>INDEX(MO_CFSum_NetShares,0,COLUMN())</f>
        <v/>
      </c>
      <c r="AC67" s="2072">
        <f>INDEX(MO_CFSum_NetShares,0,COLUMN())</f>
        <v/>
      </c>
      <c r="AD67" s="2072">
        <f>INDEX(MO_CFSum_NetShares,0,COLUMN())</f>
        <v/>
      </c>
      <c r="AE67" s="2087">
        <f>INDEX(MO_CFSum_NetShares,0,COLUMN())</f>
        <v/>
      </c>
      <c r="AF67" s="2072">
        <f>INDEX(MO_CFSum_NetShares,0,COLUMN())</f>
        <v/>
      </c>
      <c r="AG67" s="2072">
        <f>INDEX(MO_CFSum_NetShares,0,COLUMN())</f>
        <v/>
      </c>
      <c r="AH67" s="2072">
        <f>INDEX(MO_CFSum_NetShares,0,COLUMN())</f>
        <v/>
      </c>
      <c r="AI67" s="2072">
        <f>INDEX(MO_CFSum_NetShares,0,COLUMN())</f>
        <v/>
      </c>
      <c r="AJ67" s="2087">
        <f>INDEX(MO_CFSum_NetShares,0,COLUMN())</f>
        <v/>
      </c>
      <c r="AK67" s="2072">
        <f>INDEX(MO_CFSum_NetShares,0,COLUMN())</f>
        <v/>
      </c>
      <c r="AL67" s="2072">
        <f>INDEX(MO_CFSum_NetShares,0,COLUMN())</f>
        <v/>
      </c>
      <c r="AM67" s="2072">
        <f>INDEX(MO_CFSum_NetShares,0,COLUMN())</f>
        <v/>
      </c>
      <c r="AN67" s="2072">
        <f>INDEX(MO_CFSum_NetShares,0,COLUMN())</f>
        <v/>
      </c>
      <c r="AO67" s="2087">
        <f>INDEX(MO_CFSum_NetShares,0,COLUMN())</f>
        <v/>
      </c>
      <c r="AP67" s="2072">
        <f>INDEX(MO_CFSum_NetShares,0,COLUMN())</f>
        <v/>
      </c>
      <c r="AQ67" s="2072">
        <f>INDEX(MO_CFSum_NetShares,0,COLUMN())</f>
        <v/>
      </c>
      <c r="AR67" s="2072">
        <f>INDEX(MO_CFSum_NetShares,0,COLUMN())</f>
        <v/>
      </c>
      <c r="AS67" s="2072">
        <f>INDEX(MO_CFSum_NetShares,0,COLUMN())</f>
        <v/>
      </c>
      <c r="AT67" s="2087">
        <f>INDEX(MO_CFSum_NetShares,0,COLUMN())</f>
        <v/>
      </c>
      <c r="AU67" s="2072">
        <f>INDEX(MO_CFSum_NetShares,0,COLUMN())</f>
        <v/>
      </c>
      <c r="AV67" s="2072">
        <f>INDEX(MO_CFSum_NetShares,0,COLUMN())</f>
        <v/>
      </c>
      <c r="AW67" s="2072">
        <f>INDEX(MO_CFSum_NetShares,0,COLUMN())</f>
        <v/>
      </c>
      <c r="AX67" s="2072">
        <f>INDEX(MO_CFSum_NetShares,0,COLUMN())</f>
        <v/>
      </c>
      <c r="AY67" s="2087">
        <f>INDEX(MO_CFSum_NetShares,0,COLUMN())</f>
        <v/>
      </c>
      <c r="AZ67" s="2072">
        <f>INDEX(MO_CFSum_NetShares,0,COLUMN())</f>
        <v/>
      </c>
      <c r="BA67" s="2072">
        <f>INDEX(MO_CFSum_NetShares,0,COLUMN())</f>
        <v/>
      </c>
      <c r="BB67" s="2072">
        <f>INDEX(MO_CFSum_NetShares,0,COLUMN())</f>
        <v/>
      </c>
      <c r="BC67" s="2072">
        <f>INDEX(MO_CFSum_NetShares,0,COLUMN())</f>
        <v/>
      </c>
      <c r="BD67" s="2087">
        <f>INDEX(MO_CFSum_NetShares,0,COLUMN())</f>
        <v/>
      </c>
      <c r="BE67" s="2072">
        <f>INDEX(MO_CFSum_NetShares,0,COLUMN())</f>
        <v/>
      </c>
      <c r="BF67" s="2072">
        <f>INDEX(MO_CFSum_NetShares,0,COLUMN())</f>
        <v/>
      </c>
      <c r="BG67" s="2072">
        <f>INDEX(MO_CFSum_NetShares,0,COLUMN())</f>
        <v/>
      </c>
      <c r="BH67" s="2072">
        <f>INDEX(MO_CFSum_NetShares,0,COLUMN())</f>
        <v/>
      </c>
      <c r="BI67" s="2087">
        <f>INDEX(MO_CFSum_NetShares,0,COLUMN())</f>
        <v/>
      </c>
      <c r="BJ67" s="2072">
        <f>INDEX(MO_CFSum_NetShares,0,COLUMN())</f>
        <v/>
      </c>
      <c r="BK67" s="2072">
        <f>INDEX(MO_CFSum_NetShares,0,COLUMN())</f>
        <v/>
      </c>
      <c r="BL67" s="2072">
        <f>INDEX(MO_CFSum_NetShares,0,COLUMN())</f>
        <v/>
      </c>
      <c r="BM67" s="2072">
        <f>INDEX(MO_CFSum_NetShares,0,COLUMN())</f>
        <v/>
      </c>
      <c r="BN67" s="2087">
        <f>INDEX(MO_CFSum_NetShares,0,COLUMN())</f>
        <v/>
      </c>
      <c r="BO67" s="2072">
        <f>INDEX(MO_CFSum_NetShares,0,COLUMN())</f>
        <v/>
      </c>
      <c r="BP67" s="2072">
        <f>INDEX(MO_CFSum_NetShares,0,COLUMN())</f>
        <v/>
      </c>
      <c r="BQ67" s="2073">
        <f>INDEX(MO_CFSum_NetShares,0,COLUMN())</f>
        <v/>
      </c>
      <c r="BR67" s="2072">
        <f>INDEX(MO_CFSum_NetShares,0,COLUMN())</f>
        <v/>
      </c>
      <c r="BS67" s="2087">
        <f>INDEX(MO_CFSum_NetShares,0,COLUMN())</f>
        <v/>
      </c>
      <c r="BT67" s="2072">
        <f>INDEX(MO_CFSum_NetShares,0,COLUMN())</f>
        <v/>
      </c>
      <c r="BU67" s="2072">
        <f>INDEX(MO_CFSum_NetShares,0,COLUMN())</f>
        <v/>
      </c>
      <c r="BV67" s="2072">
        <f>INDEX(MO_CFSum_NetShares,0,COLUMN())</f>
        <v/>
      </c>
      <c r="BW67" s="2072">
        <f>INDEX(MO_CFSum_NetShares,0,COLUMN())</f>
        <v/>
      </c>
      <c r="BX67" s="2087">
        <f>INDEX(MO_CFSum_NetShares,0,COLUMN())</f>
        <v/>
      </c>
      <c r="BY67" s="2087">
        <f>INDEX(MO_CFSum_NetShares,0,COLUMN())</f>
        <v/>
      </c>
      <c r="BZ67" s="2087">
        <f>INDEX(MO_CFSum_NetShares,0,COLUMN())</f>
        <v/>
      </c>
      <c r="CA67" s="2087">
        <f>INDEX(MO_CFSum_NetShares,0,COLUMN())</f>
        <v/>
      </c>
      <c r="CB67" s="2072" t="n"/>
    </row>
    <row r="68" ht="15" customFormat="1" customHeight="1" s="2101">
      <c r="A68" s="1593" t="inlineStr">
        <is>
          <t>New Debt Issuance</t>
        </is>
      </c>
      <c r="B68" s="2200" t="n"/>
      <c r="C68" s="2087">
        <f>INDEX(MO_CFSum_NetDebtIssuance,0,COLUMN())</f>
        <v/>
      </c>
      <c r="D68" s="2087">
        <f>INDEX(MO_CFSum_NetDebtIssuance,0,COLUMN())</f>
        <v/>
      </c>
      <c r="E68" s="2087">
        <f>INDEX(MO_CFSum_NetDebtIssuance,0,COLUMN())</f>
        <v/>
      </c>
      <c r="F68" s="2087">
        <f>INDEX(MO_CFSum_NetDebtIssuance,0,COLUMN())</f>
        <v/>
      </c>
      <c r="G68" s="2072">
        <f>INDEX(MO_CFSum_NetDebtIssuance,0,COLUMN())</f>
        <v/>
      </c>
      <c r="H68" s="2072">
        <f>INDEX(MO_CFSum_NetDebtIssuance,0,COLUMN())</f>
        <v/>
      </c>
      <c r="I68" s="2072">
        <f>INDEX(MO_CFSum_NetDebtIssuance,0,COLUMN())</f>
        <v/>
      </c>
      <c r="J68" s="2072">
        <f>INDEX(MO_CFSum_NetDebtIssuance,0,COLUMN())</f>
        <v/>
      </c>
      <c r="K68" s="2087">
        <f>INDEX(MO_CFSum_NetDebtIssuance,0,COLUMN())</f>
        <v/>
      </c>
      <c r="L68" s="2072">
        <f>INDEX(MO_CFSum_NetDebtIssuance,0,COLUMN())</f>
        <v/>
      </c>
      <c r="M68" s="2072">
        <f>INDEX(MO_CFSum_NetDebtIssuance,0,COLUMN())</f>
        <v/>
      </c>
      <c r="N68" s="2072">
        <f>INDEX(MO_CFSum_NetDebtIssuance,0,COLUMN())</f>
        <v/>
      </c>
      <c r="O68" s="2072">
        <f>INDEX(MO_CFSum_NetDebtIssuance,0,COLUMN())</f>
        <v/>
      </c>
      <c r="P68" s="2087">
        <f>INDEX(MO_CFSum_NetDebtIssuance,0,COLUMN())</f>
        <v/>
      </c>
      <c r="Q68" s="2072">
        <f>INDEX(MO_CFSum_NetDebtIssuance,0,COLUMN())</f>
        <v/>
      </c>
      <c r="R68" s="2072">
        <f>INDEX(MO_CFSum_NetDebtIssuance,0,COLUMN())</f>
        <v/>
      </c>
      <c r="S68" s="2072">
        <f>INDEX(MO_CFSum_NetDebtIssuance,0,COLUMN())</f>
        <v/>
      </c>
      <c r="T68" s="2072">
        <f>INDEX(MO_CFSum_NetDebtIssuance,0,COLUMN())</f>
        <v/>
      </c>
      <c r="U68" s="2087">
        <f>INDEX(MO_CFSum_NetDebtIssuance,0,COLUMN())</f>
        <v/>
      </c>
      <c r="V68" s="2072">
        <f>INDEX(MO_CFSum_NetDebtIssuance,0,COLUMN())</f>
        <v/>
      </c>
      <c r="W68" s="2072">
        <f>INDEX(MO_CFSum_NetDebtIssuance,0,COLUMN())</f>
        <v/>
      </c>
      <c r="X68" s="2072">
        <f>INDEX(MO_CFSum_NetDebtIssuance,0,COLUMN())</f>
        <v/>
      </c>
      <c r="Y68" s="2072">
        <f>INDEX(MO_CFSum_NetDebtIssuance,0,COLUMN())</f>
        <v/>
      </c>
      <c r="Z68" s="2087">
        <f>INDEX(MO_CFSum_NetDebtIssuance,0,COLUMN())</f>
        <v/>
      </c>
      <c r="AA68" s="2072">
        <f>INDEX(MO_CFSum_NetDebtIssuance,0,COLUMN())</f>
        <v/>
      </c>
      <c r="AB68" s="2072">
        <f>INDEX(MO_CFSum_NetDebtIssuance,0,COLUMN())</f>
        <v/>
      </c>
      <c r="AC68" s="2072">
        <f>INDEX(MO_CFSum_NetDebtIssuance,0,COLUMN())</f>
        <v/>
      </c>
      <c r="AD68" s="2072">
        <f>INDEX(MO_CFSum_NetDebtIssuance,0,COLUMN())</f>
        <v/>
      </c>
      <c r="AE68" s="2087">
        <f>INDEX(MO_CFSum_NetDebtIssuance,0,COLUMN())</f>
        <v/>
      </c>
      <c r="AF68" s="2072">
        <f>INDEX(MO_CFSum_NetDebtIssuance,0,COLUMN())</f>
        <v/>
      </c>
      <c r="AG68" s="2072">
        <f>INDEX(MO_CFSum_NetDebtIssuance,0,COLUMN())</f>
        <v/>
      </c>
      <c r="AH68" s="2072">
        <f>INDEX(MO_CFSum_NetDebtIssuance,0,COLUMN())</f>
        <v/>
      </c>
      <c r="AI68" s="2072">
        <f>INDEX(MO_CFSum_NetDebtIssuance,0,COLUMN())</f>
        <v/>
      </c>
      <c r="AJ68" s="2087">
        <f>INDEX(MO_CFSum_NetDebtIssuance,0,COLUMN())</f>
        <v/>
      </c>
      <c r="AK68" s="2072">
        <f>INDEX(MO_CFSum_NetDebtIssuance,0,COLUMN())</f>
        <v/>
      </c>
      <c r="AL68" s="2072">
        <f>INDEX(MO_CFSum_NetDebtIssuance,0,COLUMN())</f>
        <v/>
      </c>
      <c r="AM68" s="2072">
        <f>INDEX(MO_CFSum_NetDebtIssuance,0,COLUMN())</f>
        <v/>
      </c>
      <c r="AN68" s="2072">
        <f>INDEX(MO_CFSum_NetDebtIssuance,0,COLUMN())</f>
        <v/>
      </c>
      <c r="AO68" s="2087">
        <f>INDEX(MO_CFSum_NetDebtIssuance,0,COLUMN())</f>
        <v/>
      </c>
      <c r="AP68" s="2072">
        <f>INDEX(MO_CFSum_NetDebtIssuance,0,COLUMN())</f>
        <v/>
      </c>
      <c r="AQ68" s="2072">
        <f>INDEX(MO_CFSum_NetDebtIssuance,0,COLUMN())</f>
        <v/>
      </c>
      <c r="AR68" s="2072">
        <f>INDEX(MO_CFSum_NetDebtIssuance,0,COLUMN())</f>
        <v/>
      </c>
      <c r="AS68" s="2072">
        <f>INDEX(MO_CFSum_NetDebtIssuance,0,COLUMN())</f>
        <v/>
      </c>
      <c r="AT68" s="2087">
        <f>INDEX(MO_CFSum_NetDebtIssuance,0,COLUMN())</f>
        <v/>
      </c>
      <c r="AU68" s="2072">
        <f>INDEX(MO_CFSum_NetDebtIssuance,0,COLUMN())</f>
        <v/>
      </c>
      <c r="AV68" s="2072">
        <f>INDEX(MO_CFSum_NetDebtIssuance,0,COLUMN())</f>
        <v/>
      </c>
      <c r="AW68" s="2072">
        <f>INDEX(MO_CFSum_NetDebtIssuance,0,COLUMN())</f>
        <v/>
      </c>
      <c r="AX68" s="2072">
        <f>INDEX(MO_CFSum_NetDebtIssuance,0,COLUMN())</f>
        <v/>
      </c>
      <c r="AY68" s="2087">
        <f>INDEX(MO_CFSum_NetDebtIssuance,0,COLUMN())</f>
        <v/>
      </c>
      <c r="AZ68" s="2072">
        <f>INDEX(MO_CFSum_NetDebtIssuance,0,COLUMN())</f>
        <v/>
      </c>
      <c r="BA68" s="2072">
        <f>INDEX(MO_CFSum_NetDebtIssuance,0,COLUMN())</f>
        <v/>
      </c>
      <c r="BB68" s="2072">
        <f>INDEX(MO_CFSum_NetDebtIssuance,0,COLUMN())</f>
        <v/>
      </c>
      <c r="BC68" s="2072">
        <f>INDEX(MO_CFSum_NetDebtIssuance,0,COLUMN())</f>
        <v/>
      </c>
      <c r="BD68" s="2087">
        <f>INDEX(MO_CFSum_NetDebtIssuance,0,COLUMN())</f>
        <v/>
      </c>
      <c r="BE68" s="2072">
        <f>INDEX(MO_CFSum_NetDebtIssuance,0,COLUMN())</f>
        <v/>
      </c>
      <c r="BF68" s="2072">
        <f>INDEX(MO_CFSum_NetDebtIssuance,0,COLUMN())</f>
        <v/>
      </c>
      <c r="BG68" s="2072">
        <f>INDEX(MO_CFSum_NetDebtIssuance,0,COLUMN())</f>
        <v/>
      </c>
      <c r="BH68" s="2072">
        <f>INDEX(MO_CFSum_NetDebtIssuance,0,COLUMN())</f>
        <v/>
      </c>
      <c r="BI68" s="2087">
        <f>INDEX(MO_CFSum_NetDebtIssuance,0,COLUMN())</f>
        <v/>
      </c>
      <c r="BJ68" s="2072">
        <f>INDEX(MO_CFSum_NetDebtIssuance,0,COLUMN())</f>
        <v/>
      </c>
      <c r="BK68" s="2072">
        <f>INDEX(MO_CFSum_NetDebtIssuance,0,COLUMN())</f>
        <v/>
      </c>
      <c r="BL68" s="2072">
        <f>INDEX(MO_CFSum_NetDebtIssuance,0,COLUMN())</f>
        <v/>
      </c>
      <c r="BM68" s="2072">
        <f>INDEX(MO_CFSum_NetDebtIssuance,0,COLUMN())</f>
        <v/>
      </c>
      <c r="BN68" s="2087">
        <f>INDEX(MO_CFSum_NetDebtIssuance,0,COLUMN())</f>
        <v/>
      </c>
      <c r="BO68" s="2072">
        <f>INDEX(MO_CFSum_NetDebtIssuance,0,COLUMN())</f>
        <v/>
      </c>
      <c r="BP68" s="2072">
        <f>INDEX(MO_CFSum_NetDebtIssuance,0,COLUMN())</f>
        <v/>
      </c>
      <c r="BQ68" s="2073">
        <f>INDEX(MO_CFSum_NetDebtIssuance,0,COLUMN())</f>
        <v/>
      </c>
      <c r="BR68" s="2072">
        <f>INDEX(MO_CFSum_NetDebtIssuance,0,COLUMN())</f>
        <v/>
      </c>
      <c r="BS68" s="2087">
        <f>INDEX(MO_CFSum_NetDebtIssuance,0,COLUMN())</f>
        <v/>
      </c>
      <c r="BT68" s="2072">
        <f>INDEX(MO_CFSum_NetDebtIssuance,0,COLUMN())</f>
        <v/>
      </c>
      <c r="BU68" s="2072">
        <f>INDEX(MO_CFSum_NetDebtIssuance,0,COLUMN())</f>
        <v/>
      </c>
      <c r="BV68" s="2072">
        <f>INDEX(MO_CFSum_NetDebtIssuance,0,COLUMN())</f>
        <v/>
      </c>
      <c r="BW68" s="2072">
        <f>INDEX(MO_CFSum_NetDebtIssuance,0,COLUMN())</f>
        <v/>
      </c>
      <c r="BX68" s="2087">
        <f>INDEX(MO_CFSum_NetDebtIssuance,0,COLUMN())</f>
        <v/>
      </c>
      <c r="BY68" s="2087">
        <f>INDEX(MO_CFSum_NetDebtIssuance,0,COLUMN())</f>
        <v/>
      </c>
      <c r="BZ68" s="2087">
        <f>INDEX(MO_CFSum_NetDebtIssuance,0,COLUMN())</f>
        <v/>
      </c>
      <c r="CA68" s="2087">
        <f>INDEX(MO_CFSum_NetDebtIssuance,0,COLUMN())</f>
        <v/>
      </c>
      <c r="CB68" s="2072" t="n"/>
    </row>
    <row r="69" ht="15" customFormat="1" customHeight="1" s="2101">
      <c r="A69" s="1607" t="inlineStr">
        <is>
          <t>Other Items</t>
        </is>
      </c>
      <c r="B69" s="2201" t="n"/>
      <c r="C69" s="2092">
        <f>Model!C1138+Model!C1139+Model!C1140+Model!C1147+Model!C1113+Model!C1114+Model!C1115+Model!C1116+Model!C1117+Model!C1125+Model!C1151+Model!C1143+Model!C1142+Model!C1119+Model!C1120</f>
        <v/>
      </c>
      <c r="D69" s="2092">
        <f>Model!D1138+Model!D1139+Model!D1140+Model!D1147+Model!D1113+Model!D1114+Model!D1115+Model!D1116+Model!D1117+Model!D1125+Model!D1151+Model!D1143+Model!D1142+Model!D1119+Model!D1120</f>
        <v/>
      </c>
      <c r="E69" s="2092">
        <f>Model!E1138+Model!E1139+Model!E1140+Model!E1147+Model!E1113+Model!E1114+Model!E1115+Model!E1116+Model!E1117+Model!E1125+Model!E1151+Model!E1143+Model!E1142+Model!E1119+Model!E1120</f>
        <v/>
      </c>
      <c r="F69" s="2092">
        <f>Model!F1138+Model!F1139+Model!F1140+Model!F1147+Model!F1113+Model!F1114+Model!F1115+Model!F1116+Model!F1117+Model!F1125+Model!F1151+Model!F1143+Model!F1142+Model!F1119+Model!F1120</f>
        <v/>
      </c>
      <c r="G69" s="2093">
        <f>Model!G1138+Model!G1139+Model!G1140+Model!G1147+Model!G1113+Model!G1114+Model!G1115+Model!G1116+Model!G1117+Model!G1125+Model!G1151+Model!G1143+Model!G1142+Model!G1119+Model!G1120</f>
        <v/>
      </c>
      <c r="H69" s="2093">
        <f>Model!H1138+Model!H1139+Model!H1140+Model!H1147+Model!H1113+Model!H1114+Model!H1115+Model!H1116+Model!H1117+Model!H1125+Model!H1151+Model!H1143+Model!H1142+Model!H1119+Model!H1120</f>
        <v/>
      </c>
      <c r="I69" s="2093">
        <f>Model!I1138+Model!I1139+Model!I1140+Model!I1147+Model!I1113+Model!I1114+Model!I1115+Model!I1116+Model!I1117+Model!I1125+Model!I1151+Model!I1143+Model!I1142+Model!I1119+Model!I1120</f>
        <v/>
      </c>
      <c r="J69" s="2093">
        <f>Model!J1138+Model!J1139+Model!J1140+Model!J1147+Model!J1113+Model!J1114+Model!J1115+Model!J1116+Model!J1117+Model!J1125+Model!J1151+Model!J1143+Model!J1142+Model!J1119+Model!J1120</f>
        <v/>
      </c>
      <c r="K69" s="2092">
        <f>Model!K1138+Model!K1139+Model!K1140+Model!K1147+Model!K1113+Model!K1114+Model!K1115+Model!K1116+Model!K1117+Model!K1125+Model!K1151+Model!K1143+Model!K1142+Model!K1119+Model!K1120</f>
        <v/>
      </c>
      <c r="L69" s="2093">
        <f>Model!L1138+Model!L1139+Model!L1140+Model!L1147+Model!L1113+Model!L1114+Model!L1115+Model!L1116+Model!L1117+Model!L1125+Model!L1151+Model!L1143+Model!L1142+Model!L1119+Model!L1120</f>
        <v/>
      </c>
      <c r="M69" s="2093">
        <f>Model!M1138+Model!M1139+Model!M1140+Model!M1147+Model!M1113+Model!M1114+Model!M1115+Model!M1116+Model!M1117+Model!M1125+Model!M1151+Model!M1143+Model!M1142+Model!M1119+Model!M1120</f>
        <v/>
      </c>
      <c r="N69" s="2093">
        <f>Model!N1138+Model!N1139+Model!N1140+Model!N1147+Model!N1113+Model!N1114+Model!N1115+Model!N1116+Model!N1117+Model!N1125+Model!N1151+Model!N1143+Model!N1142+Model!N1119+Model!N1120</f>
        <v/>
      </c>
      <c r="O69" s="2093">
        <f>Model!O1138+Model!O1139+Model!O1140+Model!O1147+Model!O1113+Model!O1114+Model!O1115+Model!O1116+Model!O1117+Model!O1125+Model!O1151+Model!O1143+Model!O1142+Model!O1119+Model!O1120</f>
        <v/>
      </c>
      <c r="P69" s="2092">
        <f>Model!P1138+Model!P1139+Model!P1140+Model!P1147+Model!P1113+Model!P1114+Model!P1115+Model!P1116+Model!P1117+Model!P1125+Model!P1151+Model!P1143+Model!P1142+Model!P1119+Model!P1120</f>
        <v/>
      </c>
      <c r="Q69" s="2093">
        <f>Model!Q1138+Model!Q1139+Model!Q1140+Model!Q1147+Model!Q1113+Model!Q1114+Model!Q1115+Model!Q1116+Model!Q1117+Model!Q1125+Model!Q1151+Model!Q1143+Model!Q1142+Model!Q1119+Model!Q1120</f>
        <v/>
      </c>
      <c r="R69" s="2093">
        <f>Model!R1138+Model!R1139+Model!R1140+Model!R1147+Model!R1113+Model!R1114+Model!R1115+Model!R1116+Model!R1117+Model!R1125+Model!R1151+Model!R1143+Model!R1142+Model!R1119+Model!R1120</f>
        <v/>
      </c>
      <c r="S69" s="2093">
        <f>Model!S1138+Model!S1139+Model!S1140+Model!S1147+Model!S1113+Model!S1114+Model!S1115+Model!S1116+Model!S1117+Model!S1125+Model!S1151+Model!S1143+Model!S1142+Model!S1119+Model!S1120</f>
        <v/>
      </c>
      <c r="T69" s="2093">
        <f>Model!T1138+Model!T1139+Model!T1140+Model!T1147+Model!T1113+Model!T1114+Model!T1115+Model!T1116+Model!T1117+Model!T1125+Model!T1151+Model!T1143+Model!T1142+Model!T1119+Model!T1120</f>
        <v/>
      </c>
      <c r="U69" s="2092">
        <f>Model!U1138+Model!U1139+Model!U1140+Model!U1147+Model!U1113+Model!U1114+Model!U1115+Model!U1116+Model!U1117+Model!U1125+Model!U1151+Model!U1143+Model!U1142+Model!U1119+Model!U1120</f>
        <v/>
      </c>
      <c r="V69" s="2093">
        <f>Model!V1138+Model!V1139+Model!V1140+Model!V1147+Model!V1113+Model!V1114+Model!V1115+Model!V1116+Model!V1117+Model!V1125+Model!V1151+Model!V1143+Model!V1142+Model!V1119+Model!V1120</f>
        <v/>
      </c>
      <c r="W69" s="2093">
        <f>Model!W1138+Model!W1139+Model!W1140+Model!W1147+Model!W1113+Model!W1114+Model!W1115+Model!W1116+Model!W1117+Model!W1125+Model!W1151+Model!W1143+Model!W1142+Model!W1119+Model!W1120</f>
        <v/>
      </c>
      <c r="X69" s="2093">
        <f>Model!X1138+Model!X1139+Model!X1140+Model!X1147+Model!X1113+Model!X1114+Model!X1115+Model!X1116+Model!X1117+Model!X1125+Model!X1151+Model!X1143+Model!X1142+Model!X1119+Model!X1120</f>
        <v/>
      </c>
      <c r="Y69" s="2093">
        <f>Model!Y1138+Model!Y1139+Model!Y1140+Model!Y1147+Model!Y1113+Model!Y1114+Model!Y1115+Model!Y1116+Model!Y1117+Model!Y1125+Model!Y1151+Model!Y1143+Model!Y1142+Model!Y1119+Model!Y1120</f>
        <v/>
      </c>
      <c r="Z69" s="2092">
        <f>Model!Z1138+Model!Z1139+Model!Z1140+Model!Z1147+Model!Z1113+Model!Z1114+Model!Z1115+Model!Z1116+Model!Z1117+Model!Z1125+Model!Z1151+Model!Z1143+Model!Z1142+Model!Z1119+Model!Z1120</f>
        <v/>
      </c>
      <c r="AA69" s="2093">
        <f>Model!AA1138+Model!AA1139+Model!AA1140+Model!AA1147+Model!AA1113+Model!AA1114+Model!AA1115+Model!AA1116+Model!AA1117+Model!AA1125+Model!AA1151+Model!AA1143+Model!AA1142+Model!AA1119+Model!AA1120</f>
        <v/>
      </c>
      <c r="AB69" s="2093">
        <f>Model!AB1138+Model!AB1139+Model!AB1140+Model!AB1147+Model!AB1113+Model!AB1114+Model!AB1115+Model!AB1116+Model!AB1117+Model!AB1125+Model!AB1151+Model!AB1143+Model!AB1142+Model!AB1119+Model!AB1120</f>
        <v/>
      </c>
      <c r="AC69" s="2093">
        <f>Model!AC1138+Model!AC1139+Model!AC1140+Model!AC1147+Model!AC1113+Model!AC1114+Model!AC1115+Model!AC1116+Model!AC1117+Model!AC1125+Model!AC1151+Model!AC1143+Model!AC1142+Model!AC1119+Model!AC1120</f>
        <v/>
      </c>
      <c r="AD69" s="2093">
        <f>Model!AD1138+Model!AD1139+Model!AD1140+Model!AD1147+Model!AD1113+Model!AD1114+Model!AD1115+Model!AD1116+Model!AD1117+Model!AD1125+Model!AD1151+Model!AD1143+Model!AD1142+Model!AD1119+Model!AD1120</f>
        <v/>
      </c>
      <c r="AE69" s="2092">
        <f>Model!AE1138+Model!AE1139+Model!AE1140+Model!AE1147+Model!AE1113+Model!AE1114+Model!AE1115+Model!AE1116+Model!AE1117+Model!AE1125+Model!AE1151+Model!AE1143+Model!AE1142+Model!AE1119+Model!AE1120</f>
        <v/>
      </c>
      <c r="AF69" s="2093">
        <f>Model!AF1138+Model!AF1139+Model!AF1140+Model!AF1147+Model!AF1113+Model!AF1114+Model!AF1115+Model!AF1116+Model!AF1117+Model!AF1125+Model!AF1151+Model!AF1143+Model!AF1142+Model!AF1119+Model!AF1120</f>
        <v/>
      </c>
      <c r="AG69" s="2093">
        <f>Model!AG1138+Model!AG1139+Model!AG1140+Model!AG1147+Model!AG1113+Model!AG1114+Model!AG1115+Model!AG1116+Model!AG1117+Model!AG1125+Model!AG1151+Model!AG1143+Model!AG1142+Model!AG1119+Model!AG1120</f>
        <v/>
      </c>
      <c r="AH69" s="2093">
        <f>Model!AH1138+Model!AH1139+Model!AH1140+Model!AH1147+Model!AH1113+Model!AH1114+Model!AH1115+Model!AH1116+Model!AH1117+Model!AH1125+Model!AH1151+Model!AH1143+Model!AH1142+Model!AH1119+Model!AH1120</f>
        <v/>
      </c>
      <c r="AI69" s="2093">
        <f>Model!AI1138+Model!AI1139+Model!AI1140+Model!AI1147+Model!AI1113+Model!AI1114+Model!AI1115+Model!AI1116+Model!AI1117+Model!AI1125+Model!AI1151+Model!AI1143+Model!AI1142+Model!AI1119+Model!AI1120</f>
        <v/>
      </c>
      <c r="AJ69" s="2092">
        <f>Model!AJ1138+Model!AJ1139+Model!AJ1140+Model!AJ1147+Model!AJ1113+Model!AJ1114+Model!AJ1115+Model!AJ1116+Model!AJ1117+Model!AJ1125+Model!AJ1151+Model!AJ1143+Model!AJ1142+Model!AJ1119+Model!AJ1120</f>
        <v/>
      </c>
      <c r="AK69" s="2093">
        <f>Model!AK1138+Model!AK1139+Model!AK1140+Model!AK1147+Model!AK1113+Model!AK1114+Model!AK1115+Model!AK1116+Model!AK1117+Model!AK1125+Model!AK1151+Model!AK1143+Model!AK1142+Model!AK1119+Model!AK1120</f>
        <v/>
      </c>
      <c r="AL69" s="2093">
        <f>Model!AL1138+Model!AL1139+Model!AL1140+Model!AL1147+Model!AL1113+Model!AL1114+Model!AL1115+Model!AL1116+Model!AL1117+Model!AL1125+Model!AL1151+Model!AL1143+Model!AL1142+Model!AL1119+Model!AL1120</f>
        <v/>
      </c>
      <c r="AM69" s="2093">
        <f>Model!AM1138+Model!AM1139+Model!AM1140+Model!AM1147+Model!AM1113+Model!AM1114+Model!AM1115+Model!AM1116+Model!AM1117+Model!AM1125+Model!AM1151+Model!AM1143+Model!AM1142+Model!AM1119+Model!AM1120</f>
        <v/>
      </c>
      <c r="AN69" s="2093">
        <f>Model!AN1138+Model!AN1139+Model!AN1140+Model!AN1147+Model!AN1113+Model!AN1114+Model!AN1115+Model!AN1116+Model!AN1117+Model!AN1125+Model!AN1151+Model!AN1143+Model!AN1142+Model!AN1119+Model!AN1120</f>
        <v/>
      </c>
      <c r="AO69" s="2092">
        <f>Model!AO1138+Model!AO1139+Model!AO1140+Model!AO1147+Model!AO1113+Model!AO1114+Model!AO1115+Model!AO1116+Model!AO1117+Model!AO1125+Model!AO1151+Model!AO1143+Model!AO1142+Model!AO1119+Model!AO1120</f>
        <v/>
      </c>
      <c r="AP69" s="2093">
        <f>Model!AP1138+Model!AP1139+Model!AP1140+Model!AP1147+Model!AP1113+Model!AP1114+Model!AP1115+Model!AP1116+Model!AP1117+Model!AP1125+Model!AP1151+Model!AP1143+Model!AP1142+Model!AP1119+Model!AP1120</f>
        <v/>
      </c>
      <c r="AQ69" s="2093">
        <f>Model!AQ1138+Model!AQ1139+Model!AQ1140+Model!AQ1147+Model!AQ1113+Model!AQ1114+Model!AQ1115+Model!AQ1116+Model!AQ1117+Model!AQ1125+Model!AQ1151+Model!AQ1143+Model!AQ1142+Model!AQ1119+Model!AQ1120</f>
        <v/>
      </c>
      <c r="AR69" s="2093">
        <f>Model!AR1138+Model!AR1139+Model!AR1140+Model!AR1147+Model!AR1113+Model!AR1114+Model!AR1115+Model!AR1116+Model!AR1117+Model!AR1125+Model!AR1151+Model!AR1143+Model!AR1142+Model!AR1119+Model!AR1120</f>
        <v/>
      </c>
      <c r="AS69" s="2093">
        <f>Model!AS1138+Model!AS1139+Model!AS1140+Model!AS1147+Model!AS1113+Model!AS1114+Model!AS1115+Model!AS1116+Model!AS1117+Model!AS1125+Model!AS1151+Model!AS1143+Model!AS1142+Model!AS1119+Model!AS1120</f>
        <v/>
      </c>
      <c r="AT69" s="2092">
        <f>Model!AT1138+Model!AT1139+Model!AT1140+Model!AT1147+Model!AT1113+Model!AT1114+Model!AT1115+Model!AT1116+Model!AT1117+Model!AT1125+Model!AT1151+Model!AT1143+Model!AT1142+Model!AT1119+Model!AT1120</f>
        <v/>
      </c>
      <c r="AU69" s="2093">
        <f>Model!AU1138+Model!AU1139+Model!AU1140+Model!AU1147+Model!AU1113+Model!AU1114+Model!AU1115+Model!AU1116+Model!AU1117+Model!AU1125+Model!AU1151+Model!AU1143+Model!AU1142+Model!AU1119+Model!AU1120</f>
        <v/>
      </c>
      <c r="AV69" s="2093">
        <f>Model!AV1138+Model!AV1139+Model!AV1140+Model!AV1147+Model!AV1113+Model!AV1114+Model!AV1115+Model!AV1116+Model!AV1117+Model!AV1125+Model!AV1151+Model!AV1143+Model!AV1142+Model!AV1119+Model!AV1120</f>
        <v/>
      </c>
      <c r="AW69" s="2093">
        <f>Model!AW1138+Model!AW1139+Model!AW1140+Model!AW1147+Model!AW1113+Model!AW1114+Model!AW1115+Model!AW1116+Model!AW1117+Model!AW1125+Model!AW1151+Model!AW1143+Model!AW1142+Model!AW1119+Model!AW1120</f>
        <v/>
      </c>
      <c r="AX69" s="2093">
        <f>Model!AX1138+Model!AX1139+Model!AX1140+Model!AX1147+Model!AX1113+Model!AX1114+Model!AX1115+Model!AX1116+Model!AX1117+Model!AX1125+Model!AX1151+Model!AX1143+Model!AX1142+Model!AX1119+Model!AX1120</f>
        <v/>
      </c>
      <c r="AY69" s="2092">
        <f>Model!AY1138+Model!AY1139+Model!AY1140+Model!AY1147+Model!AY1113+Model!AY1114+Model!AY1115+Model!AY1116+Model!AY1117+Model!AY1125+Model!AY1151+Model!AY1143+Model!AY1142+Model!AY1119+Model!AY1120</f>
        <v/>
      </c>
      <c r="AZ69" s="2093">
        <f>Model!AZ1138+Model!AZ1139+Model!AZ1140+Model!AZ1147+Model!AZ1113+Model!AZ1114+Model!AZ1115+Model!AZ1116+Model!AZ1117+Model!AZ1125+Model!AZ1151+Model!AZ1143+Model!AZ1142+Model!AZ1119+Model!AZ1120</f>
        <v/>
      </c>
      <c r="BA69" s="2093">
        <f>Model!BA1138+Model!BA1139+Model!BA1140+Model!BA1147+Model!BA1113+Model!BA1114+Model!BA1115+Model!BA1116+Model!BA1117+Model!BA1125+Model!BA1151+Model!BA1143+Model!BA1142+Model!BA1119+Model!BA1120</f>
        <v/>
      </c>
      <c r="BB69" s="2093">
        <f>Model!BB1138+Model!BB1139+Model!BB1140+Model!BB1147+Model!BB1113+Model!BB1114+Model!BB1115+Model!BB1116+Model!BB1117+Model!BB1125+Model!BB1151+Model!BB1143+Model!BB1142+Model!BB1119+Model!BB1120</f>
        <v/>
      </c>
      <c r="BC69" s="2093">
        <f>Model!BC1138+Model!BC1139+Model!BC1140+Model!BC1147+Model!BC1113+Model!BC1114+Model!BC1115+Model!BC1116+Model!BC1117+Model!BC1125+Model!BC1151+Model!BC1143+Model!BC1142+Model!BC1119+Model!BC1120</f>
        <v/>
      </c>
      <c r="BD69" s="2092">
        <f>Model!BD1138+Model!BD1139+Model!BD1140+Model!BD1147+Model!BD1113+Model!BD1114+Model!BD1115+Model!BD1116+Model!BD1117+Model!BD1125+Model!BD1151+Model!BD1143+Model!BD1142+Model!BD1119+Model!BD1120</f>
        <v/>
      </c>
      <c r="BE69" s="2093">
        <f>Model!BE1138+Model!BE1139+Model!BE1140+Model!BE1147+Model!BE1113+Model!BE1114+Model!BE1115+Model!BE1116+Model!BE1117+Model!BE1125+Model!BE1151+Model!BE1143+Model!BE1142+Model!BE1119+Model!BE1120</f>
        <v/>
      </c>
      <c r="BF69" s="2093">
        <f>Model!BF1138+Model!BF1139+Model!BF1140+Model!BF1147+Model!BF1113+Model!BF1114+Model!BF1115+Model!BF1116+Model!BF1117+Model!BF1125+Model!BF1151+Model!BF1143+Model!BF1142+Model!BF1119+Model!BF1120</f>
        <v/>
      </c>
      <c r="BG69" s="2093">
        <f>Model!BG1138+Model!BG1139+Model!BG1140+Model!BG1147+Model!BG1113+Model!BG1114+Model!BG1115+Model!BG1116+Model!BG1117+Model!BG1125+Model!BG1151+Model!BG1143+Model!BG1142+Model!BG1119+Model!BG1120</f>
        <v/>
      </c>
      <c r="BH69" s="2093">
        <f>Model!BH1138+Model!BH1139+Model!BH1140+Model!BH1147+Model!BH1113+Model!BH1114+Model!BH1115+Model!BH1116+Model!BH1117+Model!BH1125+Model!BH1151+Model!BH1143+Model!BH1142+Model!BH1119+Model!BH1120</f>
        <v/>
      </c>
      <c r="BI69" s="2092">
        <f>Model!BI1138+Model!BI1139+Model!BI1140+Model!BI1147+Model!BI1113+Model!BI1114+Model!BI1115+Model!BI1116+Model!BI1117+Model!BI1125+Model!BI1151+Model!BI1143+Model!BI1142+Model!BI1119+Model!BI1120</f>
        <v/>
      </c>
      <c r="BJ69" s="2093">
        <f>Model!BJ1138+Model!BJ1139+Model!BJ1140+Model!BJ1147+Model!BJ1113+Model!BJ1114+Model!BJ1115+Model!BJ1116+Model!BJ1117+Model!BJ1125+Model!BJ1151+Model!BJ1143+Model!BJ1142+Model!BJ1119+Model!BJ1120</f>
        <v/>
      </c>
      <c r="BK69" s="2093">
        <f>Model!BK1138+Model!BK1139+Model!BK1140+Model!BK1147+Model!BK1113+Model!BK1114+Model!BK1115+Model!BK1116+Model!BK1117+Model!BK1125+Model!BK1151+Model!BK1143+Model!BK1142+Model!BK1119+Model!BK1120</f>
        <v/>
      </c>
      <c r="BL69" s="2093">
        <f>Model!BL1138+Model!BL1139+Model!BL1140+Model!BL1147+Model!BL1113+Model!BL1114+Model!BL1115+Model!BL1116+Model!BL1117+Model!BL1125+Model!BL1151+Model!BL1143+Model!BL1142+Model!BL1119+Model!BL1120</f>
        <v/>
      </c>
      <c r="BM69" s="2093">
        <f>Model!BM1138+Model!BM1139+Model!BM1140+Model!BM1147+Model!BM1113+Model!BM1114+Model!BM1115+Model!BM1116+Model!BM1117+Model!BM1125+Model!BM1151+Model!BM1143+Model!BM1142+Model!BM1119+Model!BM1120</f>
        <v/>
      </c>
      <c r="BN69" s="2092">
        <f>Model!BN1138+Model!BN1139+Model!BN1140+Model!BN1147+Model!BN1113+Model!BN1114+Model!BN1115+Model!BN1116+Model!BN1117+Model!BN1125+Model!BN1151+Model!BN1143+Model!BN1142+Model!BN1119+Model!BN1120</f>
        <v/>
      </c>
      <c r="BO69" s="2093">
        <f>Model!BO1138+Model!BO1139+Model!BO1140+Model!BO1147+Model!BO1113+Model!BO1114+Model!BO1115+Model!BO1116+Model!BO1117+Model!BO1125+Model!BO1151+Model!BO1143+Model!BO1142+Model!BO1119+Model!BO1120</f>
        <v/>
      </c>
      <c r="BP69" s="2093">
        <f>Model!BP1138+Model!BP1139+Model!BP1140+Model!BP1147+Model!BP1113+Model!BP1114+Model!BP1115+Model!BP1116+Model!BP1117+Model!BP1125+Model!BP1151+Model!BP1143+Model!BP1142+Model!BP1119+Model!BP1120</f>
        <v/>
      </c>
      <c r="BQ69" s="2095">
        <f>Model!BQ1138+Model!BQ1139+Model!BQ1140+Model!BQ1147+Model!BQ1113+Model!BQ1114+Model!BQ1115+Model!BQ1116+Model!BQ1117+Model!BQ1125+Model!BQ1151+Model!BQ1143+Model!BQ1142+Model!BQ1119+Model!BQ1120</f>
        <v/>
      </c>
      <c r="BR69" s="2093">
        <f>Model!BR1138+Model!BR1139+Model!BR1140+Model!BR1147+Model!BR1113+Model!BR1114+Model!BR1115+Model!BR1116+Model!BR1117+Model!BR1125+Model!BR1151+Model!BR1143+Model!BR1142+Model!BR1119+Model!BR1120</f>
        <v/>
      </c>
      <c r="BS69" s="2092">
        <f>Model!BS1138+Model!BS1139+Model!BS1140+Model!BS1147+Model!BS1113+Model!BS1114+Model!BS1115+Model!BS1116+Model!BS1117+Model!BS1125+Model!BS1151+Model!BS1143+Model!BS1142+Model!BS1119+Model!BS1120</f>
        <v/>
      </c>
      <c r="BT69" s="2093">
        <f>Model!BT1138+Model!BT1139+Model!BT1140+Model!BT1147+Model!BT1113+Model!BT1114+Model!BT1115+Model!BT1116+Model!BT1117+Model!BT1125+Model!BT1151+Model!BT1143+Model!BT1142+Model!BT1119+Model!BT1120</f>
        <v/>
      </c>
      <c r="BU69" s="2093">
        <f>Model!BU1138+Model!BU1139+Model!BU1140+Model!BU1147+Model!BU1113+Model!BU1114+Model!BU1115+Model!BU1116+Model!BU1117+Model!BU1125+Model!BU1151+Model!BU1143+Model!BU1142+Model!BU1119+Model!BU1120</f>
        <v/>
      </c>
      <c r="BV69" s="2093">
        <f>Model!BV1138+Model!BV1139+Model!BV1140+Model!BV1147+Model!BV1113+Model!BV1114+Model!BV1115+Model!BV1116+Model!BV1117+Model!BV1125+Model!BV1151+Model!BV1143+Model!BV1142+Model!BV1119+Model!BV1120</f>
        <v/>
      </c>
      <c r="BW69" s="2093">
        <f>Model!BW1138+Model!BW1139+Model!BW1140+Model!BW1147+Model!BW1113+Model!BW1114+Model!BW1115+Model!BW1116+Model!BW1117+Model!BW1125+Model!BW1151+Model!BW1143+Model!BW1142+Model!BW1119+Model!BW1120</f>
        <v/>
      </c>
      <c r="BX69" s="2092">
        <f>Model!BX1138+Model!BX1139+Model!BX1140+Model!BX1147+Model!BX1113+Model!BX1114+Model!BX1115+Model!BX1116+Model!BX1117+Model!BX1125+Model!BX1151+Model!BX1143+Model!BX1142+Model!BX1119+Model!BX1120</f>
        <v/>
      </c>
      <c r="BY69" s="2092">
        <f>Model!BY1138+Model!BY1139+Model!BY1140+Model!BY1147+Model!BY1113+Model!BY1114+Model!BY1115+Model!BY1116+Model!BY1117+Model!BY1125+Model!BY1151+Model!BY1143+Model!BY1142+Model!BY1119+Model!BY1120</f>
        <v/>
      </c>
      <c r="BZ69" s="2092">
        <f>Model!BZ1138+Model!BZ1139+Model!BZ1140+Model!BZ1147+Model!BZ1113+Model!BZ1114+Model!BZ1115+Model!BZ1116+Model!BZ1117+Model!BZ1125+Model!BZ1151+Model!BZ1143+Model!BZ1142+Model!BZ1119+Model!BZ1120</f>
        <v/>
      </c>
      <c r="CA69" s="2092">
        <f>Model!CA1138+Model!CA1139+Model!CA1140+Model!CA1147+Model!CA1113+Model!CA1114+Model!CA1115+Model!CA1116+Model!CA1117+Model!CA1125+Model!CA1151+Model!CA1143+Model!CA1142+Model!CA1119+Model!CA1120</f>
        <v/>
      </c>
      <c r="CB69" s="2072" t="n"/>
    </row>
    <row r="70" ht="15" customFormat="1" customHeight="1" s="2082">
      <c r="A70" s="1606" t="inlineStr">
        <is>
          <t>Change in Cash Position</t>
        </is>
      </c>
      <c r="B70" s="2202" t="n"/>
      <c r="C70" s="2203">
        <f>SUM(C64:C69)</f>
        <v/>
      </c>
      <c r="D70" s="2203">
        <f>SUM(D64:D69)</f>
        <v/>
      </c>
      <c r="E70" s="2203">
        <f>SUM(E64:E69)</f>
        <v/>
      </c>
      <c r="F70" s="2203">
        <f>SUM(F64:F69)</f>
        <v/>
      </c>
      <c r="G70" s="2204">
        <f>SUM(G64:G69)</f>
        <v/>
      </c>
      <c r="H70" s="2204">
        <f>SUM(H64:H69)</f>
        <v/>
      </c>
      <c r="I70" s="2204">
        <f>SUM(I64:I69)</f>
        <v/>
      </c>
      <c r="J70" s="2204">
        <f>SUM(J64:J69)</f>
        <v/>
      </c>
      <c r="K70" s="2203">
        <f>SUM(K64:K69)</f>
        <v/>
      </c>
      <c r="L70" s="2204">
        <f>SUM(L64:L69)</f>
        <v/>
      </c>
      <c r="M70" s="2204">
        <f>SUM(M64:M69)</f>
        <v/>
      </c>
      <c r="N70" s="2204">
        <f>SUM(N64:N69)</f>
        <v/>
      </c>
      <c r="O70" s="2204">
        <f>SUM(O64:O69)</f>
        <v/>
      </c>
      <c r="P70" s="2203">
        <f>SUM(P64:P69)</f>
        <v/>
      </c>
      <c r="Q70" s="2204">
        <f>SUM(Q64:Q69)</f>
        <v/>
      </c>
      <c r="R70" s="2204">
        <f>SUM(R64:R69)</f>
        <v/>
      </c>
      <c r="S70" s="2204">
        <f>SUM(S64:S69)</f>
        <v/>
      </c>
      <c r="T70" s="2204">
        <f>SUM(T64:T69)</f>
        <v/>
      </c>
      <c r="U70" s="2203">
        <f>SUM(U64:U69)</f>
        <v/>
      </c>
      <c r="V70" s="2204">
        <f>SUM(V64:V69)</f>
        <v/>
      </c>
      <c r="W70" s="2204">
        <f>SUM(W64:W69)</f>
        <v/>
      </c>
      <c r="X70" s="2204">
        <f>SUM(X64:X69)</f>
        <v/>
      </c>
      <c r="Y70" s="2204">
        <f>SUM(Y64:Y69)</f>
        <v/>
      </c>
      <c r="Z70" s="2203">
        <f>SUM(Z64:Z69)</f>
        <v/>
      </c>
      <c r="AA70" s="2204">
        <f>SUM(AA64:AA69)</f>
        <v/>
      </c>
      <c r="AB70" s="2204">
        <f>SUM(AB64:AB69)</f>
        <v/>
      </c>
      <c r="AC70" s="2204">
        <f>SUM(AC64:AC69)</f>
        <v/>
      </c>
      <c r="AD70" s="2204">
        <f>SUM(AD64:AD69)</f>
        <v/>
      </c>
      <c r="AE70" s="2203">
        <f>SUM(AE64:AE69)</f>
        <v/>
      </c>
      <c r="AF70" s="2204">
        <f>SUM(AF64:AF69)</f>
        <v/>
      </c>
      <c r="AG70" s="2204">
        <f>SUM(AG64:AG69)</f>
        <v/>
      </c>
      <c r="AH70" s="2204">
        <f>SUM(AH64:AH69)</f>
        <v/>
      </c>
      <c r="AI70" s="2204">
        <f>SUM(AI64:AI69)</f>
        <v/>
      </c>
      <c r="AJ70" s="2203">
        <f>SUM(AJ64:AJ69)</f>
        <v/>
      </c>
      <c r="AK70" s="2204">
        <f>SUM(AK64:AK69)</f>
        <v/>
      </c>
      <c r="AL70" s="2204">
        <f>SUM(AL64:AL69)</f>
        <v/>
      </c>
      <c r="AM70" s="2204">
        <f>SUM(AM64:AM69)</f>
        <v/>
      </c>
      <c r="AN70" s="2204">
        <f>SUM(AN64:AN69)</f>
        <v/>
      </c>
      <c r="AO70" s="2203">
        <f>SUM(AO64:AO69)</f>
        <v/>
      </c>
      <c r="AP70" s="2204">
        <f>SUM(AP64:AP69)</f>
        <v/>
      </c>
      <c r="AQ70" s="2204">
        <f>SUM(AQ64:AQ69)</f>
        <v/>
      </c>
      <c r="AR70" s="2204">
        <f>SUM(AR64:AR69)</f>
        <v/>
      </c>
      <c r="AS70" s="2204">
        <f>SUM(AS64:AS69)</f>
        <v/>
      </c>
      <c r="AT70" s="2203">
        <f>SUM(AT64:AT69)</f>
        <v/>
      </c>
      <c r="AU70" s="2204">
        <f>SUM(AU64:AU69)</f>
        <v/>
      </c>
      <c r="AV70" s="2204">
        <f>SUM(AV64:AV69)</f>
        <v/>
      </c>
      <c r="AW70" s="2204">
        <f>SUM(AW64:AW69)</f>
        <v/>
      </c>
      <c r="AX70" s="2204">
        <f>SUM(AX64:AX69)</f>
        <v/>
      </c>
      <c r="AY70" s="2203">
        <f>SUM(AY64:AY69)</f>
        <v/>
      </c>
      <c r="AZ70" s="2204">
        <f>SUM(AZ64:AZ69)</f>
        <v/>
      </c>
      <c r="BA70" s="2204">
        <f>SUM(BA64:BA69)</f>
        <v/>
      </c>
      <c r="BB70" s="2204">
        <f>SUM(BB64:BB69)</f>
        <v/>
      </c>
      <c r="BC70" s="2204">
        <f>SUM(BC64:BC69)</f>
        <v/>
      </c>
      <c r="BD70" s="2203">
        <f>SUM(BD64:BD69)</f>
        <v/>
      </c>
      <c r="BE70" s="2204">
        <f>SUM(BE64:BE69)</f>
        <v/>
      </c>
      <c r="BF70" s="2204">
        <f>SUM(BF64:BF69)</f>
        <v/>
      </c>
      <c r="BG70" s="2204">
        <f>SUM(BG64:BG69)</f>
        <v/>
      </c>
      <c r="BH70" s="2204">
        <f>SUM(BH64:BH69)</f>
        <v/>
      </c>
      <c r="BI70" s="2203">
        <f>SUM(BI64:BI69)</f>
        <v/>
      </c>
      <c r="BJ70" s="2204">
        <f>SUM(BJ64:BJ69)</f>
        <v/>
      </c>
      <c r="BK70" s="2204">
        <f>SUM(BK64:BK69)</f>
        <v/>
      </c>
      <c r="BL70" s="2204">
        <f>SUM(BL64:BL69)</f>
        <v/>
      </c>
      <c r="BM70" s="2204">
        <f>SUM(BM64:BM69)</f>
        <v/>
      </c>
      <c r="BN70" s="2203">
        <f>SUM(BN64:BN69)</f>
        <v/>
      </c>
      <c r="BO70" s="2204">
        <f>SUM(BO64:BO69)</f>
        <v/>
      </c>
      <c r="BP70" s="2204">
        <f>SUM(BP64:BP69)</f>
        <v/>
      </c>
      <c r="BQ70" s="2205">
        <f>SUM(BQ64:BQ69)</f>
        <v/>
      </c>
      <c r="BR70" s="2204">
        <f>SUM(BR64:BR69)</f>
        <v/>
      </c>
      <c r="BS70" s="2203">
        <f>SUM(BS64:BS69)</f>
        <v/>
      </c>
      <c r="BT70" s="2204">
        <f>SUM(BT64:BT69)</f>
        <v/>
      </c>
      <c r="BU70" s="2204">
        <f>SUM(BU64:BU69)</f>
        <v/>
      </c>
      <c r="BV70" s="2204">
        <f>SUM(BV64:BV69)</f>
        <v/>
      </c>
      <c r="BW70" s="2204">
        <f>SUM(BW64:BW69)</f>
        <v/>
      </c>
      <c r="BX70" s="2203">
        <f>SUM(BX64:BX69)</f>
        <v/>
      </c>
      <c r="BY70" s="2203">
        <f>SUM(BY64:BY69)</f>
        <v/>
      </c>
      <c r="BZ70" s="2203">
        <f>SUM(BZ64:BZ69)</f>
        <v/>
      </c>
      <c r="CA70" s="2203">
        <f>SUM(CA64:CA69)</f>
        <v/>
      </c>
      <c r="CB70" s="2089" t="n"/>
    </row>
    <row r="71" ht="15" customFormat="1" customHeight="1" s="2082">
      <c r="A71" s="1596" t="n"/>
      <c r="B71" s="2199" t="n"/>
      <c r="C71" s="2090" t="n"/>
      <c r="D71" s="2090" t="n"/>
      <c r="E71" s="2090" t="n"/>
      <c r="F71" s="2090" t="n"/>
      <c r="G71" s="2089" t="n"/>
      <c r="H71" s="2089" t="n"/>
      <c r="I71" s="2089" t="n"/>
      <c r="J71" s="2089" t="n"/>
      <c r="K71" s="2090" t="n"/>
      <c r="L71" s="2089" t="n"/>
      <c r="M71" s="2089" t="n"/>
      <c r="N71" s="2089" t="n"/>
      <c r="O71" s="2089" t="n"/>
      <c r="P71" s="2090" t="n"/>
      <c r="Q71" s="2089" t="n"/>
      <c r="R71" s="2089" t="n"/>
      <c r="S71" s="2089" t="n"/>
      <c r="T71" s="2089" t="n"/>
      <c r="U71" s="2090" t="n"/>
      <c r="V71" s="2089" t="n"/>
      <c r="W71" s="2089" t="n"/>
      <c r="X71" s="2089" t="n"/>
      <c r="Y71" s="2089" t="n"/>
      <c r="Z71" s="2090" t="n"/>
      <c r="AA71" s="2089" t="n"/>
      <c r="AB71" s="2089" t="n"/>
      <c r="AC71" s="2089" t="n"/>
      <c r="AD71" s="2089" t="n"/>
      <c r="AE71" s="2090" t="n"/>
      <c r="AF71" s="2089" t="n"/>
      <c r="AG71" s="2089" t="n"/>
      <c r="AH71" s="2089" t="n"/>
      <c r="AI71" s="2089" t="n"/>
      <c r="AJ71" s="2090" t="n"/>
      <c r="AK71" s="2089" t="n"/>
      <c r="AL71" s="2089" t="n"/>
      <c r="AM71" s="2089" t="n"/>
      <c r="AN71" s="2089" t="n"/>
      <c r="AO71" s="2090" t="n"/>
      <c r="AP71" s="2089" t="n"/>
      <c r="AQ71" s="2089" t="n"/>
      <c r="AR71" s="2089" t="n"/>
      <c r="AS71" s="2089" t="n"/>
      <c r="AT71" s="2090" t="n"/>
      <c r="AU71" s="2089" t="n"/>
      <c r="AV71" s="2089" t="n"/>
      <c r="AW71" s="2089" t="n"/>
      <c r="AX71" s="2089" t="n"/>
      <c r="AY71" s="2090" t="n"/>
      <c r="AZ71" s="2089" t="n"/>
      <c r="BA71" s="2089" t="n"/>
      <c r="BB71" s="2089" t="n"/>
      <c r="BC71" s="2089" t="n"/>
      <c r="BD71" s="2090" t="n"/>
      <c r="BE71" s="2089" t="n"/>
      <c r="BF71" s="2089" t="n"/>
      <c r="BG71" s="2089" t="n"/>
      <c r="BH71" s="2089" t="n"/>
      <c r="BI71" s="2090" t="n"/>
      <c r="BJ71" s="2089" t="n"/>
      <c r="BK71" s="2089" t="n"/>
      <c r="BL71" s="2089" t="n"/>
      <c r="BM71" s="2089" t="n"/>
      <c r="BN71" s="2090" t="n"/>
      <c r="BO71" s="2089" t="n"/>
      <c r="BP71" s="2089" t="n"/>
      <c r="BQ71" s="2100" t="n"/>
      <c r="BR71" s="2089" t="n"/>
      <c r="BS71" s="2090" t="n"/>
      <c r="BT71" s="2089" t="n"/>
      <c r="BU71" s="2089" t="n"/>
      <c r="BV71" s="2089" t="n"/>
      <c r="BW71" s="2089" t="n"/>
      <c r="BX71" s="2090" t="n"/>
      <c r="BY71" s="2090" t="n"/>
      <c r="BZ71" s="2090" t="n"/>
      <c r="CA71" s="2090" t="n"/>
      <c r="CB71" s="2089" t="n"/>
    </row>
    <row r="72" ht="15" customFormat="1" customHeight="1" s="2185">
      <c r="A72" s="2209" t="inlineStr">
        <is>
          <t>Operating Cash Flow Per Share</t>
        </is>
      </c>
      <c r="B72" s="2210" t="n"/>
      <c r="C72" s="2211">
        <f>INDEX(SP_CFA_CFO,0,COLUMN())/INDEX(SP_GF_ShareCount,0,COLUMN())</f>
        <v/>
      </c>
      <c r="D72" s="2211">
        <f>INDEX(SP_CFA_CFO,0,COLUMN())/INDEX(SP_GF_ShareCount,0,COLUMN())</f>
        <v/>
      </c>
      <c r="E72" s="2211">
        <f>INDEX(SP_CFA_CFO,0,COLUMN())/INDEX(SP_GF_ShareCount,0,COLUMN())</f>
        <v/>
      </c>
      <c r="F72" s="2211">
        <f>INDEX(SP_CFA_CFO,0,COLUMN())/INDEX(SP_GF_ShareCount,0,COLUMN())</f>
        <v/>
      </c>
      <c r="G72" s="2192">
        <f>INDEX(SP_CFA_CFO,0,COLUMN())/INDEX(SP_GF_ShareCount,0,COLUMN())</f>
        <v/>
      </c>
      <c r="H72" s="2192">
        <f>INDEX(SP_CFA_CFO,0,COLUMN())/INDEX(SP_GF_ShareCount,0,COLUMN())</f>
        <v/>
      </c>
      <c r="I72" s="2192">
        <f>INDEX(SP_CFA_CFO,0,COLUMN())/INDEX(SP_GF_ShareCount,0,COLUMN())</f>
        <v/>
      </c>
      <c r="J72" s="2192">
        <f>INDEX(SP_CFA_CFO,0,COLUMN())/INDEX(SP_GF_ShareCount,0,COLUMN())</f>
        <v/>
      </c>
      <c r="K72" s="2211">
        <f>INDEX(SP_CFA_CFO,0,COLUMN())/INDEX(SP_GF_ShareCount,0,COLUMN())</f>
        <v/>
      </c>
      <c r="L72" s="2192">
        <f>INDEX(SP_CFA_CFO,0,COLUMN())/INDEX(SP_GF_ShareCount,0,COLUMN())</f>
        <v/>
      </c>
      <c r="M72" s="2192">
        <f>INDEX(SP_CFA_CFO,0,COLUMN())/INDEX(SP_GF_ShareCount,0,COLUMN())</f>
        <v/>
      </c>
      <c r="N72" s="2192">
        <f>INDEX(SP_CFA_CFO,0,COLUMN())/INDEX(SP_GF_ShareCount,0,COLUMN())</f>
        <v/>
      </c>
      <c r="O72" s="2192">
        <f>INDEX(SP_CFA_CFO,0,COLUMN())/INDEX(SP_GF_ShareCount,0,COLUMN())</f>
        <v/>
      </c>
      <c r="P72" s="2211">
        <f>INDEX(SP_CFA_CFO,0,COLUMN())/INDEX(SP_GF_ShareCount,0,COLUMN())</f>
        <v/>
      </c>
      <c r="Q72" s="2192">
        <f>INDEX(SP_CFA_CFO,0,COLUMN())/INDEX(SP_GF_ShareCount,0,COLUMN())</f>
        <v/>
      </c>
      <c r="R72" s="2192">
        <f>INDEX(SP_CFA_CFO,0,COLUMN())/INDEX(SP_GF_ShareCount,0,COLUMN())</f>
        <v/>
      </c>
      <c r="S72" s="2192">
        <f>INDEX(SP_CFA_CFO,0,COLUMN())/INDEX(SP_GF_ShareCount,0,COLUMN())</f>
        <v/>
      </c>
      <c r="T72" s="2192">
        <f>INDEX(SP_CFA_CFO,0,COLUMN())/INDEX(SP_GF_ShareCount,0,COLUMN())</f>
        <v/>
      </c>
      <c r="U72" s="2211">
        <f>INDEX(SP_CFA_CFO,0,COLUMN())/INDEX(SP_GF_ShareCount,0,COLUMN())</f>
        <v/>
      </c>
      <c r="V72" s="2192">
        <f>INDEX(SP_CFA_CFO,0,COLUMN())/INDEX(SP_GF_ShareCount,0,COLUMN())</f>
        <v/>
      </c>
      <c r="W72" s="2192">
        <f>INDEX(SP_CFA_CFO,0,COLUMN())/INDEX(SP_GF_ShareCount,0,COLUMN())</f>
        <v/>
      </c>
      <c r="X72" s="2192">
        <f>INDEX(SP_CFA_CFO,0,COLUMN())/INDEX(SP_GF_ShareCount,0,COLUMN())</f>
        <v/>
      </c>
      <c r="Y72" s="2192">
        <f>INDEX(SP_CFA_CFO,0,COLUMN())/INDEX(SP_GF_ShareCount,0,COLUMN())</f>
        <v/>
      </c>
      <c r="Z72" s="2211">
        <f>INDEX(SP_CFA_CFO,0,COLUMN())/INDEX(SP_GF_ShareCount,0,COLUMN())</f>
        <v/>
      </c>
      <c r="AA72" s="2192">
        <f>INDEX(SP_CFA_CFO,0,COLUMN())/INDEX(SP_GF_ShareCount,0,COLUMN())</f>
        <v/>
      </c>
      <c r="AB72" s="2192">
        <f>INDEX(SP_CFA_CFO,0,COLUMN())/INDEX(SP_GF_ShareCount,0,COLUMN())</f>
        <v/>
      </c>
      <c r="AC72" s="2192">
        <f>INDEX(SP_CFA_CFO,0,COLUMN())/INDEX(SP_GF_ShareCount,0,COLUMN())</f>
        <v/>
      </c>
      <c r="AD72" s="2192">
        <f>INDEX(SP_CFA_CFO,0,COLUMN())/INDEX(SP_GF_ShareCount,0,COLUMN())</f>
        <v/>
      </c>
      <c r="AE72" s="2211">
        <f>INDEX(SP_CFA_CFO,0,COLUMN())/INDEX(SP_GF_ShareCount,0,COLUMN())</f>
        <v/>
      </c>
      <c r="AF72" s="2192">
        <f>INDEX(SP_CFA_CFO,0,COLUMN())/INDEX(SP_GF_ShareCount,0,COLUMN())</f>
        <v/>
      </c>
      <c r="AG72" s="2192">
        <f>INDEX(SP_CFA_CFO,0,COLUMN())/INDEX(SP_GF_ShareCount,0,COLUMN())</f>
        <v/>
      </c>
      <c r="AH72" s="2192">
        <f>INDEX(SP_CFA_CFO,0,COLUMN())/INDEX(SP_GF_ShareCount,0,COLUMN())</f>
        <v/>
      </c>
      <c r="AI72" s="2192">
        <f>INDEX(SP_CFA_CFO,0,COLUMN())/INDEX(SP_GF_ShareCount,0,COLUMN())</f>
        <v/>
      </c>
      <c r="AJ72" s="2211">
        <f>INDEX(SP_CFA_CFO,0,COLUMN())/INDEX(SP_GF_ShareCount,0,COLUMN())</f>
        <v/>
      </c>
      <c r="AK72" s="2192">
        <f>INDEX(SP_CFA_CFO,0,COLUMN())/INDEX(SP_GF_ShareCount,0,COLUMN())</f>
        <v/>
      </c>
      <c r="AL72" s="2192">
        <f>INDEX(SP_CFA_CFO,0,COLUMN())/INDEX(SP_GF_ShareCount,0,COLUMN())</f>
        <v/>
      </c>
      <c r="AM72" s="2192">
        <f>INDEX(SP_CFA_CFO,0,COLUMN())/INDEX(SP_GF_ShareCount,0,COLUMN())</f>
        <v/>
      </c>
      <c r="AN72" s="2192">
        <f>INDEX(SP_CFA_CFO,0,COLUMN())/INDEX(SP_GF_ShareCount,0,COLUMN())</f>
        <v/>
      </c>
      <c r="AO72" s="2211">
        <f>INDEX(SP_CFA_CFO,0,COLUMN())/INDEX(SP_GF_ShareCount,0,COLUMN())</f>
        <v/>
      </c>
      <c r="AP72" s="2192">
        <f>INDEX(SP_CFA_CFO,0,COLUMN())/INDEX(SP_GF_ShareCount,0,COLUMN())</f>
        <v/>
      </c>
      <c r="AQ72" s="2192">
        <f>INDEX(SP_CFA_CFO,0,COLUMN())/INDEX(SP_GF_ShareCount,0,COLUMN())</f>
        <v/>
      </c>
      <c r="AR72" s="2192">
        <f>INDEX(SP_CFA_CFO,0,COLUMN())/INDEX(SP_GF_ShareCount,0,COLUMN())</f>
        <v/>
      </c>
      <c r="AS72" s="2192">
        <f>INDEX(SP_CFA_CFO,0,COLUMN())/INDEX(SP_GF_ShareCount,0,COLUMN())</f>
        <v/>
      </c>
      <c r="AT72" s="2211">
        <f>INDEX(SP_CFA_CFO,0,COLUMN())/INDEX(SP_GF_ShareCount,0,COLUMN())</f>
        <v/>
      </c>
      <c r="AU72" s="2192">
        <f>INDEX(SP_CFA_CFO,0,COLUMN())/INDEX(SP_GF_ShareCount,0,COLUMN())</f>
        <v/>
      </c>
      <c r="AV72" s="2192">
        <f>INDEX(SP_CFA_CFO,0,COLUMN())/INDEX(SP_GF_ShareCount,0,COLUMN())</f>
        <v/>
      </c>
      <c r="AW72" s="2192">
        <f>INDEX(SP_CFA_CFO,0,COLUMN())/INDEX(SP_GF_ShareCount,0,COLUMN())</f>
        <v/>
      </c>
      <c r="AX72" s="2192">
        <f>INDEX(SP_CFA_CFO,0,COLUMN())/INDEX(SP_GF_ShareCount,0,COLUMN())</f>
        <v/>
      </c>
      <c r="AY72" s="2211">
        <f>INDEX(SP_CFA_CFO,0,COLUMN())/INDEX(SP_GF_ShareCount,0,COLUMN())</f>
        <v/>
      </c>
      <c r="AZ72" s="2192">
        <f>INDEX(SP_CFA_CFO,0,COLUMN())/INDEX(SP_GF_ShareCount,0,COLUMN())</f>
        <v/>
      </c>
      <c r="BA72" s="2192">
        <f>INDEX(SP_CFA_CFO,0,COLUMN())/INDEX(SP_GF_ShareCount,0,COLUMN())</f>
        <v/>
      </c>
      <c r="BB72" s="2192">
        <f>INDEX(SP_CFA_CFO,0,COLUMN())/INDEX(SP_GF_ShareCount,0,COLUMN())</f>
        <v/>
      </c>
      <c r="BC72" s="2192">
        <f>INDEX(SP_CFA_CFO,0,COLUMN())/INDEX(SP_GF_ShareCount,0,COLUMN())</f>
        <v/>
      </c>
      <c r="BD72" s="2211">
        <f>INDEX(SP_CFA_CFO,0,COLUMN())/INDEX(SP_GF_ShareCount,0,COLUMN())</f>
        <v/>
      </c>
      <c r="BE72" s="2192">
        <f>INDEX(SP_CFA_CFO,0,COLUMN())/INDEX(SP_GF_ShareCount,0,COLUMN())</f>
        <v/>
      </c>
      <c r="BF72" s="2192">
        <f>INDEX(SP_CFA_CFO,0,COLUMN())/INDEX(SP_GF_ShareCount,0,COLUMN())</f>
        <v/>
      </c>
      <c r="BG72" s="2192">
        <f>INDEX(SP_CFA_CFO,0,COLUMN())/INDEX(SP_GF_ShareCount,0,COLUMN())</f>
        <v/>
      </c>
      <c r="BH72" s="2192">
        <f>INDEX(SP_CFA_CFO,0,COLUMN())/INDEX(SP_GF_ShareCount,0,COLUMN())</f>
        <v/>
      </c>
      <c r="BI72" s="2211">
        <f>INDEX(SP_CFA_CFO,0,COLUMN())/INDEX(SP_GF_ShareCount,0,COLUMN())</f>
        <v/>
      </c>
      <c r="BJ72" s="2192">
        <f>INDEX(SP_CFA_CFO,0,COLUMN())/INDEX(SP_GF_ShareCount,0,COLUMN())</f>
        <v/>
      </c>
      <c r="BK72" s="2192">
        <f>INDEX(SP_CFA_CFO,0,COLUMN())/INDEX(SP_GF_ShareCount,0,COLUMN())</f>
        <v/>
      </c>
      <c r="BL72" s="2192">
        <f>INDEX(SP_CFA_CFO,0,COLUMN())/INDEX(SP_GF_ShareCount,0,COLUMN())</f>
        <v/>
      </c>
      <c r="BM72" s="2192">
        <f>INDEX(SP_CFA_CFO,0,COLUMN())/INDEX(SP_GF_ShareCount,0,COLUMN())</f>
        <v/>
      </c>
      <c r="BN72" s="2211">
        <f>INDEX(SP_CFA_CFO,0,COLUMN())/INDEX(SP_GF_ShareCount,0,COLUMN())</f>
        <v/>
      </c>
      <c r="BO72" s="2192">
        <f>INDEX(SP_CFA_CFO,0,COLUMN())/INDEX(SP_GF_ShareCount,0,COLUMN())</f>
        <v/>
      </c>
      <c r="BP72" s="2192">
        <f>INDEX(SP_CFA_CFO,0,COLUMN())/INDEX(SP_GF_ShareCount,0,COLUMN())</f>
        <v/>
      </c>
      <c r="BQ72" s="2212">
        <f>INDEX(SP_CFA_CFO,0,COLUMN())/INDEX(SP_GF_ShareCount,0,COLUMN())</f>
        <v/>
      </c>
      <c r="BR72" s="2192">
        <f>INDEX(SP_CFA_CFO,0,COLUMN())/INDEX(SP_GF_ShareCount,0,COLUMN())</f>
        <v/>
      </c>
      <c r="BS72" s="2211">
        <f>INDEX(SP_CFA_CFO,0,COLUMN())/INDEX(SP_GF_ShareCount,0,COLUMN())</f>
        <v/>
      </c>
      <c r="BT72" s="2192">
        <f>INDEX(SP_CFA_CFO,0,COLUMN())/INDEX(SP_GF_ShareCount,0,COLUMN())</f>
        <v/>
      </c>
      <c r="BU72" s="2192">
        <f>INDEX(SP_CFA_CFO,0,COLUMN())/INDEX(SP_GF_ShareCount,0,COLUMN())</f>
        <v/>
      </c>
      <c r="BV72" s="2192">
        <f>INDEX(SP_CFA_CFO,0,COLUMN())/INDEX(SP_GF_ShareCount,0,COLUMN())</f>
        <v/>
      </c>
      <c r="BW72" s="2192">
        <f>INDEX(SP_CFA_CFO,0,COLUMN())/INDEX(SP_GF_ShareCount,0,COLUMN())</f>
        <v/>
      </c>
      <c r="BX72" s="2211">
        <f>INDEX(SP_CFA_CFO,0,COLUMN())/INDEX(SP_GF_ShareCount,0,COLUMN())</f>
        <v/>
      </c>
      <c r="BY72" s="2211">
        <f>INDEX(SP_CFA_CFO,0,COLUMN())/INDEX(SP_GF_ShareCount,0,COLUMN())</f>
        <v/>
      </c>
      <c r="BZ72" s="2211">
        <f>INDEX(SP_CFA_CFO,0,COLUMN())/INDEX(SP_GF_ShareCount,0,COLUMN())</f>
        <v/>
      </c>
      <c r="CA72" s="2211">
        <f>INDEX(SP_CFA_CFO,0,COLUMN())/INDEX(SP_GF_ShareCount,0,COLUMN())</f>
        <v/>
      </c>
      <c r="CB72" s="2192" t="n"/>
    </row>
    <row r="73" ht="15" customFormat="1" customHeight="1" s="2185">
      <c r="A73" s="2209" t="inlineStr">
        <is>
          <t>Core Free Cash Flow Per Share, Pre Div</t>
        </is>
      </c>
      <c r="B73" s="2210" t="n"/>
      <c r="C73" s="2211">
        <f>INDEX(SP_CFA_FCF_PreDiv,0,COLUMN())/INDEX(SP_GF_ShareCount,0,COLUMN())</f>
        <v/>
      </c>
      <c r="D73" s="2211">
        <f>INDEX(SP_CFA_FCF_PreDiv,0,COLUMN())/INDEX(SP_GF_ShareCount,0,COLUMN())</f>
        <v/>
      </c>
      <c r="E73" s="2211">
        <f>INDEX(SP_CFA_FCF_PreDiv,0,COLUMN())/INDEX(SP_GF_ShareCount,0,COLUMN())</f>
        <v/>
      </c>
      <c r="F73" s="2211">
        <f>INDEX(SP_CFA_FCF_PreDiv,0,COLUMN())/INDEX(SP_GF_ShareCount,0,COLUMN())</f>
        <v/>
      </c>
      <c r="G73" s="2192">
        <f>INDEX(SP_CFA_FCF_PreDiv,0,COLUMN())/INDEX(SP_GF_ShareCount,0,COLUMN())</f>
        <v/>
      </c>
      <c r="H73" s="2192">
        <f>INDEX(SP_CFA_FCF_PreDiv,0,COLUMN())/INDEX(SP_GF_ShareCount,0,COLUMN())</f>
        <v/>
      </c>
      <c r="I73" s="2192">
        <f>INDEX(SP_CFA_FCF_PreDiv,0,COLUMN())/INDEX(SP_GF_ShareCount,0,COLUMN())</f>
        <v/>
      </c>
      <c r="J73" s="2192">
        <f>INDEX(SP_CFA_FCF_PreDiv,0,COLUMN())/INDEX(SP_GF_ShareCount,0,COLUMN())</f>
        <v/>
      </c>
      <c r="K73" s="2211">
        <f>INDEX(SP_CFA_FCF_PreDiv,0,COLUMN())/INDEX(SP_GF_ShareCount,0,COLUMN())</f>
        <v/>
      </c>
      <c r="L73" s="2192">
        <f>INDEX(SP_CFA_FCF_PreDiv,0,COLUMN())/INDEX(SP_GF_ShareCount,0,COLUMN())</f>
        <v/>
      </c>
      <c r="M73" s="2192">
        <f>INDEX(SP_CFA_FCF_PreDiv,0,COLUMN())/INDEX(SP_GF_ShareCount,0,COLUMN())</f>
        <v/>
      </c>
      <c r="N73" s="2192">
        <f>INDEX(SP_CFA_FCF_PreDiv,0,COLUMN())/INDEX(SP_GF_ShareCount,0,COLUMN())</f>
        <v/>
      </c>
      <c r="O73" s="2192">
        <f>INDEX(SP_CFA_FCF_PreDiv,0,COLUMN())/INDEX(SP_GF_ShareCount,0,COLUMN())</f>
        <v/>
      </c>
      <c r="P73" s="2211">
        <f>INDEX(SP_CFA_FCF_PreDiv,0,COLUMN())/INDEX(SP_GF_ShareCount,0,COLUMN())</f>
        <v/>
      </c>
      <c r="Q73" s="2192">
        <f>INDEX(SP_CFA_FCF_PreDiv,0,COLUMN())/INDEX(SP_GF_ShareCount,0,COLUMN())</f>
        <v/>
      </c>
      <c r="R73" s="2192">
        <f>INDEX(SP_CFA_FCF_PreDiv,0,COLUMN())/INDEX(SP_GF_ShareCount,0,COLUMN())</f>
        <v/>
      </c>
      <c r="S73" s="2192">
        <f>INDEX(SP_CFA_FCF_PreDiv,0,COLUMN())/INDEX(SP_GF_ShareCount,0,COLUMN())</f>
        <v/>
      </c>
      <c r="T73" s="2192">
        <f>INDEX(SP_CFA_FCF_PreDiv,0,COLUMN())/INDEX(SP_GF_ShareCount,0,COLUMN())</f>
        <v/>
      </c>
      <c r="U73" s="2211">
        <f>INDEX(SP_CFA_FCF_PreDiv,0,COLUMN())/INDEX(SP_GF_ShareCount,0,COLUMN())</f>
        <v/>
      </c>
      <c r="V73" s="2192">
        <f>INDEX(SP_CFA_FCF_PreDiv,0,COLUMN())/INDEX(SP_GF_ShareCount,0,COLUMN())</f>
        <v/>
      </c>
      <c r="W73" s="2192">
        <f>INDEX(SP_CFA_FCF_PreDiv,0,COLUMN())/INDEX(SP_GF_ShareCount,0,COLUMN())</f>
        <v/>
      </c>
      <c r="X73" s="2192">
        <f>INDEX(SP_CFA_FCF_PreDiv,0,COLUMN())/INDEX(SP_GF_ShareCount,0,COLUMN())</f>
        <v/>
      </c>
      <c r="Y73" s="2192">
        <f>INDEX(SP_CFA_FCF_PreDiv,0,COLUMN())/INDEX(SP_GF_ShareCount,0,COLUMN())</f>
        <v/>
      </c>
      <c r="Z73" s="2211">
        <f>INDEX(SP_CFA_FCF_PreDiv,0,COLUMN())/INDEX(SP_GF_ShareCount,0,COLUMN())</f>
        <v/>
      </c>
      <c r="AA73" s="2192">
        <f>INDEX(SP_CFA_FCF_PreDiv,0,COLUMN())/INDEX(SP_GF_ShareCount,0,COLUMN())</f>
        <v/>
      </c>
      <c r="AB73" s="2192">
        <f>INDEX(SP_CFA_FCF_PreDiv,0,COLUMN())/INDEX(SP_GF_ShareCount,0,COLUMN())</f>
        <v/>
      </c>
      <c r="AC73" s="2192">
        <f>INDEX(SP_CFA_FCF_PreDiv,0,COLUMN())/INDEX(SP_GF_ShareCount,0,COLUMN())</f>
        <v/>
      </c>
      <c r="AD73" s="2192">
        <f>INDEX(SP_CFA_FCF_PreDiv,0,COLUMN())/INDEX(SP_GF_ShareCount,0,COLUMN())</f>
        <v/>
      </c>
      <c r="AE73" s="2211">
        <f>INDEX(SP_CFA_FCF_PreDiv,0,COLUMN())/INDEX(SP_GF_ShareCount,0,COLUMN())</f>
        <v/>
      </c>
      <c r="AF73" s="2192">
        <f>INDEX(SP_CFA_FCF_PreDiv,0,COLUMN())/INDEX(SP_GF_ShareCount,0,COLUMN())</f>
        <v/>
      </c>
      <c r="AG73" s="2192">
        <f>INDEX(SP_CFA_FCF_PreDiv,0,COLUMN())/INDEX(SP_GF_ShareCount,0,COLUMN())</f>
        <v/>
      </c>
      <c r="AH73" s="2192">
        <f>INDEX(SP_CFA_FCF_PreDiv,0,COLUMN())/INDEX(SP_GF_ShareCount,0,COLUMN())</f>
        <v/>
      </c>
      <c r="AI73" s="2192">
        <f>INDEX(SP_CFA_FCF_PreDiv,0,COLUMN())/INDEX(SP_GF_ShareCount,0,COLUMN())</f>
        <v/>
      </c>
      <c r="AJ73" s="2211">
        <f>INDEX(SP_CFA_FCF_PreDiv,0,COLUMN())/INDEX(SP_GF_ShareCount,0,COLUMN())</f>
        <v/>
      </c>
      <c r="AK73" s="2192">
        <f>INDEX(SP_CFA_FCF_PreDiv,0,COLUMN())/INDEX(SP_GF_ShareCount,0,COLUMN())</f>
        <v/>
      </c>
      <c r="AL73" s="2192">
        <f>INDEX(SP_CFA_FCF_PreDiv,0,COLUMN())/INDEX(SP_GF_ShareCount,0,COLUMN())</f>
        <v/>
      </c>
      <c r="AM73" s="2192">
        <f>INDEX(SP_CFA_FCF_PreDiv,0,COLUMN())/INDEX(SP_GF_ShareCount,0,COLUMN())</f>
        <v/>
      </c>
      <c r="AN73" s="2192">
        <f>INDEX(SP_CFA_FCF_PreDiv,0,COLUMN())/INDEX(SP_GF_ShareCount,0,COLUMN())</f>
        <v/>
      </c>
      <c r="AO73" s="2211">
        <f>INDEX(SP_CFA_FCF_PreDiv,0,COLUMN())/INDEX(SP_GF_ShareCount,0,COLUMN())</f>
        <v/>
      </c>
      <c r="AP73" s="2192">
        <f>INDEX(SP_CFA_FCF_PreDiv,0,COLUMN())/INDEX(SP_GF_ShareCount,0,COLUMN())</f>
        <v/>
      </c>
      <c r="AQ73" s="2192">
        <f>INDEX(SP_CFA_FCF_PreDiv,0,COLUMN())/INDEX(SP_GF_ShareCount,0,COLUMN())</f>
        <v/>
      </c>
      <c r="AR73" s="2192">
        <f>INDEX(SP_CFA_FCF_PreDiv,0,COLUMN())/INDEX(SP_GF_ShareCount,0,COLUMN())</f>
        <v/>
      </c>
      <c r="AS73" s="2192">
        <f>INDEX(SP_CFA_FCF_PreDiv,0,COLUMN())/INDEX(SP_GF_ShareCount,0,COLUMN())</f>
        <v/>
      </c>
      <c r="AT73" s="2211">
        <f>INDEX(SP_CFA_FCF_PreDiv,0,COLUMN())/INDEX(SP_GF_ShareCount,0,COLUMN())</f>
        <v/>
      </c>
      <c r="AU73" s="2192">
        <f>INDEX(SP_CFA_FCF_PreDiv,0,COLUMN())/INDEX(SP_GF_ShareCount,0,COLUMN())</f>
        <v/>
      </c>
      <c r="AV73" s="2192">
        <f>INDEX(SP_CFA_FCF_PreDiv,0,COLUMN())/INDEX(SP_GF_ShareCount,0,COLUMN())</f>
        <v/>
      </c>
      <c r="AW73" s="2192">
        <f>INDEX(SP_CFA_FCF_PreDiv,0,COLUMN())/INDEX(SP_GF_ShareCount,0,COLUMN())</f>
        <v/>
      </c>
      <c r="AX73" s="2192">
        <f>INDEX(SP_CFA_FCF_PreDiv,0,COLUMN())/INDEX(SP_GF_ShareCount,0,COLUMN())</f>
        <v/>
      </c>
      <c r="AY73" s="2211">
        <f>INDEX(SP_CFA_FCF_PreDiv,0,COLUMN())/INDEX(SP_GF_ShareCount,0,COLUMN())</f>
        <v/>
      </c>
      <c r="AZ73" s="2192">
        <f>INDEX(SP_CFA_FCF_PreDiv,0,COLUMN())/INDEX(SP_GF_ShareCount,0,COLUMN())</f>
        <v/>
      </c>
      <c r="BA73" s="2192">
        <f>INDEX(SP_CFA_FCF_PreDiv,0,COLUMN())/INDEX(SP_GF_ShareCount,0,COLUMN())</f>
        <v/>
      </c>
      <c r="BB73" s="2192">
        <f>INDEX(SP_CFA_FCF_PreDiv,0,COLUMN())/INDEX(SP_GF_ShareCount,0,COLUMN())</f>
        <v/>
      </c>
      <c r="BC73" s="2192">
        <f>INDEX(SP_CFA_FCF_PreDiv,0,COLUMN())/INDEX(SP_GF_ShareCount,0,COLUMN())</f>
        <v/>
      </c>
      <c r="BD73" s="2211">
        <f>INDEX(SP_CFA_FCF_PreDiv,0,COLUMN())/INDEX(SP_GF_ShareCount,0,COLUMN())</f>
        <v/>
      </c>
      <c r="BE73" s="2192">
        <f>INDEX(SP_CFA_FCF_PreDiv,0,COLUMN())/INDEX(SP_GF_ShareCount,0,COLUMN())</f>
        <v/>
      </c>
      <c r="BF73" s="2192">
        <f>INDEX(SP_CFA_FCF_PreDiv,0,COLUMN())/INDEX(SP_GF_ShareCount,0,COLUMN())</f>
        <v/>
      </c>
      <c r="BG73" s="2192">
        <f>INDEX(SP_CFA_FCF_PreDiv,0,COLUMN())/INDEX(SP_GF_ShareCount,0,COLUMN())</f>
        <v/>
      </c>
      <c r="BH73" s="2192">
        <f>INDEX(SP_CFA_FCF_PreDiv,0,COLUMN())/INDEX(SP_GF_ShareCount,0,COLUMN())</f>
        <v/>
      </c>
      <c r="BI73" s="2211">
        <f>INDEX(SP_CFA_FCF_PreDiv,0,COLUMN())/INDEX(SP_GF_ShareCount,0,COLUMN())</f>
        <v/>
      </c>
      <c r="BJ73" s="2192">
        <f>INDEX(SP_CFA_FCF_PreDiv,0,COLUMN())/INDEX(SP_GF_ShareCount,0,COLUMN())</f>
        <v/>
      </c>
      <c r="BK73" s="2192">
        <f>INDEX(SP_CFA_FCF_PreDiv,0,COLUMN())/INDEX(SP_GF_ShareCount,0,COLUMN())</f>
        <v/>
      </c>
      <c r="BL73" s="2192">
        <f>INDEX(SP_CFA_FCF_PreDiv,0,COLUMN())/INDEX(SP_GF_ShareCount,0,COLUMN())</f>
        <v/>
      </c>
      <c r="BM73" s="2192">
        <f>INDEX(SP_CFA_FCF_PreDiv,0,COLUMN())/INDEX(SP_GF_ShareCount,0,COLUMN())</f>
        <v/>
      </c>
      <c r="BN73" s="2211">
        <f>INDEX(SP_CFA_FCF_PreDiv,0,COLUMN())/INDEX(SP_GF_ShareCount,0,COLUMN())</f>
        <v/>
      </c>
      <c r="BO73" s="2192">
        <f>INDEX(SP_CFA_FCF_PreDiv,0,COLUMN())/INDEX(SP_GF_ShareCount,0,COLUMN())</f>
        <v/>
      </c>
      <c r="BP73" s="2192">
        <f>INDEX(SP_CFA_FCF_PreDiv,0,COLUMN())/INDEX(SP_GF_ShareCount,0,COLUMN())</f>
        <v/>
      </c>
      <c r="BQ73" s="2212">
        <f>INDEX(SP_CFA_FCF_PreDiv,0,COLUMN())/INDEX(SP_GF_ShareCount,0,COLUMN())</f>
        <v/>
      </c>
      <c r="BR73" s="2192">
        <f>INDEX(SP_CFA_FCF_PreDiv,0,COLUMN())/INDEX(SP_GF_ShareCount,0,COLUMN())</f>
        <v/>
      </c>
      <c r="BS73" s="2211">
        <f>INDEX(SP_CFA_FCF_PreDiv,0,COLUMN())/INDEX(SP_GF_ShareCount,0,COLUMN())</f>
        <v/>
      </c>
      <c r="BT73" s="2192">
        <f>INDEX(SP_CFA_FCF_PreDiv,0,COLUMN())/INDEX(SP_GF_ShareCount,0,COLUMN())</f>
        <v/>
      </c>
      <c r="BU73" s="2192">
        <f>INDEX(SP_CFA_FCF_PreDiv,0,COLUMN())/INDEX(SP_GF_ShareCount,0,COLUMN())</f>
        <v/>
      </c>
      <c r="BV73" s="2192">
        <f>INDEX(SP_CFA_FCF_PreDiv,0,COLUMN())/INDEX(SP_GF_ShareCount,0,COLUMN())</f>
        <v/>
      </c>
      <c r="BW73" s="2192">
        <f>INDEX(SP_CFA_FCF_PreDiv,0,COLUMN())/INDEX(SP_GF_ShareCount,0,COLUMN())</f>
        <v/>
      </c>
      <c r="BX73" s="2211">
        <f>INDEX(SP_CFA_FCF_PreDiv,0,COLUMN())/INDEX(SP_GF_ShareCount,0,COLUMN())</f>
        <v/>
      </c>
      <c r="BY73" s="2211">
        <f>INDEX(SP_CFA_FCF_PreDiv,0,COLUMN())/INDEX(SP_GF_ShareCount,0,COLUMN())</f>
        <v/>
      </c>
      <c r="BZ73" s="2211">
        <f>INDEX(SP_CFA_FCF_PreDiv,0,COLUMN())/INDEX(SP_GF_ShareCount,0,COLUMN())</f>
        <v/>
      </c>
      <c r="CA73" s="2211">
        <f>INDEX(SP_CFA_FCF_PreDiv,0,COLUMN())/INDEX(SP_GF_ShareCount,0,COLUMN())</f>
        <v/>
      </c>
      <c r="CB73" s="2192" t="n"/>
    </row>
    <row r="74" ht="15" customFormat="1" customHeight="1" s="2185">
      <c r="A74" s="2209" t="inlineStr">
        <is>
          <t>Dividend Per Share</t>
        </is>
      </c>
      <c r="B74" s="2210" t="n"/>
      <c r="C74" s="2211">
        <f>INDEX(MO_CFSum_DPS,0,COLUMN())</f>
        <v/>
      </c>
      <c r="D74" s="2211">
        <f>INDEX(MO_CFSum_DPS,0,COLUMN())</f>
        <v/>
      </c>
      <c r="E74" s="2211">
        <f>INDEX(MO_CFSum_DPS,0,COLUMN())</f>
        <v/>
      </c>
      <c r="F74" s="2211">
        <f>INDEX(MO_CFSum_DPS,0,COLUMN())</f>
        <v/>
      </c>
      <c r="G74" s="2192">
        <f>INDEX(MO_CFSum_DPS,0,COLUMN())</f>
        <v/>
      </c>
      <c r="H74" s="2192">
        <f>INDEX(MO_CFSum_DPS,0,COLUMN())</f>
        <v/>
      </c>
      <c r="I74" s="2192">
        <f>INDEX(MO_CFSum_DPS,0,COLUMN())</f>
        <v/>
      </c>
      <c r="J74" s="2192">
        <f>INDEX(MO_CFSum_DPS,0,COLUMN())</f>
        <v/>
      </c>
      <c r="K74" s="2211">
        <f>INDEX(MO_CFSum_DPS,0,COLUMN())</f>
        <v/>
      </c>
      <c r="L74" s="2192">
        <f>INDEX(MO_CFSum_DPS,0,COLUMN())</f>
        <v/>
      </c>
      <c r="M74" s="2192">
        <f>INDEX(MO_CFSum_DPS,0,COLUMN())</f>
        <v/>
      </c>
      <c r="N74" s="2192">
        <f>INDEX(MO_CFSum_DPS,0,COLUMN())</f>
        <v/>
      </c>
      <c r="O74" s="2192">
        <f>INDEX(MO_CFSum_DPS,0,COLUMN())</f>
        <v/>
      </c>
      <c r="P74" s="2211">
        <f>INDEX(MO_CFSum_DPS,0,COLUMN())</f>
        <v/>
      </c>
      <c r="Q74" s="2192">
        <f>INDEX(MO_CFSum_DPS,0,COLUMN())</f>
        <v/>
      </c>
      <c r="R74" s="2192">
        <f>INDEX(MO_CFSum_DPS,0,COLUMN())</f>
        <v/>
      </c>
      <c r="S74" s="2192">
        <f>INDEX(MO_CFSum_DPS,0,COLUMN())</f>
        <v/>
      </c>
      <c r="T74" s="2192">
        <f>INDEX(MO_CFSum_DPS,0,COLUMN())</f>
        <v/>
      </c>
      <c r="U74" s="2211">
        <f>INDEX(MO_CFSum_DPS,0,COLUMN())</f>
        <v/>
      </c>
      <c r="V74" s="2192">
        <f>INDEX(MO_CFSum_DPS,0,COLUMN())</f>
        <v/>
      </c>
      <c r="W74" s="2192">
        <f>INDEX(MO_CFSum_DPS,0,COLUMN())</f>
        <v/>
      </c>
      <c r="X74" s="2192">
        <f>INDEX(MO_CFSum_DPS,0,COLUMN())</f>
        <v/>
      </c>
      <c r="Y74" s="2192">
        <f>INDEX(MO_CFSum_DPS,0,COLUMN())</f>
        <v/>
      </c>
      <c r="Z74" s="2211">
        <f>INDEX(MO_CFSum_DPS,0,COLUMN())</f>
        <v/>
      </c>
      <c r="AA74" s="2192">
        <f>INDEX(MO_CFSum_DPS,0,COLUMN())</f>
        <v/>
      </c>
      <c r="AB74" s="2192">
        <f>INDEX(MO_CFSum_DPS,0,COLUMN())</f>
        <v/>
      </c>
      <c r="AC74" s="2192">
        <f>INDEX(MO_CFSum_DPS,0,COLUMN())</f>
        <v/>
      </c>
      <c r="AD74" s="2192">
        <f>INDEX(MO_CFSum_DPS,0,COLUMN())</f>
        <v/>
      </c>
      <c r="AE74" s="2211">
        <f>INDEX(MO_CFSum_DPS,0,COLUMN())</f>
        <v/>
      </c>
      <c r="AF74" s="2192">
        <f>INDEX(MO_CFSum_DPS,0,COLUMN())</f>
        <v/>
      </c>
      <c r="AG74" s="2192">
        <f>INDEX(MO_CFSum_DPS,0,COLUMN())</f>
        <v/>
      </c>
      <c r="AH74" s="2192">
        <f>INDEX(MO_CFSum_DPS,0,COLUMN())</f>
        <v/>
      </c>
      <c r="AI74" s="2192">
        <f>INDEX(MO_CFSum_DPS,0,COLUMN())</f>
        <v/>
      </c>
      <c r="AJ74" s="2211">
        <f>INDEX(MO_CFSum_DPS,0,COLUMN())</f>
        <v/>
      </c>
      <c r="AK74" s="2192">
        <f>INDEX(MO_CFSum_DPS,0,COLUMN())</f>
        <v/>
      </c>
      <c r="AL74" s="2192">
        <f>INDEX(MO_CFSum_DPS,0,COLUMN())</f>
        <v/>
      </c>
      <c r="AM74" s="2192">
        <f>INDEX(MO_CFSum_DPS,0,COLUMN())</f>
        <v/>
      </c>
      <c r="AN74" s="2192">
        <f>INDEX(MO_CFSum_DPS,0,COLUMN())</f>
        <v/>
      </c>
      <c r="AO74" s="2211">
        <f>INDEX(MO_CFSum_DPS,0,COLUMN())</f>
        <v/>
      </c>
      <c r="AP74" s="2192">
        <f>INDEX(MO_CFSum_DPS,0,COLUMN())</f>
        <v/>
      </c>
      <c r="AQ74" s="2192">
        <f>INDEX(MO_CFSum_DPS,0,COLUMN())</f>
        <v/>
      </c>
      <c r="AR74" s="2192">
        <f>INDEX(MO_CFSum_DPS,0,COLUMN())</f>
        <v/>
      </c>
      <c r="AS74" s="2192">
        <f>INDEX(MO_CFSum_DPS,0,COLUMN())</f>
        <v/>
      </c>
      <c r="AT74" s="2211">
        <f>INDEX(MO_CFSum_DPS,0,COLUMN())</f>
        <v/>
      </c>
      <c r="AU74" s="2192">
        <f>INDEX(MO_CFSum_DPS,0,COLUMN())</f>
        <v/>
      </c>
      <c r="AV74" s="2192">
        <f>INDEX(MO_CFSum_DPS,0,COLUMN())</f>
        <v/>
      </c>
      <c r="AW74" s="2192">
        <f>INDEX(MO_CFSum_DPS,0,COLUMN())</f>
        <v/>
      </c>
      <c r="AX74" s="2192">
        <f>INDEX(MO_CFSum_DPS,0,COLUMN())</f>
        <v/>
      </c>
      <c r="AY74" s="2211">
        <f>INDEX(MO_CFSum_DPS,0,COLUMN())</f>
        <v/>
      </c>
      <c r="AZ74" s="2192">
        <f>INDEX(MO_CFSum_DPS,0,COLUMN())</f>
        <v/>
      </c>
      <c r="BA74" s="2192">
        <f>INDEX(MO_CFSum_DPS,0,COLUMN())</f>
        <v/>
      </c>
      <c r="BB74" s="2192">
        <f>INDEX(MO_CFSum_DPS,0,COLUMN())</f>
        <v/>
      </c>
      <c r="BC74" s="2192">
        <f>INDEX(MO_CFSum_DPS,0,COLUMN())</f>
        <v/>
      </c>
      <c r="BD74" s="2211">
        <f>INDEX(MO_CFSum_DPS,0,COLUMN())</f>
        <v/>
      </c>
      <c r="BE74" s="2192">
        <f>INDEX(MO_CFSum_DPS,0,COLUMN())</f>
        <v/>
      </c>
      <c r="BF74" s="2192">
        <f>INDEX(MO_CFSum_DPS,0,COLUMN())</f>
        <v/>
      </c>
      <c r="BG74" s="2192">
        <f>INDEX(MO_CFSum_DPS,0,COLUMN())</f>
        <v/>
      </c>
      <c r="BH74" s="2192">
        <f>INDEX(MO_CFSum_DPS,0,COLUMN())</f>
        <v/>
      </c>
      <c r="BI74" s="2211">
        <f>INDEX(MO_CFSum_DPS,0,COLUMN())</f>
        <v/>
      </c>
      <c r="BJ74" s="2192">
        <f>INDEX(MO_CFSum_DPS,0,COLUMN())</f>
        <v/>
      </c>
      <c r="BK74" s="2192">
        <f>INDEX(MO_CFSum_DPS,0,COLUMN())</f>
        <v/>
      </c>
      <c r="BL74" s="2192">
        <f>INDEX(MO_CFSum_DPS,0,COLUMN())</f>
        <v/>
      </c>
      <c r="BM74" s="2192">
        <f>INDEX(MO_CFSum_DPS,0,COLUMN())</f>
        <v/>
      </c>
      <c r="BN74" s="2211">
        <f>INDEX(MO_CFSum_DPS,0,COLUMN())</f>
        <v/>
      </c>
      <c r="BO74" s="2192">
        <f>INDEX(MO_CFSum_DPS,0,COLUMN())</f>
        <v/>
      </c>
      <c r="BP74" s="2192">
        <f>INDEX(MO_CFSum_DPS,0,COLUMN())</f>
        <v/>
      </c>
      <c r="BQ74" s="2212">
        <f>INDEX(MO_CFSum_DPS,0,COLUMN())</f>
        <v/>
      </c>
      <c r="BR74" s="2192">
        <f>INDEX(MO_CFSum_DPS,0,COLUMN())</f>
        <v/>
      </c>
      <c r="BS74" s="2211">
        <f>INDEX(MO_CFSum_DPS,0,COLUMN())</f>
        <v/>
      </c>
      <c r="BT74" s="2192">
        <f>INDEX(MO_CFSum_DPS,0,COLUMN())</f>
        <v/>
      </c>
      <c r="BU74" s="2192">
        <f>INDEX(MO_CFSum_DPS,0,COLUMN())</f>
        <v/>
      </c>
      <c r="BV74" s="2192">
        <f>INDEX(MO_CFSum_DPS,0,COLUMN())</f>
        <v/>
      </c>
      <c r="BW74" s="2192">
        <f>INDEX(MO_CFSum_DPS,0,COLUMN())</f>
        <v/>
      </c>
      <c r="BX74" s="2211">
        <f>INDEX(MO_CFSum_DPS,0,COLUMN())</f>
        <v/>
      </c>
      <c r="BY74" s="2211">
        <f>INDEX(MO_CFSum_DPS,0,COLUMN())</f>
        <v/>
      </c>
      <c r="BZ74" s="2211">
        <f>INDEX(MO_CFSum_DPS,0,COLUMN())</f>
        <v/>
      </c>
      <c r="CA74" s="2211">
        <f>INDEX(MO_CFSum_DPS,0,COLUMN())</f>
        <v/>
      </c>
      <c r="CB74" s="2192" t="n"/>
    </row>
    <row r="75" ht="15" customFormat="1" customHeight="1" s="2231">
      <c r="A75" s="2232" t="inlineStr">
        <is>
          <t>Dividend Payout Ratio vs Core FCF, Pre Div</t>
        </is>
      </c>
      <c r="B75" s="2233" t="n"/>
      <c r="C75" s="2234">
        <f>C74/C73</f>
        <v/>
      </c>
      <c r="D75" s="2234">
        <f>D74/D73</f>
        <v/>
      </c>
      <c r="E75" s="2234">
        <f>E74/E73</f>
        <v/>
      </c>
      <c r="F75" s="2234">
        <f>F74/F73</f>
        <v/>
      </c>
      <c r="G75" s="2235">
        <f>G74/G73</f>
        <v/>
      </c>
      <c r="H75" s="2235">
        <f>H74/H73</f>
        <v/>
      </c>
      <c r="I75" s="2235">
        <f>I74/I73</f>
        <v/>
      </c>
      <c r="J75" s="2235">
        <f>J74/J73</f>
        <v/>
      </c>
      <c r="K75" s="2234">
        <f>K74/K73</f>
        <v/>
      </c>
      <c r="L75" s="2235">
        <f>L74/L73</f>
        <v/>
      </c>
      <c r="M75" s="2235">
        <f>M74/M73</f>
        <v/>
      </c>
      <c r="N75" s="2235">
        <f>N74/N73</f>
        <v/>
      </c>
      <c r="O75" s="2235">
        <f>O74/O73</f>
        <v/>
      </c>
      <c r="P75" s="2234">
        <f>P74/P73</f>
        <v/>
      </c>
      <c r="Q75" s="2235">
        <f>Q74/Q73</f>
        <v/>
      </c>
      <c r="R75" s="2235">
        <f>R74/R73</f>
        <v/>
      </c>
      <c r="S75" s="2235">
        <f>S74/S73</f>
        <v/>
      </c>
      <c r="T75" s="2235">
        <f>T74/T73</f>
        <v/>
      </c>
      <c r="U75" s="2234">
        <f>U74/U73</f>
        <v/>
      </c>
      <c r="V75" s="2235">
        <f>V74/V73</f>
        <v/>
      </c>
      <c r="W75" s="2235">
        <f>W74/W73</f>
        <v/>
      </c>
      <c r="X75" s="2235">
        <f>X74/X73</f>
        <v/>
      </c>
      <c r="Y75" s="2235">
        <f>Y74/Y73</f>
        <v/>
      </c>
      <c r="Z75" s="2234">
        <f>Z74/Z73</f>
        <v/>
      </c>
      <c r="AA75" s="2235">
        <f>AA74/AA73</f>
        <v/>
      </c>
      <c r="AB75" s="2235">
        <f>AB74/AB73</f>
        <v/>
      </c>
      <c r="AC75" s="2235">
        <f>AC74/AC73</f>
        <v/>
      </c>
      <c r="AD75" s="2235">
        <f>AD74/AD73</f>
        <v/>
      </c>
      <c r="AE75" s="2234">
        <f>AE74/AE73</f>
        <v/>
      </c>
      <c r="AF75" s="2235">
        <f>AF74/AF73</f>
        <v/>
      </c>
      <c r="AG75" s="2235">
        <f>AG74/AG73</f>
        <v/>
      </c>
      <c r="AH75" s="2235">
        <f>AH74/AH73</f>
        <v/>
      </c>
      <c r="AI75" s="2235">
        <f>AI74/AI73</f>
        <v/>
      </c>
      <c r="AJ75" s="2234">
        <f>AJ74/AJ73</f>
        <v/>
      </c>
      <c r="AK75" s="2235">
        <f>AK74/AK73</f>
        <v/>
      </c>
      <c r="AL75" s="2235">
        <f>AL74/AL73</f>
        <v/>
      </c>
      <c r="AM75" s="2235">
        <f>AM74/AM73</f>
        <v/>
      </c>
      <c r="AN75" s="2235">
        <f>AN74/AN73</f>
        <v/>
      </c>
      <c r="AO75" s="2234">
        <f>AO74/AO73</f>
        <v/>
      </c>
      <c r="AP75" s="2235">
        <f>AP74/AP73</f>
        <v/>
      </c>
      <c r="AQ75" s="2235">
        <f>AQ74/AQ73</f>
        <v/>
      </c>
      <c r="AR75" s="2235">
        <f>AR74/AR73</f>
        <v/>
      </c>
      <c r="AS75" s="2235">
        <f>AS74/AS73</f>
        <v/>
      </c>
      <c r="AT75" s="2234">
        <f>AT74/AT73</f>
        <v/>
      </c>
      <c r="AU75" s="2235">
        <f>AU74/AU73</f>
        <v/>
      </c>
      <c r="AV75" s="2235">
        <f>AV74/AV73</f>
        <v/>
      </c>
      <c r="AW75" s="2235">
        <f>AW74/AW73</f>
        <v/>
      </c>
      <c r="AX75" s="2235">
        <f>AX74/AX73</f>
        <v/>
      </c>
      <c r="AY75" s="2234">
        <f>AY74/AY73</f>
        <v/>
      </c>
      <c r="AZ75" s="2235">
        <f>AZ74/AZ73</f>
        <v/>
      </c>
      <c r="BA75" s="2235">
        <f>BA74/BA73</f>
        <v/>
      </c>
      <c r="BB75" s="2235">
        <f>BB74/BB73</f>
        <v/>
      </c>
      <c r="BC75" s="2235">
        <f>BC74/BC73</f>
        <v/>
      </c>
      <c r="BD75" s="2234">
        <f>BD74/BD73</f>
        <v/>
      </c>
      <c r="BE75" s="2235">
        <f>BE74/BE73</f>
        <v/>
      </c>
      <c r="BF75" s="2235">
        <f>BF74/BF73</f>
        <v/>
      </c>
      <c r="BG75" s="2235">
        <f>BG74/BG73</f>
        <v/>
      </c>
      <c r="BH75" s="2235">
        <f>BH74/BH73</f>
        <v/>
      </c>
      <c r="BI75" s="2234">
        <f>BI74/BI73</f>
        <v/>
      </c>
      <c r="BJ75" s="2235">
        <f>BJ74/BJ73</f>
        <v/>
      </c>
      <c r="BK75" s="2235">
        <f>BK74/BK73</f>
        <v/>
      </c>
      <c r="BL75" s="2235">
        <f>BL74/BL73</f>
        <v/>
      </c>
      <c r="BM75" s="2235">
        <f>BM74/BM73</f>
        <v/>
      </c>
      <c r="BN75" s="2234">
        <f>BN74/BN73</f>
        <v/>
      </c>
      <c r="BO75" s="2235">
        <f>BO74/BO73</f>
        <v/>
      </c>
      <c r="BP75" s="2235">
        <f>BP74/BP73</f>
        <v/>
      </c>
      <c r="BQ75" s="2236">
        <f>BQ74/BQ73</f>
        <v/>
      </c>
      <c r="BR75" s="2235">
        <f>BR74/BR73</f>
        <v/>
      </c>
      <c r="BS75" s="2234">
        <f>BS74/BS73</f>
        <v/>
      </c>
      <c r="BT75" s="2235">
        <f>BT74/BT73</f>
        <v/>
      </c>
      <c r="BU75" s="2235">
        <f>BU74/BU73</f>
        <v/>
      </c>
      <c r="BV75" s="2235">
        <f>BV74/BV73</f>
        <v/>
      </c>
      <c r="BW75" s="2235">
        <f>BW74/BW73</f>
        <v/>
      </c>
      <c r="BX75" s="2234">
        <f>BX74/BX73</f>
        <v/>
      </c>
      <c r="BY75" s="2234">
        <f>BY74/BY73</f>
        <v/>
      </c>
      <c r="BZ75" s="2234">
        <f>BZ74/BZ73</f>
        <v/>
      </c>
      <c r="CA75" s="2234">
        <f>CA74/CA73</f>
        <v/>
      </c>
      <c r="CB75" s="2237" t="n"/>
    </row>
    <row r="76" ht="15" customFormat="1" customHeight="1" s="2231">
      <c r="A76" s="2232" t="inlineStr">
        <is>
          <t>Dividend Payout Ratio vs Earnings Per Share</t>
        </is>
      </c>
      <c r="B76" s="2233" t="n"/>
      <c r="C76" s="2234">
        <f>C74/C47</f>
        <v/>
      </c>
      <c r="D76" s="2234">
        <f>D74/D47</f>
        <v/>
      </c>
      <c r="E76" s="2234">
        <f>E74/E47</f>
        <v/>
      </c>
      <c r="F76" s="2234">
        <f>F74/F47</f>
        <v/>
      </c>
      <c r="G76" s="2235">
        <f>G74/G47</f>
        <v/>
      </c>
      <c r="H76" s="2235">
        <f>H74/H47</f>
        <v/>
      </c>
      <c r="I76" s="2235">
        <f>I74/I47</f>
        <v/>
      </c>
      <c r="J76" s="2235">
        <f>J74/J47</f>
        <v/>
      </c>
      <c r="K76" s="2234">
        <f>K74/K47</f>
        <v/>
      </c>
      <c r="L76" s="2235">
        <f>L74/L47</f>
        <v/>
      </c>
      <c r="M76" s="2235">
        <f>M74/M47</f>
        <v/>
      </c>
      <c r="N76" s="2235">
        <f>N74/N47</f>
        <v/>
      </c>
      <c r="O76" s="2235">
        <f>O74/O47</f>
        <v/>
      </c>
      <c r="P76" s="2234">
        <f>P74/P47</f>
        <v/>
      </c>
      <c r="Q76" s="2235">
        <f>Q74/Q47</f>
        <v/>
      </c>
      <c r="R76" s="2235">
        <f>R74/R47</f>
        <v/>
      </c>
      <c r="S76" s="2235">
        <f>S74/S47</f>
        <v/>
      </c>
      <c r="T76" s="2235">
        <f>T74/T47</f>
        <v/>
      </c>
      <c r="U76" s="2234">
        <f>U74/U47</f>
        <v/>
      </c>
      <c r="V76" s="2235">
        <f>V74/V47</f>
        <v/>
      </c>
      <c r="W76" s="2235">
        <f>W74/W47</f>
        <v/>
      </c>
      <c r="X76" s="2235">
        <f>X74/X47</f>
        <v/>
      </c>
      <c r="Y76" s="2235">
        <f>Y74/Y47</f>
        <v/>
      </c>
      <c r="Z76" s="2234">
        <f>Z74/Z47</f>
        <v/>
      </c>
      <c r="AA76" s="2235">
        <f>AA74/AA47</f>
        <v/>
      </c>
      <c r="AB76" s="2235">
        <f>AB74/AB47</f>
        <v/>
      </c>
      <c r="AC76" s="2235">
        <f>AC74/AC47</f>
        <v/>
      </c>
      <c r="AD76" s="2235">
        <f>AD74/AD47</f>
        <v/>
      </c>
      <c r="AE76" s="2234">
        <f>AE74/AE47</f>
        <v/>
      </c>
      <c r="AF76" s="2235">
        <f>AF74/AF47</f>
        <v/>
      </c>
      <c r="AG76" s="2235">
        <f>AG74/AG47</f>
        <v/>
      </c>
      <c r="AH76" s="2235">
        <f>AH74/AH47</f>
        <v/>
      </c>
      <c r="AI76" s="2235">
        <f>AI74/AI47</f>
        <v/>
      </c>
      <c r="AJ76" s="2234">
        <f>AJ74/AJ47</f>
        <v/>
      </c>
      <c r="AK76" s="2235">
        <f>AK74/AK47</f>
        <v/>
      </c>
      <c r="AL76" s="2235">
        <f>AL74/AL47</f>
        <v/>
      </c>
      <c r="AM76" s="2235">
        <f>AM74/AM47</f>
        <v/>
      </c>
      <c r="AN76" s="2235">
        <f>AN74/AN47</f>
        <v/>
      </c>
      <c r="AO76" s="2234">
        <f>AO74/AO47</f>
        <v/>
      </c>
      <c r="AP76" s="2235">
        <f>AP74/AP47</f>
        <v/>
      </c>
      <c r="AQ76" s="2235">
        <f>AQ74/AQ47</f>
        <v/>
      </c>
      <c r="AR76" s="2235">
        <f>AR74/AR47</f>
        <v/>
      </c>
      <c r="AS76" s="2235">
        <f>AS74/AS47</f>
        <v/>
      </c>
      <c r="AT76" s="2234">
        <f>AT74/AT47</f>
        <v/>
      </c>
      <c r="AU76" s="2235">
        <f>AU74/AU47</f>
        <v/>
      </c>
      <c r="AV76" s="2235">
        <f>AV74/AV47</f>
        <v/>
      </c>
      <c r="AW76" s="2235">
        <f>AW74/AW47</f>
        <v/>
      </c>
      <c r="AX76" s="2235">
        <f>AX74/AX47</f>
        <v/>
      </c>
      <c r="AY76" s="2234">
        <f>AY74/AY47</f>
        <v/>
      </c>
      <c r="AZ76" s="2235">
        <f>AZ74/AZ47</f>
        <v/>
      </c>
      <c r="BA76" s="2235">
        <f>BA74/BA47</f>
        <v/>
      </c>
      <c r="BB76" s="2235">
        <f>BB74/BB47</f>
        <v/>
      </c>
      <c r="BC76" s="2235">
        <f>BC74/BC47</f>
        <v/>
      </c>
      <c r="BD76" s="2234">
        <f>BD74/BD47</f>
        <v/>
      </c>
      <c r="BE76" s="2235">
        <f>BE74/BE47</f>
        <v/>
      </c>
      <c r="BF76" s="2235">
        <f>BF74/BF47</f>
        <v/>
      </c>
      <c r="BG76" s="2235">
        <f>BG74/BG47</f>
        <v/>
      </c>
      <c r="BH76" s="2235">
        <f>BH74/BH47</f>
        <v/>
      </c>
      <c r="BI76" s="2234">
        <f>BI74/BI47</f>
        <v/>
      </c>
      <c r="BJ76" s="2235">
        <f>BJ74/BJ47</f>
        <v/>
      </c>
      <c r="BK76" s="2235">
        <f>BK74/BK47</f>
        <v/>
      </c>
      <c r="BL76" s="2235">
        <f>BL74/BL47</f>
        <v/>
      </c>
      <c r="BM76" s="2235">
        <f>BM74/BM47</f>
        <v/>
      </c>
      <c r="BN76" s="2234">
        <f>BN74/BN47</f>
        <v/>
      </c>
      <c r="BO76" s="2235">
        <f>BO74/BO47</f>
        <v/>
      </c>
      <c r="BP76" s="2235">
        <f>BP74/BP47</f>
        <v/>
      </c>
      <c r="BQ76" s="2236">
        <f>BQ74/BQ47</f>
        <v/>
      </c>
      <c r="BR76" s="2235">
        <f>BR74/BR47</f>
        <v/>
      </c>
      <c r="BS76" s="2234">
        <f>BS74/BS47</f>
        <v/>
      </c>
      <c r="BT76" s="2235">
        <f>BT74/BT47</f>
        <v/>
      </c>
      <c r="BU76" s="2235">
        <f>BU74/BU47</f>
        <v/>
      </c>
      <c r="BV76" s="2235">
        <f>BV74/BV47</f>
        <v/>
      </c>
      <c r="BW76" s="2235">
        <f>BW74/BW47</f>
        <v/>
      </c>
      <c r="BX76" s="2234">
        <f>BX74/BX47</f>
        <v/>
      </c>
      <c r="BY76" s="2234">
        <f>BY74/BY47</f>
        <v/>
      </c>
      <c r="BZ76" s="2234">
        <f>BZ74/BZ47</f>
        <v/>
      </c>
      <c r="CA76" s="2234">
        <f>CA74/CA47</f>
        <v/>
      </c>
      <c r="CB76" s="2237" t="n"/>
    </row>
    <row r="77" ht="15" customFormat="1" customHeight="1" s="2185">
      <c r="A77" s="2209" t="n"/>
      <c r="B77" s="2210" t="n"/>
      <c r="C77" s="2211" t="n"/>
      <c r="D77" s="2211" t="n"/>
      <c r="E77" s="2211" t="n"/>
      <c r="F77" s="2211" t="n"/>
      <c r="G77" s="2192" t="n"/>
      <c r="H77" s="2192" t="n"/>
      <c r="I77" s="2192" t="n"/>
      <c r="J77" s="2192" t="n"/>
      <c r="K77" s="2211" t="n"/>
      <c r="L77" s="2192" t="n"/>
      <c r="M77" s="2192" t="n"/>
      <c r="N77" s="2192" t="n"/>
      <c r="O77" s="2192" t="n"/>
      <c r="P77" s="2211" t="n"/>
      <c r="Q77" s="2192" t="n"/>
      <c r="R77" s="2192" t="n"/>
      <c r="S77" s="2192" t="n"/>
      <c r="T77" s="2192" t="n"/>
      <c r="U77" s="2211" t="n"/>
      <c r="V77" s="2192" t="n"/>
      <c r="W77" s="2192" t="n"/>
      <c r="X77" s="2192" t="n"/>
      <c r="Y77" s="2192" t="n"/>
      <c r="Z77" s="2211" t="n"/>
      <c r="AA77" s="2192" t="n"/>
      <c r="AB77" s="2192" t="n"/>
      <c r="AC77" s="2192" t="n"/>
      <c r="AD77" s="2192" t="n"/>
      <c r="AE77" s="2211" t="n"/>
      <c r="AF77" s="2192" t="n"/>
      <c r="AG77" s="2192" t="n"/>
      <c r="AH77" s="2192" t="n"/>
      <c r="AI77" s="2192" t="n"/>
      <c r="AJ77" s="2211" t="n"/>
      <c r="AK77" s="2192" t="n"/>
      <c r="AL77" s="2192" t="n"/>
      <c r="AM77" s="2192" t="n"/>
      <c r="AN77" s="2192" t="n"/>
      <c r="AO77" s="2211" t="n"/>
      <c r="AP77" s="2192" t="n"/>
      <c r="AQ77" s="2192" t="n"/>
      <c r="AR77" s="2192" t="n"/>
      <c r="AS77" s="2192" t="n"/>
      <c r="AT77" s="2211" t="n"/>
      <c r="AU77" s="2192" t="n"/>
      <c r="AV77" s="2192" t="n"/>
      <c r="AW77" s="2192" t="n"/>
      <c r="AX77" s="2192" t="n"/>
      <c r="AY77" s="2211" t="n"/>
      <c r="AZ77" s="2192" t="n"/>
      <c r="BA77" s="2192" t="n"/>
      <c r="BB77" s="2192" t="n"/>
      <c r="BC77" s="2192" t="n"/>
      <c r="BD77" s="2211" t="n"/>
      <c r="BE77" s="2192" t="n"/>
      <c r="BF77" s="2192" t="n"/>
      <c r="BG77" s="2192" t="n"/>
      <c r="BH77" s="2192" t="n"/>
      <c r="BI77" s="2211" t="n"/>
      <c r="BJ77" s="2192" t="n"/>
      <c r="BK77" s="2192" t="n"/>
      <c r="BL77" s="2192" t="n"/>
      <c r="BM77" s="2192" t="n"/>
      <c r="BN77" s="2211" t="n"/>
      <c r="BO77" s="2192" t="n"/>
      <c r="BP77" s="2192" t="n"/>
      <c r="BQ77" s="2212" t="n"/>
      <c r="BR77" s="2192" t="n"/>
      <c r="BS77" s="2211" t="n"/>
      <c r="BT77" s="2192" t="n"/>
      <c r="BU77" s="2192" t="n"/>
      <c r="BV77" s="2192" t="n"/>
      <c r="BW77" s="2192" t="n"/>
      <c r="BX77" s="2211" t="n"/>
      <c r="BY77" s="2211" t="n"/>
      <c r="BZ77" s="2211" t="n"/>
      <c r="CA77" s="2211" t="n"/>
      <c r="CB77" s="2192" t="n"/>
    </row>
    <row r="78" ht="15" customHeight="1" s="972">
      <c r="A78" s="2083" t="inlineStr">
        <is>
          <t>Balance Sheet Ratios</t>
        </is>
      </c>
      <c r="B78" s="2206" t="n"/>
      <c r="C78" s="2206" t="n"/>
      <c r="D78" s="2206" t="n"/>
      <c r="E78" s="2206" t="n"/>
      <c r="F78" s="2206" t="n"/>
      <c r="G78" s="2206" t="n"/>
      <c r="H78" s="2206" t="n"/>
      <c r="I78" s="2206" t="n"/>
      <c r="J78" s="2206" t="n"/>
      <c r="K78" s="2206" t="n"/>
      <c r="L78" s="2206" t="n"/>
      <c r="M78" s="2206" t="n"/>
      <c r="N78" s="2206" t="n"/>
      <c r="O78" s="2206" t="n"/>
      <c r="P78" s="2206" t="n"/>
      <c r="Q78" s="2206" t="n"/>
      <c r="R78" s="2206" t="n"/>
      <c r="S78" s="2206" t="n"/>
      <c r="T78" s="2206" t="n"/>
      <c r="U78" s="2206" t="n"/>
      <c r="V78" s="2206" t="n"/>
      <c r="W78" s="2206" t="n"/>
      <c r="X78" s="2206" t="n"/>
      <c r="Y78" s="2206" t="n"/>
      <c r="Z78" s="2206" t="n"/>
      <c r="AA78" s="2206" t="n"/>
      <c r="AB78" s="2206" t="n"/>
      <c r="AC78" s="2206" t="n"/>
      <c r="AD78" s="2206" t="n"/>
      <c r="AE78" s="2206" t="n"/>
      <c r="AF78" s="2206" t="n"/>
      <c r="AG78" s="2206" t="n"/>
      <c r="AH78" s="2206" t="n"/>
      <c r="AI78" s="2206" t="n"/>
      <c r="AJ78" s="2206" t="n"/>
      <c r="AK78" s="2206" t="n"/>
      <c r="AL78" s="2206" t="n"/>
      <c r="AM78" s="2206" t="n"/>
      <c r="AN78" s="2206" t="n"/>
      <c r="AO78" s="2206" t="n"/>
      <c r="AP78" s="2206" t="n"/>
      <c r="AQ78" s="2206" t="n"/>
      <c r="AR78" s="2206" t="n"/>
      <c r="AS78" s="2206" t="n"/>
      <c r="AT78" s="2206" t="n"/>
      <c r="AU78" s="2206" t="n"/>
      <c r="AV78" s="2206" t="n"/>
      <c r="AW78" s="2206" t="n"/>
      <c r="AX78" s="2206" t="n"/>
      <c r="AY78" s="2206" t="n"/>
      <c r="AZ78" s="2206" t="n"/>
      <c r="BA78" s="2206" t="n"/>
      <c r="BB78" s="2206" t="n"/>
      <c r="BC78" s="2206" t="n"/>
      <c r="BD78" s="2206" t="n"/>
      <c r="BE78" s="2206" t="n"/>
      <c r="BF78" s="2206" t="n"/>
      <c r="BG78" s="2206" t="n"/>
      <c r="BH78" s="2206" t="n"/>
      <c r="BI78" s="2206" t="n"/>
      <c r="BJ78" s="2206" t="n"/>
      <c r="BK78" s="2206" t="n"/>
      <c r="BL78" s="2206" t="n"/>
      <c r="BM78" s="2206" t="n"/>
      <c r="BN78" s="2206" t="n"/>
      <c r="BO78" s="2206" t="n"/>
      <c r="BP78" s="2206" t="n"/>
      <c r="BQ78" s="2207" t="n"/>
      <c r="BR78" s="2206" t="n"/>
      <c r="BS78" s="2206" t="n"/>
      <c r="BT78" s="2206" t="n"/>
      <c r="BU78" s="2206" t="n"/>
      <c r="BV78" s="2206" t="n"/>
      <c r="BW78" s="2206" t="n"/>
      <c r="BX78" s="2206" t="n"/>
      <c r="BY78" s="2206" t="n"/>
      <c r="BZ78" s="2206" t="n"/>
      <c r="CA78" s="2206" t="n"/>
      <c r="CB78" s="2072" t="n"/>
    </row>
    <row r="79" ht="15" customFormat="1" customHeight="1" s="2150">
      <c r="A79" s="2238" t="inlineStr">
        <is>
          <t>Net Debt / EBITDA</t>
        </is>
      </c>
      <c r="B79" s="2239" t="n"/>
      <c r="C79" s="2240" t="n"/>
      <c r="D79" s="2240">
        <f>INDEX(MO_BSS_Debt_Net,0,COLUMN())/INDEX(SP_BSR_EBITDA_LTM,0,COLUMN())</f>
        <v/>
      </c>
      <c r="E79" s="2240">
        <f>INDEX(MO_BSS_Debt_Net,0,COLUMN())/INDEX(SP_BSR_EBITDA_LTM,0,COLUMN())</f>
        <v/>
      </c>
      <c r="F79" s="2240">
        <f>INDEX(MO_BSS_Debt_Net,0,COLUMN())/INDEX(SP_BSR_EBITDA_LTM,0,COLUMN())</f>
        <v/>
      </c>
      <c r="G79" s="2241" t="n"/>
      <c r="H79" s="2241" t="n"/>
      <c r="I79" s="2241" t="n"/>
      <c r="J79" s="2241">
        <f>INDEX(MO_BSS_Debt_Net,0,COLUMN())/INDEX(SP_BSR_EBITDA_LTM,0,COLUMN())</f>
        <v/>
      </c>
      <c r="K79" s="2240">
        <f>INDEX(MO_BSS_Debt_Net,0,COLUMN())/INDEX(SP_BSR_EBITDA_LTM,0,COLUMN())</f>
        <v/>
      </c>
      <c r="L79" s="2241">
        <f>INDEX(MO_BSS_Debt_Net,0,COLUMN())/INDEX(SP_BSR_EBITDA_LTM,0,COLUMN())</f>
        <v/>
      </c>
      <c r="M79" s="2241">
        <f>INDEX(MO_BSS_Debt_Net,0,COLUMN())/INDEX(SP_BSR_EBITDA_LTM,0,COLUMN())</f>
        <v/>
      </c>
      <c r="N79" s="2241">
        <f>INDEX(MO_BSS_Debt_Net,0,COLUMN())/INDEX(SP_BSR_EBITDA_LTM,0,COLUMN())</f>
        <v/>
      </c>
      <c r="O79" s="2241">
        <f>INDEX(MO_BSS_Debt_Net,0,COLUMN())/INDEX(SP_BSR_EBITDA_LTM,0,COLUMN())</f>
        <v/>
      </c>
      <c r="P79" s="2240">
        <f>INDEX(MO_BSS_Debt_Net,0,COLUMN())/INDEX(SP_BSR_EBITDA_LTM,0,COLUMN())</f>
        <v/>
      </c>
      <c r="Q79" s="2241">
        <f>INDEX(MO_BSS_Debt_Net,0,COLUMN())/INDEX(SP_BSR_EBITDA_LTM,0,COLUMN())</f>
        <v/>
      </c>
      <c r="R79" s="2241">
        <f>INDEX(MO_BSS_Debt_Net,0,COLUMN())/INDEX(SP_BSR_EBITDA_LTM,0,COLUMN())</f>
        <v/>
      </c>
      <c r="S79" s="2241">
        <f>INDEX(MO_BSS_Debt_Net,0,COLUMN())/INDEX(SP_BSR_EBITDA_LTM,0,COLUMN())</f>
        <v/>
      </c>
      <c r="T79" s="2241">
        <f>INDEX(MO_BSS_Debt_Net,0,COLUMN())/INDEX(SP_BSR_EBITDA_LTM,0,COLUMN())</f>
        <v/>
      </c>
      <c r="U79" s="2240">
        <f>INDEX(MO_BSS_Debt_Net,0,COLUMN())/INDEX(SP_BSR_EBITDA_LTM,0,COLUMN())</f>
        <v/>
      </c>
      <c r="V79" s="2241">
        <f>INDEX(MO_BSS_Debt_Net,0,COLUMN())/INDEX(SP_BSR_EBITDA_LTM,0,COLUMN())</f>
        <v/>
      </c>
      <c r="W79" s="2157">
        <f>INDEX(MO_BSS_Debt_Net,0,COLUMN())/INDEX(SP_BSR_EBITDA_LTM,0,COLUMN())</f>
        <v/>
      </c>
      <c r="X79" s="2157">
        <f>INDEX(MO_BSS_Debt_Net,0,COLUMN())/INDEX(SP_BSR_EBITDA_LTM,0,COLUMN())</f>
        <v/>
      </c>
      <c r="Y79" s="2157">
        <f>INDEX(MO_BSS_Debt_Net,0,COLUMN())/INDEX(SP_BSR_EBITDA_LTM,0,COLUMN())</f>
        <v/>
      </c>
      <c r="Z79" s="2240">
        <f>INDEX(MO_BSS_Debt_Net,0,COLUMN())/INDEX(SP_BSR_EBITDA_LTM,0,COLUMN())</f>
        <v/>
      </c>
      <c r="AA79" s="2157">
        <f>INDEX(MO_BSS_Debt_Net,0,COLUMN())/INDEX(SP_BSR_EBITDA_LTM,0,COLUMN())</f>
        <v/>
      </c>
      <c r="AB79" s="2157">
        <f>INDEX(MO_BSS_Debt_Net,0,COLUMN())/INDEX(SP_BSR_EBITDA_LTM,0,COLUMN())</f>
        <v/>
      </c>
      <c r="AC79" s="2157">
        <f>INDEX(MO_BSS_Debt_Net,0,COLUMN())/INDEX(SP_BSR_EBITDA_LTM,0,COLUMN())</f>
        <v/>
      </c>
      <c r="AD79" s="2157">
        <f>INDEX(MO_BSS_Debt_Net,0,COLUMN())/INDEX(SP_BSR_EBITDA_LTM,0,COLUMN())</f>
        <v/>
      </c>
      <c r="AE79" s="2240">
        <f>INDEX(MO_BSS_Debt_Net,0,COLUMN())/INDEX(SP_BSR_EBITDA_LTM,0,COLUMN())</f>
        <v/>
      </c>
      <c r="AF79" s="2157">
        <f>INDEX(MO_BSS_Debt_Net,0,COLUMN())/INDEX(SP_BSR_EBITDA_LTM,0,COLUMN())</f>
        <v/>
      </c>
      <c r="AG79" s="2157">
        <f>INDEX(MO_BSS_Debt_Net,0,COLUMN())/INDEX(SP_BSR_EBITDA_LTM,0,COLUMN())</f>
        <v/>
      </c>
      <c r="AH79" s="2157">
        <f>INDEX(MO_BSS_Debt_Net,0,COLUMN())/INDEX(SP_BSR_EBITDA_LTM,0,COLUMN())</f>
        <v/>
      </c>
      <c r="AI79" s="2157">
        <f>INDEX(MO_BSS_Debt_Net,0,COLUMN())/INDEX(SP_BSR_EBITDA_LTM,0,COLUMN())</f>
        <v/>
      </c>
      <c r="AJ79" s="2240">
        <f>INDEX(MO_BSS_Debt_Net,0,COLUMN())/INDEX(SP_BSR_EBITDA_LTM,0,COLUMN())</f>
        <v/>
      </c>
      <c r="AK79" s="2157">
        <f>INDEX(MO_BSS_Debt_Net,0,COLUMN())/INDEX(SP_BSR_EBITDA_LTM,0,COLUMN())</f>
        <v/>
      </c>
      <c r="AL79" s="2157">
        <f>INDEX(MO_BSS_Debt_Net,0,COLUMN())/INDEX(SP_BSR_EBITDA_LTM,0,COLUMN())</f>
        <v/>
      </c>
      <c r="AM79" s="2157">
        <f>INDEX(MO_BSS_Debt_Net,0,COLUMN())/INDEX(SP_BSR_EBITDA_LTM,0,COLUMN())</f>
        <v/>
      </c>
      <c r="AN79" s="2157">
        <f>INDEX(MO_BSS_Debt_Net,0,COLUMN())/INDEX(SP_BSR_EBITDA_LTM,0,COLUMN())</f>
        <v/>
      </c>
      <c r="AO79" s="2240">
        <f>INDEX(MO_BSS_Debt_Net,0,COLUMN())/INDEX(SP_BSR_EBITDA_LTM,0,COLUMN())</f>
        <v/>
      </c>
      <c r="AP79" s="2157">
        <f>INDEX(MO_BSS_Debt_Net,0,COLUMN())/INDEX(SP_BSR_EBITDA_LTM,0,COLUMN())</f>
        <v/>
      </c>
      <c r="AQ79" s="2157">
        <f>INDEX(MO_BSS_Debt_Net,0,COLUMN())/INDEX(SP_BSR_EBITDA_LTM,0,COLUMN())</f>
        <v/>
      </c>
      <c r="AR79" s="2157">
        <f>INDEX(MO_BSS_Debt_Net,0,COLUMN())/INDEX(SP_BSR_EBITDA_LTM,0,COLUMN())</f>
        <v/>
      </c>
      <c r="AS79" s="2157">
        <f>INDEX(MO_BSS_Debt_Net,0,COLUMN())/INDEX(SP_BSR_EBITDA_LTM,0,COLUMN())</f>
        <v/>
      </c>
      <c r="AT79" s="2240">
        <f>INDEX(MO_BSS_Debt_Net,0,COLUMN())/INDEX(SP_BSR_EBITDA_LTM,0,COLUMN())</f>
        <v/>
      </c>
      <c r="AU79" s="2157">
        <f>INDEX(MO_BSS_Debt_Net,0,COLUMN())/INDEX(SP_BSR_EBITDA_LTM,0,COLUMN())</f>
        <v/>
      </c>
      <c r="AV79" s="2157">
        <f>INDEX(MO_BSS_Debt_Net,0,COLUMN())/INDEX(SP_BSR_EBITDA_LTM,0,COLUMN())</f>
        <v/>
      </c>
      <c r="AW79" s="2157">
        <f>INDEX(MO_BSS_Debt_Net,0,COLUMN())/INDEX(SP_BSR_EBITDA_LTM,0,COLUMN())</f>
        <v/>
      </c>
      <c r="AX79" s="2157">
        <f>INDEX(MO_BSS_Debt_Net,0,COLUMN())/INDEX(SP_BSR_EBITDA_LTM,0,COLUMN())</f>
        <v/>
      </c>
      <c r="AY79" s="2240">
        <f>INDEX(MO_BSS_Debt_Net,0,COLUMN())/INDEX(SP_BSR_EBITDA_LTM,0,COLUMN())</f>
        <v/>
      </c>
      <c r="AZ79" s="2157">
        <f>INDEX(MO_BSS_Debt_Net,0,COLUMN())/INDEX(SP_BSR_EBITDA_LTM,0,COLUMN())</f>
        <v/>
      </c>
      <c r="BA79" s="2157">
        <f>INDEX(MO_BSS_Debt_Net,0,COLUMN())/INDEX(SP_BSR_EBITDA_LTM,0,COLUMN())</f>
        <v/>
      </c>
      <c r="BB79" s="2157">
        <f>INDEX(MO_BSS_Debt_Net,0,COLUMN())/INDEX(SP_BSR_EBITDA_LTM,0,COLUMN())</f>
        <v/>
      </c>
      <c r="BC79" s="2157">
        <f>INDEX(MO_BSS_Debt_Net,0,COLUMN())/INDEX(SP_BSR_EBITDA_LTM,0,COLUMN())</f>
        <v/>
      </c>
      <c r="BD79" s="2240">
        <f>INDEX(MO_BSS_Debt_Net,0,COLUMN())/INDEX(SP_BSR_EBITDA_LTM,0,COLUMN())</f>
        <v/>
      </c>
      <c r="BE79" s="2157">
        <f>INDEX(MO_BSS_Debt_Net,0,COLUMN())/INDEX(SP_BSR_EBITDA_LTM,0,COLUMN())</f>
        <v/>
      </c>
      <c r="BF79" s="2157">
        <f>INDEX(MO_BSS_Debt_Net,0,COLUMN())/INDEX(SP_BSR_EBITDA_LTM,0,COLUMN())</f>
        <v/>
      </c>
      <c r="BG79" s="2157">
        <f>INDEX(MO_BSS_Debt_Net,0,COLUMN())/INDEX(SP_BSR_EBITDA_LTM,0,COLUMN())</f>
        <v/>
      </c>
      <c r="BH79" s="2157">
        <f>INDEX(MO_BSS_Debt_Net,0,COLUMN())/INDEX(SP_BSR_EBITDA_LTM,0,COLUMN())</f>
        <v/>
      </c>
      <c r="BI79" s="2240">
        <f>INDEX(MO_BSS_Debt_Net,0,COLUMN())/INDEX(SP_BSR_EBITDA_LTM,0,COLUMN())</f>
        <v/>
      </c>
      <c r="BJ79" s="2157">
        <f>INDEX(MO_BSS_Debt_Net,0,COLUMN())/INDEX(SP_BSR_EBITDA_LTM,0,COLUMN())</f>
        <v/>
      </c>
      <c r="BK79" s="2157">
        <f>INDEX(MO_BSS_Debt_Net,0,COLUMN())/INDEX(SP_BSR_EBITDA_LTM,0,COLUMN())</f>
        <v/>
      </c>
      <c r="BL79" s="2157">
        <f>INDEX(MO_BSS_Debt_Net,0,COLUMN())/INDEX(SP_BSR_EBITDA_LTM,0,COLUMN())</f>
        <v/>
      </c>
      <c r="BM79" s="2157">
        <f>INDEX(MO_BSS_Debt_Net,0,COLUMN())/INDEX(SP_BSR_EBITDA_LTM,0,COLUMN())</f>
        <v/>
      </c>
      <c r="BN79" s="2240">
        <f>INDEX(MO_BSS_Debt_Net,0,COLUMN())/INDEX(SP_BSR_EBITDA_LTM,0,COLUMN())</f>
        <v/>
      </c>
      <c r="BO79" s="2157">
        <f>INDEX(MO_BSS_Debt_Net,0,COLUMN())/INDEX(SP_BSR_EBITDA_LTM,0,COLUMN())</f>
        <v/>
      </c>
      <c r="BP79" s="2157">
        <f>INDEX(MO_BSS_Debt_Net,0,COLUMN())/INDEX(SP_BSR_EBITDA_LTM,0,COLUMN())</f>
        <v/>
      </c>
      <c r="BQ79" s="2242">
        <f>INDEX(MO_BSS_Debt_Net,0,COLUMN())/INDEX(SP_BSR_EBITDA_LTM,0,COLUMN())</f>
        <v/>
      </c>
      <c r="BR79" s="2157">
        <f>INDEX(MO_BSS_Debt_Net,0,COLUMN())/INDEX(SP_BSR_EBITDA_LTM,0,COLUMN())</f>
        <v/>
      </c>
      <c r="BS79" s="2240">
        <f>INDEX(MO_BSS_Debt_Net,0,COLUMN())/INDEX(SP_BSR_EBITDA_LTM,0,COLUMN())</f>
        <v/>
      </c>
      <c r="BT79" s="2157">
        <f>INDEX(MO_BSS_Debt_Net,0,COLUMN())/INDEX(SP_BSR_EBITDA_LTM,0,COLUMN())</f>
        <v/>
      </c>
      <c r="BU79" s="2157">
        <f>INDEX(MO_BSS_Debt_Net,0,COLUMN())/INDEX(SP_BSR_EBITDA_LTM,0,COLUMN())</f>
        <v/>
      </c>
      <c r="BV79" s="2157">
        <f>INDEX(MO_BSS_Debt_Net,0,COLUMN())/INDEX(SP_BSR_EBITDA_LTM,0,COLUMN())</f>
        <v/>
      </c>
      <c r="BW79" s="2157">
        <f>INDEX(MO_BSS_Debt_Net,0,COLUMN())/INDEX(SP_BSR_EBITDA_LTM,0,COLUMN())</f>
        <v/>
      </c>
      <c r="BX79" s="2240">
        <f>INDEX(MO_BSS_Debt_Net,0,COLUMN())/INDEX(SP_BSR_EBITDA_LTM,0,COLUMN())</f>
        <v/>
      </c>
      <c r="BY79" s="2240">
        <f>INDEX(MO_BSS_Debt_Net,0,COLUMN())/INDEX(SP_BSR_EBITDA_LTM,0,COLUMN())</f>
        <v/>
      </c>
      <c r="BZ79" s="2240">
        <f>INDEX(MO_BSS_Debt_Net,0,COLUMN())/INDEX(SP_BSR_EBITDA_LTM,0,COLUMN())</f>
        <v/>
      </c>
      <c r="CA79" s="2240">
        <f>INDEX(MO_BSS_Debt_Net,0,COLUMN())/INDEX(SP_BSR_EBITDA_LTM,0,COLUMN())</f>
        <v/>
      </c>
      <c r="CB79" s="2157" t="n"/>
    </row>
    <row r="80" ht="15" customFormat="1" customHeight="1" s="2150">
      <c r="A80" s="2238" t="inlineStr">
        <is>
          <t>Net Debt / Cash Flow</t>
        </is>
      </c>
      <c r="B80" s="2239" t="n"/>
      <c r="C80" s="2240">
        <f>INDEX(MO_BSS_Debt_Net,0,COLUMN())/INDEX(SP_BSR_CashFlow_LTM,0,COLUMN())</f>
        <v/>
      </c>
      <c r="D80" s="2240">
        <f>INDEX(MO_BSS_Debt_Net,0,COLUMN())/INDEX(SP_BSR_CashFlow_LTM,0,COLUMN())</f>
        <v/>
      </c>
      <c r="E80" s="2240">
        <f>INDEX(MO_BSS_Debt_Net,0,COLUMN())/INDEX(SP_BSR_CashFlow_LTM,0,COLUMN())</f>
        <v/>
      </c>
      <c r="F80" s="2240">
        <f>INDEX(MO_BSS_Debt_Net,0,COLUMN())/INDEX(SP_BSR_CashFlow_LTM,0,COLUMN())</f>
        <v/>
      </c>
      <c r="G80" s="2241" t="n"/>
      <c r="H80" s="2241" t="n"/>
      <c r="I80" s="2241" t="n"/>
      <c r="J80" s="2241">
        <f>INDEX(MO_BSS_Debt_Net,0,COLUMN())/INDEX(SP_BSR_CashFlow_LTM,0,COLUMN())</f>
        <v/>
      </c>
      <c r="K80" s="2240">
        <f>INDEX(MO_BSS_Debt_Net,0,COLUMN())/INDEX(SP_BSR_CashFlow_LTM,0,COLUMN())</f>
        <v/>
      </c>
      <c r="L80" s="2241">
        <f>INDEX(MO_BSS_Debt_Net,0,COLUMN())/INDEX(SP_BSR_CashFlow_LTM,0,COLUMN())</f>
        <v/>
      </c>
      <c r="M80" s="2241">
        <f>INDEX(MO_BSS_Debt_Net,0,COLUMN())/INDEX(SP_BSR_CashFlow_LTM,0,COLUMN())</f>
        <v/>
      </c>
      <c r="N80" s="2241">
        <f>INDEX(MO_BSS_Debt_Net,0,COLUMN())/INDEX(SP_BSR_CashFlow_LTM,0,COLUMN())</f>
        <v/>
      </c>
      <c r="O80" s="2241">
        <f>INDEX(MO_BSS_Debt_Net,0,COLUMN())/INDEX(SP_BSR_CashFlow_LTM,0,COLUMN())</f>
        <v/>
      </c>
      <c r="P80" s="2240">
        <f>INDEX(MO_BSS_Debt_Net,0,COLUMN())/INDEX(SP_BSR_CashFlow_LTM,0,COLUMN())</f>
        <v/>
      </c>
      <c r="Q80" s="2241">
        <f>INDEX(MO_BSS_Debt_Net,0,COLUMN())/INDEX(SP_BSR_CashFlow_LTM,0,COLUMN())</f>
        <v/>
      </c>
      <c r="R80" s="2241">
        <f>INDEX(MO_BSS_Debt_Net,0,COLUMN())/INDEX(SP_BSR_CashFlow_LTM,0,COLUMN())</f>
        <v/>
      </c>
      <c r="S80" s="2241">
        <f>INDEX(MO_BSS_Debt_Net,0,COLUMN())/INDEX(SP_BSR_CashFlow_LTM,0,COLUMN())</f>
        <v/>
      </c>
      <c r="T80" s="2241">
        <f>INDEX(MO_BSS_Debt_Net,0,COLUMN())/INDEX(SP_BSR_CashFlow_LTM,0,COLUMN())</f>
        <v/>
      </c>
      <c r="U80" s="2240">
        <f>INDEX(MO_BSS_Debt_Net,0,COLUMN())/INDEX(SP_BSR_CashFlow_LTM,0,COLUMN())</f>
        <v/>
      </c>
      <c r="V80" s="2241">
        <f>INDEX(MO_BSS_Debt_Net,0,COLUMN())/INDEX(SP_BSR_CashFlow_LTM,0,COLUMN())</f>
        <v/>
      </c>
      <c r="W80" s="2157">
        <f>INDEX(MO_BSS_Debt_Net,0,COLUMN())/INDEX(SP_BSR_CashFlow_LTM,0,COLUMN())</f>
        <v/>
      </c>
      <c r="X80" s="2157">
        <f>INDEX(MO_BSS_Debt_Net,0,COLUMN())/INDEX(SP_BSR_CashFlow_LTM,0,COLUMN())</f>
        <v/>
      </c>
      <c r="Y80" s="2157">
        <f>INDEX(MO_BSS_Debt_Net,0,COLUMN())/INDEX(SP_BSR_CashFlow_LTM,0,COLUMN())</f>
        <v/>
      </c>
      <c r="Z80" s="2240">
        <f>INDEX(MO_BSS_Debt_Net,0,COLUMN())/INDEX(SP_BSR_CashFlow_LTM,0,COLUMN())</f>
        <v/>
      </c>
      <c r="AA80" s="2157">
        <f>INDEX(MO_BSS_Debt_Net,0,COLUMN())/INDEX(SP_BSR_CashFlow_LTM,0,COLUMN())</f>
        <v/>
      </c>
      <c r="AB80" s="2157">
        <f>INDEX(MO_BSS_Debt_Net,0,COLUMN())/INDEX(SP_BSR_CashFlow_LTM,0,COLUMN())</f>
        <v/>
      </c>
      <c r="AC80" s="2157">
        <f>INDEX(MO_BSS_Debt_Net,0,COLUMN())/INDEX(SP_BSR_CashFlow_LTM,0,COLUMN())</f>
        <v/>
      </c>
      <c r="AD80" s="2157">
        <f>INDEX(MO_BSS_Debt_Net,0,COLUMN())/INDEX(SP_BSR_CashFlow_LTM,0,COLUMN())</f>
        <v/>
      </c>
      <c r="AE80" s="2240">
        <f>INDEX(MO_BSS_Debt_Net,0,COLUMN())/INDEX(SP_BSR_CashFlow_LTM,0,COLUMN())</f>
        <v/>
      </c>
      <c r="AF80" s="2157">
        <f>INDEX(MO_BSS_Debt_Net,0,COLUMN())/INDEX(SP_BSR_CashFlow_LTM,0,COLUMN())</f>
        <v/>
      </c>
      <c r="AG80" s="2157">
        <f>INDEX(MO_BSS_Debt_Net,0,COLUMN())/INDEX(SP_BSR_CashFlow_LTM,0,COLUMN())</f>
        <v/>
      </c>
      <c r="AH80" s="2157">
        <f>INDEX(MO_BSS_Debt_Net,0,COLUMN())/INDEX(SP_BSR_CashFlow_LTM,0,COLUMN())</f>
        <v/>
      </c>
      <c r="AI80" s="2157">
        <f>INDEX(MO_BSS_Debt_Net,0,COLUMN())/INDEX(SP_BSR_CashFlow_LTM,0,COLUMN())</f>
        <v/>
      </c>
      <c r="AJ80" s="2240">
        <f>INDEX(MO_BSS_Debt_Net,0,COLUMN())/INDEX(SP_BSR_CashFlow_LTM,0,COLUMN())</f>
        <v/>
      </c>
      <c r="AK80" s="2157">
        <f>INDEX(MO_BSS_Debt_Net,0,COLUMN())/INDEX(SP_BSR_CashFlow_LTM,0,COLUMN())</f>
        <v/>
      </c>
      <c r="AL80" s="2157">
        <f>INDEX(MO_BSS_Debt_Net,0,COLUMN())/INDEX(SP_BSR_CashFlow_LTM,0,COLUMN())</f>
        <v/>
      </c>
      <c r="AM80" s="2157">
        <f>INDEX(MO_BSS_Debt_Net,0,COLUMN())/INDEX(SP_BSR_CashFlow_LTM,0,COLUMN())</f>
        <v/>
      </c>
      <c r="AN80" s="2157">
        <f>INDEX(MO_BSS_Debt_Net,0,COLUMN())/INDEX(SP_BSR_CashFlow_LTM,0,COLUMN())</f>
        <v/>
      </c>
      <c r="AO80" s="2240">
        <f>INDEX(MO_BSS_Debt_Net,0,COLUMN())/INDEX(SP_BSR_CashFlow_LTM,0,COLUMN())</f>
        <v/>
      </c>
      <c r="AP80" s="2157">
        <f>INDEX(MO_BSS_Debt_Net,0,COLUMN())/INDEX(SP_BSR_CashFlow_LTM,0,COLUMN())</f>
        <v/>
      </c>
      <c r="AQ80" s="2157">
        <f>INDEX(MO_BSS_Debt_Net,0,COLUMN())/INDEX(SP_BSR_CashFlow_LTM,0,COLUMN())</f>
        <v/>
      </c>
      <c r="AR80" s="2157">
        <f>INDEX(MO_BSS_Debt_Net,0,COLUMN())/INDEX(SP_BSR_CashFlow_LTM,0,COLUMN())</f>
        <v/>
      </c>
      <c r="AS80" s="2157">
        <f>INDEX(MO_BSS_Debt_Net,0,COLUMN())/INDEX(SP_BSR_CashFlow_LTM,0,COLUMN())</f>
        <v/>
      </c>
      <c r="AT80" s="2240">
        <f>INDEX(MO_BSS_Debt_Net,0,COLUMN())/INDEX(SP_BSR_CashFlow_LTM,0,COLUMN())</f>
        <v/>
      </c>
      <c r="AU80" s="2157">
        <f>INDEX(MO_BSS_Debt_Net,0,COLUMN())/INDEX(SP_BSR_CashFlow_LTM,0,COLUMN())</f>
        <v/>
      </c>
      <c r="AV80" s="2157">
        <f>INDEX(MO_BSS_Debt_Net,0,COLUMN())/INDEX(SP_BSR_CashFlow_LTM,0,COLUMN())</f>
        <v/>
      </c>
      <c r="AW80" s="2157">
        <f>INDEX(MO_BSS_Debt_Net,0,COLUMN())/INDEX(SP_BSR_CashFlow_LTM,0,COLUMN())</f>
        <v/>
      </c>
      <c r="AX80" s="2157">
        <f>INDEX(MO_BSS_Debt_Net,0,COLUMN())/INDEX(SP_BSR_CashFlow_LTM,0,COLUMN())</f>
        <v/>
      </c>
      <c r="AY80" s="2240">
        <f>INDEX(MO_BSS_Debt_Net,0,COLUMN())/INDEX(SP_BSR_CashFlow_LTM,0,COLUMN())</f>
        <v/>
      </c>
      <c r="AZ80" s="2157">
        <f>INDEX(MO_BSS_Debt_Net,0,COLUMN())/INDEX(SP_BSR_CashFlow_LTM,0,COLUMN())</f>
        <v/>
      </c>
      <c r="BA80" s="2157">
        <f>INDEX(MO_BSS_Debt_Net,0,COLUMN())/INDEX(SP_BSR_CashFlow_LTM,0,COLUMN())</f>
        <v/>
      </c>
      <c r="BB80" s="2157">
        <f>INDEX(MO_BSS_Debt_Net,0,COLUMN())/INDEX(SP_BSR_CashFlow_LTM,0,COLUMN())</f>
        <v/>
      </c>
      <c r="BC80" s="2157">
        <f>INDEX(MO_BSS_Debt_Net,0,COLUMN())/INDEX(SP_BSR_CashFlow_LTM,0,COLUMN())</f>
        <v/>
      </c>
      <c r="BD80" s="2240">
        <f>INDEX(MO_BSS_Debt_Net,0,COLUMN())/INDEX(SP_BSR_CashFlow_LTM,0,COLUMN())</f>
        <v/>
      </c>
      <c r="BE80" s="2157">
        <f>INDEX(MO_BSS_Debt_Net,0,COLUMN())/INDEX(SP_BSR_CashFlow_LTM,0,COLUMN())</f>
        <v/>
      </c>
      <c r="BF80" s="2157">
        <f>INDEX(MO_BSS_Debt_Net,0,COLUMN())/INDEX(SP_BSR_CashFlow_LTM,0,COLUMN())</f>
        <v/>
      </c>
      <c r="BG80" s="2157">
        <f>INDEX(MO_BSS_Debt_Net,0,COLUMN())/INDEX(SP_BSR_CashFlow_LTM,0,COLUMN())</f>
        <v/>
      </c>
      <c r="BH80" s="2157">
        <f>INDEX(MO_BSS_Debt_Net,0,COLUMN())/INDEX(SP_BSR_CashFlow_LTM,0,COLUMN())</f>
        <v/>
      </c>
      <c r="BI80" s="2240">
        <f>INDEX(MO_BSS_Debt_Net,0,COLUMN())/INDEX(SP_BSR_CashFlow_LTM,0,COLUMN())</f>
        <v/>
      </c>
      <c r="BJ80" s="2157">
        <f>INDEX(MO_BSS_Debt_Net,0,COLUMN())/INDEX(SP_BSR_CashFlow_LTM,0,COLUMN())</f>
        <v/>
      </c>
      <c r="BK80" s="2157">
        <f>INDEX(MO_BSS_Debt_Net,0,COLUMN())/INDEX(SP_BSR_CashFlow_LTM,0,COLUMN())</f>
        <v/>
      </c>
      <c r="BL80" s="2157">
        <f>INDEX(MO_BSS_Debt_Net,0,COLUMN())/INDEX(SP_BSR_CashFlow_LTM,0,COLUMN())</f>
        <v/>
      </c>
      <c r="BM80" s="2157">
        <f>INDEX(MO_BSS_Debt_Net,0,COLUMN())/INDEX(SP_BSR_CashFlow_LTM,0,COLUMN())</f>
        <v/>
      </c>
      <c r="BN80" s="2240">
        <f>INDEX(MO_BSS_Debt_Net,0,COLUMN())/INDEX(SP_BSR_CashFlow_LTM,0,COLUMN())</f>
        <v/>
      </c>
      <c r="BO80" s="2157">
        <f>INDEX(MO_BSS_Debt_Net,0,COLUMN())/INDEX(SP_BSR_CashFlow_LTM,0,COLUMN())</f>
        <v/>
      </c>
      <c r="BP80" s="2157">
        <f>INDEX(MO_BSS_Debt_Net,0,COLUMN())/INDEX(SP_BSR_CashFlow_LTM,0,COLUMN())</f>
        <v/>
      </c>
      <c r="BQ80" s="2242">
        <f>INDEX(MO_BSS_Debt_Net,0,COLUMN())/INDEX(SP_BSR_CashFlow_LTM,0,COLUMN())</f>
        <v/>
      </c>
      <c r="BR80" s="2157">
        <f>INDEX(MO_BSS_Debt_Net,0,COLUMN())/INDEX(SP_BSR_CashFlow_LTM,0,COLUMN())</f>
        <v/>
      </c>
      <c r="BS80" s="2240">
        <f>INDEX(MO_BSS_Debt_Net,0,COLUMN())/INDEX(SP_BSR_CashFlow_LTM,0,COLUMN())</f>
        <v/>
      </c>
      <c r="BT80" s="2157">
        <f>INDEX(MO_BSS_Debt_Net,0,COLUMN())/INDEX(SP_BSR_CashFlow_LTM,0,COLUMN())</f>
        <v/>
      </c>
      <c r="BU80" s="2157">
        <f>INDEX(MO_BSS_Debt_Net,0,COLUMN())/INDEX(SP_BSR_CashFlow_LTM,0,COLUMN())</f>
        <v/>
      </c>
      <c r="BV80" s="2157">
        <f>INDEX(MO_BSS_Debt_Net,0,COLUMN())/INDEX(SP_BSR_CashFlow_LTM,0,COLUMN())</f>
        <v/>
      </c>
      <c r="BW80" s="2157">
        <f>INDEX(MO_BSS_Debt_Net,0,COLUMN())/INDEX(SP_BSR_CashFlow_LTM,0,COLUMN())</f>
        <v/>
      </c>
      <c r="BX80" s="2240">
        <f>INDEX(MO_BSS_Debt_Net,0,COLUMN())/INDEX(SP_BSR_CashFlow_LTM,0,COLUMN())</f>
        <v/>
      </c>
      <c r="BY80" s="2240">
        <f>INDEX(MO_BSS_Debt_Net,0,COLUMN())/INDEX(SP_BSR_CashFlow_LTM,0,COLUMN())</f>
        <v/>
      </c>
      <c r="BZ80" s="2240">
        <f>INDEX(MO_BSS_Debt_Net,0,COLUMN())/INDEX(SP_BSR_CashFlow_LTM,0,COLUMN())</f>
        <v/>
      </c>
      <c r="CA80" s="2240">
        <f>INDEX(MO_BSS_Debt_Net,0,COLUMN())/INDEX(SP_BSR_CashFlow_LTM,0,COLUMN())</f>
        <v/>
      </c>
      <c r="CB80" s="2157" t="n"/>
    </row>
    <row r="81" ht="15" customFormat="1" customHeight="1" s="2243">
      <c r="A81" s="2244" t="inlineStr">
        <is>
          <t>Net Debt / Capital</t>
        </is>
      </c>
      <c r="B81" s="2245" t="n"/>
      <c r="C81" s="2246">
        <f>INDEX(MO_BSS_Debt_Net,0,COLUMN())/SUM(INDEX(MO_BS_SE,0,COLUMN()),INDEX(MO_BSS_Debt,0,COLUMN()),IFERROR(INDEX(MO_BSS_OL,0,COLUMN()),0))</f>
        <v/>
      </c>
      <c r="D81" s="2246">
        <f>INDEX(MO_BSS_Debt_Net,0,COLUMN())/SUM(INDEX(MO_BS_SE,0,COLUMN()),INDEX(MO_BSS_Debt,0,COLUMN()),IFERROR(INDEX(MO_BSS_OL,0,COLUMN()),0))</f>
        <v/>
      </c>
      <c r="E81" s="2246">
        <f>INDEX(MO_BSS_Debt_Net,0,COLUMN())/SUM(INDEX(MO_BS_SE,0,COLUMN()),INDEX(MO_BSS_Debt,0,COLUMN()),IFERROR(INDEX(MO_BSS_OL,0,COLUMN()),0))</f>
        <v/>
      </c>
      <c r="F81" s="2246">
        <f>INDEX(MO_BSS_Debt_Net,0,COLUMN())/SUM(INDEX(MO_BS_SE,0,COLUMN()),INDEX(MO_BSS_Debt,0,COLUMN()),IFERROR(INDEX(MO_BSS_OL,0,COLUMN()),0))</f>
        <v/>
      </c>
      <c r="G81" s="2247" t="n"/>
      <c r="H81" s="2247" t="n"/>
      <c r="I81" s="2247" t="n"/>
      <c r="J81" s="2247">
        <f>INDEX(MO_BSS_Debt_Net,0,COLUMN())/SUM(INDEX(MO_BS_SE,0,COLUMN()),INDEX(MO_BSS_Debt,0,COLUMN()),IFERROR(INDEX(MO_BSS_OL,0,COLUMN()),0))</f>
        <v/>
      </c>
      <c r="K81" s="2246">
        <f>INDEX(MO_BSS_Debt_Net,0,COLUMN())/SUM(INDEX(MO_BS_SE,0,COLUMN()),INDEX(MO_BSS_Debt,0,COLUMN()),IFERROR(INDEX(MO_BSS_OL,0,COLUMN()),0))</f>
        <v/>
      </c>
      <c r="L81" s="2247">
        <f>INDEX(MO_BSS_Debt_Net,0,COLUMN())/SUM(INDEX(MO_BS_SE,0,COLUMN()),INDEX(MO_BSS_Debt,0,COLUMN()),IFERROR(INDEX(MO_BSS_OL,0,COLUMN()),0))</f>
        <v/>
      </c>
      <c r="M81" s="2247">
        <f>INDEX(MO_BSS_Debt_Net,0,COLUMN())/SUM(INDEX(MO_BS_SE,0,COLUMN()),INDEX(MO_BSS_Debt,0,COLUMN()),IFERROR(INDEX(MO_BSS_OL,0,COLUMN()),0))</f>
        <v/>
      </c>
      <c r="N81" s="2247">
        <f>INDEX(MO_BSS_Debt_Net,0,COLUMN())/SUM(INDEX(MO_BS_SE,0,COLUMN()),INDEX(MO_BSS_Debt,0,COLUMN()),IFERROR(INDEX(MO_BSS_OL,0,COLUMN()),0))</f>
        <v/>
      </c>
      <c r="O81" s="2247">
        <f>INDEX(MO_BSS_Debt_Net,0,COLUMN())/SUM(INDEX(MO_BS_SE,0,COLUMN()),INDEX(MO_BSS_Debt,0,COLUMN()),IFERROR(INDEX(MO_BSS_OL,0,COLUMN()),0))</f>
        <v/>
      </c>
      <c r="P81" s="2246">
        <f>INDEX(MO_BSS_Debt_Net,0,COLUMN())/SUM(INDEX(MO_BS_SE,0,COLUMN()),INDEX(MO_BSS_Debt,0,COLUMN()),IFERROR(INDEX(MO_BSS_OL,0,COLUMN()),0))</f>
        <v/>
      </c>
      <c r="Q81" s="2247">
        <f>INDEX(MO_BSS_Debt_Net,0,COLUMN())/SUM(INDEX(MO_BS_SE,0,COLUMN()),INDEX(MO_BSS_Debt,0,COLUMN()),IFERROR(INDEX(MO_BSS_OL,0,COLUMN()),0))</f>
        <v/>
      </c>
      <c r="R81" s="2247">
        <f>INDEX(MO_BSS_Debt_Net,0,COLUMN())/SUM(INDEX(MO_BS_SE,0,COLUMN()),INDEX(MO_BSS_Debt,0,COLUMN()),IFERROR(INDEX(MO_BSS_OL,0,COLUMN()),0))</f>
        <v/>
      </c>
      <c r="S81" s="2247">
        <f>INDEX(MO_BSS_Debt_Net,0,COLUMN())/SUM(INDEX(MO_BS_SE,0,COLUMN()),INDEX(MO_BSS_Debt,0,COLUMN()),IFERROR(INDEX(MO_BSS_OL,0,COLUMN()),0))</f>
        <v/>
      </c>
      <c r="T81" s="2247">
        <f>INDEX(MO_BSS_Debt_Net,0,COLUMN())/SUM(INDEX(MO_BS_SE,0,COLUMN()),INDEX(MO_BSS_Debt,0,COLUMN()),IFERROR(INDEX(MO_BSS_OL,0,COLUMN()),0))</f>
        <v/>
      </c>
      <c r="U81" s="2246">
        <f>INDEX(MO_BSS_Debt_Net,0,COLUMN())/SUM(INDEX(MO_BS_SE,0,COLUMN()),INDEX(MO_BSS_Debt,0,COLUMN()),IFERROR(INDEX(MO_BSS_OL,0,COLUMN()),0))</f>
        <v/>
      </c>
      <c r="V81" s="2247">
        <f>INDEX(MO_BSS_Debt_Net,0,COLUMN())/SUM(INDEX(MO_BS_SE,0,COLUMN()),INDEX(MO_BSS_Debt,0,COLUMN()),IFERROR(INDEX(MO_BSS_OL,0,COLUMN()),0))</f>
        <v/>
      </c>
      <c r="W81" s="2247">
        <f>INDEX(MO_BSS_Debt_Net,0,COLUMN())/SUM(INDEX(MO_BS_SE,0,COLUMN()),INDEX(MO_BSS_Debt,0,COLUMN()),IFERROR(INDEX(MO_BSS_OL,0,COLUMN()),0))</f>
        <v/>
      </c>
      <c r="X81" s="2247">
        <f>INDEX(MO_BSS_Debt_Net,0,COLUMN())/SUM(INDEX(MO_BS_SE,0,COLUMN()),INDEX(MO_BSS_Debt,0,COLUMN()),IFERROR(INDEX(MO_BSS_OL,0,COLUMN()),0))</f>
        <v/>
      </c>
      <c r="Y81" s="2247">
        <f>INDEX(MO_BSS_Debt_Net,0,COLUMN())/SUM(INDEX(MO_BS_SE,0,COLUMN()),INDEX(MO_BSS_Debt,0,COLUMN()),IFERROR(INDEX(MO_BSS_OL,0,COLUMN()),0))</f>
        <v/>
      </c>
      <c r="Z81" s="2246">
        <f>INDEX(MO_BSS_Debt_Net,0,COLUMN())/SUM(INDEX(MO_BS_SE,0,COLUMN()),INDEX(MO_BSS_Debt,0,COLUMN()),IFERROR(INDEX(MO_BSS_OL,0,COLUMN()),0))</f>
        <v/>
      </c>
      <c r="AA81" s="2247">
        <f>INDEX(MO_BSS_Debt_Net,0,COLUMN())/SUM(INDEX(MO_BS_SE,0,COLUMN()),INDEX(MO_BSS_Debt,0,COLUMN()),IFERROR(INDEX(MO_BSS_OL,0,COLUMN()),0))</f>
        <v/>
      </c>
      <c r="AB81" s="2247">
        <f>INDEX(MO_BSS_Debt_Net,0,COLUMN())/SUM(INDEX(MO_BS_SE,0,COLUMN()),INDEX(MO_BSS_Debt,0,COLUMN()),IFERROR(INDEX(MO_BSS_OL,0,COLUMN()),0))</f>
        <v/>
      </c>
      <c r="AC81" s="2247">
        <f>INDEX(MO_BSS_Debt_Net,0,COLUMN())/SUM(INDEX(MO_BS_SE,0,COLUMN()),INDEX(MO_BSS_Debt,0,COLUMN()),IFERROR(INDEX(MO_BSS_OL,0,COLUMN()),0))</f>
        <v/>
      </c>
      <c r="AD81" s="2247">
        <f>INDEX(MO_BSS_Debt_Net,0,COLUMN())/SUM(INDEX(MO_BS_SE,0,COLUMN()),INDEX(MO_BSS_Debt,0,COLUMN()),IFERROR(INDEX(MO_BSS_OL,0,COLUMN()),0))</f>
        <v/>
      </c>
      <c r="AE81" s="2246">
        <f>INDEX(MO_BSS_Debt_Net,0,COLUMN())/SUM(INDEX(MO_BS_SE,0,COLUMN()),INDEX(MO_BSS_Debt,0,COLUMN()),IFERROR(INDEX(MO_BSS_OL,0,COLUMN()),0))</f>
        <v/>
      </c>
      <c r="AF81" s="2247">
        <f>INDEX(MO_BSS_Debt_Net,0,COLUMN())/SUM(INDEX(MO_BS_SE,0,COLUMN()),INDEX(MO_BSS_Debt,0,COLUMN()),IFERROR(INDEX(MO_BSS_OL,0,COLUMN()),0))</f>
        <v/>
      </c>
      <c r="AG81" s="2247">
        <f>INDEX(MO_BSS_Debt_Net,0,COLUMN())/SUM(INDEX(MO_BS_SE,0,COLUMN()),INDEX(MO_BSS_Debt,0,COLUMN()),IFERROR(INDEX(MO_BSS_OL,0,COLUMN()),0))</f>
        <v/>
      </c>
      <c r="AH81" s="2247">
        <f>INDEX(MO_BSS_Debt_Net,0,COLUMN())/SUM(INDEX(MO_BS_SE,0,COLUMN()),INDEX(MO_BSS_Debt,0,COLUMN()),IFERROR(INDEX(MO_BSS_OL,0,COLUMN()),0))</f>
        <v/>
      </c>
      <c r="AI81" s="2247">
        <f>INDEX(MO_BSS_Debt_Net,0,COLUMN())/SUM(INDEX(MO_BS_SE,0,COLUMN()),INDEX(MO_BSS_Debt,0,COLUMN()),IFERROR(INDEX(MO_BSS_OL,0,COLUMN()),0))</f>
        <v/>
      </c>
      <c r="AJ81" s="2246">
        <f>INDEX(MO_BSS_Debt_Net,0,COLUMN())/SUM(INDEX(MO_BS_SE,0,COLUMN()),INDEX(MO_BSS_Debt,0,COLUMN()),IFERROR(INDEX(MO_BSS_OL,0,COLUMN()),0))</f>
        <v/>
      </c>
      <c r="AK81" s="2247">
        <f>INDEX(MO_BSS_Debt_Net,0,COLUMN())/SUM(INDEX(MO_BS_SE,0,COLUMN()),INDEX(MO_BSS_Debt,0,COLUMN()),IFERROR(INDEX(MO_BSS_OL,0,COLUMN()),0))</f>
        <v/>
      </c>
      <c r="AL81" s="2247">
        <f>INDEX(MO_BSS_Debt_Net,0,COLUMN())/SUM(INDEX(MO_BS_SE,0,COLUMN()),INDEX(MO_BSS_Debt,0,COLUMN()),IFERROR(INDEX(MO_BSS_OL,0,COLUMN()),0))</f>
        <v/>
      </c>
      <c r="AM81" s="2247">
        <f>INDEX(MO_BSS_Debt_Net,0,COLUMN())/SUM(INDEX(MO_BS_SE,0,COLUMN()),INDEX(MO_BSS_Debt,0,COLUMN()),IFERROR(INDEX(MO_BSS_OL,0,COLUMN()),0))</f>
        <v/>
      </c>
      <c r="AN81" s="2247">
        <f>INDEX(MO_BSS_Debt_Net,0,COLUMN())/SUM(INDEX(MO_BS_SE,0,COLUMN()),INDEX(MO_BSS_Debt,0,COLUMN()),IFERROR(INDEX(MO_BSS_OL,0,COLUMN()),0))</f>
        <v/>
      </c>
      <c r="AO81" s="2246">
        <f>INDEX(MO_BSS_Debt_Net,0,COLUMN())/SUM(INDEX(MO_BS_SE,0,COLUMN()),INDEX(MO_BSS_Debt,0,COLUMN()),IFERROR(INDEX(MO_BSS_OL,0,COLUMN()),0))</f>
        <v/>
      </c>
      <c r="AP81" s="2247">
        <f>INDEX(MO_BSS_Debt_Net,0,COLUMN())/SUM(INDEX(MO_BS_SE,0,COLUMN()),INDEX(MO_BSS_Debt,0,COLUMN()),IFERROR(INDEX(MO_BSS_OL,0,COLUMN()),0))</f>
        <v/>
      </c>
      <c r="AQ81" s="2247">
        <f>INDEX(MO_BSS_Debt_Net,0,COLUMN())/SUM(INDEX(MO_BS_SE,0,COLUMN()),INDEX(MO_BSS_Debt,0,COLUMN()),IFERROR(INDEX(MO_BSS_OL,0,COLUMN()),0))</f>
        <v/>
      </c>
      <c r="AR81" s="2247">
        <f>INDEX(MO_BSS_Debt_Net,0,COLUMN())/SUM(INDEX(MO_BS_SE,0,COLUMN()),INDEX(MO_BSS_Debt,0,COLUMN()),IFERROR(INDEX(MO_BSS_OL,0,COLUMN()),0))</f>
        <v/>
      </c>
      <c r="AS81" s="2247">
        <f>INDEX(MO_BSS_Debt_Net,0,COLUMN())/SUM(INDEX(MO_BS_SE,0,COLUMN()),INDEX(MO_BSS_Debt,0,COLUMN()),IFERROR(INDEX(MO_BSS_OL,0,COLUMN()),0))</f>
        <v/>
      </c>
      <c r="AT81" s="2246">
        <f>INDEX(MO_BSS_Debt_Net,0,COLUMN())/SUM(INDEX(MO_BS_SE,0,COLUMN()),INDEX(MO_BSS_Debt,0,COLUMN()),IFERROR(INDEX(MO_BSS_OL,0,COLUMN()),0))</f>
        <v/>
      </c>
      <c r="AU81" s="2247">
        <f>INDEX(MO_BSS_Debt_Net,0,COLUMN())/SUM(INDEX(MO_BS_SE,0,COLUMN()),INDEX(MO_BSS_Debt,0,COLUMN()),IFERROR(INDEX(MO_BSS_OL,0,COLUMN()),0))</f>
        <v/>
      </c>
      <c r="AV81" s="2247">
        <f>INDEX(MO_BSS_Debt_Net,0,COLUMN())/SUM(INDEX(MO_BS_SE,0,COLUMN()),INDEX(MO_BSS_Debt,0,COLUMN()),IFERROR(INDEX(MO_BSS_OL,0,COLUMN()),0))</f>
        <v/>
      </c>
      <c r="AW81" s="2247">
        <f>INDEX(MO_BSS_Debt_Net,0,COLUMN())/SUM(INDEX(MO_BS_SE,0,COLUMN()),INDEX(MO_BSS_Debt,0,COLUMN()),IFERROR(INDEX(MO_BSS_OL,0,COLUMN()),0))</f>
        <v/>
      </c>
      <c r="AX81" s="2247">
        <f>INDEX(MO_BSS_Debt_Net,0,COLUMN())/SUM(INDEX(MO_BS_SE,0,COLUMN()),INDEX(MO_BSS_Debt,0,COLUMN()),IFERROR(INDEX(MO_BSS_OL,0,COLUMN()),0))</f>
        <v/>
      </c>
      <c r="AY81" s="2246">
        <f>INDEX(MO_BSS_Debt_Net,0,COLUMN())/SUM(INDEX(MO_BS_SE,0,COLUMN()),INDEX(MO_BSS_Debt,0,COLUMN()),IFERROR(INDEX(MO_BSS_OL,0,COLUMN()),0))</f>
        <v/>
      </c>
      <c r="AZ81" s="2247">
        <f>INDEX(MO_BSS_Debt_Net,0,COLUMN())/SUM(INDEX(MO_BS_SE,0,COLUMN()),INDEX(MO_BSS_Debt,0,COLUMN()),IFERROR(INDEX(MO_BSS_OL,0,COLUMN()),0))</f>
        <v/>
      </c>
      <c r="BA81" s="2247">
        <f>INDEX(MO_BSS_Debt_Net,0,COLUMN())/SUM(INDEX(MO_BS_SE,0,COLUMN()),INDEX(MO_BSS_Debt,0,COLUMN()),IFERROR(INDEX(MO_BSS_OL,0,COLUMN()),0))</f>
        <v/>
      </c>
      <c r="BB81" s="2247">
        <f>INDEX(MO_BSS_Debt_Net,0,COLUMN())/SUM(INDEX(MO_BS_SE,0,COLUMN()),INDEX(MO_BSS_Debt,0,COLUMN()),IFERROR(INDEX(MO_BSS_OL,0,COLUMN()),0))</f>
        <v/>
      </c>
      <c r="BC81" s="2247">
        <f>INDEX(MO_BSS_Debt_Net,0,COLUMN())/SUM(INDEX(MO_BS_SE,0,COLUMN()),INDEX(MO_BSS_Debt,0,COLUMN()),IFERROR(INDEX(MO_BSS_OL,0,COLUMN()),0))</f>
        <v/>
      </c>
      <c r="BD81" s="2246">
        <f>INDEX(MO_BSS_Debt_Net,0,COLUMN())/SUM(INDEX(MO_BS_SE,0,COLUMN()),INDEX(MO_BSS_Debt,0,COLUMN()),IFERROR(INDEX(MO_BSS_OL,0,COLUMN()),0))</f>
        <v/>
      </c>
      <c r="BE81" s="2247">
        <f>INDEX(MO_BSS_Debt_Net,0,COLUMN())/SUM(INDEX(MO_BS_SE,0,COLUMN()),INDEX(MO_BSS_Debt,0,COLUMN()),IFERROR(INDEX(MO_BSS_OL,0,COLUMN()),0))</f>
        <v/>
      </c>
      <c r="BF81" s="2247">
        <f>INDEX(MO_BSS_Debt_Net,0,COLUMN())/SUM(INDEX(MO_BS_SE,0,COLUMN()),INDEX(MO_BSS_Debt,0,COLUMN()),IFERROR(INDEX(MO_BSS_OL,0,COLUMN()),0))</f>
        <v/>
      </c>
      <c r="BG81" s="2247">
        <f>INDEX(MO_BSS_Debt_Net,0,COLUMN())/SUM(INDEX(MO_BS_SE,0,COLUMN()),INDEX(MO_BSS_Debt,0,COLUMN()),IFERROR(INDEX(MO_BSS_OL,0,COLUMN()),0))</f>
        <v/>
      </c>
      <c r="BH81" s="2247">
        <f>INDEX(MO_BSS_Debt_Net,0,COLUMN())/SUM(INDEX(MO_BS_SE,0,COLUMN()),INDEX(MO_BSS_Debt,0,COLUMN()),IFERROR(INDEX(MO_BSS_OL,0,COLUMN()),0))</f>
        <v/>
      </c>
      <c r="BI81" s="2246">
        <f>INDEX(MO_BSS_Debt_Net,0,COLUMN())/SUM(INDEX(MO_BS_SE,0,COLUMN()),INDEX(MO_BSS_Debt,0,COLUMN()),IFERROR(INDEX(MO_BSS_OL,0,COLUMN()),0))</f>
        <v/>
      </c>
      <c r="BJ81" s="2247">
        <f>INDEX(MO_BSS_Debt_Net,0,COLUMN())/SUM(INDEX(MO_BS_SE,0,COLUMN()),INDEX(MO_BSS_Debt,0,COLUMN()),IFERROR(INDEX(MO_BSS_OL,0,COLUMN()),0))</f>
        <v/>
      </c>
      <c r="BK81" s="2247">
        <f>INDEX(MO_BSS_Debt_Net,0,COLUMN())/SUM(INDEX(MO_BS_SE,0,COLUMN()),INDEX(MO_BSS_Debt,0,COLUMN()),IFERROR(INDEX(MO_BSS_OL,0,COLUMN()),0))</f>
        <v/>
      </c>
      <c r="BL81" s="2247">
        <f>INDEX(MO_BSS_Debt_Net,0,COLUMN())/SUM(INDEX(MO_BS_SE,0,COLUMN()),INDEX(MO_BSS_Debt,0,COLUMN()),IFERROR(INDEX(MO_BSS_OL,0,COLUMN()),0))</f>
        <v/>
      </c>
      <c r="BM81" s="2247">
        <f>INDEX(MO_BSS_Debt_Net,0,COLUMN())/SUM(INDEX(MO_BS_SE,0,COLUMN()),INDEX(MO_BSS_Debt,0,COLUMN()),IFERROR(INDEX(MO_BSS_OL,0,COLUMN()),0))</f>
        <v/>
      </c>
      <c r="BN81" s="2246">
        <f>INDEX(MO_BSS_Debt_Net,0,COLUMN())/SUM(INDEX(MO_BS_SE,0,COLUMN()),INDEX(MO_BSS_Debt,0,COLUMN()),IFERROR(INDEX(MO_BSS_OL,0,COLUMN()),0))</f>
        <v/>
      </c>
      <c r="BO81" s="2247">
        <f>INDEX(MO_BSS_Debt_Net,0,COLUMN())/SUM(INDEX(MO_BS_SE,0,COLUMN()),INDEX(MO_BSS_Debt,0,COLUMN()),IFERROR(INDEX(MO_BSS_OL,0,COLUMN()),0))</f>
        <v/>
      </c>
      <c r="BP81" s="2247">
        <f>INDEX(MO_BSS_Debt_Net,0,COLUMN())/SUM(INDEX(MO_BS_SE,0,COLUMN()),INDEX(MO_BSS_Debt,0,COLUMN()),IFERROR(INDEX(MO_BSS_OL,0,COLUMN()),0))</f>
        <v/>
      </c>
      <c r="BQ81" s="2248">
        <f>INDEX(MO_BSS_Debt_Net,0,COLUMN())/SUM(INDEX(MO_BS_SE,0,COLUMN()),INDEX(MO_BSS_Debt,0,COLUMN()),IFERROR(INDEX(MO_BSS_OL,0,COLUMN()),0))</f>
        <v/>
      </c>
      <c r="BR81" s="2247">
        <f>INDEX(MO_BSS_Debt_Net,0,COLUMN())/SUM(INDEX(MO_BS_SE,0,COLUMN()),INDEX(MO_BSS_Debt,0,COLUMN()),IFERROR(INDEX(MO_BSS_OL,0,COLUMN()),0))</f>
        <v/>
      </c>
      <c r="BS81" s="2246">
        <f>INDEX(MO_BSS_Debt_Net,0,COLUMN())/SUM(INDEX(MO_BS_SE,0,COLUMN()),INDEX(MO_BSS_Debt,0,COLUMN()),IFERROR(INDEX(MO_BSS_OL,0,COLUMN()),0))</f>
        <v/>
      </c>
      <c r="BT81" s="2247">
        <f>INDEX(MO_BSS_Debt_Net,0,COLUMN())/SUM(INDEX(MO_BS_SE,0,COLUMN()),INDEX(MO_BSS_Debt,0,COLUMN()),IFERROR(INDEX(MO_BSS_OL,0,COLUMN()),0))</f>
        <v/>
      </c>
      <c r="BU81" s="2247">
        <f>INDEX(MO_BSS_Debt_Net,0,COLUMN())/SUM(INDEX(MO_BS_SE,0,COLUMN()),INDEX(MO_BSS_Debt,0,COLUMN()),IFERROR(INDEX(MO_BSS_OL,0,COLUMN()),0))</f>
        <v/>
      </c>
      <c r="BV81" s="2247">
        <f>INDEX(MO_BSS_Debt_Net,0,COLUMN())/SUM(INDEX(MO_BS_SE,0,COLUMN()),INDEX(MO_BSS_Debt,0,COLUMN()),IFERROR(INDEX(MO_BSS_OL,0,COLUMN()),0))</f>
        <v/>
      </c>
      <c r="BW81" s="2247">
        <f>INDEX(MO_BSS_Debt_Net,0,COLUMN())/SUM(INDEX(MO_BS_SE,0,COLUMN()),INDEX(MO_BSS_Debt,0,COLUMN()),IFERROR(INDEX(MO_BSS_OL,0,COLUMN()),0))</f>
        <v/>
      </c>
      <c r="BX81" s="2246">
        <f>INDEX(MO_BSS_Debt_Net,0,COLUMN())/SUM(INDEX(MO_BS_SE,0,COLUMN()),INDEX(MO_BSS_Debt,0,COLUMN()),IFERROR(INDEX(MO_BSS_OL,0,COLUMN()),0))</f>
        <v/>
      </c>
      <c r="BY81" s="2246">
        <f>INDEX(MO_BSS_Debt_Net,0,COLUMN())/SUM(INDEX(MO_BS_SE,0,COLUMN()),INDEX(MO_BSS_Debt,0,COLUMN()),IFERROR(INDEX(MO_BSS_OL,0,COLUMN()),0))</f>
        <v/>
      </c>
      <c r="BZ81" s="2246">
        <f>INDEX(MO_BSS_Debt_Net,0,COLUMN())/SUM(INDEX(MO_BS_SE,0,COLUMN()),INDEX(MO_BSS_Debt,0,COLUMN()),IFERROR(INDEX(MO_BSS_OL,0,COLUMN()),0))</f>
        <v/>
      </c>
      <c r="CA81" s="2246">
        <f>INDEX(MO_BSS_Debt_Net,0,COLUMN())/SUM(INDEX(MO_BS_SE,0,COLUMN()),INDEX(MO_BSS_Debt,0,COLUMN()),IFERROR(INDEX(MO_BSS_OL,0,COLUMN()),0))</f>
        <v/>
      </c>
      <c r="CB81" s="2249" t="n"/>
    </row>
    <row r="82" hidden="1" outlineLevel="1" ht="15" customFormat="1" customHeight="1" s="2105">
      <c r="A82" s="2226" t="inlineStr">
        <is>
          <t>LTM EBITDA</t>
        </is>
      </c>
      <c r="B82" s="2227" t="n"/>
      <c r="C82" s="2087">
        <f>C45</f>
        <v/>
      </c>
      <c r="D82" s="2087">
        <f>D45</f>
        <v/>
      </c>
      <c r="E82" s="2087">
        <f>E45</f>
        <v/>
      </c>
      <c r="F82" s="2087">
        <f>F45</f>
        <v/>
      </c>
      <c r="G82" s="2072" t="n"/>
      <c r="H82" s="2072" t="n"/>
      <c r="I82" s="2072" t="n"/>
      <c r="J82" s="2072">
        <f>SUM(J45,I45,H45,G45)</f>
        <v/>
      </c>
      <c r="K82" s="2087">
        <f>K45</f>
        <v/>
      </c>
      <c r="L82" s="2072">
        <f>SUM(L45,J45,I45,H45)</f>
        <v/>
      </c>
      <c r="M82" s="2072">
        <f>SUM(M45,L45,J45,I45)</f>
        <v/>
      </c>
      <c r="N82" s="2072">
        <f>SUM(N45,M45,L45,J45)</f>
        <v/>
      </c>
      <c r="O82" s="2072">
        <f>SUM(O45,N45,M45,L45)</f>
        <v/>
      </c>
      <c r="P82" s="2087">
        <f>P45</f>
        <v/>
      </c>
      <c r="Q82" s="2072">
        <f>SUM(Q45,O45,N45,M45)</f>
        <v/>
      </c>
      <c r="R82" s="2072">
        <f>SUM(R45,Q45,O45,N45)</f>
        <v/>
      </c>
      <c r="S82" s="2072">
        <f>SUM(S45,R45,Q45,O45)</f>
        <v/>
      </c>
      <c r="T82" s="2072">
        <f>SUM(T45,S45,R45,Q45)</f>
        <v/>
      </c>
      <c r="U82" s="2087">
        <f>U45</f>
        <v/>
      </c>
      <c r="V82" s="2072">
        <f>SUM(V45,T45,S45,R45)</f>
        <v/>
      </c>
      <c r="W82" s="2072">
        <f>SUM(W45,V45,T45,S45)</f>
        <v/>
      </c>
      <c r="X82" s="2072">
        <f>SUM(X45,W45,V45,T45)</f>
        <v/>
      </c>
      <c r="Y82" s="2072">
        <f>SUM(Y45,X45,W45,V45)</f>
        <v/>
      </c>
      <c r="Z82" s="2087">
        <f>Z45</f>
        <v/>
      </c>
      <c r="AA82" s="2072">
        <f>SUM(AA45,Y45,X45,W45)</f>
        <v/>
      </c>
      <c r="AB82" s="2072">
        <f>SUM(AB45,AA45,Y45,X45)</f>
        <v/>
      </c>
      <c r="AC82" s="2072">
        <f>SUM(AC45,AB45,AA45,Y45)</f>
        <v/>
      </c>
      <c r="AD82" s="2072">
        <f>SUM(AD45,AC45,AB45,AA45)</f>
        <v/>
      </c>
      <c r="AE82" s="2087">
        <f>AE45</f>
        <v/>
      </c>
      <c r="AF82" s="2072">
        <f>SUM(AF45,AD45,AC45,AB45)</f>
        <v/>
      </c>
      <c r="AG82" s="2072">
        <f>SUM(AG45,AF45,AD45,AC45)</f>
        <v/>
      </c>
      <c r="AH82" s="2072">
        <f>SUM(AH45,AG45,AF45,AD45)</f>
        <v/>
      </c>
      <c r="AI82" s="2072">
        <f>SUM(AI45,AH45,AG45,AF45)</f>
        <v/>
      </c>
      <c r="AJ82" s="2087">
        <f>AJ45</f>
        <v/>
      </c>
      <c r="AK82" s="2072">
        <f>SUM(AK45,AI45,AH45,AG45)</f>
        <v/>
      </c>
      <c r="AL82" s="2072">
        <f>SUM(AL45,AK45,AI45,AH45)</f>
        <v/>
      </c>
      <c r="AM82" s="2072">
        <f>SUM(AM45,AL45,AK45,AI45)</f>
        <v/>
      </c>
      <c r="AN82" s="2072">
        <f>SUM(AN45,AM45,AL45,AK45)</f>
        <v/>
      </c>
      <c r="AO82" s="2087">
        <f>AO45</f>
        <v/>
      </c>
      <c r="AP82" s="2072">
        <f>SUM(AP45,AN45,AM45,AL45)</f>
        <v/>
      </c>
      <c r="AQ82" s="2072">
        <f>SUM(AQ45,AP45,AN45,AM45)</f>
        <v/>
      </c>
      <c r="AR82" s="2072">
        <f>SUM(AR45,AQ45,AP45,AN45)</f>
        <v/>
      </c>
      <c r="AS82" s="2072">
        <f>SUM(AS45,AR45,AQ45,AP45)</f>
        <v/>
      </c>
      <c r="AT82" s="2087">
        <f>AT45</f>
        <v/>
      </c>
      <c r="AU82" s="2072">
        <f>SUM(AU45,AS45,AR45,AQ45)</f>
        <v/>
      </c>
      <c r="AV82" s="2072">
        <f>SUM(AV45,AU45,AS45,AR45)</f>
        <v/>
      </c>
      <c r="AW82" s="2072">
        <f>SUM(AW45,AV45,AU45,AS45)</f>
        <v/>
      </c>
      <c r="AX82" s="2072">
        <f>SUM(AX45,AW45,AV45,AU45)</f>
        <v/>
      </c>
      <c r="AY82" s="2087">
        <f>AY45</f>
        <v/>
      </c>
      <c r="AZ82" s="2072">
        <f>SUM(AZ45,AX45,AW45,AV45)</f>
        <v/>
      </c>
      <c r="BA82" s="2072">
        <f>SUM(BA45,AZ45,AX45,AW45)</f>
        <v/>
      </c>
      <c r="BB82" s="2072">
        <f>SUM(BB45,BA45,AZ45,AX45)</f>
        <v/>
      </c>
      <c r="BC82" s="2072">
        <f>SUM(BC45,BB45,BA45,AZ45)</f>
        <v/>
      </c>
      <c r="BD82" s="2087">
        <f>BD45</f>
        <v/>
      </c>
      <c r="BE82" s="2072">
        <f>SUM(BE45,BC45,BB45,BA45)</f>
        <v/>
      </c>
      <c r="BF82" s="2072">
        <f>SUM(BF45,BE45,BC45,BB45)</f>
        <v/>
      </c>
      <c r="BG82" s="2072">
        <f>SUM(BG45,BF45,BE45,BC45)</f>
        <v/>
      </c>
      <c r="BH82" s="2072">
        <f>SUM(BH45,BG45,BF45,BE45)</f>
        <v/>
      </c>
      <c r="BI82" s="2087">
        <f>BI45</f>
        <v/>
      </c>
      <c r="BJ82" s="2072">
        <f>SUM(BJ45,BH45,BG45,BF45)</f>
        <v/>
      </c>
      <c r="BK82" s="2072">
        <f>SUM(BK45,BJ45,BH45,BG45)</f>
        <v/>
      </c>
      <c r="BL82" s="2072">
        <f>SUM(BL45,BK45,BJ45,BH45)</f>
        <v/>
      </c>
      <c r="BM82" s="2072">
        <f>SUM(BM45,BL45,BK45,BJ45)</f>
        <v/>
      </c>
      <c r="BN82" s="2087">
        <f>BN45</f>
        <v/>
      </c>
      <c r="BO82" s="2072">
        <f>SUM(BO45,BM45,BL45,BK45)</f>
        <v/>
      </c>
      <c r="BP82" s="2072">
        <f>SUM(BP45,BO45,BM45,BL45)</f>
        <v/>
      </c>
      <c r="BQ82" s="2073">
        <f>SUM(BQ45,BP45,BO45,BM45)</f>
        <v/>
      </c>
      <c r="BR82" s="2072">
        <f>SUM(BR45,BQ45,BP45,BO45)</f>
        <v/>
      </c>
      <c r="BS82" s="2087">
        <f>BS45</f>
        <v/>
      </c>
      <c r="BT82" s="2072">
        <f>SUM(BT45,BR45,BQ45,BP45)</f>
        <v/>
      </c>
      <c r="BU82" s="2072">
        <f>SUM(BU45,BT45,BR45,BQ45)</f>
        <v/>
      </c>
      <c r="BV82" s="2072">
        <f>SUM(BV45,BU45,BT45,BR45)</f>
        <v/>
      </c>
      <c r="BW82" s="2072">
        <f>SUM(BW45,BV45,BU45,BT45)</f>
        <v/>
      </c>
      <c r="BX82" s="2087">
        <f>BX45</f>
        <v/>
      </c>
      <c r="BY82" s="2087">
        <f>BY45</f>
        <v/>
      </c>
      <c r="BZ82" s="2087">
        <f>BZ45</f>
        <v/>
      </c>
      <c r="CA82" s="2087">
        <f>CA45</f>
        <v/>
      </c>
      <c r="CB82" s="2111" t="n"/>
    </row>
    <row r="83" hidden="1" outlineLevel="1" ht="15" customFormat="1" customHeight="1" s="2105">
      <c r="A83" s="2226" t="inlineStr">
        <is>
          <t>LTM Cash Flow</t>
        </is>
      </c>
      <c r="B83" s="2227" t="n"/>
      <c r="C83" s="2087">
        <f>C60</f>
        <v/>
      </c>
      <c r="D83" s="2087">
        <f>D60</f>
        <v/>
      </c>
      <c r="E83" s="2087">
        <f>E60</f>
        <v/>
      </c>
      <c r="F83" s="2087">
        <f>F60</f>
        <v/>
      </c>
      <c r="G83" s="2072" t="n"/>
      <c r="H83" s="2072" t="n"/>
      <c r="I83" s="2072" t="n"/>
      <c r="J83" s="2072">
        <f>SUM(J60,I60,H60,G60)</f>
        <v/>
      </c>
      <c r="K83" s="2087">
        <f>K60</f>
        <v/>
      </c>
      <c r="L83" s="2072">
        <f>SUM(L60,J60,I60,H60)</f>
        <v/>
      </c>
      <c r="M83" s="2072">
        <f>SUM(M60,L60,J60,I60)</f>
        <v/>
      </c>
      <c r="N83" s="2072">
        <f>SUM(N60,M60,L60,J60)</f>
        <v/>
      </c>
      <c r="O83" s="2072">
        <f>SUM(O60,N60,M60,L60)</f>
        <v/>
      </c>
      <c r="P83" s="2087">
        <f>P60</f>
        <v/>
      </c>
      <c r="Q83" s="2072">
        <f>SUM(Q60,O60,N60,M60)</f>
        <v/>
      </c>
      <c r="R83" s="2072">
        <f>SUM(R60,Q60,O60,N60)</f>
        <v/>
      </c>
      <c r="S83" s="2072">
        <f>SUM(S60,R60,Q60,O60)</f>
        <v/>
      </c>
      <c r="T83" s="2072">
        <f>SUM(T60,S60,R60,Q60)</f>
        <v/>
      </c>
      <c r="U83" s="2087">
        <f>U60</f>
        <v/>
      </c>
      <c r="V83" s="2072">
        <f>SUM(V60,T60,S60,R60)</f>
        <v/>
      </c>
      <c r="W83" s="2072">
        <f>SUM(W60,V60,T60,S60)</f>
        <v/>
      </c>
      <c r="X83" s="2072">
        <f>SUM(X60,W60,V60,T60)</f>
        <v/>
      </c>
      <c r="Y83" s="2072">
        <f>SUM(Y60,X60,W60,V60)</f>
        <v/>
      </c>
      <c r="Z83" s="2087">
        <f>Z60</f>
        <v/>
      </c>
      <c r="AA83" s="2072">
        <f>SUM(AA60,Y60,X60,W60)</f>
        <v/>
      </c>
      <c r="AB83" s="2072">
        <f>SUM(AB60,AA60,Y60,X60)</f>
        <v/>
      </c>
      <c r="AC83" s="2072">
        <f>SUM(AC60,AB60,AA60,Y60)</f>
        <v/>
      </c>
      <c r="AD83" s="2072">
        <f>SUM(AD60,AC60,AB60,AA60)</f>
        <v/>
      </c>
      <c r="AE83" s="2087">
        <f>AE60</f>
        <v/>
      </c>
      <c r="AF83" s="2072">
        <f>SUM(AF60,AD60,AC60,AB60)</f>
        <v/>
      </c>
      <c r="AG83" s="2072">
        <f>SUM(AG60,AF60,AD60,AC60)</f>
        <v/>
      </c>
      <c r="AH83" s="2072">
        <f>SUM(AH60,AG60,AF60,AD60)</f>
        <v/>
      </c>
      <c r="AI83" s="2072">
        <f>SUM(AI60,AH60,AG60,AF60)</f>
        <v/>
      </c>
      <c r="AJ83" s="2087">
        <f>AJ60</f>
        <v/>
      </c>
      <c r="AK83" s="2072">
        <f>SUM(AK60,AI60,AH60,AG60)</f>
        <v/>
      </c>
      <c r="AL83" s="2072">
        <f>SUM(AL60,AK60,AI60,AH60)</f>
        <v/>
      </c>
      <c r="AM83" s="2072">
        <f>SUM(AM60,AL60,AK60,AI60)</f>
        <v/>
      </c>
      <c r="AN83" s="2072">
        <f>SUM(AN60,AM60,AL60,AK60)</f>
        <v/>
      </c>
      <c r="AO83" s="2087">
        <f>AO60</f>
        <v/>
      </c>
      <c r="AP83" s="2072">
        <f>SUM(AP60,AN60,AM60,AL60)</f>
        <v/>
      </c>
      <c r="AQ83" s="2072">
        <f>SUM(AQ60,AP60,AN60,AM60)</f>
        <v/>
      </c>
      <c r="AR83" s="2072">
        <f>SUM(AR60,AQ60,AP60,AN60)</f>
        <v/>
      </c>
      <c r="AS83" s="2072">
        <f>SUM(AS60,AR60,AQ60,AP60)</f>
        <v/>
      </c>
      <c r="AT83" s="2087">
        <f>AT60</f>
        <v/>
      </c>
      <c r="AU83" s="2072">
        <f>SUM(AU60,AS60,AR60,AQ60)</f>
        <v/>
      </c>
      <c r="AV83" s="2072">
        <f>SUM(AV60,AU60,AS60,AR60)</f>
        <v/>
      </c>
      <c r="AW83" s="2072">
        <f>SUM(AW60,AV60,AU60,AS60)</f>
        <v/>
      </c>
      <c r="AX83" s="2072">
        <f>SUM(AX60,AW60,AV60,AU60)</f>
        <v/>
      </c>
      <c r="AY83" s="2087">
        <f>AY60</f>
        <v/>
      </c>
      <c r="AZ83" s="2072">
        <f>SUM(AZ60,AX60,AW60,AV60)</f>
        <v/>
      </c>
      <c r="BA83" s="2072">
        <f>SUM(BA60,AZ60,AX60,AW60)</f>
        <v/>
      </c>
      <c r="BB83" s="2072">
        <f>SUM(BB60,BA60,AZ60,AX60)</f>
        <v/>
      </c>
      <c r="BC83" s="2072">
        <f>SUM(BC60,BB60,BA60,AZ60)</f>
        <v/>
      </c>
      <c r="BD83" s="2087">
        <f>BD60</f>
        <v/>
      </c>
      <c r="BE83" s="2072">
        <f>SUM(BE60,BC60,BB60,BA60)</f>
        <v/>
      </c>
      <c r="BF83" s="2072">
        <f>SUM(BF60,BE60,BC60,BB60)</f>
        <v/>
      </c>
      <c r="BG83" s="2072">
        <f>SUM(BG60,BF60,BE60,BC60)</f>
        <v/>
      </c>
      <c r="BH83" s="2072">
        <f>SUM(BH60,BG60,BF60,BE60)</f>
        <v/>
      </c>
      <c r="BI83" s="2087">
        <f>BI60</f>
        <v/>
      </c>
      <c r="BJ83" s="2072">
        <f>SUM(BJ60,BH60,BG60,BF60)</f>
        <v/>
      </c>
      <c r="BK83" s="2072">
        <f>SUM(BK60,BJ60,BH60,BG60)</f>
        <v/>
      </c>
      <c r="BL83" s="2072">
        <f>SUM(BL60,BK60,BJ60,BH60)</f>
        <v/>
      </c>
      <c r="BM83" s="2072">
        <f>SUM(BM60,BL60,BK60,BJ60)</f>
        <v/>
      </c>
      <c r="BN83" s="2087">
        <f>BN60</f>
        <v/>
      </c>
      <c r="BO83" s="2072">
        <f>SUM(BO60,BM60,BL60,BK60)</f>
        <v/>
      </c>
      <c r="BP83" s="2072">
        <f>SUM(BP60,BO60,BM60,BL60)</f>
        <v/>
      </c>
      <c r="BQ83" s="2073">
        <f>SUM(BQ60,BP60,BO60,BM60)</f>
        <v/>
      </c>
      <c r="BR83" s="2072">
        <f>SUM(BR60,BQ60,BP60,BO60)</f>
        <v/>
      </c>
      <c r="BS83" s="2087">
        <f>BS60</f>
        <v/>
      </c>
      <c r="BT83" s="2072">
        <f>SUM(BT60,BR60,BQ60,BP60)</f>
        <v/>
      </c>
      <c r="BU83" s="2072">
        <f>SUM(BU60,BT60,BR60,BQ60)</f>
        <v/>
      </c>
      <c r="BV83" s="2072">
        <f>SUM(BV60,BU60,BT60,BR60)</f>
        <v/>
      </c>
      <c r="BW83" s="2072">
        <f>SUM(BW60,BV60,BU60,BT60)</f>
        <v/>
      </c>
      <c r="BX83" s="2087">
        <f>BX60</f>
        <v/>
      </c>
      <c r="BY83" s="2087">
        <f>BY60</f>
        <v/>
      </c>
      <c r="BZ83" s="2087">
        <f>BZ60</f>
        <v/>
      </c>
      <c r="CA83" s="2087">
        <f>CA60</f>
        <v/>
      </c>
      <c r="CB83" s="2111" t="n"/>
    </row>
    <row r="84" collapsed="1" ht="15" customHeight="1" s="972">
      <c r="A84" s="1596" t="n"/>
      <c r="B84" s="2199" t="n"/>
      <c r="C84" s="2090" t="n"/>
      <c r="D84" s="2090" t="n"/>
      <c r="E84" s="2090" t="n"/>
      <c r="F84" s="2090" t="n"/>
      <c r="G84" s="2089" t="n"/>
      <c r="H84" s="2089" t="n"/>
      <c r="I84" s="2089" t="n"/>
      <c r="J84" s="2089" t="n"/>
      <c r="K84" s="2090" t="n"/>
      <c r="L84" s="2089" t="n"/>
      <c r="M84" s="2089" t="n"/>
      <c r="N84" s="2089" t="n"/>
      <c r="O84" s="2089" t="n"/>
      <c r="P84" s="2090" t="n"/>
      <c r="Q84" s="2089" t="n"/>
      <c r="R84" s="2089" t="n"/>
      <c r="S84" s="2089" t="n"/>
      <c r="T84" s="2089" t="n"/>
      <c r="U84" s="2090" t="n"/>
      <c r="V84" s="2089" t="n"/>
      <c r="W84" s="2089" t="n"/>
      <c r="X84" s="2089" t="n"/>
      <c r="Y84" s="2089" t="n"/>
      <c r="Z84" s="2090" t="n"/>
      <c r="AA84" s="2089" t="n"/>
      <c r="AB84" s="2089" t="n"/>
      <c r="AC84" s="2089" t="n"/>
      <c r="AD84" s="2089" t="n"/>
      <c r="AE84" s="2090" t="n"/>
      <c r="AF84" s="2089" t="n"/>
      <c r="AG84" s="2089" t="n"/>
      <c r="AH84" s="2089" t="n"/>
      <c r="AI84" s="2089" t="n"/>
      <c r="AJ84" s="2090" t="n"/>
      <c r="AK84" s="2089" t="n"/>
      <c r="AL84" s="2089" t="n"/>
      <c r="AM84" s="2089" t="n"/>
      <c r="AN84" s="2089" t="n"/>
      <c r="AO84" s="2090" t="n"/>
      <c r="AP84" s="2089" t="n"/>
      <c r="AQ84" s="2089" t="n"/>
      <c r="AR84" s="2089" t="n"/>
      <c r="AS84" s="2089" t="n"/>
      <c r="AT84" s="2090" t="n"/>
      <c r="AU84" s="2089" t="n"/>
      <c r="AV84" s="2089" t="n"/>
      <c r="AW84" s="2089" t="n"/>
      <c r="AX84" s="2089" t="n"/>
      <c r="AY84" s="2090" t="n"/>
      <c r="AZ84" s="2089" t="n"/>
      <c r="BA84" s="2089" t="n"/>
      <c r="BB84" s="2089" t="n"/>
      <c r="BC84" s="2089" t="n"/>
      <c r="BD84" s="2090" t="n"/>
      <c r="BE84" s="2089" t="n"/>
      <c r="BF84" s="2089" t="n"/>
      <c r="BG84" s="2089" t="n"/>
      <c r="BH84" s="2089" t="n"/>
      <c r="BI84" s="2090" t="n"/>
      <c r="BJ84" s="2089" t="n"/>
      <c r="BK84" s="2089" t="n"/>
      <c r="BL84" s="2089" t="n"/>
      <c r="BM84" s="2089" t="n"/>
      <c r="BN84" s="2090" t="n"/>
      <c r="BO84" s="2089" t="n"/>
      <c r="BP84" s="2089" t="n"/>
      <c r="BQ84" s="2100" t="n"/>
      <c r="BR84" s="2089" t="n"/>
      <c r="BS84" s="2090" t="n"/>
      <c r="BT84" s="2089" t="n"/>
      <c r="BU84" s="2089" t="n"/>
      <c r="BV84" s="2089" t="n"/>
      <c r="BW84" s="2089" t="n"/>
      <c r="BX84" s="2090" t="n"/>
      <c r="BY84" s="2090" t="n"/>
      <c r="BZ84" s="2090" t="n"/>
      <c r="CA84" s="2090" t="n"/>
      <c r="CB84" s="2089" t="n"/>
    </row>
    <row r="85" ht="15" customHeight="1" s="972">
      <c r="A85" s="2083" t="inlineStr">
        <is>
          <t>Profitability Ratios</t>
        </is>
      </c>
      <c r="B85" s="2206" t="n"/>
      <c r="C85" s="2206" t="n"/>
      <c r="D85" s="2206" t="n"/>
      <c r="E85" s="2206" t="n"/>
      <c r="F85" s="2206" t="n"/>
      <c r="G85" s="2206" t="n"/>
      <c r="H85" s="2206" t="n"/>
      <c r="I85" s="2206" t="n"/>
      <c r="J85" s="2206" t="n"/>
      <c r="K85" s="2206" t="n"/>
      <c r="L85" s="2206" t="n"/>
      <c r="M85" s="2206" t="n"/>
      <c r="N85" s="2206" t="n"/>
      <c r="O85" s="2206" t="n"/>
      <c r="P85" s="2206" t="n"/>
      <c r="Q85" s="2206" t="n"/>
      <c r="R85" s="2206" t="n"/>
      <c r="S85" s="2206" t="n"/>
      <c r="T85" s="2206" t="n"/>
      <c r="U85" s="2206" t="n"/>
      <c r="V85" s="2206" t="n"/>
      <c r="W85" s="2206" t="n"/>
      <c r="X85" s="2206" t="n"/>
      <c r="Y85" s="2206" t="n"/>
      <c r="Z85" s="2206" t="n"/>
      <c r="AA85" s="2206" t="n"/>
      <c r="AB85" s="2206" t="n"/>
      <c r="AC85" s="2206" t="n"/>
      <c r="AD85" s="2206" t="n"/>
      <c r="AE85" s="2206" t="n"/>
      <c r="AF85" s="2206" t="n"/>
      <c r="AG85" s="2206" t="n"/>
      <c r="AH85" s="2206" t="n"/>
      <c r="AI85" s="2206" t="n"/>
      <c r="AJ85" s="2206" t="n"/>
      <c r="AK85" s="2206" t="n"/>
      <c r="AL85" s="2206" t="n"/>
      <c r="AM85" s="2206" t="n"/>
      <c r="AN85" s="2206" t="n"/>
      <c r="AO85" s="2206" t="n"/>
      <c r="AP85" s="2206" t="n"/>
      <c r="AQ85" s="2206" t="n"/>
      <c r="AR85" s="2206" t="n"/>
      <c r="AS85" s="2206" t="n"/>
      <c r="AT85" s="2206" t="n"/>
      <c r="AU85" s="2206" t="n"/>
      <c r="AV85" s="2206" t="n"/>
      <c r="AW85" s="2206" t="n"/>
      <c r="AX85" s="2206" t="n"/>
      <c r="AY85" s="2206" t="n"/>
      <c r="AZ85" s="2206" t="n"/>
      <c r="BA85" s="2206" t="n"/>
      <c r="BB85" s="2206" t="n"/>
      <c r="BC85" s="2206" t="n"/>
      <c r="BD85" s="2206" t="n"/>
      <c r="BE85" s="2206" t="n"/>
      <c r="BF85" s="2206" t="n"/>
      <c r="BG85" s="2206" t="n"/>
      <c r="BH85" s="2206" t="n"/>
      <c r="BI85" s="2206" t="n"/>
      <c r="BJ85" s="2206" t="n"/>
      <c r="BK85" s="2206" t="n"/>
      <c r="BL85" s="2206" t="n"/>
      <c r="BM85" s="2206" t="n"/>
      <c r="BN85" s="2206" t="n"/>
      <c r="BO85" s="2206" t="n"/>
      <c r="BP85" s="2206" t="n"/>
      <c r="BQ85" s="2207" t="n"/>
      <c r="BR85" s="2206" t="n"/>
      <c r="BS85" s="2206" t="n"/>
      <c r="BT85" s="2206" t="n"/>
      <c r="BU85" s="2206" t="n"/>
      <c r="BV85" s="2206" t="n"/>
      <c r="BW85" s="2206" t="n"/>
      <c r="BX85" s="2206" t="n"/>
      <c r="BY85" s="2206" t="n"/>
      <c r="BZ85" s="2206" t="n"/>
      <c r="CA85" s="2206" t="n"/>
      <c r="CB85" s="2072" t="n"/>
    </row>
    <row r="86" hidden="1" outlineLevel="1" ht="15" customHeight="1" s="972">
      <c r="A86" s="1593" t="inlineStr">
        <is>
          <t>Net Income</t>
        </is>
      </c>
      <c r="B86" s="2200" t="n"/>
      <c r="C86" s="2087">
        <f>INDEX(SP_NGF_NI,0,COLUMN())</f>
        <v/>
      </c>
      <c r="D86" s="2087">
        <f>INDEX(SP_NGF_NI,0,COLUMN())</f>
        <v/>
      </c>
      <c r="E86" s="2087">
        <f>INDEX(SP_NGF_NI,0,COLUMN())</f>
        <v/>
      </c>
      <c r="F86" s="2087">
        <f>INDEX(SP_NGF_NI,0,COLUMN())</f>
        <v/>
      </c>
      <c r="G86" s="2072">
        <f>INDEX(SP_NGF_NI,0,COLUMN())</f>
        <v/>
      </c>
      <c r="H86" s="2072">
        <f>INDEX(SP_NGF_NI,0,COLUMN())</f>
        <v/>
      </c>
      <c r="I86" s="2072">
        <f>INDEX(SP_NGF_NI,0,COLUMN())</f>
        <v/>
      </c>
      <c r="J86" s="2072">
        <f>INDEX(SP_NGF_NI,0,COLUMN())</f>
        <v/>
      </c>
      <c r="K86" s="2087">
        <f>INDEX(SP_NGF_NI,0,COLUMN())</f>
        <v/>
      </c>
      <c r="L86" s="2072">
        <f>INDEX(SP_NGF_NI,0,COLUMN())</f>
        <v/>
      </c>
      <c r="M86" s="2072">
        <f>INDEX(SP_NGF_NI,0,COLUMN())</f>
        <v/>
      </c>
      <c r="N86" s="2072">
        <f>INDEX(SP_NGF_NI,0,COLUMN())</f>
        <v/>
      </c>
      <c r="O86" s="2072">
        <f>INDEX(SP_NGF_NI,0,COLUMN())</f>
        <v/>
      </c>
      <c r="P86" s="2087">
        <f>INDEX(SP_NGF_NI,0,COLUMN())</f>
        <v/>
      </c>
      <c r="Q86" s="2072">
        <f>INDEX(SP_NGF_NI,0,COLUMN())</f>
        <v/>
      </c>
      <c r="R86" s="2072">
        <f>INDEX(SP_NGF_NI,0,COLUMN())</f>
        <v/>
      </c>
      <c r="S86" s="2072">
        <f>INDEX(SP_NGF_NI,0,COLUMN())</f>
        <v/>
      </c>
      <c r="T86" s="2072">
        <f>INDEX(SP_NGF_NI,0,COLUMN())</f>
        <v/>
      </c>
      <c r="U86" s="2087">
        <f>INDEX(SP_NGF_NI,0,COLUMN())</f>
        <v/>
      </c>
      <c r="V86" s="2072">
        <f>INDEX(SP_NGF_NI,0,COLUMN())</f>
        <v/>
      </c>
      <c r="W86" s="2072">
        <f>INDEX(SP_NGF_NI,0,COLUMN())</f>
        <v/>
      </c>
      <c r="X86" s="2072">
        <f>INDEX(SP_NGF_NI,0,COLUMN())</f>
        <v/>
      </c>
      <c r="Y86" s="2072">
        <f>INDEX(SP_NGF_NI,0,COLUMN())</f>
        <v/>
      </c>
      <c r="Z86" s="2087">
        <f>INDEX(SP_NGF_NI,0,COLUMN())</f>
        <v/>
      </c>
      <c r="AA86" s="2072">
        <f>INDEX(SP_NGF_NI,0,COLUMN())</f>
        <v/>
      </c>
      <c r="AB86" s="2072">
        <f>INDEX(SP_NGF_NI,0,COLUMN())</f>
        <v/>
      </c>
      <c r="AC86" s="2072">
        <f>INDEX(SP_NGF_NI,0,COLUMN())</f>
        <v/>
      </c>
      <c r="AD86" s="2072">
        <f>INDEX(SP_NGF_NI,0,COLUMN())</f>
        <v/>
      </c>
      <c r="AE86" s="2087">
        <f>INDEX(SP_NGF_NI,0,COLUMN())</f>
        <v/>
      </c>
      <c r="AF86" s="2072">
        <f>INDEX(SP_NGF_NI,0,COLUMN())</f>
        <v/>
      </c>
      <c r="AG86" s="2072">
        <f>INDEX(SP_NGF_NI,0,COLUMN())</f>
        <v/>
      </c>
      <c r="AH86" s="2072">
        <f>INDEX(SP_NGF_NI,0,COLUMN())</f>
        <v/>
      </c>
      <c r="AI86" s="2072">
        <f>INDEX(SP_NGF_NI,0,COLUMN())</f>
        <v/>
      </c>
      <c r="AJ86" s="2087">
        <f>INDEX(SP_NGF_NI,0,COLUMN())</f>
        <v/>
      </c>
      <c r="AK86" s="2072">
        <f>INDEX(SP_NGF_NI,0,COLUMN())</f>
        <v/>
      </c>
      <c r="AL86" s="2072">
        <f>INDEX(SP_NGF_NI,0,COLUMN())</f>
        <v/>
      </c>
      <c r="AM86" s="2072">
        <f>INDEX(SP_NGF_NI,0,COLUMN())</f>
        <v/>
      </c>
      <c r="AN86" s="2072">
        <f>INDEX(SP_NGF_NI,0,COLUMN())</f>
        <v/>
      </c>
      <c r="AO86" s="2087">
        <f>INDEX(SP_NGF_NI,0,COLUMN())</f>
        <v/>
      </c>
      <c r="AP86" s="2072">
        <f>INDEX(SP_NGF_NI,0,COLUMN())</f>
        <v/>
      </c>
      <c r="AQ86" s="2072">
        <f>INDEX(SP_NGF_NI,0,COLUMN())</f>
        <v/>
      </c>
      <c r="AR86" s="2072">
        <f>INDEX(SP_NGF_NI,0,COLUMN())</f>
        <v/>
      </c>
      <c r="AS86" s="2072">
        <f>INDEX(SP_NGF_NI,0,COLUMN())</f>
        <v/>
      </c>
      <c r="AT86" s="2087">
        <f>INDEX(SP_NGF_NI,0,COLUMN())</f>
        <v/>
      </c>
      <c r="AU86" s="2072">
        <f>INDEX(SP_NGF_NI,0,COLUMN())</f>
        <v/>
      </c>
      <c r="AV86" s="2072">
        <f>INDEX(SP_NGF_NI,0,COLUMN())</f>
        <v/>
      </c>
      <c r="AW86" s="2072">
        <f>INDEX(SP_NGF_NI,0,COLUMN())</f>
        <v/>
      </c>
      <c r="AX86" s="2072">
        <f>INDEX(SP_NGF_NI,0,COLUMN())</f>
        <v/>
      </c>
      <c r="AY86" s="2087">
        <f>INDEX(SP_NGF_NI,0,COLUMN())</f>
        <v/>
      </c>
      <c r="AZ86" s="2072">
        <f>INDEX(SP_NGF_NI,0,COLUMN())</f>
        <v/>
      </c>
      <c r="BA86" s="2072">
        <f>INDEX(SP_NGF_NI,0,COLUMN())</f>
        <v/>
      </c>
      <c r="BB86" s="2072">
        <f>INDEX(SP_NGF_NI,0,COLUMN())</f>
        <v/>
      </c>
      <c r="BC86" s="2072">
        <f>INDEX(SP_NGF_NI,0,COLUMN())</f>
        <v/>
      </c>
      <c r="BD86" s="2087">
        <f>INDEX(SP_NGF_NI,0,COLUMN())</f>
        <v/>
      </c>
      <c r="BE86" s="2072">
        <f>INDEX(SP_NGF_NI,0,COLUMN())</f>
        <v/>
      </c>
      <c r="BF86" s="2072">
        <f>INDEX(SP_NGF_NI,0,COLUMN())</f>
        <v/>
      </c>
      <c r="BG86" s="2072">
        <f>INDEX(SP_NGF_NI,0,COLUMN())</f>
        <v/>
      </c>
      <c r="BH86" s="2072">
        <f>INDEX(SP_NGF_NI,0,COLUMN())</f>
        <v/>
      </c>
      <c r="BI86" s="2087">
        <f>INDEX(SP_NGF_NI,0,COLUMN())</f>
        <v/>
      </c>
      <c r="BJ86" s="2072">
        <f>INDEX(SP_NGF_NI,0,COLUMN())</f>
        <v/>
      </c>
      <c r="BK86" s="2072">
        <f>INDEX(SP_NGF_NI,0,COLUMN())</f>
        <v/>
      </c>
      <c r="BL86" s="2072">
        <f>INDEX(SP_NGF_NI,0,COLUMN())</f>
        <v/>
      </c>
      <c r="BM86" s="2072">
        <f>INDEX(SP_NGF_NI,0,COLUMN())</f>
        <v/>
      </c>
      <c r="BN86" s="2087">
        <f>INDEX(SP_NGF_NI,0,COLUMN())</f>
        <v/>
      </c>
      <c r="BO86" s="2072">
        <f>INDEX(SP_NGF_NI,0,COLUMN())</f>
        <v/>
      </c>
      <c r="BP86" s="2072">
        <f>INDEX(SP_NGF_NI,0,COLUMN())</f>
        <v/>
      </c>
      <c r="BQ86" s="2073">
        <f>INDEX(SP_NGF_NI,0,COLUMN())</f>
        <v/>
      </c>
      <c r="BR86" s="2072">
        <f>INDEX(SP_NGF_NI,0,COLUMN())</f>
        <v/>
      </c>
      <c r="BS86" s="2087">
        <f>INDEX(SP_NGF_NI,0,COLUMN())</f>
        <v/>
      </c>
      <c r="BT86" s="2072">
        <f>INDEX(SP_NGF_NI,0,COLUMN())</f>
        <v/>
      </c>
      <c r="BU86" s="2072">
        <f>INDEX(SP_NGF_NI,0,COLUMN())</f>
        <v/>
      </c>
      <c r="BV86" s="2072">
        <f>INDEX(SP_NGF_NI,0,COLUMN())</f>
        <v/>
      </c>
      <c r="BW86" s="2072">
        <f>INDEX(SP_NGF_NI,0,COLUMN())</f>
        <v/>
      </c>
      <c r="BX86" s="2087">
        <f>INDEX(SP_NGF_NI,0,COLUMN())</f>
        <v/>
      </c>
      <c r="BY86" s="2087">
        <f>INDEX(SP_NGF_NI,0,COLUMN())</f>
        <v/>
      </c>
      <c r="BZ86" s="2087">
        <f>INDEX(SP_NGF_NI,0,COLUMN())</f>
        <v/>
      </c>
      <c r="CA86" s="2087">
        <f>INDEX(SP_NGF_NI,0,COLUMN())</f>
        <v/>
      </c>
      <c r="CB86" s="2072" t="n"/>
    </row>
    <row r="87" hidden="1" outlineLevel="1" ht="15" customHeight="1" s="972">
      <c r="A87" s="1593" t="inlineStr">
        <is>
          <t>LTM Net Income</t>
        </is>
      </c>
      <c r="B87" s="2200" t="n"/>
      <c r="C87" s="2087">
        <f>C86</f>
        <v/>
      </c>
      <c r="D87" s="2087">
        <f>D86</f>
        <v/>
      </c>
      <c r="E87" s="2087">
        <f>E86</f>
        <v/>
      </c>
      <c r="F87" s="2087">
        <f>F86</f>
        <v/>
      </c>
      <c r="G87" s="2072" t="n"/>
      <c r="H87" s="2072" t="n"/>
      <c r="I87" s="2072" t="n"/>
      <c r="J87" s="2072">
        <f>SUM(J86,I86,H86,G86)</f>
        <v/>
      </c>
      <c r="K87" s="2087">
        <f>K86</f>
        <v/>
      </c>
      <c r="L87" s="2072">
        <f>SUM(L86,J86,I86,H86)</f>
        <v/>
      </c>
      <c r="M87" s="2072">
        <f>SUM(M86,L86,J86,I86)</f>
        <v/>
      </c>
      <c r="N87" s="2072">
        <f>SUM(N86,M86,L86,J86)</f>
        <v/>
      </c>
      <c r="O87" s="2072">
        <f>SUM(O86,N86,M86,L86)</f>
        <v/>
      </c>
      <c r="P87" s="2087">
        <f>P86</f>
        <v/>
      </c>
      <c r="Q87" s="2072">
        <f>SUM(Q86,O86,N86,M86)</f>
        <v/>
      </c>
      <c r="R87" s="2072">
        <f>SUM(R86,Q86,O86,N86)</f>
        <v/>
      </c>
      <c r="S87" s="2072">
        <f>SUM(S86,R86,Q86,O86)</f>
        <v/>
      </c>
      <c r="T87" s="2072">
        <f>SUM(T86,S86,R86,Q86)</f>
        <v/>
      </c>
      <c r="U87" s="2087">
        <f>U86</f>
        <v/>
      </c>
      <c r="V87" s="2072">
        <f>SUM(V86,T86,S86,R86)</f>
        <v/>
      </c>
      <c r="W87" s="2072">
        <f>SUM(W86,V86,T86,S86)</f>
        <v/>
      </c>
      <c r="X87" s="2072">
        <f>SUM(X86,W86,V86,T86)</f>
        <v/>
      </c>
      <c r="Y87" s="2072">
        <f>SUM(Y86,X86,W86,V86)</f>
        <v/>
      </c>
      <c r="Z87" s="2087">
        <f>Z86</f>
        <v/>
      </c>
      <c r="AA87" s="2072">
        <f>SUM(AA86,Y86,X86,W86)</f>
        <v/>
      </c>
      <c r="AB87" s="2072">
        <f>SUM(AB86,AA86,Y86,X86)</f>
        <v/>
      </c>
      <c r="AC87" s="2072">
        <f>SUM(AC86,AB86,AA86,Y86)</f>
        <v/>
      </c>
      <c r="AD87" s="2072">
        <f>SUM(AD86,AC86,AB86,AA86)</f>
        <v/>
      </c>
      <c r="AE87" s="2087">
        <f>AE86</f>
        <v/>
      </c>
      <c r="AF87" s="2072">
        <f>SUM(AF86,AD86,AC86,AB86)</f>
        <v/>
      </c>
      <c r="AG87" s="2072">
        <f>SUM(AG86,AF86,AD86,AC86)</f>
        <v/>
      </c>
      <c r="AH87" s="2072">
        <f>SUM(AH86,AG86,AF86,AD86)</f>
        <v/>
      </c>
      <c r="AI87" s="2072">
        <f>SUM(AI86,AH86,AG86,AF86)</f>
        <v/>
      </c>
      <c r="AJ87" s="2087">
        <f>AJ86</f>
        <v/>
      </c>
      <c r="AK87" s="2072">
        <f>SUM(AK86,AI86,AH86,AG86)</f>
        <v/>
      </c>
      <c r="AL87" s="2072">
        <f>SUM(AL86,AK86,AI86,AH86)</f>
        <v/>
      </c>
      <c r="AM87" s="2072">
        <f>SUM(AM86,AL86,AK86,AI86)</f>
        <v/>
      </c>
      <c r="AN87" s="2072">
        <f>SUM(AN86,AM86,AL86,AK86)</f>
        <v/>
      </c>
      <c r="AO87" s="2087">
        <f>AO86</f>
        <v/>
      </c>
      <c r="AP87" s="2072">
        <f>SUM(AP86,AN86,AM86,AL86)</f>
        <v/>
      </c>
      <c r="AQ87" s="2072">
        <f>SUM(AQ86,AP86,AN86,AM86)</f>
        <v/>
      </c>
      <c r="AR87" s="2072">
        <f>SUM(AR86,AQ86,AP86,AN86)</f>
        <v/>
      </c>
      <c r="AS87" s="2072">
        <f>SUM(AS86,AR86,AQ86,AP86)</f>
        <v/>
      </c>
      <c r="AT87" s="2087">
        <f>AT86</f>
        <v/>
      </c>
      <c r="AU87" s="2072">
        <f>SUM(AU86,AS86,AR86,AQ86)</f>
        <v/>
      </c>
      <c r="AV87" s="2072">
        <f>SUM(AV86,AU86,AS86,AR86)</f>
        <v/>
      </c>
      <c r="AW87" s="2072">
        <f>SUM(AW86,AV86,AU86,AS86)</f>
        <v/>
      </c>
      <c r="AX87" s="2072">
        <f>SUM(AX86,AW86,AV86,AU86)</f>
        <v/>
      </c>
      <c r="AY87" s="2087">
        <f>AY86</f>
        <v/>
      </c>
      <c r="AZ87" s="2072">
        <f>SUM(AZ86,AX86,AW86,AV86)</f>
        <v/>
      </c>
      <c r="BA87" s="2072">
        <f>SUM(BA86,AZ86,AX86,AW86)</f>
        <v/>
      </c>
      <c r="BB87" s="2072">
        <f>SUM(BB86,BA86,AZ86,AX86)</f>
        <v/>
      </c>
      <c r="BC87" s="2072">
        <f>SUM(BC86,BB86,BA86,AZ86)</f>
        <v/>
      </c>
      <c r="BD87" s="2087">
        <f>BD86</f>
        <v/>
      </c>
      <c r="BE87" s="2072">
        <f>SUM(BE86,BC86,BB86,BA86)</f>
        <v/>
      </c>
      <c r="BF87" s="2072">
        <f>SUM(BF86,BE86,BC86,BB86)</f>
        <v/>
      </c>
      <c r="BG87" s="2072">
        <f>SUM(BG86,BF86,BE86,BC86)</f>
        <v/>
      </c>
      <c r="BH87" s="2072">
        <f>SUM(BH86,BG86,BF86,BE86)</f>
        <v/>
      </c>
      <c r="BI87" s="2087">
        <f>BI86</f>
        <v/>
      </c>
      <c r="BJ87" s="2072">
        <f>SUM(BJ86,BH86,BG86,BF86)</f>
        <v/>
      </c>
      <c r="BK87" s="2072">
        <f>SUM(BK86,BJ86,BH86,BG86)</f>
        <v/>
      </c>
      <c r="BL87" s="2072">
        <f>SUM(BL86,BK86,BJ86,BH86)</f>
        <v/>
      </c>
      <c r="BM87" s="2072">
        <f>SUM(BM86,BL86,BK86,BJ86)</f>
        <v/>
      </c>
      <c r="BN87" s="2087">
        <f>BN86</f>
        <v/>
      </c>
      <c r="BO87" s="2072">
        <f>SUM(BO86,BM86,BL86,BK86)</f>
        <v/>
      </c>
      <c r="BP87" s="2072">
        <f>SUM(BP86,BO86,BM86,BL86)</f>
        <v/>
      </c>
      <c r="BQ87" s="2073">
        <f>SUM(BQ86,BP86,BO86,BM86)</f>
        <v/>
      </c>
      <c r="BR87" s="2072">
        <f>SUM(BR86,BQ86,BP86,BO86)</f>
        <v/>
      </c>
      <c r="BS87" s="2087">
        <f>BS86</f>
        <v/>
      </c>
      <c r="BT87" s="2072">
        <f>SUM(BT86,BR86,BQ86,BP86)</f>
        <v/>
      </c>
      <c r="BU87" s="2072">
        <f>SUM(BU86,BT86,BR86,BQ86)</f>
        <v/>
      </c>
      <c r="BV87" s="2072">
        <f>SUM(BV86,BU86,BT86,BR86)</f>
        <v/>
      </c>
      <c r="BW87" s="2072">
        <f>SUM(BW86,BV86,BU86,BT86)</f>
        <v/>
      </c>
      <c r="BX87" s="2087">
        <f>BX86</f>
        <v/>
      </c>
      <c r="BY87" s="2087">
        <f>BY86</f>
        <v/>
      </c>
      <c r="BZ87" s="2087">
        <f>BZ86</f>
        <v/>
      </c>
      <c r="CA87" s="2087">
        <f>CA86</f>
        <v/>
      </c>
      <c r="CB87" s="2072" t="n"/>
    </row>
    <row r="88" hidden="1" outlineLevel="1" ht="15" customHeight="1" s="972">
      <c r="A88" s="1593" t="inlineStr">
        <is>
          <t>Shareholder's Equity</t>
        </is>
      </c>
      <c r="B88" s="2200" t="n"/>
      <c r="C88" s="2087">
        <f>INDEX(MO_BS_SE,0,COLUMN())</f>
        <v/>
      </c>
      <c r="D88" s="2087">
        <f>INDEX(MO_BS_SE,0,COLUMN())</f>
        <v/>
      </c>
      <c r="E88" s="2087">
        <f>INDEX(MO_BS_SE,0,COLUMN())</f>
        <v/>
      </c>
      <c r="F88" s="2087">
        <f>INDEX(MO_BS_SE,0,COLUMN())</f>
        <v/>
      </c>
      <c r="G88" s="2072">
        <f>INDEX(MO_BS_SE,0,COLUMN())</f>
        <v/>
      </c>
      <c r="H88" s="2072">
        <f>INDEX(MO_BS_SE,0,COLUMN())</f>
        <v/>
      </c>
      <c r="I88" s="2072">
        <f>INDEX(MO_BS_SE,0,COLUMN())</f>
        <v/>
      </c>
      <c r="J88" s="2072">
        <f>INDEX(MO_BS_SE,0,COLUMN())</f>
        <v/>
      </c>
      <c r="K88" s="2087">
        <f>INDEX(MO_BS_SE,0,COLUMN())</f>
        <v/>
      </c>
      <c r="L88" s="2072">
        <f>INDEX(MO_BS_SE,0,COLUMN())</f>
        <v/>
      </c>
      <c r="M88" s="2072">
        <f>INDEX(MO_BS_SE,0,COLUMN())</f>
        <v/>
      </c>
      <c r="N88" s="2072">
        <f>INDEX(MO_BS_SE,0,COLUMN())</f>
        <v/>
      </c>
      <c r="O88" s="2072">
        <f>INDEX(MO_BS_SE,0,COLUMN())</f>
        <v/>
      </c>
      <c r="P88" s="2087">
        <f>INDEX(MO_BS_SE,0,COLUMN())</f>
        <v/>
      </c>
      <c r="Q88" s="2072">
        <f>INDEX(MO_BS_SE,0,COLUMN())</f>
        <v/>
      </c>
      <c r="R88" s="2072">
        <f>INDEX(MO_BS_SE,0,COLUMN())</f>
        <v/>
      </c>
      <c r="S88" s="2072">
        <f>INDEX(MO_BS_SE,0,COLUMN())</f>
        <v/>
      </c>
      <c r="T88" s="2072">
        <f>INDEX(MO_BS_SE,0,COLUMN())</f>
        <v/>
      </c>
      <c r="U88" s="2087">
        <f>INDEX(MO_BS_SE,0,COLUMN())</f>
        <v/>
      </c>
      <c r="V88" s="2072">
        <f>INDEX(MO_BS_SE,0,COLUMN())</f>
        <v/>
      </c>
      <c r="W88" s="2072">
        <f>INDEX(MO_BS_SE,0,COLUMN())</f>
        <v/>
      </c>
      <c r="X88" s="2072">
        <f>INDEX(MO_BS_SE,0,COLUMN())</f>
        <v/>
      </c>
      <c r="Y88" s="2072">
        <f>INDEX(MO_BS_SE,0,COLUMN())</f>
        <v/>
      </c>
      <c r="Z88" s="2087">
        <f>INDEX(MO_BS_SE,0,COLUMN())</f>
        <v/>
      </c>
      <c r="AA88" s="2072">
        <f>INDEX(MO_BS_SE,0,COLUMN())</f>
        <v/>
      </c>
      <c r="AB88" s="2072">
        <f>INDEX(MO_BS_SE,0,COLUMN())</f>
        <v/>
      </c>
      <c r="AC88" s="2072">
        <f>INDEX(MO_BS_SE,0,COLUMN())</f>
        <v/>
      </c>
      <c r="AD88" s="2072">
        <f>INDEX(MO_BS_SE,0,COLUMN())</f>
        <v/>
      </c>
      <c r="AE88" s="2087">
        <f>INDEX(MO_BS_SE,0,COLUMN())</f>
        <v/>
      </c>
      <c r="AF88" s="2072">
        <f>INDEX(MO_BS_SE,0,COLUMN())</f>
        <v/>
      </c>
      <c r="AG88" s="2072">
        <f>INDEX(MO_BS_SE,0,COLUMN())</f>
        <v/>
      </c>
      <c r="AH88" s="2072">
        <f>INDEX(MO_BS_SE,0,COLUMN())</f>
        <v/>
      </c>
      <c r="AI88" s="2072">
        <f>INDEX(MO_BS_SE,0,COLUMN())</f>
        <v/>
      </c>
      <c r="AJ88" s="2087">
        <f>INDEX(MO_BS_SE,0,COLUMN())</f>
        <v/>
      </c>
      <c r="AK88" s="2072">
        <f>INDEX(MO_BS_SE,0,COLUMN())</f>
        <v/>
      </c>
      <c r="AL88" s="2072">
        <f>INDEX(MO_BS_SE,0,COLUMN())</f>
        <v/>
      </c>
      <c r="AM88" s="2072">
        <f>INDEX(MO_BS_SE,0,COLUMN())</f>
        <v/>
      </c>
      <c r="AN88" s="2072">
        <f>INDEX(MO_BS_SE,0,COLUMN())</f>
        <v/>
      </c>
      <c r="AO88" s="2087">
        <f>INDEX(MO_BS_SE,0,COLUMN())</f>
        <v/>
      </c>
      <c r="AP88" s="2072">
        <f>INDEX(MO_BS_SE,0,COLUMN())</f>
        <v/>
      </c>
      <c r="AQ88" s="2072">
        <f>INDEX(MO_BS_SE,0,COLUMN())</f>
        <v/>
      </c>
      <c r="AR88" s="2072">
        <f>INDEX(MO_BS_SE,0,COLUMN())</f>
        <v/>
      </c>
      <c r="AS88" s="2072">
        <f>INDEX(MO_BS_SE,0,COLUMN())</f>
        <v/>
      </c>
      <c r="AT88" s="2087">
        <f>INDEX(MO_BS_SE,0,COLUMN())</f>
        <v/>
      </c>
      <c r="AU88" s="2072">
        <f>INDEX(MO_BS_SE,0,COLUMN())</f>
        <v/>
      </c>
      <c r="AV88" s="2072">
        <f>INDEX(MO_BS_SE,0,COLUMN())</f>
        <v/>
      </c>
      <c r="AW88" s="2072">
        <f>INDEX(MO_BS_SE,0,COLUMN())</f>
        <v/>
      </c>
      <c r="AX88" s="2072">
        <f>INDEX(MO_BS_SE,0,COLUMN())</f>
        <v/>
      </c>
      <c r="AY88" s="2087">
        <f>INDEX(MO_BS_SE,0,COLUMN())</f>
        <v/>
      </c>
      <c r="AZ88" s="2072">
        <f>INDEX(MO_BS_SE,0,COLUMN())</f>
        <v/>
      </c>
      <c r="BA88" s="2072">
        <f>INDEX(MO_BS_SE,0,COLUMN())</f>
        <v/>
      </c>
      <c r="BB88" s="2072">
        <f>INDEX(MO_BS_SE,0,COLUMN())</f>
        <v/>
      </c>
      <c r="BC88" s="2072">
        <f>INDEX(MO_BS_SE,0,COLUMN())</f>
        <v/>
      </c>
      <c r="BD88" s="2087">
        <f>INDEX(MO_BS_SE,0,COLUMN())</f>
        <v/>
      </c>
      <c r="BE88" s="2072">
        <f>INDEX(MO_BS_SE,0,COLUMN())</f>
        <v/>
      </c>
      <c r="BF88" s="2072">
        <f>INDEX(MO_BS_SE,0,COLUMN())</f>
        <v/>
      </c>
      <c r="BG88" s="2072">
        <f>INDEX(MO_BS_SE,0,COLUMN())</f>
        <v/>
      </c>
      <c r="BH88" s="2072">
        <f>INDEX(MO_BS_SE,0,COLUMN())</f>
        <v/>
      </c>
      <c r="BI88" s="2087">
        <f>INDEX(MO_BS_SE,0,COLUMN())</f>
        <v/>
      </c>
      <c r="BJ88" s="2072">
        <f>INDEX(MO_BS_SE,0,COLUMN())</f>
        <v/>
      </c>
      <c r="BK88" s="2072">
        <f>INDEX(MO_BS_SE,0,COLUMN())</f>
        <v/>
      </c>
      <c r="BL88" s="2072">
        <f>INDEX(MO_BS_SE,0,COLUMN())</f>
        <v/>
      </c>
      <c r="BM88" s="2072">
        <f>INDEX(MO_BS_SE,0,COLUMN())</f>
        <v/>
      </c>
      <c r="BN88" s="2087">
        <f>INDEX(MO_BS_SE,0,COLUMN())</f>
        <v/>
      </c>
      <c r="BO88" s="2072">
        <f>INDEX(MO_BS_SE,0,COLUMN())</f>
        <v/>
      </c>
      <c r="BP88" s="2072">
        <f>INDEX(MO_BS_SE,0,COLUMN())</f>
        <v/>
      </c>
      <c r="BQ88" s="2073">
        <f>INDEX(MO_BS_SE,0,COLUMN())</f>
        <v/>
      </c>
      <c r="BR88" s="2072">
        <f>INDEX(MO_BS_SE,0,COLUMN())</f>
        <v/>
      </c>
      <c r="BS88" s="2087">
        <f>INDEX(MO_BS_SE,0,COLUMN())</f>
        <v/>
      </c>
      <c r="BT88" s="2072">
        <f>INDEX(MO_BS_SE,0,COLUMN())</f>
        <v/>
      </c>
      <c r="BU88" s="2072">
        <f>INDEX(MO_BS_SE,0,COLUMN())</f>
        <v/>
      </c>
      <c r="BV88" s="2072">
        <f>INDEX(MO_BS_SE,0,COLUMN())</f>
        <v/>
      </c>
      <c r="BW88" s="2072">
        <f>INDEX(MO_BS_SE,0,COLUMN())</f>
        <v/>
      </c>
      <c r="BX88" s="2087">
        <f>INDEX(MO_BS_SE,0,COLUMN())</f>
        <v/>
      </c>
      <c r="BY88" s="2087">
        <f>INDEX(MO_BS_SE,0,COLUMN())</f>
        <v/>
      </c>
      <c r="BZ88" s="2087">
        <f>INDEX(MO_BS_SE,0,COLUMN())</f>
        <v/>
      </c>
      <c r="CA88" s="2087">
        <f>INDEX(MO_BS_SE,0,COLUMN())</f>
        <v/>
      </c>
      <c r="CB88" s="2072" t="n"/>
    </row>
    <row r="89" hidden="1" outlineLevel="1" ht="15" customHeight="1" s="972">
      <c r="A89" s="1593" t="inlineStr">
        <is>
          <t>Average Shareholder's Equity</t>
        </is>
      </c>
      <c r="B89" s="2200" t="n"/>
      <c r="C89" s="2087">
        <f>C88</f>
        <v/>
      </c>
      <c r="D89" s="2087">
        <f>AVERAGE(D88,C88)</f>
        <v/>
      </c>
      <c r="E89" s="2087">
        <f>AVERAGE(E88,D88)</f>
        <v/>
      </c>
      <c r="F89" s="2087">
        <f>AVERAGE(F88,E88)</f>
        <v/>
      </c>
      <c r="G89" s="2072" t="n"/>
      <c r="H89" s="2072" t="n"/>
      <c r="I89" s="2072" t="n"/>
      <c r="J89" s="2072">
        <f>AVERAGE(J88,I88,H88,G88)</f>
        <v/>
      </c>
      <c r="K89" s="2087">
        <f>AVERAGE(K88,F88)</f>
        <v/>
      </c>
      <c r="L89" s="2072">
        <f>AVERAGE(L88,J88,I88,H88)</f>
        <v/>
      </c>
      <c r="M89" s="2072">
        <f>AVERAGE(M88,L88,J88,I88)</f>
        <v/>
      </c>
      <c r="N89" s="2072">
        <f>AVERAGE(N88,M88,L88,J88)</f>
        <v/>
      </c>
      <c r="O89" s="2072">
        <f>AVERAGE(O88,N88,M88,L88)</f>
        <v/>
      </c>
      <c r="P89" s="2087">
        <f>AVERAGE(P88,K88)</f>
        <v/>
      </c>
      <c r="Q89" s="2072">
        <f>AVERAGE(Q88,O88,N88,M88)</f>
        <v/>
      </c>
      <c r="R89" s="2072">
        <f>AVERAGE(R88,Q88,O88,N88)</f>
        <v/>
      </c>
      <c r="S89" s="2072">
        <f>AVERAGE(S88,R88,Q88,O88)</f>
        <v/>
      </c>
      <c r="T89" s="2072">
        <f>AVERAGE(T88,S88,R88,Q88)</f>
        <v/>
      </c>
      <c r="U89" s="2087">
        <f>AVERAGE(U88,P88)</f>
        <v/>
      </c>
      <c r="V89" s="2072">
        <f>AVERAGE(V88,T88,S88,R88)</f>
        <v/>
      </c>
      <c r="W89" s="2072">
        <f>AVERAGE(W88,V88,T88,S88)</f>
        <v/>
      </c>
      <c r="X89" s="2072">
        <f>AVERAGE(X88,W88,V88,T88)</f>
        <v/>
      </c>
      <c r="Y89" s="2072">
        <f>AVERAGE(Y88,X88,W88,V88)</f>
        <v/>
      </c>
      <c r="Z89" s="2087">
        <f>AVERAGE(Z88,U88)</f>
        <v/>
      </c>
      <c r="AA89" s="2072">
        <f>AVERAGE(AA88,Y88,X88,W88)</f>
        <v/>
      </c>
      <c r="AB89" s="2072">
        <f>AVERAGE(AB88,AA88,Y88,X88)</f>
        <v/>
      </c>
      <c r="AC89" s="2072">
        <f>AVERAGE(AC88,AB88,AA88,Y88)</f>
        <v/>
      </c>
      <c r="AD89" s="2072">
        <f>AVERAGE(AD88,AC88,AB88,AA88)</f>
        <v/>
      </c>
      <c r="AE89" s="2087">
        <f>AVERAGE(AE88,Z88)</f>
        <v/>
      </c>
      <c r="AF89" s="2072">
        <f>AVERAGE(AF88,AD88,AC88,AB88)</f>
        <v/>
      </c>
      <c r="AG89" s="2072">
        <f>AVERAGE(AG88,AF88,AD88,AC88)</f>
        <v/>
      </c>
      <c r="AH89" s="2072">
        <f>AVERAGE(AH88,AG88,AF88,AD88)</f>
        <v/>
      </c>
      <c r="AI89" s="2072">
        <f>AVERAGE(AI88,AH88,AG88,AF88)</f>
        <v/>
      </c>
      <c r="AJ89" s="2087">
        <f>AVERAGE(AJ88,AE88)</f>
        <v/>
      </c>
      <c r="AK89" s="2072">
        <f>AVERAGE(AK88,AI88,AH88,AG88)</f>
        <v/>
      </c>
      <c r="AL89" s="2072">
        <f>AVERAGE(AL88,AK88,AI88,AH88)</f>
        <v/>
      </c>
      <c r="AM89" s="2072">
        <f>AVERAGE(AM88,AL88,AK88,AI88)</f>
        <v/>
      </c>
      <c r="AN89" s="2072">
        <f>AVERAGE(AN88,AM88,AL88,AK88)</f>
        <v/>
      </c>
      <c r="AO89" s="2087">
        <f>AVERAGE(AO88,AJ88)</f>
        <v/>
      </c>
      <c r="AP89" s="2072">
        <f>AVERAGE(AP88,AN88,AM88,AL88)</f>
        <v/>
      </c>
      <c r="AQ89" s="2072">
        <f>AVERAGE(AQ88,AP88,AN88,AM88)</f>
        <v/>
      </c>
      <c r="AR89" s="2072">
        <f>AVERAGE(AR88,AQ88,AP88,AN88)</f>
        <v/>
      </c>
      <c r="AS89" s="2072">
        <f>AVERAGE(AS88,AR88,AQ88,AP88)</f>
        <v/>
      </c>
      <c r="AT89" s="2087">
        <f>AVERAGE(AT88,AO88)</f>
        <v/>
      </c>
      <c r="AU89" s="2072">
        <f>AVERAGE(AU88,AS88,AR88,AQ88)</f>
        <v/>
      </c>
      <c r="AV89" s="2072">
        <f>AVERAGE(AV88,AU88,AS88,AR88)</f>
        <v/>
      </c>
      <c r="AW89" s="2072">
        <f>AVERAGE(AW88,AV88,AU88,AS88)</f>
        <v/>
      </c>
      <c r="AX89" s="2072">
        <f>AVERAGE(AX88,AW88,AV88,AU88)</f>
        <v/>
      </c>
      <c r="AY89" s="2087">
        <f>AVERAGE(AY88,AT88)</f>
        <v/>
      </c>
      <c r="AZ89" s="2072">
        <f>AVERAGE(AZ88,AX88,AW88,AV88)</f>
        <v/>
      </c>
      <c r="BA89" s="2072">
        <f>AVERAGE(BA88,AZ88,AX88,AW88)</f>
        <v/>
      </c>
      <c r="BB89" s="2072">
        <f>AVERAGE(BB88,BA88,AZ88,AX88)</f>
        <v/>
      </c>
      <c r="BC89" s="2072">
        <f>AVERAGE(BC88,BB88,BA88,AZ88)</f>
        <v/>
      </c>
      <c r="BD89" s="2087">
        <f>AVERAGE(BD88,AY88)</f>
        <v/>
      </c>
      <c r="BE89" s="2072">
        <f>AVERAGE(BE88,BC88,BB88,BA88)</f>
        <v/>
      </c>
      <c r="BF89" s="2072">
        <f>AVERAGE(BF88,BE88,BC88,BB88)</f>
        <v/>
      </c>
      <c r="BG89" s="2072">
        <f>AVERAGE(BG88,BF88,BE88,BC88)</f>
        <v/>
      </c>
      <c r="BH89" s="2072">
        <f>AVERAGE(BH88,BG88,BF88,BE88)</f>
        <v/>
      </c>
      <c r="BI89" s="2087">
        <f>AVERAGE(BI88,BD88)</f>
        <v/>
      </c>
      <c r="BJ89" s="2072">
        <f>AVERAGE(BJ88,BH88,BG88,BF88)</f>
        <v/>
      </c>
      <c r="BK89" s="2072">
        <f>AVERAGE(BK88,BJ88,BH88,BG88)</f>
        <v/>
      </c>
      <c r="BL89" s="2072">
        <f>AVERAGE(BL88,BK88,BJ88,BH88)</f>
        <v/>
      </c>
      <c r="BM89" s="2072">
        <f>AVERAGE(BM88,BL88,BK88,BJ88)</f>
        <v/>
      </c>
      <c r="BN89" s="2087">
        <f>AVERAGE(BN88,BI88)</f>
        <v/>
      </c>
      <c r="BO89" s="2072">
        <f>AVERAGE(BO88,BM88,BL88,BK88)</f>
        <v/>
      </c>
      <c r="BP89" s="2072">
        <f>AVERAGE(BP88,BO88,BM88,BL88)</f>
        <v/>
      </c>
      <c r="BQ89" s="2073">
        <f>AVERAGE(BQ88,BP88,BO88,BM88)</f>
        <v/>
      </c>
      <c r="BR89" s="2072">
        <f>AVERAGE(BR88,BQ88,BP88,BO88)</f>
        <v/>
      </c>
      <c r="BS89" s="2087">
        <f>AVERAGE(BS88,BN88)</f>
        <v/>
      </c>
      <c r="BT89" s="2072">
        <f>AVERAGE(BT88,BR88,BQ88,BP88)</f>
        <v/>
      </c>
      <c r="BU89" s="2072">
        <f>AVERAGE(BU88,BT88,BR88,BQ88)</f>
        <v/>
      </c>
      <c r="BV89" s="2072">
        <f>AVERAGE(BV88,BU88,BT88,BR88)</f>
        <v/>
      </c>
      <c r="BW89" s="2072">
        <f>AVERAGE(BW88,BV88,BU88,BT88)</f>
        <v/>
      </c>
      <c r="BX89" s="2087">
        <f>AVERAGE(BX88,BS88)</f>
        <v/>
      </c>
      <c r="BY89" s="2087">
        <f>AVERAGE(BY88,BX88)</f>
        <v/>
      </c>
      <c r="BZ89" s="2087">
        <f>AVERAGE(BZ88,BY88)</f>
        <v/>
      </c>
      <c r="CA89" s="2087">
        <f>AVERAGE(CA88,BZ88)</f>
        <v/>
      </c>
      <c r="CB89" s="2072" t="n"/>
    </row>
    <row r="90" collapsed="1" ht="15" customFormat="1" customHeight="1" s="2105">
      <c r="A90" s="2226" t="inlineStr">
        <is>
          <t>ROE</t>
        </is>
      </c>
      <c r="B90" s="2227" t="n"/>
      <c r="C90" s="2228">
        <f>IF(C89&lt;0,"NMF",IF(ABS(C87/C89)&gt;1,"NMF",C87/C89))</f>
        <v/>
      </c>
      <c r="D90" s="2228">
        <f>IF(D89&lt;0,"NMF",IF(ABS(D87/D89)&gt;1,"NMF",D87/D89))</f>
        <v/>
      </c>
      <c r="E90" s="2228">
        <f>IF(E89&lt;0,"NMF",IF(ABS(E87/E89)&gt;1,"NMF",E87/E89))</f>
        <v/>
      </c>
      <c r="F90" s="2228">
        <f>IF(F89&lt;0,"NMF",IF(ABS(F87/F89)&gt;1,"NMF",F87/F89))</f>
        <v/>
      </c>
      <c r="G90" s="2229" t="n"/>
      <c r="H90" s="2229" t="n"/>
      <c r="I90" s="2229" t="n"/>
      <c r="J90" s="2229" t="n"/>
      <c r="K90" s="2228">
        <f>IF(K89&lt;0,"NMF",IF(ABS(K87/K89)&gt;1,"NMF",K87/K89))</f>
        <v/>
      </c>
      <c r="L90" s="2229">
        <f>IF(L89&lt;0,"NMF",IF(ABS(L87/L89)&gt;1,"NMF",L87/L89))</f>
        <v/>
      </c>
      <c r="M90" s="2229">
        <f>IF(M89&lt;0,"NMF",IF(ABS(M87/M89)&gt;1,"NMF",M87/M89))</f>
        <v/>
      </c>
      <c r="N90" s="2229">
        <f>IF(N89&lt;0,"NMF",IF(ABS(N87/N89)&gt;1,"NMF",N87/N89))</f>
        <v/>
      </c>
      <c r="O90" s="2229">
        <f>IF(O89&lt;0,"NMF",IF(ABS(O87/O89)&gt;1,"NMF",O87/O89))</f>
        <v/>
      </c>
      <c r="P90" s="2228">
        <f>IF(P89&lt;0,"NMF",IF(ABS(P87/P89)&gt;1,"NMF",P87/P89))</f>
        <v/>
      </c>
      <c r="Q90" s="2229">
        <f>IF(Q89&lt;0,"NMF",IF(ABS(Q87/Q89)&gt;1,"NMF",Q87/Q89))</f>
        <v/>
      </c>
      <c r="R90" s="2229">
        <f>IF(R89&lt;0,"NMF",IF(ABS(R87/R89)&gt;1,"NMF",R87/R89))</f>
        <v/>
      </c>
      <c r="S90" s="2229">
        <f>IF(S89&lt;0,"NMF",IF(ABS(S87/S89)&gt;1,"NMF",S87/S89))</f>
        <v/>
      </c>
      <c r="T90" s="2229">
        <f>IF(T89&lt;0,"NMF",IF(ABS(T87/T89)&gt;1,"NMF",T87/T89))</f>
        <v/>
      </c>
      <c r="U90" s="2228">
        <f>IF(U89&lt;0,"NMF",IF(ABS(U87/U89)&gt;1,"NMF",U87/U89))</f>
        <v/>
      </c>
      <c r="V90" s="2229">
        <f>IF(V89&lt;0,"NMF",IF(ABS(V87/V89)&gt;1,"NMF",V87/V89))</f>
        <v/>
      </c>
      <c r="W90" s="2229">
        <f>IF(W89&lt;0,"NMF",IF(ABS(W87/W89)&gt;1,"NMF",W87/W89))</f>
        <v/>
      </c>
      <c r="X90" s="2229">
        <f>IF(X89&lt;0,"NMF",IF(ABS(X87/X89)&gt;1,"NMF",X87/X89))</f>
        <v/>
      </c>
      <c r="Y90" s="2229">
        <f>IF(Y89&lt;0,"NMF",IF(ABS(Y87/Y89)&gt;1,"NMF",Y87/Y89))</f>
        <v/>
      </c>
      <c r="Z90" s="2228">
        <f>IF(Z89&lt;0,"NMF",IF(ABS(Z87/Z89)&gt;1,"NMF",Z87/Z89))</f>
        <v/>
      </c>
      <c r="AA90" s="2229">
        <f>IF(AA89&lt;0,"NMF",IF(ABS(AA87/AA89)&gt;1,"NMF",AA87/AA89))</f>
        <v/>
      </c>
      <c r="AB90" s="2229">
        <f>IF(AB89&lt;0,"NMF",IF(ABS(AB87/AB89)&gt;1,"NMF",AB87/AB89))</f>
        <v/>
      </c>
      <c r="AC90" s="2229">
        <f>IF(AC89&lt;0,"NMF",IF(ABS(AC87/AC89)&gt;1,"NMF",AC87/AC89))</f>
        <v/>
      </c>
      <c r="AD90" s="2229">
        <f>IF(AD89&lt;0,"NMF",IF(ABS(AD87/AD89)&gt;1,"NMF",AD87/AD89))</f>
        <v/>
      </c>
      <c r="AE90" s="2228">
        <f>IF(AE89&lt;0,"NMF",IF(ABS(AE87/AE89)&gt;1,"NMF",AE87/AE89))</f>
        <v/>
      </c>
      <c r="AF90" s="2229">
        <f>IF(AF89&lt;0,"NMF",IF(ABS(AF87/AF89)&gt;1,"NMF",AF87/AF89))</f>
        <v/>
      </c>
      <c r="AG90" s="2229">
        <f>IF(AG89&lt;0,"NMF",IF(ABS(AG87/AG89)&gt;1,"NMF",AG87/AG89))</f>
        <v/>
      </c>
      <c r="AH90" s="2229">
        <f>IF(AH89&lt;0,"NMF",IF(ABS(AH87/AH89)&gt;1,"NMF",AH87/AH89))</f>
        <v/>
      </c>
      <c r="AI90" s="2229">
        <f>IF(AI89&lt;0,"NMF",IF(ABS(AI87/AI89)&gt;1,"NMF",AI87/AI89))</f>
        <v/>
      </c>
      <c r="AJ90" s="2228">
        <f>IF(AJ89&lt;0,"NMF",IF(ABS(AJ87/AJ89)&gt;1,"NMF",AJ87/AJ89))</f>
        <v/>
      </c>
      <c r="AK90" s="2229">
        <f>IF(AK89&lt;0,"NMF",IF(ABS(AK87/AK89)&gt;1,"NMF",AK87/AK89))</f>
        <v/>
      </c>
      <c r="AL90" s="2229">
        <f>IF(AL89&lt;0,"NMF",IF(ABS(AL87/AL89)&gt;1,"NMF",AL87/AL89))</f>
        <v/>
      </c>
      <c r="AM90" s="2229">
        <f>IF(AM89&lt;0,"NMF",IF(ABS(AM87/AM89)&gt;1,"NMF",AM87/AM89))</f>
        <v/>
      </c>
      <c r="AN90" s="2229">
        <f>IF(AN89&lt;0,"NMF",IF(ABS(AN87/AN89)&gt;1,"NMF",AN87/AN89))</f>
        <v/>
      </c>
      <c r="AO90" s="2228">
        <f>IF(AO89&lt;0,"NMF",IF(ABS(AO87/AO89)&gt;1,"NMF",AO87/AO89))</f>
        <v/>
      </c>
      <c r="AP90" s="2229">
        <f>IF(AP89&lt;0,"NMF",IF(ABS(AP87/AP89)&gt;1,"NMF",AP87/AP89))</f>
        <v/>
      </c>
      <c r="AQ90" s="2229">
        <f>IF(AQ89&lt;0,"NMF",IF(ABS(AQ87/AQ89)&gt;1,"NMF",AQ87/AQ89))</f>
        <v/>
      </c>
      <c r="AR90" s="2229">
        <f>IF(AR89&lt;0,"NMF",IF(ABS(AR87/AR89)&gt;1,"NMF",AR87/AR89))</f>
        <v/>
      </c>
      <c r="AS90" s="2229">
        <f>IF(AS89&lt;0,"NMF",IF(ABS(AS87/AS89)&gt;1,"NMF",AS87/AS89))</f>
        <v/>
      </c>
      <c r="AT90" s="2228">
        <f>IF(AT89&lt;0,"NMF",IF(ABS(AT87/AT89)&gt;1,"NMF",AT87/AT89))</f>
        <v/>
      </c>
      <c r="AU90" s="2229">
        <f>IF(AU89&lt;0,"NMF",IF(ABS(AU87/AU89)&gt;1,"NMF",AU87/AU89))</f>
        <v/>
      </c>
      <c r="AV90" s="2229">
        <f>IF(AV89&lt;0,"NMF",IF(ABS(AV87/AV89)&gt;1,"NMF",AV87/AV89))</f>
        <v/>
      </c>
      <c r="AW90" s="2229">
        <f>IF(AW89&lt;0,"NMF",IF(ABS(AW87/AW89)&gt;1,"NMF",AW87/AW89))</f>
        <v/>
      </c>
      <c r="AX90" s="2229">
        <f>IF(AX89&lt;0,"NMF",IF(ABS(AX87/AX89)&gt;1,"NMF",AX87/AX89))</f>
        <v/>
      </c>
      <c r="AY90" s="2228">
        <f>IF(AY89&lt;0,"NMF",IF(ABS(AY87/AY89)&gt;1,"NMF",AY87/AY89))</f>
        <v/>
      </c>
      <c r="AZ90" s="2229">
        <f>IF(AZ89&lt;0,"NMF",IF(ABS(AZ87/AZ89)&gt;1,"NMF",AZ87/AZ89))</f>
        <v/>
      </c>
      <c r="BA90" s="2229">
        <f>IF(BA89&lt;0,"NMF",IF(ABS(BA87/BA89)&gt;1,"NMF",BA87/BA89))</f>
        <v/>
      </c>
      <c r="BB90" s="2229">
        <f>IF(BB89&lt;0,"NMF",IF(ABS(BB87/BB89)&gt;1,"NMF",BB87/BB89))</f>
        <v/>
      </c>
      <c r="BC90" s="2229">
        <f>IF(BC89&lt;0,"NMF",IF(ABS(BC87/BC89)&gt;1,"NMF",BC87/BC89))</f>
        <v/>
      </c>
      <c r="BD90" s="2228">
        <f>IF(BD89&lt;0,"NMF",IF(ABS(BD87/BD89)&gt;1,"NMF",BD87/BD89))</f>
        <v/>
      </c>
      <c r="BE90" s="2229">
        <f>IF(BE89&lt;0,"NMF",IF(ABS(BE87/BE89)&gt;1,"NMF",BE87/BE89))</f>
        <v/>
      </c>
      <c r="BF90" s="2229">
        <f>IF(BF89&lt;0,"NMF",IF(ABS(BF87/BF89)&gt;1,"NMF",BF87/BF89))</f>
        <v/>
      </c>
      <c r="BG90" s="2229">
        <f>IF(BG89&lt;0,"NMF",IF(ABS(BG87/BG89)&gt;1,"NMF",BG87/BG89))</f>
        <v/>
      </c>
      <c r="BH90" s="2229">
        <f>IF(BH89&lt;0,"NMF",IF(ABS(BH87/BH89)&gt;1,"NMF",BH87/BH89))</f>
        <v/>
      </c>
      <c r="BI90" s="2228">
        <f>IF(BI89&lt;0,"NMF",IF(ABS(BI87/BI89)&gt;1,"NMF",BI87/BI89))</f>
        <v/>
      </c>
      <c r="BJ90" s="2229">
        <f>IF(BJ89&lt;0,"NMF",IF(ABS(BJ87/BJ89)&gt;1,"NMF",BJ87/BJ89))</f>
        <v/>
      </c>
      <c r="BK90" s="2229">
        <f>IF(BK89&lt;0,"NMF",IF(ABS(BK87/BK89)&gt;1,"NMF",BK87/BK89))</f>
        <v/>
      </c>
      <c r="BL90" s="2229">
        <f>IF(BL89&lt;0,"NMF",IF(ABS(BL87/BL89)&gt;1,"NMF",BL87/BL89))</f>
        <v/>
      </c>
      <c r="BM90" s="2229">
        <f>IF(BM89&lt;0,"NMF",IF(ABS(BM87/BM89)&gt;1,"NMF",BM87/BM89))</f>
        <v/>
      </c>
      <c r="BN90" s="2228">
        <f>IF(BN89&lt;0,"NMF",IF(ABS(BN87/BN89)&gt;1,"NMF",BN87/BN89))</f>
        <v/>
      </c>
      <c r="BO90" s="2229">
        <f>IF(BO89&lt;0,"NMF",IF(ABS(BO87/BO89)&gt;1,"NMF",BO87/BO89))</f>
        <v/>
      </c>
      <c r="BP90" s="2229">
        <f>IF(BP89&lt;0,"NMF",IF(ABS(BP87/BP89)&gt;1,"NMF",BP87/BP89))</f>
        <v/>
      </c>
      <c r="BQ90" s="2230">
        <f>IF(BQ89&lt;0,"NMF",IF(ABS(BQ87/BQ89)&gt;1,"NMF",BQ87/BQ89))</f>
        <v/>
      </c>
      <c r="BR90" s="2229">
        <f>IF(BR89&lt;0,"NMF",IF(ABS(BR87/BR89)&gt;1,"NMF",BR87/BR89))</f>
        <v/>
      </c>
      <c r="BS90" s="2228">
        <f>IF(BS89&lt;0,"NMF",IF(ABS(BS87/BS89)&gt;1,"NMF",BS87/BS89))</f>
        <v/>
      </c>
      <c r="BT90" s="2229">
        <f>IF(BT89&lt;0,"NMF",IF(ABS(BT87/BT89)&gt;1,"NMF",BT87/BT89))</f>
        <v/>
      </c>
      <c r="BU90" s="2229">
        <f>IF(BU89&lt;0,"NMF",IF(ABS(BU87/BU89)&gt;1,"NMF",BU87/BU89))</f>
        <v/>
      </c>
      <c r="BV90" s="2229">
        <f>IF(BV89&lt;0,"NMF",IF(ABS(BV87/BV89)&gt;1,"NMF",BV87/BV89))</f>
        <v/>
      </c>
      <c r="BW90" s="2229">
        <f>IF(BW89&lt;0,"NMF",IF(ABS(BW87/BW89)&gt;1,"NMF",BW87/BW89))</f>
        <v/>
      </c>
      <c r="BX90" s="2228">
        <f>IF(BX89&lt;0,"NMF",IF(ABS(BX87/BX89)&gt;1,"NMF",BX87/BX89))</f>
        <v/>
      </c>
      <c r="BY90" s="2228">
        <f>IF(BY89&lt;0,"NMF",IF(ABS(BY87/BY89)&gt;1,"NMF",BY87/BY89))</f>
        <v/>
      </c>
      <c r="BZ90" s="2228">
        <f>IF(BZ89&lt;0,"NMF",IF(ABS(BZ87/BZ89)&gt;1,"NMF",BZ87/BZ89))</f>
        <v/>
      </c>
      <c r="CA90" s="2228">
        <f>IF(CA89&lt;0,"NMF",IF(ABS(CA87/CA89)&gt;1,"NMF",CA87/CA89))</f>
        <v/>
      </c>
      <c r="CB90" s="2111" t="n"/>
    </row>
    <row r="91" hidden="1" outlineLevel="1" ht="15" customHeight="1" s="972">
      <c r="A91" s="1593" t="inlineStr">
        <is>
          <t>NOPAT</t>
        </is>
      </c>
      <c r="B91" s="2200" t="n"/>
      <c r="C91" s="2087">
        <f>INDEX(MO_RIS_Reported_OperatingIncome_NONGAAP,0,COLUMN())*(1-INDEX(MO_RIS_TaxRate_NONGAAP,0,COLUMN()))</f>
        <v/>
      </c>
      <c r="D91" s="2087">
        <f>INDEX(MO_RIS_Reported_OperatingIncome_NONGAAP,0,COLUMN())*(1-INDEX(MO_RIS_TaxRate_NONGAAP,0,COLUMN()))</f>
        <v/>
      </c>
      <c r="E91" s="2087">
        <f>INDEX(MO_RIS_Reported_OperatingIncome_NONGAAP,0,COLUMN())*(1-INDEX(MO_RIS_TaxRate_NONGAAP,0,COLUMN()))</f>
        <v/>
      </c>
      <c r="F91" s="2087">
        <f>INDEX(MO_RIS_Reported_OperatingIncome_NONGAAP,0,COLUMN())*(1-INDEX(MO_RIS_TaxRate_NONGAAP,0,COLUMN()))</f>
        <v/>
      </c>
      <c r="G91" s="2072">
        <f>INDEX(MO_RIS_Reported_OperatingIncome_NONGAAP,0,COLUMN())*(1-INDEX(MO_RIS_TaxRate_NONGAAP,0,COLUMN()))</f>
        <v/>
      </c>
      <c r="H91" s="2072">
        <f>INDEX(MO_RIS_Reported_OperatingIncome_NONGAAP,0,COLUMN())*(1-INDEX(MO_RIS_TaxRate_NONGAAP,0,COLUMN()))</f>
        <v/>
      </c>
      <c r="I91" s="2072">
        <f>INDEX(MO_RIS_Reported_OperatingIncome_NONGAAP,0,COLUMN())*(1-INDEX(MO_RIS_TaxRate_NONGAAP,0,COLUMN()))</f>
        <v/>
      </c>
      <c r="J91" s="2072">
        <f>INDEX(MO_RIS_Reported_OperatingIncome_NONGAAP,0,COLUMN())*(1-INDEX(MO_RIS_TaxRate_NONGAAP,0,COLUMN()))</f>
        <v/>
      </c>
      <c r="K91" s="2087">
        <f>INDEX(MO_RIS_Reported_OperatingIncome_NONGAAP,0,COLUMN())*(1-INDEX(MO_RIS_TaxRate_NONGAAP,0,COLUMN()))</f>
        <v/>
      </c>
      <c r="L91" s="2072">
        <f>INDEX(MO_RIS_Reported_OperatingIncome_NONGAAP,0,COLUMN())*(1-INDEX(MO_RIS_TaxRate_NONGAAP,0,COLUMN()))</f>
        <v/>
      </c>
      <c r="M91" s="2072">
        <f>INDEX(MO_RIS_Reported_OperatingIncome_NONGAAP,0,COLUMN())*(1-INDEX(MO_RIS_TaxRate_NONGAAP,0,COLUMN()))</f>
        <v/>
      </c>
      <c r="N91" s="2072">
        <f>INDEX(MO_RIS_Reported_OperatingIncome_NONGAAP,0,COLUMN())*(1-INDEX(MO_RIS_TaxRate_NONGAAP,0,COLUMN()))</f>
        <v/>
      </c>
      <c r="O91" s="2072">
        <f>INDEX(MO_RIS_Reported_OperatingIncome_NONGAAP,0,COLUMN())*(1-INDEX(MO_RIS_TaxRate_NONGAAP,0,COLUMN()))</f>
        <v/>
      </c>
      <c r="P91" s="2087">
        <f>INDEX(MO_RIS_Reported_OperatingIncome_NONGAAP,0,COLUMN())*(1-INDEX(MO_RIS_TaxRate_NONGAAP,0,COLUMN()))</f>
        <v/>
      </c>
      <c r="Q91" s="2072">
        <f>INDEX(MO_RIS_Reported_OperatingIncome_NONGAAP,0,COLUMN())*(1-INDEX(MO_RIS_TaxRate_NONGAAP,0,COLUMN()))</f>
        <v/>
      </c>
      <c r="R91" s="2072">
        <f>INDEX(MO_RIS_Reported_OperatingIncome_NONGAAP,0,COLUMN())*(1-INDEX(MO_RIS_TaxRate_NONGAAP,0,COLUMN()))</f>
        <v/>
      </c>
      <c r="S91" s="2072">
        <f>INDEX(MO_RIS_Reported_OperatingIncome_NONGAAP,0,COLUMN())*(1-INDEX(MO_RIS_TaxRate_NONGAAP,0,COLUMN()))</f>
        <v/>
      </c>
      <c r="T91" s="2072">
        <f>INDEX(MO_RIS_Reported_OperatingIncome_NONGAAP,0,COLUMN())*(1-INDEX(MO_RIS_TaxRate_NONGAAP,0,COLUMN()))</f>
        <v/>
      </c>
      <c r="U91" s="2087">
        <f>INDEX(MO_RIS_Reported_OperatingIncome_NONGAAP,0,COLUMN())*(1-INDEX(MO_RIS_TaxRate_NONGAAP,0,COLUMN()))</f>
        <v/>
      </c>
      <c r="V91" s="2072">
        <f>INDEX(MO_RIS_Reported_OperatingIncome_NONGAAP,0,COLUMN())*(1-INDEX(MO_RIS_TaxRate_NONGAAP,0,COLUMN()))</f>
        <v/>
      </c>
      <c r="W91" s="2072">
        <f>INDEX(MO_RIS_Reported_OperatingIncome_NONGAAP,0,COLUMN())*(1-INDEX(MO_RIS_TaxRate_NONGAAP,0,COLUMN()))</f>
        <v/>
      </c>
      <c r="X91" s="2072">
        <f>INDEX(MO_RIS_Reported_OperatingIncome_NONGAAP,0,COLUMN())*(1-INDEX(MO_RIS_TaxRate_NONGAAP,0,COLUMN()))</f>
        <v/>
      </c>
      <c r="Y91" s="2072">
        <f>INDEX(MO_RIS_Reported_OperatingIncome_NONGAAP,0,COLUMN())*(1-INDEX(MO_RIS_TaxRate_NONGAAP,0,COLUMN()))</f>
        <v/>
      </c>
      <c r="Z91" s="2087">
        <f>INDEX(MO_RIS_Reported_OperatingIncome_NONGAAP,0,COLUMN())*(1-INDEX(MO_RIS_TaxRate_NONGAAP,0,COLUMN()))</f>
        <v/>
      </c>
      <c r="AA91" s="2072">
        <f>INDEX(MO_RIS_Reported_OperatingIncome_NONGAAP,0,COLUMN())*(1-INDEX(MO_RIS_TaxRate_NONGAAP,0,COLUMN()))</f>
        <v/>
      </c>
      <c r="AB91" s="2072">
        <f>INDEX(MO_RIS_Reported_OperatingIncome_NONGAAP,0,COLUMN())*(1-INDEX(MO_RIS_TaxRate_NONGAAP,0,COLUMN()))</f>
        <v/>
      </c>
      <c r="AC91" s="2072">
        <f>INDEX(MO_RIS_Reported_OperatingIncome_NONGAAP,0,COLUMN())*(1-INDEX(MO_RIS_TaxRate_NONGAAP,0,COLUMN()))</f>
        <v/>
      </c>
      <c r="AD91" s="2072">
        <f>INDEX(MO_RIS_Reported_OperatingIncome_NONGAAP,0,COLUMN())*(1-INDEX(MO_RIS_TaxRate_NONGAAP,0,COLUMN()))</f>
        <v/>
      </c>
      <c r="AE91" s="2087">
        <f>INDEX(MO_RIS_Reported_OperatingIncome_NONGAAP,0,COLUMN())*(1-INDEX(MO_RIS_TaxRate_NONGAAP,0,COLUMN()))</f>
        <v/>
      </c>
      <c r="AF91" s="2072">
        <f>INDEX(MO_RIS_Reported_OperatingIncome_NONGAAP,0,COLUMN())*(1-INDEX(MO_RIS_TaxRate_NONGAAP,0,COLUMN()))</f>
        <v/>
      </c>
      <c r="AG91" s="2072">
        <f>INDEX(MO_RIS_Reported_OperatingIncome_NONGAAP,0,COLUMN())*(1-INDEX(MO_RIS_TaxRate_NONGAAP,0,COLUMN()))</f>
        <v/>
      </c>
      <c r="AH91" s="2072">
        <f>INDEX(MO_RIS_Reported_OperatingIncome_NONGAAP,0,COLUMN())*(1-INDEX(MO_RIS_TaxRate_NONGAAP,0,COLUMN()))</f>
        <v/>
      </c>
      <c r="AI91" s="2072">
        <f>INDEX(MO_RIS_Reported_OperatingIncome_NONGAAP,0,COLUMN())*(1-INDEX(MO_RIS_TaxRate_NONGAAP,0,COLUMN()))</f>
        <v/>
      </c>
      <c r="AJ91" s="2087">
        <f>INDEX(MO_RIS_Reported_OperatingIncome_NONGAAP,0,COLUMN())*(1-INDEX(MO_RIS_TaxRate_NONGAAP,0,COLUMN()))</f>
        <v/>
      </c>
      <c r="AK91" s="2072">
        <f>INDEX(MO_RIS_Reported_OperatingIncome_NONGAAP,0,COLUMN())*(1-INDEX(MO_RIS_TaxRate_NONGAAP,0,COLUMN()))</f>
        <v/>
      </c>
      <c r="AL91" s="2072">
        <f>INDEX(MO_RIS_Reported_OperatingIncome_NONGAAP,0,COLUMN())*(1-INDEX(MO_RIS_TaxRate_NONGAAP,0,COLUMN()))</f>
        <v/>
      </c>
      <c r="AM91" s="2072">
        <f>INDEX(MO_RIS_Reported_OperatingIncome_NONGAAP,0,COLUMN())*(1-INDEX(MO_RIS_TaxRate_NONGAAP,0,COLUMN()))</f>
        <v/>
      </c>
      <c r="AN91" s="2072">
        <f>INDEX(MO_RIS_Reported_OperatingIncome_NONGAAP,0,COLUMN())*(1-INDEX(MO_RIS_TaxRate_NONGAAP,0,COLUMN()))</f>
        <v/>
      </c>
      <c r="AO91" s="2087">
        <f>INDEX(MO_RIS_Reported_OperatingIncome_NONGAAP,0,COLUMN())*(1-INDEX(MO_RIS_TaxRate_NONGAAP,0,COLUMN()))</f>
        <v/>
      </c>
      <c r="AP91" s="2072">
        <f>INDEX(MO_RIS_Reported_OperatingIncome_NONGAAP,0,COLUMN())*(1-INDEX(MO_RIS_TaxRate_NONGAAP,0,COLUMN()))</f>
        <v/>
      </c>
      <c r="AQ91" s="2072">
        <f>INDEX(MO_RIS_Reported_OperatingIncome_NONGAAP,0,COLUMN())*(1-INDEX(MO_RIS_TaxRate_NONGAAP,0,COLUMN()))</f>
        <v/>
      </c>
      <c r="AR91" s="2072">
        <f>INDEX(MO_RIS_Reported_OperatingIncome_NONGAAP,0,COLUMN())*(1-INDEX(MO_RIS_TaxRate_NONGAAP,0,COLUMN()))</f>
        <v/>
      </c>
      <c r="AS91" s="2072">
        <f>INDEX(MO_RIS_Reported_OperatingIncome_NONGAAP,0,COLUMN())*(1-INDEX(MO_RIS_TaxRate_NONGAAP,0,COLUMN()))</f>
        <v/>
      </c>
      <c r="AT91" s="2087">
        <f>INDEX(MO_RIS_Reported_OperatingIncome_NONGAAP,0,COLUMN())*(1-INDEX(MO_RIS_TaxRate_NONGAAP,0,COLUMN()))</f>
        <v/>
      </c>
      <c r="AU91" s="2072">
        <f>INDEX(MO_RIS_Reported_OperatingIncome_NONGAAP,0,COLUMN())*(1-INDEX(MO_RIS_TaxRate_NONGAAP,0,COLUMN()))</f>
        <v/>
      </c>
      <c r="AV91" s="2072">
        <f>INDEX(MO_RIS_Reported_OperatingIncome_NONGAAP,0,COLUMN())*(1-INDEX(MO_RIS_TaxRate_NONGAAP,0,COLUMN()))</f>
        <v/>
      </c>
      <c r="AW91" s="2072">
        <f>INDEX(MO_RIS_Reported_OperatingIncome_NONGAAP,0,COLUMN())*(1-INDEX(MO_RIS_TaxRate_NONGAAP,0,COLUMN()))</f>
        <v/>
      </c>
      <c r="AX91" s="2072">
        <f>INDEX(MO_RIS_Reported_OperatingIncome_NONGAAP,0,COLUMN())*(1-INDEX(MO_RIS_TaxRate_NONGAAP,0,COLUMN()))</f>
        <v/>
      </c>
      <c r="AY91" s="2087">
        <f>INDEX(MO_RIS_Reported_OperatingIncome_NONGAAP,0,COLUMN())*(1-INDEX(MO_RIS_TaxRate_NONGAAP,0,COLUMN()))</f>
        <v/>
      </c>
      <c r="AZ91" s="2072">
        <f>INDEX(MO_RIS_Reported_OperatingIncome_NONGAAP,0,COLUMN())*(1-INDEX(MO_RIS_TaxRate_NONGAAP,0,COLUMN()))</f>
        <v/>
      </c>
      <c r="BA91" s="2072">
        <f>INDEX(MO_RIS_Reported_OperatingIncome_NONGAAP,0,COLUMN())*(1-INDEX(MO_RIS_TaxRate_NONGAAP,0,COLUMN()))</f>
        <v/>
      </c>
      <c r="BB91" s="2072">
        <f>INDEX(MO_RIS_Reported_OperatingIncome_NONGAAP,0,COLUMN())*(1-INDEX(MO_RIS_TaxRate_NONGAAP,0,COLUMN()))</f>
        <v/>
      </c>
      <c r="BC91" s="2072">
        <f>INDEX(MO_RIS_Reported_OperatingIncome_NONGAAP,0,COLUMN())*(1-INDEX(MO_RIS_TaxRate_NONGAAP,0,COLUMN()))</f>
        <v/>
      </c>
      <c r="BD91" s="2087">
        <f>INDEX(MO_RIS_Reported_OperatingIncome_NONGAAP,0,COLUMN())*(1-INDEX(MO_RIS_TaxRate_NONGAAP,0,COLUMN()))</f>
        <v/>
      </c>
      <c r="BE91" s="2072">
        <f>INDEX(MO_RIS_Reported_OperatingIncome_NONGAAP,0,COLUMN())*(1-INDEX(MO_RIS_TaxRate_NONGAAP,0,COLUMN()))</f>
        <v/>
      </c>
      <c r="BF91" s="2072">
        <f>INDEX(MO_RIS_Reported_OperatingIncome_NONGAAP,0,COLUMN())*(1-INDEX(MO_RIS_TaxRate_NONGAAP,0,COLUMN()))</f>
        <v/>
      </c>
      <c r="BG91" s="2072">
        <f>INDEX(MO_RIS_Reported_OperatingIncome_NONGAAP,0,COLUMN())*(1-INDEX(MO_RIS_TaxRate_NONGAAP,0,COLUMN()))</f>
        <v/>
      </c>
      <c r="BH91" s="2072">
        <f>INDEX(MO_RIS_Reported_OperatingIncome_NONGAAP,0,COLUMN())*(1-INDEX(MO_RIS_TaxRate_NONGAAP,0,COLUMN()))</f>
        <v/>
      </c>
      <c r="BI91" s="2087">
        <f>INDEX(MO_RIS_Reported_OperatingIncome_NONGAAP,0,COLUMN())*(1-INDEX(MO_RIS_TaxRate_NONGAAP,0,COLUMN()))</f>
        <v/>
      </c>
      <c r="BJ91" s="2072">
        <f>INDEX(MO_RIS_Reported_OperatingIncome_NONGAAP,0,COLUMN())*(1-INDEX(MO_RIS_TaxRate_NONGAAP,0,COLUMN()))</f>
        <v/>
      </c>
      <c r="BK91" s="2072">
        <f>INDEX(MO_RIS_Reported_OperatingIncome_NONGAAP,0,COLUMN())*(1-INDEX(MO_RIS_TaxRate_NONGAAP,0,COLUMN()))</f>
        <v/>
      </c>
      <c r="BL91" s="2072">
        <f>INDEX(MO_RIS_Reported_OperatingIncome_NONGAAP,0,COLUMN())*(1-INDEX(MO_RIS_TaxRate_NONGAAP,0,COLUMN()))</f>
        <v/>
      </c>
      <c r="BM91" s="2072">
        <f>INDEX(MO_RIS_Reported_OperatingIncome_NONGAAP,0,COLUMN())*(1-INDEX(MO_RIS_TaxRate_NONGAAP,0,COLUMN()))</f>
        <v/>
      </c>
      <c r="BN91" s="2087">
        <f>INDEX(MO_RIS_Reported_OperatingIncome_NONGAAP,0,COLUMN())*(1-INDEX(MO_RIS_TaxRate_NONGAAP,0,COLUMN()))</f>
        <v/>
      </c>
      <c r="BO91" s="2072">
        <f>INDEX(MO_RIS_Reported_OperatingIncome_NONGAAP,0,COLUMN())*(1-INDEX(MO_RIS_TaxRate_NONGAAP,0,COLUMN()))</f>
        <v/>
      </c>
      <c r="BP91" s="2072">
        <f>INDEX(MO_RIS_Reported_OperatingIncome_NONGAAP,0,COLUMN())*(1-INDEX(MO_RIS_TaxRate_NONGAAP,0,COLUMN()))</f>
        <v/>
      </c>
      <c r="BQ91" s="2073">
        <f>INDEX(MO_RIS_Reported_OperatingIncome_NONGAAP,0,COLUMN())*(1-INDEX(MO_RIS_TaxRate_NONGAAP,0,COLUMN()))</f>
        <v/>
      </c>
      <c r="BR91" s="2072">
        <f>INDEX(MO_RIS_Reported_OperatingIncome_NONGAAP,0,COLUMN())*(1-INDEX(MO_RIS_TaxRate_NONGAAP,0,COLUMN()))</f>
        <v/>
      </c>
      <c r="BS91" s="2087">
        <f>INDEX(MO_RIS_Reported_OperatingIncome_NONGAAP,0,COLUMN())*(1-INDEX(MO_RIS_TaxRate_NONGAAP,0,COLUMN()))</f>
        <v/>
      </c>
      <c r="BT91" s="2072">
        <f>INDEX(MO_RIS_Reported_OperatingIncome_NONGAAP,0,COLUMN())*(1-INDEX(MO_RIS_TaxRate_NONGAAP,0,COLUMN()))</f>
        <v/>
      </c>
      <c r="BU91" s="2072">
        <f>INDEX(MO_RIS_Reported_OperatingIncome_NONGAAP,0,COLUMN())*(1-INDEX(MO_RIS_TaxRate_NONGAAP,0,COLUMN()))</f>
        <v/>
      </c>
      <c r="BV91" s="2072">
        <f>INDEX(MO_RIS_Reported_OperatingIncome_NONGAAP,0,COLUMN())*(1-INDEX(MO_RIS_TaxRate_NONGAAP,0,COLUMN()))</f>
        <v/>
      </c>
      <c r="BW91" s="2072">
        <f>INDEX(MO_RIS_Reported_OperatingIncome_NONGAAP,0,COLUMN())*(1-INDEX(MO_RIS_TaxRate_NONGAAP,0,COLUMN()))</f>
        <v/>
      </c>
      <c r="BX91" s="2087">
        <f>INDEX(MO_RIS_Reported_OperatingIncome_NONGAAP,0,COLUMN())*(1-INDEX(MO_RIS_TaxRate_NONGAAP,0,COLUMN()))</f>
        <v/>
      </c>
      <c r="BY91" s="2087">
        <f>INDEX(MO_RIS_Reported_OperatingIncome_NONGAAP,0,COLUMN())*(1-INDEX(MO_RIS_TaxRate_NONGAAP,0,COLUMN()))</f>
        <v/>
      </c>
      <c r="BZ91" s="2087">
        <f>INDEX(MO_RIS_Reported_OperatingIncome_NONGAAP,0,COLUMN())*(1-INDEX(MO_RIS_TaxRate_NONGAAP,0,COLUMN()))</f>
        <v/>
      </c>
      <c r="CA91" s="2087">
        <f>INDEX(MO_RIS_Reported_OperatingIncome_NONGAAP,0,COLUMN())*(1-INDEX(MO_RIS_TaxRate_NONGAAP,0,COLUMN()))</f>
        <v/>
      </c>
      <c r="CB91" s="2072" t="n"/>
    </row>
    <row r="92" hidden="1" outlineLevel="1" ht="15" customHeight="1" s="972">
      <c r="A92" s="1593" t="inlineStr">
        <is>
          <t>LTM Net Operating Profit</t>
        </is>
      </c>
      <c r="B92" s="2200" t="n"/>
      <c r="C92" s="2087">
        <f>C91</f>
        <v/>
      </c>
      <c r="D92" s="2087">
        <f>D91</f>
        <v/>
      </c>
      <c r="E92" s="2087">
        <f>E91</f>
        <v/>
      </c>
      <c r="F92" s="2087">
        <f>F91</f>
        <v/>
      </c>
      <c r="G92" s="2072" t="n"/>
      <c r="H92" s="2072" t="n"/>
      <c r="I92" s="2072" t="n"/>
      <c r="J92" s="2072">
        <f>SUM(J91,I91,H91,G91)</f>
        <v/>
      </c>
      <c r="K92" s="2087">
        <f>K91</f>
        <v/>
      </c>
      <c r="L92" s="2072">
        <f>SUM(L91,J91,I91,H91)</f>
        <v/>
      </c>
      <c r="M92" s="2072">
        <f>SUM(M91,L91,J91,I91)</f>
        <v/>
      </c>
      <c r="N92" s="2072">
        <f>SUM(N91,M91,L91,J91)</f>
        <v/>
      </c>
      <c r="O92" s="2072">
        <f>SUM(O91,N91,M91,L91)</f>
        <v/>
      </c>
      <c r="P92" s="2087">
        <f>P91</f>
        <v/>
      </c>
      <c r="Q92" s="2072">
        <f>SUM(Q91,O91,N91,M91)</f>
        <v/>
      </c>
      <c r="R92" s="2072">
        <f>SUM(R91,Q91,O91,N91)</f>
        <v/>
      </c>
      <c r="S92" s="2072">
        <f>SUM(S91,R91,Q91,O91)</f>
        <v/>
      </c>
      <c r="T92" s="2072">
        <f>SUM(T91,S91,R91,Q91)</f>
        <v/>
      </c>
      <c r="U92" s="2087">
        <f>U91</f>
        <v/>
      </c>
      <c r="V92" s="2072">
        <f>SUM(V91,T91,S91,R91)</f>
        <v/>
      </c>
      <c r="W92" s="2072">
        <f>SUM(W91,V91,T91,S91)</f>
        <v/>
      </c>
      <c r="X92" s="2072">
        <f>SUM(X91,W91,V91,T91)</f>
        <v/>
      </c>
      <c r="Y92" s="2072">
        <f>SUM(Y91,X91,W91,V91)</f>
        <v/>
      </c>
      <c r="Z92" s="2087">
        <f>Z91</f>
        <v/>
      </c>
      <c r="AA92" s="2072">
        <f>SUM(AA91,Y91,X91,W91)</f>
        <v/>
      </c>
      <c r="AB92" s="2072">
        <f>SUM(AB91,AA91,Y91,X91)</f>
        <v/>
      </c>
      <c r="AC92" s="2072">
        <f>SUM(AC91,AB91,AA91,Y91)</f>
        <v/>
      </c>
      <c r="AD92" s="2072">
        <f>SUM(AD91,AC91,AB91,AA91)</f>
        <v/>
      </c>
      <c r="AE92" s="2087">
        <f>AE91</f>
        <v/>
      </c>
      <c r="AF92" s="2072">
        <f>SUM(AF91,AD91,AC91,AB91)</f>
        <v/>
      </c>
      <c r="AG92" s="2072">
        <f>SUM(AG91,AF91,AD91,AC91)</f>
        <v/>
      </c>
      <c r="AH92" s="2072">
        <f>SUM(AH91,AG91,AF91,AD91)</f>
        <v/>
      </c>
      <c r="AI92" s="2072">
        <f>SUM(AI91,AH91,AG91,AF91)</f>
        <v/>
      </c>
      <c r="AJ92" s="2087">
        <f>AJ91</f>
        <v/>
      </c>
      <c r="AK92" s="2072">
        <f>SUM(AK91,AI91,AH91,AG91)</f>
        <v/>
      </c>
      <c r="AL92" s="2072">
        <f>SUM(AL91,AK91,AI91,AH91)</f>
        <v/>
      </c>
      <c r="AM92" s="2072">
        <f>SUM(AM91,AL91,AK91,AI91)</f>
        <v/>
      </c>
      <c r="AN92" s="2072">
        <f>SUM(AN91,AM91,AL91,AK91)</f>
        <v/>
      </c>
      <c r="AO92" s="2087">
        <f>AO91</f>
        <v/>
      </c>
      <c r="AP92" s="2072">
        <f>SUM(AP91,AN91,AM91,AL91)</f>
        <v/>
      </c>
      <c r="AQ92" s="2072">
        <f>SUM(AQ91,AP91,AN91,AM91)</f>
        <v/>
      </c>
      <c r="AR92" s="2072">
        <f>SUM(AR91,AQ91,AP91,AN91)</f>
        <v/>
      </c>
      <c r="AS92" s="2072">
        <f>SUM(AS91,AR91,AQ91,AP91)</f>
        <v/>
      </c>
      <c r="AT92" s="2087">
        <f>AT91</f>
        <v/>
      </c>
      <c r="AU92" s="2072">
        <f>SUM(AU91,AS91,AR91,AQ91)</f>
        <v/>
      </c>
      <c r="AV92" s="2072">
        <f>SUM(AV91,AU91,AS91,AR91)</f>
        <v/>
      </c>
      <c r="AW92" s="2072">
        <f>SUM(AW91,AV91,AU91,AS91)</f>
        <v/>
      </c>
      <c r="AX92" s="2072">
        <f>SUM(AX91,AW91,AV91,AU91)</f>
        <v/>
      </c>
      <c r="AY92" s="2087">
        <f>AY91</f>
        <v/>
      </c>
      <c r="AZ92" s="2072">
        <f>SUM(AZ91,AX91,AW91,AV91)</f>
        <v/>
      </c>
      <c r="BA92" s="2072">
        <f>SUM(BA91,AZ91,AX91,AW91)</f>
        <v/>
      </c>
      <c r="BB92" s="2072">
        <f>SUM(BB91,BA91,AZ91,AX91)</f>
        <v/>
      </c>
      <c r="BC92" s="2072">
        <f>SUM(BC91,BB91,BA91,AZ91)</f>
        <v/>
      </c>
      <c r="BD92" s="2087">
        <f>BD91</f>
        <v/>
      </c>
      <c r="BE92" s="2072">
        <f>SUM(BE91,BC91,BB91,BA91)</f>
        <v/>
      </c>
      <c r="BF92" s="2072">
        <f>SUM(BF91,BE91,BC91,BB91)</f>
        <v/>
      </c>
      <c r="BG92" s="2072">
        <f>SUM(BG91,BF91,BE91,BC91)</f>
        <v/>
      </c>
      <c r="BH92" s="2072">
        <f>SUM(BH91,BG91,BF91,BE91)</f>
        <v/>
      </c>
      <c r="BI92" s="2087">
        <f>BI91</f>
        <v/>
      </c>
      <c r="BJ92" s="2072">
        <f>SUM(BJ91,BH91,BG91,BF91)</f>
        <v/>
      </c>
      <c r="BK92" s="2072">
        <f>SUM(BK91,BJ91,BH91,BG91)</f>
        <v/>
      </c>
      <c r="BL92" s="2072">
        <f>SUM(BL91,BK91,BJ91,BH91)</f>
        <v/>
      </c>
      <c r="BM92" s="2072">
        <f>SUM(BM91,BL91,BK91,BJ91)</f>
        <v/>
      </c>
      <c r="BN92" s="2087">
        <f>BN91</f>
        <v/>
      </c>
      <c r="BO92" s="2072">
        <f>SUM(BO91,BM91,BL91,BK91)</f>
        <v/>
      </c>
      <c r="BP92" s="2072">
        <f>SUM(BP91,BO91,BM91,BL91)</f>
        <v/>
      </c>
      <c r="BQ92" s="2073">
        <f>SUM(BQ91,BP91,BO91,BM91)</f>
        <v/>
      </c>
      <c r="BR92" s="2072">
        <f>SUM(BR91,BQ91,BP91,BO91)</f>
        <v/>
      </c>
      <c r="BS92" s="2087">
        <f>BS91</f>
        <v/>
      </c>
      <c r="BT92" s="2072">
        <f>SUM(BT91,BR91,BQ91,BP91)</f>
        <v/>
      </c>
      <c r="BU92" s="2072">
        <f>SUM(BU91,BT91,BR91,BQ91)</f>
        <v/>
      </c>
      <c r="BV92" s="2072">
        <f>SUM(BV91,BU91,BT91,BR91)</f>
        <v/>
      </c>
      <c r="BW92" s="2072">
        <f>SUM(BW91,BV91,BU91,BT91)</f>
        <v/>
      </c>
      <c r="BX92" s="2087">
        <f>BX91</f>
        <v/>
      </c>
      <c r="BY92" s="2087">
        <f>BY91</f>
        <v/>
      </c>
      <c r="BZ92" s="2087">
        <f>BZ91</f>
        <v/>
      </c>
      <c r="CA92" s="2087">
        <f>CA91</f>
        <v/>
      </c>
      <c r="CB92" s="2072" t="n"/>
    </row>
    <row r="93" hidden="1" outlineLevel="1" ht="15" customHeight="1" s="972">
      <c r="A93" s="1593" t="inlineStr">
        <is>
          <t>Total Assets</t>
        </is>
      </c>
      <c r="B93" s="2200" t="n"/>
      <c r="C93" s="2087">
        <f>INDEX(MO_BS_TA,0,COLUMN())</f>
        <v/>
      </c>
      <c r="D93" s="2087">
        <f>INDEX(MO_BS_TA,0,COLUMN())</f>
        <v/>
      </c>
      <c r="E93" s="2087">
        <f>INDEX(MO_BS_TA,0,COLUMN())</f>
        <v/>
      </c>
      <c r="F93" s="2087">
        <f>INDEX(MO_BS_TA,0,COLUMN())</f>
        <v/>
      </c>
      <c r="G93" s="2072">
        <f>INDEX(MO_BS_TA,0,COLUMN())</f>
        <v/>
      </c>
      <c r="H93" s="2072">
        <f>INDEX(MO_BS_TA,0,COLUMN())</f>
        <v/>
      </c>
      <c r="I93" s="2072">
        <f>INDEX(MO_BS_TA,0,COLUMN())</f>
        <v/>
      </c>
      <c r="J93" s="2072">
        <f>INDEX(MO_BS_TA,0,COLUMN())</f>
        <v/>
      </c>
      <c r="K93" s="2087">
        <f>INDEX(MO_BS_TA,0,COLUMN())</f>
        <v/>
      </c>
      <c r="L93" s="2072">
        <f>INDEX(MO_BS_TA,0,COLUMN())</f>
        <v/>
      </c>
      <c r="M93" s="2072">
        <f>INDEX(MO_BS_TA,0,COLUMN())</f>
        <v/>
      </c>
      <c r="N93" s="2072">
        <f>INDEX(MO_BS_TA,0,COLUMN())</f>
        <v/>
      </c>
      <c r="O93" s="2072">
        <f>INDEX(MO_BS_TA,0,COLUMN())</f>
        <v/>
      </c>
      <c r="P93" s="2087">
        <f>INDEX(MO_BS_TA,0,COLUMN())</f>
        <v/>
      </c>
      <c r="Q93" s="2072">
        <f>INDEX(MO_BS_TA,0,COLUMN())</f>
        <v/>
      </c>
      <c r="R93" s="2072">
        <f>INDEX(MO_BS_TA,0,COLUMN())</f>
        <v/>
      </c>
      <c r="S93" s="2072">
        <f>INDEX(MO_BS_TA,0,COLUMN())</f>
        <v/>
      </c>
      <c r="T93" s="2072">
        <f>INDEX(MO_BS_TA,0,COLUMN())</f>
        <v/>
      </c>
      <c r="U93" s="2087">
        <f>INDEX(MO_BS_TA,0,COLUMN())</f>
        <v/>
      </c>
      <c r="V93" s="2072">
        <f>INDEX(MO_BS_TA,0,COLUMN())</f>
        <v/>
      </c>
      <c r="W93" s="2072">
        <f>INDEX(MO_BS_TA,0,COLUMN())</f>
        <v/>
      </c>
      <c r="X93" s="2072">
        <f>INDEX(MO_BS_TA,0,COLUMN())</f>
        <v/>
      </c>
      <c r="Y93" s="2072">
        <f>INDEX(MO_BS_TA,0,COLUMN())</f>
        <v/>
      </c>
      <c r="Z93" s="2087">
        <f>INDEX(MO_BS_TA,0,COLUMN())</f>
        <v/>
      </c>
      <c r="AA93" s="2072">
        <f>INDEX(MO_BS_TA,0,COLUMN())</f>
        <v/>
      </c>
      <c r="AB93" s="2072">
        <f>INDEX(MO_BS_TA,0,COLUMN())</f>
        <v/>
      </c>
      <c r="AC93" s="2072">
        <f>INDEX(MO_BS_TA,0,COLUMN())</f>
        <v/>
      </c>
      <c r="AD93" s="2072">
        <f>INDEX(MO_BS_TA,0,COLUMN())</f>
        <v/>
      </c>
      <c r="AE93" s="2087">
        <f>INDEX(MO_BS_TA,0,COLUMN())</f>
        <v/>
      </c>
      <c r="AF93" s="2072">
        <f>INDEX(MO_BS_TA,0,COLUMN())</f>
        <v/>
      </c>
      <c r="AG93" s="2072">
        <f>INDEX(MO_BS_TA,0,COLUMN())</f>
        <v/>
      </c>
      <c r="AH93" s="2072">
        <f>INDEX(MO_BS_TA,0,COLUMN())</f>
        <v/>
      </c>
      <c r="AI93" s="2072">
        <f>INDEX(MO_BS_TA,0,COLUMN())</f>
        <v/>
      </c>
      <c r="AJ93" s="2087">
        <f>INDEX(MO_BS_TA,0,COLUMN())</f>
        <v/>
      </c>
      <c r="AK93" s="2072">
        <f>INDEX(MO_BS_TA,0,COLUMN())</f>
        <v/>
      </c>
      <c r="AL93" s="2072">
        <f>INDEX(MO_BS_TA,0,COLUMN())</f>
        <v/>
      </c>
      <c r="AM93" s="2072">
        <f>INDEX(MO_BS_TA,0,COLUMN())</f>
        <v/>
      </c>
      <c r="AN93" s="2072">
        <f>INDEX(MO_BS_TA,0,COLUMN())</f>
        <v/>
      </c>
      <c r="AO93" s="2087">
        <f>INDEX(MO_BS_TA,0,COLUMN())</f>
        <v/>
      </c>
      <c r="AP93" s="2072">
        <f>INDEX(MO_BS_TA,0,COLUMN())</f>
        <v/>
      </c>
      <c r="AQ93" s="2072">
        <f>INDEX(MO_BS_TA,0,COLUMN())</f>
        <v/>
      </c>
      <c r="AR93" s="2072">
        <f>INDEX(MO_BS_TA,0,COLUMN())</f>
        <v/>
      </c>
      <c r="AS93" s="2072">
        <f>INDEX(MO_BS_TA,0,COLUMN())</f>
        <v/>
      </c>
      <c r="AT93" s="2087">
        <f>INDEX(MO_BS_TA,0,COLUMN())</f>
        <v/>
      </c>
      <c r="AU93" s="2072">
        <f>INDEX(MO_BS_TA,0,COLUMN())</f>
        <v/>
      </c>
      <c r="AV93" s="2072">
        <f>INDEX(MO_BS_TA,0,COLUMN())</f>
        <v/>
      </c>
      <c r="AW93" s="2072">
        <f>INDEX(MO_BS_TA,0,COLUMN())</f>
        <v/>
      </c>
      <c r="AX93" s="2072">
        <f>INDEX(MO_BS_TA,0,COLUMN())</f>
        <v/>
      </c>
      <c r="AY93" s="2087">
        <f>INDEX(MO_BS_TA,0,COLUMN())</f>
        <v/>
      </c>
      <c r="AZ93" s="2072">
        <f>INDEX(MO_BS_TA,0,COLUMN())</f>
        <v/>
      </c>
      <c r="BA93" s="2072">
        <f>INDEX(MO_BS_TA,0,COLUMN())</f>
        <v/>
      </c>
      <c r="BB93" s="2072">
        <f>INDEX(MO_BS_TA,0,COLUMN())</f>
        <v/>
      </c>
      <c r="BC93" s="2072">
        <f>INDEX(MO_BS_TA,0,COLUMN())</f>
        <v/>
      </c>
      <c r="BD93" s="2087">
        <f>INDEX(MO_BS_TA,0,COLUMN())</f>
        <v/>
      </c>
      <c r="BE93" s="2072">
        <f>INDEX(MO_BS_TA,0,COLUMN())</f>
        <v/>
      </c>
      <c r="BF93" s="2072">
        <f>INDEX(MO_BS_TA,0,COLUMN())</f>
        <v/>
      </c>
      <c r="BG93" s="2072">
        <f>INDEX(MO_BS_TA,0,COLUMN())</f>
        <v/>
      </c>
      <c r="BH93" s="2072">
        <f>INDEX(MO_BS_TA,0,COLUMN())</f>
        <v/>
      </c>
      <c r="BI93" s="2087">
        <f>INDEX(MO_BS_TA,0,COLUMN())</f>
        <v/>
      </c>
      <c r="BJ93" s="2072">
        <f>INDEX(MO_BS_TA,0,COLUMN())</f>
        <v/>
      </c>
      <c r="BK93" s="2072">
        <f>INDEX(MO_BS_TA,0,COLUMN())</f>
        <v/>
      </c>
      <c r="BL93" s="2072">
        <f>INDEX(MO_BS_TA,0,COLUMN())</f>
        <v/>
      </c>
      <c r="BM93" s="2072">
        <f>INDEX(MO_BS_TA,0,COLUMN())</f>
        <v/>
      </c>
      <c r="BN93" s="2087">
        <f>INDEX(MO_BS_TA,0,COLUMN())</f>
        <v/>
      </c>
      <c r="BO93" s="2072">
        <f>INDEX(MO_BS_TA,0,COLUMN())</f>
        <v/>
      </c>
      <c r="BP93" s="2072">
        <f>INDEX(MO_BS_TA,0,COLUMN())</f>
        <v/>
      </c>
      <c r="BQ93" s="2073">
        <f>INDEX(MO_BS_TA,0,COLUMN())</f>
        <v/>
      </c>
      <c r="BR93" s="2072">
        <f>INDEX(MO_BS_TA,0,COLUMN())</f>
        <v/>
      </c>
      <c r="BS93" s="2087">
        <f>INDEX(MO_BS_TA,0,COLUMN())</f>
        <v/>
      </c>
      <c r="BT93" s="2072">
        <f>INDEX(MO_BS_TA,0,COLUMN())</f>
        <v/>
      </c>
      <c r="BU93" s="2072">
        <f>INDEX(MO_BS_TA,0,COLUMN())</f>
        <v/>
      </c>
      <c r="BV93" s="2072">
        <f>INDEX(MO_BS_TA,0,COLUMN())</f>
        <v/>
      </c>
      <c r="BW93" s="2072">
        <f>INDEX(MO_BS_TA,0,COLUMN())</f>
        <v/>
      </c>
      <c r="BX93" s="2087">
        <f>INDEX(MO_BS_TA,0,COLUMN())</f>
        <v/>
      </c>
      <c r="BY93" s="2087">
        <f>INDEX(MO_BS_TA,0,COLUMN())</f>
        <v/>
      </c>
      <c r="BZ93" s="2087">
        <f>INDEX(MO_BS_TA,0,COLUMN())</f>
        <v/>
      </c>
      <c r="CA93" s="2087">
        <f>INDEX(MO_BS_TA,0,COLUMN())</f>
        <v/>
      </c>
      <c r="CB93" s="2072" t="n"/>
    </row>
    <row r="94" hidden="1" outlineLevel="1" ht="15" customHeight="1" s="972">
      <c r="A94" s="1593" t="inlineStr">
        <is>
          <t>Average Total Assets</t>
        </is>
      </c>
      <c r="B94" s="2200" t="n"/>
      <c r="C94" s="2087">
        <f>C93</f>
        <v/>
      </c>
      <c r="D94" s="2087">
        <f>AVERAGE(D93,C93)</f>
        <v/>
      </c>
      <c r="E94" s="2087">
        <f>AVERAGE(E93,D93)</f>
        <v/>
      </c>
      <c r="F94" s="2087">
        <f>AVERAGE(F93,E93)</f>
        <v/>
      </c>
      <c r="G94" s="2072" t="n"/>
      <c r="H94" s="2072" t="n"/>
      <c r="I94" s="2072" t="n"/>
      <c r="J94" s="2072">
        <f>AVERAGE(J93,I93,H93,G93)</f>
        <v/>
      </c>
      <c r="K94" s="2087">
        <f>AVERAGE(K93,F93)</f>
        <v/>
      </c>
      <c r="L94" s="2072">
        <f>AVERAGE(L93,J93,I93,H93)</f>
        <v/>
      </c>
      <c r="M94" s="2072">
        <f>AVERAGE(M93,L93,J93,I93)</f>
        <v/>
      </c>
      <c r="N94" s="2072">
        <f>AVERAGE(N93,M93,L93,J93)</f>
        <v/>
      </c>
      <c r="O94" s="2072">
        <f>AVERAGE(O93,N93,M93,L93)</f>
        <v/>
      </c>
      <c r="P94" s="2087">
        <f>AVERAGE(P93,K93)</f>
        <v/>
      </c>
      <c r="Q94" s="2072">
        <f>AVERAGE(Q93,O93,N93,M93)</f>
        <v/>
      </c>
      <c r="R94" s="2072">
        <f>AVERAGE(R93,Q93,O93,N93)</f>
        <v/>
      </c>
      <c r="S94" s="2072">
        <f>AVERAGE(S93,R93,Q93,O93)</f>
        <v/>
      </c>
      <c r="T94" s="2072">
        <f>AVERAGE(T93,S93,R93,Q93)</f>
        <v/>
      </c>
      <c r="U94" s="2087">
        <f>AVERAGE(U93,P93)</f>
        <v/>
      </c>
      <c r="V94" s="2072">
        <f>AVERAGE(V93,T93,S93,R93)</f>
        <v/>
      </c>
      <c r="W94" s="2072">
        <f>AVERAGE(W93,V93,T93,S93)</f>
        <v/>
      </c>
      <c r="X94" s="2072">
        <f>AVERAGE(X93,W93,V93,T93)</f>
        <v/>
      </c>
      <c r="Y94" s="2072">
        <f>AVERAGE(Y93,X93,W93,V93)</f>
        <v/>
      </c>
      <c r="Z94" s="2087">
        <f>AVERAGE(Z93,U93)</f>
        <v/>
      </c>
      <c r="AA94" s="2072">
        <f>AVERAGE(AA93,Y93,X93,W93)</f>
        <v/>
      </c>
      <c r="AB94" s="2072">
        <f>AVERAGE(AB93,AA93,Y93,X93)</f>
        <v/>
      </c>
      <c r="AC94" s="2072">
        <f>AVERAGE(AC93,AB93,AA93,Y93)</f>
        <v/>
      </c>
      <c r="AD94" s="2072">
        <f>AVERAGE(AD93,AC93,AB93,AA93)</f>
        <v/>
      </c>
      <c r="AE94" s="2087">
        <f>AVERAGE(AE93,Z93)</f>
        <v/>
      </c>
      <c r="AF94" s="2072">
        <f>AVERAGE(AF93,AD93,AC93,AB93)</f>
        <v/>
      </c>
      <c r="AG94" s="2072">
        <f>AVERAGE(AG93,AF93,AD93,AC93)</f>
        <v/>
      </c>
      <c r="AH94" s="2072">
        <f>AVERAGE(AH93,AG93,AF93,AD93)</f>
        <v/>
      </c>
      <c r="AI94" s="2072">
        <f>AVERAGE(AI93,AH93,AG93,AF93)</f>
        <v/>
      </c>
      <c r="AJ94" s="2087">
        <f>AVERAGE(AJ93,AE93)</f>
        <v/>
      </c>
      <c r="AK94" s="2072">
        <f>AVERAGE(AK93,AI93,AH93,AG93)</f>
        <v/>
      </c>
      <c r="AL94" s="2072">
        <f>AVERAGE(AL93,AK93,AI93,AH93)</f>
        <v/>
      </c>
      <c r="AM94" s="2072">
        <f>AVERAGE(AM93,AL93,AK93,AI93)</f>
        <v/>
      </c>
      <c r="AN94" s="2072">
        <f>AVERAGE(AN93,AM93,AL93,AK93)</f>
        <v/>
      </c>
      <c r="AO94" s="2087">
        <f>AVERAGE(AO93,AJ93)</f>
        <v/>
      </c>
      <c r="AP94" s="2072">
        <f>AVERAGE(AP93,AN93,AM93,AL93)</f>
        <v/>
      </c>
      <c r="AQ94" s="2072">
        <f>AVERAGE(AQ93,AP93,AN93,AM93)</f>
        <v/>
      </c>
      <c r="AR94" s="2072">
        <f>AVERAGE(AR93,AQ93,AP93,AN93)</f>
        <v/>
      </c>
      <c r="AS94" s="2072">
        <f>AVERAGE(AS93,AR93,AQ93,AP93)</f>
        <v/>
      </c>
      <c r="AT94" s="2087">
        <f>AVERAGE(AT93,AO93)</f>
        <v/>
      </c>
      <c r="AU94" s="2072">
        <f>AVERAGE(AU93,AS93,AR93,AQ93)</f>
        <v/>
      </c>
      <c r="AV94" s="2072">
        <f>AVERAGE(AV93,AU93,AS93,AR93)</f>
        <v/>
      </c>
      <c r="AW94" s="2072">
        <f>AVERAGE(AW93,AV93,AU93,AS93)</f>
        <v/>
      </c>
      <c r="AX94" s="2072">
        <f>AVERAGE(AX93,AW93,AV93,AU93)</f>
        <v/>
      </c>
      <c r="AY94" s="2087">
        <f>AVERAGE(AY93,AT93)</f>
        <v/>
      </c>
      <c r="AZ94" s="2072">
        <f>AVERAGE(AZ93,AX93,AW93,AV93)</f>
        <v/>
      </c>
      <c r="BA94" s="2072">
        <f>AVERAGE(BA93,AZ93,AX93,AW93)</f>
        <v/>
      </c>
      <c r="BB94" s="2072">
        <f>AVERAGE(BB93,BA93,AZ93,AX93)</f>
        <v/>
      </c>
      <c r="BC94" s="2072">
        <f>AVERAGE(BC93,BB93,BA93,AZ93)</f>
        <v/>
      </c>
      <c r="BD94" s="2087">
        <f>AVERAGE(BD93,AY93)</f>
        <v/>
      </c>
      <c r="BE94" s="2072">
        <f>AVERAGE(BE93,BC93,BB93,BA93)</f>
        <v/>
      </c>
      <c r="BF94" s="2072">
        <f>AVERAGE(BF93,BE93,BC93,BB93)</f>
        <v/>
      </c>
      <c r="BG94" s="2072">
        <f>AVERAGE(BG93,BF93,BE93,BC93)</f>
        <v/>
      </c>
      <c r="BH94" s="2072">
        <f>AVERAGE(BH93,BG93,BF93,BE93)</f>
        <v/>
      </c>
      <c r="BI94" s="2087">
        <f>AVERAGE(BI93,BD93)</f>
        <v/>
      </c>
      <c r="BJ94" s="2072">
        <f>AVERAGE(BJ93,BH93,BG93,BF93)</f>
        <v/>
      </c>
      <c r="BK94" s="2072">
        <f>AVERAGE(BK93,BJ93,BH93,BG93)</f>
        <v/>
      </c>
      <c r="BL94" s="2072">
        <f>AVERAGE(BL93,BK93,BJ93,BH93)</f>
        <v/>
      </c>
      <c r="BM94" s="2072">
        <f>AVERAGE(BM93,BL93,BK93,BJ93)</f>
        <v/>
      </c>
      <c r="BN94" s="2087">
        <f>AVERAGE(BN93,BI93)</f>
        <v/>
      </c>
      <c r="BO94" s="2072">
        <f>AVERAGE(BO93,BM93,BL93,BK93)</f>
        <v/>
      </c>
      <c r="BP94" s="2072">
        <f>AVERAGE(BP93,BO93,BM93,BL93)</f>
        <v/>
      </c>
      <c r="BQ94" s="2073">
        <f>AVERAGE(BQ93,BP93,BO93,BM93)</f>
        <v/>
      </c>
      <c r="BR94" s="2072">
        <f>AVERAGE(BR93,BQ93,BP93,BO93)</f>
        <v/>
      </c>
      <c r="BS94" s="2087">
        <f>AVERAGE(BS93,BN93)</f>
        <v/>
      </c>
      <c r="BT94" s="2072">
        <f>AVERAGE(BT93,BR93,BQ93,BP93)</f>
        <v/>
      </c>
      <c r="BU94" s="2072">
        <f>AVERAGE(BU93,BT93,BR93,BQ93)</f>
        <v/>
      </c>
      <c r="BV94" s="2072">
        <f>AVERAGE(BV93,BU93,BT93,BR93)</f>
        <v/>
      </c>
      <c r="BW94" s="2072">
        <f>AVERAGE(BW93,BV93,BU93,BT93)</f>
        <v/>
      </c>
      <c r="BX94" s="2087">
        <f>AVERAGE(BX93,BS93)</f>
        <v/>
      </c>
      <c r="BY94" s="2087">
        <f>AVERAGE(BY93,BX93)</f>
        <v/>
      </c>
      <c r="BZ94" s="2087">
        <f>AVERAGE(BZ93,BY93)</f>
        <v/>
      </c>
      <c r="CA94" s="2087">
        <f>AVERAGE(CA93,BZ93)</f>
        <v/>
      </c>
      <c r="CB94" s="2072" t="n"/>
    </row>
    <row r="95" collapsed="1" ht="15" customFormat="1" customHeight="1" s="2105">
      <c r="A95" s="2226" t="inlineStr">
        <is>
          <t>After-tax ROA</t>
        </is>
      </c>
      <c r="B95" s="2227" t="n"/>
      <c r="C95" s="2228">
        <f>IF(C94&lt;0,"NMF",IF(ABS(C92/C94)&gt;1,"NMF",C92/C94))</f>
        <v/>
      </c>
      <c r="D95" s="2228">
        <f>IF(D94&lt;0,"NMF",IF(ABS(D92/D94)&gt;1,"NMF",D92/D94))</f>
        <v/>
      </c>
      <c r="E95" s="2228">
        <f>IF(E94&lt;0,"NMF",IF(ABS(E92/E94)&gt;1,"NMF",E92/E94))</f>
        <v/>
      </c>
      <c r="F95" s="2228">
        <f>IF(F94&lt;0,"NMF",IF(ABS(F92/F94)&gt;1,"NMF",F92/F94))</f>
        <v/>
      </c>
      <c r="G95" s="2229" t="n"/>
      <c r="H95" s="2229" t="n"/>
      <c r="I95" s="2229" t="n"/>
      <c r="J95" s="2229" t="n"/>
      <c r="K95" s="2228">
        <f>IF(K94&lt;0,"NMF",IF(ABS(K92/K94)&gt;1,"NMF",K92/K94))</f>
        <v/>
      </c>
      <c r="L95" s="2229">
        <f>IF(L94&lt;0,"NMF",IF(ABS(L92/L94)&gt;1,"NMF",L92/L94))</f>
        <v/>
      </c>
      <c r="M95" s="2229">
        <f>IF(M94&lt;0,"NMF",IF(ABS(M92/M94)&gt;1,"NMF",M92/M94))</f>
        <v/>
      </c>
      <c r="N95" s="2229">
        <f>IF(N94&lt;0,"NMF",IF(ABS(N92/N94)&gt;1,"NMF",N92/N94))</f>
        <v/>
      </c>
      <c r="O95" s="2229">
        <f>IF(O94&lt;0,"NMF",IF(ABS(O92/O94)&gt;1,"NMF",O92/O94))</f>
        <v/>
      </c>
      <c r="P95" s="2228">
        <f>IF(P94&lt;0,"NMF",IF(ABS(P92/P94)&gt;1,"NMF",P92/P94))</f>
        <v/>
      </c>
      <c r="Q95" s="2229">
        <f>IF(Q94&lt;0,"NMF",IF(ABS(Q92/Q94)&gt;1,"NMF",Q92/Q94))</f>
        <v/>
      </c>
      <c r="R95" s="2229">
        <f>IF(R94&lt;0,"NMF",IF(ABS(R92/R94)&gt;1,"NMF",R92/R94))</f>
        <v/>
      </c>
      <c r="S95" s="2229">
        <f>IF(S94&lt;0,"NMF",IF(ABS(S92/S94)&gt;1,"NMF",S92/S94))</f>
        <v/>
      </c>
      <c r="T95" s="2229">
        <f>IF(T94&lt;0,"NMF",IF(ABS(T92/T94)&gt;1,"NMF",T92/T94))</f>
        <v/>
      </c>
      <c r="U95" s="2228">
        <f>IF(U94&lt;0,"NMF",IF(ABS(U92/U94)&gt;1,"NMF",U92/U94))</f>
        <v/>
      </c>
      <c r="V95" s="2229">
        <f>IF(V94&lt;0,"NMF",IF(ABS(V92/V94)&gt;1,"NMF",V92/V94))</f>
        <v/>
      </c>
      <c r="W95" s="2229">
        <f>IF(W94&lt;0,"NMF",IF(ABS(W92/W94)&gt;1,"NMF",W92/W94))</f>
        <v/>
      </c>
      <c r="X95" s="2229">
        <f>IF(X94&lt;0,"NMF",IF(ABS(X92/X94)&gt;1,"NMF",X92/X94))</f>
        <v/>
      </c>
      <c r="Y95" s="2229">
        <f>IF(Y94&lt;0,"NMF",IF(ABS(Y92/Y94)&gt;1,"NMF",Y92/Y94))</f>
        <v/>
      </c>
      <c r="Z95" s="2228">
        <f>IF(Z94&lt;0,"NMF",IF(ABS(Z92/Z94)&gt;1,"NMF",Z92/Z94))</f>
        <v/>
      </c>
      <c r="AA95" s="2229">
        <f>IF(AA94&lt;0,"NMF",IF(ABS(AA92/AA94)&gt;1,"NMF",AA92/AA94))</f>
        <v/>
      </c>
      <c r="AB95" s="2229">
        <f>IF(AB94&lt;0,"NMF",IF(ABS(AB92/AB94)&gt;1,"NMF",AB92/AB94))</f>
        <v/>
      </c>
      <c r="AC95" s="2229">
        <f>IF(AC94&lt;0,"NMF",IF(ABS(AC92/AC94)&gt;1,"NMF",AC92/AC94))</f>
        <v/>
      </c>
      <c r="AD95" s="2229">
        <f>IF(AD94&lt;0,"NMF",IF(ABS(AD92/AD94)&gt;1,"NMF",AD92/AD94))</f>
        <v/>
      </c>
      <c r="AE95" s="2228">
        <f>IF(AE94&lt;0,"NMF",IF(ABS(AE92/AE94)&gt;1,"NMF",AE92/AE94))</f>
        <v/>
      </c>
      <c r="AF95" s="2229">
        <f>IF(AF94&lt;0,"NMF",IF(ABS(AF92/AF94)&gt;1,"NMF",AF92/AF94))</f>
        <v/>
      </c>
      <c r="AG95" s="2229">
        <f>IF(AG94&lt;0,"NMF",IF(ABS(AG92/AG94)&gt;1,"NMF",AG92/AG94))</f>
        <v/>
      </c>
      <c r="AH95" s="2229">
        <f>IF(AH94&lt;0,"NMF",IF(ABS(AH92/AH94)&gt;1,"NMF",AH92/AH94))</f>
        <v/>
      </c>
      <c r="AI95" s="2229">
        <f>IF(AI94&lt;0,"NMF",IF(ABS(AI92/AI94)&gt;1,"NMF",AI92/AI94))</f>
        <v/>
      </c>
      <c r="AJ95" s="2228">
        <f>IF(AJ94&lt;0,"NMF",IF(ABS(AJ92/AJ94)&gt;1,"NMF",AJ92/AJ94))</f>
        <v/>
      </c>
      <c r="AK95" s="2229">
        <f>IF(AK94&lt;0,"NMF",IF(ABS(AK92/AK94)&gt;1,"NMF",AK92/AK94))</f>
        <v/>
      </c>
      <c r="AL95" s="2229">
        <f>IF(AL94&lt;0,"NMF",IF(ABS(AL92/AL94)&gt;1,"NMF",AL92/AL94))</f>
        <v/>
      </c>
      <c r="AM95" s="2229">
        <f>IF(AM94&lt;0,"NMF",IF(ABS(AM92/AM94)&gt;1,"NMF",AM92/AM94))</f>
        <v/>
      </c>
      <c r="AN95" s="2229">
        <f>IF(AN94&lt;0,"NMF",IF(ABS(AN92/AN94)&gt;1,"NMF",AN92/AN94))</f>
        <v/>
      </c>
      <c r="AO95" s="2228">
        <f>IF(AO94&lt;0,"NMF",IF(ABS(AO92/AO94)&gt;1,"NMF",AO92/AO94))</f>
        <v/>
      </c>
      <c r="AP95" s="2229">
        <f>IF(AP94&lt;0,"NMF",IF(ABS(AP92/AP94)&gt;1,"NMF",AP92/AP94))</f>
        <v/>
      </c>
      <c r="AQ95" s="2229">
        <f>IF(AQ94&lt;0,"NMF",IF(ABS(AQ92/AQ94)&gt;1,"NMF",AQ92/AQ94))</f>
        <v/>
      </c>
      <c r="AR95" s="2229">
        <f>IF(AR94&lt;0,"NMF",IF(ABS(AR92/AR94)&gt;1,"NMF",AR92/AR94))</f>
        <v/>
      </c>
      <c r="AS95" s="2229">
        <f>IF(AS94&lt;0,"NMF",IF(ABS(AS92/AS94)&gt;1,"NMF",AS92/AS94))</f>
        <v/>
      </c>
      <c r="AT95" s="2228">
        <f>IF(AT94&lt;0,"NMF",IF(ABS(AT92/AT94)&gt;1,"NMF",AT92/AT94))</f>
        <v/>
      </c>
      <c r="AU95" s="2229">
        <f>IF(AU94&lt;0,"NMF",IF(ABS(AU92/AU94)&gt;1,"NMF",AU92/AU94))</f>
        <v/>
      </c>
      <c r="AV95" s="2229">
        <f>IF(AV94&lt;0,"NMF",IF(ABS(AV92/AV94)&gt;1,"NMF",AV92/AV94))</f>
        <v/>
      </c>
      <c r="AW95" s="2229">
        <f>IF(AW94&lt;0,"NMF",IF(ABS(AW92/AW94)&gt;1,"NMF",AW92/AW94))</f>
        <v/>
      </c>
      <c r="AX95" s="2229">
        <f>IF(AX94&lt;0,"NMF",IF(ABS(AX92/AX94)&gt;1,"NMF",AX92/AX94))</f>
        <v/>
      </c>
      <c r="AY95" s="2228">
        <f>IF(AY94&lt;0,"NMF",IF(ABS(AY92/AY94)&gt;1,"NMF",AY92/AY94))</f>
        <v/>
      </c>
      <c r="AZ95" s="2229">
        <f>IF(AZ94&lt;0,"NMF",IF(ABS(AZ92/AZ94)&gt;1,"NMF",AZ92/AZ94))</f>
        <v/>
      </c>
      <c r="BA95" s="2229">
        <f>IF(BA94&lt;0,"NMF",IF(ABS(BA92/BA94)&gt;1,"NMF",BA92/BA94))</f>
        <v/>
      </c>
      <c r="BB95" s="2229">
        <f>IF(BB94&lt;0,"NMF",IF(ABS(BB92/BB94)&gt;1,"NMF",BB92/BB94))</f>
        <v/>
      </c>
      <c r="BC95" s="2229">
        <f>IF(BC94&lt;0,"NMF",IF(ABS(BC92/BC94)&gt;1,"NMF",BC92/BC94))</f>
        <v/>
      </c>
      <c r="BD95" s="2228">
        <f>IF(BD94&lt;0,"NMF",IF(ABS(BD92/BD94)&gt;1,"NMF",BD92/BD94))</f>
        <v/>
      </c>
      <c r="BE95" s="2229">
        <f>IF(BE94&lt;0,"NMF",IF(ABS(BE92/BE94)&gt;1,"NMF",BE92/BE94))</f>
        <v/>
      </c>
      <c r="BF95" s="2229">
        <f>IF(BF94&lt;0,"NMF",IF(ABS(BF92/BF94)&gt;1,"NMF",BF92/BF94))</f>
        <v/>
      </c>
      <c r="BG95" s="2229">
        <f>IF(BG94&lt;0,"NMF",IF(ABS(BG92/BG94)&gt;1,"NMF",BG92/BG94))</f>
        <v/>
      </c>
      <c r="BH95" s="2229">
        <f>IF(BH94&lt;0,"NMF",IF(ABS(BH92/BH94)&gt;1,"NMF",BH92/BH94))</f>
        <v/>
      </c>
      <c r="BI95" s="2228">
        <f>IF(BI94&lt;0,"NMF",IF(ABS(BI92/BI94)&gt;1,"NMF",BI92/BI94))</f>
        <v/>
      </c>
      <c r="BJ95" s="2229">
        <f>IF(BJ94&lt;0,"NMF",IF(ABS(BJ92/BJ94)&gt;1,"NMF",BJ92/BJ94))</f>
        <v/>
      </c>
      <c r="BK95" s="2229">
        <f>IF(BK94&lt;0,"NMF",IF(ABS(BK92/BK94)&gt;1,"NMF",BK92/BK94))</f>
        <v/>
      </c>
      <c r="BL95" s="2229">
        <f>IF(BL94&lt;0,"NMF",IF(ABS(BL92/BL94)&gt;1,"NMF",BL92/BL94))</f>
        <v/>
      </c>
      <c r="BM95" s="2229">
        <f>IF(BM94&lt;0,"NMF",IF(ABS(BM92/BM94)&gt;1,"NMF",BM92/BM94))</f>
        <v/>
      </c>
      <c r="BN95" s="2228">
        <f>IF(BN94&lt;0,"NMF",IF(ABS(BN92/BN94)&gt;1,"NMF",BN92/BN94))</f>
        <v/>
      </c>
      <c r="BO95" s="2229">
        <f>IF(BO94&lt;0,"NMF",IF(ABS(BO92/BO94)&gt;1,"NMF",BO92/BO94))</f>
        <v/>
      </c>
      <c r="BP95" s="2229">
        <f>IF(BP94&lt;0,"NMF",IF(ABS(BP92/BP94)&gt;1,"NMF",BP92/BP94))</f>
        <v/>
      </c>
      <c r="BQ95" s="2230">
        <f>IF(BQ94&lt;0,"NMF",IF(ABS(BQ92/BQ94)&gt;1,"NMF",BQ92/BQ94))</f>
        <v/>
      </c>
      <c r="BR95" s="2229">
        <f>IF(BR94&lt;0,"NMF",IF(ABS(BR92/BR94)&gt;1,"NMF",BR92/BR94))</f>
        <v/>
      </c>
      <c r="BS95" s="2228">
        <f>IF(BS94&lt;0,"NMF",IF(ABS(BS92/BS94)&gt;1,"NMF",BS92/BS94))</f>
        <v/>
      </c>
      <c r="BT95" s="2229">
        <f>IF(BT94&lt;0,"NMF",IF(ABS(BT92/BT94)&gt;1,"NMF",BT92/BT94))</f>
        <v/>
      </c>
      <c r="BU95" s="2229">
        <f>IF(BU94&lt;0,"NMF",IF(ABS(BU92/BU94)&gt;1,"NMF",BU92/BU94))</f>
        <v/>
      </c>
      <c r="BV95" s="2229">
        <f>IF(BV94&lt;0,"NMF",IF(ABS(BV92/BV94)&gt;1,"NMF",BV92/BV94))</f>
        <v/>
      </c>
      <c r="BW95" s="2229">
        <f>IF(BW94&lt;0,"NMF",IF(ABS(BW92/BW94)&gt;1,"NMF",BW92/BW94))</f>
        <v/>
      </c>
      <c r="BX95" s="2228">
        <f>IF(BX94&lt;0,"NMF",IF(ABS(BX92/BX94)&gt;1,"NMF",BX92/BX94))</f>
        <v/>
      </c>
      <c r="BY95" s="2228">
        <f>IF(BY94&lt;0,"NMF",IF(ABS(BY92/BY94)&gt;1,"NMF",BY92/BY94))</f>
        <v/>
      </c>
      <c r="BZ95" s="2228">
        <f>IF(BZ94&lt;0,"NMF",IF(ABS(BZ92/BZ94)&gt;1,"NMF",BZ92/BZ94))</f>
        <v/>
      </c>
      <c r="CA95" s="2228">
        <f>IF(CA94&lt;0,"NMF",IF(ABS(CA92/CA94)&gt;1,"NMF",CA92/CA94))</f>
        <v/>
      </c>
      <c r="CB95" s="2111" t="n"/>
    </row>
    <row r="96" hidden="1" outlineLevel="1" ht="15" customHeight="1" s="972">
      <c r="A96" s="1593" t="inlineStr">
        <is>
          <t>Total Debt</t>
        </is>
      </c>
      <c r="B96" s="2200" t="n"/>
      <c r="C96" s="2087">
        <f>INDEX(MO_BSS_Debt_Net,0,COLUMN())+INDEX(MO_BSS_Cash,0,COLUMN())</f>
        <v/>
      </c>
      <c r="D96" s="2087">
        <f>INDEX(MO_BSS_Debt_Net,0,COLUMN())+INDEX(MO_BSS_Cash,0,COLUMN())</f>
        <v/>
      </c>
      <c r="E96" s="2087">
        <f>INDEX(MO_BSS_Debt_Net,0,COLUMN())+INDEX(MO_BSS_Cash,0,COLUMN())</f>
        <v/>
      </c>
      <c r="F96" s="2087">
        <f>INDEX(MO_BSS_Debt_Net,0,COLUMN())+INDEX(MO_BSS_Cash,0,COLUMN())</f>
        <v/>
      </c>
      <c r="G96" s="2072">
        <f>INDEX(MO_BSS_Debt_Net,0,COLUMN())+INDEX(MO_BSS_Cash,0,COLUMN())</f>
        <v/>
      </c>
      <c r="H96" s="2072">
        <f>INDEX(MO_BSS_Debt_Net,0,COLUMN())+INDEX(MO_BSS_Cash,0,COLUMN())</f>
        <v/>
      </c>
      <c r="I96" s="2072">
        <f>INDEX(MO_BSS_Debt_Net,0,COLUMN())+INDEX(MO_BSS_Cash,0,COLUMN())</f>
        <v/>
      </c>
      <c r="J96" s="2072">
        <f>INDEX(MO_BSS_Debt_Net,0,COLUMN())+INDEX(MO_BSS_Cash,0,COLUMN())</f>
        <v/>
      </c>
      <c r="K96" s="2087">
        <f>INDEX(MO_BSS_Debt_Net,0,COLUMN())+INDEX(MO_BSS_Cash,0,COLUMN())</f>
        <v/>
      </c>
      <c r="L96" s="2072">
        <f>INDEX(MO_BSS_Debt_Net,0,COLUMN())+INDEX(MO_BSS_Cash,0,COLUMN())</f>
        <v/>
      </c>
      <c r="M96" s="2072">
        <f>INDEX(MO_BSS_Debt_Net,0,COLUMN())+INDEX(MO_BSS_Cash,0,COLUMN())</f>
        <v/>
      </c>
      <c r="N96" s="2072">
        <f>INDEX(MO_BSS_Debt_Net,0,COLUMN())+INDEX(MO_BSS_Cash,0,COLUMN())</f>
        <v/>
      </c>
      <c r="O96" s="2072">
        <f>INDEX(MO_BSS_Debt_Net,0,COLUMN())+INDEX(MO_BSS_Cash,0,COLUMN())</f>
        <v/>
      </c>
      <c r="P96" s="2087">
        <f>INDEX(MO_BSS_Debt_Net,0,COLUMN())+INDEX(MO_BSS_Cash,0,COLUMN())</f>
        <v/>
      </c>
      <c r="Q96" s="2072">
        <f>INDEX(MO_BSS_Debt_Net,0,COLUMN())+INDEX(MO_BSS_Cash,0,COLUMN())</f>
        <v/>
      </c>
      <c r="R96" s="2072">
        <f>INDEX(MO_BSS_Debt_Net,0,COLUMN())+INDEX(MO_BSS_Cash,0,COLUMN())</f>
        <v/>
      </c>
      <c r="S96" s="2072">
        <f>INDEX(MO_BSS_Debt_Net,0,COLUMN())+INDEX(MO_BSS_Cash,0,COLUMN())</f>
        <v/>
      </c>
      <c r="T96" s="2072">
        <f>INDEX(MO_BSS_Debt_Net,0,COLUMN())+INDEX(MO_BSS_Cash,0,COLUMN())</f>
        <v/>
      </c>
      <c r="U96" s="2087">
        <f>INDEX(MO_BSS_Debt_Net,0,COLUMN())+INDEX(MO_BSS_Cash,0,COLUMN())</f>
        <v/>
      </c>
      <c r="V96" s="2072">
        <f>INDEX(MO_BSS_Debt_Net,0,COLUMN())+INDEX(MO_BSS_Cash,0,COLUMN())</f>
        <v/>
      </c>
      <c r="W96" s="2072">
        <f>INDEX(MO_BSS_Debt_Net,0,COLUMN())+INDEX(MO_BSS_Cash,0,COLUMN())</f>
        <v/>
      </c>
      <c r="X96" s="2072">
        <f>INDEX(MO_BSS_Debt_Net,0,COLUMN())+INDEX(MO_BSS_Cash,0,COLUMN())</f>
        <v/>
      </c>
      <c r="Y96" s="2072">
        <f>INDEX(MO_BSS_Debt_Net,0,COLUMN())+INDEX(MO_BSS_Cash,0,COLUMN())</f>
        <v/>
      </c>
      <c r="Z96" s="2087">
        <f>INDEX(MO_BSS_Debt_Net,0,COLUMN())+INDEX(MO_BSS_Cash,0,COLUMN())</f>
        <v/>
      </c>
      <c r="AA96" s="2072">
        <f>INDEX(MO_BSS_Debt_Net,0,COLUMN())+INDEX(MO_BSS_Cash,0,COLUMN())</f>
        <v/>
      </c>
      <c r="AB96" s="2072">
        <f>INDEX(MO_BSS_Debt_Net,0,COLUMN())+INDEX(MO_BSS_Cash,0,COLUMN())</f>
        <v/>
      </c>
      <c r="AC96" s="2072">
        <f>INDEX(MO_BSS_Debt_Net,0,COLUMN())+INDEX(MO_BSS_Cash,0,COLUMN())</f>
        <v/>
      </c>
      <c r="AD96" s="2072">
        <f>INDEX(MO_BSS_Debt_Net,0,COLUMN())+INDEX(MO_BSS_Cash,0,COLUMN())</f>
        <v/>
      </c>
      <c r="AE96" s="2087">
        <f>INDEX(MO_BSS_Debt_Net,0,COLUMN())+INDEX(MO_BSS_Cash,0,COLUMN())</f>
        <v/>
      </c>
      <c r="AF96" s="2072">
        <f>INDEX(MO_BSS_Debt_Net,0,COLUMN())+INDEX(MO_BSS_Cash,0,COLUMN())</f>
        <v/>
      </c>
      <c r="AG96" s="2072">
        <f>INDEX(MO_BSS_Debt_Net,0,COLUMN())+INDEX(MO_BSS_Cash,0,COLUMN())</f>
        <v/>
      </c>
      <c r="AH96" s="2072">
        <f>INDEX(MO_BSS_Debt_Net,0,COLUMN())+INDEX(MO_BSS_Cash,0,COLUMN())</f>
        <v/>
      </c>
      <c r="AI96" s="2072">
        <f>INDEX(MO_BSS_Debt_Net,0,COLUMN())+INDEX(MO_BSS_Cash,0,COLUMN())</f>
        <v/>
      </c>
      <c r="AJ96" s="2087">
        <f>INDEX(MO_BSS_Debt_Net,0,COLUMN())+INDEX(MO_BSS_Cash,0,COLUMN())</f>
        <v/>
      </c>
      <c r="AK96" s="2072">
        <f>INDEX(MO_BSS_Debt_Net,0,COLUMN())+INDEX(MO_BSS_Cash,0,COLUMN())</f>
        <v/>
      </c>
      <c r="AL96" s="2072">
        <f>INDEX(MO_BSS_Debt_Net,0,COLUMN())+INDEX(MO_BSS_Cash,0,COLUMN())</f>
        <v/>
      </c>
      <c r="AM96" s="2072">
        <f>INDEX(MO_BSS_Debt_Net,0,COLUMN())+INDEX(MO_BSS_Cash,0,COLUMN())</f>
        <v/>
      </c>
      <c r="AN96" s="2072">
        <f>INDEX(MO_BSS_Debt_Net,0,COLUMN())+INDEX(MO_BSS_Cash,0,COLUMN())</f>
        <v/>
      </c>
      <c r="AO96" s="2087">
        <f>INDEX(MO_BSS_Debt_Net,0,COLUMN())+INDEX(MO_BSS_Cash,0,COLUMN())</f>
        <v/>
      </c>
      <c r="AP96" s="2072">
        <f>INDEX(MO_BSS_Debt_Net,0,COLUMN())+INDEX(MO_BSS_Cash,0,COLUMN())</f>
        <v/>
      </c>
      <c r="AQ96" s="2072">
        <f>INDEX(MO_BSS_Debt_Net,0,COLUMN())+INDEX(MO_BSS_Cash,0,COLUMN())</f>
        <v/>
      </c>
      <c r="AR96" s="2072">
        <f>INDEX(MO_BSS_Debt_Net,0,COLUMN())+INDEX(MO_BSS_Cash,0,COLUMN())</f>
        <v/>
      </c>
      <c r="AS96" s="2072">
        <f>INDEX(MO_BSS_Debt_Net,0,COLUMN())+INDEX(MO_BSS_Cash,0,COLUMN())</f>
        <v/>
      </c>
      <c r="AT96" s="2087">
        <f>INDEX(MO_BSS_Debt_Net,0,COLUMN())+INDEX(MO_BSS_Cash,0,COLUMN())</f>
        <v/>
      </c>
      <c r="AU96" s="2072">
        <f>INDEX(MO_BSS_Debt_Net,0,COLUMN())+INDEX(MO_BSS_Cash,0,COLUMN())</f>
        <v/>
      </c>
      <c r="AV96" s="2072">
        <f>INDEX(MO_BSS_Debt_Net,0,COLUMN())+INDEX(MO_BSS_Cash,0,COLUMN())</f>
        <v/>
      </c>
      <c r="AW96" s="2072">
        <f>INDEX(MO_BSS_Debt_Net,0,COLUMN())+INDEX(MO_BSS_Cash,0,COLUMN())</f>
        <v/>
      </c>
      <c r="AX96" s="2072">
        <f>INDEX(MO_BSS_Debt_Net,0,COLUMN())+INDEX(MO_BSS_Cash,0,COLUMN())</f>
        <v/>
      </c>
      <c r="AY96" s="2087">
        <f>INDEX(MO_BSS_Debt_Net,0,COLUMN())+INDEX(MO_BSS_Cash,0,COLUMN())</f>
        <v/>
      </c>
      <c r="AZ96" s="2072">
        <f>INDEX(MO_BSS_Debt_Net,0,COLUMN())+INDEX(MO_BSS_Cash,0,COLUMN())</f>
        <v/>
      </c>
      <c r="BA96" s="2072">
        <f>INDEX(MO_BSS_Debt_Net,0,COLUMN())+INDEX(MO_BSS_Cash,0,COLUMN())</f>
        <v/>
      </c>
      <c r="BB96" s="2072">
        <f>INDEX(MO_BSS_Debt_Net,0,COLUMN())+INDEX(MO_BSS_Cash,0,COLUMN())</f>
        <v/>
      </c>
      <c r="BC96" s="2072">
        <f>INDEX(MO_BSS_Debt_Net,0,COLUMN())+INDEX(MO_BSS_Cash,0,COLUMN())</f>
        <v/>
      </c>
      <c r="BD96" s="2087">
        <f>INDEX(MO_BSS_Debt_Net,0,COLUMN())+INDEX(MO_BSS_Cash,0,COLUMN())</f>
        <v/>
      </c>
      <c r="BE96" s="2072">
        <f>INDEX(MO_BSS_Debt_Net,0,COLUMN())+INDEX(MO_BSS_Cash,0,COLUMN())</f>
        <v/>
      </c>
      <c r="BF96" s="2072">
        <f>INDEX(MO_BSS_Debt_Net,0,COLUMN())+INDEX(MO_BSS_Cash,0,COLUMN())</f>
        <v/>
      </c>
      <c r="BG96" s="2072">
        <f>INDEX(MO_BSS_Debt_Net,0,COLUMN())+INDEX(MO_BSS_Cash,0,COLUMN())</f>
        <v/>
      </c>
      <c r="BH96" s="2072">
        <f>INDEX(MO_BSS_Debt_Net,0,COLUMN())+INDEX(MO_BSS_Cash,0,COLUMN())</f>
        <v/>
      </c>
      <c r="BI96" s="2087">
        <f>INDEX(MO_BSS_Debt_Net,0,COLUMN())+INDEX(MO_BSS_Cash,0,COLUMN())</f>
        <v/>
      </c>
      <c r="BJ96" s="2072">
        <f>INDEX(MO_BSS_Debt_Net,0,COLUMN())+INDEX(MO_BSS_Cash,0,COLUMN())</f>
        <v/>
      </c>
      <c r="BK96" s="2072">
        <f>INDEX(MO_BSS_Debt_Net,0,COLUMN())+INDEX(MO_BSS_Cash,0,COLUMN())</f>
        <v/>
      </c>
      <c r="BL96" s="2072">
        <f>INDEX(MO_BSS_Debt_Net,0,COLUMN())+INDEX(MO_BSS_Cash,0,COLUMN())</f>
        <v/>
      </c>
      <c r="BM96" s="2072">
        <f>INDEX(MO_BSS_Debt_Net,0,COLUMN())+INDEX(MO_BSS_Cash,0,COLUMN())</f>
        <v/>
      </c>
      <c r="BN96" s="2087">
        <f>INDEX(MO_BSS_Debt_Net,0,COLUMN())+INDEX(MO_BSS_Cash,0,COLUMN())</f>
        <v/>
      </c>
      <c r="BO96" s="2072">
        <f>INDEX(MO_BSS_Debt_Net,0,COLUMN())+INDEX(MO_BSS_Cash,0,COLUMN())</f>
        <v/>
      </c>
      <c r="BP96" s="2072">
        <f>INDEX(MO_BSS_Debt_Net,0,COLUMN())+INDEX(MO_BSS_Cash,0,COLUMN())</f>
        <v/>
      </c>
      <c r="BQ96" s="2073">
        <f>INDEX(MO_BSS_Debt_Net,0,COLUMN())+INDEX(MO_BSS_Cash,0,COLUMN())</f>
        <v/>
      </c>
      <c r="BR96" s="2072">
        <f>INDEX(MO_BSS_Debt_Net,0,COLUMN())+INDEX(MO_BSS_Cash,0,COLUMN())</f>
        <v/>
      </c>
      <c r="BS96" s="2087">
        <f>INDEX(MO_BSS_Debt_Net,0,COLUMN())+INDEX(MO_BSS_Cash,0,COLUMN())</f>
        <v/>
      </c>
      <c r="BT96" s="2072">
        <f>INDEX(MO_BSS_Debt_Net,0,COLUMN())+INDEX(MO_BSS_Cash,0,COLUMN())</f>
        <v/>
      </c>
      <c r="BU96" s="2072">
        <f>INDEX(MO_BSS_Debt_Net,0,COLUMN())+INDEX(MO_BSS_Cash,0,COLUMN())</f>
        <v/>
      </c>
      <c r="BV96" s="2072">
        <f>INDEX(MO_BSS_Debt_Net,0,COLUMN())+INDEX(MO_BSS_Cash,0,COLUMN())</f>
        <v/>
      </c>
      <c r="BW96" s="2072">
        <f>INDEX(MO_BSS_Debt_Net,0,COLUMN())+INDEX(MO_BSS_Cash,0,COLUMN())</f>
        <v/>
      </c>
      <c r="BX96" s="2087">
        <f>INDEX(MO_BSS_Debt_Net,0,COLUMN())+INDEX(MO_BSS_Cash,0,COLUMN())</f>
        <v/>
      </c>
      <c r="BY96" s="2087">
        <f>INDEX(MO_BSS_Debt_Net,0,COLUMN())+INDEX(MO_BSS_Cash,0,COLUMN())</f>
        <v/>
      </c>
      <c r="BZ96" s="2087">
        <f>INDEX(MO_BSS_Debt_Net,0,COLUMN())+INDEX(MO_BSS_Cash,0,COLUMN())</f>
        <v/>
      </c>
      <c r="CA96" s="2087">
        <f>INDEX(MO_BSS_Debt_Net,0,COLUMN())+INDEX(MO_BSS_Cash,0,COLUMN())</f>
        <v/>
      </c>
      <c r="CB96" s="2072" t="n"/>
    </row>
    <row r="97" hidden="1" outlineLevel="1" ht="15" customHeight="1" s="972">
      <c r="A97" s="1593" t="inlineStr">
        <is>
          <t>Average Book Value of Debt</t>
        </is>
      </c>
      <c r="B97" s="2200" t="n"/>
      <c r="C97" s="2087">
        <f>C96</f>
        <v/>
      </c>
      <c r="D97" s="2087">
        <f>AVERAGE(D96,C96)</f>
        <v/>
      </c>
      <c r="E97" s="2087">
        <f>AVERAGE(E96,D96)</f>
        <v/>
      </c>
      <c r="F97" s="2087">
        <f>AVERAGE(F96,E96)</f>
        <v/>
      </c>
      <c r="G97" s="2072" t="n"/>
      <c r="H97" s="2072" t="n"/>
      <c r="I97" s="2072" t="n"/>
      <c r="J97" s="2072">
        <f>AVERAGE(J96,I96,H96,G96)</f>
        <v/>
      </c>
      <c r="K97" s="2087">
        <f>AVERAGE(K96,F96)</f>
        <v/>
      </c>
      <c r="L97" s="2072">
        <f>AVERAGE(L96,J96,I96,H96)</f>
        <v/>
      </c>
      <c r="M97" s="2072">
        <f>AVERAGE(M96,L96,J96,I96)</f>
        <v/>
      </c>
      <c r="N97" s="2072">
        <f>AVERAGE(N96,M96,L96,J96)</f>
        <v/>
      </c>
      <c r="O97" s="2072">
        <f>AVERAGE(O96,N96,M96,L96)</f>
        <v/>
      </c>
      <c r="P97" s="2087">
        <f>AVERAGE(P96,K96)</f>
        <v/>
      </c>
      <c r="Q97" s="2072">
        <f>AVERAGE(Q96,O96,N96,M96)</f>
        <v/>
      </c>
      <c r="R97" s="2072">
        <f>AVERAGE(R96,Q96,O96,N96)</f>
        <v/>
      </c>
      <c r="S97" s="2072">
        <f>AVERAGE(S96,R96,Q96,O96)</f>
        <v/>
      </c>
      <c r="T97" s="2072">
        <f>AVERAGE(T96,S96,R96,Q96)</f>
        <v/>
      </c>
      <c r="U97" s="2087">
        <f>AVERAGE(U96,P96)</f>
        <v/>
      </c>
      <c r="V97" s="2072">
        <f>AVERAGE(V96,T96,S96,R96)</f>
        <v/>
      </c>
      <c r="W97" s="2072">
        <f>AVERAGE(W96,V96,T96,S96)</f>
        <v/>
      </c>
      <c r="X97" s="2072">
        <f>AVERAGE(X96,W96,V96,T96)</f>
        <v/>
      </c>
      <c r="Y97" s="2072">
        <f>AVERAGE(Y96,X96,W96,V96)</f>
        <v/>
      </c>
      <c r="Z97" s="2087">
        <f>AVERAGE(Z96,U96)</f>
        <v/>
      </c>
      <c r="AA97" s="2072">
        <f>AVERAGE(AA96,Y96,X96,W96)</f>
        <v/>
      </c>
      <c r="AB97" s="2072">
        <f>AVERAGE(AB96,AA96,Y96,X96)</f>
        <v/>
      </c>
      <c r="AC97" s="2072">
        <f>AVERAGE(AC96,AB96,AA96,Y96)</f>
        <v/>
      </c>
      <c r="AD97" s="2072">
        <f>AVERAGE(AD96,AC96,AB96,AA96)</f>
        <v/>
      </c>
      <c r="AE97" s="2087">
        <f>AVERAGE(AE96,Z96)</f>
        <v/>
      </c>
      <c r="AF97" s="2072">
        <f>AVERAGE(AF96,AD96,AC96,AB96)</f>
        <v/>
      </c>
      <c r="AG97" s="2072">
        <f>AVERAGE(AG96,AF96,AD96,AC96)</f>
        <v/>
      </c>
      <c r="AH97" s="2072">
        <f>AVERAGE(AH96,AG96,AF96,AD96)</f>
        <v/>
      </c>
      <c r="AI97" s="2072">
        <f>AVERAGE(AI96,AH96,AG96,AF96)</f>
        <v/>
      </c>
      <c r="AJ97" s="2087">
        <f>AVERAGE(AJ96,AE96)</f>
        <v/>
      </c>
      <c r="AK97" s="2072">
        <f>AVERAGE(AK96,AI96,AH96,AG96)</f>
        <v/>
      </c>
      <c r="AL97" s="2072">
        <f>AVERAGE(AL96,AK96,AI96,AH96)</f>
        <v/>
      </c>
      <c r="AM97" s="2072">
        <f>AVERAGE(AM96,AL96,AK96,AI96)</f>
        <v/>
      </c>
      <c r="AN97" s="2072">
        <f>AVERAGE(AN96,AM96,AL96,AK96)</f>
        <v/>
      </c>
      <c r="AO97" s="2087">
        <f>AVERAGE(AO96,AJ96)</f>
        <v/>
      </c>
      <c r="AP97" s="2072">
        <f>AVERAGE(AP96,AN96,AM96,AL96)</f>
        <v/>
      </c>
      <c r="AQ97" s="2072">
        <f>AVERAGE(AQ96,AP96,AN96,AM96)</f>
        <v/>
      </c>
      <c r="AR97" s="2072">
        <f>AVERAGE(AR96,AQ96,AP96,AN96)</f>
        <v/>
      </c>
      <c r="AS97" s="2072">
        <f>AVERAGE(AS96,AR96,AQ96,AP96)</f>
        <v/>
      </c>
      <c r="AT97" s="2087">
        <f>AVERAGE(AT96,AO96)</f>
        <v/>
      </c>
      <c r="AU97" s="2072">
        <f>AVERAGE(AU96,AS96,AR96,AQ96)</f>
        <v/>
      </c>
      <c r="AV97" s="2072">
        <f>AVERAGE(AV96,AU96,AS96,AR96)</f>
        <v/>
      </c>
      <c r="AW97" s="2072">
        <f>AVERAGE(AW96,AV96,AU96,AS96)</f>
        <v/>
      </c>
      <c r="AX97" s="2072">
        <f>AVERAGE(AX96,AW96,AV96,AU96)</f>
        <v/>
      </c>
      <c r="AY97" s="2087">
        <f>AVERAGE(AY96,AT96)</f>
        <v/>
      </c>
      <c r="AZ97" s="2072">
        <f>AVERAGE(AZ96,AX96,AW96,AV96)</f>
        <v/>
      </c>
      <c r="BA97" s="2072">
        <f>AVERAGE(BA96,AZ96,AX96,AW96)</f>
        <v/>
      </c>
      <c r="BB97" s="2072">
        <f>AVERAGE(BB96,BA96,AZ96,AX96)</f>
        <v/>
      </c>
      <c r="BC97" s="2072">
        <f>AVERAGE(BC96,BB96,BA96,AZ96)</f>
        <v/>
      </c>
      <c r="BD97" s="2087">
        <f>AVERAGE(BD96,AY96)</f>
        <v/>
      </c>
      <c r="BE97" s="2072">
        <f>AVERAGE(BE96,BC96,BB96,BA96)</f>
        <v/>
      </c>
      <c r="BF97" s="2072">
        <f>AVERAGE(BF96,BE96,BC96,BB96)</f>
        <v/>
      </c>
      <c r="BG97" s="2072">
        <f>AVERAGE(BG96,BF96,BE96,BC96)</f>
        <v/>
      </c>
      <c r="BH97" s="2072">
        <f>AVERAGE(BH96,BG96,BF96,BE96)</f>
        <v/>
      </c>
      <c r="BI97" s="2087">
        <f>AVERAGE(BI96,BD96)</f>
        <v/>
      </c>
      <c r="BJ97" s="2072">
        <f>AVERAGE(BJ96,BH96,BG96,BF96)</f>
        <v/>
      </c>
      <c r="BK97" s="2072">
        <f>AVERAGE(BK96,BJ96,BH96,BG96)</f>
        <v/>
      </c>
      <c r="BL97" s="2072">
        <f>AVERAGE(BL96,BK96,BJ96,BH96)</f>
        <v/>
      </c>
      <c r="BM97" s="2072">
        <f>AVERAGE(BM96,BL96,BK96,BJ96)</f>
        <v/>
      </c>
      <c r="BN97" s="2087">
        <f>AVERAGE(BN96,BI96)</f>
        <v/>
      </c>
      <c r="BO97" s="2072">
        <f>AVERAGE(BO96,BM96,BL96,BK96)</f>
        <v/>
      </c>
      <c r="BP97" s="2072">
        <f>AVERAGE(BP96,BO96,BM96,BL96)</f>
        <v/>
      </c>
      <c r="BQ97" s="2073">
        <f>AVERAGE(BQ96,BP96,BO96,BM96)</f>
        <v/>
      </c>
      <c r="BR97" s="2072">
        <f>AVERAGE(BR96,BQ96,BP96,BO96)</f>
        <v/>
      </c>
      <c r="BS97" s="2087">
        <f>AVERAGE(BS96,BN96)</f>
        <v/>
      </c>
      <c r="BT97" s="2072">
        <f>AVERAGE(BT96,BR96,BQ96,BP96)</f>
        <v/>
      </c>
      <c r="BU97" s="2072">
        <f>AVERAGE(BU96,BT96,BR96,BQ96)</f>
        <v/>
      </c>
      <c r="BV97" s="2072">
        <f>AVERAGE(BV96,BU96,BT96,BR96)</f>
        <v/>
      </c>
      <c r="BW97" s="2072">
        <f>AVERAGE(BW96,BV96,BU96,BT96)</f>
        <v/>
      </c>
      <c r="BX97" s="2087">
        <f>AVERAGE(BX96,BS96)</f>
        <v/>
      </c>
      <c r="BY97" s="2087">
        <f>AVERAGE(BY96,BX96)</f>
        <v/>
      </c>
      <c r="BZ97" s="2087">
        <f>AVERAGE(BZ96,BY96)</f>
        <v/>
      </c>
      <c r="CA97" s="2087">
        <f>AVERAGE(CA96,BZ96)</f>
        <v/>
      </c>
      <c r="CB97" s="2072" t="n"/>
    </row>
    <row r="98" hidden="1" outlineLevel="1" ht="15" customHeight="1" s="972">
      <c r="A98" s="1593" t="inlineStr">
        <is>
          <t>Average Invested Capital</t>
        </is>
      </c>
      <c r="B98" s="2200" t="n"/>
      <c r="C98" s="2087">
        <f>SUM(INDEX(SP_BSR_Debt_Avg,0,COLUMN()),INDEX(SP_BSR_SE_Avg,0,COLUMN()))</f>
        <v/>
      </c>
      <c r="D98" s="2087">
        <f>SUM(INDEX(SP_BSR_Debt_Avg,0,COLUMN()),INDEX(SP_BSR_SE_Avg,0,COLUMN()))</f>
        <v/>
      </c>
      <c r="E98" s="2087">
        <f>SUM(INDEX(SP_BSR_Debt_Avg,0,COLUMN()),INDEX(SP_BSR_SE_Avg,0,COLUMN()))</f>
        <v/>
      </c>
      <c r="F98" s="2087">
        <f>SUM(INDEX(SP_BSR_Debt_Avg,0,COLUMN()),INDEX(SP_BSR_SE_Avg,0,COLUMN()))</f>
        <v/>
      </c>
      <c r="G98" s="2072">
        <f>SUM(INDEX(SP_BSR_Debt_Avg,0,COLUMN()),INDEX(SP_BSR_SE_Avg,0,COLUMN()))</f>
        <v/>
      </c>
      <c r="H98" s="2072">
        <f>SUM(INDEX(SP_BSR_Debt_Avg,0,COLUMN()),INDEX(SP_BSR_SE_Avg,0,COLUMN()))</f>
        <v/>
      </c>
      <c r="I98" s="2072">
        <f>SUM(INDEX(SP_BSR_Debt_Avg,0,COLUMN()),INDEX(SP_BSR_SE_Avg,0,COLUMN()))</f>
        <v/>
      </c>
      <c r="J98" s="2072">
        <f>SUM(INDEX(SP_BSR_Debt_Avg,0,COLUMN()),INDEX(SP_BSR_SE_Avg,0,COLUMN()))</f>
        <v/>
      </c>
      <c r="K98" s="2087">
        <f>SUM(INDEX(SP_BSR_Debt_Avg,0,COLUMN()),INDEX(SP_BSR_SE_Avg,0,COLUMN()))</f>
        <v/>
      </c>
      <c r="L98" s="2072">
        <f>SUM(INDEX(SP_BSR_Debt_Avg,0,COLUMN()),INDEX(SP_BSR_SE_Avg,0,COLUMN()))</f>
        <v/>
      </c>
      <c r="M98" s="2072">
        <f>SUM(INDEX(SP_BSR_Debt_Avg,0,COLUMN()),INDEX(SP_BSR_SE_Avg,0,COLUMN()))</f>
        <v/>
      </c>
      <c r="N98" s="2072">
        <f>SUM(INDEX(SP_BSR_Debt_Avg,0,COLUMN()),INDEX(SP_BSR_SE_Avg,0,COLUMN()))</f>
        <v/>
      </c>
      <c r="O98" s="2072">
        <f>SUM(INDEX(SP_BSR_Debt_Avg,0,COLUMN()),INDEX(SP_BSR_SE_Avg,0,COLUMN()))</f>
        <v/>
      </c>
      <c r="P98" s="2087">
        <f>SUM(INDEX(SP_BSR_Debt_Avg,0,COLUMN()),INDEX(SP_BSR_SE_Avg,0,COLUMN()))</f>
        <v/>
      </c>
      <c r="Q98" s="2072">
        <f>SUM(INDEX(SP_BSR_Debt_Avg,0,COLUMN()),INDEX(SP_BSR_SE_Avg,0,COLUMN()))</f>
        <v/>
      </c>
      <c r="R98" s="2072">
        <f>SUM(INDEX(SP_BSR_Debt_Avg,0,COLUMN()),INDEX(SP_BSR_SE_Avg,0,COLUMN()))</f>
        <v/>
      </c>
      <c r="S98" s="2072">
        <f>SUM(INDEX(SP_BSR_Debt_Avg,0,COLUMN()),INDEX(SP_BSR_SE_Avg,0,COLUMN()))</f>
        <v/>
      </c>
      <c r="T98" s="2072">
        <f>SUM(INDEX(SP_BSR_Debt_Avg,0,COLUMN()),INDEX(SP_BSR_SE_Avg,0,COLUMN()))</f>
        <v/>
      </c>
      <c r="U98" s="2087">
        <f>SUM(INDEX(SP_BSR_Debt_Avg,0,COLUMN()),INDEX(SP_BSR_SE_Avg,0,COLUMN()))</f>
        <v/>
      </c>
      <c r="V98" s="2072">
        <f>SUM(INDEX(SP_BSR_Debt_Avg,0,COLUMN()),INDEX(SP_BSR_SE_Avg,0,COLUMN()))</f>
        <v/>
      </c>
      <c r="W98" s="2072">
        <f>SUM(INDEX(SP_BSR_Debt_Avg,0,COLUMN()),INDEX(SP_BSR_SE_Avg,0,COLUMN()))</f>
        <v/>
      </c>
      <c r="X98" s="2072">
        <f>SUM(INDEX(SP_BSR_Debt_Avg,0,COLUMN()),INDEX(SP_BSR_SE_Avg,0,COLUMN()))</f>
        <v/>
      </c>
      <c r="Y98" s="2072">
        <f>SUM(INDEX(SP_BSR_Debt_Avg,0,COLUMN()),INDEX(SP_BSR_SE_Avg,0,COLUMN()))</f>
        <v/>
      </c>
      <c r="Z98" s="2087">
        <f>SUM(INDEX(SP_BSR_Debt_Avg,0,COLUMN()),INDEX(SP_BSR_SE_Avg,0,COLUMN()))</f>
        <v/>
      </c>
      <c r="AA98" s="2072">
        <f>SUM(INDEX(SP_BSR_Debt_Avg,0,COLUMN()),INDEX(SP_BSR_SE_Avg,0,COLUMN()))</f>
        <v/>
      </c>
      <c r="AB98" s="2072">
        <f>SUM(INDEX(SP_BSR_Debt_Avg,0,COLUMN()),INDEX(SP_BSR_SE_Avg,0,COLUMN()))</f>
        <v/>
      </c>
      <c r="AC98" s="2072">
        <f>SUM(INDEX(SP_BSR_Debt_Avg,0,COLUMN()),INDEX(SP_BSR_SE_Avg,0,COLUMN()))</f>
        <v/>
      </c>
      <c r="AD98" s="2072">
        <f>SUM(INDEX(SP_BSR_Debt_Avg,0,COLUMN()),INDEX(SP_BSR_SE_Avg,0,COLUMN()))</f>
        <v/>
      </c>
      <c r="AE98" s="2087">
        <f>SUM(INDEX(SP_BSR_Debt_Avg,0,COLUMN()),INDEX(SP_BSR_SE_Avg,0,COLUMN()))</f>
        <v/>
      </c>
      <c r="AF98" s="2072">
        <f>SUM(INDEX(SP_BSR_Debt_Avg,0,COLUMN()),INDEX(SP_BSR_SE_Avg,0,COLUMN()))</f>
        <v/>
      </c>
      <c r="AG98" s="2072">
        <f>SUM(INDEX(SP_BSR_Debt_Avg,0,COLUMN()),INDEX(SP_BSR_SE_Avg,0,COLUMN()))</f>
        <v/>
      </c>
      <c r="AH98" s="2072">
        <f>SUM(INDEX(SP_BSR_Debt_Avg,0,COLUMN()),INDEX(SP_BSR_SE_Avg,0,COLUMN()))</f>
        <v/>
      </c>
      <c r="AI98" s="2072">
        <f>SUM(INDEX(SP_BSR_Debt_Avg,0,COLUMN()),INDEX(SP_BSR_SE_Avg,0,COLUMN()))</f>
        <v/>
      </c>
      <c r="AJ98" s="2087">
        <f>SUM(INDEX(SP_BSR_Debt_Avg,0,COLUMN()),INDEX(SP_BSR_SE_Avg,0,COLUMN()))</f>
        <v/>
      </c>
      <c r="AK98" s="2072">
        <f>SUM(INDEX(SP_BSR_Debt_Avg,0,COLUMN()),INDEX(SP_BSR_SE_Avg,0,COLUMN()))</f>
        <v/>
      </c>
      <c r="AL98" s="2072">
        <f>SUM(INDEX(SP_BSR_Debt_Avg,0,COLUMN()),INDEX(SP_BSR_SE_Avg,0,COLUMN()))</f>
        <v/>
      </c>
      <c r="AM98" s="2072">
        <f>SUM(INDEX(SP_BSR_Debt_Avg,0,COLUMN()),INDEX(SP_BSR_SE_Avg,0,COLUMN()))</f>
        <v/>
      </c>
      <c r="AN98" s="2072">
        <f>SUM(INDEX(SP_BSR_Debt_Avg,0,COLUMN()),INDEX(SP_BSR_SE_Avg,0,COLUMN()))</f>
        <v/>
      </c>
      <c r="AO98" s="2087">
        <f>SUM(INDEX(SP_BSR_Debt_Avg,0,COLUMN()),INDEX(SP_BSR_SE_Avg,0,COLUMN()))</f>
        <v/>
      </c>
      <c r="AP98" s="2072">
        <f>SUM(INDEX(SP_BSR_Debt_Avg,0,COLUMN()),INDEX(SP_BSR_SE_Avg,0,COLUMN()))</f>
        <v/>
      </c>
      <c r="AQ98" s="2072">
        <f>SUM(INDEX(SP_BSR_Debt_Avg,0,COLUMN()),INDEX(SP_BSR_SE_Avg,0,COLUMN()))</f>
        <v/>
      </c>
      <c r="AR98" s="2072">
        <f>SUM(INDEX(SP_BSR_Debt_Avg,0,COLUMN()),INDEX(SP_BSR_SE_Avg,0,COLUMN()))</f>
        <v/>
      </c>
      <c r="AS98" s="2072">
        <f>SUM(INDEX(SP_BSR_Debt_Avg,0,COLUMN()),INDEX(SP_BSR_SE_Avg,0,COLUMN()))</f>
        <v/>
      </c>
      <c r="AT98" s="2087">
        <f>SUM(INDEX(SP_BSR_Debt_Avg,0,COLUMN()),INDEX(SP_BSR_SE_Avg,0,COLUMN()))</f>
        <v/>
      </c>
      <c r="AU98" s="2072">
        <f>SUM(INDEX(SP_BSR_Debt_Avg,0,COLUMN()),INDEX(SP_BSR_SE_Avg,0,COLUMN()))</f>
        <v/>
      </c>
      <c r="AV98" s="2072">
        <f>SUM(INDEX(SP_BSR_Debt_Avg,0,COLUMN()),INDEX(SP_BSR_SE_Avg,0,COLUMN()))</f>
        <v/>
      </c>
      <c r="AW98" s="2072">
        <f>SUM(INDEX(SP_BSR_Debt_Avg,0,COLUMN()),INDEX(SP_BSR_SE_Avg,0,COLUMN()))</f>
        <v/>
      </c>
      <c r="AX98" s="2072">
        <f>SUM(INDEX(SP_BSR_Debt_Avg,0,COLUMN()),INDEX(SP_BSR_SE_Avg,0,COLUMN()))</f>
        <v/>
      </c>
      <c r="AY98" s="2087">
        <f>SUM(INDEX(SP_BSR_Debt_Avg,0,COLUMN()),INDEX(SP_BSR_SE_Avg,0,COLUMN()))</f>
        <v/>
      </c>
      <c r="AZ98" s="2072">
        <f>SUM(INDEX(SP_BSR_Debt_Avg,0,COLUMN()),INDEX(SP_BSR_SE_Avg,0,COLUMN()))</f>
        <v/>
      </c>
      <c r="BA98" s="2072">
        <f>SUM(INDEX(SP_BSR_Debt_Avg,0,COLUMN()),INDEX(SP_BSR_SE_Avg,0,COLUMN()))</f>
        <v/>
      </c>
      <c r="BB98" s="2072">
        <f>SUM(INDEX(SP_BSR_Debt_Avg,0,COLUMN()),INDEX(SP_BSR_SE_Avg,0,COLUMN()))</f>
        <v/>
      </c>
      <c r="BC98" s="2072">
        <f>SUM(INDEX(SP_BSR_Debt_Avg,0,COLUMN()),INDEX(SP_BSR_SE_Avg,0,COLUMN()))</f>
        <v/>
      </c>
      <c r="BD98" s="2087">
        <f>SUM(INDEX(SP_BSR_Debt_Avg,0,COLUMN()),INDEX(SP_BSR_SE_Avg,0,COLUMN()))</f>
        <v/>
      </c>
      <c r="BE98" s="2072">
        <f>SUM(INDEX(SP_BSR_Debt_Avg,0,COLUMN()),INDEX(SP_BSR_SE_Avg,0,COLUMN()))</f>
        <v/>
      </c>
      <c r="BF98" s="2072">
        <f>SUM(INDEX(SP_BSR_Debt_Avg,0,COLUMN()),INDEX(SP_BSR_SE_Avg,0,COLUMN()))</f>
        <v/>
      </c>
      <c r="BG98" s="2072">
        <f>SUM(INDEX(SP_BSR_Debt_Avg,0,COLUMN()),INDEX(SP_BSR_SE_Avg,0,COLUMN()))</f>
        <v/>
      </c>
      <c r="BH98" s="2072">
        <f>SUM(INDEX(SP_BSR_Debt_Avg,0,COLUMN()),INDEX(SP_BSR_SE_Avg,0,COLUMN()))</f>
        <v/>
      </c>
      <c r="BI98" s="2087">
        <f>SUM(INDEX(SP_BSR_Debt_Avg,0,COLUMN()),INDEX(SP_BSR_SE_Avg,0,COLUMN()))</f>
        <v/>
      </c>
      <c r="BJ98" s="2072">
        <f>SUM(INDEX(SP_BSR_Debt_Avg,0,COLUMN()),INDEX(SP_BSR_SE_Avg,0,COLUMN()))</f>
        <v/>
      </c>
      <c r="BK98" s="2072">
        <f>SUM(INDEX(SP_BSR_Debt_Avg,0,COLUMN()),INDEX(SP_BSR_SE_Avg,0,COLUMN()))</f>
        <v/>
      </c>
      <c r="BL98" s="2072">
        <f>SUM(INDEX(SP_BSR_Debt_Avg,0,COLUMN()),INDEX(SP_BSR_SE_Avg,0,COLUMN()))</f>
        <v/>
      </c>
      <c r="BM98" s="2072">
        <f>SUM(INDEX(SP_BSR_Debt_Avg,0,COLUMN()),INDEX(SP_BSR_SE_Avg,0,COLUMN()))</f>
        <v/>
      </c>
      <c r="BN98" s="2087">
        <f>SUM(INDEX(SP_BSR_Debt_Avg,0,COLUMN()),INDEX(SP_BSR_SE_Avg,0,COLUMN()))</f>
        <v/>
      </c>
      <c r="BO98" s="2072">
        <f>SUM(INDEX(SP_BSR_Debt_Avg,0,COLUMN()),INDEX(SP_BSR_SE_Avg,0,COLUMN()))</f>
        <v/>
      </c>
      <c r="BP98" s="2072">
        <f>SUM(INDEX(SP_BSR_Debt_Avg,0,COLUMN()),INDEX(SP_BSR_SE_Avg,0,COLUMN()))</f>
        <v/>
      </c>
      <c r="BQ98" s="2073">
        <f>SUM(INDEX(SP_BSR_Debt_Avg,0,COLUMN()),INDEX(SP_BSR_SE_Avg,0,COLUMN()))</f>
        <v/>
      </c>
      <c r="BR98" s="2072">
        <f>SUM(INDEX(SP_BSR_Debt_Avg,0,COLUMN()),INDEX(SP_BSR_SE_Avg,0,COLUMN()))</f>
        <v/>
      </c>
      <c r="BS98" s="2087">
        <f>SUM(INDEX(SP_BSR_Debt_Avg,0,COLUMN()),INDEX(SP_BSR_SE_Avg,0,COLUMN()))</f>
        <v/>
      </c>
      <c r="BT98" s="2072">
        <f>SUM(INDEX(SP_BSR_Debt_Avg,0,COLUMN()),INDEX(SP_BSR_SE_Avg,0,COLUMN()))</f>
        <v/>
      </c>
      <c r="BU98" s="2072">
        <f>SUM(INDEX(SP_BSR_Debt_Avg,0,COLUMN()),INDEX(SP_BSR_SE_Avg,0,COLUMN()))</f>
        <v/>
      </c>
      <c r="BV98" s="2072">
        <f>SUM(INDEX(SP_BSR_Debt_Avg,0,COLUMN()),INDEX(SP_BSR_SE_Avg,0,COLUMN()))</f>
        <v/>
      </c>
      <c r="BW98" s="2072">
        <f>SUM(INDEX(SP_BSR_Debt_Avg,0,COLUMN()),INDEX(SP_BSR_SE_Avg,0,COLUMN()))</f>
        <v/>
      </c>
      <c r="BX98" s="2087">
        <f>SUM(INDEX(SP_BSR_Debt_Avg,0,COLUMN()),INDEX(SP_BSR_SE_Avg,0,COLUMN()))</f>
        <v/>
      </c>
      <c r="BY98" s="2087">
        <f>SUM(INDEX(SP_BSR_Debt_Avg,0,COLUMN()),INDEX(SP_BSR_SE_Avg,0,COLUMN()))</f>
        <v/>
      </c>
      <c r="BZ98" s="2087">
        <f>SUM(INDEX(SP_BSR_Debt_Avg,0,COLUMN()),INDEX(SP_BSR_SE_Avg,0,COLUMN()))</f>
        <v/>
      </c>
      <c r="CA98" s="2087">
        <f>SUM(INDEX(SP_BSR_Debt_Avg,0,COLUMN()),INDEX(SP_BSR_SE_Avg,0,COLUMN()))</f>
        <v/>
      </c>
      <c r="CB98" s="2072" t="n"/>
    </row>
    <row r="99" collapsed="1" ht="15" customFormat="1" customHeight="1" s="2105">
      <c r="A99" s="2226" t="inlineStr">
        <is>
          <t>ROIC</t>
        </is>
      </c>
      <c r="B99" s="2227" t="n"/>
      <c r="C99" s="2228">
        <f>IF(C98&lt;0,"NMF",IF(ABS(C92/C98)&gt;1,"NMF",C92/C98))</f>
        <v/>
      </c>
      <c r="D99" s="2228">
        <f>IF(D98&lt;0,"NMF",IF(ABS(D92/D98)&gt;1,"NMF",D92/D98))</f>
        <v/>
      </c>
      <c r="E99" s="2228">
        <f>IF(E98&lt;0,"NMF",IF(ABS(E92/E98)&gt;1,"NMF",E92/E98))</f>
        <v/>
      </c>
      <c r="F99" s="2228">
        <f>IF(F98&lt;0,"NMF",IF(ABS(F92/F98)&gt;1,"NMF",F92/F98))</f>
        <v/>
      </c>
      <c r="G99" s="2229" t="n"/>
      <c r="H99" s="2229" t="n"/>
      <c r="I99" s="2229" t="n"/>
      <c r="J99" s="2229">
        <f>IF(J98&lt;0,"NMF",IF(ABS(J92/J98)&gt;1,"NMF",J92/J98))</f>
        <v/>
      </c>
      <c r="K99" s="2228">
        <f>IF(K98&lt;0,"NMF",IF(ABS(K92/K98)&gt;1,"NMF",K92/K98))</f>
        <v/>
      </c>
      <c r="L99" s="2229">
        <f>IF(L98&lt;0,"NMF",IF(ABS(L92/L98)&gt;1,"NMF",L92/L98))</f>
        <v/>
      </c>
      <c r="M99" s="2229">
        <f>IF(M98&lt;0,"NMF",IF(ABS(M92/M98)&gt;1,"NMF",M92/M98))</f>
        <v/>
      </c>
      <c r="N99" s="2229">
        <f>IF(N98&lt;0,"NMF",IF(ABS(N92/N98)&gt;1,"NMF",N92/N98))</f>
        <v/>
      </c>
      <c r="O99" s="2229">
        <f>IF(O98&lt;0,"NMF",IF(ABS(O92/O98)&gt;1,"NMF",O92/O98))</f>
        <v/>
      </c>
      <c r="P99" s="2228">
        <f>IF(P98&lt;0,"NMF",IF(ABS(P92/P98)&gt;1,"NMF",P92/P98))</f>
        <v/>
      </c>
      <c r="Q99" s="2229">
        <f>IF(Q98&lt;0,"NMF",IF(ABS(Q92/Q98)&gt;1,"NMF",Q92/Q98))</f>
        <v/>
      </c>
      <c r="R99" s="2229">
        <f>IF(R98&lt;0,"NMF",IF(ABS(R92/R98)&gt;1,"NMF",R92/R98))</f>
        <v/>
      </c>
      <c r="S99" s="2229">
        <f>IF(S98&lt;0,"NMF",IF(ABS(S92/S98)&gt;1,"NMF",S92/S98))</f>
        <v/>
      </c>
      <c r="T99" s="2229">
        <f>IF(T98&lt;0,"NMF",IF(ABS(T92/T98)&gt;1,"NMF",T92/T98))</f>
        <v/>
      </c>
      <c r="U99" s="2228">
        <f>IF(U98&lt;0,"NMF",IF(ABS(U92/U98)&gt;1,"NMF",U92/U98))</f>
        <v/>
      </c>
      <c r="V99" s="2229">
        <f>IF(V98&lt;0,"NMF",IF(ABS(V92/V98)&gt;1,"NMF",V92/V98))</f>
        <v/>
      </c>
      <c r="W99" s="2229">
        <f>IF(W98&lt;0,"NMF",IF(ABS(W92/W98)&gt;1,"NMF",W92/W98))</f>
        <v/>
      </c>
      <c r="X99" s="2229">
        <f>IF(X98&lt;0,"NMF",IF(ABS(X92/X98)&gt;1,"NMF",X92/X98))</f>
        <v/>
      </c>
      <c r="Y99" s="2229">
        <f>IF(Y98&lt;0,"NMF",IF(ABS(Y92/Y98)&gt;1,"NMF",Y92/Y98))</f>
        <v/>
      </c>
      <c r="Z99" s="2228">
        <f>IF(Z98&lt;0,"NMF",IF(ABS(Z92/Z98)&gt;1,"NMF",Z92/Z98))</f>
        <v/>
      </c>
      <c r="AA99" s="2229">
        <f>IF(AA98&lt;0,"NMF",IF(ABS(AA92/AA98)&gt;1,"NMF",AA92/AA98))</f>
        <v/>
      </c>
      <c r="AB99" s="2229">
        <f>IF(AB98&lt;0,"NMF",IF(ABS(AB92/AB98)&gt;1,"NMF",AB92/AB98))</f>
        <v/>
      </c>
      <c r="AC99" s="2229">
        <f>IF(AC98&lt;0,"NMF",IF(ABS(AC92/AC98)&gt;1,"NMF",AC92/AC98))</f>
        <v/>
      </c>
      <c r="AD99" s="2229">
        <f>IF(AD98&lt;0,"NMF",IF(ABS(AD92/AD98)&gt;1,"NMF",AD92/AD98))</f>
        <v/>
      </c>
      <c r="AE99" s="2228">
        <f>IF(AE98&lt;0,"NMF",IF(ABS(AE92/AE98)&gt;1,"NMF",AE92/AE98))</f>
        <v/>
      </c>
      <c r="AF99" s="2229">
        <f>IF(AF98&lt;0,"NMF",IF(ABS(AF92/AF98)&gt;1,"NMF",AF92/AF98))</f>
        <v/>
      </c>
      <c r="AG99" s="2229">
        <f>IF(AG98&lt;0,"NMF",IF(ABS(AG92/AG98)&gt;1,"NMF",AG92/AG98))</f>
        <v/>
      </c>
      <c r="AH99" s="2229">
        <f>IF(AH98&lt;0,"NMF",IF(ABS(AH92/AH98)&gt;1,"NMF",AH92/AH98))</f>
        <v/>
      </c>
      <c r="AI99" s="2229">
        <f>IF(AI98&lt;0,"NMF",IF(ABS(AI92/AI98)&gt;1,"NMF",AI92/AI98))</f>
        <v/>
      </c>
      <c r="AJ99" s="2228">
        <f>IF(AJ98&lt;0,"NMF",IF(ABS(AJ92/AJ98)&gt;1,"NMF",AJ92/AJ98))</f>
        <v/>
      </c>
      <c r="AK99" s="2229">
        <f>IF(AK98&lt;0,"NMF",IF(ABS(AK92/AK98)&gt;1,"NMF",AK92/AK98))</f>
        <v/>
      </c>
      <c r="AL99" s="2229">
        <f>IF(AL98&lt;0,"NMF",IF(ABS(AL92/AL98)&gt;1,"NMF",AL92/AL98))</f>
        <v/>
      </c>
      <c r="AM99" s="2229">
        <f>IF(AM98&lt;0,"NMF",IF(ABS(AM92/AM98)&gt;1,"NMF",AM92/AM98))</f>
        <v/>
      </c>
      <c r="AN99" s="2229">
        <f>IF(AN98&lt;0,"NMF",IF(ABS(AN92/AN98)&gt;1,"NMF",AN92/AN98))</f>
        <v/>
      </c>
      <c r="AO99" s="2228">
        <f>IF(AO98&lt;0,"NMF",IF(ABS(AO92/AO98)&gt;1,"NMF",AO92/AO98))</f>
        <v/>
      </c>
      <c r="AP99" s="2229">
        <f>IF(AP98&lt;0,"NMF",IF(ABS(AP92/AP98)&gt;1,"NMF",AP92/AP98))</f>
        <v/>
      </c>
      <c r="AQ99" s="2229">
        <f>IF(AQ98&lt;0,"NMF",IF(ABS(AQ92/AQ98)&gt;1,"NMF",AQ92/AQ98))</f>
        <v/>
      </c>
      <c r="AR99" s="2229">
        <f>IF(AR98&lt;0,"NMF",IF(ABS(AR92/AR98)&gt;1,"NMF",AR92/AR98))</f>
        <v/>
      </c>
      <c r="AS99" s="2229">
        <f>IF(AS98&lt;0,"NMF",IF(ABS(AS92/AS98)&gt;1,"NMF",AS92/AS98))</f>
        <v/>
      </c>
      <c r="AT99" s="2228">
        <f>IF(AT98&lt;0,"NMF",IF(ABS(AT92/AT98)&gt;1,"NMF",AT92/AT98))</f>
        <v/>
      </c>
      <c r="AU99" s="2229">
        <f>IF(AU98&lt;0,"NMF",IF(ABS(AU92/AU98)&gt;1,"NMF",AU92/AU98))</f>
        <v/>
      </c>
      <c r="AV99" s="2229">
        <f>IF(AV98&lt;0,"NMF",IF(ABS(AV92/AV98)&gt;1,"NMF",AV92/AV98))</f>
        <v/>
      </c>
      <c r="AW99" s="2229">
        <f>IF(AW98&lt;0,"NMF",IF(ABS(AW92/AW98)&gt;1,"NMF",AW92/AW98))</f>
        <v/>
      </c>
      <c r="AX99" s="2229">
        <f>IF(AX98&lt;0,"NMF",IF(ABS(AX92/AX98)&gt;1,"NMF",AX92/AX98))</f>
        <v/>
      </c>
      <c r="AY99" s="2228">
        <f>IF(AY98&lt;0,"NMF",IF(ABS(AY92/AY98)&gt;1,"NMF",AY92/AY98))</f>
        <v/>
      </c>
      <c r="AZ99" s="2229">
        <f>IF(AZ98&lt;0,"NMF",IF(ABS(AZ92/AZ98)&gt;1,"NMF",AZ92/AZ98))</f>
        <v/>
      </c>
      <c r="BA99" s="2229">
        <f>IF(BA98&lt;0,"NMF",IF(ABS(BA92/BA98)&gt;1,"NMF",BA92/BA98))</f>
        <v/>
      </c>
      <c r="BB99" s="2229">
        <f>IF(BB98&lt;0,"NMF",IF(ABS(BB92/BB98)&gt;1,"NMF",BB92/BB98))</f>
        <v/>
      </c>
      <c r="BC99" s="2229">
        <f>IF(BC98&lt;0,"NMF",IF(ABS(BC92/BC98)&gt;1,"NMF",BC92/BC98))</f>
        <v/>
      </c>
      <c r="BD99" s="2228">
        <f>IF(BD98&lt;0,"NMF",IF(ABS(BD92/BD98)&gt;1,"NMF",BD92/BD98))</f>
        <v/>
      </c>
      <c r="BE99" s="2229">
        <f>IF(BE98&lt;0,"NMF",IF(ABS(BE92/BE98)&gt;1,"NMF",BE92/BE98))</f>
        <v/>
      </c>
      <c r="BF99" s="2229">
        <f>IF(BF98&lt;0,"NMF",IF(ABS(BF92/BF98)&gt;1,"NMF",BF92/BF98))</f>
        <v/>
      </c>
      <c r="BG99" s="2229">
        <f>IF(BG98&lt;0,"NMF",IF(ABS(BG92/BG98)&gt;1,"NMF",BG92/BG98))</f>
        <v/>
      </c>
      <c r="BH99" s="2229">
        <f>IF(BH98&lt;0,"NMF",IF(ABS(BH92/BH98)&gt;1,"NMF",BH92/BH98))</f>
        <v/>
      </c>
      <c r="BI99" s="2228">
        <f>IF(BI98&lt;0,"NMF",IF(ABS(BI92/BI98)&gt;1,"NMF",BI92/BI98))</f>
        <v/>
      </c>
      <c r="BJ99" s="2229">
        <f>IF(BJ98&lt;0,"NMF",IF(ABS(BJ92/BJ98)&gt;1,"NMF",BJ92/BJ98))</f>
        <v/>
      </c>
      <c r="BK99" s="2229">
        <f>IF(BK98&lt;0,"NMF",IF(ABS(BK92/BK98)&gt;1,"NMF",BK92/BK98))</f>
        <v/>
      </c>
      <c r="BL99" s="2229">
        <f>IF(BL98&lt;0,"NMF",IF(ABS(BL92/BL98)&gt;1,"NMF",BL92/BL98))</f>
        <v/>
      </c>
      <c r="BM99" s="2229">
        <f>IF(BM98&lt;0,"NMF",IF(ABS(BM92/BM98)&gt;1,"NMF",BM92/BM98))</f>
        <v/>
      </c>
      <c r="BN99" s="2228">
        <f>IF(BN98&lt;0,"NMF",IF(ABS(BN92/BN98)&gt;1,"NMF",BN92/BN98))</f>
        <v/>
      </c>
      <c r="BO99" s="2229">
        <f>IF(BO98&lt;0,"NMF",IF(ABS(BO92/BO98)&gt;1,"NMF",BO92/BO98))</f>
        <v/>
      </c>
      <c r="BP99" s="2229">
        <f>IF(BP98&lt;0,"NMF",IF(ABS(BP92/BP98)&gt;1,"NMF",BP92/BP98))</f>
        <v/>
      </c>
      <c r="BQ99" s="2230">
        <f>IF(BQ98&lt;0,"NMF",IF(ABS(BQ92/BQ98)&gt;1,"NMF",BQ92/BQ98))</f>
        <v/>
      </c>
      <c r="BR99" s="2229">
        <f>IF(BR98&lt;0,"NMF",IF(ABS(BR92/BR98)&gt;1,"NMF",BR92/BR98))</f>
        <v/>
      </c>
      <c r="BS99" s="2228">
        <f>IF(BS98&lt;0,"NMF",IF(ABS(BS92/BS98)&gt;1,"NMF",BS92/BS98))</f>
        <v/>
      </c>
      <c r="BT99" s="2229">
        <f>IF(BT98&lt;0,"NMF",IF(ABS(BT92/BT98)&gt;1,"NMF",BT92/BT98))</f>
        <v/>
      </c>
      <c r="BU99" s="2229">
        <f>IF(BU98&lt;0,"NMF",IF(ABS(BU92/BU98)&gt;1,"NMF",BU92/BU98))</f>
        <v/>
      </c>
      <c r="BV99" s="2229">
        <f>IF(BV98&lt;0,"NMF",IF(ABS(BV92/BV98)&gt;1,"NMF",BV92/BV98))</f>
        <v/>
      </c>
      <c r="BW99" s="2229">
        <f>IF(BW98&lt;0,"NMF",IF(ABS(BW92/BW98)&gt;1,"NMF",BW92/BW98))</f>
        <v/>
      </c>
      <c r="BX99" s="2228">
        <f>IF(BX98&lt;0,"NMF",IF(ABS(BX92/BX98)&gt;1,"NMF",BX92/BX98))</f>
        <v/>
      </c>
      <c r="BY99" s="2228">
        <f>IF(BY98&lt;0,"NMF",IF(ABS(BY92/BY98)&gt;1,"NMF",BY92/BY98))</f>
        <v/>
      </c>
      <c r="BZ99" s="2228">
        <f>IF(BZ98&lt;0,"NMF",IF(ABS(BZ92/BZ98)&gt;1,"NMF",BZ92/BZ98))</f>
        <v/>
      </c>
      <c r="CA99" s="2228">
        <f>IF(CA98&lt;0,"NMF",IF(ABS(CA92/CA98)&gt;1,"NMF",CA92/CA98))</f>
        <v/>
      </c>
      <c r="CB99" s="2111" t="n"/>
    </row>
    <row r="100" hidden="1" outlineLevel="1" ht="15" customHeight="1" s="972">
      <c r="A100" s="1593" t="inlineStr">
        <is>
          <t>EBIT</t>
        </is>
      </c>
      <c r="B100" s="2200" t="n"/>
      <c r="C100" s="2087">
        <f>INDEX(MO_RIS_Reported_OperatingIncome_NONGAAP,0,COLUMN())</f>
        <v/>
      </c>
      <c r="D100" s="2087">
        <f>INDEX(MO_RIS_Reported_OperatingIncome_NONGAAP,0,COLUMN())</f>
        <v/>
      </c>
      <c r="E100" s="2087">
        <f>INDEX(MO_RIS_Reported_OperatingIncome_NONGAAP,0,COLUMN())</f>
        <v/>
      </c>
      <c r="F100" s="2087">
        <f>INDEX(MO_RIS_Reported_OperatingIncome_NONGAAP,0,COLUMN())</f>
        <v/>
      </c>
      <c r="G100" s="2072">
        <f>INDEX(MO_RIS_Reported_OperatingIncome_NONGAAP,0,COLUMN())</f>
        <v/>
      </c>
      <c r="H100" s="2072">
        <f>INDEX(MO_RIS_Reported_OperatingIncome_NONGAAP,0,COLUMN())</f>
        <v/>
      </c>
      <c r="I100" s="2072">
        <f>INDEX(MO_RIS_Reported_OperatingIncome_NONGAAP,0,COLUMN())</f>
        <v/>
      </c>
      <c r="J100" s="2072">
        <f>INDEX(MO_RIS_Reported_OperatingIncome_NONGAAP,0,COLUMN())</f>
        <v/>
      </c>
      <c r="K100" s="2087">
        <f>INDEX(MO_RIS_Reported_OperatingIncome_NONGAAP,0,COLUMN())</f>
        <v/>
      </c>
      <c r="L100" s="2072">
        <f>INDEX(MO_RIS_Reported_OperatingIncome_NONGAAP,0,COLUMN())</f>
        <v/>
      </c>
      <c r="M100" s="2072">
        <f>INDEX(MO_RIS_Reported_OperatingIncome_NONGAAP,0,COLUMN())</f>
        <v/>
      </c>
      <c r="N100" s="2072">
        <f>INDEX(MO_RIS_Reported_OperatingIncome_NONGAAP,0,COLUMN())</f>
        <v/>
      </c>
      <c r="O100" s="2072">
        <f>INDEX(MO_RIS_Reported_OperatingIncome_NONGAAP,0,COLUMN())</f>
        <v/>
      </c>
      <c r="P100" s="2087">
        <f>INDEX(MO_RIS_Reported_OperatingIncome_NONGAAP,0,COLUMN())</f>
        <v/>
      </c>
      <c r="Q100" s="2072">
        <f>INDEX(MO_RIS_Reported_OperatingIncome_NONGAAP,0,COLUMN())</f>
        <v/>
      </c>
      <c r="R100" s="2072">
        <f>INDEX(MO_RIS_Reported_OperatingIncome_NONGAAP,0,COLUMN())</f>
        <v/>
      </c>
      <c r="S100" s="2072">
        <f>INDEX(MO_RIS_Reported_OperatingIncome_NONGAAP,0,COLUMN())</f>
        <v/>
      </c>
      <c r="T100" s="2072">
        <f>INDEX(MO_RIS_Reported_OperatingIncome_NONGAAP,0,COLUMN())</f>
        <v/>
      </c>
      <c r="U100" s="2087">
        <f>INDEX(MO_RIS_Reported_OperatingIncome_NONGAAP,0,COLUMN())</f>
        <v/>
      </c>
      <c r="V100" s="2072">
        <f>INDEX(MO_RIS_Reported_OperatingIncome_NONGAAP,0,COLUMN())</f>
        <v/>
      </c>
      <c r="W100" s="2072">
        <f>INDEX(MO_RIS_Reported_OperatingIncome_NONGAAP,0,COLUMN())</f>
        <v/>
      </c>
      <c r="X100" s="2072">
        <f>INDEX(MO_RIS_Reported_OperatingIncome_NONGAAP,0,COLUMN())</f>
        <v/>
      </c>
      <c r="Y100" s="2072">
        <f>INDEX(MO_RIS_Reported_OperatingIncome_NONGAAP,0,COLUMN())</f>
        <v/>
      </c>
      <c r="Z100" s="2087">
        <f>INDEX(MO_RIS_Reported_OperatingIncome_NONGAAP,0,COLUMN())</f>
        <v/>
      </c>
      <c r="AA100" s="2072">
        <f>INDEX(MO_RIS_Reported_OperatingIncome_NONGAAP,0,COLUMN())</f>
        <v/>
      </c>
      <c r="AB100" s="2072">
        <f>INDEX(MO_RIS_Reported_OperatingIncome_NONGAAP,0,COLUMN())</f>
        <v/>
      </c>
      <c r="AC100" s="2072">
        <f>INDEX(MO_RIS_Reported_OperatingIncome_NONGAAP,0,COLUMN())</f>
        <v/>
      </c>
      <c r="AD100" s="2072">
        <f>INDEX(MO_RIS_Reported_OperatingIncome_NONGAAP,0,COLUMN())</f>
        <v/>
      </c>
      <c r="AE100" s="2087">
        <f>INDEX(MO_RIS_Reported_OperatingIncome_NONGAAP,0,COLUMN())</f>
        <v/>
      </c>
      <c r="AF100" s="2072">
        <f>INDEX(MO_RIS_Reported_OperatingIncome_NONGAAP,0,COLUMN())</f>
        <v/>
      </c>
      <c r="AG100" s="2072">
        <f>INDEX(MO_RIS_Reported_OperatingIncome_NONGAAP,0,COLUMN())</f>
        <v/>
      </c>
      <c r="AH100" s="2072">
        <f>INDEX(MO_RIS_Reported_OperatingIncome_NONGAAP,0,COLUMN())</f>
        <v/>
      </c>
      <c r="AI100" s="2072">
        <f>INDEX(MO_RIS_Reported_OperatingIncome_NONGAAP,0,COLUMN())</f>
        <v/>
      </c>
      <c r="AJ100" s="2087">
        <f>INDEX(MO_RIS_Reported_OperatingIncome_NONGAAP,0,COLUMN())</f>
        <v/>
      </c>
      <c r="AK100" s="2072">
        <f>INDEX(MO_RIS_Reported_OperatingIncome_NONGAAP,0,COLUMN())</f>
        <v/>
      </c>
      <c r="AL100" s="2072">
        <f>INDEX(MO_RIS_Reported_OperatingIncome_NONGAAP,0,COLUMN())</f>
        <v/>
      </c>
      <c r="AM100" s="2072">
        <f>INDEX(MO_RIS_Reported_OperatingIncome_NONGAAP,0,COLUMN())</f>
        <v/>
      </c>
      <c r="AN100" s="2072">
        <f>INDEX(MO_RIS_Reported_OperatingIncome_NONGAAP,0,COLUMN())</f>
        <v/>
      </c>
      <c r="AO100" s="2087">
        <f>INDEX(MO_RIS_Reported_OperatingIncome_NONGAAP,0,COLUMN())</f>
        <v/>
      </c>
      <c r="AP100" s="2072">
        <f>INDEX(MO_RIS_Reported_OperatingIncome_NONGAAP,0,COLUMN())</f>
        <v/>
      </c>
      <c r="AQ100" s="2072">
        <f>INDEX(MO_RIS_Reported_OperatingIncome_NONGAAP,0,COLUMN())</f>
        <v/>
      </c>
      <c r="AR100" s="2072">
        <f>INDEX(MO_RIS_Reported_OperatingIncome_NONGAAP,0,COLUMN())</f>
        <v/>
      </c>
      <c r="AS100" s="2072">
        <f>INDEX(MO_RIS_Reported_OperatingIncome_NONGAAP,0,COLUMN())</f>
        <v/>
      </c>
      <c r="AT100" s="2087">
        <f>INDEX(MO_RIS_Reported_OperatingIncome_NONGAAP,0,COLUMN())</f>
        <v/>
      </c>
      <c r="AU100" s="2072">
        <f>INDEX(MO_RIS_Reported_OperatingIncome_NONGAAP,0,COLUMN())</f>
        <v/>
      </c>
      <c r="AV100" s="2072">
        <f>INDEX(MO_RIS_Reported_OperatingIncome_NONGAAP,0,COLUMN())</f>
        <v/>
      </c>
      <c r="AW100" s="2072">
        <f>INDEX(MO_RIS_Reported_OperatingIncome_NONGAAP,0,COLUMN())</f>
        <v/>
      </c>
      <c r="AX100" s="2072">
        <f>INDEX(MO_RIS_Reported_OperatingIncome_NONGAAP,0,COLUMN())</f>
        <v/>
      </c>
      <c r="AY100" s="2087">
        <f>INDEX(MO_RIS_Reported_OperatingIncome_NONGAAP,0,COLUMN())</f>
        <v/>
      </c>
      <c r="AZ100" s="2072">
        <f>INDEX(MO_RIS_Reported_OperatingIncome_NONGAAP,0,COLUMN())</f>
        <v/>
      </c>
      <c r="BA100" s="2072">
        <f>INDEX(MO_RIS_Reported_OperatingIncome_NONGAAP,0,COLUMN())</f>
        <v/>
      </c>
      <c r="BB100" s="2072">
        <f>INDEX(MO_RIS_Reported_OperatingIncome_NONGAAP,0,COLUMN())</f>
        <v/>
      </c>
      <c r="BC100" s="2072">
        <f>INDEX(MO_RIS_Reported_OperatingIncome_NONGAAP,0,COLUMN())</f>
        <v/>
      </c>
      <c r="BD100" s="2087">
        <f>INDEX(MO_RIS_Reported_OperatingIncome_NONGAAP,0,COLUMN())</f>
        <v/>
      </c>
      <c r="BE100" s="2072">
        <f>INDEX(MO_RIS_Reported_OperatingIncome_NONGAAP,0,COLUMN())</f>
        <v/>
      </c>
      <c r="BF100" s="2072">
        <f>INDEX(MO_RIS_Reported_OperatingIncome_NONGAAP,0,COLUMN())</f>
        <v/>
      </c>
      <c r="BG100" s="2072">
        <f>INDEX(MO_RIS_Reported_OperatingIncome_NONGAAP,0,COLUMN())</f>
        <v/>
      </c>
      <c r="BH100" s="2072">
        <f>INDEX(MO_RIS_Reported_OperatingIncome_NONGAAP,0,COLUMN())</f>
        <v/>
      </c>
      <c r="BI100" s="2087">
        <f>INDEX(MO_RIS_Reported_OperatingIncome_NONGAAP,0,COLUMN())</f>
        <v/>
      </c>
      <c r="BJ100" s="2072">
        <f>INDEX(MO_RIS_Reported_OperatingIncome_NONGAAP,0,COLUMN())</f>
        <v/>
      </c>
      <c r="BK100" s="2072">
        <f>INDEX(MO_RIS_Reported_OperatingIncome_NONGAAP,0,COLUMN())</f>
        <v/>
      </c>
      <c r="BL100" s="2072">
        <f>INDEX(MO_RIS_Reported_OperatingIncome_NONGAAP,0,COLUMN())</f>
        <v/>
      </c>
      <c r="BM100" s="2072">
        <f>INDEX(MO_RIS_Reported_OperatingIncome_NONGAAP,0,COLUMN())</f>
        <v/>
      </c>
      <c r="BN100" s="2087">
        <f>INDEX(MO_RIS_Reported_OperatingIncome_NONGAAP,0,COLUMN())</f>
        <v/>
      </c>
      <c r="BO100" s="2072">
        <f>INDEX(MO_RIS_Reported_OperatingIncome_NONGAAP,0,COLUMN())</f>
        <v/>
      </c>
      <c r="BP100" s="2072">
        <f>INDEX(MO_RIS_Reported_OperatingIncome_NONGAAP,0,COLUMN())</f>
        <v/>
      </c>
      <c r="BQ100" s="2073">
        <f>INDEX(MO_RIS_Reported_OperatingIncome_NONGAAP,0,COLUMN())</f>
        <v/>
      </c>
      <c r="BR100" s="2072">
        <f>INDEX(MO_RIS_Reported_OperatingIncome_NONGAAP,0,COLUMN())</f>
        <v/>
      </c>
      <c r="BS100" s="2087">
        <f>INDEX(MO_RIS_Reported_OperatingIncome_NONGAAP,0,COLUMN())</f>
        <v/>
      </c>
      <c r="BT100" s="2072">
        <f>INDEX(MO_RIS_Reported_OperatingIncome_NONGAAP,0,COLUMN())</f>
        <v/>
      </c>
      <c r="BU100" s="2072">
        <f>INDEX(MO_RIS_Reported_OperatingIncome_NONGAAP,0,COLUMN())</f>
        <v/>
      </c>
      <c r="BV100" s="2072">
        <f>INDEX(MO_RIS_Reported_OperatingIncome_NONGAAP,0,COLUMN())</f>
        <v/>
      </c>
      <c r="BW100" s="2072">
        <f>INDEX(MO_RIS_Reported_OperatingIncome_NONGAAP,0,COLUMN())</f>
        <v/>
      </c>
      <c r="BX100" s="2087">
        <f>INDEX(MO_RIS_Reported_OperatingIncome_NONGAAP,0,COLUMN())</f>
        <v/>
      </c>
      <c r="BY100" s="2087">
        <f>INDEX(MO_RIS_Reported_OperatingIncome_NONGAAP,0,COLUMN())</f>
        <v/>
      </c>
      <c r="BZ100" s="2087">
        <f>INDEX(MO_RIS_Reported_OperatingIncome_NONGAAP,0,COLUMN())</f>
        <v/>
      </c>
      <c r="CA100" s="2087">
        <f>INDEX(MO_RIS_Reported_OperatingIncome_NONGAAP,0,COLUMN())</f>
        <v/>
      </c>
      <c r="CB100" s="2072" t="n"/>
    </row>
    <row r="101" hidden="1" outlineLevel="1" ht="15" customHeight="1" s="972">
      <c r="A101" s="1593" t="inlineStr">
        <is>
          <t>LTM EBIT</t>
        </is>
      </c>
      <c r="B101" s="2200" t="n"/>
      <c r="C101" s="2087">
        <f>C100</f>
        <v/>
      </c>
      <c r="D101" s="2087">
        <f>D100</f>
        <v/>
      </c>
      <c r="E101" s="2087">
        <f>E100</f>
        <v/>
      </c>
      <c r="F101" s="2087">
        <f>F100</f>
        <v/>
      </c>
      <c r="G101" s="2072" t="n"/>
      <c r="H101" s="2072" t="n"/>
      <c r="I101" s="2072" t="n"/>
      <c r="J101" s="2072">
        <f>SUM(J100,I100,H100,G100)</f>
        <v/>
      </c>
      <c r="K101" s="2087">
        <f>K100</f>
        <v/>
      </c>
      <c r="L101" s="2072">
        <f>SUM(L100,J100,I100,H100)</f>
        <v/>
      </c>
      <c r="M101" s="2072">
        <f>SUM(M100,L100,J100,I100)</f>
        <v/>
      </c>
      <c r="N101" s="2072">
        <f>SUM(N100,M100,L100,J100)</f>
        <v/>
      </c>
      <c r="O101" s="2072">
        <f>SUM(O100,N100,M100,L100)</f>
        <v/>
      </c>
      <c r="P101" s="2087">
        <f>P100</f>
        <v/>
      </c>
      <c r="Q101" s="2072">
        <f>SUM(Q100,O100,N100,M100)</f>
        <v/>
      </c>
      <c r="R101" s="2072">
        <f>SUM(R100,Q100,O100,N100)</f>
        <v/>
      </c>
      <c r="S101" s="2072">
        <f>SUM(S100,R100,Q100,O100)</f>
        <v/>
      </c>
      <c r="T101" s="2072">
        <f>SUM(T100,S100,R100,Q100)</f>
        <v/>
      </c>
      <c r="U101" s="2087">
        <f>U100</f>
        <v/>
      </c>
      <c r="V101" s="2072">
        <f>SUM(V100,T100,S100,R100)</f>
        <v/>
      </c>
      <c r="W101" s="2072">
        <f>SUM(W100,V100,T100,S100)</f>
        <v/>
      </c>
      <c r="X101" s="2072">
        <f>SUM(X100,W100,V100,T100)</f>
        <v/>
      </c>
      <c r="Y101" s="2072">
        <f>SUM(Y100,X100,W100,V100)</f>
        <v/>
      </c>
      <c r="Z101" s="2087">
        <f>Z100</f>
        <v/>
      </c>
      <c r="AA101" s="2072">
        <f>SUM(AA100,Y100,X100,W100)</f>
        <v/>
      </c>
      <c r="AB101" s="2072">
        <f>SUM(AB100,AA100,Y100,X100)</f>
        <v/>
      </c>
      <c r="AC101" s="2072">
        <f>SUM(AC100,AB100,AA100,Y100)</f>
        <v/>
      </c>
      <c r="AD101" s="2072">
        <f>SUM(AD100,AC100,AB100,AA100)</f>
        <v/>
      </c>
      <c r="AE101" s="2087">
        <f>AE100</f>
        <v/>
      </c>
      <c r="AF101" s="2072">
        <f>SUM(AF100,AD100,AC100,AB100)</f>
        <v/>
      </c>
      <c r="AG101" s="2072">
        <f>SUM(AG100,AF100,AD100,AC100)</f>
        <v/>
      </c>
      <c r="AH101" s="2072">
        <f>SUM(AH100,AG100,AF100,AD100)</f>
        <v/>
      </c>
      <c r="AI101" s="2072">
        <f>SUM(AI100,AH100,AG100,AF100)</f>
        <v/>
      </c>
      <c r="AJ101" s="2087">
        <f>AJ100</f>
        <v/>
      </c>
      <c r="AK101" s="2072">
        <f>SUM(AK100,AI100,AH100,AG100)</f>
        <v/>
      </c>
      <c r="AL101" s="2072">
        <f>SUM(AL100,AK100,AI100,AH100)</f>
        <v/>
      </c>
      <c r="AM101" s="2072">
        <f>SUM(AM100,AL100,AK100,AI100)</f>
        <v/>
      </c>
      <c r="AN101" s="2072">
        <f>SUM(AN100,AM100,AL100,AK100)</f>
        <v/>
      </c>
      <c r="AO101" s="2087">
        <f>AO100</f>
        <v/>
      </c>
      <c r="AP101" s="2072">
        <f>SUM(AP100,AN100,AM100,AL100)</f>
        <v/>
      </c>
      <c r="AQ101" s="2072">
        <f>SUM(AQ100,AP100,AN100,AM100)</f>
        <v/>
      </c>
      <c r="AR101" s="2072">
        <f>SUM(AR100,AQ100,AP100,AN100)</f>
        <v/>
      </c>
      <c r="AS101" s="2072">
        <f>SUM(AS100,AR100,AQ100,AP100)</f>
        <v/>
      </c>
      <c r="AT101" s="2087">
        <f>AT100</f>
        <v/>
      </c>
      <c r="AU101" s="2072">
        <f>SUM(AU100,AS100,AR100,AQ100)</f>
        <v/>
      </c>
      <c r="AV101" s="2072">
        <f>SUM(AV100,AU100,AS100,AR100)</f>
        <v/>
      </c>
      <c r="AW101" s="2072">
        <f>SUM(AW100,AV100,AU100,AS100)</f>
        <v/>
      </c>
      <c r="AX101" s="2072">
        <f>SUM(AX100,AW100,AV100,AU100)</f>
        <v/>
      </c>
      <c r="AY101" s="2087">
        <f>AY100</f>
        <v/>
      </c>
      <c r="AZ101" s="2072">
        <f>SUM(AZ100,AX100,AW100,AV100)</f>
        <v/>
      </c>
      <c r="BA101" s="2072">
        <f>SUM(BA100,AZ100,AX100,AW100)</f>
        <v/>
      </c>
      <c r="BB101" s="2072">
        <f>SUM(BB100,BA100,AZ100,AX100)</f>
        <v/>
      </c>
      <c r="BC101" s="2072">
        <f>SUM(BC100,BB100,BA100,AZ100)</f>
        <v/>
      </c>
      <c r="BD101" s="2087">
        <f>BD100</f>
        <v/>
      </c>
      <c r="BE101" s="2072">
        <f>SUM(BE100,BC100,BB100,BA100)</f>
        <v/>
      </c>
      <c r="BF101" s="2072">
        <f>SUM(BF100,BE100,BC100,BB100)</f>
        <v/>
      </c>
      <c r="BG101" s="2072">
        <f>SUM(BG100,BF100,BE100,BC100)</f>
        <v/>
      </c>
      <c r="BH101" s="2072">
        <f>SUM(BH100,BG100,BF100,BE100)</f>
        <v/>
      </c>
      <c r="BI101" s="2087">
        <f>BI100</f>
        <v/>
      </c>
      <c r="BJ101" s="2072">
        <f>SUM(BJ100,BH100,BG100,BF100)</f>
        <v/>
      </c>
      <c r="BK101" s="2072">
        <f>SUM(BK100,BJ100,BH100,BG100)</f>
        <v/>
      </c>
      <c r="BL101" s="2072">
        <f>SUM(BL100,BK100,BJ100,BH100)</f>
        <v/>
      </c>
      <c r="BM101" s="2072">
        <f>SUM(BM100,BL100,BK100,BJ100)</f>
        <v/>
      </c>
      <c r="BN101" s="2087">
        <f>BN100</f>
        <v/>
      </c>
      <c r="BO101" s="2072">
        <f>SUM(BO100,BM100,BL100,BK100)</f>
        <v/>
      </c>
      <c r="BP101" s="2072">
        <f>SUM(BP100,BO100,BM100,BL100)</f>
        <v/>
      </c>
      <c r="BQ101" s="2073">
        <f>SUM(BQ100,BP100,BO100,BM100)</f>
        <v/>
      </c>
      <c r="BR101" s="2072">
        <f>SUM(BR100,BQ100,BP100,BO100)</f>
        <v/>
      </c>
      <c r="BS101" s="2087">
        <f>BS100</f>
        <v/>
      </c>
      <c r="BT101" s="2072">
        <f>SUM(BT100,BR100,BQ100,BP100)</f>
        <v/>
      </c>
      <c r="BU101" s="2072">
        <f>SUM(BU100,BT100,BR100,BQ100)</f>
        <v/>
      </c>
      <c r="BV101" s="2072">
        <f>SUM(BV100,BU100,BT100,BR100)</f>
        <v/>
      </c>
      <c r="BW101" s="2072">
        <f>SUM(BW100,BV100,BU100,BT100)</f>
        <v/>
      </c>
      <c r="BX101" s="2087">
        <f>BX100</f>
        <v/>
      </c>
      <c r="BY101" s="2087">
        <f>BY100</f>
        <v/>
      </c>
      <c r="BZ101" s="2087">
        <f>BZ100</f>
        <v/>
      </c>
      <c r="CA101" s="2087">
        <f>CA100</f>
        <v/>
      </c>
      <c r="CB101" s="2072" t="n"/>
    </row>
    <row r="102" hidden="1" outlineLevel="1" ht="15" customHeight="1" s="972">
      <c r="A102" s="1593" t="inlineStr">
        <is>
          <t>Current Liabilities</t>
        </is>
      </c>
      <c r="B102" s="2200" t="n"/>
      <c r="C102" s="2087">
        <f>INDEX(MO_BS_CL,0,COLUMN())</f>
        <v/>
      </c>
      <c r="D102" s="2087">
        <f>INDEX(MO_BS_CL,0,COLUMN())</f>
        <v/>
      </c>
      <c r="E102" s="2087">
        <f>INDEX(MO_BS_CL,0,COLUMN())</f>
        <v/>
      </c>
      <c r="F102" s="2087">
        <f>INDEX(MO_BS_CL,0,COLUMN())</f>
        <v/>
      </c>
      <c r="G102" s="2072">
        <f>INDEX(MO_BS_CL,0,COLUMN())</f>
        <v/>
      </c>
      <c r="H102" s="2072">
        <f>INDEX(MO_BS_CL,0,COLUMN())</f>
        <v/>
      </c>
      <c r="I102" s="2072">
        <f>INDEX(MO_BS_CL,0,COLUMN())</f>
        <v/>
      </c>
      <c r="J102" s="2072">
        <f>INDEX(MO_BS_CL,0,COLUMN())</f>
        <v/>
      </c>
      <c r="K102" s="2087">
        <f>INDEX(MO_BS_CL,0,COLUMN())</f>
        <v/>
      </c>
      <c r="L102" s="2072">
        <f>INDEX(MO_BS_CL,0,COLUMN())</f>
        <v/>
      </c>
      <c r="M102" s="2072">
        <f>INDEX(MO_BS_CL,0,COLUMN())</f>
        <v/>
      </c>
      <c r="N102" s="2072">
        <f>INDEX(MO_BS_CL,0,COLUMN())</f>
        <v/>
      </c>
      <c r="O102" s="2072">
        <f>INDEX(MO_BS_CL,0,COLUMN())</f>
        <v/>
      </c>
      <c r="P102" s="2087">
        <f>INDEX(MO_BS_CL,0,COLUMN())</f>
        <v/>
      </c>
      <c r="Q102" s="2072">
        <f>INDEX(MO_BS_CL,0,COLUMN())</f>
        <v/>
      </c>
      <c r="R102" s="2072">
        <f>INDEX(MO_BS_CL,0,COLUMN())</f>
        <v/>
      </c>
      <c r="S102" s="2072">
        <f>INDEX(MO_BS_CL,0,COLUMN())</f>
        <v/>
      </c>
      <c r="T102" s="2072">
        <f>INDEX(MO_BS_CL,0,COLUMN())</f>
        <v/>
      </c>
      <c r="U102" s="2087">
        <f>INDEX(MO_BS_CL,0,COLUMN())</f>
        <v/>
      </c>
      <c r="V102" s="2072">
        <f>INDEX(MO_BS_CL,0,COLUMN())</f>
        <v/>
      </c>
      <c r="W102" s="2072">
        <f>INDEX(MO_BS_CL,0,COLUMN())</f>
        <v/>
      </c>
      <c r="X102" s="2072">
        <f>INDEX(MO_BS_CL,0,COLUMN())</f>
        <v/>
      </c>
      <c r="Y102" s="2072">
        <f>INDEX(MO_BS_CL,0,COLUMN())</f>
        <v/>
      </c>
      <c r="Z102" s="2087">
        <f>INDEX(MO_BS_CL,0,COLUMN())</f>
        <v/>
      </c>
      <c r="AA102" s="2072">
        <f>INDEX(MO_BS_CL,0,COLUMN())</f>
        <v/>
      </c>
      <c r="AB102" s="2072">
        <f>INDEX(MO_BS_CL,0,COLUMN())</f>
        <v/>
      </c>
      <c r="AC102" s="2072">
        <f>INDEX(MO_BS_CL,0,COLUMN())</f>
        <v/>
      </c>
      <c r="AD102" s="2072">
        <f>INDEX(MO_BS_CL,0,COLUMN())</f>
        <v/>
      </c>
      <c r="AE102" s="2087">
        <f>INDEX(MO_BS_CL,0,COLUMN())</f>
        <v/>
      </c>
      <c r="AF102" s="2072">
        <f>INDEX(MO_BS_CL,0,COLUMN())</f>
        <v/>
      </c>
      <c r="AG102" s="2072">
        <f>INDEX(MO_BS_CL,0,COLUMN())</f>
        <v/>
      </c>
      <c r="AH102" s="2072">
        <f>INDEX(MO_BS_CL,0,COLUMN())</f>
        <v/>
      </c>
      <c r="AI102" s="2072">
        <f>INDEX(MO_BS_CL,0,COLUMN())</f>
        <v/>
      </c>
      <c r="AJ102" s="2087">
        <f>INDEX(MO_BS_CL,0,COLUMN())</f>
        <v/>
      </c>
      <c r="AK102" s="2072">
        <f>INDEX(MO_BS_CL,0,COLUMN())</f>
        <v/>
      </c>
      <c r="AL102" s="2072">
        <f>INDEX(MO_BS_CL,0,COLUMN())</f>
        <v/>
      </c>
      <c r="AM102" s="2072">
        <f>INDEX(MO_BS_CL,0,COLUMN())</f>
        <v/>
      </c>
      <c r="AN102" s="2072">
        <f>INDEX(MO_BS_CL,0,COLUMN())</f>
        <v/>
      </c>
      <c r="AO102" s="2087">
        <f>INDEX(MO_BS_CL,0,COLUMN())</f>
        <v/>
      </c>
      <c r="AP102" s="2072">
        <f>INDEX(MO_BS_CL,0,COLUMN())</f>
        <v/>
      </c>
      <c r="AQ102" s="2072">
        <f>INDEX(MO_BS_CL,0,COLUMN())</f>
        <v/>
      </c>
      <c r="AR102" s="2072">
        <f>INDEX(MO_BS_CL,0,COLUMN())</f>
        <v/>
      </c>
      <c r="AS102" s="2072">
        <f>INDEX(MO_BS_CL,0,COLUMN())</f>
        <v/>
      </c>
      <c r="AT102" s="2087">
        <f>INDEX(MO_BS_CL,0,COLUMN())</f>
        <v/>
      </c>
      <c r="AU102" s="2072">
        <f>INDEX(MO_BS_CL,0,COLUMN())</f>
        <v/>
      </c>
      <c r="AV102" s="2072">
        <f>INDEX(MO_BS_CL,0,COLUMN())</f>
        <v/>
      </c>
      <c r="AW102" s="2072">
        <f>INDEX(MO_BS_CL,0,COLUMN())</f>
        <v/>
      </c>
      <c r="AX102" s="2072">
        <f>INDEX(MO_BS_CL,0,COLUMN())</f>
        <v/>
      </c>
      <c r="AY102" s="2087">
        <f>INDEX(MO_BS_CL,0,COLUMN())</f>
        <v/>
      </c>
      <c r="AZ102" s="2072">
        <f>INDEX(MO_BS_CL,0,COLUMN())</f>
        <v/>
      </c>
      <c r="BA102" s="2072">
        <f>INDEX(MO_BS_CL,0,COLUMN())</f>
        <v/>
      </c>
      <c r="BB102" s="2072">
        <f>INDEX(MO_BS_CL,0,COLUMN())</f>
        <v/>
      </c>
      <c r="BC102" s="2072">
        <f>INDEX(MO_BS_CL,0,COLUMN())</f>
        <v/>
      </c>
      <c r="BD102" s="2087">
        <f>INDEX(MO_BS_CL,0,COLUMN())</f>
        <v/>
      </c>
      <c r="BE102" s="2072">
        <f>INDEX(MO_BS_CL,0,COLUMN())</f>
        <v/>
      </c>
      <c r="BF102" s="2072">
        <f>INDEX(MO_BS_CL,0,COLUMN())</f>
        <v/>
      </c>
      <c r="BG102" s="2072">
        <f>INDEX(MO_BS_CL,0,COLUMN())</f>
        <v/>
      </c>
      <c r="BH102" s="2072">
        <f>INDEX(MO_BS_CL,0,COLUMN())</f>
        <v/>
      </c>
      <c r="BI102" s="2087">
        <f>INDEX(MO_BS_CL,0,COLUMN())</f>
        <v/>
      </c>
      <c r="BJ102" s="2072">
        <f>INDEX(MO_BS_CL,0,COLUMN())</f>
        <v/>
      </c>
      <c r="BK102" s="2072">
        <f>INDEX(MO_BS_CL,0,COLUMN())</f>
        <v/>
      </c>
      <c r="BL102" s="2072">
        <f>INDEX(MO_BS_CL,0,COLUMN())</f>
        <v/>
      </c>
      <c r="BM102" s="2072">
        <f>INDEX(MO_BS_CL,0,COLUMN())</f>
        <v/>
      </c>
      <c r="BN102" s="2087">
        <f>INDEX(MO_BS_CL,0,COLUMN())</f>
        <v/>
      </c>
      <c r="BO102" s="2072">
        <f>INDEX(MO_BS_CL,0,COLUMN())</f>
        <v/>
      </c>
      <c r="BP102" s="2072">
        <f>INDEX(MO_BS_CL,0,COLUMN())</f>
        <v/>
      </c>
      <c r="BQ102" s="2073">
        <f>INDEX(MO_BS_CL,0,COLUMN())</f>
        <v/>
      </c>
      <c r="BR102" s="2072">
        <f>INDEX(MO_BS_CL,0,COLUMN())</f>
        <v/>
      </c>
      <c r="BS102" s="2087">
        <f>INDEX(MO_BS_CL,0,COLUMN())</f>
        <v/>
      </c>
      <c r="BT102" s="2072">
        <f>INDEX(MO_BS_CL,0,COLUMN())</f>
        <v/>
      </c>
      <c r="BU102" s="2072">
        <f>INDEX(MO_BS_CL,0,COLUMN())</f>
        <v/>
      </c>
      <c r="BV102" s="2072">
        <f>INDEX(MO_BS_CL,0,COLUMN())</f>
        <v/>
      </c>
      <c r="BW102" s="2072">
        <f>INDEX(MO_BS_CL,0,COLUMN())</f>
        <v/>
      </c>
      <c r="BX102" s="2087">
        <f>INDEX(MO_BS_CL,0,COLUMN())</f>
        <v/>
      </c>
      <c r="BY102" s="2087">
        <f>INDEX(MO_BS_CL,0,COLUMN())</f>
        <v/>
      </c>
      <c r="BZ102" s="2087">
        <f>INDEX(MO_BS_CL,0,COLUMN())</f>
        <v/>
      </c>
      <c r="CA102" s="2087">
        <f>INDEX(MO_BS_CL,0,COLUMN())</f>
        <v/>
      </c>
      <c r="CB102" s="2072" t="n"/>
    </row>
    <row r="103" hidden="1" outlineLevel="1" ht="15" customHeight="1" s="972">
      <c r="A103" s="1593" t="inlineStr">
        <is>
          <t>Average Current Liabilities</t>
        </is>
      </c>
      <c r="B103" s="2200" t="n"/>
      <c r="C103" s="2087">
        <f>C102</f>
        <v/>
      </c>
      <c r="D103" s="2087">
        <f>AVERAGE(D102,C102)</f>
        <v/>
      </c>
      <c r="E103" s="2087">
        <f>AVERAGE(E102,D102)</f>
        <v/>
      </c>
      <c r="F103" s="2087">
        <f>AVERAGE(F102,E102)</f>
        <v/>
      </c>
      <c r="G103" s="2072" t="n"/>
      <c r="H103" s="2072" t="n"/>
      <c r="I103" s="2072" t="n"/>
      <c r="J103" s="2072">
        <f>AVERAGE(J102,I102,H102,G102)</f>
        <v/>
      </c>
      <c r="K103" s="2087">
        <f>AVERAGE(K102,F102)</f>
        <v/>
      </c>
      <c r="L103" s="2072">
        <f>AVERAGE(L102,J102,I102,H102)</f>
        <v/>
      </c>
      <c r="M103" s="2072">
        <f>AVERAGE(M102,L102,J102,I102)</f>
        <v/>
      </c>
      <c r="N103" s="2072">
        <f>AVERAGE(N102,M102,L102,J102)</f>
        <v/>
      </c>
      <c r="O103" s="2072">
        <f>AVERAGE(O102,N102,M102,L102)</f>
        <v/>
      </c>
      <c r="P103" s="2087">
        <f>AVERAGE(P102,K102)</f>
        <v/>
      </c>
      <c r="Q103" s="2072">
        <f>AVERAGE(Q102,O102,N102,M102)</f>
        <v/>
      </c>
      <c r="R103" s="2072">
        <f>AVERAGE(R102,Q102,O102,N102)</f>
        <v/>
      </c>
      <c r="S103" s="2072">
        <f>AVERAGE(S102,R102,Q102,O102)</f>
        <v/>
      </c>
      <c r="T103" s="2072">
        <f>AVERAGE(T102,S102,R102,Q102)</f>
        <v/>
      </c>
      <c r="U103" s="2087">
        <f>AVERAGE(U102,P102)</f>
        <v/>
      </c>
      <c r="V103" s="2072">
        <f>AVERAGE(V102,T102,S102,R102)</f>
        <v/>
      </c>
      <c r="W103" s="2072">
        <f>AVERAGE(W102,V102,T102,S102)</f>
        <v/>
      </c>
      <c r="X103" s="2072">
        <f>AVERAGE(X102,W102,V102,T102)</f>
        <v/>
      </c>
      <c r="Y103" s="2072">
        <f>AVERAGE(Y102,X102,W102,V102)</f>
        <v/>
      </c>
      <c r="Z103" s="2087">
        <f>AVERAGE(Z102,U102)</f>
        <v/>
      </c>
      <c r="AA103" s="2072">
        <f>AVERAGE(AA102,Y102,X102,W102)</f>
        <v/>
      </c>
      <c r="AB103" s="2072">
        <f>AVERAGE(AB102,AA102,Y102,X102)</f>
        <v/>
      </c>
      <c r="AC103" s="2072">
        <f>AVERAGE(AC102,AB102,AA102,Y102)</f>
        <v/>
      </c>
      <c r="AD103" s="2072">
        <f>AVERAGE(AD102,AC102,AB102,AA102)</f>
        <v/>
      </c>
      <c r="AE103" s="2087">
        <f>AVERAGE(AE102,Z102)</f>
        <v/>
      </c>
      <c r="AF103" s="2072">
        <f>AVERAGE(AF102,AD102,AC102,AB102)</f>
        <v/>
      </c>
      <c r="AG103" s="2072">
        <f>AVERAGE(AG102,AF102,AD102,AC102)</f>
        <v/>
      </c>
      <c r="AH103" s="2072">
        <f>AVERAGE(AH102,AG102,AF102,AD102)</f>
        <v/>
      </c>
      <c r="AI103" s="2072">
        <f>AVERAGE(AI102,AH102,AG102,AF102)</f>
        <v/>
      </c>
      <c r="AJ103" s="2087">
        <f>AVERAGE(AJ102,AE102)</f>
        <v/>
      </c>
      <c r="AK103" s="2072">
        <f>AVERAGE(AK102,AI102,AH102,AG102)</f>
        <v/>
      </c>
      <c r="AL103" s="2072">
        <f>AVERAGE(AL102,AK102,AI102,AH102)</f>
        <v/>
      </c>
      <c r="AM103" s="2072">
        <f>AVERAGE(AM102,AL102,AK102,AI102)</f>
        <v/>
      </c>
      <c r="AN103" s="2072">
        <f>AVERAGE(AN102,AM102,AL102,AK102)</f>
        <v/>
      </c>
      <c r="AO103" s="2087">
        <f>AVERAGE(AO102,AJ102)</f>
        <v/>
      </c>
      <c r="AP103" s="2072">
        <f>AVERAGE(AP102,AN102,AM102,AL102)</f>
        <v/>
      </c>
      <c r="AQ103" s="2072">
        <f>AVERAGE(AQ102,AP102,AN102,AM102)</f>
        <v/>
      </c>
      <c r="AR103" s="2072">
        <f>AVERAGE(AR102,AQ102,AP102,AN102)</f>
        <v/>
      </c>
      <c r="AS103" s="2072">
        <f>AVERAGE(AS102,AR102,AQ102,AP102)</f>
        <v/>
      </c>
      <c r="AT103" s="2087">
        <f>AVERAGE(AT102,AO102)</f>
        <v/>
      </c>
      <c r="AU103" s="2072">
        <f>AVERAGE(AU102,AS102,AR102,AQ102)</f>
        <v/>
      </c>
      <c r="AV103" s="2072">
        <f>AVERAGE(AV102,AU102,AS102,AR102)</f>
        <v/>
      </c>
      <c r="AW103" s="2072">
        <f>AVERAGE(AW102,AV102,AU102,AS102)</f>
        <v/>
      </c>
      <c r="AX103" s="2072">
        <f>AVERAGE(AX102,AW102,AV102,AU102)</f>
        <v/>
      </c>
      <c r="AY103" s="2087">
        <f>AVERAGE(AY102,AT102)</f>
        <v/>
      </c>
      <c r="AZ103" s="2072">
        <f>AVERAGE(AZ102,AX102,AW102,AV102)</f>
        <v/>
      </c>
      <c r="BA103" s="2072">
        <f>AVERAGE(BA102,AZ102,AX102,AW102)</f>
        <v/>
      </c>
      <c r="BB103" s="2072">
        <f>AVERAGE(BB102,BA102,AZ102,AX102)</f>
        <v/>
      </c>
      <c r="BC103" s="2072">
        <f>AVERAGE(BC102,BB102,BA102,AZ102)</f>
        <v/>
      </c>
      <c r="BD103" s="2087">
        <f>AVERAGE(BD102,AY102)</f>
        <v/>
      </c>
      <c r="BE103" s="2072">
        <f>AVERAGE(BE102,BC102,BB102,BA102)</f>
        <v/>
      </c>
      <c r="BF103" s="2072">
        <f>AVERAGE(BF102,BE102,BC102,BB102)</f>
        <v/>
      </c>
      <c r="BG103" s="2072">
        <f>AVERAGE(BG102,BF102,BE102,BC102)</f>
        <v/>
      </c>
      <c r="BH103" s="2072">
        <f>AVERAGE(BH102,BG102,BF102,BE102)</f>
        <v/>
      </c>
      <c r="BI103" s="2087">
        <f>AVERAGE(BI102,BD102)</f>
        <v/>
      </c>
      <c r="BJ103" s="2072">
        <f>AVERAGE(BJ102,BH102,BG102,BF102)</f>
        <v/>
      </c>
      <c r="BK103" s="2072">
        <f>AVERAGE(BK102,BJ102,BH102,BG102)</f>
        <v/>
      </c>
      <c r="BL103" s="2072">
        <f>AVERAGE(BL102,BK102,BJ102,BH102)</f>
        <v/>
      </c>
      <c r="BM103" s="2072">
        <f>AVERAGE(BM102,BL102,BK102,BJ102)</f>
        <v/>
      </c>
      <c r="BN103" s="2087">
        <f>AVERAGE(BN102,BI102)</f>
        <v/>
      </c>
      <c r="BO103" s="2072">
        <f>AVERAGE(BO102,BM102,BL102,BK102)</f>
        <v/>
      </c>
      <c r="BP103" s="2072">
        <f>AVERAGE(BP102,BO102,BM102,BL102)</f>
        <v/>
      </c>
      <c r="BQ103" s="2073">
        <f>AVERAGE(BQ102,BP102,BO102,BM102)</f>
        <v/>
      </c>
      <c r="BR103" s="2072">
        <f>AVERAGE(BR102,BQ102,BP102,BO102)</f>
        <v/>
      </c>
      <c r="BS103" s="2087">
        <f>AVERAGE(BS102,BN102)</f>
        <v/>
      </c>
      <c r="BT103" s="2072">
        <f>AVERAGE(BT102,BR102,BQ102,BP102)</f>
        <v/>
      </c>
      <c r="BU103" s="2072">
        <f>AVERAGE(BU102,BT102,BR102,BQ102)</f>
        <v/>
      </c>
      <c r="BV103" s="2072">
        <f>AVERAGE(BV102,BU102,BT102,BR102)</f>
        <v/>
      </c>
      <c r="BW103" s="2072">
        <f>AVERAGE(BW102,BV102,BU102,BT102)</f>
        <v/>
      </c>
      <c r="BX103" s="2087">
        <f>AVERAGE(BX102,BS102)</f>
        <v/>
      </c>
      <c r="BY103" s="2087">
        <f>AVERAGE(BY102,BX102)</f>
        <v/>
      </c>
      <c r="BZ103" s="2087">
        <f>AVERAGE(BZ102,BY102)</f>
        <v/>
      </c>
      <c r="CA103" s="2087">
        <f>AVERAGE(CA102,BZ102)</f>
        <v/>
      </c>
      <c r="CB103" s="2072" t="n"/>
    </row>
    <row r="104" hidden="1" outlineLevel="1" ht="15" customHeight="1" s="972">
      <c r="A104" s="1593" t="inlineStr">
        <is>
          <t>Average Capital Employed</t>
        </is>
      </c>
      <c r="B104" s="2200" t="n"/>
      <c r="C104" s="2087">
        <f>INDEX(SP_BSR_TA_Avg,0,COLUMN())-INDEX(SP_BSR_CL_Avg,0,COLUMN())</f>
        <v/>
      </c>
      <c r="D104" s="2087">
        <f>INDEX(SP_BSR_TA_Avg,0,COLUMN())-INDEX(SP_BSR_CL_Avg,0,COLUMN())</f>
        <v/>
      </c>
      <c r="E104" s="2087">
        <f>INDEX(SP_BSR_TA_Avg,0,COLUMN())-INDEX(SP_BSR_CL_Avg,0,COLUMN())</f>
        <v/>
      </c>
      <c r="F104" s="2087">
        <f>INDEX(SP_BSR_TA_Avg,0,COLUMN())-INDEX(SP_BSR_CL_Avg,0,COLUMN())</f>
        <v/>
      </c>
      <c r="G104" s="2072">
        <f>INDEX(SP_BSR_TA_Avg,0,COLUMN())-INDEX(SP_BSR_CL_Avg,0,COLUMN())</f>
        <v/>
      </c>
      <c r="H104" s="2072">
        <f>INDEX(SP_BSR_TA_Avg,0,COLUMN())-INDEX(SP_BSR_CL_Avg,0,COLUMN())</f>
        <v/>
      </c>
      <c r="I104" s="2072">
        <f>INDEX(SP_BSR_TA_Avg,0,COLUMN())-INDEX(SP_BSR_CL_Avg,0,COLUMN())</f>
        <v/>
      </c>
      <c r="J104" s="2072">
        <f>INDEX(SP_BSR_TA_Avg,0,COLUMN())-INDEX(SP_BSR_CL_Avg,0,COLUMN())</f>
        <v/>
      </c>
      <c r="K104" s="2087">
        <f>INDEX(SP_BSR_TA_Avg,0,COLUMN())-INDEX(SP_BSR_CL_Avg,0,COLUMN())</f>
        <v/>
      </c>
      <c r="L104" s="2072">
        <f>INDEX(SP_BSR_TA_Avg,0,COLUMN())-INDEX(SP_BSR_CL_Avg,0,COLUMN())</f>
        <v/>
      </c>
      <c r="M104" s="2072">
        <f>INDEX(SP_BSR_TA_Avg,0,COLUMN())-INDEX(SP_BSR_CL_Avg,0,COLUMN())</f>
        <v/>
      </c>
      <c r="N104" s="2072">
        <f>INDEX(SP_BSR_TA_Avg,0,COLUMN())-INDEX(SP_BSR_CL_Avg,0,COLUMN())</f>
        <v/>
      </c>
      <c r="O104" s="2072">
        <f>INDEX(SP_BSR_TA_Avg,0,COLUMN())-INDEX(SP_BSR_CL_Avg,0,COLUMN())</f>
        <v/>
      </c>
      <c r="P104" s="2087">
        <f>INDEX(SP_BSR_TA_Avg,0,COLUMN())-INDEX(SP_BSR_CL_Avg,0,COLUMN())</f>
        <v/>
      </c>
      <c r="Q104" s="2072">
        <f>INDEX(SP_BSR_TA_Avg,0,COLUMN())-INDEX(SP_BSR_CL_Avg,0,COLUMN())</f>
        <v/>
      </c>
      <c r="R104" s="2072">
        <f>INDEX(SP_BSR_TA_Avg,0,COLUMN())-INDEX(SP_BSR_CL_Avg,0,COLUMN())</f>
        <v/>
      </c>
      <c r="S104" s="2072">
        <f>INDEX(SP_BSR_TA_Avg,0,COLUMN())-INDEX(SP_BSR_CL_Avg,0,COLUMN())</f>
        <v/>
      </c>
      <c r="T104" s="2072">
        <f>INDEX(SP_BSR_TA_Avg,0,COLUMN())-INDEX(SP_BSR_CL_Avg,0,COLUMN())</f>
        <v/>
      </c>
      <c r="U104" s="2087">
        <f>INDEX(SP_BSR_TA_Avg,0,COLUMN())-INDEX(SP_BSR_CL_Avg,0,COLUMN())</f>
        <v/>
      </c>
      <c r="V104" s="2072">
        <f>INDEX(SP_BSR_TA_Avg,0,COLUMN())-INDEX(SP_BSR_CL_Avg,0,COLUMN())</f>
        <v/>
      </c>
      <c r="W104" s="2072">
        <f>INDEX(SP_BSR_TA_Avg,0,COLUMN())-INDEX(SP_BSR_CL_Avg,0,COLUMN())</f>
        <v/>
      </c>
      <c r="X104" s="2072">
        <f>INDEX(SP_BSR_TA_Avg,0,COLUMN())-INDEX(SP_BSR_CL_Avg,0,COLUMN())</f>
        <v/>
      </c>
      <c r="Y104" s="2072">
        <f>INDEX(SP_BSR_TA_Avg,0,COLUMN())-INDEX(SP_BSR_CL_Avg,0,COLUMN())</f>
        <v/>
      </c>
      <c r="Z104" s="2087">
        <f>INDEX(SP_BSR_TA_Avg,0,COLUMN())-INDEX(SP_BSR_CL_Avg,0,COLUMN())</f>
        <v/>
      </c>
      <c r="AA104" s="2072">
        <f>INDEX(SP_BSR_TA_Avg,0,COLUMN())-INDEX(SP_BSR_CL_Avg,0,COLUMN())</f>
        <v/>
      </c>
      <c r="AB104" s="2072">
        <f>INDEX(SP_BSR_TA_Avg,0,COLUMN())-INDEX(SP_BSR_CL_Avg,0,COLUMN())</f>
        <v/>
      </c>
      <c r="AC104" s="2072">
        <f>INDEX(SP_BSR_TA_Avg,0,COLUMN())-INDEX(SP_BSR_CL_Avg,0,COLUMN())</f>
        <v/>
      </c>
      <c r="AD104" s="2072">
        <f>INDEX(SP_BSR_TA_Avg,0,COLUMN())-INDEX(SP_BSR_CL_Avg,0,COLUMN())</f>
        <v/>
      </c>
      <c r="AE104" s="2087">
        <f>INDEX(SP_BSR_TA_Avg,0,COLUMN())-INDEX(SP_BSR_CL_Avg,0,COLUMN())</f>
        <v/>
      </c>
      <c r="AF104" s="2072">
        <f>INDEX(SP_BSR_TA_Avg,0,COLUMN())-INDEX(SP_BSR_CL_Avg,0,COLUMN())</f>
        <v/>
      </c>
      <c r="AG104" s="2072">
        <f>INDEX(SP_BSR_TA_Avg,0,COLUMN())-INDEX(SP_BSR_CL_Avg,0,COLUMN())</f>
        <v/>
      </c>
      <c r="AH104" s="2072">
        <f>INDEX(SP_BSR_TA_Avg,0,COLUMN())-INDEX(SP_BSR_CL_Avg,0,COLUMN())</f>
        <v/>
      </c>
      <c r="AI104" s="2072">
        <f>INDEX(SP_BSR_TA_Avg,0,COLUMN())-INDEX(SP_BSR_CL_Avg,0,COLUMN())</f>
        <v/>
      </c>
      <c r="AJ104" s="2087">
        <f>INDEX(SP_BSR_TA_Avg,0,COLUMN())-INDEX(SP_BSR_CL_Avg,0,COLUMN())</f>
        <v/>
      </c>
      <c r="AK104" s="2072">
        <f>INDEX(SP_BSR_TA_Avg,0,COLUMN())-INDEX(SP_BSR_CL_Avg,0,COLUMN())</f>
        <v/>
      </c>
      <c r="AL104" s="2072">
        <f>INDEX(SP_BSR_TA_Avg,0,COLUMN())-INDEX(SP_BSR_CL_Avg,0,COLUMN())</f>
        <v/>
      </c>
      <c r="AM104" s="2072">
        <f>INDEX(SP_BSR_TA_Avg,0,COLUMN())-INDEX(SP_BSR_CL_Avg,0,COLUMN())</f>
        <v/>
      </c>
      <c r="AN104" s="2072">
        <f>INDEX(SP_BSR_TA_Avg,0,COLUMN())-INDEX(SP_BSR_CL_Avg,0,COLUMN())</f>
        <v/>
      </c>
      <c r="AO104" s="2087">
        <f>INDEX(SP_BSR_TA_Avg,0,COLUMN())-INDEX(SP_BSR_CL_Avg,0,COLUMN())</f>
        <v/>
      </c>
      <c r="AP104" s="2072">
        <f>INDEX(SP_BSR_TA_Avg,0,COLUMN())-INDEX(SP_BSR_CL_Avg,0,COLUMN())</f>
        <v/>
      </c>
      <c r="AQ104" s="2072">
        <f>INDEX(SP_BSR_TA_Avg,0,COLUMN())-INDEX(SP_BSR_CL_Avg,0,COLUMN())</f>
        <v/>
      </c>
      <c r="AR104" s="2072">
        <f>INDEX(SP_BSR_TA_Avg,0,COLUMN())-INDEX(SP_BSR_CL_Avg,0,COLUMN())</f>
        <v/>
      </c>
      <c r="AS104" s="2072">
        <f>INDEX(SP_BSR_TA_Avg,0,COLUMN())-INDEX(SP_BSR_CL_Avg,0,COLUMN())</f>
        <v/>
      </c>
      <c r="AT104" s="2087">
        <f>INDEX(SP_BSR_TA_Avg,0,COLUMN())-INDEX(SP_BSR_CL_Avg,0,COLUMN())</f>
        <v/>
      </c>
      <c r="AU104" s="2072">
        <f>INDEX(SP_BSR_TA_Avg,0,COLUMN())-INDEX(SP_BSR_CL_Avg,0,COLUMN())</f>
        <v/>
      </c>
      <c r="AV104" s="2072">
        <f>INDEX(SP_BSR_TA_Avg,0,COLUMN())-INDEX(SP_BSR_CL_Avg,0,COLUMN())</f>
        <v/>
      </c>
      <c r="AW104" s="2072">
        <f>INDEX(SP_BSR_TA_Avg,0,COLUMN())-INDEX(SP_BSR_CL_Avg,0,COLUMN())</f>
        <v/>
      </c>
      <c r="AX104" s="2072">
        <f>INDEX(SP_BSR_TA_Avg,0,COLUMN())-INDEX(SP_BSR_CL_Avg,0,COLUMN())</f>
        <v/>
      </c>
      <c r="AY104" s="2087">
        <f>INDEX(SP_BSR_TA_Avg,0,COLUMN())-INDEX(SP_BSR_CL_Avg,0,COLUMN())</f>
        <v/>
      </c>
      <c r="AZ104" s="2072">
        <f>INDEX(SP_BSR_TA_Avg,0,COLUMN())-INDEX(SP_BSR_CL_Avg,0,COLUMN())</f>
        <v/>
      </c>
      <c r="BA104" s="2072">
        <f>INDEX(SP_BSR_TA_Avg,0,COLUMN())-INDEX(SP_BSR_CL_Avg,0,COLUMN())</f>
        <v/>
      </c>
      <c r="BB104" s="2072">
        <f>INDEX(SP_BSR_TA_Avg,0,COLUMN())-INDEX(SP_BSR_CL_Avg,0,COLUMN())</f>
        <v/>
      </c>
      <c r="BC104" s="2072">
        <f>INDEX(SP_BSR_TA_Avg,0,COLUMN())-INDEX(SP_BSR_CL_Avg,0,COLUMN())</f>
        <v/>
      </c>
      <c r="BD104" s="2087">
        <f>INDEX(SP_BSR_TA_Avg,0,COLUMN())-INDEX(SP_BSR_CL_Avg,0,COLUMN())</f>
        <v/>
      </c>
      <c r="BE104" s="2072">
        <f>INDEX(SP_BSR_TA_Avg,0,COLUMN())-INDEX(SP_BSR_CL_Avg,0,COLUMN())</f>
        <v/>
      </c>
      <c r="BF104" s="2072">
        <f>INDEX(SP_BSR_TA_Avg,0,COLUMN())-INDEX(SP_BSR_CL_Avg,0,COLUMN())</f>
        <v/>
      </c>
      <c r="BG104" s="2072">
        <f>INDEX(SP_BSR_TA_Avg,0,COLUMN())-INDEX(SP_BSR_CL_Avg,0,COLUMN())</f>
        <v/>
      </c>
      <c r="BH104" s="2072">
        <f>INDEX(SP_BSR_TA_Avg,0,COLUMN())-INDEX(SP_BSR_CL_Avg,0,COLUMN())</f>
        <v/>
      </c>
      <c r="BI104" s="2087">
        <f>INDEX(SP_BSR_TA_Avg,0,COLUMN())-INDEX(SP_BSR_CL_Avg,0,COLUMN())</f>
        <v/>
      </c>
      <c r="BJ104" s="2072">
        <f>INDEX(SP_BSR_TA_Avg,0,COLUMN())-INDEX(SP_BSR_CL_Avg,0,COLUMN())</f>
        <v/>
      </c>
      <c r="BK104" s="2072">
        <f>INDEX(SP_BSR_TA_Avg,0,COLUMN())-INDEX(SP_BSR_CL_Avg,0,COLUMN())</f>
        <v/>
      </c>
      <c r="BL104" s="2072">
        <f>INDEX(SP_BSR_TA_Avg,0,COLUMN())-INDEX(SP_BSR_CL_Avg,0,COLUMN())</f>
        <v/>
      </c>
      <c r="BM104" s="2072">
        <f>INDEX(SP_BSR_TA_Avg,0,COLUMN())-INDEX(SP_BSR_CL_Avg,0,COLUMN())</f>
        <v/>
      </c>
      <c r="BN104" s="2087">
        <f>INDEX(SP_BSR_TA_Avg,0,COLUMN())-INDEX(SP_BSR_CL_Avg,0,COLUMN())</f>
        <v/>
      </c>
      <c r="BO104" s="2072">
        <f>INDEX(SP_BSR_TA_Avg,0,COLUMN())-INDEX(SP_BSR_CL_Avg,0,COLUMN())</f>
        <v/>
      </c>
      <c r="BP104" s="2072">
        <f>INDEX(SP_BSR_TA_Avg,0,COLUMN())-INDEX(SP_BSR_CL_Avg,0,COLUMN())</f>
        <v/>
      </c>
      <c r="BQ104" s="2073">
        <f>INDEX(SP_BSR_TA_Avg,0,COLUMN())-INDEX(SP_BSR_CL_Avg,0,COLUMN())</f>
        <v/>
      </c>
      <c r="BR104" s="2072">
        <f>INDEX(SP_BSR_TA_Avg,0,COLUMN())-INDEX(SP_BSR_CL_Avg,0,COLUMN())</f>
        <v/>
      </c>
      <c r="BS104" s="2087">
        <f>INDEX(SP_BSR_TA_Avg,0,COLUMN())-INDEX(SP_BSR_CL_Avg,0,COLUMN())</f>
        <v/>
      </c>
      <c r="BT104" s="2072">
        <f>INDEX(SP_BSR_TA_Avg,0,COLUMN())-INDEX(SP_BSR_CL_Avg,0,COLUMN())</f>
        <v/>
      </c>
      <c r="BU104" s="2072">
        <f>INDEX(SP_BSR_TA_Avg,0,COLUMN())-INDEX(SP_BSR_CL_Avg,0,COLUMN())</f>
        <v/>
      </c>
      <c r="BV104" s="2072">
        <f>INDEX(SP_BSR_TA_Avg,0,COLUMN())-INDEX(SP_BSR_CL_Avg,0,COLUMN())</f>
        <v/>
      </c>
      <c r="BW104" s="2072">
        <f>INDEX(SP_BSR_TA_Avg,0,COLUMN())-INDEX(SP_BSR_CL_Avg,0,COLUMN())</f>
        <v/>
      </c>
      <c r="BX104" s="2087">
        <f>INDEX(SP_BSR_TA_Avg,0,COLUMN())-INDEX(SP_BSR_CL_Avg,0,COLUMN())</f>
        <v/>
      </c>
      <c r="BY104" s="2087">
        <f>INDEX(SP_BSR_TA_Avg,0,COLUMN())-INDEX(SP_BSR_CL_Avg,0,COLUMN())</f>
        <v/>
      </c>
      <c r="BZ104" s="2087">
        <f>INDEX(SP_BSR_TA_Avg,0,COLUMN())-INDEX(SP_BSR_CL_Avg,0,COLUMN())</f>
        <v/>
      </c>
      <c r="CA104" s="2087">
        <f>INDEX(SP_BSR_TA_Avg,0,COLUMN())-INDEX(SP_BSR_CL_Avg,0,COLUMN())</f>
        <v/>
      </c>
      <c r="CB104" s="2072" t="n"/>
    </row>
    <row r="105" collapsed="1" ht="15" customFormat="1" customHeight="1" s="2105">
      <c r="A105" s="2226" t="inlineStr">
        <is>
          <t>ROCE</t>
        </is>
      </c>
      <c r="B105" s="2227" t="n"/>
      <c r="C105" s="2228">
        <f>IF(C104&lt;0,"NMF",IF(ABS(C101/C104)&gt;1,"NMF",C101/C104))</f>
        <v/>
      </c>
      <c r="D105" s="2228">
        <f>IF(D104&lt;0,"NMF",IF(ABS(D101/D104)&gt;1,"NMF",D101/D104))</f>
        <v/>
      </c>
      <c r="E105" s="2228">
        <f>IF(E104&lt;0,"NMF",IF(ABS(E101/E104)&gt;1,"NMF",E101/E104))</f>
        <v/>
      </c>
      <c r="F105" s="2228">
        <f>IF(F104&lt;0,"NMF",IF(ABS(F101/F104)&gt;1,"NMF",F101/F104))</f>
        <v/>
      </c>
      <c r="G105" s="2229" t="n"/>
      <c r="H105" s="2229" t="n"/>
      <c r="I105" s="2229" t="n"/>
      <c r="J105" s="2229">
        <f>IF(J104&lt;0,"NMF",IF(ABS(J101/J104)&gt;1,"NMF",J101/J104))</f>
        <v/>
      </c>
      <c r="K105" s="2228">
        <f>IF(K104&lt;0,"NMF",IF(ABS(K101/K104)&gt;1,"NMF",K101/K104))</f>
        <v/>
      </c>
      <c r="L105" s="2229">
        <f>IF(L104&lt;0,"NMF",IF(ABS(L101/L104)&gt;1,"NMF",L101/L104))</f>
        <v/>
      </c>
      <c r="M105" s="2229">
        <f>IF(M104&lt;0,"NMF",IF(ABS(M101/M104)&gt;1,"NMF",M101/M104))</f>
        <v/>
      </c>
      <c r="N105" s="2229">
        <f>IF(N104&lt;0,"NMF",IF(ABS(N101/N104)&gt;1,"NMF",N101/N104))</f>
        <v/>
      </c>
      <c r="O105" s="2229">
        <f>IF(O104&lt;0,"NMF",IF(ABS(O101/O104)&gt;1,"NMF",O101/O104))</f>
        <v/>
      </c>
      <c r="P105" s="2228">
        <f>IF(P104&lt;0,"NMF",IF(ABS(P101/P104)&gt;1,"NMF",P101/P104))</f>
        <v/>
      </c>
      <c r="Q105" s="2229">
        <f>IF(Q104&lt;0,"NMF",IF(ABS(Q101/Q104)&gt;1,"NMF",Q101/Q104))</f>
        <v/>
      </c>
      <c r="R105" s="2229">
        <f>IF(R104&lt;0,"NMF",IF(ABS(R101/R104)&gt;1,"NMF",R101/R104))</f>
        <v/>
      </c>
      <c r="S105" s="2229">
        <f>IF(S104&lt;0,"NMF",IF(ABS(S101/S104)&gt;1,"NMF",S101/S104))</f>
        <v/>
      </c>
      <c r="T105" s="2229">
        <f>IF(T104&lt;0,"NMF",IF(ABS(T101/T104)&gt;1,"NMF",T101/T104))</f>
        <v/>
      </c>
      <c r="U105" s="2228">
        <f>IF(U104&lt;0,"NMF",IF(ABS(U101/U104)&gt;1,"NMF",U101/U104))</f>
        <v/>
      </c>
      <c r="V105" s="2229">
        <f>IF(V104&lt;0,"NMF",IF(ABS(V101/V104)&gt;1,"NMF",V101/V104))</f>
        <v/>
      </c>
      <c r="W105" s="2229">
        <f>IF(W104&lt;0,"NMF",IF(ABS(W101/W104)&gt;1,"NMF",W101/W104))</f>
        <v/>
      </c>
      <c r="X105" s="2229">
        <f>IF(X104&lt;0,"NMF",IF(ABS(X101/X104)&gt;1,"NMF",X101/X104))</f>
        <v/>
      </c>
      <c r="Y105" s="2229">
        <f>IF(Y104&lt;0,"NMF",IF(ABS(Y101/Y104)&gt;1,"NMF",Y101/Y104))</f>
        <v/>
      </c>
      <c r="Z105" s="2228">
        <f>IF(Z104&lt;0,"NMF",IF(ABS(Z101/Z104)&gt;1,"NMF",Z101/Z104))</f>
        <v/>
      </c>
      <c r="AA105" s="2229">
        <f>IF(AA104&lt;0,"NMF",IF(ABS(AA101/AA104)&gt;1,"NMF",AA101/AA104))</f>
        <v/>
      </c>
      <c r="AB105" s="2229">
        <f>IF(AB104&lt;0,"NMF",IF(ABS(AB101/AB104)&gt;1,"NMF",AB101/AB104))</f>
        <v/>
      </c>
      <c r="AC105" s="2229">
        <f>IF(AC104&lt;0,"NMF",IF(ABS(AC101/AC104)&gt;1,"NMF",AC101/AC104))</f>
        <v/>
      </c>
      <c r="AD105" s="2229">
        <f>IF(AD104&lt;0,"NMF",IF(ABS(AD101/AD104)&gt;1,"NMF",AD101/AD104))</f>
        <v/>
      </c>
      <c r="AE105" s="2228">
        <f>IF(AE104&lt;0,"NMF",IF(ABS(AE101/AE104)&gt;1,"NMF",AE101/AE104))</f>
        <v/>
      </c>
      <c r="AF105" s="2229">
        <f>IF(AF104&lt;0,"NMF",IF(ABS(AF101/AF104)&gt;1,"NMF",AF101/AF104))</f>
        <v/>
      </c>
      <c r="AG105" s="2229">
        <f>IF(AG104&lt;0,"NMF",IF(ABS(AG101/AG104)&gt;1,"NMF",AG101/AG104))</f>
        <v/>
      </c>
      <c r="AH105" s="2229">
        <f>IF(AH104&lt;0,"NMF",IF(ABS(AH101/AH104)&gt;1,"NMF",AH101/AH104))</f>
        <v/>
      </c>
      <c r="AI105" s="2229">
        <f>IF(AI104&lt;0,"NMF",IF(ABS(AI101/AI104)&gt;1,"NMF",AI101/AI104))</f>
        <v/>
      </c>
      <c r="AJ105" s="2228">
        <f>IF(AJ104&lt;0,"NMF",IF(ABS(AJ101/AJ104)&gt;1,"NMF",AJ101/AJ104))</f>
        <v/>
      </c>
      <c r="AK105" s="2229">
        <f>IF(AK104&lt;0,"NMF",IF(ABS(AK101/AK104)&gt;1,"NMF",AK101/AK104))</f>
        <v/>
      </c>
      <c r="AL105" s="2229">
        <f>IF(AL104&lt;0,"NMF",IF(ABS(AL101/AL104)&gt;1,"NMF",AL101/AL104))</f>
        <v/>
      </c>
      <c r="AM105" s="2229">
        <f>IF(AM104&lt;0,"NMF",IF(ABS(AM101/AM104)&gt;1,"NMF",AM101/AM104))</f>
        <v/>
      </c>
      <c r="AN105" s="2229">
        <f>IF(AN104&lt;0,"NMF",IF(ABS(AN101/AN104)&gt;1,"NMF",AN101/AN104))</f>
        <v/>
      </c>
      <c r="AO105" s="2228">
        <f>IF(AO104&lt;0,"NMF",IF(ABS(AO101/AO104)&gt;1,"NMF",AO101/AO104))</f>
        <v/>
      </c>
      <c r="AP105" s="2229">
        <f>IF(AP104&lt;0,"NMF",IF(ABS(AP101/AP104)&gt;1,"NMF",AP101/AP104))</f>
        <v/>
      </c>
      <c r="AQ105" s="2229">
        <f>IF(AQ104&lt;0,"NMF",IF(ABS(AQ101/AQ104)&gt;1,"NMF",AQ101/AQ104))</f>
        <v/>
      </c>
      <c r="AR105" s="2229">
        <f>IF(AR104&lt;0,"NMF",IF(ABS(AR101/AR104)&gt;1,"NMF",AR101/AR104))</f>
        <v/>
      </c>
      <c r="AS105" s="2229">
        <f>IF(AS104&lt;0,"NMF",IF(ABS(AS101/AS104)&gt;1,"NMF",AS101/AS104))</f>
        <v/>
      </c>
      <c r="AT105" s="2228">
        <f>IF(AT104&lt;0,"NMF",IF(ABS(AT101/AT104)&gt;1,"NMF",AT101/AT104))</f>
        <v/>
      </c>
      <c r="AU105" s="2229">
        <f>IF(AU104&lt;0,"NMF",IF(ABS(AU101/AU104)&gt;1,"NMF",AU101/AU104))</f>
        <v/>
      </c>
      <c r="AV105" s="2229">
        <f>IF(AV104&lt;0,"NMF",IF(ABS(AV101/AV104)&gt;1,"NMF",AV101/AV104))</f>
        <v/>
      </c>
      <c r="AW105" s="2229">
        <f>IF(AW104&lt;0,"NMF",IF(ABS(AW101/AW104)&gt;1,"NMF",AW101/AW104))</f>
        <v/>
      </c>
      <c r="AX105" s="2229">
        <f>IF(AX104&lt;0,"NMF",IF(ABS(AX101/AX104)&gt;1,"NMF",AX101/AX104))</f>
        <v/>
      </c>
      <c r="AY105" s="2228">
        <f>IF(AY104&lt;0,"NMF",IF(ABS(AY101/AY104)&gt;1,"NMF",AY101/AY104))</f>
        <v/>
      </c>
      <c r="AZ105" s="2229">
        <f>IF(AZ104&lt;0,"NMF",IF(ABS(AZ101/AZ104)&gt;1,"NMF",AZ101/AZ104))</f>
        <v/>
      </c>
      <c r="BA105" s="2229">
        <f>IF(BA104&lt;0,"NMF",IF(ABS(BA101/BA104)&gt;1,"NMF",BA101/BA104))</f>
        <v/>
      </c>
      <c r="BB105" s="2229">
        <f>IF(BB104&lt;0,"NMF",IF(ABS(BB101/BB104)&gt;1,"NMF",BB101/BB104))</f>
        <v/>
      </c>
      <c r="BC105" s="2229">
        <f>IF(BC104&lt;0,"NMF",IF(ABS(BC101/BC104)&gt;1,"NMF",BC101/BC104))</f>
        <v/>
      </c>
      <c r="BD105" s="2228">
        <f>IF(BD104&lt;0,"NMF",IF(ABS(BD101/BD104)&gt;1,"NMF",BD101/BD104))</f>
        <v/>
      </c>
      <c r="BE105" s="2229">
        <f>IF(BE104&lt;0,"NMF",IF(ABS(BE101/BE104)&gt;1,"NMF",BE101/BE104))</f>
        <v/>
      </c>
      <c r="BF105" s="2229">
        <f>IF(BF104&lt;0,"NMF",IF(ABS(BF101/BF104)&gt;1,"NMF",BF101/BF104))</f>
        <v/>
      </c>
      <c r="BG105" s="2229">
        <f>IF(BG104&lt;0,"NMF",IF(ABS(BG101/BG104)&gt;1,"NMF",BG101/BG104))</f>
        <v/>
      </c>
      <c r="BH105" s="2229">
        <f>IF(BH104&lt;0,"NMF",IF(ABS(BH101/BH104)&gt;1,"NMF",BH101/BH104))</f>
        <v/>
      </c>
      <c r="BI105" s="2228">
        <f>IF(BI104&lt;0,"NMF",IF(ABS(BI101/BI104)&gt;1,"NMF",BI101/BI104))</f>
        <v/>
      </c>
      <c r="BJ105" s="2229">
        <f>IF(BJ104&lt;0,"NMF",IF(ABS(BJ101/BJ104)&gt;1,"NMF",BJ101/BJ104))</f>
        <v/>
      </c>
      <c r="BK105" s="2229">
        <f>IF(BK104&lt;0,"NMF",IF(ABS(BK101/BK104)&gt;1,"NMF",BK101/BK104))</f>
        <v/>
      </c>
      <c r="BL105" s="2229">
        <f>IF(BL104&lt;0,"NMF",IF(ABS(BL101/BL104)&gt;1,"NMF",BL101/BL104))</f>
        <v/>
      </c>
      <c r="BM105" s="2229">
        <f>IF(BM104&lt;0,"NMF",IF(ABS(BM101/BM104)&gt;1,"NMF",BM101/BM104))</f>
        <v/>
      </c>
      <c r="BN105" s="2228">
        <f>IF(BN104&lt;0,"NMF",IF(ABS(BN101/BN104)&gt;1,"NMF",BN101/BN104))</f>
        <v/>
      </c>
      <c r="BO105" s="2229">
        <f>IF(BO104&lt;0,"NMF",IF(ABS(BO101/BO104)&gt;1,"NMF",BO101/BO104))</f>
        <v/>
      </c>
      <c r="BP105" s="2229">
        <f>IF(BP104&lt;0,"NMF",IF(ABS(BP101/BP104)&gt;1,"NMF",BP101/BP104))</f>
        <v/>
      </c>
      <c r="BQ105" s="2230">
        <f>IF(BQ104&lt;0,"NMF",IF(ABS(BQ101/BQ104)&gt;1,"NMF",BQ101/BQ104))</f>
        <v/>
      </c>
      <c r="BR105" s="2229">
        <f>IF(BR104&lt;0,"NMF",IF(ABS(BR101/BR104)&gt;1,"NMF",BR101/BR104))</f>
        <v/>
      </c>
      <c r="BS105" s="2228">
        <f>IF(BS104&lt;0,"NMF",IF(ABS(BS101/BS104)&gt;1,"NMF",BS101/BS104))</f>
        <v/>
      </c>
      <c r="BT105" s="2229">
        <f>IF(BT104&lt;0,"NMF",IF(ABS(BT101/BT104)&gt;1,"NMF",BT101/BT104))</f>
        <v/>
      </c>
      <c r="BU105" s="2229">
        <f>IF(BU104&lt;0,"NMF",IF(ABS(BU101/BU104)&gt;1,"NMF",BU101/BU104))</f>
        <v/>
      </c>
      <c r="BV105" s="2229">
        <f>IF(BV104&lt;0,"NMF",IF(ABS(BV101/BV104)&gt;1,"NMF",BV101/BV104))</f>
        <v/>
      </c>
      <c r="BW105" s="2229">
        <f>IF(BW104&lt;0,"NMF",IF(ABS(BW101/BW104)&gt;1,"NMF",BW101/BW104))</f>
        <v/>
      </c>
      <c r="BX105" s="2228">
        <f>IF(BX104&lt;0,"NMF",IF(ABS(BX101/BX104)&gt;1,"NMF",BX101/BX104))</f>
        <v/>
      </c>
      <c r="BY105" s="2228">
        <f>IF(BY104&lt;0,"NMF",IF(ABS(BY101/BY104)&gt;1,"NMF",BY101/BY104))</f>
        <v/>
      </c>
      <c r="BZ105" s="2228">
        <f>IF(BZ104&lt;0,"NMF",IF(ABS(BZ101/BZ104)&gt;1,"NMF",BZ101/BZ104))</f>
        <v/>
      </c>
      <c r="CA105" s="2228">
        <f>IF(CA104&lt;0,"NMF",IF(ABS(CA101/CA104)&gt;1,"NMF",CA101/CA104))</f>
        <v/>
      </c>
      <c r="CB105" s="2111" t="n"/>
    </row>
    <row r="106" ht="15" customHeight="1" s="972">
      <c r="A106" s="1596" t="n"/>
      <c r="B106" s="2199" t="n"/>
      <c r="C106" s="2090" t="n"/>
      <c r="D106" s="2090" t="n"/>
      <c r="E106" s="2090" t="n"/>
      <c r="F106" s="2090" t="n"/>
      <c r="G106" s="2089" t="n"/>
      <c r="H106" s="2089" t="n"/>
      <c r="I106" s="2089" t="n"/>
      <c r="J106" s="2089" t="n"/>
      <c r="K106" s="2090" t="n"/>
      <c r="L106" s="2089" t="n"/>
      <c r="M106" s="2089" t="n"/>
      <c r="N106" s="2089" t="n"/>
      <c r="O106" s="2089" t="n"/>
      <c r="P106" s="2090" t="n"/>
      <c r="Q106" s="2089" t="n"/>
      <c r="R106" s="2089" t="n"/>
      <c r="S106" s="2089" t="n"/>
      <c r="T106" s="2089" t="n"/>
      <c r="U106" s="2090" t="n"/>
      <c r="V106" s="2089" t="n"/>
      <c r="W106" s="2089" t="n"/>
      <c r="X106" s="2089" t="n"/>
      <c r="Y106" s="2089" t="n"/>
      <c r="Z106" s="2090" t="n"/>
      <c r="AA106" s="2089" t="n"/>
      <c r="AB106" s="2089" t="n"/>
      <c r="AC106" s="2089" t="n"/>
      <c r="AD106" s="2089" t="n"/>
      <c r="AE106" s="2090" t="n"/>
      <c r="AF106" s="2089" t="n"/>
      <c r="AG106" s="2089" t="n"/>
      <c r="AH106" s="2089" t="n"/>
      <c r="AI106" s="2089" t="n"/>
      <c r="AJ106" s="2090" t="n"/>
      <c r="AK106" s="2089" t="n"/>
      <c r="AL106" s="2089" t="n"/>
      <c r="AM106" s="2089" t="n"/>
      <c r="AN106" s="2089" t="n"/>
      <c r="AO106" s="2090" t="n"/>
      <c r="AP106" s="2089" t="n"/>
      <c r="AQ106" s="2089" t="n"/>
      <c r="AR106" s="2089" t="n"/>
      <c r="AS106" s="2089" t="n"/>
      <c r="AT106" s="2090" t="n"/>
      <c r="AU106" s="2089" t="n"/>
      <c r="AV106" s="2089" t="n"/>
      <c r="AW106" s="2089" t="n"/>
      <c r="AX106" s="2089" t="n"/>
      <c r="AY106" s="2090" t="n"/>
      <c r="AZ106" s="2089" t="n"/>
      <c r="BA106" s="2089" t="n"/>
      <c r="BB106" s="2089" t="n"/>
      <c r="BC106" s="2089" t="n"/>
      <c r="BD106" s="2090" t="n"/>
      <c r="BE106" s="2089" t="n"/>
      <c r="BF106" s="2089" t="n"/>
      <c r="BG106" s="2089" t="n"/>
      <c r="BH106" s="2089" t="n"/>
      <c r="BI106" s="2090" t="n"/>
      <c r="BJ106" s="2089" t="n"/>
      <c r="BK106" s="2089" t="n"/>
      <c r="BL106" s="2089" t="n"/>
      <c r="BM106" s="2089" t="n"/>
      <c r="BN106" s="2090" t="n"/>
      <c r="BO106" s="2089" t="n"/>
      <c r="BP106" s="2089" t="n"/>
      <c r="BQ106" s="2100" t="n"/>
      <c r="BR106" s="2089" t="n"/>
      <c r="BS106" s="2090" t="n"/>
      <c r="BT106" s="2089" t="n"/>
      <c r="BU106" s="2089" t="n"/>
      <c r="BV106" s="2089" t="n"/>
      <c r="BW106" s="2089" t="n"/>
      <c r="BX106" s="2090" t="n"/>
      <c r="BY106" s="2090" t="n"/>
      <c r="BZ106" s="2090" t="n"/>
      <c r="CA106" s="2090" t="n"/>
      <c r="CB106" s="2089" t="n"/>
    </row>
    <row r="107" ht="15" customHeight="1" s="972">
      <c r="A107" s="2183" t="inlineStr">
        <is>
          <t>Per-Share Growth Metrics</t>
        </is>
      </c>
      <c r="B107" s="2206" t="n"/>
      <c r="C107" s="2206" t="n"/>
      <c r="D107" s="2206" t="n"/>
      <c r="E107" s="2206" t="n"/>
      <c r="F107" s="2206" t="n"/>
      <c r="G107" s="2206" t="n"/>
      <c r="H107" s="2206" t="n"/>
      <c r="I107" s="2206" t="n"/>
      <c r="J107" s="2206" t="n"/>
      <c r="K107" s="2206" t="n"/>
      <c r="L107" s="2206" t="n"/>
      <c r="M107" s="2206" t="n"/>
      <c r="N107" s="2206" t="n"/>
      <c r="O107" s="2206" t="n"/>
      <c r="P107" s="2206" t="n"/>
      <c r="Q107" s="2206" t="n"/>
      <c r="R107" s="2206" t="n"/>
      <c r="S107" s="2206" t="n"/>
      <c r="T107" s="2206" t="n"/>
      <c r="U107" s="2206" t="n"/>
      <c r="V107" s="2206" t="n"/>
      <c r="W107" s="2206" t="n"/>
      <c r="X107" s="2206" t="n"/>
      <c r="Y107" s="2206" t="n"/>
      <c r="Z107" s="2206" t="n"/>
      <c r="AA107" s="2206" t="n"/>
      <c r="AB107" s="2206" t="n"/>
      <c r="AC107" s="2206" t="n"/>
      <c r="AD107" s="2206" t="n"/>
      <c r="AE107" s="2206" t="n"/>
      <c r="AF107" s="2206" t="n"/>
      <c r="AG107" s="2206" t="n"/>
      <c r="AH107" s="2206" t="n"/>
      <c r="AI107" s="2206" t="n"/>
      <c r="AJ107" s="2206" t="n"/>
      <c r="AK107" s="2206" t="n"/>
      <c r="AL107" s="2206" t="n"/>
      <c r="AM107" s="2206" t="n"/>
      <c r="AN107" s="2206" t="n"/>
      <c r="AO107" s="2206" t="n"/>
      <c r="AP107" s="2206" t="n"/>
      <c r="AQ107" s="2206" t="n"/>
      <c r="AR107" s="2206" t="n"/>
      <c r="AS107" s="2206" t="n"/>
      <c r="AT107" s="2206" t="n"/>
      <c r="AU107" s="2206" t="n"/>
      <c r="AV107" s="2206" t="n"/>
      <c r="AW107" s="2206" t="n"/>
      <c r="AX107" s="2206" t="n"/>
      <c r="AY107" s="2206" t="n"/>
      <c r="AZ107" s="2206" t="n"/>
      <c r="BA107" s="2206" t="n"/>
      <c r="BB107" s="2206" t="n"/>
      <c r="BC107" s="2206" t="n"/>
      <c r="BD107" s="2206" t="n"/>
      <c r="BE107" s="2206" t="n"/>
      <c r="BF107" s="2206" t="n"/>
      <c r="BG107" s="2206" t="n"/>
      <c r="BH107" s="2206" t="n"/>
      <c r="BI107" s="2206" t="n"/>
      <c r="BJ107" s="2206" t="n"/>
      <c r="BK107" s="2206" t="n"/>
      <c r="BL107" s="2206" t="n"/>
      <c r="BM107" s="2206" t="n"/>
      <c r="BN107" s="2206" t="n"/>
      <c r="BO107" s="2206" t="n"/>
      <c r="BP107" s="2206" t="n"/>
      <c r="BQ107" s="2207" t="n"/>
      <c r="BR107" s="2206" t="n"/>
      <c r="BS107" s="2206" t="n"/>
      <c r="BT107" s="2206" t="n"/>
      <c r="BU107" s="2206" t="n"/>
      <c r="BV107" s="2206" t="n"/>
      <c r="BW107" s="2206" t="n"/>
      <c r="BX107" s="2206" t="n"/>
      <c r="BY107" s="2206" t="n"/>
      <c r="BZ107" s="2206" t="n"/>
      <c r="CA107" s="2206" t="n"/>
      <c r="CB107" s="2072" t="n"/>
    </row>
    <row r="108" ht="15" customFormat="1" customHeight="1" s="2165">
      <c r="A108" s="2160" t="inlineStr">
        <is>
          <t>Revenue Per Share Growth</t>
        </is>
      </c>
      <c r="B108" s="2216" t="n"/>
      <c r="C108" s="2136" t="n"/>
      <c r="D108" s="2136">
        <f>IF(OR(INDEX(SP_GF_Rev,0,COLUMN())&lt;=0,C23&lt;=0),"NMF",IF(ABS((INDEX(SP_GF_Rev,0,COLUMN())/INDEX(SP_GF_ShareCount,0,COLUMN()))/(C23/C42)-1)&gt;10,"NMF",(INDEX(SP_GF_Rev,0,COLUMN())/INDEX(SP_GF_ShareCount,0,COLUMN()))/(C23/C42)-1))</f>
        <v/>
      </c>
      <c r="E108" s="2136">
        <f>IF(OR(INDEX(SP_GF_Rev,0,COLUMN())&lt;=0,D23&lt;=0),"NMF",IF(ABS((INDEX(SP_GF_Rev,0,COLUMN())/INDEX(SP_GF_ShareCount,0,COLUMN()))/(D23/D42)-1)&gt;10,"NMF",(INDEX(SP_GF_Rev,0,COLUMN())/INDEX(SP_GF_ShareCount,0,COLUMN()))/(D23/D42)-1))</f>
        <v/>
      </c>
      <c r="F108" s="2136">
        <f>IF(OR(INDEX(SP_GF_Rev,0,COLUMN())&lt;=0,E23&lt;=0),"NMF",IF(ABS((INDEX(SP_GF_Rev,0,COLUMN())/INDEX(SP_GF_ShareCount,0,COLUMN()))/(E23/E42)-1)&gt;10,"NMF",(INDEX(SP_GF_Rev,0,COLUMN())/INDEX(SP_GF_ShareCount,0,COLUMN()))/(E23/E42)-1))</f>
        <v/>
      </c>
      <c r="G108" s="2218" t="n"/>
      <c r="H108" s="2218" t="n"/>
      <c r="I108" s="2218" t="n"/>
      <c r="J108" s="2218" t="n"/>
      <c r="K108" s="2136">
        <f>IF(OR(INDEX(SP_GF_Rev,0,COLUMN())&lt;=0,F23&lt;=0),"NMF",IF(ABS((INDEX(SP_GF_Rev,0,COLUMN())/INDEX(SP_GF_ShareCount,0,COLUMN()))/(F23/F42)-1)&gt;10,"NMF",(INDEX(SP_GF_Rev,0,COLUMN())/INDEX(SP_GF_ShareCount,0,COLUMN()))/(F23/F42)-1))</f>
        <v/>
      </c>
      <c r="L108" s="2218">
        <f>IF(OR(INDEX(SP_GF_Rev,0,COLUMN())&lt;=0,G23&lt;=0),"NMF",IF(ABS((INDEX(SP_GF_Rev,0,COLUMN())/INDEX(SP_GF_ShareCount,0,COLUMN()))/(G23/G42)-1)&gt;10,"NMF",(INDEX(SP_GF_Rev,0,COLUMN())/INDEX(SP_GF_ShareCount,0,COLUMN()))/(G23/G42)-1))</f>
        <v/>
      </c>
      <c r="M108" s="2218">
        <f>IF(OR(INDEX(SP_GF_Rev,0,COLUMN())&lt;=0,H23&lt;=0),"NMF",IF(ABS((INDEX(SP_GF_Rev,0,COLUMN())/INDEX(SP_GF_ShareCount,0,COLUMN()))/(H23/H42)-1)&gt;10,"NMF",(INDEX(SP_GF_Rev,0,COLUMN())/INDEX(SP_GF_ShareCount,0,COLUMN()))/(H23/H42)-1))</f>
        <v/>
      </c>
      <c r="N108" s="2218">
        <f>IF(OR(INDEX(SP_GF_Rev,0,COLUMN())&lt;=0,I23&lt;=0),"NMF",IF(ABS((INDEX(SP_GF_Rev,0,COLUMN())/INDEX(SP_GF_ShareCount,0,COLUMN()))/(I23/I42)-1)&gt;10,"NMF",(INDEX(SP_GF_Rev,0,COLUMN())/INDEX(SP_GF_ShareCount,0,COLUMN()))/(I23/I42)-1))</f>
        <v/>
      </c>
      <c r="O108" s="2218">
        <f>IF(OR(INDEX(SP_GF_Rev,0,COLUMN())&lt;=0,J23&lt;=0),"NMF",IF(ABS((INDEX(SP_GF_Rev,0,COLUMN())/INDEX(SP_GF_ShareCount,0,COLUMN()))/(J23/J42)-1)&gt;10,"NMF",(INDEX(SP_GF_Rev,0,COLUMN())/INDEX(SP_GF_ShareCount,0,COLUMN()))/(J23/J42)-1))</f>
        <v/>
      </c>
      <c r="P108" s="2136">
        <f>IF(OR(INDEX(SP_GF_Rev,0,COLUMN())&lt;=0,K23&lt;=0),"NMF",IF(ABS((INDEX(SP_GF_Rev,0,COLUMN())/INDEX(SP_GF_ShareCount,0,COLUMN()))/(K23/K42)-1)&gt;10,"NMF",(INDEX(SP_GF_Rev,0,COLUMN())/INDEX(SP_GF_ShareCount,0,COLUMN()))/(K23/K42)-1))</f>
        <v/>
      </c>
      <c r="Q108" s="2218">
        <f>IF(OR(INDEX(SP_GF_Rev,0,COLUMN())&lt;=0,L23&lt;=0),"NMF",IF(ABS((INDEX(SP_GF_Rev,0,COLUMN())/INDEX(SP_GF_ShareCount,0,COLUMN()))/(L23/L42)-1)&gt;10,"NMF",(INDEX(SP_GF_Rev,0,COLUMN())/INDEX(SP_GF_ShareCount,0,COLUMN()))/(L23/L42)-1))</f>
        <v/>
      </c>
      <c r="R108" s="2218">
        <f>IF(OR(INDEX(SP_GF_Rev,0,COLUMN())&lt;=0,M23&lt;=0),"NMF",IF(ABS((INDEX(SP_GF_Rev,0,COLUMN())/INDEX(SP_GF_ShareCount,0,COLUMN()))/(M23/M42)-1)&gt;10,"NMF",(INDEX(SP_GF_Rev,0,COLUMN())/INDEX(SP_GF_ShareCount,0,COLUMN()))/(M23/M42)-1))</f>
        <v/>
      </c>
      <c r="S108" s="2218">
        <f>IF(OR(INDEX(SP_GF_Rev,0,COLUMN())&lt;=0,N23&lt;=0),"NMF",IF(ABS((INDEX(SP_GF_Rev,0,COLUMN())/INDEX(SP_GF_ShareCount,0,COLUMN()))/(N23/N42)-1)&gt;10,"NMF",(INDEX(SP_GF_Rev,0,COLUMN())/INDEX(SP_GF_ShareCount,0,COLUMN()))/(N23/N42)-1))</f>
        <v/>
      </c>
      <c r="T108" s="2218">
        <f>IF(OR(INDEX(SP_GF_Rev,0,COLUMN())&lt;=0,O23&lt;=0),"NMF",IF(ABS((INDEX(SP_GF_Rev,0,COLUMN())/INDEX(SP_GF_ShareCount,0,COLUMN()))/(O23/O42)-1)&gt;10,"NMF",(INDEX(SP_GF_Rev,0,COLUMN())/INDEX(SP_GF_ShareCount,0,COLUMN()))/(O23/O42)-1))</f>
        <v/>
      </c>
      <c r="U108" s="2136">
        <f>IF(OR(INDEX(SP_GF_Rev,0,COLUMN())&lt;=0,P23&lt;=0),"NMF",IF(ABS((INDEX(SP_GF_Rev,0,COLUMN())/INDEX(SP_GF_ShareCount,0,COLUMN()))/(P23/P42)-1)&gt;10,"NMF",(INDEX(SP_GF_Rev,0,COLUMN())/INDEX(SP_GF_ShareCount,0,COLUMN()))/(P23/P42)-1))</f>
        <v/>
      </c>
      <c r="V108" s="2218">
        <f>IF(OR(INDEX(SP_GF_Rev,0,COLUMN())&lt;=0,Q23&lt;=0),"NMF",IF(ABS((INDEX(SP_GF_Rev,0,COLUMN())/INDEX(SP_GF_ShareCount,0,COLUMN()))/(Q23/Q42)-1)&gt;10,"NMF",(INDEX(SP_GF_Rev,0,COLUMN())/INDEX(SP_GF_ShareCount,0,COLUMN()))/(Q23/Q42)-1))</f>
        <v/>
      </c>
      <c r="W108" s="2218">
        <f>IF(OR(INDEX(SP_GF_Rev,0,COLUMN())&lt;=0,R23&lt;=0),"NMF",IF(ABS((INDEX(SP_GF_Rev,0,COLUMN())/INDEX(SP_GF_ShareCount,0,COLUMN()))/(R23/R42)-1)&gt;10,"NMF",(INDEX(SP_GF_Rev,0,COLUMN())/INDEX(SP_GF_ShareCount,0,COLUMN()))/(R23/R42)-1))</f>
        <v/>
      </c>
      <c r="X108" s="2218">
        <f>IF(OR(INDEX(SP_GF_Rev,0,COLUMN())&lt;=0,S23&lt;=0),"NMF",IF(ABS((INDEX(SP_GF_Rev,0,COLUMN())/INDEX(SP_GF_ShareCount,0,COLUMN()))/(S23/S42)-1)&gt;10,"NMF",(INDEX(SP_GF_Rev,0,COLUMN())/INDEX(SP_GF_ShareCount,0,COLUMN()))/(S23/S42)-1))</f>
        <v/>
      </c>
      <c r="Y108" s="2218">
        <f>IF(OR(INDEX(SP_GF_Rev,0,COLUMN())&lt;=0,T23&lt;=0),"NMF",IF(ABS((INDEX(SP_GF_Rev,0,COLUMN())/INDEX(SP_GF_ShareCount,0,COLUMN()))/(T23/T42)-1)&gt;10,"NMF",(INDEX(SP_GF_Rev,0,COLUMN())/INDEX(SP_GF_ShareCount,0,COLUMN()))/(T23/T42)-1))</f>
        <v/>
      </c>
      <c r="Z108" s="2136">
        <f>IF(OR(INDEX(SP_GF_Rev,0,COLUMN())&lt;=0,U23&lt;=0),"NMF",IF(ABS((INDEX(SP_GF_Rev,0,COLUMN())/INDEX(SP_GF_ShareCount,0,COLUMN()))/(U23/U42)-1)&gt;10,"NMF",(INDEX(SP_GF_Rev,0,COLUMN())/INDEX(SP_GF_ShareCount,0,COLUMN()))/(U23/U42)-1))</f>
        <v/>
      </c>
      <c r="AA108" s="2218">
        <f>IF(OR(INDEX(SP_GF_Rev,0,COLUMN())&lt;=0,V23&lt;=0),"NMF",IF(ABS((INDEX(SP_GF_Rev,0,COLUMN())/INDEX(SP_GF_ShareCount,0,COLUMN()))/(V23/V42)-1)&gt;10,"NMF",(INDEX(SP_GF_Rev,0,COLUMN())/INDEX(SP_GF_ShareCount,0,COLUMN()))/(V23/V42)-1))</f>
        <v/>
      </c>
      <c r="AB108" s="2218">
        <f>IF(OR(INDEX(SP_GF_Rev,0,COLUMN())&lt;=0,W23&lt;=0),"NMF",IF(ABS((INDEX(SP_GF_Rev,0,COLUMN())/INDEX(SP_GF_ShareCount,0,COLUMN()))/(W23/W42)-1)&gt;10,"NMF",(INDEX(SP_GF_Rev,0,COLUMN())/INDEX(SP_GF_ShareCount,0,COLUMN()))/(W23/W42)-1))</f>
        <v/>
      </c>
      <c r="AC108" s="2218">
        <f>IF(OR(INDEX(SP_GF_Rev,0,COLUMN())&lt;=0,X23&lt;=0),"NMF",IF(ABS((INDEX(SP_GF_Rev,0,COLUMN())/INDEX(SP_GF_ShareCount,0,COLUMN()))/(X23/X42)-1)&gt;10,"NMF",(INDEX(SP_GF_Rev,0,COLUMN())/INDEX(SP_GF_ShareCount,0,COLUMN()))/(X23/X42)-1))</f>
        <v/>
      </c>
      <c r="AD108" s="2218">
        <f>IF(OR(INDEX(SP_GF_Rev,0,COLUMN())&lt;=0,Y23&lt;=0),"NMF",IF(ABS((INDEX(SP_GF_Rev,0,COLUMN())/INDEX(SP_GF_ShareCount,0,COLUMN()))/(Y23/Y42)-1)&gt;10,"NMF",(INDEX(SP_GF_Rev,0,COLUMN())/INDEX(SP_GF_ShareCount,0,COLUMN()))/(Y23/Y42)-1))</f>
        <v/>
      </c>
      <c r="AE108" s="2136">
        <f>IF(OR(INDEX(SP_GF_Rev,0,COLUMN())&lt;=0,Z23&lt;=0),"NMF",IF(ABS((INDEX(SP_GF_Rev,0,COLUMN())/INDEX(SP_GF_ShareCount,0,COLUMN()))/(Z23/Z42)-1)&gt;10,"NMF",(INDEX(SP_GF_Rev,0,COLUMN())/INDEX(SP_GF_ShareCount,0,COLUMN()))/(Z23/Z42)-1))</f>
        <v/>
      </c>
      <c r="AF108" s="2218">
        <f>IF(OR(INDEX(SP_GF_Rev,0,COLUMN())&lt;=0,AA23&lt;=0),"NMF",IF(ABS((INDEX(SP_GF_Rev,0,COLUMN())/INDEX(SP_GF_ShareCount,0,COLUMN()))/(AA23/AA42)-1)&gt;10,"NMF",(INDEX(SP_GF_Rev,0,COLUMN())/INDEX(SP_GF_ShareCount,0,COLUMN()))/(AA23/AA42)-1))</f>
        <v/>
      </c>
      <c r="AG108" s="2218">
        <f>IF(OR(INDEX(SP_GF_Rev,0,COLUMN())&lt;=0,AB23&lt;=0),"NMF",IF(ABS((INDEX(SP_GF_Rev,0,COLUMN())/INDEX(SP_GF_ShareCount,0,COLUMN()))/(AB23/AB42)-1)&gt;10,"NMF",(INDEX(SP_GF_Rev,0,COLUMN())/INDEX(SP_GF_ShareCount,0,COLUMN()))/(AB23/AB42)-1))</f>
        <v/>
      </c>
      <c r="AH108" s="2218">
        <f>IF(OR(INDEX(SP_GF_Rev,0,COLUMN())&lt;=0,AC23&lt;=0),"NMF",IF(ABS((INDEX(SP_GF_Rev,0,COLUMN())/INDEX(SP_GF_ShareCount,0,COLUMN()))/(AC23/AC42)-1)&gt;10,"NMF",(INDEX(SP_GF_Rev,0,COLUMN())/INDEX(SP_GF_ShareCount,0,COLUMN()))/(AC23/AC42)-1))</f>
        <v/>
      </c>
      <c r="AI108" s="2218">
        <f>IF(OR(INDEX(SP_GF_Rev,0,COLUMN())&lt;=0,AD23&lt;=0),"NMF",IF(ABS((INDEX(SP_GF_Rev,0,COLUMN())/INDEX(SP_GF_ShareCount,0,COLUMN()))/(AD23/AD42)-1)&gt;10,"NMF",(INDEX(SP_GF_Rev,0,COLUMN())/INDEX(SP_GF_ShareCount,0,COLUMN()))/(AD23/AD42)-1))</f>
        <v/>
      </c>
      <c r="AJ108" s="2136">
        <f>IF(OR(INDEX(SP_GF_Rev,0,COLUMN())&lt;=0,AE23&lt;=0),"NMF",IF(ABS((INDEX(SP_GF_Rev,0,COLUMN())/INDEX(SP_GF_ShareCount,0,COLUMN()))/(AE23/AE42)-1)&gt;10,"NMF",(INDEX(SP_GF_Rev,0,COLUMN())/INDEX(SP_GF_ShareCount,0,COLUMN()))/(AE23/AE42)-1))</f>
        <v/>
      </c>
      <c r="AK108" s="2218">
        <f>IF(OR(INDEX(SP_GF_Rev,0,COLUMN())&lt;=0,AF23&lt;=0),"NMF",IF(ABS((INDEX(SP_GF_Rev,0,COLUMN())/INDEX(SP_GF_ShareCount,0,COLUMN()))/(AF23/AF42)-1)&gt;10,"NMF",(INDEX(SP_GF_Rev,0,COLUMN())/INDEX(SP_GF_ShareCount,0,COLUMN()))/(AF23/AF42)-1))</f>
        <v/>
      </c>
      <c r="AL108" s="2218">
        <f>IF(OR(INDEX(SP_GF_Rev,0,COLUMN())&lt;=0,AG23&lt;=0),"NMF",IF(ABS((INDEX(SP_GF_Rev,0,COLUMN())/INDEX(SP_GF_ShareCount,0,COLUMN()))/(AG23/AG42)-1)&gt;10,"NMF",(INDEX(SP_GF_Rev,0,COLUMN())/INDEX(SP_GF_ShareCount,0,COLUMN()))/(AG23/AG42)-1))</f>
        <v/>
      </c>
      <c r="AM108" s="2218">
        <f>IF(OR(INDEX(SP_GF_Rev,0,COLUMN())&lt;=0,AH23&lt;=0),"NMF",IF(ABS((INDEX(SP_GF_Rev,0,COLUMN())/INDEX(SP_GF_ShareCount,0,COLUMN()))/(AH23/AH42)-1)&gt;10,"NMF",(INDEX(SP_GF_Rev,0,COLUMN())/INDEX(SP_GF_ShareCount,0,COLUMN()))/(AH23/AH42)-1))</f>
        <v/>
      </c>
      <c r="AN108" s="2218">
        <f>IF(OR(INDEX(SP_GF_Rev,0,COLUMN())&lt;=0,AI23&lt;=0),"NMF",IF(ABS((INDEX(SP_GF_Rev,0,COLUMN())/INDEX(SP_GF_ShareCount,0,COLUMN()))/(AI23/AI42)-1)&gt;10,"NMF",(INDEX(SP_GF_Rev,0,COLUMN())/INDEX(SP_GF_ShareCount,0,COLUMN()))/(AI23/AI42)-1))</f>
        <v/>
      </c>
      <c r="AO108" s="2136">
        <f>IF(OR(INDEX(SP_GF_Rev,0,COLUMN())&lt;=0,AJ23&lt;=0),"NMF",IF(ABS((INDEX(SP_GF_Rev,0,COLUMN())/INDEX(SP_GF_ShareCount,0,COLUMN()))/(AJ23/AJ42)-1)&gt;10,"NMF",(INDEX(SP_GF_Rev,0,COLUMN())/INDEX(SP_GF_ShareCount,0,COLUMN()))/(AJ23/AJ42)-1))</f>
        <v/>
      </c>
      <c r="AP108" s="2218">
        <f>IF(OR(INDEX(SP_GF_Rev,0,COLUMN())&lt;=0,AK23&lt;=0),"NMF",IF(ABS((INDEX(SP_GF_Rev,0,COLUMN())/INDEX(SP_GF_ShareCount,0,COLUMN()))/(AK23/AK42)-1)&gt;10,"NMF",(INDEX(SP_GF_Rev,0,COLUMN())/INDEX(SP_GF_ShareCount,0,COLUMN()))/(AK23/AK42)-1))</f>
        <v/>
      </c>
      <c r="AQ108" s="2218">
        <f>IF(OR(INDEX(SP_GF_Rev,0,COLUMN())&lt;=0,AL23&lt;=0),"NMF",IF(ABS((INDEX(SP_GF_Rev,0,COLUMN())/INDEX(SP_GF_ShareCount,0,COLUMN()))/(AL23/AL42)-1)&gt;10,"NMF",(INDEX(SP_GF_Rev,0,COLUMN())/INDEX(SP_GF_ShareCount,0,COLUMN()))/(AL23/AL42)-1))</f>
        <v/>
      </c>
      <c r="AR108" s="2218">
        <f>IF(OR(INDEX(SP_GF_Rev,0,COLUMN())&lt;=0,AM23&lt;=0),"NMF",IF(ABS((INDEX(SP_GF_Rev,0,COLUMN())/INDEX(SP_GF_ShareCount,0,COLUMN()))/(AM23/AM42)-1)&gt;10,"NMF",(INDEX(SP_GF_Rev,0,COLUMN())/INDEX(SP_GF_ShareCount,0,COLUMN()))/(AM23/AM42)-1))</f>
        <v/>
      </c>
      <c r="AS108" s="2218">
        <f>IF(OR(INDEX(SP_GF_Rev,0,COLUMN())&lt;=0,AN23&lt;=0),"NMF",IF(ABS((INDEX(SP_GF_Rev,0,COLUMN())/INDEX(SP_GF_ShareCount,0,COLUMN()))/(AN23/AN42)-1)&gt;10,"NMF",(INDEX(SP_GF_Rev,0,COLUMN())/INDEX(SP_GF_ShareCount,0,COLUMN()))/(AN23/AN42)-1))</f>
        <v/>
      </c>
      <c r="AT108" s="2136">
        <f>IF(OR(INDEX(SP_GF_Rev,0,COLUMN())&lt;=0,AO23&lt;=0),"NMF",IF(ABS((INDEX(SP_GF_Rev,0,COLUMN())/INDEX(SP_GF_ShareCount,0,COLUMN()))/(AO23/AO42)-1)&gt;10,"NMF",(INDEX(SP_GF_Rev,0,COLUMN())/INDEX(SP_GF_ShareCount,0,COLUMN()))/(AO23/AO42)-1))</f>
        <v/>
      </c>
      <c r="AU108" s="2218">
        <f>IF(OR(INDEX(SP_GF_Rev,0,COLUMN())&lt;=0,AP23&lt;=0),"NMF",IF(ABS((INDEX(SP_GF_Rev,0,COLUMN())/INDEX(SP_GF_ShareCount,0,COLUMN()))/(AP23/AP42)-1)&gt;10,"NMF",(INDEX(SP_GF_Rev,0,COLUMN())/INDEX(SP_GF_ShareCount,0,COLUMN()))/(AP23/AP42)-1))</f>
        <v/>
      </c>
      <c r="AV108" s="2218">
        <f>IF(OR(INDEX(SP_GF_Rev,0,COLUMN())&lt;=0,AQ23&lt;=0),"NMF",IF(ABS((INDEX(SP_GF_Rev,0,COLUMN())/INDEX(SP_GF_ShareCount,0,COLUMN()))/(AQ23/AQ42)-1)&gt;10,"NMF",(INDEX(SP_GF_Rev,0,COLUMN())/INDEX(SP_GF_ShareCount,0,COLUMN()))/(AQ23/AQ42)-1))</f>
        <v/>
      </c>
      <c r="AW108" s="2218">
        <f>IF(OR(INDEX(SP_GF_Rev,0,COLUMN())&lt;=0,AR23&lt;=0),"NMF",IF(ABS((INDEX(SP_GF_Rev,0,COLUMN())/INDEX(SP_GF_ShareCount,0,COLUMN()))/(AR23/AR42)-1)&gt;10,"NMF",(INDEX(SP_GF_Rev,0,COLUMN())/INDEX(SP_GF_ShareCount,0,COLUMN()))/(AR23/AR42)-1))</f>
        <v/>
      </c>
      <c r="AX108" s="2218">
        <f>IF(OR(INDEX(SP_GF_Rev,0,COLUMN())&lt;=0,AS23&lt;=0),"NMF",IF(ABS((INDEX(SP_GF_Rev,0,COLUMN())/INDEX(SP_GF_ShareCount,0,COLUMN()))/(AS23/AS42)-1)&gt;10,"NMF",(INDEX(SP_GF_Rev,0,COLUMN())/INDEX(SP_GF_ShareCount,0,COLUMN()))/(AS23/AS42)-1))</f>
        <v/>
      </c>
      <c r="AY108" s="2136">
        <f>IF(OR(INDEX(SP_GF_Rev,0,COLUMN())&lt;=0,AT23&lt;=0),"NMF",IF(ABS((INDEX(SP_GF_Rev,0,COLUMN())/INDEX(SP_GF_ShareCount,0,COLUMN()))/(AT23/AT42)-1)&gt;10,"NMF",(INDEX(SP_GF_Rev,0,COLUMN())/INDEX(SP_GF_ShareCount,0,COLUMN()))/(AT23/AT42)-1))</f>
        <v/>
      </c>
      <c r="AZ108" s="2218">
        <f>IF(OR(INDEX(SP_GF_Rev,0,COLUMN())&lt;=0,AU23&lt;=0),"NMF",IF(ABS((INDEX(SP_GF_Rev,0,COLUMN())/INDEX(SP_GF_ShareCount,0,COLUMN()))/(AU23/AU42)-1)&gt;10,"NMF",(INDEX(SP_GF_Rev,0,COLUMN())/INDEX(SP_GF_ShareCount,0,COLUMN()))/(AU23/AU42)-1))</f>
        <v/>
      </c>
      <c r="BA108" s="2218">
        <f>IF(OR(INDEX(SP_GF_Rev,0,COLUMN())&lt;=0,AV23&lt;=0),"NMF",IF(ABS((INDEX(SP_GF_Rev,0,COLUMN())/INDEX(SP_GF_ShareCount,0,COLUMN()))/(AV23/AV42)-1)&gt;10,"NMF",(INDEX(SP_GF_Rev,0,COLUMN())/INDEX(SP_GF_ShareCount,0,COLUMN()))/(AV23/AV42)-1))</f>
        <v/>
      </c>
      <c r="BB108" s="2218">
        <f>IF(OR(INDEX(SP_GF_Rev,0,COLUMN())&lt;=0,AW23&lt;=0),"NMF",IF(ABS((INDEX(SP_GF_Rev,0,COLUMN())/INDEX(SP_GF_ShareCount,0,COLUMN()))/(AW23/AW42)-1)&gt;10,"NMF",(INDEX(SP_GF_Rev,0,COLUMN())/INDEX(SP_GF_ShareCount,0,COLUMN()))/(AW23/AW42)-1))</f>
        <v/>
      </c>
      <c r="BC108" s="2218">
        <f>IF(OR(INDEX(SP_GF_Rev,0,COLUMN())&lt;=0,AX23&lt;=0),"NMF",IF(ABS((INDEX(SP_GF_Rev,0,COLUMN())/INDEX(SP_GF_ShareCount,0,COLUMN()))/(AX23/AX42)-1)&gt;10,"NMF",(INDEX(SP_GF_Rev,0,COLUMN())/INDEX(SP_GF_ShareCount,0,COLUMN()))/(AX23/AX42)-1))</f>
        <v/>
      </c>
      <c r="BD108" s="2136">
        <f>IF(OR(INDEX(SP_GF_Rev,0,COLUMN())&lt;=0,AY23&lt;=0),"NMF",IF(ABS((INDEX(SP_GF_Rev,0,COLUMN())/INDEX(SP_GF_ShareCount,0,COLUMN()))/(AY23/AY42)-1)&gt;10,"NMF",(INDEX(SP_GF_Rev,0,COLUMN())/INDEX(SP_GF_ShareCount,0,COLUMN()))/(AY23/AY42)-1))</f>
        <v/>
      </c>
      <c r="BE108" s="2218">
        <f>IF(OR(INDEX(SP_GF_Rev,0,COLUMN())&lt;=0,AZ23&lt;=0),"NMF",IF(ABS((INDEX(SP_GF_Rev,0,COLUMN())/INDEX(SP_GF_ShareCount,0,COLUMN()))/(AZ23/AZ42)-1)&gt;10,"NMF",(INDEX(SP_GF_Rev,0,COLUMN())/INDEX(SP_GF_ShareCount,0,COLUMN()))/(AZ23/AZ42)-1))</f>
        <v/>
      </c>
      <c r="BF108" s="2218">
        <f>IF(OR(INDEX(SP_GF_Rev,0,COLUMN())&lt;=0,BA23&lt;=0),"NMF",IF(ABS((INDEX(SP_GF_Rev,0,COLUMN())/INDEX(SP_GF_ShareCount,0,COLUMN()))/(BA23/BA42)-1)&gt;10,"NMF",(INDEX(SP_GF_Rev,0,COLUMN())/INDEX(SP_GF_ShareCount,0,COLUMN()))/(BA23/BA42)-1))</f>
        <v/>
      </c>
      <c r="BG108" s="2218">
        <f>IF(OR(INDEX(SP_GF_Rev,0,COLUMN())&lt;=0,BB23&lt;=0),"NMF",IF(ABS((INDEX(SP_GF_Rev,0,COLUMN())/INDEX(SP_GF_ShareCount,0,COLUMN()))/(BB23/BB42)-1)&gt;10,"NMF",(INDEX(SP_GF_Rev,0,COLUMN())/INDEX(SP_GF_ShareCount,0,COLUMN()))/(BB23/BB42)-1))</f>
        <v/>
      </c>
      <c r="BH108" s="2218">
        <f>IF(OR(INDEX(SP_GF_Rev,0,COLUMN())&lt;=0,BC23&lt;=0),"NMF",IF(ABS((INDEX(SP_GF_Rev,0,COLUMN())/INDEX(SP_GF_ShareCount,0,COLUMN()))/(BC23/BC42)-1)&gt;10,"NMF",(INDEX(SP_GF_Rev,0,COLUMN())/INDEX(SP_GF_ShareCount,0,COLUMN()))/(BC23/BC42)-1))</f>
        <v/>
      </c>
      <c r="BI108" s="2136">
        <f>IF(OR(INDEX(SP_GF_Rev,0,COLUMN())&lt;=0,BD23&lt;=0),"NMF",IF(ABS((INDEX(SP_GF_Rev,0,COLUMN())/INDEX(SP_GF_ShareCount,0,COLUMN()))/(BD23/BD42)-1)&gt;10,"NMF",(INDEX(SP_GF_Rev,0,COLUMN())/INDEX(SP_GF_ShareCount,0,COLUMN()))/(BD23/BD42)-1))</f>
        <v/>
      </c>
      <c r="BJ108" s="2218">
        <f>IF(OR(INDEX(SP_GF_Rev,0,COLUMN())&lt;=0,BE23&lt;=0),"NMF",IF(ABS((INDEX(SP_GF_Rev,0,COLUMN())/INDEX(SP_GF_ShareCount,0,COLUMN()))/(BE23/BE42)-1)&gt;10,"NMF",(INDEX(SP_GF_Rev,0,COLUMN())/INDEX(SP_GF_ShareCount,0,COLUMN()))/(BE23/BE42)-1))</f>
        <v/>
      </c>
      <c r="BK108" s="2218">
        <f>IF(OR(INDEX(SP_GF_Rev,0,COLUMN())&lt;=0,BF23&lt;=0),"NMF",IF(ABS((INDEX(SP_GF_Rev,0,COLUMN())/INDEX(SP_GF_ShareCount,0,COLUMN()))/(BF23/BF42)-1)&gt;10,"NMF",(INDEX(SP_GF_Rev,0,COLUMN())/INDEX(SP_GF_ShareCount,0,COLUMN()))/(BF23/BF42)-1))</f>
        <v/>
      </c>
      <c r="BL108" s="2218">
        <f>IF(OR(INDEX(SP_GF_Rev,0,COLUMN())&lt;=0,BG23&lt;=0),"NMF",IF(ABS((INDEX(SP_GF_Rev,0,COLUMN())/INDEX(SP_GF_ShareCount,0,COLUMN()))/(BG23/BG42)-1)&gt;10,"NMF",(INDEX(SP_GF_Rev,0,COLUMN())/INDEX(SP_GF_ShareCount,0,COLUMN()))/(BG23/BG42)-1))</f>
        <v/>
      </c>
      <c r="BM108" s="2218">
        <f>IF(OR(INDEX(SP_GF_Rev,0,COLUMN())&lt;=0,BH23&lt;=0),"NMF",IF(ABS((INDEX(SP_GF_Rev,0,COLUMN())/INDEX(SP_GF_ShareCount,0,COLUMN()))/(BH23/BH42)-1)&gt;10,"NMF",(INDEX(SP_GF_Rev,0,COLUMN())/INDEX(SP_GF_ShareCount,0,COLUMN()))/(BH23/BH42)-1))</f>
        <v/>
      </c>
      <c r="BN108" s="2136">
        <f>IF(OR(INDEX(SP_GF_Rev,0,COLUMN())&lt;=0,BI23&lt;=0),"NMF",IF(ABS((INDEX(SP_GF_Rev,0,COLUMN())/INDEX(SP_GF_ShareCount,0,COLUMN()))/(BI23/BI42)-1)&gt;10,"NMF",(INDEX(SP_GF_Rev,0,COLUMN())/INDEX(SP_GF_ShareCount,0,COLUMN()))/(BI23/BI42)-1))</f>
        <v/>
      </c>
      <c r="BO108" s="2218">
        <f>IF(OR(INDEX(SP_GF_Rev,0,COLUMN())&lt;=0,BJ23&lt;=0),"NMF",IF(ABS((INDEX(SP_GF_Rev,0,COLUMN())/INDEX(SP_GF_ShareCount,0,COLUMN()))/(BJ23/BJ42)-1)&gt;10,"NMF",(INDEX(SP_GF_Rev,0,COLUMN())/INDEX(SP_GF_ShareCount,0,COLUMN()))/(BJ23/BJ42)-1))</f>
        <v/>
      </c>
      <c r="BP108" s="2218">
        <f>IF(OR(INDEX(SP_GF_Rev,0,COLUMN())&lt;=0,BK23&lt;=0),"NMF",IF(ABS((INDEX(SP_GF_Rev,0,COLUMN())/INDEX(SP_GF_ShareCount,0,COLUMN()))/(BK23/BK42)-1)&gt;10,"NMF",(INDEX(SP_GF_Rev,0,COLUMN())/INDEX(SP_GF_ShareCount,0,COLUMN()))/(BK23/BK42)-1))</f>
        <v/>
      </c>
      <c r="BQ108" s="2219">
        <f>IF(OR(INDEX(SP_GF_Rev,0,COLUMN())&lt;=0,BL23&lt;=0),"NMF",IF(ABS((INDEX(SP_GF_Rev,0,COLUMN())/INDEX(SP_GF_ShareCount,0,COLUMN()))/(BL23/BL42)-1)&gt;10,"NMF",(INDEX(SP_GF_Rev,0,COLUMN())/INDEX(SP_GF_ShareCount,0,COLUMN()))/(BL23/BL42)-1))</f>
        <v/>
      </c>
      <c r="BR108" s="2218">
        <f>IF(OR(INDEX(SP_GF_Rev,0,COLUMN())&lt;=0,BM23&lt;=0),"NMF",IF(ABS((INDEX(SP_GF_Rev,0,COLUMN())/INDEX(SP_GF_ShareCount,0,COLUMN()))/(BM23/BM42)-1)&gt;10,"NMF",(INDEX(SP_GF_Rev,0,COLUMN())/INDEX(SP_GF_ShareCount,0,COLUMN()))/(BM23/BM42)-1))</f>
        <v/>
      </c>
      <c r="BS108" s="2136">
        <f>IF(OR(INDEX(SP_GF_Rev,0,COLUMN())&lt;=0,BN23&lt;=0),"NMF",IF(ABS((INDEX(SP_GF_Rev,0,COLUMN())/INDEX(SP_GF_ShareCount,0,COLUMN()))/(BN23/BN42)-1)&gt;10,"NMF",(INDEX(SP_GF_Rev,0,COLUMN())/INDEX(SP_GF_ShareCount,0,COLUMN()))/(BN23/BN42)-1))</f>
        <v/>
      </c>
      <c r="BT108" s="2218">
        <f>IF(OR(INDEX(SP_GF_Rev,0,COLUMN())&lt;=0,BO23&lt;=0),"NMF",IF(ABS((INDEX(SP_GF_Rev,0,COLUMN())/INDEX(SP_GF_ShareCount,0,COLUMN()))/(BO23/BO42)-1)&gt;10,"NMF",(INDEX(SP_GF_Rev,0,COLUMN())/INDEX(SP_GF_ShareCount,0,COLUMN()))/(BO23/BO42)-1))</f>
        <v/>
      </c>
      <c r="BU108" s="2218">
        <f>IF(OR(INDEX(SP_GF_Rev,0,COLUMN())&lt;=0,BP23&lt;=0),"NMF",IF(ABS((INDEX(SP_GF_Rev,0,COLUMN())/INDEX(SP_GF_ShareCount,0,COLUMN()))/(BP23/BP42)-1)&gt;10,"NMF",(INDEX(SP_GF_Rev,0,COLUMN())/INDEX(SP_GF_ShareCount,0,COLUMN()))/(BP23/BP42)-1))</f>
        <v/>
      </c>
      <c r="BV108" s="2218">
        <f>IF(OR(INDEX(SP_GF_Rev,0,COLUMN())&lt;=0,BQ23&lt;=0),"NMF",IF(ABS((INDEX(SP_GF_Rev,0,COLUMN())/INDEX(SP_GF_ShareCount,0,COLUMN()))/(BQ23/BQ42)-1)&gt;10,"NMF",(INDEX(SP_GF_Rev,0,COLUMN())/INDEX(SP_GF_ShareCount,0,COLUMN()))/(BQ23/BQ42)-1))</f>
        <v/>
      </c>
      <c r="BW108" s="2218">
        <f>IF(OR(INDEX(SP_GF_Rev,0,COLUMN())&lt;=0,BR23&lt;=0),"NMF",IF(ABS((INDEX(SP_GF_Rev,0,COLUMN())/INDEX(SP_GF_ShareCount,0,COLUMN()))/(BR23/BR42)-1)&gt;10,"NMF",(INDEX(SP_GF_Rev,0,COLUMN())/INDEX(SP_GF_ShareCount,0,COLUMN()))/(BR23/BR42)-1))</f>
        <v/>
      </c>
      <c r="BX108" s="2136">
        <f>IF(OR(INDEX(SP_GF_Rev,0,COLUMN())&lt;=0,BS23&lt;=0),"NMF",IF(ABS((INDEX(SP_GF_Rev,0,COLUMN())/INDEX(SP_GF_ShareCount,0,COLUMN()))/(BS23/BS42)-1)&gt;10,"NMF",(INDEX(SP_GF_Rev,0,COLUMN())/INDEX(SP_GF_ShareCount,0,COLUMN()))/(BS23/BS42)-1))</f>
        <v/>
      </c>
      <c r="BY108" s="2136">
        <f>IF(OR(INDEX(SP_GF_Rev,0,COLUMN())&lt;=0,BX23&lt;=0),"NMF",IF(ABS((INDEX(SP_GF_Rev,0,COLUMN())/INDEX(SP_GF_ShareCount,0,COLUMN()))/(BX23/BX42)-1)&gt;10,"NMF",(INDEX(SP_GF_Rev,0,COLUMN())/INDEX(SP_GF_ShareCount,0,COLUMN()))/(BX23/BX42)-1))</f>
        <v/>
      </c>
      <c r="BZ108" s="2136">
        <f>IF(OR(INDEX(SP_GF_Rev,0,COLUMN())&lt;=0,BY23&lt;=0),"NMF",IF(ABS((INDEX(SP_GF_Rev,0,COLUMN())/INDEX(SP_GF_ShareCount,0,COLUMN()))/(BY23/BY42)-1)&gt;10,"NMF",(INDEX(SP_GF_Rev,0,COLUMN())/INDEX(SP_GF_ShareCount,0,COLUMN()))/(BY23/BY42)-1))</f>
        <v/>
      </c>
      <c r="CA108" s="2136">
        <f>IF(OR(INDEX(SP_GF_Rev,0,COLUMN())&lt;=0,BZ23&lt;=0),"NMF",IF(ABS((INDEX(SP_GF_Rev,0,COLUMN())/INDEX(SP_GF_ShareCount,0,COLUMN()))/(BZ23/BZ42)-1)&gt;10,"NMF",(INDEX(SP_GF_Rev,0,COLUMN())/INDEX(SP_GF_ShareCount,0,COLUMN()))/(BZ23/BZ42)-1))</f>
        <v/>
      </c>
      <c r="CB108" s="2109" t="n"/>
    </row>
    <row r="109" ht="15" customFormat="1" customHeight="1" s="2165">
      <c r="A109" s="2160" t="inlineStr">
        <is>
          <t>Adj. EBITDA Per Share Growth</t>
        </is>
      </c>
      <c r="B109" s="2216" t="n"/>
      <c r="C109" s="2136" t="n"/>
      <c r="D109" s="2136">
        <f>IF(OR(INDEX(SP_NGF_EBITDA,0,COLUMN())&lt;=0,C45&lt;=0),"NMF",IF(ABS((INDEX(SP_NGF_EBITDA,0,COLUMN())/INDEX(SP_GF_ShareCount,0,COLUMN()))/(C45/C42)-1)&gt;10,"NMF",(INDEX(SP_NGF_EBITDA,0,COLUMN())/INDEX(SP_GF_ShareCount,0,COLUMN()))/(C45/C42)-1))</f>
        <v/>
      </c>
      <c r="E109" s="2136">
        <f>IF(OR(INDEX(SP_NGF_EBITDA,0,COLUMN())&lt;=0,D45&lt;=0),"NMF",IF(ABS((INDEX(SP_NGF_EBITDA,0,COLUMN())/INDEX(SP_GF_ShareCount,0,COLUMN()))/(D45/D42)-1)&gt;10,"NMF",(INDEX(SP_NGF_EBITDA,0,COLUMN())/INDEX(SP_GF_ShareCount,0,COLUMN()))/(D45/D42)-1))</f>
        <v/>
      </c>
      <c r="F109" s="2136">
        <f>IF(OR(INDEX(SP_NGF_EBITDA,0,COLUMN())&lt;=0,E45&lt;=0),"NMF",IF(ABS((INDEX(SP_NGF_EBITDA,0,COLUMN())/INDEX(SP_GF_ShareCount,0,COLUMN()))/(E45/E42)-1)&gt;10,"NMF",(INDEX(SP_NGF_EBITDA,0,COLUMN())/INDEX(SP_GF_ShareCount,0,COLUMN()))/(E45/E42)-1))</f>
        <v/>
      </c>
      <c r="G109" s="2218" t="n"/>
      <c r="H109" s="2218" t="n"/>
      <c r="I109" s="2218" t="n"/>
      <c r="J109" s="2218" t="n"/>
      <c r="K109" s="2136">
        <f>IF(OR(INDEX(SP_NGF_EBITDA,0,COLUMN())&lt;=0,F45&lt;=0),"NMF",IF(ABS((INDEX(SP_NGF_EBITDA,0,COLUMN())/INDEX(SP_GF_ShareCount,0,COLUMN()))/(F45/F42)-1)&gt;10,"NMF",(INDEX(SP_NGF_EBITDA,0,COLUMN())/INDEX(SP_GF_ShareCount,0,COLUMN()))/(F45/F42)-1))</f>
        <v/>
      </c>
      <c r="L109" s="2218">
        <f>IF(OR(INDEX(SP_NGF_EBITDA,0,COLUMN())&lt;=0,G45&lt;=0),"NMF",IF(ABS((INDEX(SP_NGF_EBITDA,0,COLUMN())/INDEX(SP_GF_ShareCount,0,COLUMN()))/(G45/G42)-1)&gt;10,"NMF",(INDEX(SP_NGF_EBITDA,0,COLUMN())/INDEX(SP_GF_ShareCount,0,COLUMN()))/(G45/G42)-1))</f>
        <v/>
      </c>
      <c r="M109" s="2218">
        <f>IF(OR(INDEX(SP_NGF_EBITDA,0,COLUMN())&lt;=0,H45&lt;=0),"NMF",IF(ABS((INDEX(SP_NGF_EBITDA,0,COLUMN())/INDEX(SP_GF_ShareCount,0,COLUMN()))/(H45/H42)-1)&gt;10,"NMF",(INDEX(SP_NGF_EBITDA,0,COLUMN())/INDEX(SP_GF_ShareCount,0,COLUMN()))/(H45/H42)-1))</f>
        <v/>
      </c>
      <c r="N109" s="2218">
        <f>IF(OR(INDEX(SP_NGF_EBITDA,0,COLUMN())&lt;=0,I45&lt;=0),"NMF",IF(ABS((INDEX(SP_NGF_EBITDA,0,COLUMN())/INDEX(SP_GF_ShareCount,0,COLUMN()))/(I45/I42)-1)&gt;10,"NMF",(INDEX(SP_NGF_EBITDA,0,COLUMN())/INDEX(SP_GF_ShareCount,0,COLUMN()))/(I45/I42)-1))</f>
        <v/>
      </c>
      <c r="O109" s="2218">
        <f>IF(OR(INDEX(SP_NGF_EBITDA,0,COLUMN())&lt;=0,J45&lt;=0),"NMF",IF(ABS((INDEX(SP_NGF_EBITDA,0,COLUMN())/INDEX(SP_GF_ShareCount,0,COLUMN()))/(J45/J42)-1)&gt;10,"NMF",(INDEX(SP_NGF_EBITDA,0,COLUMN())/INDEX(SP_GF_ShareCount,0,COLUMN()))/(J45/J42)-1))</f>
        <v/>
      </c>
      <c r="P109" s="2136">
        <f>IF(OR(INDEX(SP_NGF_EBITDA,0,COLUMN())&lt;=0,K45&lt;=0),"NMF",IF(ABS((INDEX(SP_NGF_EBITDA,0,COLUMN())/INDEX(SP_GF_ShareCount,0,COLUMN()))/(K45/K42)-1)&gt;10,"NMF",(INDEX(SP_NGF_EBITDA,0,COLUMN())/INDEX(SP_GF_ShareCount,0,COLUMN()))/(K45/K42)-1))</f>
        <v/>
      </c>
      <c r="Q109" s="2218">
        <f>IF(OR(INDEX(SP_NGF_EBITDA,0,COLUMN())&lt;=0,L45&lt;=0),"NMF",IF(ABS((INDEX(SP_NGF_EBITDA,0,COLUMN())/INDEX(SP_GF_ShareCount,0,COLUMN()))/(L45/L42)-1)&gt;10,"NMF",(INDEX(SP_NGF_EBITDA,0,COLUMN())/INDEX(SP_GF_ShareCount,0,COLUMN()))/(L45/L42)-1))</f>
        <v/>
      </c>
      <c r="R109" s="2218">
        <f>IF(OR(INDEX(SP_NGF_EBITDA,0,COLUMN())&lt;=0,M45&lt;=0),"NMF",IF(ABS((INDEX(SP_NGF_EBITDA,0,COLUMN())/INDEX(SP_GF_ShareCount,0,COLUMN()))/(M45/M42)-1)&gt;10,"NMF",(INDEX(SP_NGF_EBITDA,0,COLUMN())/INDEX(SP_GF_ShareCount,0,COLUMN()))/(M45/M42)-1))</f>
        <v/>
      </c>
      <c r="S109" s="2218">
        <f>IF(OR(INDEX(SP_NGF_EBITDA,0,COLUMN())&lt;=0,N45&lt;=0),"NMF",IF(ABS((INDEX(SP_NGF_EBITDA,0,COLUMN())/INDEX(SP_GF_ShareCount,0,COLUMN()))/(N45/N42)-1)&gt;10,"NMF",(INDEX(SP_NGF_EBITDA,0,COLUMN())/INDEX(SP_GF_ShareCount,0,COLUMN()))/(N45/N42)-1))</f>
        <v/>
      </c>
      <c r="T109" s="2218">
        <f>IF(OR(INDEX(SP_NGF_EBITDA,0,COLUMN())&lt;=0,O45&lt;=0),"NMF",IF(ABS((INDEX(SP_NGF_EBITDA,0,COLUMN())/INDEX(SP_GF_ShareCount,0,COLUMN()))/(O45/O42)-1)&gt;10,"NMF",(INDEX(SP_NGF_EBITDA,0,COLUMN())/INDEX(SP_GF_ShareCount,0,COLUMN()))/(O45/O42)-1))</f>
        <v/>
      </c>
      <c r="U109" s="2136">
        <f>IF(OR(INDEX(SP_NGF_EBITDA,0,COLUMN())&lt;=0,P45&lt;=0),"NMF",IF(ABS((INDEX(SP_NGF_EBITDA,0,COLUMN())/INDEX(SP_GF_ShareCount,0,COLUMN()))/(P45/P42)-1)&gt;10,"NMF",(INDEX(SP_NGF_EBITDA,0,COLUMN())/INDEX(SP_GF_ShareCount,0,COLUMN()))/(P45/P42)-1))</f>
        <v/>
      </c>
      <c r="V109" s="2218">
        <f>IF(OR(INDEX(SP_NGF_EBITDA,0,COLUMN())&lt;=0,Q45&lt;=0),"NMF",IF(ABS((INDEX(SP_NGF_EBITDA,0,COLUMN())/INDEX(SP_GF_ShareCount,0,COLUMN()))/(Q45/Q42)-1)&gt;10,"NMF",(INDEX(SP_NGF_EBITDA,0,COLUMN())/INDEX(SP_GF_ShareCount,0,COLUMN()))/(Q45/Q42)-1))</f>
        <v/>
      </c>
      <c r="W109" s="2218">
        <f>IF(OR(INDEX(SP_NGF_EBITDA,0,COLUMN())&lt;=0,R45&lt;=0),"NMF",IF(ABS((INDEX(SP_NGF_EBITDA,0,COLUMN())/INDEX(SP_GF_ShareCount,0,COLUMN()))/(R45/R42)-1)&gt;10,"NMF",(INDEX(SP_NGF_EBITDA,0,COLUMN())/INDEX(SP_GF_ShareCount,0,COLUMN()))/(R45/R42)-1))</f>
        <v/>
      </c>
      <c r="X109" s="2218">
        <f>IF(OR(INDEX(SP_NGF_EBITDA,0,COLUMN())&lt;=0,S45&lt;=0),"NMF",IF(ABS((INDEX(SP_NGF_EBITDA,0,COLUMN())/INDEX(SP_GF_ShareCount,0,COLUMN()))/(S45/S42)-1)&gt;10,"NMF",(INDEX(SP_NGF_EBITDA,0,COLUMN())/INDEX(SP_GF_ShareCount,0,COLUMN()))/(S45/S42)-1))</f>
        <v/>
      </c>
      <c r="Y109" s="2218">
        <f>IF(OR(INDEX(SP_NGF_EBITDA,0,COLUMN())&lt;=0,T45&lt;=0),"NMF",IF(ABS((INDEX(SP_NGF_EBITDA,0,COLUMN())/INDEX(SP_GF_ShareCount,0,COLUMN()))/(T45/T42)-1)&gt;10,"NMF",(INDEX(SP_NGF_EBITDA,0,COLUMN())/INDEX(SP_GF_ShareCount,0,COLUMN()))/(T45/T42)-1))</f>
        <v/>
      </c>
      <c r="Z109" s="2136">
        <f>IF(OR(INDEX(SP_NGF_EBITDA,0,COLUMN())&lt;=0,U45&lt;=0),"NMF",IF(ABS((INDEX(SP_NGF_EBITDA,0,COLUMN())/INDEX(SP_GF_ShareCount,0,COLUMN()))/(U45/U42)-1)&gt;10,"NMF",(INDEX(SP_NGF_EBITDA,0,COLUMN())/INDEX(SP_GF_ShareCount,0,COLUMN()))/(U45/U42)-1))</f>
        <v/>
      </c>
      <c r="AA109" s="2218">
        <f>IF(OR(INDEX(SP_NGF_EBITDA,0,COLUMN())&lt;=0,V45&lt;=0),"NMF",IF(ABS((INDEX(SP_NGF_EBITDA,0,COLUMN())/INDEX(SP_GF_ShareCount,0,COLUMN()))/(V45/V42)-1)&gt;10,"NMF",(INDEX(SP_NGF_EBITDA,0,COLUMN())/INDEX(SP_GF_ShareCount,0,COLUMN()))/(V45/V42)-1))</f>
        <v/>
      </c>
      <c r="AB109" s="2218">
        <f>IF(OR(INDEX(SP_NGF_EBITDA,0,COLUMN())&lt;=0,W45&lt;=0),"NMF",IF(ABS((INDEX(SP_NGF_EBITDA,0,COLUMN())/INDEX(SP_GF_ShareCount,0,COLUMN()))/(W45/W42)-1)&gt;10,"NMF",(INDEX(SP_NGF_EBITDA,0,COLUMN())/INDEX(SP_GF_ShareCount,0,COLUMN()))/(W45/W42)-1))</f>
        <v/>
      </c>
      <c r="AC109" s="2218">
        <f>IF(OR(INDEX(SP_NGF_EBITDA,0,COLUMN())&lt;=0,X45&lt;=0),"NMF",IF(ABS((INDEX(SP_NGF_EBITDA,0,COLUMN())/INDEX(SP_GF_ShareCount,0,COLUMN()))/(X45/X42)-1)&gt;10,"NMF",(INDEX(SP_NGF_EBITDA,0,COLUMN())/INDEX(SP_GF_ShareCount,0,COLUMN()))/(X45/X42)-1))</f>
        <v/>
      </c>
      <c r="AD109" s="2218">
        <f>IF(OR(INDEX(SP_NGF_EBITDA,0,COLUMN())&lt;=0,Y45&lt;=0),"NMF",IF(ABS((INDEX(SP_NGF_EBITDA,0,COLUMN())/INDEX(SP_GF_ShareCount,0,COLUMN()))/(Y45/Y42)-1)&gt;10,"NMF",(INDEX(SP_NGF_EBITDA,0,COLUMN())/INDEX(SP_GF_ShareCount,0,COLUMN()))/(Y45/Y42)-1))</f>
        <v/>
      </c>
      <c r="AE109" s="2136">
        <f>IF(OR(INDEX(SP_NGF_EBITDA,0,COLUMN())&lt;=0,Z45&lt;=0),"NMF",IF(ABS((INDEX(SP_NGF_EBITDA,0,COLUMN())/INDEX(SP_GF_ShareCount,0,COLUMN()))/(Z45/Z42)-1)&gt;10,"NMF",(INDEX(SP_NGF_EBITDA,0,COLUMN())/INDEX(SP_GF_ShareCount,0,COLUMN()))/(Z45/Z42)-1))</f>
        <v/>
      </c>
      <c r="AF109" s="2218">
        <f>IF(OR(INDEX(SP_NGF_EBITDA,0,COLUMN())&lt;=0,AA45&lt;=0),"NMF",IF(ABS((INDEX(SP_NGF_EBITDA,0,COLUMN())/INDEX(SP_GF_ShareCount,0,COLUMN()))/(AA45/AA42)-1)&gt;10,"NMF",(INDEX(SP_NGF_EBITDA,0,COLUMN())/INDEX(SP_GF_ShareCount,0,COLUMN()))/(AA45/AA42)-1))</f>
        <v/>
      </c>
      <c r="AG109" s="2218">
        <f>IF(OR(INDEX(SP_NGF_EBITDA,0,COLUMN())&lt;=0,AB45&lt;=0),"NMF",IF(ABS((INDEX(SP_NGF_EBITDA,0,COLUMN())/INDEX(SP_GF_ShareCount,0,COLUMN()))/(AB45/AB42)-1)&gt;10,"NMF",(INDEX(SP_NGF_EBITDA,0,COLUMN())/INDEX(SP_GF_ShareCount,0,COLUMN()))/(AB45/AB42)-1))</f>
        <v/>
      </c>
      <c r="AH109" s="2218">
        <f>IF(OR(INDEX(SP_NGF_EBITDA,0,COLUMN())&lt;=0,AC45&lt;=0),"NMF",IF(ABS((INDEX(SP_NGF_EBITDA,0,COLUMN())/INDEX(SP_GF_ShareCount,0,COLUMN()))/(AC45/AC42)-1)&gt;10,"NMF",(INDEX(SP_NGF_EBITDA,0,COLUMN())/INDEX(SP_GF_ShareCount,0,COLUMN()))/(AC45/AC42)-1))</f>
        <v/>
      </c>
      <c r="AI109" s="2218">
        <f>IF(OR(INDEX(SP_NGF_EBITDA,0,COLUMN())&lt;=0,AD45&lt;=0),"NMF",IF(ABS((INDEX(SP_NGF_EBITDA,0,COLUMN())/INDEX(SP_GF_ShareCount,0,COLUMN()))/(AD45/AD42)-1)&gt;10,"NMF",(INDEX(SP_NGF_EBITDA,0,COLUMN())/INDEX(SP_GF_ShareCount,0,COLUMN()))/(AD45/AD42)-1))</f>
        <v/>
      </c>
      <c r="AJ109" s="2136">
        <f>IF(OR(INDEX(SP_NGF_EBITDA,0,COLUMN())&lt;=0,AE45&lt;=0),"NMF",IF(ABS((INDEX(SP_NGF_EBITDA,0,COLUMN())/INDEX(SP_GF_ShareCount,0,COLUMN()))/(AE45/AE42)-1)&gt;10,"NMF",(INDEX(SP_NGF_EBITDA,0,COLUMN())/INDEX(SP_GF_ShareCount,0,COLUMN()))/(AE45/AE42)-1))</f>
        <v/>
      </c>
      <c r="AK109" s="2218">
        <f>IF(OR(INDEX(SP_NGF_EBITDA,0,COLUMN())&lt;=0,AF45&lt;=0),"NMF",IF(ABS((INDEX(SP_NGF_EBITDA,0,COLUMN())/INDEX(SP_GF_ShareCount,0,COLUMN()))/(AF45/AF42)-1)&gt;10,"NMF",(INDEX(SP_NGF_EBITDA,0,COLUMN())/INDEX(SP_GF_ShareCount,0,COLUMN()))/(AF45/AF42)-1))</f>
        <v/>
      </c>
      <c r="AL109" s="2218">
        <f>IF(OR(INDEX(SP_NGF_EBITDA,0,COLUMN())&lt;=0,AG45&lt;=0),"NMF",IF(ABS((INDEX(SP_NGF_EBITDA,0,COLUMN())/INDEX(SP_GF_ShareCount,0,COLUMN()))/(AG45/AG42)-1)&gt;10,"NMF",(INDEX(SP_NGF_EBITDA,0,COLUMN())/INDEX(SP_GF_ShareCount,0,COLUMN()))/(AG45/AG42)-1))</f>
        <v/>
      </c>
      <c r="AM109" s="2218">
        <f>IF(OR(INDEX(SP_NGF_EBITDA,0,COLUMN())&lt;=0,AH45&lt;=0),"NMF",IF(ABS((INDEX(SP_NGF_EBITDA,0,COLUMN())/INDEX(SP_GF_ShareCount,0,COLUMN()))/(AH45/AH42)-1)&gt;10,"NMF",(INDEX(SP_NGF_EBITDA,0,COLUMN())/INDEX(SP_GF_ShareCount,0,COLUMN()))/(AH45/AH42)-1))</f>
        <v/>
      </c>
      <c r="AN109" s="2218">
        <f>IF(OR(INDEX(SP_NGF_EBITDA,0,COLUMN())&lt;=0,AI45&lt;=0),"NMF",IF(ABS((INDEX(SP_NGF_EBITDA,0,COLUMN())/INDEX(SP_GF_ShareCount,0,COLUMN()))/(AI45/AI42)-1)&gt;10,"NMF",(INDEX(SP_NGF_EBITDA,0,COLUMN())/INDEX(SP_GF_ShareCount,0,COLUMN()))/(AI45/AI42)-1))</f>
        <v/>
      </c>
      <c r="AO109" s="2136">
        <f>IF(OR(INDEX(SP_NGF_EBITDA,0,COLUMN())&lt;=0,AJ45&lt;=0),"NMF",IF(ABS((INDEX(SP_NGF_EBITDA,0,COLUMN())/INDEX(SP_GF_ShareCount,0,COLUMN()))/(AJ45/AJ42)-1)&gt;10,"NMF",(INDEX(SP_NGF_EBITDA,0,COLUMN())/INDEX(SP_GF_ShareCount,0,COLUMN()))/(AJ45/AJ42)-1))</f>
        <v/>
      </c>
      <c r="AP109" s="2218">
        <f>IF(OR(INDEX(SP_NGF_EBITDA,0,COLUMN())&lt;=0,AK45&lt;=0),"NMF",IF(ABS((INDEX(SP_NGF_EBITDA,0,COLUMN())/INDEX(SP_GF_ShareCount,0,COLUMN()))/(AK45/AK42)-1)&gt;10,"NMF",(INDEX(SP_NGF_EBITDA,0,COLUMN())/INDEX(SP_GF_ShareCount,0,COLUMN()))/(AK45/AK42)-1))</f>
        <v/>
      </c>
      <c r="AQ109" s="2218">
        <f>IF(OR(INDEX(SP_NGF_EBITDA,0,COLUMN())&lt;=0,AL45&lt;=0),"NMF",IF(ABS((INDEX(SP_NGF_EBITDA,0,COLUMN())/INDEX(SP_GF_ShareCount,0,COLUMN()))/(AL45/AL42)-1)&gt;10,"NMF",(INDEX(SP_NGF_EBITDA,0,COLUMN())/INDEX(SP_GF_ShareCount,0,COLUMN()))/(AL45/AL42)-1))</f>
        <v/>
      </c>
      <c r="AR109" s="2218">
        <f>IF(OR(INDEX(SP_NGF_EBITDA,0,COLUMN())&lt;=0,AM45&lt;=0),"NMF",IF(ABS((INDEX(SP_NGF_EBITDA,0,COLUMN())/INDEX(SP_GF_ShareCount,0,COLUMN()))/(AM45/AM42)-1)&gt;10,"NMF",(INDEX(SP_NGF_EBITDA,0,COLUMN())/INDEX(SP_GF_ShareCount,0,COLUMN()))/(AM45/AM42)-1))</f>
        <v/>
      </c>
      <c r="AS109" s="2218">
        <f>IF(OR(INDEX(SP_NGF_EBITDA,0,COLUMN())&lt;=0,AN45&lt;=0),"NMF",IF(ABS((INDEX(SP_NGF_EBITDA,0,COLUMN())/INDEX(SP_GF_ShareCount,0,COLUMN()))/(AN45/AN42)-1)&gt;10,"NMF",(INDEX(SP_NGF_EBITDA,0,COLUMN())/INDEX(SP_GF_ShareCount,0,COLUMN()))/(AN45/AN42)-1))</f>
        <v/>
      </c>
      <c r="AT109" s="2136">
        <f>IF(OR(INDEX(SP_NGF_EBITDA,0,COLUMN())&lt;=0,AO45&lt;=0),"NMF",IF(ABS((INDEX(SP_NGF_EBITDA,0,COLUMN())/INDEX(SP_GF_ShareCount,0,COLUMN()))/(AO45/AO42)-1)&gt;10,"NMF",(INDEX(SP_NGF_EBITDA,0,COLUMN())/INDEX(SP_GF_ShareCount,0,COLUMN()))/(AO45/AO42)-1))</f>
        <v/>
      </c>
      <c r="AU109" s="2218">
        <f>IF(OR(INDEX(SP_NGF_EBITDA,0,COLUMN())&lt;=0,AP45&lt;=0),"NMF",IF(ABS((INDEX(SP_NGF_EBITDA,0,COLUMN())/INDEX(SP_GF_ShareCount,0,COLUMN()))/(AP45/AP42)-1)&gt;10,"NMF",(INDEX(SP_NGF_EBITDA,0,COLUMN())/INDEX(SP_GF_ShareCount,0,COLUMN()))/(AP45/AP42)-1))</f>
        <v/>
      </c>
      <c r="AV109" s="2218">
        <f>IF(OR(INDEX(SP_NGF_EBITDA,0,COLUMN())&lt;=0,AQ45&lt;=0),"NMF",IF(ABS((INDEX(SP_NGF_EBITDA,0,COLUMN())/INDEX(SP_GF_ShareCount,0,COLUMN()))/(AQ45/AQ42)-1)&gt;10,"NMF",(INDEX(SP_NGF_EBITDA,0,COLUMN())/INDEX(SP_GF_ShareCount,0,COLUMN()))/(AQ45/AQ42)-1))</f>
        <v/>
      </c>
      <c r="AW109" s="2218">
        <f>IF(OR(INDEX(SP_NGF_EBITDA,0,COLUMN())&lt;=0,AR45&lt;=0),"NMF",IF(ABS((INDEX(SP_NGF_EBITDA,0,COLUMN())/INDEX(SP_GF_ShareCount,0,COLUMN()))/(AR45/AR42)-1)&gt;10,"NMF",(INDEX(SP_NGF_EBITDA,0,COLUMN())/INDEX(SP_GF_ShareCount,0,COLUMN()))/(AR45/AR42)-1))</f>
        <v/>
      </c>
      <c r="AX109" s="2218">
        <f>IF(OR(INDEX(SP_NGF_EBITDA,0,COLUMN())&lt;=0,AS45&lt;=0),"NMF",IF(ABS((INDEX(SP_NGF_EBITDA,0,COLUMN())/INDEX(SP_GF_ShareCount,0,COLUMN()))/(AS45/AS42)-1)&gt;10,"NMF",(INDEX(SP_NGF_EBITDA,0,COLUMN())/INDEX(SP_GF_ShareCount,0,COLUMN()))/(AS45/AS42)-1))</f>
        <v/>
      </c>
      <c r="AY109" s="2136">
        <f>IF(OR(INDEX(SP_NGF_EBITDA,0,COLUMN())&lt;=0,AT45&lt;=0),"NMF",IF(ABS((INDEX(SP_NGF_EBITDA,0,COLUMN())/INDEX(SP_GF_ShareCount,0,COLUMN()))/(AT45/AT42)-1)&gt;10,"NMF",(INDEX(SP_NGF_EBITDA,0,COLUMN())/INDEX(SP_GF_ShareCount,0,COLUMN()))/(AT45/AT42)-1))</f>
        <v/>
      </c>
      <c r="AZ109" s="2218">
        <f>IF(OR(INDEX(SP_NGF_EBITDA,0,COLUMN())&lt;=0,AU45&lt;=0),"NMF",IF(ABS((INDEX(SP_NGF_EBITDA,0,COLUMN())/INDEX(SP_GF_ShareCount,0,COLUMN()))/(AU45/AU42)-1)&gt;10,"NMF",(INDEX(SP_NGF_EBITDA,0,COLUMN())/INDEX(SP_GF_ShareCount,0,COLUMN()))/(AU45/AU42)-1))</f>
        <v/>
      </c>
      <c r="BA109" s="2218">
        <f>IF(OR(INDEX(SP_NGF_EBITDA,0,COLUMN())&lt;=0,AV45&lt;=0),"NMF",IF(ABS((INDEX(SP_NGF_EBITDA,0,COLUMN())/INDEX(SP_GF_ShareCount,0,COLUMN()))/(AV45/AV42)-1)&gt;10,"NMF",(INDEX(SP_NGF_EBITDA,0,COLUMN())/INDEX(SP_GF_ShareCount,0,COLUMN()))/(AV45/AV42)-1))</f>
        <v/>
      </c>
      <c r="BB109" s="2218">
        <f>IF(OR(INDEX(SP_NGF_EBITDA,0,COLUMN())&lt;=0,AW45&lt;=0),"NMF",IF(ABS((INDEX(SP_NGF_EBITDA,0,COLUMN())/INDEX(SP_GF_ShareCount,0,COLUMN()))/(AW45/AW42)-1)&gt;10,"NMF",(INDEX(SP_NGF_EBITDA,0,COLUMN())/INDEX(SP_GF_ShareCount,0,COLUMN()))/(AW45/AW42)-1))</f>
        <v/>
      </c>
      <c r="BC109" s="2218">
        <f>IF(OR(INDEX(SP_NGF_EBITDA,0,COLUMN())&lt;=0,AX45&lt;=0),"NMF",IF(ABS((INDEX(SP_NGF_EBITDA,0,COLUMN())/INDEX(SP_GF_ShareCount,0,COLUMN()))/(AX45/AX42)-1)&gt;10,"NMF",(INDEX(SP_NGF_EBITDA,0,COLUMN())/INDEX(SP_GF_ShareCount,0,COLUMN()))/(AX45/AX42)-1))</f>
        <v/>
      </c>
      <c r="BD109" s="2136">
        <f>IF(OR(INDEX(SP_NGF_EBITDA,0,COLUMN())&lt;=0,AY45&lt;=0),"NMF",IF(ABS((INDEX(SP_NGF_EBITDA,0,COLUMN())/INDEX(SP_GF_ShareCount,0,COLUMN()))/(AY45/AY42)-1)&gt;10,"NMF",(INDEX(SP_NGF_EBITDA,0,COLUMN())/INDEX(SP_GF_ShareCount,0,COLUMN()))/(AY45/AY42)-1))</f>
        <v/>
      </c>
      <c r="BE109" s="2218">
        <f>IF(OR(INDEX(SP_NGF_EBITDA,0,COLUMN())&lt;=0,AZ45&lt;=0),"NMF",IF(ABS((INDEX(SP_NGF_EBITDA,0,COLUMN())/INDEX(SP_GF_ShareCount,0,COLUMN()))/(AZ45/AZ42)-1)&gt;10,"NMF",(INDEX(SP_NGF_EBITDA,0,COLUMN())/INDEX(SP_GF_ShareCount,0,COLUMN()))/(AZ45/AZ42)-1))</f>
        <v/>
      </c>
      <c r="BF109" s="2218">
        <f>IF(OR(INDEX(SP_NGF_EBITDA,0,COLUMN())&lt;=0,BA45&lt;=0),"NMF",IF(ABS((INDEX(SP_NGF_EBITDA,0,COLUMN())/INDEX(SP_GF_ShareCount,0,COLUMN()))/(BA45/BA42)-1)&gt;10,"NMF",(INDEX(SP_NGF_EBITDA,0,COLUMN())/INDEX(SP_GF_ShareCount,0,COLUMN()))/(BA45/BA42)-1))</f>
        <v/>
      </c>
      <c r="BG109" s="2218">
        <f>IF(OR(INDEX(SP_NGF_EBITDA,0,COLUMN())&lt;=0,BB45&lt;=0),"NMF",IF(ABS((INDEX(SP_NGF_EBITDA,0,COLUMN())/INDEX(SP_GF_ShareCount,0,COLUMN()))/(BB45/BB42)-1)&gt;10,"NMF",(INDEX(SP_NGF_EBITDA,0,COLUMN())/INDEX(SP_GF_ShareCount,0,COLUMN()))/(BB45/BB42)-1))</f>
        <v/>
      </c>
      <c r="BH109" s="2218">
        <f>IF(OR(INDEX(SP_NGF_EBITDA,0,COLUMN())&lt;=0,BC45&lt;=0),"NMF",IF(ABS((INDEX(SP_NGF_EBITDA,0,COLUMN())/INDEX(SP_GF_ShareCount,0,COLUMN()))/(BC45/BC42)-1)&gt;10,"NMF",(INDEX(SP_NGF_EBITDA,0,COLUMN())/INDEX(SP_GF_ShareCount,0,COLUMN()))/(BC45/BC42)-1))</f>
        <v/>
      </c>
      <c r="BI109" s="2136">
        <f>IF(OR(INDEX(SP_NGF_EBITDA,0,COLUMN())&lt;=0,BD45&lt;=0),"NMF",IF(ABS((INDEX(SP_NGF_EBITDA,0,COLUMN())/INDEX(SP_GF_ShareCount,0,COLUMN()))/(BD45/BD42)-1)&gt;10,"NMF",(INDEX(SP_NGF_EBITDA,0,COLUMN())/INDEX(SP_GF_ShareCount,0,COLUMN()))/(BD45/BD42)-1))</f>
        <v/>
      </c>
      <c r="BJ109" s="2218">
        <f>IF(OR(INDEX(SP_NGF_EBITDA,0,COLUMN())&lt;=0,BE45&lt;=0),"NMF",IF(ABS((INDEX(SP_NGF_EBITDA,0,COLUMN())/INDEX(SP_GF_ShareCount,0,COLUMN()))/(BE45/BE42)-1)&gt;10,"NMF",(INDEX(SP_NGF_EBITDA,0,COLUMN())/INDEX(SP_GF_ShareCount,0,COLUMN()))/(BE45/BE42)-1))</f>
        <v/>
      </c>
      <c r="BK109" s="2218">
        <f>IF(OR(INDEX(SP_NGF_EBITDA,0,COLUMN())&lt;=0,BF45&lt;=0),"NMF",IF(ABS((INDEX(SP_NGF_EBITDA,0,COLUMN())/INDEX(SP_GF_ShareCount,0,COLUMN()))/(BF45/BF42)-1)&gt;10,"NMF",(INDEX(SP_NGF_EBITDA,0,COLUMN())/INDEX(SP_GF_ShareCount,0,COLUMN()))/(BF45/BF42)-1))</f>
        <v/>
      </c>
      <c r="BL109" s="2218">
        <f>IF(OR(INDEX(SP_NGF_EBITDA,0,COLUMN())&lt;=0,BG45&lt;=0),"NMF",IF(ABS((INDEX(SP_NGF_EBITDA,0,COLUMN())/INDEX(SP_GF_ShareCount,0,COLUMN()))/(BG45/BG42)-1)&gt;10,"NMF",(INDEX(SP_NGF_EBITDA,0,COLUMN())/INDEX(SP_GF_ShareCount,0,COLUMN()))/(BG45/BG42)-1))</f>
        <v/>
      </c>
      <c r="BM109" s="2218">
        <f>IF(OR(INDEX(SP_NGF_EBITDA,0,COLUMN())&lt;=0,BH45&lt;=0),"NMF",IF(ABS((INDEX(SP_NGF_EBITDA,0,COLUMN())/INDEX(SP_GF_ShareCount,0,COLUMN()))/(BH45/BH42)-1)&gt;10,"NMF",(INDEX(SP_NGF_EBITDA,0,COLUMN())/INDEX(SP_GF_ShareCount,0,COLUMN()))/(BH45/BH42)-1))</f>
        <v/>
      </c>
      <c r="BN109" s="2136">
        <f>IF(OR(INDEX(SP_NGF_EBITDA,0,COLUMN())&lt;=0,BI45&lt;=0),"NMF",IF(ABS((INDEX(SP_NGF_EBITDA,0,COLUMN())/INDEX(SP_GF_ShareCount,0,COLUMN()))/(BI45/BI42)-1)&gt;10,"NMF",(INDEX(SP_NGF_EBITDA,0,COLUMN())/INDEX(SP_GF_ShareCount,0,COLUMN()))/(BI45/BI42)-1))</f>
        <v/>
      </c>
      <c r="BO109" s="2218">
        <f>IF(OR(INDEX(SP_NGF_EBITDA,0,COLUMN())&lt;=0,BJ45&lt;=0),"NMF",IF(ABS((INDEX(SP_NGF_EBITDA,0,COLUMN())/INDEX(SP_GF_ShareCount,0,COLUMN()))/(BJ45/BJ42)-1)&gt;10,"NMF",(INDEX(SP_NGF_EBITDA,0,COLUMN())/INDEX(SP_GF_ShareCount,0,COLUMN()))/(BJ45/BJ42)-1))</f>
        <v/>
      </c>
      <c r="BP109" s="2218">
        <f>IF(OR(INDEX(SP_NGF_EBITDA,0,COLUMN())&lt;=0,BK45&lt;=0),"NMF",IF(ABS((INDEX(SP_NGF_EBITDA,0,COLUMN())/INDEX(SP_GF_ShareCount,0,COLUMN()))/(BK45/BK42)-1)&gt;10,"NMF",(INDEX(SP_NGF_EBITDA,0,COLUMN())/INDEX(SP_GF_ShareCount,0,COLUMN()))/(BK45/BK42)-1))</f>
        <v/>
      </c>
      <c r="BQ109" s="2219">
        <f>IF(OR(INDEX(SP_NGF_EBITDA,0,COLUMN())&lt;=0,BL45&lt;=0),"NMF",IF(ABS((INDEX(SP_NGF_EBITDA,0,COLUMN())/INDEX(SP_GF_ShareCount,0,COLUMN()))/(BL45/BL42)-1)&gt;10,"NMF",(INDEX(SP_NGF_EBITDA,0,COLUMN())/INDEX(SP_GF_ShareCount,0,COLUMN()))/(BL45/BL42)-1))</f>
        <v/>
      </c>
      <c r="BR109" s="2218">
        <f>IF(OR(INDEX(SP_NGF_EBITDA,0,COLUMN())&lt;=0,BM45&lt;=0),"NMF",IF(ABS((INDEX(SP_NGF_EBITDA,0,COLUMN())/INDEX(SP_GF_ShareCount,0,COLUMN()))/(BM45/BM42)-1)&gt;10,"NMF",(INDEX(SP_NGF_EBITDA,0,COLUMN())/INDEX(SP_GF_ShareCount,0,COLUMN()))/(BM45/BM42)-1))</f>
        <v/>
      </c>
      <c r="BS109" s="2136">
        <f>IF(OR(INDEX(SP_NGF_EBITDA,0,COLUMN())&lt;=0,BN45&lt;=0),"NMF",IF(ABS((INDEX(SP_NGF_EBITDA,0,COLUMN())/INDEX(SP_GF_ShareCount,0,COLUMN()))/(BN45/BN42)-1)&gt;10,"NMF",(INDEX(SP_NGF_EBITDA,0,COLUMN())/INDEX(SP_GF_ShareCount,0,COLUMN()))/(BN45/BN42)-1))</f>
        <v/>
      </c>
      <c r="BT109" s="2218">
        <f>IF(OR(INDEX(SP_NGF_EBITDA,0,COLUMN())&lt;=0,BO45&lt;=0),"NMF",IF(ABS((INDEX(SP_NGF_EBITDA,0,COLUMN())/INDEX(SP_GF_ShareCount,0,COLUMN()))/(BO45/BO42)-1)&gt;10,"NMF",(INDEX(SP_NGF_EBITDA,0,COLUMN())/INDEX(SP_GF_ShareCount,0,COLUMN()))/(BO45/BO42)-1))</f>
        <v/>
      </c>
      <c r="BU109" s="2218">
        <f>IF(OR(INDEX(SP_NGF_EBITDA,0,COLUMN())&lt;=0,BP45&lt;=0),"NMF",IF(ABS((INDEX(SP_NGF_EBITDA,0,COLUMN())/INDEX(SP_GF_ShareCount,0,COLUMN()))/(BP45/BP42)-1)&gt;10,"NMF",(INDEX(SP_NGF_EBITDA,0,COLUMN())/INDEX(SP_GF_ShareCount,0,COLUMN()))/(BP45/BP42)-1))</f>
        <v/>
      </c>
      <c r="BV109" s="2218">
        <f>IF(OR(INDEX(SP_NGF_EBITDA,0,COLUMN())&lt;=0,BQ45&lt;=0),"NMF",IF(ABS((INDEX(SP_NGF_EBITDA,0,COLUMN())/INDEX(SP_GF_ShareCount,0,COLUMN()))/(BQ45/BQ42)-1)&gt;10,"NMF",(INDEX(SP_NGF_EBITDA,0,COLUMN())/INDEX(SP_GF_ShareCount,0,COLUMN()))/(BQ45/BQ42)-1))</f>
        <v/>
      </c>
      <c r="BW109" s="2218">
        <f>IF(OR(INDEX(SP_NGF_EBITDA,0,COLUMN())&lt;=0,BR45&lt;=0),"NMF",IF(ABS((INDEX(SP_NGF_EBITDA,0,COLUMN())/INDEX(SP_GF_ShareCount,0,COLUMN()))/(BR45/BR42)-1)&gt;10,"NMF",(INDEX(SP_NGF_EBITDA,0,COLUMN())/INDEX(SP_GF_ShareCount,0,COLUMN()))/(BR45/BR42)-1))</f>
        <v/>
      </c>
      <c r="BX109" s="2136">
        <f>IF(OR(INDEX(SP_NGF_EBITDA,0,COLUMN())&lt;=0,BS45&lt;=0),"NMF",IF(ABS((INDEX(SP_NGF_EBITDA,0,COLUMN())/INDEX(SP_GF_ShareCount,0,COLUMN()))/(BS45/BS42)-1)&gt;10,"NMF",(INDEX(SP_NGF_EBITDA,0,COLUMN())/INDEX(SP_GF_ShareCount,0,COLUMN()))/(BS45/BS42)-1))</f>
        <v/>
      </c>
      <c r="BY109" s="2136">
        <f>IF(OR(INDEX(SP_NGF_EBITDA,0,COLUMN())&lt;=0,BX45&lt;=0),"NMF",IF(ABS((INDEX(SP_NGF_EBITDA,0,COLUMN())/INDEX(SP_GF_ShareCount,0,COLUMN()))/(BX45/BX42)-1)&gt;10,"NMF",(INDEX(SP_NGF_EBITDA,0,COLUMN())/INDEX(SP_GF_ShareCount,0,COLUMN()))/(BX45/BX42)-1))</f>
        <v/>
      </c>
      <c r="BZ109" s="2136">
        <f>IF(OR(INDEX(SP_NGF_EBITDA,0,COLUMN())&lt;=0,BY45&lt;=0),"NMF",IF(ABS((INDEX(SP_NGF_EBITDA,0,COLUMN())/INDEX(SP_GF_ShareCount,0,COLUMN()))/(BY45/BY42)-1)&gt;10,"NMF",(INDEX(SP_NGF_EBITDA,0,COLUMN())/INDEX(SP_GF_ShareCount,0,COLUMN()))/(BY45/BY42)-1))</f>
        <v/>
      </c>
      <c r="CA109" s="2136">
        <f>IF(OR(INDEX(SP_NGF_EBITDA,0,COLUMN())&lt;=0,BZ45&lt;=0),"NMF",IF(ABS((INDEX(SP_NGF_EBITDA,0,COLUMN())/INDEX(SP_GF_ShareCount,0,COLUMN()))/(BZ45/BZ42)-1)&gt;10,"NMF",(INDEX(SP_NGF_EBITDA,0,COLUMN())/INDEX(SP_GF_ShareCount,0,COLUMN()))/(BZ45/BZ42)-1))</f>
        <v/>
      </c>
      <c r="CB109" s="2109" t="n"/>
    </row>
    <row r="110" ht="15" customFormat="1" customHeight="1" s="2165">
      <c r="A110" s="2160" t="inlineStr">
        <is>
          <t>Adj. Earnings Per Share Growth</t>
        </is>
      </c>
      <c r="B110" s="2216" t="n"/>
      <c r="C110" s="2136" t="n"/>
      <c r="D110" s="2136">
        <f>IF(OR(INDEX(SP_NGF_NI,0,COLUMN())&lt;=0,C46&lt;=0),"NMF",IF(ABS((INDEX(SP_NGF_NI,0,COLUMN())/INDEX(SP_GF_ShareCount,0,COLUMN()))/(C46/C42)-1)&gt;10,"NMF",(INDEX(SP_NGF_NI,0,COLUMN())/INDEX(SP_GF_ShareCount,0,COLUMN()))/(C46/C42)-1))</f>
        <v/>
      </c>
      <c r="E110" s="2136">
        <f>IF(OR(INDEX(SP_NGF_NI,0,COLUMN())&lt;=0,D46&lt;=0),"NMF",IF(ABS((INDEX(SP_NGF_NI,0,COLUMN())/INDEX(SP_GF_ShareCount,0,COLUMN()))/(D46/D42)-1)&gt;10,"NMF",(INDEX(SP_NGF_NI,0,COLUMN())/INDEX(SP_GF_ShareCount,0,COLUMN()))/(D46/D42)-1))</f>
        <v/>
      </c>
      <c r="F110" s="2136">
        <f>IF(OR(INDEX(SP_NGF_NI,0,COLUMN())&lt;=0,E46&lt;=0),"NMF",IF(ABS((INDEX(SP_NGF_NI,0,COLUMN())/INDEX(SP_GF_ShareCount,0,COLUMN()))/(E46/E42)-1)&gt;10,"NMF",(INDEX(SP_NGF_NI,0,COLUMN())/INDEX(SP_GF_ShareCount,0,COLUMN()))/(E46/E42)-1))</f>
        <v/>
      </c>
      <c r="G110" s="2218" t="n"/>
      <c r="H110" s="2218" t="n"/>
      <c r="I110" s="2218" t="n"/>
      <c r="J110" s="2218" t="n"/>
      <c r="K110" s="2136">
        <f>IF(OR(INDEX(SP_NGF_NI,0,COLUMN())&lt;=0,F46&lt;=0),"NMF",IF(ABS((INDEX(SP_NGF_NI,0,COLUMN())/INDEX(SP_GF_ShareCount,0,COLUMN()))/(F46/F42)-1)&gt;10,"NMF",(INDEX(SP_NGF_NI,0,COLUMN())/INDEX(SP_GF_ShareCount,0,COLUMN()))/(F46/F42)-1))</f>
        <v/>
      </c>
      <c r="L110" s="2218">
        <f>IF(OR(INDEX(SP_NGF_NI,0,COLUMN())&lt;=0,G46&lt;=0),"NMF",IF(ABS((INDEX(SP_NGF_NI,0,COLUMN())/INDEX(SP_GF_ShareCount,0,COLUMN()))/(G46/G42)-1)&gt;10,"NMF",(INDEX(SP_NGF_NI,0,COLUMN())/INDEX(SP_GF_ShareCount,0,COLUMN()))/(G46/G42)-1))</f>
        <v/>
      </c>
      <c r="M110" s="2218">
        <f>IF(OR(INDEX(SP_NGF_NI,0,COLUMN())&lt;=0,H46&lt;=0),"NMF",IF(ABS((INDEX(SP_NGF_NI,0,COLUMN())/INDEX(SP_GF_ShareCount,0,COLUMN()))/(H46/H42)-1)&gt;10,"NMF",(INDEX(SP_NGF_NI,0,COLUMN())/INDEX(SP_GF_ShareCount,0,COLUMN()))/(H46/H42)-1))</f>
        <v/>
      </c>
      <c r="N110" s="2218">
        <f>IF(OR(INDEX(SP_NGF_NI,0,COLUMN())&lt;=0,I46&lt;=0),"NMF",IF(ABS((INDEX(SP_NGF_NI,0,COLUMN())/INDEX(SP_GF_ShareCount,0,COLUMN()))/(I46/I42)-1)&gt;10,"NMF",(INDEX(SP_NGF_NI,0,COLUMN())/INDEX(SP_GF_ShareCount,0,COLUMN()))/(I46/I42)-1))</f>
        <v/>
      </c>
      <c r="O110" s="2218">
        <f>IF(OR(INDEX(SP_NGF_NI,0,COLUMN())&lt;=0,J46&lt;=0),"NMF",IF(ABS((INDEX(SP_NGF_NI,0,COLUMN())/INDEX(SP_GF_ShareCount,0,COLUMN()))/(J46/J42)-1)&gt;10,"NMF",(INDEX(SP_NGF_NI,0,COLUMN())/INDEX(SP_GF_ShareCount,0,COLUMN()))/(J46/J42)-1))</f>
        <v/>
      </c>
      <c r="P110" s="2136">
        <f>IF(OR(INDEX(SP_NGF_NI,0,COLUMN())&lt;=0,K46&lt;=0),"NMF",IF(ABS((INDEX(SP_NGF_NI,0,COLUMN())/INDEX(SP_GF_ShareCount,0,COLUMN()))/(K46/K42)-1)&gt;10,"NMF",(INDEX(SP_NGF_NI,0,COLUMN())/INDEX(SP_GF_ShareCount,0,COLUMN()))/(K46/K42)-1))</f>
        <v/>
      </c>
      <c r="Q110" s="2218">
        <f>IF(OR(INDEX(SP_NGF_NI,0,COLUMN())&lt;=0,L46&lt;=0),"NMF",IF(ABS((INDEX(SP_NGF_NI,0,COLUMN())/INDEX(SP_GF_ShareCount,0,COLUMN()))/(L46/L42)-1)&gt;10,"NMF",(INDEX(SP_NGF_NI,0,COLUMN())/INDEX(SP_GF_ShareCount,0,COLUMN()))/(L46/L42)-1))</f>
        <v/>
      </c>
      <c r="R110" s="2218">
        <f>IF(OR(INDEX(SP_NGF_NI,0,COLUMN())&lt;=0,M46&lt;=0),"NMF",IF(ABS((INDEX(SP_NGF_NI,0,COLUMN())/INDEX(SP_GF_ShareCount,0,COLUMN()))/(M46/M42)-1)&gt;10,"NMF",(INDEX(SP_NGF_NI,0,COLUMN())/INDEX(SP_GF_ShareCount,0,COLUMN()))/(M46/M42)-1))</f>
        <v/>
      </c>
      <c r="S110" s="2218">
        <f>IF(OR(INDEX(SP_NGF_NI,0,COLUMN())&lt;=0,N46&lt;=0),"NMF",IF(ABS((INDEX(SP_NGF_NI,0,COLUMN())/INDEX(SP_GF_ShareCount,0,COLUMN()))/(N46/N42)-1)&gt;10,"NMF",(INDEX(SP_NGF_NI,0,COLUMN())/INDEX(SP_GF_ShareCount,0,COLUMN()))/(N46/N42)-1))</f>
        <v/>
      </c>
      <c r="T110" s="2218">
        <f>IF(OR(INDEX(SP_NGF_NI,0,COLUMN())&lt;=0,O46&lt;=0),"NMF",IF(ABS((INDEX(SP_NGF_NI,0,COLUMN())/INDEX(SP_GF_ShareCount,0,COLUMN()))/(O46/O42)-1)&gt;10,"NMF",(INDEX(SP_NGF_NI,0,COLUMN())/INDEX(SP_GF_ShareCount,0,COLUMN()))/(O46/O42)-1))</f>
        <v/>
      </c>
      <c r="U110" s="2136">
        <f>IF(OR(INDEX(SP_NGF_NI,0,COLUMN())&lt;=0,P46&lt;=0),"NMF",IF(ABS((INDEX(SP_NGF_NI,0,COLUMN())/INDEX(SP_GF_ShareCount,0,COLUMN()))/(P46/P42)-1)&gt;10,"NMF",(INDEX(SP_NGF_NI,0,COLUMN())/INDEX(SP_GF_ShareCount,0,COLUMN()))/(P46/P42)-1))</f>
        <v/>
      </c>
      <c r="V110" s="2218">
        <f>IF(OR(INDEX(SP_NGF_NI,0,COLUMN())&lt;=0,Q46&lt;=0),"NMF",IF(ABS((INDEX(SP_NGF_NI,0,COLUMN())/INDEX(SP_GF_ShareCount,0,COLUMN()))/(Q46/Q42)-1)&gt;10,"NMF",(INDEX(SP_NGF_NI,0,COLUMN())/INDEX(SP_GF_ShareCount,0,COLUMN()))/(Q46/Q42)-1))</f>
        <v/>
      </c>
      <c r="W110" s="2218">
        <f>IF(OR(INDEX(SP_NGF_NI,0,COLUMN())&lt;=0,R46&lt;=0),"NMF",IF(ABS((INDEX(SP_NGF_NI,0,COLUMN())/INDEX(SP_GF_ShareCount,0,COLUMN()))/(R46/R42)-1)&gt;10,"NMF",(INDEX(SP_NGF_NI,0,COLUMN())/INDEX(SP_GF_ShareCount,0,COLUMN()))/(R46/R42)-1))</f>
        <v/>
      </c>
      <c r="X110" s="2218">
        <f>IF(OR(INDEX(SP_NGF_NI,0,COLUMN())&lt;=0,S46&lt;=0),"NMF",IF(ABS((INDEX(SP_NGF_NI,0,COLUMN())/INDEX(SP_GF_ShareCount,0,COLUMN()))/(S46/S42)-1)&gt;10,"NMF",(INDEX(SP_NGF_NI,0,COLUMN())/INDEX(SP_GF_ShareCount,0,COLUMN()))/(S46/S42)-1))</f>
        <v/>
      </c>
      <c r="Y110" s="2218">
        <f>IF(OR(INDEX(SP_NGF_NI,0,COLUMN())&lt;=0,T46&lt;=0),"NMF",IF(ABS((INDEX(SP_NGF_NI,0,COLUMN())/INDEX(SP_GF_ShareCount,0,COLUMN()))/(T46/T42)-1)&gt;10,"NMF",(INDEX(SP_NGF_NI,0,COLUMN())/INDEX(SP_GF_ShareCount,0,COLUMN()))/(T46/T42)-1))</f>
        <v/>
      </c>
      <c r="Z110" s="2136">
        <f>IF(OR(INDEX(SP_NGF_NI,0,COLUMN())&lt;=0,U46&lt;=0),"NMF",IF(ABS((INDEX(SP_NGF_NI,0,COLUMN())/INDEX(SP_GF_ShareCount,0,COLUMN()))/(U46/U42)-1)&gt;10,"NMF",(INDEX(SP_NGF_NI,0,COLUMN())/INDEX(SP_GF_ShareCount,0,COLUMN()))/(U46/U42)-1))</f>
        <v/>
      </c>
      <c r="AA110" s="2218">
        <f>IF(OR(INDEX(SP_NGF_NI,0,COLUMN())&lt;=0,V46&lt;=0),"NMF",IF(ABS((INDEX(SP_NGF_NI,0,COLUMN())/INDEX(SP_GF_ShareCount,0,COLUMN()))/(V46/V42)-1)&gt;10,"NMF",(INDEX(SP_NGF_NI,0,COLUMN())/INDEX(SP_GF_ShareCount,0,COLUMN()))/(V46/V42)-1))</f>
        <v/>
      </c>
      <c r="AB110" s="2218">
        <f>IF(OR(INDEX(SP_NGF_NI,0,COLUMN())&lt;=0,W46&lt;=0),"NMF",IF(ABS((INDEX(SP_NGF_NI,0,COLUMN())/INDEX(SP_GF_ShareCount,0,COLUMN()))/(W46/W42)-1)&gt;10,"NMF",(INDEX(SP_NGF_NI,0,COLUMN())/INDEX(SP_GF_ShareCount,0,COLUMN()))/(W46/W42)-1))</f>
        <v/>
      </c>
      <c r="AC110" s="2218">
        <f>IF(OR(INDEX(SP_NGF_NI,0,COLUMN())&lt;=0,X46&lt;=0),"NMF",IF(ABS((INDEX(SP_NGF_NI,0,COLUMN())/INDEX(SP_GF_ShareCount,0,COLUMN()))/(X46/X42)-1)&gt;10,"NMF",(INDEX(SP_NGF_NI,0,COLUMN())/INDEX(SP_GF_ShareCount,0,COLUMN()))/(X46/X42)-1))</f>
        <v/>
      </c>
      <c r="AD110" s="2218">
        <f>IF(OR(INDEX(SP_NGF_NI,0,COLUMN())&lt;=0,Y46&lt;=0),"NMF",IF(ABS((INDEX(SP_NGF_NI,0,COLUMN())/INDEX(SP_GF_ShareCount,0,COLUMN()))/(Y46/Y42)-1)&gt;10,"NMF",(INDEX(SP_NGF_NI,0,COLUMN())/INDEX(SP_GF_ShareCount,0,COLUMN()))/(Y46/Y42)-1))</f>
        <v/>
      </c>
      <c r="AE110" s="2136">
        <f>IF(OR(INDEX(SP_NGF_NI,0,COLUMN())&lt;=0,Z46&lt;=0),"NMF",IF(ABS((INDEX(SP_NGF_NI,0,COLUMN())/INDEX(SP_GF_ShareCount,0,COLUMN()))/(Z46/Z42)-1)&gt;10,"NMF",(INDEX(SP_NGF_NI,0,COLUMN())/INDEX(SP_GF_ShareCount,0,COLUMN()))/(Z46/Z42)-1))</f>
        <v/>
      </c>
      <c r="AF110" s="2218">
        <f>IF(OR(INDEX(SP_NGF_NI,0,COLUMN())&lt;=0,AA46&lt;=0),"NMF",IF(ABS((INDEX(SP_NGF_NI,0,COLUMN())/INDEX(SP_GF_ShareCount,0,COLUMN()))/(AA46/AA42)-1)&gt;10,"NMF",(INDEX(SP_NGF_NI,0,COLUMN())/INDEX(SP_GF_ShareCount,0,COLUMN()))/(AA46/AA42)-1))</f>
        <v/>
      </c>
      <c r="AG110" s="2218">
        <f>IF(OR(INDEX(SP_NGF_NI,0,COLUMN())&lt;=0,AB46&lt;=0),"NMF",IF(ABS((INDEX(SP_NGF_NI,0,COLUMN())/INDEX(SP_GF_ShareCount,0,COLUMN()))/(AB46/AB42)-1)&gt;10,"NMF",(INDEX(SP_NGF_NI,0,COLUMN())/INDEX(SP_GF_ShareCount,0,COLUMN()))/(AB46/AB42)-1))</f>
        <v/>
      </c>
      <c r="AH110" s="2218">
        <f>IF(OR(INDEX(SP_NGF_NI,0,COLUMN())&lt;=0,AC46&lt;=0),"NMF",IF(ABS((INDEX(SP_NGF_NI,0,COLUMN())/INDEX(SP_GF_ShareCount,0,COLUMN()))/(AC46/AC42)-1)&gt;10,"NMF",(INDEX(SP_NGF_NI,0,COLUMN())/INDEX(SP_GF_ShareCount,0,COLUMN()))/(AC46/AC42)-1))</f>
        <v/>
      </c>
      <c r="AI110" s="2218">
        <f>IF(OR(INDEX(SP_NGF_NI,0,COLUMN())&lt;=0,AD46&lt;=0),"NMF",IF(ABS((INDEX(SP_NGF_NI,0,COLUMN())/INDEX(SP_GF_ShareCount,0,COLUMN()))/(AD46/AD42)-1)&gt;10,"NMF",(INDEX(SP_NGF_NI,0,COLUMN())/INDEX(SP_GF_ShareCount,0,COLUMN()))/(AD46/AD42)-1))</f>
        <v/>
      </c>
      <c r="AJ110" s="2136">
        <f>IF(OR(INDEX(SP_NGF_NI,0,COLUMN())&lt;=0,AE46&lt;=0),"NMF",IF(ABS((INDEX(SP_NGF_NI,0,COLUMN())/INDEX(SP_GF_ShareCount,0,COLUMN()))/(AE46/AE42)-1)&gt;10,"NMF",(INDEX(SP_NGF_NI,0,COLUMN())/INDEX(SP_GF_ShareCount,0,COLUMN()))/(AE46/AE42)-1))</f>
        <v/>
      </c>
      <c r="AK110" s="2218">
        <f>IF(OR(INDEX(SP_NGF_NI,0,COLUMN())&lt;=0,AF46&lt;=0),"NMF",IF(ABS((INDEX(SP_NGF_NI,0,COLUMN())/INDEX(SP_GF_ShareCount,0,COLUMN()))/(AF46/AF42)-1)&gt;10,"NMF",(INDEX(SP_NGF_NI,0,COLUMN())/INDEX(SP_GF_ShareCount,0,COLUMN()))/(AF46/AF42)-1))</f>
        <v/>
      </c>
      <c r="AL110" s="2218">
        <f>IF(OR(INDEX(SP_NGF_NI,0,COLUMN())&lt;=0,AG46&lt;=0),"NMF",IF(ABS((INDEX(SP_NGF_NI,0,COLUMN())/INDEX(SP_GF_ShareCount,0,COLUMN()))/(AG46/AG42)-1)&gt;10,"NMF",(INDEX(SP_NGF_NI,0,COLUMN())/INDEX(SP_GF_ShareCount,0,COLUMN()))/(AG46/AG42)-1))</f>
        <v/>
      </c>
      <c r="AM110" s="2218">
        <f>IF(OR(INDEX(SP_NGF_NI,0,COLUMN())&lt;=0,AH46&lt;=0),"NMF",IF(ABS((INDEX(SP_NGF_NI,0,COLUMN())/INDEX(SP_GF_ShareCount,0,COLUMN()))/(AH46/AH42)-1)&gt;10,"NMF",(INDEX(SP_NGF_NI,0,COLUMN())/INDEX(SP_GF_ShareCount,0,COLUMN()))/(AH46/AH42)-1))</f>
        <v/>
      </c>
      <c r="AN110" s="2218">
        <f>IF(OR(INDEX(SP_NGF_NI,0,COLUMN())&lt;=0,AI46&lt;=0),"NMF",IF(ABS((INDEX(SP_NGF_NI,0,COLUMN())/INDEX(SP_GF_ShareCount,0,COLUMN()))/(AI46/AI42)-1)&gt;10,"NMF",(INDEX(SP_NGF_NI,0,COLUMN())/INDEX(SP_GF_ShareCount,0,COLUMN()))/(AI46/AI42)-1))</f>
        <v/>
      </c>
      <c r="AO110" s="2136">
        <f>IF(OR(INDEX(SP_NGF_NI,0,COLUMN())&lt;=0,AJ46&lt;=0),"NMF",IF(ABS((INDEX(SP_NGF_NI,0,COLUMN())/INDEX(SP_GF_ShareCount,0,COLUMN()))/(AJ46/AJ42)-1)&gt;10,"NMF",(INDEX(SP_NGF_NI,0,COLUMN())/INDEX(SP_GF_ShareCount,0,COLUMN()))/(AJ46/AJ42)-1))</f>
        <v/>
      </c>
      <c r="AP110" s="2218">
        <f>IF(OR(INDEX(SP_NGF_NI,0,COLUMN())&lt;=0,AK46&lt;=0),"NMF",IF(ABS((INDEX(SP_NGF_NI,0,COLUMN())/INDEX(SP_GF_ShareCount,0,COLUMN()))/(AK46/AK42)-1)&gt;10,"NMF",(INDEX(SP_NGF_NI,0,COLUMN())/INDEX(SP_GF_ShareCount,0,COLUMN()))/(AK46/AK42)-1))</f>
        <v/>
      </c>
      <c r="AQ110" s="2218">
        <f>IF(OR(INDEX(SP_NGF_NI,0,COLUMN())&lt;=0,AL46&lt;=0),"NMF",IF(ABS((INDEX(SP_NGF_NI,0,COLUMN())/INDEX(SP_GF_ShareCount,0,COLUMN()))/(AL46/AL42)-1)&gt;10,"NMF",(INDEX(SP_NGF_NI,0,COLUMN())/INDEX(SP_GF_ShareCount,0,COLUMN()))/(AL46/AL42)-1))</f>
        <v/>
      </c>
      <c r="AR110" s="2218">
        <f>IF(OR(INDEX(SP_NGF_NI,0,COLUMN())&lt;=0,AM46&lt;=0),"NMF",IF(ABS((INDEX(SP_NGF_NI,0,COLUMN())/INDEX(SP_GF_ShareCount,0,COLUMN()))/(AM46/AM42)-1)&gt;10,"NMF",(INDEX(SP_NGF_NI,0,COLUMN())/INDEX(SP_GF_ShareCount,0,COLUMN()))/(AM46/AM42)-1))</f>
        <v/>
      </c>
      <c r="AS110" s="2218">
        <f>IF(OR(INDEX(SP_NGF_NI,0,COLUMN())&lt;=0,AN46&lt;=0),"NMF",IF(ABS((INDEX(SP_NGF_NI,0,COLUMN())/INDEX(SP_GF_ShareCount,0,COLUMN()))/(AN46/AN42)-1)&gt;10,"NMF",(INDEX(SP_NGF_NI,0,COLUMN())/INDEX(SP_GF_ShareCount,0,COLUMN()))/(AN46/AN42)-1))</f>
        <v/>
      </c>
      <c r="AT110" s="2136">
        <f>IF(OR(INDEX(SP_NGF_NI,0,COLUMN())&lt;=0,AO46&lt;=0),"NMF",IF(ABS((INDEX(SP_NGF_NI,0,COLUMN())/INDEX(SP_GF_ShareCount,0,COLUMN()))/(AO46/AO42)-1)&gt;10,"NMF",(INDEX(SP_NGF_NI,0,COLUMN())/INDEX(SP_GF_ShareCount,0,COLUMN()))/(AO46/AO42)-1))</f>
        <v/>
      </c>
      <c r="AU110" s="2218">
        <f>IF(OR(INDEX(SP_NGF_NI,0,COLUMN())&lt;=0,AP46&lt;=0),"NMF",IF(ABS((INDEX(SP_NGF_NI,0,COLUMN())/INDEX(SP_GF_ShareCount,0,COLUMN()))/(AP46/AP42)-1)&gt;10,"NMF",(INDEX(SP_NGF_NI,0,COLUMN())/INDEX(SP_GF_ShareCount,0,COLUMN()))/(AP46/AP42)-1))</f>
        <v/>
      </c>
      <c r="AV110" s="2218">
        <f>IF(OR(INDEX(SP_NGF_NI,0,COLUMN())&lt;=0,AQ46&lt;=0),"NMF",IF(ABS((INDEX(SP_NGF_NI,0,COLUMN())/INDEX(SP_GF_ShareCount,0,COLUMN()))/(AQ46/AQ42)-1)&gt;10,"NMF",(INDEX(SP_NGF_NI,0,COLUMN())/INDEX(SP_GF_ShareCount,0,COLUMN()))/(AQ46/AQ42)-1))</f>
        <v/>
      </c>
      <c r="AW110" s="2218">
        <f>IF(OR(INDEX(SP_NGF_NI,0,COLUMN())&lt;=0,AR46&lt;=0),"NMF",IF(ABS((INDEX(SP_NGF_NI,0,COLUMN())/INDEX(SP_GF_ShareCount,0,COLUMN()))/(AR46/AR42)-1)&gt;10,"NMF",(INDEX(SP_NGF_NI,0,COLUMN())/INDEX(SP_GF_ShareCount,0,COLUMN()))/(AR46/AR42)-1))</f>
        <v/>
      </c>
      <c r="AX110" s="2218">
        <f>IF(OR(INDEX(SP_NGF_NI,0,COLUMN())&lt;=0,AS46&lt;=0),"NMF",IF(ABS((INDEX(SP_NGF_NI,0,COLUMN())/INDEX(SP_GF_ShareCount,0,COLUMN()))/(AS46/AS42)-1)&gt;10,"NMF",(INDEX(SP_NGF_NI,0,COLUMN())/INDEX(SP_GF_ShareCount,0,COLUMN()))/(AS46/AS42)-1))</f>
        <v/>
      </c>
      <c r="AY110" s="2136">
        <f>IF(OR(INDEX(SP_NGF_NI,0,COLUMN())&lt;=0,AT46&lt;=0),"NMF",IF(ABS((INDEX(SP_NGF_NI,0,COLUMN())/INDEX(SP_GF_ShareCount,0,COLUMN()))/(AT46/AT42)-1)&gt;10,"NMF",(INDEX(SP_NGF_NI,0,COLUMN())/INDEX(SP_GF_ShareCount,0,COLUMN()))/(AT46/AT42)-1))</f>
        <v/>
      </c>
      <c r="AZ110" s="2218">
        <f>IF(OR(INDEX(SP_NGF_NI,0,COLUMN())&lt;=0,AU46&lt;=0),"NMF",IF(ABS((INDEX(SP_NGF_NI,0,COLUMN())/INDEX(SP_GF_ShareCount,0,COLUMN()))/(AU46/AU42)-1)&gt;10,"NMF",(INDEX(SP_NGF_NI,0,COLUMN())/INDEX(SP_GF_ShareCount,0,COLUMN()))/(AU46/AU42)-1))</f>
        <v/>
      </c>
      <c r="BA110" s="2218">
        <f>IF(OR(INDEX(SP_NGF_NI,0,COLUMN())&lt;=0,AV46&lt;=0),"NMF",IF(ABS((INDEX(SP_NGF_NI,0,COLUMN())/INDEX(SP_GF_ShareCount,0,COLUMN()))/(AV46/AV42)-1)&gt;10,"NMF",(INDEX(SP_NGF_NI,0,COLUMN())/INDEX(SP_GF_ShareCount,0,COLUMN()))/(AV46/AV42)-1))</f>
        <v/>
      </c>
      <c r="BB110" s="2218">
        <f>IF(OR(INDEX(SP_NGF_NI,0,COLUMN())&lt;=0,AW46&lt;=0),"NMF",IF(ABS((INDEX(SP_NGF_NI,0,COLUMN())/INDEX(SP_GF_ShareCount,0,COLUMN()))/(AW46/AW42)-1)&gt;10,"NMF",(INDEX(SP_NGF_NI,0,COLUMN())/INDEX(SP_GF_ShareCount,0,COLUMN()))/(AW46/AW42)-1))</f>
        <v/>
      </c>
      <c r="BC110" s="2218">
        <f>IF(OR(INDEX(SP_NGF_NI,0,COLUMN())&lt;=0,AX46&lt;=0),"NMF",IF(ABS((INDEX(SP_NGF_NI,0,COLUMN())/INDEX(SP_GF_ShareCount,0,COLUMN()))/(AX46/AX42)-1)&gt;10,"NMF",(INDEX(SP_NGF_NI,0,COLUMN())/INDEX(SP_GF_ShareCount,0,COLUMN()))/(AX46/AX42)-1))</f>
        <v/>
      </c>
      <c r="BD110" s="2136">
        <f>IF(OR(INDEX(SP_NGF_NI,0,COLUMN())&lt;=0,AY46&lt;=0),"NMF",IF(ABS((INDEX(SP_NGF_NI,0,COLUMN())/INDEX(SP_GF_ShareCount,0,COLUMN()))/(AY46/AY42)-1)&gt;10,"NMF",(INDEX(SP_NGF_NI,0,COLUMN())/INDEX(SP_GF_ShareCount,0,COLUMN()))/(AY46/AY42)-1))</f>
        <v/>
      </c>
      <c r="BE110" s="2218">
        <f>IF(OR(INDEX(SP_NGF_NI,0,COLUMN())&lt;=0,AZ46&lt;=0),"NMF",IF(ABS((INDEX(SP_NGF_NI,0,COLUMN())/INDEX(SP_GF_ShareCount,0,COLUMN()))/(AZ46/AZ42)-1)&gt;10,"NMF",(INDEX(SP_NGF_NI,0,COLUMN())/INDEX(SP_GF_ShareCount,0,COLUMN()))/(AZ46/AZ42)-1))</f>
        <v/>
      </c>
      <c r="BF110" s="2218">
        <f>IF(OR(INDEX(SP_NGF_NI,0,COLUMN())&lt;=0,BA46&lt;=0),"NMF",IF(ABS((INDEX(SP_NGF_NI,0,COLUMN())/INDEX(SP_GF_ShareCount,0,COLUMN()))/(BA46/BA42)-1)&gt;10,"NMF",(INDEX(SP_NGF_NI,0,COLUMN())/INDEX(SP_GF_ShareCount,0,COLUMN()))/(BA46/BA42)-1))</f>
        <v/>
      </c>
      <c r="BG110" s="2218">
        <f>IF(OR(INDEX(SP_NGF_NI,0,COLUMN())&lt;=0,BB46&lt;=0),"NMF",IF(ABS((INDEX(SP_NGF_NI,0,COLUMN())/INDEX(SP_GF_ShareCount,0,COLUMN()))/(BB46/BB42)-1)&gt;10,"NMF",(INDEX(SP_NGF_NI,0,COLUMN())/INDEX(SP_GF_ShareCount,0,COLUMN()))/(BB46/BB42)-1))</f>
        <v/>
      </c>
      <c r="BH110" s="2218">
        <f>IF(OR(INDEX(SP_NGF_NI,0,COLUMN())&lt;=0,BC46&lt;=0),"NMF",IF(ABS((INDEX(SP_NGF_NI,0,COLUMN())/INDEX(SP_GF_ShareCount,0,COLUMN()))/(BC46/BC42)-1)&gt;10,"NMF",(INDEX(SP_NGF_NI,0,COLUMN())/INDEX(SP_GF_ShareCount,0,COLUMN()))/(BC46/BC42)-1))</f>
        <v/>
      </c>
      <c r="BI110" s="2136">
        <f>IF(OR(INDEX(SP_NGF_NI,0,COLUMN())&lt;=0,BD46&lt;=0),"NMF",IF(ABS((INDEX(SP_NGF_NI,0,COLUMN())/INDEX(SP_GF_ShareCount,0,COLUMN()))/(BD46/BD42)-1)&gt;10,"NMF",(INDEX(SP_NGF_NI,0,COLUMN())/INDEX(SP_GF_ShareCount,0,COLUMN()))/(BD46/BD42)-1))</f>
        <v/>
      </c>
      <c r="BJ110" s="2218">
        <f>IF(OR(INDEX(SP_NGF_NI,0,COLUMN())&lt;=0,BE46&lt;=0),"NMF",IF(ABS((INDEX(SP_NGF_NI,0,COLUMN())/INDEX(SP_GF_ShareCount,0,COLUMN()))/(BE46/BE42)-1)&gt;10,"NMF",(INDEX(SP_NGF_NI,0,COLUMN())/INDEX(SP_GF_ShareCount,0,COLUMN()))/(BE46/BE42)-1))</f>
        <v/>
      </c>
      <c r="BK110" s="2218">
        <f>IF(OR(INDEX(SP_NGF_NI,0,COLUMN())&lt;=0,BF46&lt;=0),"NMF",IF(ABS((INDEX(SP_NGF_NI,0,COLUMN())/INDEX(SP_GF_ShareCount,0,COLUMN()))/(BF46/BF42)-1)&gt;10,"NMF",(INDEX(SP_NGF_NI,0,COLUMN())/INDEX(SP_GF_ShareCount,0,COLUMN()))/(BF46/BF42)-1))</f>
        <v/>
      </c>
      <c r="BL110" s="2218">
        <f>IF(OR(INDEX(SP_NGF_NI,0,COLUMN())&lt;=0,BG46&lt;=0),"NMF",IF(ABS((INDEX(SP_NGF_NI,0,COLUMN())/INDEX(SP_GF_ShareCount,0,COLUMN()))/(BG46/BG42)-1)&gt;10,"NMF",(INDEX(SP_NGF_NI,0,COLUMN())/INDEX(SP_GF_ShareCount,0,COLUMN()))/(BG46/BG42)-1))</f>
        <v/>
      </c>
      <c r="BM110" s="2218">
        <f>IF(OR(INDEX(SP_NGF_NI,0,COLUMN())&lt;=0,BH46&lt;=0),"NMF",IF(ABS((INDEX(SP_NGF_NI,0,COLUMN())/INDEX(SP_GF_ShareCount,0,COLUMN()))/(BH46/BH42)-1)&gt;10,"NMF",(INDEX(SP_NGF_NI,0,COLUMN())/INDEX(SP_GF_ShareCount,0,COLUMN()))/(BH46/BH42)-1))</f>
        <v/>
      </c>
      <c r="BN110" s="2136">
        <f>IF(OR(INDEX(SP_NGF_NI,0,COLUMN())&lt;=0,BI46&lt;=0),"NMF",IF(ABS((INDEX(SP_NGF_NI,0,COLUMN())/INDEX(SP_GF_ShareCount,0,COLUMN()))/(BI46/BI42)-1)&gt;10,"NMF",(INDEX(SP_NGF_NI,0,COLUMN())/INDEX(SP_GF_ShareCount,0,COLUMN()))/(BI46/BI42)-1))</f>
        <v/>
      </c>
      <c r="BO110" s="2218">
        <f>IF(OR(INDEX(SP_NGF_NI,0,COLUMN())&lt;=0,BJ46&lt;=0),"NMF",IF(ABS((INDEX(SP_NGF_NI,0,COLUMN())/INDEX(SP_GF_ShareCount,0,COLUMN()))/(BJ46/BJ42)-1)&gt;10,"NMF",(INDEX(SP_NGF_NI,0,COLUMN())/INDEX(SP_GF_ShareCount,0,COLUMN()))/(BJ46/BJ42)-1))</f>
        <v/>
      </c>
      <c r="BP110" s="2218">
        <f>IF(OR(INDEX(SP_NGF_NI,0,COLUMN())&lt;=0,BK46&lt;=0),"NMF",IF(ABS((INDEX(SP_NGF_NI,0,COLUMN())/INDEX(SP_GF_ShareCount,0,COLUMN()))/(BK46/BK42)-1)&gt;10,"NMF",(INDEX(SP_NGF_NI,0,COLUMN())/INDEX(SP_GF_ShareCount,0,COLUMN()))/(BK46/BK42)-1))</f>
        <v/>
      </c>
      <c r="BQ110" s="2219">
        <f>IF(OR(INDEX(SP_NGF_NI,0,COLUMN())&lt;=0,BL46&lt;=0),"NMF",IF(ABS((INDEX(SP_NGF_NI,0,COLUMN())/INDEX(SP_GF_ShareCount,0,COLUMN()))/(BL46/BL42)-1)&gt;10,"NMF",(INDEX(SP_NGF_NI,0,COLUMN())/INDEX(SP_GF_ShareCount,0,COLUMN()))/(BL46/BL42)-1))</f>
        <v/>
      </c>
      <c r="BR110" s="2218">
        <f>IF(OR(INDEX(SP_NGF_NI,0,COLUMN())&lt;=0,BM46&lt;=0),"NMF",IF(ABS((INDEX(SP_NGF_NI,0,COLUMN())/INDEX(SP_GF_ShareCount,0,COLUMN()))/(BM46/BM42)-1)&gt;10,"NMF",(INDEX(SP_NGF_NI,0,COLUMN())/INDEX(SP_GF_ShareCount,0,COLUMN()))/(BM46/BM42)-1))</f>
        <v/>
      </c>
      <c r="BS110" s="2136">
        <f>IF(OR(INDEX(SP_NGF_NI,0,COLUMN())&lt;=0,BN46&lt;=0),"NMF",IF(ABS((INDEX(SP_NGF_NI,0,COLUMN())/INDEX(SP_GF_ShareCount,0,COLUMN()))/(BN46/BN42)-1)&gt;10,"NMF",(INDEX(SP_NGF_NI,0,COLUMN())/INDEX(SP_GF_ShareCount,0,COLUMN()))/(BN46/BN42)-1))</f>
        <v/>
      </c>
      <c r="BT110" s="2218">
        <f>IF(OR(INDEX(SP_NGF_NI,0,COLUMN())&lt;=0,BO46&lt;=0),"NMF",IF(ABS((INDEX(SP_NGF_NI,0,COLUMN())/INDEX(SP_GF_ShareCount,0,COLUMN()))/(BO46/BO42)-1)&gt;10,"NMF",(INDEX(SP_NGF_NI,0,COLUMN())/INDEX(SP_GF_ShareCount,0,COLUMN()))/(BO46/BO42)-1))</f>
        <v/>
      </c>
      <c r="BU110" s="2218">
        <f>IF(OR(INDEX(SP_NGF_NI,0,COLUMN())&lt;=0,BP46&lt;=0),"NMF",IF(ABS((INDEX(SP_NGF_NI,0,COLUMN())/INDEX(SP_GF_ShareCount,0,COLUMN()))/(BP46/BP42)-1)&gt;10,"NMF",(INDEX(SP_NGF_NI,0,COLUMN())/INDEX(SP_GF_ShareCount,0,COLUMN()))/(BP46/BP42)-1))</f>
        <v/>
      </c>
      <c r="BV110" s="2218">
        <f>IF(OR(INDEX(SP_NGF_NI,0,COLUMN())&lt;=0,BQ46&lt;=0),"NMF",IF(ABS((INDEX(SP_NGF_NI,0,COLUMN())/INDEX(SP_GF_ShareCount,0,COLUMN()))/(BQ46/BQ42)-1)&gt;10,"NMF",(INDEX(SP_NGF_NI,0,COLUMN())/INDEX(SP_GF_ShareCount,0,COLUMN()))/(BQ46/BQ42)-1))</f>
        <v/>
      </c>
      <c r="BW110" s="2218">
        <f>IF(OR(INDEX(SP_NGF_NI,0,COLUMN())&lt;=0,BR46&lt;=0),"NMF",IF(ABS((INDEX(SP_NGF_NI,0,COLUMN())/INDEX(SP_GF_ShareCount,0,COLUMN()))/(BR46/BR42)-1)&gt;10,"NMF",(INDEX(SP_NGF_NI,0,COLUMN())/INDEX(SP_GF_ShareCount,0,COLUMN()))/(BR46/BR42)-1))</f>
        <v/>
      </c>
      <c r="BX110" s="2136">
        <f>IF(OR(INDEX(SP_NGF_NI,0,COLUMN())&lt;=0,BS46&lt;=0),"NMF",IF(ABS((INDEX(SP_NGF_NI,0,COLUMN())/INDEX(SP_GF_ShareCount,0,COLUMN()))/(BS46/BS42)-1)&gt;10,"NMF",(INDEX(SP_NGF_NI,0,COLUMN())/INDEX(SP_GF_ShareCount,0,COLUMN()))/(BS46/BS42)-1))</f>
        <v/>
      </c>
      <c r="BY110" s="2136">
        <f>IF(OR(INDEX(SP_NGF_NI,0,COLUMN())&lt;=0,BX46&lt;=0),"NMF",IF(ABS((INDEX(SP_NGF_NI,0,COLUMN())/INDEX(SP_GF_ShareCount,0,COLUMN()))/(BX46/BX42)-1)&gt;10,"NMF",(INDEX(SP_NGF_NI,0,COLUMN())/INDEX(SP_GF_ShareCount,0,COLUMN()))/(BX46/BX42)-1))</f>
        <v/>
      </c>
      <c r="BZ110" s="2136">
        <f>IF(OR(INDEX(SP_NGF_NI,0,COLUMN())&lt;=0,BY46&lt;=0),"NMF",IF(ABS((INDEX(SP_NGF_NI,0,COLUMN())/INDEX(SP_GF_ShareCount,0,COLUMN()))/(BY46/BY42)-1)&gt;10,"NMF",(INDEX(SP_NGF_NI,0,COLUMN())/INDEX(SP_GF_ShareCount,0,COLUMN()))/(BY46/BY42)-1))</f>
        <v/>
      </c>
      <c r="CA110" s="2136">
        <f>IF(OR(INDEX(SP_NGF_NI,0,COLUMN())&lt;=0,BZ46&lt;=0),"NMF",IF(ABS((INDEX(SP_NGF_NI,0,COLUMN())/INDEX(SP_GF_ShareCount,0,COLUMN()))/(BZ46/BZ42)-1)&gt;10,"NMF",(INDEX(SP_NGF_NI,0,COLUMN())/INDEX(SP_GF_ShareCount,0,COLUMN()))/(BZ46/BZ42)-1))</f>
        <v/>
      </c>
      <c r="CB110" s="2109" t="n"/>
    </row>
    <row r="111" ht="15" customFormat="1" customHeight="1" s="2165">
      <c r="A111" s="2160" t="inlineStr">
        <is>
          <t>Operating Cash Flow Per Share Growth</t>
        </is>
      </c>
      <c r="B111" s="2216" t="n"/>
      <c r="C111" s="2136" t="n"/>
      <c r="D111" s="2136">
        <f>IF(OR(INDEX(SP_CFA_CFO,0,COLUMN())&lt;=0,C60&lt;=0),"NMF",IF(ABS((INDEX(SP_CFA_CFO,0,COLUMN())/INDEX(SP_GF_ShareCount,0,COLUMN()))/(C60/C42)-1)&gt;10,"NMF",(INDEX(SP_CFA_CFO,0,COLUMN())/INDEX(SP_GF_ShareCount,0,COLUMN()))/(C60/C42)-1))</f>
        <v/>
      </c>
      <c r="E111" s="2136">
        <f>IF(OR(INDEX(SP_CFA_CFO,0,COLUMN())&lt;=0,D60&lt;=0),"NMF",IF(ABS((INDEX(SP_CFA_CFO,0,COLUMN())/INDEX(SP_GF_ShareCount,0,COLUMN()))/(D60/D42)-1)&gt;10,"NMF",(INDEX(SP_CFA_CFO,0,COLUMN())/INDEX(SP_GF_ShareCount,0,COLUMN()))/(D60/D42)-1))</f>
        <v/>
      </c>
      <c r="F111" s="2136">
        <f>IF(OR(INDEX(SP_CFA_CFO,0,COLUMN())&lt;=0,E60&lt;=0),"NMF",IF(ABS((INDEX(SP_CFA_CFO,0,COLUMN())/INDEX(SP_GF_ShareCount,0,COLUMN()))/(E60/E42)-1)&gt;10,"NMF",(INDEX(SP_CFA_CFO,0,COLUMN())/INDEX(SP_GF_ShareCount,0,COLUMN()))/(E60/E42)-1))</f>
        <v/>
      </c>
      <c r="G111" s="2218" t="n"/>
      <c r="H111" s="2218" t="n"/>
      <c r="I111" s="2218" t="n"/>
      <c r="J111" s="2218" t="n"/>
      <c r="K111" s="2136">
        <f>IF(OR(INDEX(SP_CFA_CFO,0,COLUMN())&lt;=0,F60&lt;=0),"NMF",IF(ABS((INDEX(SP_CFA_CFO,0,COLUMN())/INDEX(SP_GF_ShareCount,0,COLUMN()))/(F60/F42)-1)&gt;10,"NMF",(INDEX(SP_CFA_CFO,0,COLUMN())/INDEX(SP_GF_ShareCount,0,COLUMN()))/(F60/F42)-1))</f>
        <v/>
      </c>
      <c r="L111" s="2218">
        <f>IF(OR(INDEX(SP_CFA_CFO,0,COLUMN())&lt;=0,G60&lt;=0),"NMF",IF(ABS((INDEX(SP_CFA_CFO,0,COLUMN())/INDEX(SP_GF_ShareCount,0,COLUMN()))/(G60/G42)-1)&gt;10,"NMF",(INDEX(SP_CFA_CFO,0,COLUMN())/INDEX(SP_GF_ShareCount,0,COLUMN()))/(G60/G42)-1))</f>
        <v/>
      </c>
      <c r="M111" s="2218">
        <f>IF(OR(INDEX(SP_CFA_CFO,0,COLUMN())&lt;=0,H60&lt;=0),"NMF",IF(ABS((INDEX(SP_CFA_CFO,0,COLUMN())/INDEX(SP_GF_ShareCount,0,COLUMN()))/(H60/H42)-1)&gt;10,"NMF",(INDEX(SP_CFA_CFO,0,COLUMN())/INDEX(SP_GF_ShareCount,0,COLUMN()))/(H60/H42)-1))</f>
        <v/>
      </c>
      <c r="N111" s="2218">
        <f>IF(OR(INDEX(SP_CFA_CFO,0,COLUMN())&lt;=0,I60&lt;=0),"NMF",IF(ABS((INDEX(SP_CFA_CFO,0,COLUMN())/INDEX(SP_GF_ShareCount,0,COLUMN()))/(I60/I42)-1)&gt;10,"NMF",(INDEX(SP_CFA_CFO,0,COLUMN())/INDEX(SP_GF_ShareCount,0,COLUMN()))/(I60/I42)-1))</f>
        <v/>
      </c>
      <c r="O111" s="2218">
        <f>IF(OR(INDEX(SP_CFA_CFO,0,COLUMN())&lt;=0,J60&lt;=0),"NMF",IF(ABS((INDEX(SP_CFA_CFO,0,COLUMN())/INDEX(SP_GF_ShareCount,0,COLUMN()))/(J60/J42)-1)&gt;10,"NMF",(INDEX(SP_CFA_CFO,0,COLUMN())/INDEX(SP_GF_ShareCount,0,COLUMN()))/(J60/J42)-1))</f>
        <v/>
      </c>
      <c r="P111" s="2136">
        <f>IF(OR(INDEX(SP_CFA_CFO,0,COLUMN())&lt;=0,K60&lt;=0),"NMF",IF(ABS((INDEX(SP_CFA_CFO,0,COLUMN())/INDEX(SP_GF_ShareCount,0,COLUMN()))/(K60/K42)-1)&gt;10,"NMF",(INDEX(SP_CFA_CFO,0,COLUMN())/INDEX(SP_GF_ShareCount,0,COLUMN()))/(K60/K42)-1))</f>
        <v/>
      </c>
      <c r="Q111" s="2218">
        <f>IF(OR(INDEX(SP_CFA_CFO,0,COLUMN())&lt;=0,L60&lt;=0),"NMF",IF(ABS((INDEX(SP_CFA_CFO,0,COLUMN())/INDEX(SP_GF_ShareCount,0,COLUMN()))/(L60/L42)-1)&gt;10,"NMF",(INDEX(SP_CFA_CFO,0,COLUMN())/INDEX(SP_GF_ShareCount,0,COLUMN()))/(L60/L42)-1))</f>
        <v/>
      </c>
      <c r="R111" s="2218">
        <f>IF(OR(INDEX(SP_CFA_CFO,0,COLUMN())&lt;=0,M60&lt;=0),"NMF",IF(ABS((INDEX(SP_CFA_CFO,0,COLUMN())/INDEX(SP_GF_ShareCount,0,COLUMN()))/(M60/M42)-1)&gt;10,"NMF",(INDEX(SP_CFA_CFO,0,COLUMN())/INDEX(SP_GF_ShareCount,0,COLUMN()))/(M60/M42)-1))</f>
        <v/>
      </c>
      <c r="S111" s="2218">
        <f>IF(OR(INDEX(SP_CFA_CFO,0,COLUMN())&lt;=0,N60&lt;=0),"NMF",IF(ABS((INDEX(SP_CFA_CFO,0,COLUMN())/INDEX(SP_GF_ShareCount,0,COLUMN()))/(N60/N42)-1)&gt;10,"NMF",(INDEX(SP_CFA_CFO,0,COLUMN())/INDEX(SP_GF_ShareCount,0,COLUMN()))/(N60/N42)-1))</f>
        <v/>
      </c>
      <c r="T111" s="2218">
        <f>IF(OR(INDEX(SP_CFA_CFO,0,COLUMN())&lt;=0,O60&lt;=0),"NMF",IF(ABS((INDEX(SP_CFA_CFO,0,COLUMN())/INDEX(SP_GF_ShareCount,0,COLUMN()))/(O60/O42)-1)&gt;10,"NMF",(INDEX(SP_CFA_CFO,0,COLUMN())/INDEX(SP_GF_ShareCount,0,COLUMN()))/(O60/O42)-1))</f>
        <v/>
      </c>
      <c r="U111" s="2136">
        <f>IF(OR(INDEX(SP_CFA_CFO,0,COLUMN())&lt;=0,P60&lt;=0),"NMF",IF(ABS((INDEX(SP_CFA_CFO,0,COLUMN())/INDEX(SP_GF_ShareCount,0,COLUMN()))/(P60/P42)-1)&gt;10,"NMF",(INDEX(SP_CFA_CFO,0,COLUMN())/INDEX(SP_GF_ShareCount,0,COLUMN()))/(P60/P42)-1))</f>
        <v/>
      </c>
      <c r="V111" s="2218">
        <f>IF(OR(INDEX(SP_CFA_CFO,0,COLUMN())&lt;=0,Q60&lt;=0),"NMF",IF(ABS((INDEX(SP_CFA_CFO,0,COLUMN())/INDEX(SP_GF_ShareCount,0,COLUMN()))/(Q60/Q42)-1)&gt;10,"NMF",(INDEX(SP_CFA_CFO,0,COLUMN())/INDEX(SP_GF_ShareCount,0,COLUMN()))/(Q60/Q42)-1))</f>
        <v/>
      </c>
      <c r="W111" s="2218">
        <f>IF(OR(INDEX(SP_CFA_CFO,0,COLUMN())&lt;=0,R60&lt;=0),"NMF",IF(ABS((INDEX(SP_CFA_CFO,0,COLUMN())/INDEX(SP_GF_ShareCount,0,COLUMN()))/(R60/R42)-1)&gt;10,"NMF",(INDEX(SP_CFA_CFO,0,COLUMN())/INDEX(SP_GF_ShareCount,0,COLUMN()))/(R60/R42)-1))</f>
        <v/>
      </c>
      <c r="X111" s="2218">
        <f>IF(OR(INDEX(SP_CFA_CFO,0,COLUMN())&lt;=0,S60&lt;=0),"NMF",IF(ABS((INDEX(SP_CFA_CFO,0,COLUMN())/INDEX(SP_GF_ShareCount,0,COLUMN()))/(S60/S42)-1)&gt;10,"NMF",(INDEX(SP_CFA_CFO,0,COLUMN())/INDEX(SP_GF_ShareCount,0,COLUMN()))/(S60/S42)-1))</f>
        <v/>
      </c>
      <c r="Y111" s="2218">
        <f>IF(OR(INDEX(SP_CFA_CFO,0,COLUMN())&lt;=0,T60&lt;=0),"NMF",IF(ABS((INDEX(SP_CFA_CFO,0,COLUMN())/INDEX(SP_GF_ShareCount,0,COLUMN()))/(T60/T42)-1)&gt;10,"NMF",(INDEX(SP_CFA_CFO,0,COLUMN())/INDEX(SP_GF_ShareCount,0,COLUMN()))/(T60/T42)-1))</f>
        <v/>
      </c>
      <c r="Z111" s="2136">
        <f>IF(OR(INDEX(SP_CFA_CFO,0,COLUMN())&lt;=0,U60&lt;=0),"NMF",IF(ABS((INDEX(SP_CFA_CFO,0,COLUMN())/INDEX(SP_GF_ShareCount,0,COLUMN()))/(U60/U42)-1)&gt;10,"NMF",(INDEX(SP_CFA_CFO,0,COLUMN())/INDEX(SP_GF_ShareCount,0,COLUMN()))/(U60/U42)-1))</f>
        <v/>
      </c>
      <c r="AA111" s="2218">
        <f>IF(OR(INDEX(SP_CFA_CFO,0,COLUMN())&lt;=0,V60&lt;=0),"NMF",IF(ABS((INDEX(SP_CFA_CFO,0,COLUMN())/INDEX(SP_GF_ShareCount,0,COLUMN()))/(V60/V42)-1)&gt;10,"NMF",(INDEX(SP_CFA_CFO,0,COLUMN())/INDEX(SP_GF_ShareCount,0,COLUMN()))/(V60/V42)-1))</f>
        <v/>
      </c>
      <c r="AB111" s="2218">
        <f>IF(OR(INDEX(SP_CFA_CFO,0,COLUMN())&lt;=0,W60&lt;=0),"NMF",IF(ABS((INDEX(SP_CFA_CFO,0,COLUMN())/INDEX(SP_GF_ShareCount,0,COLUMN()))/(W60/W42)-1)&gt;10,"NMF",(INDEX(SP_CFA_CFO,0,COLUMN())/INDEX(SP_GF_ShareCount,0,COLUMN()))/(W60/W42)-1))</f>
        <v/>
      </c>
      <c r="AC111" s="2218">
        <f>IF(OR(INDEX(SP_CFA_CFO,0,COLUMN())&lt;=0,X60&lt;=0),"NMF",IF(ABS((INDEX(SP_CFA_CFO,0,COLUMN())/INDEX(SP_GF_ShareCount,0,COLUMN()))/(X60/X42)-1)&gt;10,"NMF",(INDEX(SP_CFA_CFO,0,COLUMN())/INDEX(SP_GF_ShareCount,0,COLUMN()))/(X60/X42)-1))</f>
        <v/>
      </c>
      <c r="AD111" s="2218">
        <f>IF(OR(INDEX(SP_CFA_CFO,0,COLUMN())&lt;=0,Y60&lt;=0),"NMF",IF(ABS((INDEX(SP_CFA_CFO,0,COLUMN())/INDEX(SP_GF_ShareCount,0,COLUMN()))/(Y60/Y42)-1)&gt;10,"NMF",(INDEX(SP_CFA_CFO,0,COLUMN())/INDEX(SP_GF_ShareCount,0,COLUMN()))/(Y60/Y42)-1))</f>
        <v/>
      </c>
      <c r="AE111" s="2136">
        <f>IF(OR(INDEX(SP_CFA_CFO,0,COLUMN())&lt;=0,Z60&lt;=0),"NMF",IF(ABS((INDEX(SP_CFA_CFO,0,COLUMN())/INDEX(SP_GF_ShareCount,0,COLUMN()))/(Z60/Z42)-1)&gt;10,"NMF",(INDEX(SP_CFA_CFO,0,COLUMN())/INDEX(SP_GF_ShareCount,0,COLUMN()))/(Z60/Z42)-1))</f>
        <v/>
      </c>
      <c r="AF111" s="2218">
        <f>IF(OR(INDEX(SP_CFA_CFO,0,COLUMN())&lt;=0,AA60&lt;=0),"NMF",IF(ABS((INDEX(SP_CFA_CFO,0,COLUMN())/INDEX(SP_GF_ShareCount,0,COLUMN()))/(AA60/AA42)-1)&gt;10,"NMF",(INDEX(SP_CFA_CFO,0,COLUMN())/INDEX(SP_GF_ShareCount,0,COLUMN()))/(AA60/AA42)-1))</f>
        <v/>
      </c>
      <c r="AG111" s="2218">
        <f>IF(OR(INDEX(SP_CFA_CFO,0,COLUMN())&lt;=0,AB60&lt;=0),"NMF",IF(ABS((INDEX(SP_CFA_CFO,0,COLUMN())/INDEX(SP_GF_ShareCount,0,COLUMN()))/(AB60/AB42)-1)&gt;10,"NMF",(INDEX(SP_CFA_CFO,0,COLUMN())/INDEX(SP_GF_ShareCount,0,COLUMN()))/(AB60/AB42)-1))</f>
        <v/>
      </c>
      <c r="AH111" s="2218">
        <f>IF(OR(INDEX(SP_CFA_CFO,0,COLUMN())&lt;=0,AC60&lt;=0),"NMF",IF(ABS((INDEX(SP_CFA_CFO,0,COLUMN())/INDEX(SP_GF_ShareCount,0,COLUMN()))/(AC60/AC42)-1)&gt;10,"NMF",(INDEX(SP_CFA_CFO,0,COLUMN())/INDEX(SP_GF_ShareCount,0,COLUMN()))/(AC60/AC42)-1))</f>
        <v/>
      </c>
      <c r="AI111" s="2218">
        <f>IF(OR(INDEX(SP_CFA_CFO,0,COLUMN())&lt;=0,AD60&lt;=0),"NMF",IF(ABS((INDEX(SP_CFA_CFO,0,COLUMN())/INDEX(SP_GF_ShareCount,0,COLUMN()))/(AD60/AD42)-1)&gt;10,"NMF",(INDEX(SP_CFA_CFO,0,COLUMN())/INDEX(SP_GF_ShareCount,0,COLUMN()))/(AD60/AD42)-1))</f>
        <v/>
      </c>
      <c r="AJ111" s="2136">
        <f>IF(OR(INDEX(SP_CFA_CFO,0,COLUMN())&lt;=0,AE60&lt;=0),"NMF",IF(ABS((INDEX(SP_CFA_CFO,0,COLUMN())/INDEX(SP_GF_ShareCount,0,COLUMN()))/(AE60/AE42)-1)&gt;10,"NMF",(INDEX(SP_CFA_CFO,0,COLUMN())/INDEX(SP_GF_ShareCount,0,COLUMN()))/(AE60/AE42)-1))</f>
        <v/>
      </c>
      <c r="AK111" s="2218">
        <f>IF(OR(INDEX(SP_CFA_CFO,0,COLUMN())&lt;=0,AF60&lt;=0),"NMF",IF(ABS((INDEX(SP_CFA_CFO,0,COLUMN())/INDEX(SP_GF_ShareCount,0,COLUMN()))/(AF60/AF42)-1)&gt;10,"NMF",(INDEX(SP_CFA_CFO,0,COLUMN())/INDEX(SP_GF_ShareCount,0,COLUMN()))/(AF60/AF42)-1))</f>
        <v/>
      </c>
      <c r="AL111" s="2218">
        <f>IF(OR(INDEX(SP_CFA_CFO,0,COLUMN())&lt;=0,AG60&lt;=0),"NMF",IF(ABS((INDEX(SP_CFA_CFO,0,COLUMN())/INDEX(SP_GF_ShareCount,0,COLUMN()))/(AG60/AG42)-1)&gt;10,"NMF",(INDEX(SP_CFA_CFO,0,COLUMN())/INDEX(SP_GF_ShareCount,0,COLUMN()))/(AG60/AG42)-1))</f>
        <v/>
      </c>
      <c r="AM111" s="2218">
        <f>IF(OR(INDEX(SP_CFA_CFO,0,COLUMN())&lt;=0,AH60&lt;=0),"NMF",IF(ABS((INDEX(SP_CFA_CFO,0,COLUMN())/INDEX(SP_GF_ShareCount,0,COLUMN()))/(AH60/AH42)-1)&gt;10,"NMF",(INDEX(SP_CFA_CFO,0,COLUMN())/INDEX(SP_GF_ShareCount,0,COLUMN()))/(AH60/AH42)-1))</f>
        <v/>
      </c>
      <c r="AN111" s="2218">
        <f>IF(OR(INDEX(SP_CFA_CFO,0,COLUMN())&lt;=0,AI60&lt;=0),"NMF",IF(ABS((INDEX(SP_CFA_CFO,0,COLUMN())/INDEX(SP_GF_ShareCount,0,COLUMN()))/(AI60/AI42)-1)&gt;10,"NMF",(INDEX(SP_CFA_CFO,0,COLUMN())/INDEX(SP_GF_ShareCount,0,COLUMN()))/(AI60/AI42)-1))</f>
        <v/>
      </c>
      <c r="AO111" s="2136">
        <f>IF(OR(INDEX(SP_CFA_CFO,0,COLUMN())&lt;=0,AJ60&lt;=0),"NMF",IF(ABS((INDEX(SP_CFA_CFO,0,COLUMN())/INDEX(SP_GF_ShareCount,0,COLUMN()))/(AJ60/AJ42)-1)&gt;10,"NMF",(INDEX(SP_CFA_CFO,0,COLUMN())/INDEX(SP_GF_ShareCount,0,COLUMN()))/(AJ60/AJ42)-1))</f>
        <v/>
      </c>
      <c r="AP111" s="2218">
        <f>IF(OR(INDEX(SP_CFA_CFO,0,COLUMN())&lt;=0,AK60&lt;=0),"NMF",IF(ABS((INDEX(SP_CFA_CFO,0,COLUMN())/INDEX(SP_GF_ShareCount,0,COLUMN()))/(AK60/AK42)-1)&gt;10,"NMF",(INDEX(SP_CFA_CFO,0,COLUMN())/INDEX(SP_GF_ShareCount,0,COLUMN()))/(AK60/AK42)-1))</f>
        <v/>
      </c>
      <c r="AQ111" s="2218">
        <f>IF(OR(INDEX(SP_CFA_CFO,0,COLUMN())&lt;=0,AL60&lt;=0),"NMF",IF(ABS((INDEX(SP_CFA_CFO,0,COLUMN())/INDEX(SP_GF_ShareCount,0,COLUMN()))/(AL60/AL42)-1)&gt;10,"NMF",(INDEX(SP_CFA_CFO,0,COLUMN())/INDEX(SP_GF_ShareCount,0,COLUMN()))/(AL60/AL42)-1))</f>
        <v/>
      </c>
      <c r="AR111" s="2218">
        <f>IF(OR(INDEX(SP_CFA_CFO,0,COLUMN())&lt;=0,AM60&lt;=0),"NMF",IF(ABS((INDEX(SP_CFA_CFO,0,COLUMN())/INDEX(SP_GF_ShareCount,0,COLUMN()))/(AM60/AM42)-1)&gt;10,"NMF",(INDEX(SP_CFA_CFO,0,COLUMN())/INDEX(SP_GF_ShareCount,0,COLUMN()))/(AM60/AM42)-1))</f>
        <v/>
      </c>
      <c r="AS111" s="2218">
        <f>IF(OR(INDEX(SP_CFA_CFO,0,COLUMN())&lt;=0,AN60&lt;=0),"NMF",IF(ABS((INDEX(SP_CFA_CFO,0,COLUMN())/INDEX(SP_GF_ShareCount,0,COLUMN()))/(AN60/AN42)-1)&gt;10,"NMF",(INDEX(SP_CFA_CFO,0,COLUMN())/INDEX(SP_GF_ShareCount,0,COLUMN()))/(AN60/AN42)-1))</f>
        <v/>
      </c>
      <c r="AT111" s="2136">
        <f>IF(OR(INDEX(SP_CFA_CFO,0,COLUMN())&lt;=0,AO60&lt;=0),"NMF",IF(ABS((INDEX(SP_CFA_CFO,0,COLUMN())/INDEX(SP_GF_ShareCount,0,COLUMN()))/(AO60/AO42)-1)&gt;10,"NMF",(INDEX(SP_CFA_CFO,0,COLUMN())/INDEX(SP_GF_ShareCount,0,COLUMN()))/(AO60/AO42)-1))</f>
        <v/>
      </c>
      <c r="AU111" s="2218">
        <f>IF(OR(INDEX(SP_CFA_CFO,0,COLUMN())&lt;=0,AP60&lt;=0),"NMF",IF(ABS((INDEX(SP_CFA_CFO,0,COLUMN())/INDEX(SP_GF_ShareCount,0,COLUMN()))/(AP60/AP42)-1)&gt;10,"NMF",(INDEX(SP_CFA_CFO,0,COLUMN())/INDEX(SP_GF_ShareCount,0,COLUMN()))/(AP60/AP42)-1))</f>
        <v/>
      </c>
      <c r="AV111" s="2218">
        <f>IF(OR(INDEX(SP_CFA_CFO,0,COLUMN())&lt;=0,AQ60&lt;=0),"NMF",IF(ABS((INDEX(SP_CFA_CFO,0,COLUMN())/INDEX(SP_GF_ShareCount,0,COLUMN()))/(AQ60/AQ42)-1)&gt;10,"NMF",(INDEX(SP_CFA_CFO,0,COLUMN())/INDEX(SP_GF_ShareCount,0,COLUMN()))/(AQ60/AQ42)-1))</f>
        <v/>
      </c>
      <c r="AW111" s="2218">
        <f>IF(OR(INDEX(SP_CFA_CFO,0,COLUMN())&lt;=0,AR60&lt;=0),"NMF",IF(ABS((INDEX(SP_CFA_CFO,0,COLUMN())/INDEX(SP_GF_ShareCount,0,COLUMN()))/(AR60/AR42)-1)&gt;10,"NMF",(INDEX(SP_CFA_CFO,0,COLUMN())/INDEX(SP_GF_ShareCount,0,COLUMN()))/(AR60/AR42)-1))</f>
        <v/>
      </c>
      <c r="AX111" s="2218">
        <f>IF(OR(INDEX(SP_CFA_CFO,0,COLUMN())&lt;=0,AS60&lt;=0),"NMF",IF(ABS((INDEX(SP_CFA_CFO,0,COLUMN())/INDEX(SP_GF_ShareCount,0,COLUMN()))/(AS60/AS42)-1)&gt;10,"NMF",(INDEX(SP_CFA_CFO,0,COLUMN())/INDEX(SP_GF_ShareCount,0,COLUMN()))/(AS60/AS42)-1))</f>
        <v/>
      </c>
      <c r="AY111" s="2136">
        <f>IF(OR(INDEX(SP_CFA_CFO,0,COLUMN())&lt;=0,AT60&lt;=0),"NMF",IF(ABS((INDEX(SP_CFA_CFO,0,COLUMN())/INDEX(SP_GF_ShareCount,0,COLUMN()))/(AT60/AT42)-1)&gt;10,"NMF",(INDEX(SP_CFA_CFO,0,COLUMN())/INDEX(SP_GF_ShareCount,0,COLUMN()))/(AT60/AT42)-1))</f>
        <v/>
      </c>
      <c r="AZ111" s="2218">
        <f>IF(OR(INDEX(SP_CFA_CFO,0,COLUMN())&lt;=0,AU60&lt;=0),"NMF",IF(ABS((INDEX(SP_CFA_CFO,0,COLUMN())/INDEX(SP_GF_ShareCount,0,COLUMN()))/(AU60/AU42)-1)&gt;10,"NMF",(INDEX(SP_CFA_CFO,0,COLUMN())/INDEX(SP_GF_ShareCount,0,COLUMN()))/(AU60/AU42)-1))</f>
        <v/>
      </c>
      <c r="BA111" s="2218">
        <f>IF(OR(INDEX(SP_CFA_CFO,0,COLUMN())&lt;=0,AV60&lt;=0),"NMF",IF(ABS((INDEX(SP_CFA_CFO,0,COLUMN())/INDEX(SP_GF_ShareCount,0,COLUMN()))/(AV60/AV42)-1)&gt;10,"NMF",(INDEX(SP_CFA_CFO,0,COLUMN())/INDEX(SP_GF_ShareCount,0,COLUMN()))/(AV60/AV42)-1))</f>
        <v/>
      </c>
      <c r="BB111" s="2218">
        <f>IF(OR(INDEX(SP_CFA_CFO,0,COLUMN())&lt;=0,AW60&lt;=0),"NMF",IF(ABS((INDEX(SP_CFA_CFO,0,COLUMN())/INDEX(SP_GF_ShareCount,0,COLUMN()))/(AW60/AW42)-1)&gt;10,"NMF",(INDEX(SP_CFA_CFO,0,COLUMN())/INDEX(SP_GF_ShareCount,0,COLUMN()))/(AW60/AW42)-1))</f>
        <v/>
      </c>
      <c r="BC111" s="2218">
        <f>IF(OR(INDEX(SP_CFA_CFO,0,COLUMN())&lt;=0,AX60&lt;=0),"NMF",IF(ABS((INDEX(SP_CFA_CFO,0,COLUMN())/INDEX(SP_GF_ShareCount,0,COLUMN()))/(AX60/AX42)-1)&gt;10,"NMF",(INDEX(SP_CFA_CFO,0,COLUMN())/INDEX(SP_GF_ShareCount,0,COLUMN()))/(AX60/AX42)-1))</f>
        <v/>
      </c>
      <c r="BD111" s="2136">
        <f>IF(OR(INDEX(SP_CFA_CFO,0,COLUMN())&lt;=0,AY60&lt;=0),"NMF",IF(ABS((INDEX(SP_CFA_CFO,0,COLUMN())/INDEX(SP_GF_ShareCount,0,COLUMN()))/(AY60/AY42)-1)&gt;10,"NMF",(INDEX(SP_CFA_CFO,0,COLUMN())/INDEX(SP_GF_ShareCount,0,COLUMN()))/(AY60/AY42)-1))</f>
        <v/>
      </c>
      <c r="BE111" s="2218">
        <f>IF(OR(INDEX(SP_CFA_CFO,0,COLUMN())&lt;=0,AZ60&lt;=0),"NMF",IF(ABS((INDEX(SP_CFA_CFO,0,COLUMN())/INDEX(SP_GF_ShareCount,0,COLUMN()))/(AZ60/AZ42)-1)&gt;10,"NMF",(INDEX(SP_CFA_CFO,0,COLUMN())/INDEX(SP_GF_ShareCount,0,COLUMN()))/(AZ60/AZ42)-1))</f>
        <v/>
      </c>
      <c r="BF111" s="2218">
        <f>IF(OR(INDEX(SP_CFA_CFO,0,COLUMN())&lt;=0,BA60&lt;=0),"NMF",IF(ABS((INDEX(SP_CFA_CFO,0,COLUMN())/INDEX(SP_GF_ShareCount,0,COLUMN()))/(BA60/BA42)-1)&gt;10,"NMF",(INDEX(SP_CFA_CFO,0,COLUMN())/INDEX(SP_GF_ShareCount,0,COLUMN()))/(BA60/BA42)-1))</f>
        <v/>
      </c>
      <c r="BG111" s="2218">
        <f>IF(OR(INDEX(SP_CFA_CFO,0,COLUMN())&lt;=0,BB60&lt;=0),"NMF",IF(ABS((INDEX(SP_CFA_CFO,0,COLUMN())/INDEX(SP_GF_ShareCount,0,COLUMN()))/(BB60/BB42)-1)&gt;10,"NMF",(INDEX(SP_CFA_CFO,0,COLUMN())/INDEX(SP_GF_ShareCount,0,COLUMN()))/(BB60/BB42)-1))</f>
        <v/>
      </c>
      <c r="BH111" s="2218">
        <f>IF(OR(INDEX(SP_CFA_CFO,0,COLUMN())&lt;=0,BC60&lt;=0),"NMF",IF(ABS((INDEX(SP_CFA_CFO,0,COLUMN())/INDEX(SP_GF_ShareCount,0,COLUMN()))/(BC60/BC42)-1)&gt;10,"NMF",(INDEX(SP_CFA_CFO,0,COLUMN())/INDEX(SP_GF_ShareCount,0,COLUMN()))/(BC60/BC42)-1))</f>
        <v/>
      </c>
      <c r="BI111" s="2136">
        <f>IF(OR(INDEX(SP_CFA_CFO,0,COLUMN())&lt;=0,BD60&lt;=0),"NMF",IF(ABS((INDEX(SP_CFA_CFO,0,COLUMN())/INDEX(SP_GF_ShareCount,0,COLUMN()))/(BD60/BD42)-1)&gt;10,"NMF",(INDEX(SP_CFA_CFO,0,COLUMN())/INDEX(SP_GF_ShareCount,0,COLUMN()))/(BD60/BD42)-1))</f>
        <v/>
      </c>
      <c r="BJ111" s="2218">
        <f>IF(OR(INDEX(SP_CFA_CFO,0,COLUMN())&lt;=0,BE60&lt;=0),"NMF",IF(ABS((INDEX(SP_CFA_CFO,0,COLUMN())/INDEX(SP_GF_ShareCount,0,COLUMN()))/(BE60/BE42)-1)&gt;10,"NMF",(INDEX(SP_CFA_CFO,0,COLUMN())/INDEX(SP_GF_ShareCount,0,COLUMN()))/(BE60/BE42)-1))</f>
        <v/>
      </c>
      <c r="BK111" s="2218">
        <f>IF(OR(INDEX(SP_CFA_CFO,0,COLUMN())&lt;=0,BF60&lt;=0),"NMF",IF(ABS((INDEX(SP_CFA_CFO,0,COLUMN())/INDEX(SP_GF_ShareCount,0,COLUMN()))/(BF60/BF42)-1)&gt;10,"NMF",(INDEX(SP_CFA_CFO,0,COLUMN())/INDEX(SP_GF_ShareCount,0,COLUMN()))/(BF60/BF42)-1))</f>
        <v/>
      </c>
      <c r="BL111" s="2218">
        <f>IF(OR(INDEX(SP_CFA_CFO,0,COLUMN())&lt;=0,BG60&lt;=0),"NMF",IF(ABS((INDEX(SP_CFA_CFO,0,COLUMN())/INDEX(SP_GF_ShareCount,0,COLUMN()))/(BG60/BG42)-1)&gt;10,"NMF",(INDEX(SP_CFA_CFO,0,COLUMN())/INDEX(SP_GF_ShareCount,0,COLUMN()))/(BG60/BG42)-1))</f>
        <v/>
      </c>
      <c r="BM111" s="2218">
        <f>IF(OR(INDEX(SP_CFA_CFO,0,COLUMN())&lt;=0,BH60&lt;=0),"NMF",IF(ABS((INDEX(SP_CFA_CFO,0,COLUMN())/INDEX(SP_GF_ShareCount,0,COLUMN()))/(BH60/BH42)-1)&gt;10,"NMF",(INDEX(SP_CFA_CFO,0,COLUMN())/INDEX(SP_GF_ShareCount,0,COLUMN()))/(BH60/BH42)-1))</f>
        <v/>
      </c>
      <c r="BN111" s="2136">
        <f>IF(OR(INDEX(SP_CFA_CFO,0,COLUMN())&lt;=0,BI60&lt;=0),"NMF",IF(ABS((INDEX(SP_CFA_CFO,0,COLUMN())/INDEX(SP_GF_ShareCount,0,COLUMN()))/(BI60/BI42)-1)&gt;10,"NMF",(INDEX(SP_CFA_CFO,0,COLUMN())/INDEX(SP_GF_ShareCount,0,COLUMN()))/(BI60/BI42)-1))</f>
        <v/>
      </c>
      <c r="BO111" s="2218">
        <f>IF(OR(INDEX(SP_CFA_CFO,0,COLUMN())&lt;=0,BJ60&lt;=0),"NMF",IF(ABS((INDEX(SP_CFA_CFO,0,COLUMN())/INDEX(SP_GF_ShareCount,0,COLUMN()))/(BJ60/BJ42)-1)&gt;10,"NMF",(INDEX(SP_CFA_CFO,0,COLUMN())/INDEX(SP_GF_ShareCount,0,COLUMN()))/(BJ60/BJ42)-1))</f>
        <v/>
      </c>
      <c r="BP111" s="2218">
        <f>IF(OR(INDEX(SP_CFA_CFO,0,COLUMN())&lt;=0,BK60&lt;=0),"NMF",IF(ABS((INDEX(SP_CFA_CFO,0,COLUMN())/INDEX(SP_GF_ShareCount,0,COLUMN()))/(BK60/BK42)-1)&gt;10,"NMF",(INDEX(SP_CFA_CFO,0,COLUMN())/INDEX(SP_GF_ShareCount,0,COLUMN()))/(BK60/BK42)-1))</f>
        <v/>
      </c>
      <c r="BQ111" s="2219">
        <f>IF(OR(INDEX(SP_CFA_CFO,0,COLUMN())&lt;=0,BL60&lt;=0),"NMF",IF(ABS((INDEX(SP_CFA_CFO,0,COLUMN())/INDEX(SP_GF_ShareCount,0,COLUMN()))/(BL60/BL42)-1)&gt;10,"NMF",(INDEX(SP_CFA_CFO,0,COLUMN())/INDEX(SP_GF_ShareCount,0,COLUMN()))/(BL60/BL42)-1))</f>
        <v/>
      </c>
      <c r="BR111" s="2218">
        <f>IF(OR(INDEX(SP_CFA_CFO,0,COLUMN())&lt;=0,BM60&lt;=0),"NMF",IF(ABS((INDEX(SP_CFA_CFO,0,COLUMN())/INDEX(SP_GF_ShareCount,0,COLUMN()))/(BM60/BM42)-1)&gt;10,"NMF",(INDEX(SP_CFA_CFO,0,COLUMN())/INDEX(SP_GF_ShareCount,0,COLUMN()))/(BM60/BM42)-1))</f>
        <v/>
      </c>
      <c r="BS111" s="2136">
        <f>IF(OR(INDEX(SP_CFA_CFO,0,COLUMN())&lt;=0,BN60&lt;=0),"NMF",IF(ABS((INDEX(SP_CFA_CFO,0,COLUMN())/INDEX(SP_GF_ShareCount,0,COLUMN()))/(BN60/BN42)-1)&gt;10,"NMF",(INDEX(SP_CFA_CFO,0,COLUMN())/INDEX(SP_GF_ShareCount,0,COLUMN()))/(BN60/BN42)-1))</f>
        <v/>
      </c>
      <c r="BT111" s="2218">
        <f>IF(OR(INDEX(SP_CFA_CFO,0,COLUMN())&lt;=0,BO60&lt;=0),"NMF",IF(ABS((INDEX(SP_CFA_CFO,0,COLUMN())/INDEX(SP_GF_ShareCount,0,COLUMN()))/(BO60/BO42)-1)&gt;10,"NMF",(INDEX(SP_CFA_CFO,0,COLUMN())/INDEX(SP_GF_ShareCount,0,COLUMN()))/(BO60/BO42)-1))</f>
        <v/>
      </c>
      <c r="BU111" s="2218">
        <f>IF(OR(INDEX(SP_CFA_CFO,0,COLUMN())&lt;=0,BP60&lt;=0),"NMF",IF(ABS((INDEX(SP_CFA_CFO,0,COLUMN())/INDEX(SP_GF_ShareCount,0,COLUMN()))/(BP60/BP42)-1)&gt;10,"NMF",(INDEX(SP_CFA_CFO,0,COLUMN())/INDEX(SP_GF_ShareCount,0,COLUMN()))/(BP60/BP42)-1))</f>
        <v/>
      </c>
      <c r="BV111" s="2218">
        <f>IF(OR(INDEX(SP_CFA_CFO,0,COLUMN())&lt;=0,BQ60&lt;=0),"NMF",IF(ABS((INDEX(SP_CFA_CFO,0,COLUMN())/INDEX(SP_GF_ShareCount,0,COLUMN()))/(BQ60/BQ42)-1)&gt;10,"NMF",(INDEX(SP_CFA_CFO,0,COLUMN())/INDEX(SP_GF_ShareCount,0,COLUMN()))/(BQ60/BQ42)-1))</f>
        <v/>
      </c>
      <c r="BW111" s="2218">
        <f>IF(OR(INDEX(SP_CFA_CFO,0,COLUMN())&lt;=0,BR60&lt;=0),"NMF",IF(ABS((INDEX(SP_CFA_CFO,0,COLUMN())/INDEX(SP_GF_ShareCount,0,COLUMN()))/(BR60/BR42)-1)&gt;10,"NMF",(INDEX(SP_CFA_CFO,0,COLUMN())/INDEX(SP_GF_ShareCount,0,COLUMN()))/(BR60/BR42)-1))</f>
        <v/>
      </c>
      <c r="BX111" s="2136">
        <f>IF(OR(INDEX(SP_CFA_CFO,0,COLUMN())&lt;=0,BS60&lt;=0),"NMF",IF(ABS((INDEX(SP_CFA_CFO,0,COLUMN())/INDEX(SP_GF_ShareCount,0,COLUMN()))/(BS60/BS42)-1)&gt;10,"NMF",(INDEX(SP_CFA_CFO,0,COLUMN())/INDEX(SP_GF_ShareCount,0,COLUMN()))/(BS60/BS42)-1))</f>
        <v/>
      </c>
      <c r="BY111" s="2136">
        <f>IF(OR(INDEX(SP_CFA_CFO,0,COLUMN())&lt;=0,BX60&lt;=0),"NMF",IF(ABS((INDEX(SP_CFA_CFO,0,COLUMN())/INDEX(SP_GF_ShareCount,0,COLUMN()))/(BX60/BX42)-1)&gt;10,"NMF",(INDEX(SP_CFA_CFO,0,COLUMN())/INDEX(SP_GF_ShareCount,0,COLUMN()))/(BX60/BX42)-1))</f>
        <v/>
      </c>
      <c r="BZ111" s="2136">
        <f>IF(OR(INDEX(SP_CFA_CFO,0,COLUMN())&lt;=0,BY60&lt;=0),"NMF",IF(ABS((INDEX(SP_CFA_CFO,0,COLUMN())/INDEX(SP_GF_ShareCount,0,COLUMN()))/(BY60/BY42)-1)&gt;10,"NMF",(INDEX(SP_CFA_CFO,0,COLUMN())/INDEX(SP_GF_ShareCount,0,COLUMN()))/(BY60/BY42)-1))</f>
        <v/>
      </c>
      <c r="CA111" s="2136">
        <f>IF(OR(INDEX(SP_CFA_CFO,0,COLUMN())&lt;=0,BZ60&lt;=0),"NMF",IF(ABS((INDEX(SP_CFA_CFO,0,COLUMN())/INDEX(SP_GF_ShareCount,0,COLUMN()))/(BZ60/BZ42)-1)&gt;10,"NMF",(INDEX(SP_CFA_CFO,0,COLUMN())/INDEX(SP_GF_ShareCount,0,COLUMN()))/(BZ60/BZ42)-1))</f>
        <v/>
      </c>
      <c r="CB111" s="2109" t="n"/>
    </row>
    <row r="112" ht="15" customFormat="1" customHeight="1" s="2165">
      <c r="A112" s="2160" t="inlineStr">
        <is>
          <t>Free Cash Flow Per Share Growth</t>
        </is>
      </c>
      <c r="B112" s="2216" t="n"/>
      <c r="C112" s="2136" t="n"/>
      <c r="D112" s="2136">
        <f>IF(OR(INDEX(SP_CFA_FCF_PreDiv,0,COLUMN())&lt;=0,C62&lt;=0),"NMF",IF(ABS((INDEX(SP_CFA_FCF_PreDiv,0,COLUMN())/INDEX(SP_GF_ShareCount,0,COLUMN()))/(C62/C42)-1)&gt;10,"NMF",(INDEX(SP_CFA_FCF_PreDiv,0,COLUMN())/INDEX(SP_GF_ShareCount,0,COLUMN()))/(C62/C42)-1))</f>
        <v/>
      </c>
      <c r="E112" s="2136">
        <f>IF(OR(INDEX(SP_CFA_FCF_PreDiv,0,COLUMN())&lt;=0,D62&lt;=0),"NMF",IF(ABS((INDEX(SP_CFA_FCF_PreDiv,0,COLUMN())/INDEX(SP_GF_ShareCount,0,COLUMN()))/(D62/D42)-1)&gt;10,"NMF",(INDEX(SP_CFA_FCF_PreDiv,0,COLUMN())/INDEX(SP_GF_ShareCount,0,COLUMN()))/(D62/D42)-1))</f>
        <v/>
      </c>
      <c r="F112" s="2136">
        <f>IF(OR(INDEX(SP_CFA_FCF_PreDiv,0,COLUMN())&lt;=0,E62&lt;=0),"NMF",IF(ABS((INDEX(SP_CFA_FCF_PreDiv,0,COLUMN())/INDEX(SP_GF_ShareCount,0,COLUMN()))/(E62/E42)-1)&gt;10,"NMF",(INDEX(SP_CFA_FCF_PreDiv,0,COLUMN())/INDEX(SP_GF_ShareCount,0,COLUMN()))/(E62/E42)-1))</f>
        <v/>
      </c>
      <c r="G112" s="2218" t="n"/>
      <c r="H112" s="2218" t="n"/>
      <c r="I112" s="2218" t="n"/>
      <c r="J112" s="2218" t="n"/>
      <c r="K112" s="2136">
        <f>IF(OR(INDEX(SP_CFA_FCF_PreDiv,0,COLUMN())&lt;=0,F62&lt;=0),"NMF",IF(ABS((INDEX(SP_CFA_FCF_PreDiv,0,COLUMN())/INDEX(SP_GF_ShareCount,0,COLUMN()))/(F62/F42)-1)&gt;10,"NMF",(INDEX(SP_CFA_FCF_PreDiv,0,COLUMN())/INDEX(SP_GF_ShareCount,0,COLUMN()))/(F62/F42)-1))</f>
        <v/>
      </c>
      <c r="L112" s="2218">
        <f>IF(OR(INDEX(SP_CFA_FCF_PreDiv,0,COLUMN())&lt;=0,G62&lt;=0),"NMF",IF(ABS((INDEX(SP_CFA_FCF_PreDiv,0,COLUMN())/INDEX(SP_GF_ShareCount,0,COLUMN()))/(G62/G42)-1)&gt;10,"NMF",(INDEX(SP_CFA_FCF_PreDiv,0,COLUMN())/INDEX(SP_GF_ShareCount,0,COLUMN()))/(G62/G42)-1))</f>
        <v/>
      </c>
      <c r="M112" s="2218">
        <f>IF(OR(INDEX(SP_CFA_FCF_PreDiv,0,COLUMN())&lt;=0,H62&lt;=0),"NMF",IF(ABS((INDEX(SP_CFA_FCF_PreDiv,0,COLUMN())/INDEX(SP_GF_ShareCount,0,COLUMN()))/(H62/H42)-1)&gt;10,"NMF",(INDEX(SP_CFA_FCF_PreDiv,0,COLUMN())/INDEX(SP_GF_ShareCount,0,COLUMN()))/(H62/H42)-1))</f>
        <v/>
      </c>
      <c r="N112" s="2218">
        <f>IF(OR(INDEX(SP_CFA_FCF_PreDiv,0,COLUMN())&lt;=0,I62&lt;=0),"NMF",IF(ABS((INDEX(SP_CFA_FCF_PreDiv,0,COLUMN())/INDEX(SP_GF_ShareCount,0,COLUMN()))/(I62/I42)-1)&gt;10,"NMF",(INDEX(SP_CFA_FCF_PreDiv,0,COLUMN())/INDEX(SP_GF_ShareCount,0,COLUMN()))/(I62/I42)-1))</f>
        <v/>
      </c>
      <c r="O112" s="2218">
        <f>IF(OR(INDEX(SP_CFA_FCF_PreDiv,0,COLUMN())&lt;=0,J62&lt;=0),"NMF",IF(ABS((INDEX(SP_CFA_FCF_PreDiv,0,COLUMN())/INDEX(SP_GF_ShareCount,0,COLUMN()))/(J62/J42)-1)&gt;10,"NMF",(INDEX(SP_CFA_FCF_PreDiv,0,COLUMN())/INDEX(SP_GF_ShareCount,0,COLUMN()))/(J62/J42)-1))</f>
        <v/>
      </c>
      <c r="P112" s="2136">
        <f>IF(OR(INDEX(SP_CFA_FCF_PreDiv,0,COLUMN())&lt;=0,K62&lt;=0),"NMF",IF(ABS((INDEX(SP_CFA_FCF_PreDiv,0,COLUMN())/INDEX(SP_GF_ShareCount,0,COLUMN()))/(K62/K42)-1)&gt;10,"NMF",(INDEX(SP_CFA_FCF_PreDiv,0,COLUMN())/INDEX(SP_GF_ShareCount,0,COLUMN()))/(K62/K42)-1))</f>
        <v/>
      </c>
      <c r="Q112" s="2218">
        <f>IF(OR(INDEX(SP_CFA_FCF_PreDiv,0,COLUMN())&lt;=0,L62&lt;=0),"NMF",IF(ABS((INDEX(SP_CFA_FCF_PreDiv,0,COLUMN())/INDEX(SP_GF_ShareCount,0,COLUMN()))/(L62/L42)-1)&gt;10,"NMF",(INDEX(SP_CFA_FCF_PreDiv,0,COLUMN())/INDEX(SP_GF_ShareCount,0,COLUMN()))/(L62/L42)-1))</f>
        <v/>
      </c>
      <c r="R112" s="2218">
        <f>IF(OR(INDEX(SP_CFA_FCF_PreDiv,0,COLUMN())&lt;=0,M62&lt;=0),"NMF",IF(ABS((INDEX(SP_CFA_FCF_PreDiv,0,COLUMN())/INDEX(SP_GF_ShareCount,0,COLUMN()))/(M62/M42)-1)&gt;10,"NMF",(INDEX(SP_CFA_FCF_PreDiv,0,COLUMN())/INDEX(SP_GF_ShareCount,0,COLUMN()))/(M62/M42)-1))</f>
        <v/>
      </c>
      <c r="S112" s="2218">
        <f>IF(OR(INDEX(SP_CFA_FCF_PreDiv,0,COLUMN())&lt;=0,N62&lt;=0),"NMF",IF(ABS((INDEX(SP_CFA_FCF_PreDiv,0,COLUMN())/INDEX(SP_GF_ShareCount,0,COLUMN()))/(N62/N42)-1)&gt;10,"NMF",(INDEX(SP_CFA_FCF_PreDiv,0,COLUMN())/INDEX(SP_GF_ShareCount,0,COLUMN()))/(N62/N42)-1))</f>
        <v/>
      </c>
      <c r="T112" s="2218">
        <f>IF(OR(INDEX(SP_CFA_FCF_PreDiv,0,COLUMN())&lt;=0,O62&lt;=0),"NMF",IF(ABS((INDEX(SP_CFA_FCF_PreDiv,0,COLUMN())/INDEX(SP_GF_ShareCount,0,COLUMN()))/(O62/O42)-1)&gt;10,"NMF",(INDEX(SP_CFA_FCF_PreDiv,0,COLUMN())/INDEX(SP_GF_ShareCount,0,COLUMN()))/(O62/O42)-1))</f>
        <v/>
      </c>
      <c r="U112" s="2136">
        <f>IF(OR(INDEX(SP_CFA_FCF_PreDiv,0,COLUMN())&lt;=0,P62&lt;=0),"NMF",IF(ABS((INDEX(SP_CFA_FCF_PreDiv,0,COLUMN())/INDEX(SP_GF_ShareCount,0,COLUMN()))/(P62/P42)-1)&gt;10,"NMF",(INDEX(SP_CFA_FCF_PreDiv,0,COLUMN())/INDEX(SP_GF_ShareCount,0,COLUMN()))/(P62/P42)-1))</f>
        <v/>
      </c>
      <c r="V112" s="2218">
        <f>IF(OR(INDEX(SP_CFA_FCF_PreDiv,0,COLUMN())&lt;=0,Q62&lt;=0),"NMF",IF(ABS((INDEX(SP_CFA_FCF_PreDiv,0,COLUMN())/INDEX(SP_GF_ShareCount,0,COLUMN()))/(Q62/Q42)-1)&gt;10,"NMF",(INDEX(SP_CFA_FCF_PreDiv,0,COLUMN())/INDEX(SP_GF_ShareCount,0,COLUMN()))/(Q62/Q42)-1))</f>
        <v/>
      </c>
      <c r="W112" s="2218">
        <f>IF(OR(INDEX(SP_CFA_FCF_PreDiv,0,COLUMN())&lt;=0,R62&lt;=0),"NMF",IF(ABS((INDEX(SP_CFA_FCF_PreDiv,0,COLUMN())/INDEX(SP_GF_ShareCount,0,COLUMN()))/(R62/R42)-1)&gt;10,"NMF",(INDEX(SP_CFA_FCF_PreDiv,0,COLUMN())/INDEX(SP_GF_ShareCount,0,COLUMN()))/(R62/R42)-1))</f>
        <v/>
      </c>
      <c r="X112" s="2218">
        <f>IF(OR(INDEX(SP_CFA_FCF_PreDiv,0,COLUMN())&lt;=0,S62&lt;=0),"NMF",IF(ABS((INDEX(SP_CFA_FCF_PreDiv,0,COLUMN())/INDEX(SP_GF_ShareCount,0,COLUMN()))/(S62/S42)-1)&gt;10,"NMF",(INDEX(SP_CFA_FCF_PreDiv,0,COLUMN())/INDEX(SP_GF_ShareCount,0,COLUMN()))/(S62/S42)-1))</f>
        <v/>
      </c>
      <c r="Y112" s="2218">
        <f>IF(OR(INDEX(SP_CFA_FCF_PreDiv,0,COLUMN())&lt;=0,T62&lt;=0),"NMF",IF(ABS((INDEX(SP_CFA_FCF_PreDiv,0,COLUMN())/INDEX(SP_GF_ShareCount,0,COLUMN()))/(T62/T42)-1)&gt;10,"NMF",(INDEX(SP_CFA_FCF_PreDiv,0,COLUMN())/INDEX(SP_GF_ShareCount,0,COLUMN()))/(T62/T42)-1))</f>
        <v/>
      </c>
      <c r="Z112" s="2136">
        <f>IF(OR(INDEX(SP_CFA_FCF_PreDiv,0,COLUMN())&lt;=0,U62&lt;=0),"NMF",IF(ABS((INDEX(SP_CFA_FCF_PreDiv,0,COLUMN())/INDEX(SP_GF_ShareCount,0,COLUMN()))/(U62/U42)-1)&gt;10,"NMF",(INDEX(SP_CFA_FCF_PreDiv,0,COLUMN())/INDEX(SP_GF_ShareCount,0,COLUMN()))/(U62/U42)-1))</f>
        <v/>
      </c>
      <c r="AA112" s="2218">
        <f>IF(OR(INDEX(SP_CFA_FCF_PreDiv,0,COLUMN())&lt;=0,V62&lt;=0),"NMF",IF(ABS((INDEX(SP_CFA_FCF_PreDiv,0,COLUMN())/INDEX(SP_GF_ShareCount,0,COLUMN()))/(V62/V42)-1)&gt;10,"NMF",(INDEX(SP_CFA_FCF_PreDiv,0,COLUMN())/INDEX(SP_GF_ShareCount,0,COLUMN()))/(V62/V42)-1))</f>
        <v/>
      </c>
      <c r="AB112" s="2218">
        <f>IF(OR(INDEX(SP_CFA_FCF_PreDiv,0,COLUMN())&lt;=0,W62&lt;=0),"NMF",IF(ABS((INDEX(SP_CFA_FCF_PreDiv,0,COLUMN())/INDEX(SP_GF_ShareCount,0,COLUMN()))/(W62/W42)-1)&gt;10,"NMF",(INDEX(SP_CFA_FCF_PreDiv,0,COLUMN())/INDEX(SP_GF_ShareCount,0,COLUMN()))/(W62/W42)-1))</f>
        <v/>
      </c>
      <c r="AC112" s="2218">
        <f>IF(OR(INDEX(SP_CFA_FCF_PreDiv,0,COLUMN())&lt;=0,X62&lt;=0),"NMF",IF(ABS((INDEX(SP_CFA_FCF_PreDiv,0,COLUMN())/INDEX(SP_GF_ShareCount,0,COLUMN()))/(X62/X42)-1)&gt;10,"NMF",(INDEX(SP_CFA_FCF_PreDiv,0,COLUMN())/INDEX(SP_GF_ShareCount,0,COLUMN()))/(X62/X42)-1))</f>
        <v/>
      </c>
      <c r="AD112" s="2218">
        <f>IF(OR(INDEX(SP_CFA_FCF_PreDiv,0,COLUMN())&lt;=0,Y62&lt;=0),"NMF",IF(ABS((INDEX(SP_CFA_FCF_PreDiv,0,COLUMN())/INDEX(SP_GF_ShareCount,0,COLUMN()))/(Y62/Y42)-1)&gt;10,"NMF",(INDEX(SP_CFA_FCF_PreDiv,0,COLUMN())/INDEX(SP_GF_ShareCount,0,COLUMN()))/(Y62/Y42)-1))</f>
        <v/>
      </c>
      <c r="AE112" s="2136">
        <f>IF(OR(INDEX(SP_CFA_FCF_PreDiv,0,COLUMN())&lt;=0,Z62&lt;=0),"NMF",IF(ABS((INDEX(SP_CFA_FCF_PreDiv,0,COLUMN())/INDEX(SP_GF_ShareCount,0,COLUMN()))/(Z62/Z42)-1)&gt;10,"NMF",(INDEX(SP_CFA_FCF_PreDiv,0,COLUMN())/INDEX(SP_GF_ShareCount,0,COLUMN()))/(Z62/Z42)-1))</f>
        <v/>
      </c>
      <c r="AF112" s="2218">
        <f>IF(OR(INDEX(SP_CFA_FCF_PreDiv,0,COLUMN())&lt;=0,AA62&lt;=0),"NMF",IF(ABS((INDEX(SP_CFA_FCF_PreDiv,0,COLUMN())/INDEX(SP_GF_ShareCount,0,COLUMN()))/(AA62/AA42)-1)&gt;10,"NMF",(INDEX(SP_CFA_FCF_PreDiv,0,COLUMN())/INDEX(SP_GF_ShareCount,0,COLUMN()))/(AA62/AA42)-1))</f>
        <v/>
      </c>
      <c r="AG112" s="2218">
        <f>IF(OR(INDEX(SP_CFA_FCF_PreDiv,0,COLUMN())&lt;=0,AB62&lt;=0),"NMF",IF(ABS((INDEX(SP_CFA_FCF_PreDiv,0,COLUMN())/INDEX(SP_GF_ShareCount,0,COLUMN()))/(AB62/AB42)-1)&gt;10,"NMF",(INDEX(SP_CFA_FCF_PreDiv,0,COLUMN())/INDEX(SP_GF_ShareCount,0,COLUMN()))/(AB62/AB42)-1))</f>
        <v/>
      </c>
      <c r="AH112" s="2218">
        <f>IF(OR(INDEX(SP_CFA_FCF_PreDiv,0,COLUMN())&lt;=0,AC62&lt;=0),"NMF",IF(ABS((INDEX(SP_CFA_FCF_PreDiv,0,COLUMN())/INDEX(SP_GF_ShareCount,0,COLUMN()))/(AC62/AC42)-1)&gt;10,"NMF",(INDEX(SP_CFA_FCF_PreDiv,0,COLUMN())/INDEX(SP_GF_ShareCount,0,COLUMN()))/(AC62/AC42)-1))</f>
        <v/>
      </c>
      <c r="AI112" s="2218">
        <f>IF(OR(INDEX(SP_CFA_FCF_PreDiv,0,COLUMN())&lt;=0,AD62&lt;=0),"NMF",IF(ABS((INDEX(SP_CFA_FCF_PreDiv,0,COLUMN())/INDEX(SP_GF_ShareCount,0,COLUMN()))/(AD62/AD42)-1)&gt;10,"NMF",(INDEX(SP_CFA_FCF_PreDiv,0,COLUMN())/INDEX(SP_GF_ShareCount,0,COLUMN()))/(AD62/AD42)-1))</f>
        <v/>
      </c>
      <c r="AJ112" s="2136">
        <f>IF(OR(INDEX(SP_CFA_FCF_PreDiv,0,COLUMN())&lt;=0,AE62&lt;=0),"NMF",IF(ABS((INDEX(SP_CFA_FCF_PreDiv,0,COLUMN())/INDEX(SP_GF_ShareCount,0,COLUMN()))/(AE62/AE42)-1)&gt;10,"NMF",(INDEX(SP_CFA_FCF_PreDiv,0,COLUMN())/INDEX(SP_GF_ShareCount,0,COLUMN()))/(AE62/AE42)-1))</f>
        <v/>
      </c>
      <c r="AK112" s="2218">
        <f>IF(OR(INDEX(SP_CFA_FCF_PreDiv,0,COLUMN())&lt;=0,AF62&lt;=0),"NMF",IF(ABS((INDEX(SP_CFA_FCF_PreDiv,0,COLUMN())/INDEX(SP_GF_ShareCount,0,COLUMN()))/(AF62/AF42)-1)&gt;10,"NMF",(INDEX(SP_CFA_FCF_PreDiv,0,COLUMN())/INDEX(SP_GF_ShareCount,0,COLUMN()))/(AF62/AF42)-1))</f>
        <v/>
      </c>
      <c r="AL112" s="2218">
        <f>IF(OR(INDEX(SP_CFA_FCF_PreDiv,0,COLUMN())&lt;=0,AG62&lt;=0),"NMF",IF(ABS((INDEX(SP_CFA_FCF_PreDiv,0,COLUMN())/INDEX(SP_GF_ShareCount,0,COLUMN()))/(AG62/AG42)-1)&gt;10,"NMF",(INDEX(SP_CFA_FCF_PreDiv,0,COLUMN())/INDEX(SP_GF_ShareCount,0,COLUMN()))/(AG62/AG42)-1))</f>
        <v/>
      </c>
      <c r="AM112" s="2218">
        <f>IF(OR(INDEX(SP_CFA_FCF_PreDiv,0,COLUMN())&lt;=0,AH62&lt;=0),"NMF",IF(ABS((INDEX(SP_CFA_FCF_PreDiv,0,COLUMN())/INDEX(SP_GF_ShareCount,0,COLUMN()))/(AH62/AH42)-1)&gt;10,"NMF",(INDEX(SP_CFA_FCF_PreDiv,0,COLUMN())/INDEX(SP_GF_ShareCount,0,COLUMN()))/(AH62/AH42)-1))</f>
        <v/>
      </c>
      <c r="AN112" s="2218">
        <f>IF(OR(INDEX(SP_CFA_FCF_PreDiv,0,COLUMN())&lt;=0,AI62&lt;=0),"NMF",IF(ABS((INDEX(SP_CFA_FCF_PreDiv,0,COLUMN())/INDEX(SP_GF_ShareCount,0,COLUMN()))/(AI62/AI42)-1)&gt;10,"NMF",(INDEX(SP_CFA_FCF_PreDiv,0,COLUMN())/INDEX(SP_GF_ShareCount,0,COLUMN()))/(AI62/AI42)-1))</f>
        <v/>
      </c>
      <c r="AO112" s="2136">
        <f>IF(OR(INDEX(SP_CFA_FCF_PreDiv,0,COLUMN())&lt;=0,AJ62&lt;=0),"NMF",IF(ABS((INDEX(SP_CFA_FCF_PreDiv,0,COLUMN())/INDEX(SP_GF_ShareCount,0,COLUMN()))/(AJ62/AJ42)-1)&gt;10,"NMF",(INDEX(SP_CFA_FCF_PreDiv,0,COLUMN())/INDEX(SP_GF_ShareCount,0,COLUMN()))/(AJ62/AJ42)-1))</f>
        <v/>
      </c>
      <c r="AP112" s="2218">
        <f>IF(OR(INDEX(SP_CFA_FCF_PreDiv,0,COLUMN())&lt;=0,AK62&lt;=0),"NMF",IF(ABS((INDEX(SP_CFA_FCF_PreDiv,0,COLUMN())/INDEX(SP_GF_ShareCount,0,COLUMN()))/(AK62/AK42)-1)&gt;10,"NMF",(INDEX(SP_CFA_FCF_PreDiv,0,COLUMN())/INDEX(SP_GF_ShareCount,0,COLUMN()))/(AK62/AK42)-1))</f>
        <v/>
      </c>
      <c r="AQ112" s="2218">
        <f>IF(OR(INDEX(SP_CFA_FCF_PreDiv,0,COLUMN())&lt;=0,AL62&lt;=0),"NMF",IF(ABS((INDEX(SP_CFA_FCF_PreDiv,0,COLUMN())/INDEX(SP_GF_ShareCount,0,COLUMN()))/(AL62/AL42)-1)&gt;10,"NMF",(INDEX(SP_CFA_FCF_PreDiv,0,COLUMN())/INDEX(SP_GF_ShareCount,0,COLUMN()))/(AL62/AL42)-1))</f>
        <v/>
      </c>
      <c r="AR112" s="2218">
        <f>IF(OR(INDEX(SP_CFA_FCF_PreDiv,0,COLUMN())&lt;=0,AM62&lt;=0),"NMF",IF(ABS((INDEX(SP_CFA_FCF_PreDiv,0,COLUMN())/INDEX(SP_GF_ShareCount,0,COLUMN()))/(AM62/AM42)-1)&gt;10,"NMF",(INDEX(SP_CFA_FCF_PreDiv,0,COLUMN())/INDEX(SP_GF_ShareCount,0,COLUMN()))/(AM62/AM42)-1))</f>
        <v/>
      </c>
      <c r="AS112" s="2218">
        <f>IF(OR(INDEX(SP_CFA_FCF_PreDiv,0,COLUMN())&lt;=0,AN62&lt;=0),"NMF",IF(ABS((INDEX(SP_CFA_FCF_PreDiv,0,COLUMN())/INDEX(SP_GF_ShareCount,0,COLUMN()))/(AN62/AN42)-1)&gt;10,"NMF",(INDEX(SP_CFA_FCF_PreDiv,0,COLUMN())/INDEX(SP_GF_ShareCount,0,COLUMN()))/(AN62/AN42)-1))</f>
        <v/>
      </c>
      <c r="AT112" s="2136">
        <f>IF(OR(INDEX(SP_CFA_FCF_PreDiv,0,COLUMN())&lt;=0,AO62&lt;=0),"NMF",IF(ABS((INDEX(SP_CFA_FCF_PreDiv,0,COLUMN())/INDEX(SP_GF_ShareCount,0,COLUMN()))/(AO62/AO42)-1)&gt;10,"NMF",(INDEX(SP_CFA_FCF_PreDiv,0,COLUMN())/INDEX(SP_GF_ShareCount,0,COLUMN()))/(AO62/AO42)-1))</f>
        <v/>
      </c>
      <c r="AU112" s="2218">
        <f>IF(OR(INDEX(SP_CFA_FCF_PreDiv,0,COLUMN())&lt;=0,AP62&lt;=0),"NMF",IF(ABS((INDEX(SP_CFA_FCF_PreDiv,0,COLUMN())/INDEX(SP_GF_ShareCount,0,COLUMN()))/(AP62/AP42)-1)&gt;10,"NMF",(INDEX(SP_CFA_FCF_PreDiv,0,COLUMN())/INDEX(SP_GF_ShareCount,0,COLUMN()))/(AP62/AP42)-1))</f>
        <v/>
      </c>
      <c r="AV112" s="2218">
        <f>IF(OR(INDEX(SP_CFA_FCF_PreDiv,0,COLUMN())&lt;=0,AQ62&lt;=0),"NMF",IF(ABS((INDEX(SP_CFA_FCF_PreDiv,0,COLUMN())/INDEX(SP_GF_ShareCount,0,COLUMN()))/(AQ62/AQ42)-1)&gt;10,"NMF",(INDEX(SP_CFA_FCF_PreDiv,0,COLUMN())/INDEX(SP_GF_ShareCount,0,COLUMN()))/(AQ62/AQ42)-1))</f>
        <v/>
      </c>
      <c r="AW112" s="2218">
        <f>IF(OR(INDEX(SP_CFA_FCF_PreDiv,0,COLUMN())&lt;=0,AR62&lt;=0),"NMF",IF(ABS((INDEX(SP_CFA_FCF_PreDiv,0,COLUMN())/INDEX(SP_GF_ShareCount,0,COLUMN()))/(AR62/AR42)-1)&gt;10,"NMF",(INDEX(SP_CFA_FCF_PreDiv,0,COLUMN())/INDEX(SP_GF_ShareCount,0,COLUMN()))/(AR62/AR42)-1))</f>
        <v/>
      </c>
      <c r="AX112" s="2218">
        <f>IF(OR(INDEX(SP_CFA_FCF_PreDiv,0,COLUMN())&lt;=0,AS62&lt;=0),"NMF",IF(ABS((INDEX(SP_CFA_FCF_PreDiv,0,COLUMN())/INDEX(SP_GF_ShareCount,0,COLUMN()))/(AS62/AS42)-1)&gt;10,"NMF",(INDEX(SP_CFA_FCF_PreDiv,0,COLUMN())/INDEX(SP_GF_ShareCount,0,COLUMN()))/(AS62/AS42)-1))</f>
        <v/>
      </c>
      <c r="AY112" s="2136">
        <f>IF(OR(INDEX(SP_CFA_FCF_PreDiv,0,COLUMN())&lt;=0,AT62&lt;=0),"NMF",IF(ABS((INDEX(SP_CFA_FCF_PreDiv,0,COLUMN())/INDEX(SP_GF_ShareCount,0,COLUMN()))/(AT62/AT42)-1)&gt;10,"NMF",(INDEX(SP_CFA_FCF_PreDiv,0,COLUMN())/INDEX(SP_GF_ShareCount,0,COLUMN()))/(AT62/AT42)-1))</f>
        <v/>
      </c>
      <c r="AZ112" s="2218">
        <f>IF(OR(INDEX(SP_CFA_FCF_PreDiv,0,COLUMN())&lt;=0,AU62&lt;=0),"NMF",IF(ABS((INDEX(SP_CFA_FCF_PreDiv,0,COLUMN())/INDEX(SP_GF_ShareCount,0,COLUMN()))/(AU62/AU42)-1)&gt;10,"NMF",(INDEX(SP_CFA_FCF_PreDiv,0,COLUMN())/INDEX(SP_GF_ShareCount,0,COLUMN()))/(AU62/AU42)-1))</f>
        <v/>
      </c>
      <c r="BA112" s="2218">
        <f>IF(OR(INDEX(SP_CFA_FCF_PreDiv,0,COLUMN())&lt;=0,AV62&lt;=0),"NMF",IF(ABS((INDEX(SP_CFA_FCF_PreDiv,0,COLUMN())/INDEX(SP_GF_ShareCount,0,COLUMN()))/(AV62/AV42)-1)&gt;10,"NMF",(INDEX(SP_CFA_FCF_PreDiv,0,COLUMN())/INDEX(SP_GF_ShareCount,0,COLUMN()))/(AV62/AV42)-1))</f>
        <v/>
      </c>
      <c r="BB112" s="2218">
        <f>IF(OR(INDEX(SP_CFA_FCF_PreDiv,0,COLUMN())&lt;=0,AW62&lt;=0),"NMF",IF(ABS((INDEX(SP_CFA_FCF_PreDiv,0,COLUMN())/INDEX(SP_GF_ShareCount,0,COLUMN()))/(AW62/AW42)-1)&gt;10,"NMF",(INDEX(SP_CFA_FCF_PreDiv,0,COLUMN())/INDEX(SP_GF_ShareCount,0,COLUMN()))/(AW62/AW42)-1))</f>
        <v/>
      </c>
      <c r="BC112" s="2218">
        <f>IF(OR(INDEX(SP_CFA_FCF_PreDiv,0,COLUMN())&lt;=0,AX62&lt;=0),"NMF",IF(ABS((INDEX(SP_CFA_FCF_PreDiv,0,COLUMN())/INDEX(SP_GF_ShareCount,0,COLUMN()))/(AX62/AX42)-1)&gt;10,"NMF",(INDEX(SP_CFA_FCF_PreDiv,0,COLUMN())/INDEX(SP_GF_ShareCount,0,COLUMN()))/(AX62/AX42)-1))</f>
        <v/>
      </c>
      <c r="BD112" s="2136">
        <f>IF(OR(INDEX(SP_CFA_FCF_PreDiv,0,COLUMN())&lt;=0,AY62&lt;=0),"NMF",IF(ABS((INDEX(SP_CFA_FCF_PreDiv,0,COLUMN())/INDEX(SP_GF_ShareCount,0,COLUMN()))/(AY62/AY42)-1)&gt;10,"NMF",(INDEX(SP_CFA_FCF_PreDiv,0,COLUMN())/INDEX(SP_GF_ShareCount,0,COLUMN()))/(AY62/AY42)-1))</f>
        <v/>
      </c>
      <c r="BE112" s="2218">
        <f>IF(OR(INDEX(SP_CFA_FCF_PreDiv,0,COLUMN())&lt;=0,AZ62&lt;=0),"NMF",IF(ABS((INDEX(SP_CFA_FCF_PreDiv,0,COLUMN())/INDEX(SP_GF_ShareCount,0,COLUMN()))/(AZ62/AZ42)-1)&gt;10,"NMF",(INDEX(SP_CFA_FCF_PreDiv,0,COLUMN())/INDEX(SP_GF_ShareCount,0,COLUMN()))/(AZ62/AZ42)-1))</f>
        <v/>
      </c>
      <c r="BF112" s="2218">
        <f>IF(OR(INDEX(SP_CFA_FCF_PreDiv,0,COLUMN())&lt;=0,BA62&lt;=0),"NMF",IF(ABS((INDEX(SP_CFA_FCF_PreDiv,0,COLUMN())/INDEX(SP_GF_ShareCount,0,COLUMN()))/(BA62/BA42)-1)&gt;10,"NMF",(INDEX(SP_CFA_FCF_PreDiv,0,COLUMN())/INDEX(SP_GF_ShareCount,0,COLUMN()))/(BA62/BA42)-1))</f>
        <v/>
      </c>
      <c r="BG112" s="2218">
        <f>IF(OR(INDEX(SP_CFA_FCF_PreDiv,0,COLUMN())&lt;=0,BB62&lt;=0),"NMF",IF(ABS((INDEX(SP_CFA_FCF_PreDiv,0,COLUMN())/INDEX(SP_GF_ShareCount,0,COLUMN()))/(BB62/BB42)-1)&gt;10,"NMF",(INDEX(SP_CFA_FCF_PreDiv,0,COLUMN())/INDEX(SP_GF_ShareCount,0,COLUMN()))/(BB62/BB42)-1))</f>
        <v/>
      </c>
      <c r="BH112" s="2218">
        <f>IF(OR(INDEX(SP_CFA_FCF_PreDiv,0,COLUMN())&lt;=0,BC62&lt;=0),"NMF",IF(ABS((INDEX(SP_CFA_FCF_PreDiv,0,COLUMN())/INDEX(SP_GF_ShareCount,0,COLUMN()))/(BC62/BC42)-1)&gt;10,"NMF",(INDEX(SP_CFA_FCF_PreDiv,0,COLUMN())/INDEX(SP_GF_ShareCount,0,COLUMN()))/(BC62/BC42)-1))</f>
        <v/>
      </c>
      <c r="BI112" s="2136">
        <f>IF(OR(INDEX(SP_CFA_FCF_PreDiv,0,COLUMN())&lt;=0,BD62&lt;=0),"NMF",IF(ABS((INDEX(SP_CFA_FCF_PreDiv,0,COLUMN())/INDEX(SP_GF_ShareCount,0,COLUMN()))/(BD62/BD42)-1)&gt;10,"NMF",(INDEX(SP_CFA_FCF_PreDiv,0,COLUMN())/INDEX(SP_GF_ShareCount,0,COLUMN()))/(BD62/BD42)-1))</f>
        <v/>
      </c>
      <c r="BJ112" s="2218">
        <f>IF(OR(INDEX(SP_CFA_FCF_PreDiv,0,COLUMN())&lt;=0,BE62&lt;=0),"NMF",IF(ABS((INDEX(SP_CFA_FCF_PreDiv,0,COLUMN())/INDEX(SP_GF_ShareCount,0,COLUMN()))/(BE62/BE42)-1)&gt;10,"NMF",(INDEX(SP_CFA_FCF_PreDiv,0,COLUMN())/INDEX(SP_GF_ShareCount,0,COLUMN()))/(BE62/BE42)-1))</f>
        <v/>
      </c>
      <c r="BK112" s="2218">
        <f>IF(OR(INDEX(SP_CFA_FCF_PreDiv,0,COLUMN())&lt;=0,BF62&lt;=0),"NMF",IF(ABS((INDEX(SP_CFA_FCF_PreDiv,0,COLUMN())/INDEX(SP_GF_ShareCount,0,COLUMN()))/(BF62/BF42)-1)&gt;10,"NMF",(INDEX(SP_CFA_FCF_PreDiv,0,COLUMN())/INDEX(SP_GF_ShareCount,0,COLUMN()))/(BF62/BF42)-1))</f>
        <v/>
      </c>
      <c r="BL112" s="2218">
        <f>IF(OR(INDEX(SP_CFA_FCF_PreDiv,0,COLUMN())&lt;=0,BG62&lt;=0),"NMF",IF(ABS((INDEX(SP_CFA_FCF_PreDiv,0,COLUMN())/INDEX(SP_GF_ShareCount,0,COLUMN()))/(BG62/BG42)-1)&gt;10,"NMF",(INDEX(SP_CFA_FCF_PreDiv,0,COLUMN())/INDEX(SP_GF_ShareCount,0,COLUMN()))/(BG62/BG42)-1))</f>
        <v/>
      </c>
      <c r="BM112" s="2218">
        <f>IF(OR(INDEX(SP_CFA_FCF_PreDiv,0,COLUMN())&lt;=0,BH62&lt;=0),"NMF",IF(ABS((INDEX(SP_CFA_FCF_PreDiv,0,COLUMN())/INDEX(SP_GF_ShareCount,0,COLUMN()))/(BH62/BH42)-1)&gt;10,"NMF",(INDEX(SP_CFA_FCF_PreDiv,0,COLUMN())/INDEX(SP_GF_ShareCount,0,COLUMN()))/(BH62/BH42)-1))</f>
        <v/>
      </c>
      <c r="BN112" s="2136">
        <f>IF(OR(INDEX(SP_CFA_FCF_PreDiv,0,COLUMN())&lt;=0,BI62&lt;=0),"NMF",IF(ABS((INDEX(SP_CFA_FCF_PreDiv,0,COLUMN())/INDEX(SP_GF_ShareCount,0,COLUMN()))/(BI62/BI42)-1)&gt;10,"NMF",(INDEX(SP_CFA_FCF_PreDiv,0,COLUMN())/INDEX(SP_GF_ShareCount,0,COLUMN()))/(BI62/BI42)-1))</f>
        <v/>
      </c>
      <c r="BO112" s="2218">
        <f>IF(OR(INDEX(SP_CFA_FCF_PreDiv,0,COLUMN())&lt;=0,BJ62&lt;=0),"NMF",IF(ABS((INDEX(SP_CFA_FCF_PreDiv,0,COLUMN())/INDEX(SP_GF_ShareCount,0,COLUMN()))/(BJ62/BJ42)-1)&gt;10,"NMF",(INDEX(SP_CFA_FCF_PreDiv,0,COLUMN())/INDEX(SP_GF_ShareCount,0,COLUMN()))/(BJ62/BJ42)-1))</f>
        <v/>
      </c>
      <c r="BP112" s="2218">
        <f>IF(OR(INDEX(SP_CFA_FCF_PreDiv,0,COLUMN())&lt;=0,BK62&lt;=0),"NMF",IF(ABS((INDEX(SP_CFA_FCF_PreDiv,0,COLUMN())/INDEX(SP_GF_ShareCount,0,COLUMN()))/(BK62/BK42)-1)&gt;10,"NMF",(INDEX(SP_CFA_FCF_PreDiv,0,COLUMN())/INDEX(SP_GF_ShareCount,0,COLUMN()))/(BK62/BK42)-1))</f>
        <v/>
      </c>
      <c r="BQ112" s="2219">
        <f>IF(OR(INDEX(SP_CFA_FCF_PreDiv,0,COLUMN())&lt;=0,BL62&lt;=0),"NMF",IF(ABS((INDEX(SP_CFA_FCF_PreDiv,0,COLUMN())/INDEX(SP_GF_ShareCount,0,COLUMN()))/(BL62/BL42)-1)&gt;10,"NMF",(INDEX(SP_CFA_FCF_PreDiv,0,COLUMN())/INDEX(SP_GF_ShareCount,0,COLUMN()))/(BL62/BL42)-1))</f>
        <v/>
      </c>
      <c r="BR112" s="2218">
        <f>IF(OR(INDEX(SP_CFA_FCF_PreDiv,0,COLUMN())&lt;=0,BM62&lt;=0),"NMF",IF(ABS((INDEX(SP_CFA_FCF_PreDiv,0,COLUMN())/INDEX(SP_GF_ShareCount,0,COLUMN()))/(BM62/BM42)-1)&gt;10,"NMF",(INDEX(SP_CFA_FCF_PreDiv,0,COLUMN())/INDEX(SP_GF_ShareCount,0,COLUMN()))/(BM62/BM42)-1))</f>
        <v/>
      </c>
      <c r="BS112" s="2136">
        <f>IF(OR(INDEX(SP_CFA_FCF_PreDiv,0,COLUMN())&lt;=0,BN62&lt;=0),"NMF",IF(ABS((INDEX(SP_CFA_FCF_PreDiv,0,COLUMN())/INDEX(SP_GF_ShareCount,0,COLUMN()))/(BN62/BN42)-1)&gt;10,"NMF",(INDEX(SP_CFA_FCF_PreDiv,0,COLUMN())/INDEX(SP_GF_ShareCount,0,COLUMN()))/(BN62/BN42)-1))</f>
        <v/>
      </c>
      <c r="BT112" s="2218">
        <f>IF(OR(INDEX(SP_CFA_FCF_PreDiv,0,COLUMN())&lt;=0,BO62&lt;=0),"NMF",IF(ABS((INDEX(SP_CFA_FCF_PreDiv,0,COLUMN())/INDEX(SP_GF_ShareCount,0,COLUMN()))/(BO62/BO42)-1)&gt;10,"NMF",(INDEX(SP_CFA_FCF_PreDiv,0,COLUMN())/INDEX(SP_GF_ShareCount,0,COLUMN()))/(BO62/BO42)-1))</f>
        <v/>
      </c>
      <c r="BU112" s="2218">
        <f>IF(OR(INDEX(SP_CFA_FCF_PreDiv,0,COLUMN())&lt;=0,BP62&lt;=0),"NMF",IF(ABS((INDEX(SP_CFA_FCF_PreDiv,0,COLUMN())/INDEX(SP_GF_ShareCount,0,COLUMN()))/(BP62/BP42)-1)&gt;10,"NMF",(INDEX(SP_CFA_FCF_PreDiv,0,COLUMN())/INDEX(SP_GF_ShareCount,0,COLUMN()))/(BP62/BP42)-1))</f>
        <v/>
      </c>
      <c r="BV112" s="2218">
        <f>IF(OR(INDEX(SP_CFA_FCF_PreDiv,0,COLUMN())&lt;=0,BQ62&lt;=0),"NMF",IF(ABS((INDEX(SP_CFA_FCF_PreDiv,0,COLUMN())/INDEX(SP_GF_ShareCount,0,COLUMN()))/(BQ62/BQ42)-1)&gt;10,"NMF",(INDEX(SP_CFA_FCF_PreDiv,0,COLUMN())/INDEX(SP_GF_ShareCount,0,COLUMN()))/(BQ62/BQ42)-1))</f>
        <v/>
      </c>
      <c r="BW112" s="2218">
        <f>IF(OR(INDEX(SP_CFA_FCF_PreDiv,0,COLUMN())&lt;=0,BR62&lt;=0),"NMF",IF(ABS((INDEX(SP_CFA_FCF_PreDiv,0,COLUMN())/INDEX(SP_GF_ShareCount,0,COLUMN()))/(BR62/BR42)-1)&gt;10,"NMF",(INDEX(SP_CFA_FCF_PreDiv,0,COLUMN())/INDEX(SP_GF_ShareCount,0,COLUMN()))/(BR62/BR42)-1))</f>
        <v/>
      </c>
      <c r="BX112" s="2136">
        <f>IF(OR(INDEX(SP_CFA_FCF_PreDiv,0,COLUMN())&lt;=0,BS62&lt;=0),"NMF",IF(ABS((INDEX(SP_CFA_FCF_PreDiv,0,COLUMN())/INDEX(SP_GF_ShareCount,0,COLUMN()))/(BS62/BS42)-1)&gt;10,"NMF",(INDEX(SP_CFA_FCF_PreDiv,0,COLUMN())/INDEX(SP_GF_ShareCount,0,COLUMN()))/(BS62/BS42)-1))</f>
        <v/>
      </c>
      <c r="BY112" s="2136">
        <f>IF(OR(INDEX(SP_CFA_FCF_PreDiv,0,COLUMN())&lt;=0,BX62&lt;=0),"NMF",IF(ABS((INDEX(SP_CFA_FCF_PreDiv,0,COLUMN())/INDEX(SP_GF_ShareCount,0,COLUMN()))/(BX62/BX42)-1)&gt;10,"NMF",(INDEX(SP_CFA_FCF_PreDiv,0,COLUMN())/INDEX(SP_GF_ShareCount,0,COLUMN()))/(BX62/BX42)-1))</f>
        <v/>
      </c>
      <c r="BZ112" s="2136">
        <f>IF(OR(INDEX(SP_CFA_FCF_PreDiv,0,COLUMN())&lt;=0,BY62&lt;=0),"NMF",IF(ABS((INDEX(SP_CFA_FCF_PreDiv,0,COLUMN())/INDEX(SP_GF_ShareCount,0,COLUMN()))/(BY62/BY42)-1)&gt;10,"NMF",(INDEX(SP_CFA_FCF_PreDiv,0,COLUMN())/INDEX(SP_GF_ShareCount,0,COLUMN()))/(BY62/BY42)-1))</f>
        <v/>
      </c>
      <c r="CA112" s="2136">
        <f>IF(OR(INDEX(SP_CFA_FCF_PreDiv,0,COLUMN())&lt;=0,BZ62&lt;=0),"NMF",IF(ABS((INDEX(SP_CFA_FCF_PreDiv,0,COLUMN())/INDEX(SP_GF_ShareCount,0,COLUMN()))/(BZ62/BZ42)-1)&gt;10,"NMF",(INDEX(SP_CFA_FCF_PreDiv,0,COLUMN())/INDEX(SP_GF_ShareCount,0,COLUMN()))/(BZ62/BZ42)-1))</f>
        <v/>
      </c>
      <c r="CB112" s="2109" t="n"/>
    </row>
    <row r="113" ht="15" customHeight="1" s="972">
      <c r="A113" s="1596" t="n"/>
      <c r="B113" s="2199" t="n"/>
      <c r="C113" s="2090" t="n"/>
      <c r="D113" s="2090" t="n"/>
      <c r="E113" s="2090" t="n"/>
      <c r="F113" s="2090" t="n"/>
      <c r="G113" s="2089" t="n"/>
      <c r="H113" s="2089" t="n"/>
      <c r="I113" s="2089" t="n"/>
      <c r="J113" s="2089" t="n"/>
      <c r="K113" s="2090" t="n"/>
      <c r="L113" s="2089" t="n"/>
      <c r="M113" s="2089" t="n"/>
      <c r="N113" s="2089" t="n"/>
      <c r="O113" s="2089" t="n"/>
      <c r="P113" s="2090" t="n"/>
      <c r="Q113" s="2089" t="n"/>
      <c r="R113" s="2089" t="n"/>
      <c r="S113" s="2089" t="n"/>
      <c r="T113" s="2089" t="n"/>
      <c r="U113" s="2090" t="n"/>
      <c r="V113" s="2089" t="n"/>
      <c r="W113" s="2089" t="n"/>
      <c r="X113" s="2089" t="n"/>
      <c r="Y113" s="2089" t="n"/>
      <c r="Z113" s="2090" t="n"/>
      <c r="AA113" s="2089" t="n"/>
      <c r="AB113" s="2089" t="n"/>
      <c r="AC113" s="2089" t="n"/>
      <c r="AD113" s="2089" t="n"/>
      <c r="AE113" s="2090" t="n"/>
      <c r="AF113" s="2089" t="n"/>
      <c r="AG113" s="2089" t="n"/>
      <c r="AH113" s="2089" t="n"/>
      <c r="AI113" s="2089" t="n"/>
      <c r="AJ113" s="2090" t="n"/>
      <c r="AK113" s="2089" t="n"/>
      <c r="AL113" s="2089" t="n"/>
      <c r="AM113" s="2089" t="n"/>
      <c r="AN113" s="2089" t="n"/>
      <c r="AO113" s="2090" t="n"/>
      <c r="AP113" s="2089" t="n"/>
      <c r="AQ113" s="2089" t="n"/>
      <c r="AR113" s="2089" t="n"/>
      <c r="AS113" s="2089" t="n"/>
      <c r="AT113" s="2090" t="n"/>
      <c r="AU113" s="2089" t="n"/>
      <c r="AV113" s="2089" t="n"/>
      <c r="AW113" s="2089" t="n"/>
      <c r="AX113" s="2089" t="n"/>
      <c r="AY113" s="2090" t="n"/>
      <c r="AZ113" s="2089" t="n"/>
      <c r="BA113" s="2089" t="n"/>
      <c r="BB113" s="2089" t="n"/>
      <c r="BC113" s="2089" t="n"/>
      <c r="BD113" s="2090" t="n"/>
      <c r="BE113" s="2089" t="n"/>
      <c r="BF113" s="2089" t="n"/>
      <c r="BG113" s="2089" t="n"/>
      <c r="BH113" s="2089" t="n"/>
      <c r="BI113" s="2090" t="n"/>
      <c r="BJ113" s="2089" t="n"/>
      <c r="BK113" s="2089" t="n"/>
      <c r="BL113" s="2089" t="n"/>
      <c r="BM113" s="2089" t="n"/>
      <c r="BN113" s="2090" t="n"/>
      <c r="BO113" s="2089" t="n"/>
      <c r="BP113" s="2089" t="n"/>
      <c r="BQ113" s="2100" t="n"/>
      <c r="BR113" s="2089" t="n"/>
      <c r="BS113" s="2090" t="n"/>
      <c r="BT113" s="2089" t="n"/>
      <c r="BU113" s="2089" t="n"/>
      <c r="BV113" s="2089" t="n"/>
      <c r="BW113" s="2089" t="n"/>
      <c r="BX113" s="2090" t="n"/>
      <c r="BY113" s="2090" t="n"/>
      <c r="BZ113" s="2090" t="n"/>
      <c r="CA113" s="2090" t="n"/>
      <c r="CB113" s="2089" t="n"/>
    </row>
    <row r="114" ht="15" customHeight="1" s="972">
      <c r="A114" s="2183" t="inlineStr">
        <is>
          <t>Valuation Metrics</t>
        </is>
      </c>
      <c r="B114" s="2206" t="n"/>
      <c r="C114" s="2206" t="n"/>
      <c r="D114" s="2206" t="n"/>
      <c r="E114" s="2206" t="n"/>
      <c r="F114" s="2206" t="n"/>
      <c r="G114" s="2206" t="n"/>
      <c r="H114" s="2206" t="n"/>
      <c r="I114" s="2206" t="n"/>
      <c r="J114" s="2206" t="n"/>
      <c r="K114" s="2206" t="n"/>
      <c r="L114" s="2206" t="n"/>
      <c r="M114" s="2206" t="n"/>
      <c r="N114" s="2206" t="n"/>
      <c r="O114" s="2206" t="n"/>
      <c r="P114" s="2206" t="n"/>
      <c r="Q114" s="2206" t="n"/>
      <c r="R114" s="2206" t="n"/>
      <c r="S114" s="2206" t="n"/>
      <c r="T114" s="2206" t="n"/>
      <c r="U114" s="2206" t="n"/>
      <c r="V114" s="2206" t="n"/>
      <c r="W114" s="2206" t="n"/>
      <c r="X114" s="2206" t="n"/>
      <c r="Y114" s="2206" t="n"/>
      <c r="Z114" s="2206" t="n"/>
      <c r="AA114" s="2206" t="n"/>
      <c r="AB114" s="2206" t="n"/>
      <c r="AC114" s="2206" t="n"/>
      <c r="AD114" s="2206" t="n"/>
      <c r="AE114" s="2206" t="n"/>
      <c r="AF114" s="2206" t="n"/>
      <c r="AG114" s="2206" t="n"/>
      <c r="AH114" s="2206" t="n"/>
      <c r="AI114" s="2206" t="n"/>
      <c r="AJ114" s="2206" t="n"/>
      <c r="AK114" s="2206" t="n"/>
      <c r="AL114" s="2206" t="n"/>
      <c r="AM114" s="2206" t="n"/>
      <c r="AN114" s="2206" t="n"/>
      <c r="AO114" s="2206" t="n"/>
      <c r="AP114" s="2206" t="n"/>
      <c r="AQ114" s="2206" t="n"/>
      <c r="AR114" s="2206" t="n"/>
      <c r="AS114" s="2206" t="n"/>
      <c r="AT114" s="2206" t="n"/>
      <c r="AU114" s="2206" t="n"/>
      <c r="AV114" s="2206" t="n"/>
      <c r="AW114" s="2206" t="n"/>
      <c r="AX114" s="2206" t="n"/>
      <c r="AY114" s="2206" t="n"/>
      <c r="AZ114" s="2206" t="n"/>
      <c r="BA114" s="2206" t="n"/>
      <c r="BB114" s="2206" t="n"/>
      <c r="BC114" s="2206" t="n"/>
      <c r="BD114" s="2206" t="n"/>
      <c r="BE114" s="2206" t="n"/>
      <c r="BF114" s="2206" t="n"/>
      <c r="BG114" s="2206" t="n"/>
      <c r="BH114" s="2206" t="n"/>
      <c r="BI114" s="2206" t="n"/>
      <c r="BJ114" s="2206" t="n"/>
      <c r="BK114" s="2206" t="n"/>
      <c r="BL114" s="2206" t="n"/>
      <c r="BM114" s="2206" t="n"/>
      <c r="BN114" s="2206" t="n"/>
      <c r="BO114" s="2206" t="n"/>
      <c r="BP114" s="2206" t="n"/>
      <c r="BQ114" s="2207" t="n"/>
      <c r="BR114" s="2206" t="n"/>
      <c r="BS114" s="2206" t="n"/>
      <c r="BT114" s="2206" t="n"/>
      <c r="BU114" s="2206" t="n"/>
      <c r="BV114" s="2206" t="n"/>
      <c r="BW114" s="2206" t="n"/>
      <c r="BX114" s="2206" t="n"/>
      <c r="BY114" s="2206" t="n"/>
      <c r="BZ114" s="2206" t="n"/>
      <c r="CA114" s="2206" t="n"/>
      <c r="CB114" s="2072" t="n"/>
    </row>
    <row r="115" ht="15" customFormat="1" customHeight="1" s="2250">
      <c r="A115" s="2251">
        <f>"P/E - "&amp;SP.ValuationToggle</f>
        <v/>
      </c>
      <c r="B115" s="2252" t="n"/>
      <c r="C115" s="2253">
        <f>INDEX(SP_CS_StockPrice,0,COLUMN())/INDEX(SP_NGF_EPS,0,COLUMN())</f>
        <v/>
      </c>
      <c r="D115" s="2253">
        <f>INDEX(SP_CS_StockPrice,0,COLUMN())/INDEX(SP_NGF_EPS,0,COLUMN())</f>
        <v/>
      </c>
      <c r="E115" s="2253">
        <f>INDEX(SP_CS_StockPrice,0,COLUMN())/INDEX(SP_NGF_EPS,0,COLUMN())</f>
        <v/>
      </c>
      <c r="F115" s="2253">
        <f>INDEX(SP_CS_StockPrice,0,COLUMN())/INDEX(SP_NGF_EPS,0,COLUMN())</f>
        <v/>
      </c>
      <c r="G115" s="2254" t="n"/>
      <c r="H115" s="2254" t="n"/>
      <c r="I115" s="2254" t="n"/>
      <c r="J115" s="2254" t="n"/>
      <c r="K115" s="2253">
        <f>INDEX(SP_CS_StockPrice,0,COLUMN())/INDEX(SP_NGF_EPS,0,COLUMN())</f>
        <v/>
      </c>
      <c r="L115" s="2254" t="n"/>
      <c r="M115" s="2254" t="n"/>
      <c r="N115" s="2254" t="n"/>
      <c r="O115" s="2254" t="n"/>
      <c r="P115" s="2253">
        <f>INDEX(SP_CS_StockPrice,0,COLUMN())/INDEX(SP_NGF_EPS,0,COLUMN())</f>
        <v/>
      </c>
      <c r="Q115" s="2254" t="n"/>
      <c r="R115" s="2254" t="n"/>
      <c r="S115" s="2254" t="n"/>
      <c r="T115" s="2254" t="n"/>
      <c r="U115" s="2253">
        <f>INDEX(SP_CS_StockPrice,0,COLUMN())/INDEX(SP_NGF_EPS,0,COLUMN())</f>
        <v/>
      </c>
      <c r="V115" s="2254" t="n"/>
      <c r="W115" s="2154" t="n"/>
      <c r="X115" s="2154" t="n"/>
      <c r="Y115" s="2154" t="n"/>
      <c r="Z115" s="2253">
        <f>INDEX(SP_CS_StockPrice,0,COLUMN())/INDEX(SP_NGF_EPS,0,COLUMN())</f>
        <v/>
      </c>
      <c r="AA115" s="2154" t="n"/>
      <c r="AB115" s="2154" t="n"/>
      <c r="AC115" s="2154" t="n"/>
      <c r="AD115" s="2154" t="n"/>
      <c r="AE115" s="2253">
        <f>INDEX(SP_CS_StockPrice,0,COLUMN())/INDEX(SP_NGF_EPS,0,COLUMN())</f>
        <v/>
      </c>
      <c r="AF115" s="2154" t="n"/>
      <c r="AG115" s="2154" t="n"/>
      <c r="AH115" s="2154" t="n"/>
      <c r="AI115" s="2154" t="n"/>
      <c r="AJ115" s="2253">
        <f>INDEX(SP_CS_StockPrice,0,COLUMN())/INDEX(SP_NGF_EPS,0,COLUMN())</f>
        <v/>
      </c>
      <c r="AK115" s="2154" t="n"/>
      <c r="AL115" s="2154" t="n"/>
      <c r="AM115" s="2154" t="n"/>
      <c r="AN115" s="2154" t="n"/>
      <c r="AO115" s="2253">
        <f>INDEX(SP_CS_StockPrice,0,COLUMN())/INDEX(SP_NGF_EPS,0,COLUMN())</f>
        <v/>
      </c>
      <c r="AP115" s="2154" t="n"/>
      <c r="AQ115" s="2154" t="n"/>
      <c r="AR115" s="2154" t="n"/>
      <c r="AS115" s="2154" t="n"/>
      <c r="AT115" s="2253">
        <f>INDEX(SP_CS_StockPrice,0,COLUMN())/INDEX(SP_NGF_EPS,0,COLUMN())</f>
        <v/>
      </c>
      <c r="AU115" s="2154" t="n"/>
      <c r="AV115" s="2154" t="n"/>
      <c r="AW115" s="2154" t="n"/>
      <c r="AX115" s="2154" t="n"/>
      <c r="AY115" s="2253">
        <f>INDEX(SP_CS_StockPrice,0,COLUMN())/INDEX(SP_NGF_EPS,0,COLUMN())</f>
        <v/>
      </c>
      <c r="AZ115" s="2154" t="n"/>
      <c r="BA115" s="2154" t="n"/>
      <c r="BB115" s="2154" t="n"/>
      <c r="BC115" s="2154" t="n"/>
      <c r="BD115" s="2253">
        <f>INDEX(SP_CS_StockPrice,0,COLUMN())/INDEX(SP_NGF_EPS,0,COLUMN())</f>
        <v/>
      </c>
      <c r="BE115" s="2154" t="n"/>
      <c r="BF115" s="2154" t="n"/>
      <c r="BG115" s="2154" t="n"/>
      <c r="BH115" s="2154" t="n"/>
      <c r="BI115" s="2253">
        <f>INDEX(SP_CS_StockPrice,0,COLUMN())/INDEX(SP_NGF_EPS,0,COLUMN())</f>
        <v/>
      </c>
      <c r="BJ115" s="2154" t="n"/>
      <c r="BK115" s="2154" t="n"/>
      <c r="BL115" s="2154" t="n"/>
      <c r="BM115" s="2154" t="n"/>
      <c r="BN115" s="2253">
        <f>INDEX(SP_CS_StockPrice,0,COLUMN())/INDEX(SP_NGF_EPS,0,COLUMN())</f>
        <v/>
      </c>
      <c r="BO115" s="2154" t="n"/>
      <c r="BP115" s="2154" t="n"/>
      <c r="BQ115" s="2156" t="n"/>
      <c r="BR115" s="2154" t="n"/>
      <c r="BS115" s="2253">
        <f>INDEX(SP_CS_StockPrice,0,COLUMN())/INDEX(SP_NGF_EPS,0,COLUMN())</f>
        <v/>
      </c>
      <c r="BT115" s="2154" t="n"/>
      <c r="BU115" s="2154" t="n"/>
      <c r="BV115" s="2154" t="n"/>
      <c r="BW115" s="2154" t="n"/>
      <c r="BX115" s="2253">
        <f>INDEX(SP_CS_StockPrice,0,COLUMN())/INDEX(SP_NGF_EPS,0,COLUMN())</f>
        <v/>
      </c>
      <c r="BY115" s="2253">
        <f>INDEX(SP_CS_StockPrice,0,COLUMN())/INDEX(SP_NGF_EPS,0,COLUMN())</f>
        <v/>
      </c>
      <c r="BZ115" s="2253">
        <f>INDEX(SP_CS_StockPrice,0,COLUMN())/INDEX(SP_NGF_EPS,0,COLUMN())</f>
        <v/>
      </c>
      <c r="CA115" s="2253">
        <f>INDEX(SP_CS_StockPrice,0,COLUMN())/INDEX(SP_NGF_EPS,0,COLUMN())</f>
        <v/>
      </c>
      <c r="CB115" s="2154" t="n"/>
    </row>
    <row r="116" ht="15" customFormat="1" customHeight="1" s="2250">
      <c r="A116" s="2251">
        <f>"EV/Sales - "&amp;SP.ValuationToggle</f>
        <v/>
      </c>
      <c r="B116" s="2252" t="n"/>
      <c r="C116" s="2253">
        <f>INDEX(SP_CS_EV,0,COLUMN())/INDEX(SP_GF_Rev,0,COLUMN())</f>
        <v/>
      </c>
      <c r="D116" s="2253">
        <f>INDEX(SP_CS_EV,0,COLUMN())/INDEX(SP_GF_Rev,0,COLUMN())</f>
        <v/>
      </c>
      <c r="E116" s="2253">
        <f>INDEX(SP_CS_EV,0,COLUMN())/INDEX(SP_GF_Rev,0,COLUMN())</f>
        <v/>
      </c>
      <c r="F116" s="2253">
        <f>INDEX(SP_CS_EV,0,COLUMN())/INDEX(SP_GF_Rev,0,COLUMN())</f>
        <v/>
      </c>
      <c r="G116" s="2254" t="n"/>
      <c r="H116" s="2254" t="n"/>
      <c r="I116" s="2254" t="n"/>
      <c r="J116" s="2254" t="n"/>
      <c r="K116" s="2253">
        <f>INDEX(SP_CS_EV,0,COLUMN())/INDEX(SP_GF_Rev,0,COLUMN())</f>
        <v/>
      </c>
      <c r="L116" s="2254" t="n"/>
      <c r="M116" s="2254" t="n"/>
      <c r="N116" s="2254" t="n"/>
      <c r="O116" s="2254" t="n"/>
      <c r="P116" s="2253">
        <f>INDEX(SP_CS_EV,0,COLUMN())/INDEX(SP_GF_Rev,0,COLUMN())</f>
        <v/>
      </c>
      <c r="Q116" s="2254" t="n"/>
      <c r="R116" s="2254" t="n"/>
      <c r="S116" s="2254" t="n"/>
      <c r="T116" s="2254" t="n"/>
      <c r="U116" s="2253">
        <f>INDEX(SP_CS_EV,0,COLUMN())/INDEX(SP_GF_Rev,0,COLUMN())</f>
        <v/>
      </c>
      <c r="V116" s="2254" t="n"/>
      <c r="W116" s="2154" t="n"/>
      <c r="X116" s="2154" t="n"/>
      <c r="Y116" s="2154" t="n"/>
      <c r="Z116" s="2253">
        <f>INDEX(SP_CS_EV,0,COLUMN())/INDEX(SP_GF_Rev,0,COLUMN())</f>
        <v/>
      </c>
      <c r="AA116" s="2154" t="n"/>
      <c r="AB116" s="2154" t="n"/>
      <c r="AC116" s="2154" t="n"/>
      <c r="AD116" s="2154" t="n"/>
      <c r="AE116" s="2253">
        <f>INDEX(SP_CS_EV,0,COLUMN())/INDEX(SP_GF_Rev,0,COLUMN())</f>
        <v/>
      </c>
      <c r="AF116" s="2154" t="n"/>
      <c r="AG116" s="2154" t="n"/>
      <c r="AH116" s="2154" t="n"/>
      <c r="AI116" s="2154" t="n"/>
      <c r="AJ116" s="2253">
        <f>INDEX(SP_CS_EV,0,COLUMN())/INDEX(SP_GF_Rev,0,COLUMN())</f>
        <v/>
      </c>
      <c r="AK116" s="2154" t="n"/>
      <c r="AL116" s="2154" t="n"/>
      <c r="AM116" s="2154" t="n"/>
      <c r="AN116" s="2154" t="n"/>
      <c r="AO116" s="2253">
        <f>INDEX(SP_CS_EV,0,COLUMN())/INDEX(SP_GF_Rev,0,COLUMN())</f>
        <v/>
      </c>
      <c r="AP116" s="2154" t="n"/>
      <c r="AQ116" s="2154" t="n"/>
      <c r="AR116" s="2154" t="n"/>
      <c r="AS116" s="2154" t="n"/>
      <c r="AT116" s="2253">
        <f>INDEX(SP_CS_EV,0,COLUMN())/INDEX(SP_GF_Rev,0,COLUMN())</f>
        <v/>
      </c>
      <c r="AU116" s="2154" t="n"/>
      <c r="AV116" s="2154" t="n"/>
      <c r="AW116" s="2154" t="n"/>
      <c r="AX116" s="2154" t="n"/>
      <c r="AY116" s="2253">
        <f>INDEX(SP_CS_EV,0,COLUMN())/INDEX(SP_GF_Rev,0,COLUMN())</f>
        <v/>
      </c>
      <c r="AZ116" s="2154" t="n"/>
      <c r="BA116" s="2154" t="n"/>
      <c r="BB116" s="2154" t="n"/>
      <c r="BC116" s="2154" t="n"/>
      <c r="BD116" s="2253">
        <f>INDEX(SP_CS_EV,0,COLUMN())/INDEX(SP_GF_Rev,0,COLUMN())</f>
        <v/>
      </c>
      <c r="BE116" s="2154" t="n"/>
      <c r="BF116" s="2154" t="n"/>
      <c r="BG116" s="2154" t="n"/>
      <c r="BH116" s="2154" t="n"/>
      <c r="BI116" s="2253">
        <f>INDEX(SP_CS_EV,0,COLUMN())/INDEX(SP_GF_Rev,0,COLUMN())</f>
        <v/>
      </c>
      <c r="BJ116" s="2154" t="n"/>
      <c r="BK116" s="2154" t="n"/>
      <c r="BL116" s="2154" t="n"/>
      <c r="BM116" s="2154" t="n"/>
      <c r="BN116" s="2253">
        <f>INDEX(SP_CS_EV,0,COLUMN())/INDEX(SP_GF_Rev,0,COLUMN())</f>
        <v/>
      </c>
      <c r="BO116" s="2154" t="n"/>
      <c r="BP116" s="2154" t="n"/>
      <c r="BQ116" s="2156" t="n"/>
      <c r="BR116" s="2154" t="n"/>
      <c r="BS116" s="2253">
        <f>INDEX(SP_CS_EV,0,COLUMN())/INDEX(SP_GF_Rev,0,COLUMN())</f>
        <v/>
      </c>
      <c r="BT116" s="2154" t="n"/>
      <c r="BU116" s="2154" t="n"/>
      <c r="BV116" s="2154" t="n"/>
      <c r="BW116" s="2154" t="n"/>
      <c r="BX116" s="2253">
        <f>INDEX(SP_CS_EV,0,COLUMN())/INDEX(SP_GF_Rev,0,COLUMN())</f>
        <v/>
      </c>
      <c r="BY116" s="2253">
        <f>INDEX(SP_CS_EV,0,COLUMN())/INDEX(SP_GF_Rev,0,COLUMN())</f>
        <v/>
      </c>
      <c r="BZ116" s="2253">
        <f>INDEX(SP_CS_EV,0,COLUMN())/INDEX(SP_GF_Rev,0,COLUMN())</f>
        <v/>
      </c>
      <c r="CA116" s="2253">
        <f>INDEX(SP_CS_EV,0,COLUMN())/INDEX(SP_GF_Rev,0,COLUMN())</f>
        <v/>
      </c>
      <c r="CB116" s="2154" t="n"/>
    </row>
    <row r="117" ht="15" customFormat="1" customHeight="1" s="2250">
      <c r="A117" s="2251">
        <f>"EV/EBITDA - "&amp;SP.ValuationToggle</f>
        <v/>
      </c>
      <c r="B117" s="2252" t="n"/>
      <c r="C117" s="2253" t="n"/>
      <c r="D117" s="2253">
        <f>INDEX(SP_CS_EV,0,COLUMN())/INDEX(SP_NGF_EBITDA,0,COLUMN())</f>
        <v/>
      </c>
      <c r="E117" s="2253">
        <f>INDEX(SP_CS_EV,0,COLUMN())/INDEX(SP_NGF_EBITDA,0,COLUMN())</f>
        <v/>
      </c>
      <c r="F117" s="2253">
        <f>INDEX(SP_CS_EV,0,COLUMN())/INDEX(SP_NGF_EBITDA,0,COLUMN())</f>
        <v/>
      </c>
      <c r="G117" s="2254" t="n"/>
      <c r="H117" s="2254" t="n"/>
      <c r="I117" s="2254" t="n"/>
      <c r="J117" s="2254" t="n"/>
      <c r="K117" s="2253">
        <f>INDEX(SP_CS_EV,0,COLUMN())/INDEX(SP_NGF_EBITDA,0,COLUMN())</f>
        <v/>
      </c>
      <c r="L117" s="2254" t="n"/>
      <c r="M117" s="2254" t="n"/>
      <c r="N117" s="2254" t="n"/>
      <c r="O117" s="2254" t="n"/>
      <c r="P117" s="2253">
        <f>INDEX(SP_CS_EV,0,COLUMN())/INDEX(SP_NGF_EBITDA,0,COLUMN())</f>
        <v/>
      </c>
      <c r="Q117" s="2254" t="n"/>
      <c r="R117" s="2254" t="n"/>
      <c r="S117" s="2254" t="n"/>
      <c r="T117" s="2254" t="n"/>
      <c r="U117" s="2253">
        <f>INDEX(SP_CS_EV,0,COLUMN())/INDEX(SP_NGF_EBITDA,0,COLUMN())</f>
        <v/>
      </c>
      <c r="V117" s="2254" t="n"/>
      <c r="W117" s="2154" t="n"/>
      <c r="X117" s="2154" t="n"/>
      <c r="Y117" s="2154" t="n"/>
      <c r="Z117" s="2253">
        <f>INDEX(SP_CS_EV,0,COLUMN())/INDEX(SP_NGF_EBITDA,0,COLUMN())</f>
        <v/>
      </c>
      <c r="AA117" s="2154" t="n"/>
      <c r="AB117" s="2154" t="n"/>
      <c r="AC117" s="2154" t="n"/>
      <c r="AD117" s="2154" t="n"/>
      <c r="AE117" s="2253">
        <f>INDEX(SP_CS_EV,0,COLUMN())/INDEX(SP_NGF_EBITDA,0,COLUMN())</f>
        <v/>
      </c>
      <c r="AF117" s="2154" t="n"/>
      <c r="AG117" s="2154" t="n"/>
      <c r="AH117" s="2154" t="n"/>
      <c r="AI117" s="2154" t="n"/>
      <c r="AJ117" s="2253">
        <f>INDEX(SP_CS_EV,0,COLUMN())/INDEX(SP_NGF_EBITDA,0,COLUMN())</f>
        <v/>
      </c>
      <c r="AK117" s="2154" t="n"/>
      <c r="AL117" s="2154" t="n"/>
      <c r="AM117" s="2154" t="n"/>
      <c r="AN117" s="2154" t="n"/>
      <c r="AO117" s="2253">
        <f>INDEX(SP_CS_EV,0,COLUMN())/INDEX(SP_NGF_EBITDA,0,COLUMN())</f>
        <v/>
      </c>
      <c r="AP117" s="2154" t="n"/>
      <c r="AQ117" s="2154" t="n"/>
      <c r="AR117" s="2154" t="n"/>
      <c r="AS117" s="2154" t="n"/>
      <c r="AT117" s="2253">
        <f>INDEX(SP_CS_EV,0,COLUMN())/INDEX(SP_NGF_EBITDA,0,COLUMN())</f>
        <v/>
      </c>
      <c r="AU117" s="2154" t="n"/>
      <c r="AV117" s="2154" t="n"/>
      <c r="AW117" s="2154" t="n"/>
      <c r="AX117" s="2154" t="n"/>
      <c r="AY117" s="2253">
        <f>INDEX(SP_CS_EV,0,COLUMN())/INDEX(SP_NGF_EBITDA,0,COLUMN())</f>
        <v/>
      </c>
      <c r="AZ117" s="2154" t="n"/>
      <c r="BA117" s="2154" t="n"/>
      <c r="BB117" s="2154" t="n"/>
      <c r="BC117" s="2154" t="n"/>
      <c r="BD117" s="2253">
        <f>INDEX(SP_CS_EV,0,COLUMN())/INDEX(SP_NGF_EBITDA,0,COLUMN())</f>
        <v/>
      </c>
      <c r="BE117" s="2154" t="n"/>
      <c r="BF117" s="2154" t="n"/>
      <c r="BG117" s="2154" t="n"/>
      <c r="BH117" s="2154" t="n"/>
      <c r="BI117" s="2253">
        <f>INDEX(SP_CS_EV,0,COLUMN())/INDEX(SP_NGF_EBITDA,0,COLUMN())</f>
        <v/>
      </c>
      <c r="BJ117" s="2154" t="n"/>
      <c r="BK117" s="2154" t="n"/>
      <c r="BL117" s="2154" t="n"/>
      <c r="BM117" s="2154" t="n"/>
      <c r="BN117" s="2253">
        <f>INDEX(SP_CS_EV,0,COLUMN())/INDEX(SP_NGF_EBITDA,0,COLUMN())</f>
        <v/>
      </c>
      <c r="BO117" s="2154" t="n"/>
      <c r="BP117" s="2154" t="n"/>
      <c r="BQ117" s="2156" t="n"/>
      <c r="BR117" s="2154" t="n"/>
      <c r="BS117" s="2253">
        <f>INDEX(SP_CS_EV,0,COLUMN())/INDEX(SP_NGF_EBITDA,0,COLUMN())</f>
        <v/>
      </c>
      <c r="BT117" s="2154" t="n"/>
      <c r="BU117" s="2154" t="n"/>
      <c r="BV117" s="2154" t="n"/>
      <c r="BW117" s="2154" t="n"/>
      <c r="BX117" s="2253">
        <f>INDEX(SP_CS_EV,0,COLUMN())/INDEX(SP_NGF_EBITDA,0,COLUMN())</f>
        <v/>
      </c>
      <c r="BY117" s="2253">
        <f>INDEX(SP_CS_EV,0,COLUMN())/INDEX(SP_NGF_EBITDA,0,COLUMN())</f>
        <v/>
      </c>
      <c r="BZ117" s="2253">
        <f>INDEX(SP_CS_EV,0,COLUMN())/INDEX(SP_NGF_EBITDA,0,COLUMN())</f>
        <v/>
      </c>
      <c r="CA117" s="2253">
        <f>INDEX(SP_CS_EV,0,COLUMN())/INDEX(SP_NGF_EBITDA,0,COLUMN())</f>
        <v/>
      </c>
      <c r="CB117" s="2154" t="n"/>
    </row>
    <row r="118" ht="15" customFormat="1" customHeight="1" s="2250">
      <c r="A118" s="2251">
        <f>"P/CF - "&amp;SP.ValuationToggle</f>
        <v/>
      </c>
      <c r="B118" s="2252" t="n"/>
      <c r="C118" s="2253">
        <f>INDEX(SP_CS_StockPrice,0,COLUMN())/INDEX(SP_CFA_CFO_PerShare,0,COLUMN())</f>
        <v/>
      </c>
      <c r="D118" s="2253">
        <f>INDEX(SP_CS_StockPrice,0,COLUMN())/INDEX(SP_CFA_CFO_PerShare,0,COLUMN())</f>
        <v/>
      </c>
      <c r="E118" s="2253">
        <f>INDEX(SP_CS_StockPrice,0,COLUMN())/INDEX(SP_CFA_CFO_PerShare,0,COLUMN())</f>
        <v/>
      </c>
      <c r="F118" s="2253">
        <f>INDEX(SP_CS_StockPrice,0,COLUMN())/INDEX(SP_CFA_CFO_PerShare,0,COLUMN())</f>
        <v/>
      </c>
      <c r="G118" s="2254" t="n"/>
      <c r="H118" s="2254" t="n"/>
      <c r="I118" s="2254" t="n"/>
      <c r="J118" s="2254" t="n"/>
      <c r="K118" s="2253">
        <f>INDEX(SP_CS_StockPrice,0,COLUMN())/INDEX(SP_CFA_CFO_PerShare,0,COLUMN())</f>
        <v/>
      </c>
      <c r="L118" s="2254" t="n"/>
      <c r="M118" s="2254" t="n"/>
      <c r="N118" s="2254" t="n"/>
      <c r="O118" s="2254" t="n"/>
      <c r="P118" s="2253">
        <f>INDEX(SP_CS_StockPrice,0,COLUMN())/INDEX(SP_CFA_CFO_PerShare,0,COLUMN())</f>
        <v/>
      </c>
      <c r="Q118" s="2254" t="n"/>
      <c r="R118" s="2254" t="n"/>
      <c r="S118" s="2254" t="n"/>
      <c r="T118" s="2254" t="n"/>
      <c r="U118" s="2253">
        <f>INDEX(SP_CS_StockPrice,0,COLUMN())/INDEX(SP_CFA_CFO_PerShare,0,COLUMN())</f>
        <v/>
      </c>
      <c r="V118" s="2254" t="n"/>
      <c r="W118" s="2154" t="n"/>
      <c r="X118" s="2154" t="n"/>
      <c r="Y118" s="2154" t="n"/>
      <c r="Z118" s="2253">
        <f>INDEX(SP_CS_StockPrice,0,COLUMN())/INDEX(SP_CFA_CFO_PerShare,0,COLUMN())</f>
        <v/>
      </c>
      <c r="AA118" s="2154" t="n"/>
      <c r="AB118" s="2154" t="n"/>
      <c r="AC118" s="2154" t="n"/>
      <c r="AD118" s="2154" t="n"/>
      <c r="AE118" s="2253">
        <f>INDEX(SP_CS_StockPrice,0,COLUMN())/INDEX(SP_CFA_CFO_PerShare,0,COLUMN())</f>
        <v/>
      </c>
      <c r="AF118" s="2154" t="n"/>
      <c r="AG118" s="2154" t="n"/>
      <c r="AH118" s="2154" t="n"/>
      <c r="AI118" s="2154" t="n"/>
      <c r="AJ118" s="2253">
        <f>INDEX(SP_CS_StockPrice,0,COLUMN())/INDEX(SP_CFA_CFO_PerShare,0,COLUMN())</f>
        <v/>
      </c>
      <c r="AK118" s="2154" t="n"/>
      <c r="AL118" s="2154" t="n"/>
      <c r="AM118" s="2154" t="n"/>
      <c r="AN118" s="2154" t="n"/>
      <c r="AO118" s="2253">
        <f>INDEX(SP_CS_StockPrice,0,COLUMN())/INDEX(SP_CFA_CFO_PerShare,0,COLUMN())</f>
        <v/>
      </c>
      <c r="AP118" s="2154" t="n"/>
      <c r="AQ118" s="2154" t="n"/>
      <c r="AR118" s="2154" t="n"/>
      <c r="AS118" s="2154" t="n"/>
      <c r="AT118" s="2253">
        <f>INDEX(SP_CS_StockPrice,0,COLUMN())/INDEX(SP_CFA_CFO_PerShare,0,COLUMN())</f>
        <v/>
      </c>
      <c r="AU118" s="2154" t="n"/>
      <c r="AV118" s="2154" t="n"/>
      <c r="AW118" s="2154" t="n"/>
      <c r="AX118" s="2154" t="n"/>
      <c r="AY118" s="2253">
        <f>INDEX(SP_CS_StockPrice,0,COLUMN())/INDEX(SP_CFA_CFO_PerShare,0,COLUMN())</f>
        <v/>
      </c>
      <c r="AZ118" s="2154" t="n"/>
      <c r="BA118" s="2154" t="n"/>
      <c r="BB118" s="2154" t="n"/>
      <c r="BC118" s="2154" t="n"/>
      <c r="BD118" s="2253">
        <f>INDEX(SP_CS_StockPrice,0,COLUMN())/INDEX(SP_CFA_CFO_PerShare,0,COLUMN())</f>
        <v/>
      </c>
      <c r="BE118" s="2154" t="n"/>
      <c r="BF118" s="2154" t="n"/>
      <c r="BG118" s="2154" t="n"/>
      <c r="BH118" s="2154" t="n"/>
      <c r="BI118" s="2253">
        <f>INDEX(SP_CS_StockPrice,0,COLUMN())/INDEX(SP_CFA_CFO_PerShare,0,COLUMN())</f>
        <v/>
      </c>
      <c r="BJ118" s="2154" t="n"/>
      <c r="BK118" s="2154" t="n"/>
      <c r="BL118" s="2154" t="n"/>
      <c r="BM118" s="2154" t="n"/>
      <c r="BN118" s="2253">
        <f>INDEX(SP_CS_StockPrice,0,COLUMN())/INDEX(SP_CFA_CFO_PerShare,0,COLUMN())</f>
        <v/>
      </c>
      <c r="BO118" s="2154" t="n"/>
      <c r="BP118" s="2154" t="n"/>
      <c r="BQ118" s="2156" t="n"/>
      <c r="BR118" s="2154" t="n"/>
      <c r="BS118" s="2253">
        <f>INDEX(SP_CS_StockPrice,0,COLUMN())/INDEX(SP_CFA_CFO_PerShare,0,COLUMN())</f>
        <v/>
      </c>
      <c r="BT118" s="2154" t="n"/>
      <c r="BU118" s="2154" t="n"/>
      <c r="BV118" s="2154" t="n"/>
      <c r="BW118" s="2154" t="n"/>
      <c r="BX118" s="2253">
        <f>INDEX(SP_CS_StockPrice,0,COLUMN())/INDEX(SP_CFA_CFO_PerShare,0,COLUMN())</f>
        <v/>
      </c>
      <c r="BY118" s="2253">
        <f>INDEX(SP_CS_StockPrice,0,COLUMN())/INDEX(SP_CFA_CFO_PerShare,0,COLUMN())</f>
        <v/>
      </c>
      <c r="BZ118" s="2253">
        <f>INDEX(SP_CS_StockPrice,0,COLUMN())/INDEX(SP_CFA_CFO_PerShare,0,COLUMN())</f>
        <v/>
      </c>
      <c r="CA118" s="2253">
        <f>INDEX(SP_CS_StockPrice,0,COLUMN())/INDEX(SP_CFA_CFO_PerShare,0,COLUMN())</f>
        <v/>
      </c>
      <c r="CB118" s="2154" t="n"/>
    </row>
    <row r="119" ht="15" customFormat="1" customHeight="1" s="2165">
      <c r="A119" s="2160">
        <f>"FCF Yield % to "&amp;SP.ValuationToggle&amp;" Market Cap"</f>
        <v/>
      </c>
      <c r="B119" s="2216" t="n"/>
      <c r="C119" s="2136">
        <f>INDEX(SP_CFA_FCF_PreDiv,0,COLUMN())/INDEX(SP_CS_MarketCap,0,COLUMN())</f>
        <v/>
      </c>
      <c r="D119" s="2136">
        <f>INDEX(SP_CFA_FCF_PreDiv,0,COLUMN())/INDEX(SP_CS_MarketCap,0,COLUMN())</f>
        <v/>
      </c>
      <c r="E119" s="2136">
        <f>INDEX(SP_CFA_FCF_PreDiv,0,COLUMN())/INDEX(SP_CS_MarketCap,0,COLUMN())</f>
        <v/>
      </c>
      <c r="F119" s="2136">
        <f>INDEX(SP_CFA_FCF_PreDiv,0,COLUMN())/INDEX(SP_CS_MarketCap,0,COLUMN())</f>
        <v/>
      </c>
      <c r="G119" s="2218" t="n"/>
      <c r="H119" s="2218" t="n"/>
      <c r="I119" s="2218" t="n"/>
      <c r="J119" s="2218" t="n"/>
      <c r="K119" s="2136">
        <f>INDEX(SP_CFA_FCF_PreDiv,0,COLUMN())/INDEX(SP_CS_MarketCap,0,COLUMN())</f>
        <v/>
      </c>
      <c r="L119" s="2218" t="n"/>
      <c r="M119" s="2218" t="n"/>
      <c r="N119" s="2218" t="n"/>
      <c r="O119" s="2218" t="n"/>
      <c r="P119" s="2136">
        <f>INDEX(SP_CFA_FCF_PreDiv,0,COLUMN())/INDEX(SP_CS_MarketCap,0,COLUMN())</f>
        <v/>
      </c>
      <c r="Q119" s="2218" t="n"/>
      <c r="R119" s="2218" t="n"/>
      <c r="S119" s="2218" t="n"/>
      <c r="T119" s="2218" t="n"/>
      <c r="U119" s="2136">
        <f>INDEX(SP_CFA_FCF_PreDiv,0,COLUMN())/INDEX(SP_CS_MarketCap,0,COLUMN())</f>
        <v/>
      </c>
      <c r="V119" s="2218" t="n"/>
      <c r="W119" s="2218" t="n"/>
      <c r="X119" s="2218" t="n"/>
      <c r="Y119" s="2218" t="n"/>
      <c r="Z119" s="2136">
        <f>INDEX(SP_CFA_FCF_PreDiv,0,COLUMN())/INDEX(SP_CS_MarketCap,0,COLUMN())</f>
        <v/>
      </c>
      <c r="AA119" s="2218" t="n"/>
      <c r="AB119" s="2218" t="n"/>
      <c r="AC119" s="2218" t="n"/>
      <c r="AD119" s="2218" t="n"/>
      <c r="AE119" s="2136">
        <f>INDEX(SP_CFA_FCF_PreDiv,0,COLUMN())/INDEX(SP_CS_MarketCap,0,COLUMN())</f>
        <v/>
      </c>
      <c r="AF119" s="2218" t="n"/>
      <c r="AG119" s="2218" t="n"/>
      <c r="AH119" s="2218" t="n"/>
      <c r="AI119" s="2218" t="n"/>
      <c r="AJ119" s="2136">
        <f>INDEX(SP_CFA_FCF_PreDiv,0,COLUMN())/INDEX(SP_CS_MarketCap,0,COLUMN())</f>
        <v/>
      </c>
      <c r="AK119" s="2218" t="n"/>
      <c r="AL119" s="2218" t="n"/>
      <c r="AM119" s="2218" t="n"/>
      <c r="AN119" s="2218" t="n"/>
      <c r="AO119" s="2136">
        <f>INDEX(SP_CFA_FCF_PreDiv,0,COLUMN())/INDEX(SP_CS_MarketCap,0,COLUMN())</f>
        <v/>
      </c>
      <c r="AP119" s="2218" t="n"/>
      <c r="AQ119" s="2218" t="n"/>
      <c r="AR119" s="2218" t="n"/>
      <c r="AS119" s="2218" t="n"/>
      <c r="AT119" s="2136">
        <f>INDEX(SP_CFA_FCF_PreDiv,0,COLUMN())/INDEX(SP_CS_MarketCap,0,COLUMN())</f>
        <v/>
      </c>
      <c r="AU119" s="2218" t="n"/>
      <c r="AV119" s="2218" t="n"/>
      <c r="AW119" s="2218" t="n"/>
      <c r="AX119" s="2218" t="n"/>
      <c r="AY119" s="2136">
        <f>INDEX(SP_CFA_FCF_PreDiv,0,COLUMN())/INDEX(SP_CS_MarketCap,0,COLUMN())</f>
        <v/>
      </c>
      <c r="AZ119" s="2218" t="n"/>
      <c r="BA119" s="2218" t="n"/>
      <c r="BB119" s="2218" t="n"/>
      <c r="BC119" s="2218" t="n"/>
      <c r="BD119" s="2136">
        <f>INDEX(SP_CFA_FCF_PreDiv,0,COLUMN())/INDEX(SP_CS_MarketCap,0,COLUMN())</f>
        <v/>
      </c>
      <c r="BE119" s="2218" t="n"/>
      <c r="BF119" s="2218" t="n"/>
      <c r="BG119" s="2218" t="n"/>
      <c r="BH119" s="2218" t="n"/>
      <c r="BI119" s="2136">
        <f>INDEX(SP_CFA_FCF_PreDiv,0,COLUMN())/INDEX(SP_CS_MarketCap,0,COLUMN())</f>
        <v/>
      </c>
      <c r="BJ119" s="2218" t="n"/>
      <c r="BK119" s="2218" t="n"/>
      <c r="BL119" s="2218" t="n"/>
      <c r="BM119" s="2218" t="n"/>
      <c r="BN119" s="2136">
        <f>INDEX(SP_CFA_FCF_PreDiv,0,COLUMN())/INDEX(SP_CS_MarketCap,0,COLUMN())</f>
        <v/>
      </c>
      <c r="BO119" s="2218" t="n"/>
      <c r="BP119" s="2218" t="n"/>
      <c r="BQ119" s="2219" t="n"/>
      <c r="BR119" s="2218" t="n"/>
      <c r="BS119" s="2136">
        <f>INDEX(SP_CFA_FCF_PreDiv,0,COLUMN())/INDEX(SP_CS_MarketCap,0,COLUMN())</f>
        <v/>
      </c>
      <c r="BT119" s="2218" t="n"/>
      <c r="BU119" s="2218" t="n"/>
      <c r="BV119" s="2218" t="n"/>
      <c r="BW119" s="2218" t="n"/>
      <c r="BX119" s="2136">
        <f>INDEX(SP_CFA_FCF_PreDiv,0,COLUMN())/INDEX(SP_CS_MarketCap,0,COLUMN())</f>
        <v/>
      </c>
      <c r="BY119" s="2136">
        <f>INDEX(SP_CFA_FCF_PreDiv,0,COLUMN())/INDEX(SP_CS_MarketCap,0,COLUMN())</f>
        <v/>
      </c>
      <c r="BZ119" s="2136">
        <f>INDEX(SP_CFA_FCF_PreDiv,0,COLUMN())/INDEX(SP_CS_MarketCap,0,COLUMN())</f>
        <v/>
      </c>
      <c r="CA119" s="2136">
        <f>INDEX(SP_CFA_FCF_PreDiv,0,COLUMN())/INDEX(SP_CS_MarketCap,0,COLUMN())</f>
        <v/>
      </c>
      <c r="CB119" s="2109" t="n"/>
    </row>
    <row r="120" ht="15" customFormat="1" customHeight="1" s="2165">
      <c r="A120" s="2160">
        <f>"FCF Yield % to "&amp;SP.ValuationToggle&amp;" Enterprise Value"</f>
        <v/>
      </c>
      <c r="B120" s="2216" t="n"/>
      <c r="C120" s="2136">
        <f>INDEX(SP_CFA_FCF_PreDiv,0,COLUMN())/INDEX(SP_CS_EV,0,COLUMN())</f>
        <v/>
      </c>
      <c r="D120" s="2136">
        <f>INDEX(SP_CFA_FCF_PreDiv,0,COLUMN())/INDEX(SP_CS_EV,0,COLUMN())</f>
        <v/>
      </c>
      <c r="E120" s="2136">
        <f>INDEX(SP_CFA_FCF_PreDiv,0,COLUMN())/INDEX(SP_CS_EV,0,COLUMN())</f>
        <v/>
      </c>
      <c r="F120" s="2136">
        <f>INDEX(SP_CFA_FCF_PreDiv,0,COLUMN())/INDEX(SP_CS_EV,0,COLUMN())</f>
        <v/>
      </c>
      <c r="G120" s="2218" t="n"/>
      <c r="H120" s="2218" t="n"/>
      <c r="I120" s="2218" t="n"/>
      <c r="J120" s="2218" t="n"/>
      <c r="K120" s="2136">
        <f>INDEX(SP_CFA_FCF_PreDiv,0,COLUMN())/INDEX(SP_CS_EV,0,COLUMN())</f>
        <v/>
      </c>
      <c r="L120" s="2218" t="n"/>
      <c r="M120" s="2218" t="n"/>
      <c r="N120" s="2218" t="n"/>
      <c r="O120" s="2218" t="n"/>
      <c r="P120" s="2136">
        <f>INDEX(SP_CFA_FCF_PreDiv,0,COLUMN())/INDEX(SP_CS_EV,0,COLUMN())</f>
        <v/>
      </c>
      <c r="Q120" s="2218" t="n"/>
      <c r="R120" s="2218" t="n"/>
      <c r="S120" s="2218" t="n"/>
      <c r="T120" s="2218" t="n"/>
      <c r="U120" s="2136">
        <f>INDEX(SP_CFA_FCF_PreDiv,0,COLUMN())/INDEX(SP_CS_EV,0,COLUMN())</f>
        <v/>
      </c>
      <c r="V120" s="2218" t="n"/>
      <c r="W120" s="2218" t="n"/>
      <c r="X120" s="2218" t="n"/>
      <c r="Y120" s="2218" t="n"/>
      <c r="Z120" s="2136">
        <f>INDEX(SP_CFA_FCF_PreDiv,0,COLUMN())/INDEX(SP_CS_EV,0,COLUMN())</f>
        <v/>
      </c>
      <c r="AA120" s="2218" t="n"/>
      <c r="AB120" s="2218" t="n"/>
      <c r="AC120" s="2218" t="n"/>
      <c r="AD120" s="2218" t="n"/>
      <c r="AE120" s="2136">
        <f>INDEX(SP_CFA_FCF_PreDiv,0,COLUMN())/INDEX(SP_CS_EV,0,COLUMN())</f>
        <v/>
      </c>
      <c r="AF120" s="2218" t="n"/>
      <c r="AG120" s="2218" t="n"/>
      <c r="AH120" s="2218" t="n"/>
      <c r="AI120" s="2218" t="n"/>
      <c r="AJ120" s="2136">
        <f>INDEX(SP_CFA_FCF_PreDiv,0,COLUMN())/INDEX(SP_CS_EV,0,COLUMN())</f>
        <v/>
      </c>
      <c r="AK120" s="2218" t="n"/>
      <c r="AL120" s="2218" t="n"/>
      <c r="AM120" s="2218" t="n"/>
      <c r="AN120" s="2218" t="n"/>
      <c r="AO120" s="2136">
        <f>INDEX(SP_CFA_FCF_PreDiv,0,COLUMN())/INDEX(SP_CS_EV,0,COLUMN())</f>
        <v/>
      </c>
      <c r="AP120" s="2218" t="n"/>
      <c r="AQ120" s="2218" t="n"/>
      <c r="AR120" s="2218" t="n"/>
      <c r="AS120" s="2218" t="n"/>
      <c r="AT120" s="2136">
        <f>INDEX(SP_CFA_FCF_PreDiv,0,COLUMN())/INDEX(SP_CS_EV,0,COLUMN())</f>
        <v/>
      </c>
      <c r="AU120" s="2218" t="n"/>
      <c r="AV120" s="2218" t="n"/>
      <c r="AW120" s="2218" t="n"/>
      <c r="AX120" s="2218" t="n"/>
      <c r="AY120" s="2136">
        <f>INDEX(SP_CFA_FCF_PreDiv,0,COLUMN())/INDEX(SP_CS_EV,0,COLUMN())</f>
        <v/>
      </c>
      <c r="AZ120" s="2218" t="n"/>
      <c r="BA120" s="2218" t="n"/>
      <c r="BB120" s="2218" t="n"/>
      <c r="BC120" s="2218" t="n"/>
      <c r="BD120" s="2136">
        <f>INDEX(SP_CFA_FCF_PreDiv,0,COLUMN())/INDEX(SP_CS_EV,0,COLUMN())</f>
        <v/>
      </c>
      <c r="BE120" s="2218" t="n"/>
      <c r="BF120" s="2218" t="n"/>
      <c r="BG120" s="2218" t="n"/>
      <c r="BH120" s="2218" t="n"/>
      <c r="BI120" s="2136">
        <f>INDEX(SP_CFA_FCF_PreDiv,0,COLUMN())/INDEX(SP_CS_EV,0,COLUMN())</f>
        <v/>
      </c>
      <c r="BJ120" s="2218" t="n"/>
      <c r="BK120" s="2218" t="n"/>
      <c r="BL120" s="2218" t="n"/>
      <c r="BM120" s="2218" t="n"/>
      <c r="BN120" s="2136">
        <f>INDEX(SP_CFA_FCF_PreDiv,0,COLUMN())/INDEX(SP_CS_EV,0,COLUMN())</f>
        <v/>
      </c>
      <c r="BO120" s="2218" t="n"/>
      <c r="BP120" s="2218" t="n"/>
      <c r="BQ120" s="2219" t="n"/>
      <c r="BR120" s="2218" t="n"/>
      <c r="BS120" s="2136">
        <f>INDEX(SP_CFA_FCF_PreDiv,0,COLUMN())/INDEX(SP_CS_EV,0,COLUMN())</f>
        <v/>
      </c>
      <c r="BT120" s="2218" t="n"/>
      <c r="BU120" s="2218" t="n"/>
      <c r="BV120" s="2218" t="n"/>
      <c r="BW120" s="2218" t="n"/>
      <c r="BX120" s="2136">
        <f>INDEX(SP_CFA_FCF_PreDiv,0,COLUMN())/INDEX(SP_CS_EV,0,COLUMN())</f>
        <v/>
      </c>
      <c r="BY120" s="2136">
        <f>INDEX(SP_CFA_FCF_PreDiv,0,COLUMN())/INDEX(SP_CS_EV,0,COLUMN())</f>
        <v/>
      </c>
      <c r="BZ120" s="2136">
        <f>INDEX(SP_CFA_FCF_PreDiv,0,COLUMN())/INDEX(SP_CS_EV,0,COLUMN())</f>
        <v/>
      </c>
      <c r="CA120" s="2136">
        <f>INDEX(SP_CFA_FCF_PreDiv,0,COLUMN())/INDEX(SP_CS_EV,0,COLUMN())</f>
        <v/>
      </c>
      <c r="CB120" s="2109" t="n"/>
    </row>
    <row r="121" ht="15" customFormat="1" customHeight="1" s="2165">
      <c r="A121" s="2160" t="n"/>
      <c r="B121" s="2216" t="n"/>
      <c r="C121" s="2136" t="n"/>
      <c r="D121" s="2136" t="n"/>
      <c r="E121" s="2136" t="n"/>
      <c r="F121" s="2136" t="n"/>
      <c r="G121" s="2218" t="n"/>
      <c r="H121" s="2218" t="n"/>
      <c r="I121" s="2218" t="n"/>
      <c r="J121" s="2218" t="n"/>
      <c r="K121" s="2136" t="n"/>
      <c r="L121" s="2218" t="n"/>
      <c r="M121" s="2218" t="n"/>
      <c r="N121" s="2218" t="n"/>
      <c r="O121" s="2218" t="n"/>
      <c r="P121" s="2136" t="n"/>
      <c r="Q121" s="2218" t="n"/>
      <c r="R121" s="2218" t="n"/>
      <c r="S121" s="2218" t="n"/>
      <c r="T121" s="2218" t="n"/>
      <c r="U121" s="2136" t="n"/>
      <c r="V121" s="2218" t="n"/>
      <c r="W121" s="2218" t="n"/>
      <c r="X121" s="2218" t="n"/>
      <c r="Y121" s="2218" t="n"/>
      <c r="Z121" s="2136" t="n"/>
      <c r="AA121" s="2218" t="n"/>
      <c r="AB121" s="2218" t="n"/>
      <c r="AC121" s="2218" t="n"/>
      <c r="AD121" s="2218" t="n"/>
      <c r="AE121" s="2136" t="n"/>
      <c r="AF121" s="2218" t="n"/>
      <c r="AG121" s="2218" t="n"/>
      <c r="AH121" s="2218" t="n"/>
      <c r="AI121" s="2218" t="n"/>
      <c r="AJ121" s="2136" t="n"/>
      <c r="AK121" s="2218" t="n"/>
      <c r="AL121" s="2218" t="n"/>
      <c r="AM121" s="2218" t="n"/>
      <c r="AN121" s="2218" t="n"/>
      <c r="AO121" s="2136" t="n"/>
      <c r="AP121" s="2218" t="n"/>
      <c r="AQ121" s="2218" t="n"/>
      <c r="AR121" s="2218" t="n"/>
      <c r="AS121" s="2218" t="n"/>
      <c r="AT121" s="2136" t="n"/>
      <c r="AU121" s="2218" t="n"/>
      <c r="AV121" s="2218" t="n"/>
      <c r="AW121" s="2218" t="n"/>
      <c r="AX121" s="2218" t="n"/>
      <c r="AY121" s="2136" t="n"/>
      <c r="AZ121" s="2218" t="n"/>
      <c r="BA121" s="2218" t="n"/>
      <c r="BB121" s="2218" t="n"/>
      <c r="BC121" s="2218" t="n"/>
      <c r="BD121" s="2136" t="n"/>
      <c r="BE121" s="2218" t="n"/>
      <c r="BF121" s="2218" t="n"/>
      <c r="BG121" s="2218" t="n"/>
      <c r="BH121" s="2218" t="n"/>
      <c r="BI121" s="2136" t="n"/>
      <c r="BJ121" s="2218" t="n"/>
      <c r="BK121" s="2218" t="n"/>
      <c r="BL121" s="2218" t="n"/>
      <c r="BM121" s="2218" t="n"/>
      <c r="BN121" s="2136" t="n"/>
      <c r="BO121" s="2218" t="n"/>
      <c r="BP121" s="2218" t="n"/>
      <c r="BQ121" s="2219" t="n"/>
      <c r="BR121" s="2218" t="n"/>
      <c r="BS121" s="2136" t="n"/>
      <c r="BT121" s="2218" t="n"/>
      <c r="BU121" s="2218" t="n"/>
      <c r="BV121" s="2218" t="n"/>
      <c r="BW121" s="2218" t="n"/>
      <c r="BX121" s="2136" t="n"/>
      <c r="BY121" s="2136" t="n"/>
      <c r="BZ121" s="2136" t="n"/>
      <c r="CA121" s="2136" t="n"/>
      <c r="CB121" s="2109" t="n"/>
    </row>
    <row r="122" ht="15" customHeight="1" s="972">
      <c r="A122" s="2183" t="inlineStr">
        <is>
          <t>Check</t>
        </is>
      </c>
      <c r="B122" s="2206" t="n"/>
      <c r="C122" s="2206" t="n"/>
      <c r="D122" s="2206" t="n"/>
      <c r="E122" s="2206" t="n"/>
      <c r="F122" s="2206" t="n"/>
      <c r="G122" s="2206" t="n"/>
      <c r="H122" s="2206" t="n"/>
      <c r="I122" s="2206" t="n"/>
      <c r="J122" s="2206" t="n"/>
      <c r="K122" s="2206" t="n"/>
      <c r="L122" s="2206" t="n"/>
      <c r="M122" s="2206" t="n"/>
      <c r="N122" s="2206" t="n"/>
      <c r="O122" s="2206" t="n"/>
      <c r="P122" s="2206" t="n"/>
      <c r="Q122" s="2206" t="n"/>
      <c r="R122" s="2206" t="n"/>
      <c r="S122" s="2206" t="n"/>
      <c r="T122" s="2206" t="n"/>
      <c r="U122" s="2206" t="n"/>
      <c r="V122" s="2206" t="n"/>
      <c r="W122" s="2206" t="n"/>
      <c r="X122" s="2206" t="n"/>
      <c r="Y122" s="2206" t="n"/>
      <c r="Z122" s="2206" t="n"/>
      <c r="AA122" s="2206" t="n"/>
      <c r="AB122" s="2206" t="n"/>
      <c r="AC122" s="2206" t="n"/>
      <c r="AD122" s="2206" t="n"/>
      <c r="AE122" s="2206" t="n"/>
      <c r="AF122" s="2206" t="n"/>
      <c r="AG122" s="2206" t="n"/>
      <c r="AH122" s="2206" t="n"/>
      <c r="AI122" s="2206" t="n"/>
      <c r="AJ122" s="2206" t="n"/>
      <c r="AK122" s="2206" t="n"/>
      <c r="AL122" s="2206" t="n"/>
      <c r="AM122" s="2206" t="n"/>
      <c r="AN122" s="2206" t="n"/>
      <c r="AO122" s="2206" t="n"/>
      <c r="AP122" s="2206" t="n"/>
      <c r="AQ122" s="2206" t="n"/>
      <c r="AR122" s="2206" t="n"/>
      <c r="AS122" s="2206" t="n"/>
      <c r="AT122" s="2206" t="n"/>
      <c r="AU122" s="2206" t="n"/>
      <c r="AV122" s="2206" t="n"/>
      <c r="AW122" s="2206" t="n"/>
      <c r="AX122" s="2206" t="n"/>
      <c r="AY122" s="2206" t="n"/>
      <c r="AZ122" s="2206" t="n"/>
      <c r="BA122" s="2206" t="n"/>
      <c r="BB122" s="2206" t="n"/>
      <c r="BC122" s="2206" t="n"/>
      <c r="BD122" s="2206" t="n"/>
      <c r="BE122" s="2206" t="n"/>
      <c r="BF122" s="2206" t="n"/>
      <c r="BG122" s="2206" t="n"/>
      <c r="BH122" s="2206" t="n"/>
      <c r="BI122" s="2206" t="n"/>
      <c r="BJ122" s="2206" t="n"/>
      <c r="BK122" s="2206" t="n"/>
      <c r="BL122" s="2206" t="n"/>
      <c r="BM122" s="2206" t="n"/>
      <c r="BN122" s="2206" t="n"/>
      <c r="BO122" s="2206" t="n"/>
      <c r="BP122" s="2206" t="n"/>
      <c r="BQ122" s="2207" t="n"/>
      <c r="BR122" s="2206" t="n"/>
      <c r="BS122" s="2206" t="n"/>
      <c r="BT122" s="2206" t="n"/>
      <c r="BU122" s="2206" t="n"/>
      <c r="BV122" s="2206" t="n"/>
      <c r="BW122" s="2206" t="n"/>
      <c r="BX122" s="2206" t="n"/>
      <c r="BY122" s="2206" t="n"/>
      <c r="BZ122" s="2206" t="n"/>
      <c r="CA122" s="2206" t="n"/>
      <c r="CB122" s="2109" t="n"/>
    </row>
    <row r="123" hidden="1" outlineLevel="1" ht="15" customHeight="1" s="972">
      <c r="A123" s="2072" t="inlineStr">
        <is>
          <t>Non-GAAP Operating Income</t>
        </is>
      </c>
      <c r="B123" s="67" t="n"/>
      <c r="C123" s="1586">
        <f>ROUND(INDEX(SP_GF_Reported_OperatingIncome_NONGAAP,0,COLUMN())-INDEX(MO_RIS_Reported_OperatingIncome_NONGAAP,0,COLUMN()),6)</f>
        <v/>
      </c>
      <c r="D123" s="1586">
        <f>ROUND(INDEX(SP_GF_Reported_OperatingIncome_NONGAAP,0,COLUMN())-INDEX(MO_RIS_Reported_OperatingIncome_NONGAAP,0,COLUMN()),6)</f>
        <v/>
      </c>
      <c r="E123" s="1586">
        <f>ROUND(INDEX(SP_GF_Reported_OperatingIncome_NONGAAP,0,COLUMN())-INDEX(MO_RIS_Reported_OperatingIncome_NONGAAP,0,COLUMN()),6)</f>
        <v/>
      </c>
      <c r="F123" s="1586">
        <f>ROUND(INDEX(SP_GF_Reported_OperatingIncome_NONGAAP,0,COLUMN())-INDEX(MO_RIS_Reported_OperatingIncome_NONGAAP,0,COLUMN()),6)</f>
        <v/>
      </c>
      <c r="G123" s="1586">
        <f>ROUND(INDEX(SP_GF_Reported_OperatingIncome_NONGAAP,0,COLUMN())-INDEX(MO_RIS_Reported_OperatingIncome_NONGAAP,0,COLUMN()),6)</f>
        <v/>
      </c>
      <c r="H123" s="1586">
        <f>ROUND(INDEX(SP_GF_Reported_OperatingIncome_NONGAAP,0,COLUMN())-INDEX(MO_RIS_Reported_OperatingIncome_NONGAAP,0,COLUMN()),6)</f>
        <v/>
      </c>
      <c r="I123" s="1586">
        <f>ROUND(INDEX(SP_GF_Reported_OperatingIncome_NONGAAP,0,COLUMN())-INDEX(MO_RIS_Reported_OperatingIncome_NONGAAP,0,COLUMN()),6)</f>
        <v/>
      </c>
      <c r="J123" s="1586">
        <f>ROUND(INDEX(SP_GF_Reported_OperatingIncome_NONGAAP,0,COLUMN())-INDEX(MO_RIS_Reported_OperatingIncome_NONGAAP,0,COLUMN()),6)</f>
        <v/>
      </c>
      <c r="K123" s="1586">
        <f>ROUND(INDEX(SP_GF_Reported_OperatingIncome_NONGAAP,0,COLUMN())-INDEX(MO_RIS_Reported_OperatingIncome_NONGAAP,0,COLUMN()),6)</f>
        <v/>
      </c>
      <c r="L123" s="1586">
        <f>ROUND(INDEX(SP_GF_Reported_OperatingIncome_NONGAAP,0,COLUMN())-INDEX(MO_RIS_Reported_OperatingIncome_NONGAAP,0,COLUMN()),6)</f>
        <v/>
      </c>
      <c r="M123" s="1586">
        <f>ROUND(INDEX(SP_GF_Reported_OperatingIncome_NONGAAP,0,COLUMN())-INDEX(MO_RIS_Reported_OperatingIncome_NONGAAP,0,COLUMN()),6)</f>
        <v/>
      </c>
      <c r="N123" s="1586">
        <f>ROUND(INDEX(SP_GF_Reported_OperatingIncome_NONGAAP,0,COLUMN())-INDEX(MO_RIS_Reported_OperatingIncome_NONGAAP,0,COLUMN()),6)</f>
        <v/>
      </c>
      <c r="O123" s="1586">
        <f>ROUND(INDEX(SP_GF_Reported_OperatingIncome_NONGAAP,0,COLUMN())-INDEX(MO_RIS_Reported_OperatingIncome_NONGAAP,0,COLUMN()),6)</f>
        <v/>
      </c>
      <c r="P123" s="1586">
        <f>ROUND(INDEX(SP_GF_Reported_OperatingIncome_NONGAAP,0,COLUMN())-INDEX(MO_RIS_Reported_OperatingIncome_NONGAAP,0,COLUMN()),6)</f>
        <v/>
      </c>
      <c r="Q123" s="1586">
        <f>ROUND(INDEX(SP_GF_Reported_OperatingIncome_NONGAAP,0,COLUMN())-INDEX(MO_RIS_Reported_OperatingIncome_NONGAAP,0,COLUMN()),6)</f>
        <v/>
      </c>
      <c r="R123" s="1586">
        <f>ROUND(INDEX(SP_GF_Reported_OperatingIncome_NONGAAP,0,COLUMN())-INDEX(MO_RIS_Reported_OperatingIncome_NONGAAP,0,COLUMN()),6)</f>
        <v/>
      </c>
      <c r="S123" s="1586">
        <f>ROUND(INDEX(SP_GF_Reported_OperatingIncome_NONGAAP,0,COLUMN())-INDEX(MO_RIS_Reported_OperatingIncome_NONGAAP,0,COLUMN()),6)</f>
        <v/>
      </c>
      <c r="T123" s="1586">
        <f>ROUND(INDEX(SP_GF_Reported_OperatingIncome_NONGAAP,0,COLUMN())-INDEX(MO_RIS_Reported_OperatingIncome_NONGAAP,0,COLUMN()),6)</f>
        <v/>
      </c>
      <c r="U123" s="1586">
        <f>ROUND(INDEX(SP_GF_Reported_OperatingIncome_NONGAAP,0,COLUMN())-INDEX(MO_RIS_Reported_OperatingIncome_NONGAAP,0,COLUMN()),6)</f>
        <v/>
      </c>
      <c r="V123" s="1586">
        <f>ROUND(INDEX(SP_GF_Reported_OperatingIncome_NONGAAP,0,COLUMN())-INDEX(MO_RIS_Reported_OperatingIncome_NONGAAP,0,COLUMN()),6)</f>
        <v/>
      </c>
      <c r="W123" s="1586">
        <f>ROUND(INDEX(SP_GF_Reported_OperatingIncome_NONGAAP,0,COLUMN())-INDEX(MO_RIS_Reported_OperatingIncome_NONGAAP,0,COLUMN()),6)</f>
        <v/>
      </c>
      <c r="X123" s="1586">
        <f>ROUND(INDEX(SP_GF_Reported_OperatingIncome_NONGAAP,0,COLUMN())-INDEX(MO_RIS_Reported_OperatingIncome_NONGAAP,0,COLUMN()),6)</f>
        <v/>
      </c>
      <c r="Y123" s="1586">
        <f>ROUND(INDEX(SP_GF_Reported_OperatingIncome_NONGAAP,0,COLUMN())-INDEX(MO_RIS_Reported_OperatingIncome_NONGAAP,0,COLUMN()),6)</f>
        <v/>
      </c>
      <c r="Z123" s="1586">
        <f>ROUND(INDEX(SP_GF_Reported_OperatingIncome_NONGAAP,0,COLUMN())-INDEX(MO_RIS_Reported_OperatingIncome_NONGAAP,0,COLUMN()),6)</f>
        <v/>
      </c>
      <c r="AA123" s="1586">
        <f>ROUND(INDEX(SP_GF_Reported_OperatingIncome_NONGAAP,0,COLUMN())-INDEX(MO_RIS_Reported_OperatingIncome_NONGAAP,0,COLUMN()),6)</f>
        <v/>
      </c>
      <c r="AB123" s="1586">
        <f>ROUND(INDEX(SP_GF_Reported_OperatingIncome_NONGAAP,0,COLUMN())-INDEX(MO_RIS_Reported_OperatingIncome_NONGAAP,0,COLUMN()),6)</f>
        <v/>
      </c>
      <c r="AC123" s="1586">
        <f>ROUND(INDEX(SP_GF_Reported_OperatingIncome_NONGAAP,0,COLUMN())-INDEX(MO_RIS_Reported_OperatingIncome_NONGAAP,0,COLUMN()),6)</f>
        <v/>
      </c>
      <c r="AD123" s="1586">
        <f>ROUND(INDEX(SP_GF_Reported_OperatingIncome_NONGAAP,0,COLUMN())-INDEX(MO_RIS_Reported_OperatingIncome_NONGAAP,0,COLUMN()),6)</f>
        <v/>
      </c>
      <c r="AE123" s="1586">
        <f>ROUND(INDEX(SP_GF_Reported_OperatingIncome_NONGAAP,0,COLUMN())-INDEX(MO_RIS_Reported_OperatingIncome_NONGAAP,0,COLUMN()),6)</f>
        <v/>
      </c>
      <c r="AF123" s="1586">
        <f>ROUND(INDEX(SP_GF_Reported_OperatingIncome_NONGAAP,0,COLUMN())-INDEX(MO_RIS_Reported_OperatingIncome_NONGAAP,0,COLUMN()),6)</f>
        <v/>
      </c>
      <c r="AG123" s="1586">
        <f>ROUND(INDEX(SP_GF_Reported_OperatingIncome_NONGAAP,0,COLUMN())-INDEX(MO_RIS_Reported_OperatingIncome_NONGAAP,0,COLUMN()),6)</f>
        <v/>
      </c>
      <c r="AH123" s="1586">
        <f>ROUND(INDEX(SP_GF_Reported_OperatingIncome_NONGAAP,0,COLUMN())-INDEX(MO_RIS_Reported_OperatingIncome_NONGAAP,0,COLUMN()),6)</f>
        <v/>
      </c>
      <c r="AI123" s="1586">
        <f>ROUND(INDEX(SP_GF_Reported_OperatingIncome_NONGAAP,0,COLUMN())-INDEX(MO_RIS_Reported_OperatingIncome_NONGAAP,0,COLUMN()),6)</f>
        <v/>
      </c>
      <c r="AJ123" s="1586">
        <f>ROUND(INDEX(SP_GF_Reported_OperatingIncome_NONGAAP,0,COLUMN())-INDEX(MO_RIS_Reported_OperatingIncome_NONGAAP,0,COLUMN()),6)</f>
        <v/>
      </c>
      <c r="AK123" s="1586">
        <f>ROUND(INDEX(SP_GF_Reported_OperatingIncome_NONGAAP,0,COLUMN())-INDEX(MO_RIS_Reported_OperatingIncome_NONGAAP,0,COLUMN()),6)</f>
        <v/>
      </c>
      <c r="AL123" s="1586">
        <f>ROUND(INDEX(SP_GF_Reported_OperatingIncome_NONGAAP,0,COLUMN())-INDEX(MO_RIS_Reported_OperatingIncome_NONGAAP,0,COLUMN()),6)</f>
        <v/>
      </c>
      <c r="AM123" s="1586">
        <f>ROUND(INDEX(SP_GF_Reported_OperatingIncome_NONGAAP,0,COLUMN())-INDEX(MO_RIS_Reported_OperatingIncome_NONGAAP,0,COLUMN()),6)</f>
        <v/>
      </c>
      <c r="AN123" s="1586">
        <f>ROUND(INDEX(SP_GF_Reported_OperatingIncome_NONGAAP,0,COLUMN())-INDEX(MO_RIS_Reported_OperatingIncome_NONGAAP,0,COLUMN()),6)</f>
        <v/>
      </c>
      <c r="AO123" s="1586">
        <f>ROUND(INDEX(SP_GF_Reported_OperatingIncome_NONGAAP,0,COLUMN())-INDEX(MO_RIS_Reported_OperatingIncome_NONGAAP,0,COLUMN()),6)</f>
        <v/>
      </c>
      <c r="AP123" s="1586">
        <f>ROUND(INDEX(SP_GF_Reported_OperatingIncome_NONGAAP,0,COLUMN())-INDEX(MO_RIS_Reported_OperatingIncome_NONGAAP,0,COLUMN()),6)</f>
        <v/>
      </c>
      <c r="AQ123" s="1586">
        <f>ROUND(INDEX(SP_GF_Reported_OperatingIncome_NONGAAP,0,COLUMN())-INDEX(MO_RIS_Reported_OperatingIncome_NONGAAP,0,COLUMN()),6)</f>
        <v/>
      </c>
      <c r="AR123" s="1586">
        <f>ROUND(INDEX(SP_GF_Reported_OperatingIncome_NONGAAP,0,COLUMN())-INDEX(MO_RIS_Reported_OperatingIncome_NONGAAP,0,COLUMN()),6)</f>
        <v/>
      </c>
      <c r="AS123" s="1586">
        <f>ROUND(INDEX(SP_GF_Reported_OperatingIncome_NONGAAP,0,COLUMN())-INDEX(MO_RIS_Reported_OperatingIncome_NONGAAP,0,COLUMN()),6)</f>
        <v/>
      </c>
      <c r="AT123" s="1586">
        <f>ROUND(INDEX(SP_GF_Reported_OperatingIncome_NONGAAP,0,COLUMN())-INDEX(MO_RIS_Reported_OperatingIncome_NONGAAP,0,COLUMN()),6)</f>
        <v/>
      </c>
      <c r="AU123" s="1586">
        <f>ROUND(INDEX(SP_GF_Reported_OperatingIncome_NONGAAP,0,COLUMN())-INDEX(MO_RIS_Reported_OperatingIncome_NONGAAP,0,COLUMN()),6)</f>
        <v/>
      </c>
      <c r="AV123" s="1586">
        <f>ROUND(INDEX(SP_GF_Reported_OperatingIncome_NONGAAP,0,COLUMN())-INDEX(MO_RIS_Reported_OperatingIncome_NONGAAP,0,COLUMN()),6)</f>
        <v/>
      </c>
      <c r="AW123" s="1586">
        <f>ROUND(INDEX(SP_GF_Reported_OperatingIncome_NONGAAP,0,COLUMN())-INDEX(MO_RIS_Reported_OperatingIncome_NONGAAP,0,COLUMN()),6)</f>
        <v/>
      </c>
      <c r="AX123" s="1586">
        <f>ROUND(INDEX(SP_GF_Reported_OperatingIncome_NONGAAP,0,COLUMN())-INDEX(MO_RIS_Reported_OperatingIncome_NONGAAP,0,COLUMN()),6)</f>
        <v/>
      </c>
      <c r="AY123" s="1586">
        <f>ROUND(INDEX(SP_GF_Reported_OperatingIncome_NONGAAP,0,COLUMN())-INDEX(MO_RIS_Reported_OperatingIncome_NONGAAP,0,COLUMN()),6)</f>
        <v/>
      </c>
      <c r="AZ123" s="1586">
        <f>ROUND(INDEX(SP_GF_Reported_OperatingIncome_NONGAAP,0,COLUMN())-INDEX(MO_RIS_Reported_OperatingIncome_NONGAAP,0,COLUMN()),6)</f>
        <v/>
      </c>
      <c r="BA123" s="1586">
        <f>ROUND(INDEX(SP_GF_Reported_OperatingIncome_NONGAAP,0,COLUMN())-INDEX(MO_RIS_Reported_OperatingIncome_NONGAAP,0,COLUMN()),6)</f>
        <v/>
      </c>
      <c r="BB123" s="1586">
        <f>ROUND(INDEX(SP_GF_Reported_OperatingIncome_NONGAAP,0,COLUMN())-INDEX(MO_RIS_Reported_OperatingIncome_NONGAAP,0,COLUMN()),6)</f>
        <v/>
      </c>
      <c r="BC123" s="1586">
        <f>ROUND(INDEX(SP_GF_Reported_OperatingIncome_NONGAAP,0,COLUMN())-INDEX(MO_RIS_Reported_OperatingIncome_NONGAAP,0,COLUMN()),6)</f>
        <v/>
      </c>
      <c r="BD123" s="1586">
        <f>ROUND(INDEX(SP_GF_Reported_OperatingIncome_NONGAAP,0,COLUMN())-INDEX(MO_RIS_Reported_OperatingIncome_NONGAAP,0,COLUMN()),6)</f>
        <v/>
      </c>
      <c r="BE123" s="1586">
        <f>ROUND(INDEX(SP_GF_Reported_OperatingIncome_NONGAAP,0,COLUMN())-INDEX(MO_RIS_Reported_OperatingIncome_NONGAAP,0,COLUMN()),6)</f>
        <v/>
      </c>
      <c r="BF123" s="1586">
        <f>ROUND(INDEX(SP_GF_Reported_OperatingIncome_NONGAAP,0,COLUMN())-INDEX(MO_RIS_Reported_OperatingIncome_NONGAAP,0,COLUMN()),6)</f>
        <v/>
      </c>
      <c r="BG123" s="1586">
        <f>ROUND(INDEX(SP_GF_Reported_OperatingIncome_NONGAAP,0,COLUMN())-INDEX(MO_RIS_Reported_OperatingIncome_NONGAAP,0,COLUMN()),6)</f>
        <v/>
      </c>
      <c r="BH123" s="1586">
        <f>ROUND(INDEX(SP_GF_Reported_OperatingIncome_NONGAAP,0,COLUMN())-INDEX(MO_RIS_Reported_OperatingIncome_NONGAAP,0,COLUMN()),6)</f>
        <v/>
      </c>
      <c r="BI123" s="1586">
        <f>ROUND(INDEX(SP_GF_Reported_OperatingIncome_NONGAAP,0,COLUMN())-INDEX(MO_RIS_Reported_OperatingIncome_NONGAAP,0,COLUMN()),6)</f>
        <v/>
      </c>
      <c r="BJ123" s="1586">
        <f>ROUND(INDEX(SP_GF_Reported_OperatingIncome_NONGAAP,0,COLUMN())-INDEX(MO_RIS_Reported_OperatingIncome_NONGAAP,0,COLUMN()),6)</f>
        <v/>
      </c>
      <c r="BK123" s="1586">
        <f>ROUND(INDEX(SP_GF_Reported_OperatingIncome_NONGAAP,0,COLUMN())-INDEX(MO_RIS_Reported_OperatingIncome_NONGAAP,0,COLUMN()),6)</f>
        <v/>
      </c>
      <c r="BL123" s="1586">
        <f>ROUND(INDEX(SP_GF_Reported_OperatingIncome_NONGAAP,0,COLUMN())-INDEX(MO_RIS_Reported_OperatingIncome_NONGAAP,0,COLUMN()),6)</f>
        <v/>
      </c>
      <c r="BM123" s="1586">
        <f>ROUND(INDEX(SP_GF_Reported_OperatingIncome_NONGAAP,0,COLUMN())-INDEX(MO_RIS_Reported_OperatingIncome_NONGAAP,0,COLUMN()),6)</f>
        <v/>
      </c>
      <c r="BN123" s="1586">
        <f>ROUND(INDEX(SP_GF_Reported_OperatingIncome_NONGAAP,0,COLUMN())-INDEX(MO_RIS_Reported_OperatingIncome_NONGAAP,0,COLUMN()),6)</f>
        <v/>
      </c>
      <c r="BO123" s="1586">
        <f>ROUND(INDEX(SP_GF_Reported_OperatingIncome_NONGAAP,0,COLUMN())-INDEX(MO_RIS_Reported_OperatingIncome_NONGAAP,0,COLUMN()),6)</f>
        <v/>
      </c>
      <c r="BP123" s="1586">
        <f>ROUND(INDEX(SP_GF_Reported_OperatingIncome_NONGAAP,0,COLUMN())-INDEX(MO_RIS_Reported_OperatingIncome_NONGAAP,0,COLUMN()),6)</f>
        <v/>
      </c>
      <c r="BQ123" s="1587">
        <f>ROUND(INDEX(SP_GF_Reported_OperatingIncome_NONGAAP,0,COLUMN())-INDEX(MO_RIS_Reported_OperatingIncome_NONGAAP,0,COLUMN()),6)</f>
        <v/>
      </c>
      <c r="BR123" s="1586">
        <f>ROUND(INDEX(SP_GF_Reported_OperatingIncome_NONGAAP,0,COLUMN())-INDEX(MO_RIS_Reported_OperatingIncome_NONGAAP,0,COLUMN()),6)</f>
        <v/>
      </c>
      <c r="BS123" s="1586">
        <f>ROUND(INDEX(SP_GF_Reported_OperatingIncome_NONGAAP,0,COLUMN())-INDEX(MO_RIS_Reported_OperatingIncome_NONGAAP,0,COLUMN()),6)</f>
        <v/>
      </c>
      <c r="BT123" s="1586">
        <f>ROUND(INDEX(SP_GF_Reported_OperatingIncome_NONGAAP,0,COLUMN())-INDEX(MO_RIS_Reported_OperatingIncome_NONGAAP,0,COLUMN()),6)</f>
        <v/>
      </c>
      <c r="BU123" s="1586">
        <f>ROUND(INDEX(SP_GF_Reported_OperatingIncome_NONGAAP,0,COLUMN())-INDEX(MO_RIS_Reported_OperatingIncome_NONGAAP,0,COLUMN()),6)</f>
        <v/>
      </c>
      <c r="BV123" s="1586">
        <f>ROUND(INDEX(SP_GF_Reported_OperatingIncome_NONGAAP,0,COLUMN())-INDEX(MO_RIS_Reported_OperatingIncome_NONGAAP,0,COLUMN()),6)</f>
        <v/>
      </c>
      <c r="BW123" s="1586">
        <f>ROUND(INDEX(SP_GF_Reported_OperatingIncome_NONGAAP,0,COLUMN())-INDEX(MO_RIS_Reported_OperatingIncome_NONGAAP,0,COLUMN()),6)</f>
        <v/>
      </c>
      <c r="BX123" s="1586">
        <f>ROUND(INDEX(SP_GF_Reported_OperatingIncome_NONGAAP,0,COLUMN())-INDEX(MO_RIS_Reported_OperatingIncome_NONGAAP,0,COLUMN()),6)</f>
        <v/>
      </c>
      <c r="BY123" s="1586">
        <f>ROUND(INDEX(SP_GF_Reported_OperatingIncome_NONGAAP,0,COLUMN())-INDEX(MO_RIS_Reported_OperatingIncome_NONGAAP,0,COLUMN()),6)</f>
        <v/>
      </c>
      <c r="BZ123" s="1586">
        <f>ROUND(INDEX(SP_GF_Reported_OperatingIncome_NONGAAP,0,COLUMN())-INDEX(MO_RIS_Reported_OperatingIncome_NONGAAP,0,COLUMN()),6)</f>
        <v/>
      </c>
      <c r="CA123" s="1586">
        <f>ROUND(INDEX(SP_GF_Reported_OperatingIncome_NONGAAP,0,COLUMN())-INDEX(MO_RIS_Reported_OperatingIncome_NONGAAP,0,COLUMN()),6)</f>
        <v/>
      </c>
      <c r="CB123" s="2109" t="n"/>
    </row>
    <row r="124" hidden="1" outlineLevel="1" ht="15" customHeight="1" s="972">
      <c r="A124" s="2072" t="inlineStr">
        <is>
          <t>Adjusted EBITDA</t>
        </is>
      </c>
      <c r="B124" s="67" t="n"/>
      <c r="C124" s="1586">
        <f>ROUND(INDEX(SP_NGF_EBITDA,0,COLUMN())-INDEX(MO_RIS_EBITDA_Adj,0,COLUMN()),6)</f>
        <v/>
      </c>
      <c r="D124" s="1586">
        <f>ROUND(INDEX(SP_NGF_EBITDA,0,COLUMN())-INDEX(MO_RIS_EBITDA_Adj,0,COLUMN()),6)</f>
        <v/>
      </c>
      <c r="E124" s="1586">
        <f>ROUND(INDEX(SP_NGF_EBITDA,0,COLUMN())-INDEX(MO_RIS_EBITDA_Adj,0,COLUMN()),6)</f>
        <v/>
      </c>
      <c r="F124" s="1586">
        <f>ROUND(INDEX(SP_NGF_EBITDA,0,COLUMN())-INDEX(MO_RIS_EBITDA_Adj,0,COLUMN()),6)</f>
        <v/>
      </c>
      <c r="G124" s="1586">
        <f>ROUND(INDEX(SP_NGF_EBITDA,0,COLUMN())-INDEX(MO_RIS_EBITDA_Adj,0,COLUMN()),6)</f>
        <v/>
      </c>
      <c r="H124" s="1586">
        <f>ROUND(INDEX(SP_NGF_EBITDA,0,COLUMN())-INDEX(MO_RIS_EBITDA_Adj,0,COLUMN()),6)</f>
        <v/>
      </c>
      <c r="I124" s="1586">
        <f>ROUND(INDEX(SP_NGF_EBITDA,0,COLUMN())-INDEX(MO_RIS_EBITDA_Adj,0,COLUMN()),6)</f>
        <v/>
      </c>
      <c r="J124" s="1586">
        <f>ROUND(INDEX(SP_NGF_EBITDA,0,COLUMN())-INDEX(MO_RIS_EBITDA_Adj,0,COLUMN()),6)</f>
        <v/>
      </c>
      <c r="K124" s="1586">
        <f>ROUND(INDEX(SP_NGF_EBITDA,0,COLUMN())-INDEX(MO_RIS_EBITDA_Adj,0,COLUMN()),6)</f>
        <v/>
      </c>
      <c r="L124" s="1586">
        <f>ROUND(INDEX(SP_NGF_EBITDA,0,COLUMN())-INDEX(MO_RIS_EBITDA_Adj,0,COLUMN()),6)</f>
        <v/>
      </c>
      <c r="M124" s="1586">
        <f>ROUND(INDEX(SP_NGF_EBITDA,0,COLUMN())-INDEX(MO_RIS_EBITDA_Adj,0,COLUMN()),6)</f>
        <v/>
      </c>
      <c r="N124" s="1586">
        <f>ROUND(INDEX(SP_NGF_EBITDA,0,COLUMN())-INDEX(MO_RIS_EBITDA_Adj,0,COLUMN()),6)</f>
        <v/>
      </c>
      <c r="O124" s="1586">
        <f>ROUND(INDEX(SP_NGF_EBITDA,0,COLUMN())-INDEX(MO_RIS_EBITDA_Adj,0,COLUMN()),6)</f>
        <v/>
      </c>
      <c r="P124" s="1586">
        <f>ROUND(INDEX(SP_NGF_EBITDA,0,COLUMN())-INDEX(MO_RIS_EBITDA_Adj,0,COLUMN()),6)</f>
        <v/>
      </c>
      <c r="Q124" s="1586">
        <f>ROUND(INDEX(SP_NGF_EBITDA,0,COLUMN())-INDEX(MO_RIS_EBITDA_Adj,0,COLUMN()),6)</f>
        <v/>
      </c>
      <c r="R124" s="1586">
        <f>ROUND(INDEX(SP_NGF_EBITDA,0,COLUMN())-INDEX(MO_RIS_EBITDA_Adj,0,COLUMN()),6)</f>
        <v/>
      </c>
      <c r="S124" s="1586">
        <f>ROUND(INDEX(SP_NGF_EBITDA,0,COLUMN())-INDEX(MO_RIS_EBITDA_Adj,0,COLUMN()),6)</f>
        <v/>
      </c>
      <c r="T124" s="1586">
        <f>ROUND(INDEX(SP_NGF_EBITDA,0,COLUMN())-INDEX(MO_RIS_EBITDA_Adj,0,COLUMN()),6)</f>
        <v/>
      </c>
      <c r="U124" s="1586">
        <f>ROUND(INDEX(SP_NGF_EBITDA,0,COLUMN())-INDEX(MO_RIS_EBITDA_Adj,0,COLUMN()),6)</f>
        <v/>
      </c>
      <c r="V124" s="1586">
        <f>ROUND(INDEX(SP_NGF_EBITDA,0,COLUMN())-INDEX(MO_RIS_EBITDA_Adj,0,COLUMN()),6)</f>
        <v/>
      </c>
      <c r="W124" s="1586">
        <f>ROUND(INDEX(SP_NGF_EBITDA,0,COLUMN())-INDEX(MO_RIS_EBITDA_Adj,0,COLUMN()),6)</f>
        <v/>
      </c>
      <c r="X124" s="1586">
        <f>ROUND(INDEX(SP_NGF_EBITDA,0,COLUMN())-INDEX(MO_RIS_EBITDA_Adj,0,COLUMN()),6)</f>
        <v/>
      </c>
      <c r="Y124" s="1586">
        <f>ROUND(INDEX(SP_NGF_EBITDA,0,COLUMN())-INDEX(MO_RIS_EBITDA_Adj,0,COLUMN()),6)</f>
        <v/>
      </c>
      <c r="Z124" s="1586">
        <f>ROUND(INDEX(SP_NGF_EBITDA,0,COLUMN())-INDEX(MO_RIS_EBITDA_Adj,0,COLUMN()),6)</f>
        <v/>
      </c>
      <c r="AA124" s="1586">
        <f>ROUND(INDEX(SP_NGF_EBITDA,0,COLUMN())-INDEX(MO_RIS_EBITDA_Adj,0,COLUMN()),6)</f>
        <v/>
      </c>
      <c r="AB124" s="1586">
        <f>ROUND(INDEX(SP_NGF_EBITDA,0,COLUMN())-INDEX(MO_RIS_EBITDA_Adj,0,COLUMN()),6)</f>
        <v/>
      </c>
      <c r="AC124" s="1586">
        <f>ROUND(INDEX(SP_NGF_EBITDA,0,COLUMN())-INDEX(MO_RIS_EBITDA_Adj,0,COLUMN()),6)</f>
        <v/>
      </c>
      <c r="AD124" s="1586">
        <f>ROUND(INDEX(SP_NGF_EBITDA,0,COLUMN())-INDEX(MO_RIS_EBITDA_Adj,0,COLUMN()),6)</f>
        <v/>
      </c>
      <c r="AE124" s="1586">
        <f>ROUND(INDEX(SP_NGF_EBITDA,0,COLUMN())-INDEX(MO_RIS_EBITDA_Adj,0,COLUMN()),6)</f>
        <v/>
      </c>
      <c r="AF124" s="1586">
        <f>ROUND(INDEX(SP_NGF_EBITDA,0,COLUMN())-INDEX(MO_RIS_EBITDA_Adj,0,COLUMN()),6)</f>
        <v/>
      </c>
      <c r="AG124" s="1586">
        <f>ROUND(INDEX(SP_NGF_EBITDA,0,COLUMN())-INDEX(MO_RIS_EBITDA_Adj,0,COLUMN()),6)</f>
        <v/>
      </c>
      <c r="AH124" s="1586">
        <f>ROUND(INDEX(SP_NGF_EBITDA,0,COLUMN())-INDEX(MO_RIS_EBITDA_Adj,0,COLUMN()),6)</f>
        <v/>
      </c>
      <c r="AI124" s="1586">
        <f>ROUND(INDEX(SP_NGF_EBITDA,0,COLUMN())-INDEX(MO_RIS_EBITDA_Adj,0,COLUMN()),6)</f>
        <v/>
      </c>
      <c r="AJ124" s="1586">
        <f>ROUND(INDEX(SP_NGF_EBITDA,0,COLUMN())-INDEX(MO_RIS_EBITDA_Adj,0,COLUMN()),6)</f>
        <v/>
      </c>
      <c r="AK124" s="1586">
        <f>ROUND(INDEX(SP_NGF_EBITDA,0,COLUMN())-INDEX(MO_RIS_EBITDA_Adj,0,COLUMN()),6)</f>
        <v/>
      </c>
      <c r="AL124" s="1586">
        <f>ROUND(INDEX(SP_NGF_EBITDA,0,COLUMN())-INDEX(MO_RIS_EBITDA_Adj,0,COLUMN()),6)</f>
        <v/>
      </c>
      <c r="AM124" s="1586">
        <f>ROUND(INDEX(SP_NGF_EBITDA,0,COLUMN())-INDEX(MO_RIS_EBITDA_Adj,0,COLUMN()),6)</f>
        <v/>
      </c>
      <c r="AN124" s="1586">
        <f>ROUND(INDEX(SP_NGF_EBITDA,0,COLUMN())-INDEX(MO_RIS_EBITDA_Adj,0,COLUMN()),6)</f>
        <v/>
      </c>
      <c r="AO124" s="1586">
        <f>ROUND(INDEX(SP_NGF_EBITDA,0,COLUMN())-INDEX(MO_RIS_EBITDA_Adj,0,COLUMN()),6)</f>
        <v/>
      </c>
      <c r="AP124" s="1586">
        <f>ROUND(INDEX(SP_NGF_EBITDA,0,COLUMN())-INDEX(MO_RIS_EBITDA_Adj,0,COLUMN()),6)</f>
        <v/>
      </c>
      <c r="AQ124" s="1586">
        <f>ROUND(INDEX(SP_NGF_EBITDA,0,COLUMN())-INDEX(MO_RIS_EBITDA_Adj,0,COLUMN()),6)</f>
        <v/>
      </c>
      <c r="AR124" s="1586">
        <f>ROUND(INDEX(SP_NGF_EBITDA,0,COLUMN())-INDEX(MO_RIS_EBITDA_Adj,0,COLUMN()),6)</f>
        <v/>
      </c>
      <c r="AS124" s="1586">
        <f>ROUND(INDEX(SP_NGF_EBITDA,0,COLUMN())-INDEX(MO_RIS_EBITDA_Adj,0,COLUMN()),6)</f>
        <v/>
      </c>
      <c r="AT124" s="1586">
        <f>ROUND(INDEX(SP_NGF_EBITDA,0,COLUMN())-INDEX(MO_RIS_EBITDA_Adj,0,COLUMN()),6)</f>
        <v/>
      </c>
      <c r="AU124" s="1586">
        <f>ROUND(INDEX(SP_NGF_EBITDA,0,COLUMN())-INDEX(MO_RIS_EBITDA_Adj,0,COLUMN()),6)</f>
        <v/>
      </c>
      <c r="AV124" s="1586">
        <f>ROUND(INDEX(SP_NGF_EBITDA,0,COLUMN())-INDEX(MO_RIS_EBITDA_Adj,0,COLUMN()),6)</f>
        <v/>
      </c>
      <c r="AW124" s="1586">
        <f>ROUND(INDEX(SP_NGF_EBITDA,0,COLUMN())-INDEX(MO_RIS_EBITDA_Adj,0,COLUMN()),6)</f>
        <v/>
      </c>
      <c r="AX124" s="1586">
        <f>ROUND(INDEX(SP_NGF_EBITDA,0,COLUMN())-INDEX(MO_RIS_EBITDA_Adj,0,COLUMN()),6)</f>
        <v/>
      </c>
      <c r="AY124" s="1586">
        <f>ROUND(INDEX(SP_NGF_EBITDA,0,COLUMN())-INDEX(MO_RIS_EBITDA_Adj,0,COLUMN()),6)</f>
        <v/>
      </c>
      <c r="AZ124" s="1586">
        <f>ROUND(INDEX(SP_NGF_EBITDA,0,COLUMN())-INDEX(MO_RIS_EBITDA_Adj,0,COLUMN()),6)</f>
        <v/>
      </c>
      <c r="BA124" s="1586">
        <f>ROUND(INDEX(SP_NGF_EBITDA,0,COLUMN())-INDEX(MO_RIS_EBITDA_Adj,0,COLUMN()),6)</f>
        <v/>
      </c>
      <c r="BB124" s="1586">
        <f>ROUND(INDEX(SP_NGF_EBITDA,0,COLUMN())-INDEX(MO_RIS_EBITDA_Adj,0,COLUMN()),6)</f>
        <v/>
      </c>
      <c r="BC124" s="1586">
        <f>ROUND(INDEX(SP_NGF_EBITDA,0,COLUMN())-INDEX(MO_RIS_EBITDA_Adj,0,COLUMN()),6)</f>
        <v/>
      </c>
      <c r="BD124" s="1586">
        <f>ROUND(INDEX(SP_NGF_EBITDA,0,COLUMN())-INDEX(MO_RIS_EBITDA_Adj,0,COLUMN()),6)</f>
        <v/>
      </c>
      <c r="BE124" s="1586">
        <f>ROUND(INDEX(SP_NGF_EBITDA,0,COLUMN())-INDEX(MO_RIS_EBITDA_Adj,0,COLUMN()),6)</f>
        <v/>
      </c>
      <c r="BF124" s="1586">
        <f>ROUND(INDEX(SP_NGF_EBITDA,0,COLUMN())-INDEX(MO_RIS_EBITDA_Adj,0,COLUMN()),6)</f>
        <v/>
      </c>
      <c r="BG124" s="1586">
        <f>ROUND(INDEX(SP_NGF_EBITDA,0,COLUMN())-INDEX(MO_RIS_EBITDA_Adj,0,COLUMN()),6)</f>
        <v/>
      </c>
      <c r="BH124" s="1586">
        <f>ROUND(INDEX(SP_NGF_EBITDA,0,COLUMN())-INDEX(MO_RIS_EBITDA_Adj,0,COLUMN()),6)</f>
        <v/>
      </c>
      <c r="BI124" s="1586">
        <f>ROUND(INDEX(SP_NGF_EBITDA,0,COLUMN())-INDEX(MO_RIS_EBITDA_Adj,0,COLUMN()),6)</f>
        <v/>
      </c>
      <c r="BJ124" s="1586">
        <f>ROUND(INDEX(SP_NGF_EBITDA,0,COLUMN())-INDEX(MO_RIS_EBITDA_Adj,0,COLUMN()),6)</f>
        <v/>
      </c>
      <c r="BK124" s="1586">
        <f>ROUND(INDEX(SP_NGF_EBITDA,0,COLUMN())-INDEX(MO_RIS_EBITDA_Adj,0,COLUMN()),6)</f>
        <v/>
      </c>
      <c r="BL124" s="1586">
        <f>ROUND(INDEX(SP_NGF_EBITDA,0,COLUMN())-INDEX(MO_RIS_EBITDA_Adj,0,COLUMN()),6)</f>
        <v/>
      </c>
      <c r="BM124" s="1586">
        <f>ROUND(INDEX(SP_NGF_EBITDA,0,COLUMN())-INDEX(MO_RIS_EBITDA_Adj,0,COLUMN()),6)</f>
        <v/>
      </c>
      <c r="BN124" s="1586">
        <f>ROUND(INDEX(SP_NGF_EBITDA,0,COLUMN())-INDEX(MO_RIS_EBITDA_Adj,0,COLUMN()),6)</f>
        <v/>
      </c>
      <c r="BO124" s="1586">
        <f>ROUND(INDEX(SP_NGF_EBITDA,0,COLUMN())-INDEX(MO_RIS_EBITDA_Adj,0,COLUMN()),6)</f>
        <v/>
      </c>
      <c r="BP124" s="1586">
        <f>ROUND(INDEX(SP_NGF_EBITDA,0,COLUMN())-INDEX(MO_RIS_EBITDA_Adj,0,COLUMN()),6)</f>
        <v/>
      </c>
      <c r="BQ124" s="1587">
        <f>ROUND(INDEX(SP_NGF_EBITDA,0,COLUMN())-INDEX(MO_RIS_EBITDA_Adj,0,COLUMN()),6)</f>
        <v/>
      </c>
      <c r="BR124" s="1586">
        <f>ROUND(INDEX(SP_NGF_EBITDA,0,COLUMN())-INDEX(MO_RIS_EBITDA_Adj,0,COLUMN()),6)</f>
        <v/>
      </c>
      <c r="BS124" s="1586">
        <f>ROUND(INDEX(SP_NGF_EBITDA,0,COLUMN())-INDEX(MO_RIS_EBITDA_Adj,0,COLUMN()),6)</f>
        <v/>
      </c>
      <c r="BT124" s="1586">
        <f>ROUND(INDEX(SP_NGF_EBITDA,0,COLUMN())-INDEX(MO_RIS_EBITDA_Adj,0,COLUMN()),6)</f>
        <v/>
      </c>
      <c r="BU124" s="1586">
        <f>ROUND(INDEX(SP_NGF_EBITDA,0,COLUMN())-INDEX(MO_RIS_EBITDA_Adj,0,COLUMN()),6)</f>
        <v/>
      </c>
      <c r="BV124" s="1586">
        <f>ROUND(INDEX(SP_NGF_EBITDA,0,COLUMN())-INDEX(MO_RIS_EBITDA_Adj,0,COLUMN()),6)</f>
        <v/>
      </c>
      <c r="BW124" s="1586">
        <f>ROUND(INDEX(SP_NGF_EBITDA,0,COLUMN())-INDEX(MO_RIS_EBITDA_Adj,0,COLUMN()),6)</f>
        <v/>
      </c>
      <c r="BX124" s="1586">
        <f>ROUND(INDEX(SP_NGF_EBITDA,0,COLUMN())-INDEX(MO_RIS_EBITDA_Adj,0,COLUMN()),6)</f>
        <v/>
      </c>
      <c r="BY124" s="1586">
        <f>ROUND(INDEX(SP_NGF_EBITDA,0,COLUMN())-INDEX(MO_RIS_EBITDA_Adj,0,COLUMN()),6)</f>
        <v/>
      </c>
      <c r="BZ124" s="1586">
        <f>ROUND(INDEX(SP_NGF_EBITDA,0,COLUMN())-INDEX(MO_RIS_EBITDA_Adj,0,COLUMN()),6)</f>
        <v/>
      </c>
      <c r="CA124" s="1586">
        <f>ROUND(INDEX(SP_NGF_EBITDA,0,COLUMN())-INDEX(MO_RIS_EBITDA_Adj,0,COLUMN()),6)</f>
        <v/>
      </c>
      <c r="CB124" s="2109" t="n"/>
    </row>
    <row r="125" hidden="1" outlineLevel="1" ht="15" customHeight="1" s="972">
      <c r="A125" s="2072" t="inlineStr">
        <is>
          <t>Non GAAP NI</t>
        </is>
      </c>
      <c r="B125" s="67" t="n"/>
      <c r="C125" s="1586">
        <f>ROUND(INDEX(SP_NGF_NI,0,COLUMN())-INDEX(MO_RIS_NI_NONGAAP_Diluted,0,COLUMN()),6)</f>
        <v/>
      </c>
      <c r="D125" s="1586">
        <f>ROUND(INDEX(SP_NGF_NI,0,COLUMN())-INDEX(MO_RIS_NI_NONGAAP_Diluted,0,COLUMN()),6)</f>
        <v/>
      </c>
      <c r="E125" s="1586">
        <f>ROUND(INDEX(SP_NGF_NI,0,COLUMN())-INDEX(MO_RIS_NI_NONGAAP_Diluted,0,COLUMN()),6)</f>
        <v/>
      </c>
      <c r="F125" s="1586">
        <f>ROUND(INDEX(SP_NGF_NI,0,COLUMN())-INDEX(MO_RIS_NI_NONGAAP_Diluted,0,COLUMN()),6)</f>
        <v/>
      </c>
      <c r="G125" s="1586">
        <f>ROUND(INDEX(SP_NGF_NI,0,COLUMN())-INDEX(MO_RIS_NI_NONGAAP_Diluted,0,COLUMN()),6)</f>
        <v/>
      </c>
      <c r="H125" s="1586">
        <f>ROUND(INDEX(SP_NGF_NI,0,COLUMN())-INDEX(MO_RIS_NI_NONGAAP_Diluted,0,COLUMN()),6)</f>
        <v/>
      </c>
      <c r="I125" s="1586">
        <f>ROUND(INDEX(SP_NGF_NI,0,COLUMN())-INDEX(MO_RIS_NI_NONGAAP_Diluted,0,COLUMN()),6)</f>
        <v/>
      </c>
      <c r="J125" s="1586">
        <f>ROUND(INDEX(SP_NGF_NI,0,COLUMN())-INDEX(MO_RIS_NI_NONGAAP_Diluted,0,COLUMN()),6)</f>
        <v/>
      </c>
      <c r="K125" s="1586">
        <f>ROUND(INDEX(SP_NGF_NI,0,COLUMN())-INDEX(MO_RIS_NI_NONGAAP_Diluted,0,COLUMN()),6)</f>
        <v/>
      </c>
      <c r="L125" s="1586">
        <f>ROUND(INDEX(SP_NGF_NI,0,COLUMN())-INDEX(MO_RIS_NI_NONGAAP_Diluted,0,COLUMN()),6)</f>
        <v/>
      </c>
      <c r="M125" s="1586">
        <f>ROUND(INDEX(SP_NGF_NI,0,COLUMN())-INDEX(MO_RIS_NI_NONGAAP_Diluted,0,COLUMN()),6)</f>
        <v/>
      </c>
      <c r="N125" s="1586">
        <f>ROUND(INDEX(SP_NGF_NI,0,COLUMN())-INDEX(MO_RIS_NI_NONGAAP_Diluted,0,COLUMN()),6)</f>
        <v/>
      </c>
      <c r="O125" s="1586">
        <f>ROUND(INDEX(SP_NGF_NI,0,COLUMN())-INDEX(MO_RIS_NI_NONGAAP_Diluted,0,COLUMN()),6)</f>
        <v/>
      </c>
      <c r="P125" s="1586">
        <f>ROUND(INDEX(SP_NGF_NI,0,COLUMN())-INDEX(MO_RIS_NI_NONGAAP_Diluted,0,COLUMN()),6)</f>
        <v/>
      </c>
      <c r="Q125" s="1586">
        <f>ROUND(INDEX(SP_NGF_NI,0,COLUMN())-INDEX(MO_RIS_NI_NONGAAP_Diluted,0,COLUMN()),6)</f>
        <v/>
      </c>
      <c r="R125" s="1586">
        <f>ROUND(INDEX(SP_NGF_NI,0,COLUMN())-INDEX(MO_RIS_NI_NONGAAP_Diluted,0,COLUMN()),6)</f>
        <v/>
      </c>
      <c r="S125" s="1586">
        <f>ROUND(INDEX(SP_NGF_NI,0,COLUMN())-INDEX(MO_RIS_NI_NONGAAP_Diluted,0,COLUMN()),6)</f>
        <v/>
      </c>
      <c r="T125" s="1586">
        <f>ROUND(INDEX(SP_NGF_NI,0,COLUMN())-INDEX(MO_RIS_NI_NONGAAP_Diluted,0,COLUMN()),6)</f>
        <v/>
      </c>
      <c r="U125" s="1586">
        <f>ROUND(INDEX(SP_NGF_NI,0,COLUMN())-INDEX(MO_RIS_NI_NONGAAP_Diluted,0,COLUMN()),6)</f>
        <v/>
      </c>
      <c r="V125" s="1586">
        <f>ROUND(INDEX(SP_NGF_NI,0,COLUMN())-INDEX(MO_RIS_NI_NONGAAP_Diluted,0,COLUMN()),6)</f>
        <v/>
      </c>
      <c r="W125" s="1586">
        <f>ROUND(INDEX(SP_NGF_NI,0,COLUMN())-INDEX(MO_RIS_NI_NONGAAP_Diluted,0,COLUMN()),6)</f>
        <v/>
      </c>
      <c r="X125" s="1586">
        <f>ROUND(INDEX(SP_NGF_NI,0,COLUMN())-INDEX(MO_RIS_NI_NONGAAP_Diluted,0,COLUMN()),6)</f>
        <v/>
      </c>
      <c r="Y125" s="1586">
        <f>ROUND(INDEX(SP_NGF_NI,0,COLUMN())-INDEX(MO_RIS_NI_NONGAAP_Diluted,0,COLUMN()),6)</f>
        <v/>
      </c>
      <c r="Z125" s="1586">
        <f>ROUND(INDEX(SP_NGF_NI,0,COLUMN())-INDEX(MO_RIS_NI_NONGAAP_Diluted,0,COLUMN()),6)</f>
        <v/>
      </c>
      <c r="AA125" s="1586">
        <f>ROUND(INDEX(SP_NGF_NI,0,COLUMN())-INDEX(MO_RIS_NI_NONGAAP_Diluted,0,COLUMN()),6)</f>
        <v/>
      </c>
      <c r="AB125" s="1586">
        <f>ROUND(INDEX(SP_NGF_NI,0,COLUMN())-INDEX(MO_RIS_NI_NONGAAP_Diluted,0,COLUMN()),6)</f>
        <v/>
      </c>
      <c r="AC125" s="1586">
        <f>ROUND(INDEX(SP_NGF_NI,0,COLUMN())-INDEX(MO_RIS_NI_NONGAAP_Diluted,0,COLUMN()),6)</f>
        <v/>
      </c>
      <c r="AD125" s="1586">
        <f>ROUND(INDEX(SP_NGF_NI,0,COLUMN())-INDEX(MO_RIS_NI_NONGAAP_Diluted,0,COLUMN()),6)</f>
        <v/>
      </c>
      <c r="AE125" s="1586">
        <f>ROUND(INDEX(SP_NGF_NI,0,COLUMN())-INDEX(MO_RIS_NI_NONGAAP_Diluted,0,COLUMN()),6)</f>
        <v/>
      </c>
      <c r="AF125" s="1586">
        <f>ROUND(INDEX(SP_NGF_NI,0,COLUMN())-INDEX(MO_RIS_NI_NONGAAP_Diluted,0,COLUMN()),6)</f>
        <v/>
      </c>
      <c r="AG125" s="1586">
        <f>ROUND(INDEX(SP_NGF_NI,0,COLUMN())-INDEX(MO_RIS_NI_NONGAAP_Diluted,0,COLUMN()),6)</f>
        <v/>
      </c>
      <c r="AH125" s="1586">
        <f>ROUND(INDEX(SP_NGF_NI,0,COLUMN())-INDEX(MO_RIS_NI_NONGAAP_Diluted,0,COLUMN()),6)</f>
        <v/>
      </c>
      <c r="AI125" s="1586">
        <f>ROUND(INDEX(SP_NGF_NI,0,COLUMN())-INDEX(MO_RIS_NI_NONGAAP_Diluted,0,COLUMN()),6)</f>
        <v/>
      </c>
      <c r="AJ125" s="1586">
        <f>ROUND(INDEX(SP_NGF_NI,0,COLUMN())-INDEX(MO_RIS_NI_NONGAAP_Diluted,0,COLUMN()),6)</f>
        <v/>
      </c>
      <c r="AK125" s="1586">
        <f>ROUND(INDEX(SP_NGF_NI,0,COLUMN())-INDEX(MO_RIS_NI_NONGAAP_Diluted,0,COLUMN()),6)</f>
        <v/>
      </c>
      <c r="AL125" s="1586">
        <f>ROUND(INDEX(SP_NGF_NI,0,COLUMN())-INDEX(MO_RIS_NI_NONGAAP_Diluted,0,COLUMN()),6)</f>
        <v/>
      </c>
      <c r="AM125" s="1586">
        <f>ROUND(INDEX(SP_NGF_NI,0,COLUMN())-INDEX(MO_RIS_NI_NONGAAP_Diluted,0,COLUMN()),6)</f>
        <v/>
      </c>
      <c r="AN125" s="1586">
        <f>ROUND(INDEX(SP_NGF_NI,0,COLUMN())-INDEX(MO_RIS_NI_NONGAAP_Diluted,0,COLUMN()),6)</f>
        <v/>
      </c>
      <c r="AO125" s="1586">
        <f>ROUND(INDEX(SP_NGF_NI,0,COLUMN())-INDEX(MO_RIS_NI_NONGAAP_Diluted,0,COLUMN()),6)</f>
        <v/>
      </c>
      <c r="AP125" s="1586">
        <f>ROUND(INDEX(SP_NGF_NI,0,COLUMN())-INDEX(MO_RIS_NI_NONGAAP_Diluted,0,COLUMN()),6)</f>
        <v/>
      </c>
      <c r="AQ125" s="1586">
        <f>ROUND(INDEX(SP_NGF_NI,0,COLUMN())-INDEX(MO_RIS_NI_NONGAAP_Diluted,0,COLUMN()),6)</f>
        <v/>
      </c>
      <c r="AR125" s="1586">
        <f>ROUND(INDEX(SP_NGF_NI,0,COLUMN())-INDEX(MO_RIS_NI_NONGAAP_Diluted,0,COLUMN()),6)</f>
        <v/>
      </c>
      <c r="AS125" s="1586">
        <f>ROUND(INDEX(SP_NGF_NI,0,COLUMN())-INDEX(MO_RIS_NI_NONGAAP_Diluted,0,COLUMN()),6)</f>
        <v/>
      </c>
      <c r="AT125" s="1586">
        <f>ROUND(INDEX(SP_NGF_NI,0,COLUMN())-INDEX(MO_RIS_NI_NONGAAP_Diluted,0,COLUMN()),6)</f>
        <v/>
      </c>
      <c r="AU125" s="1586">
        <f>ROUND(INDEX(SP_NGF_NI,0,COLUMN())-INDEX(MO_RIS_NI_NONGAAP_Diluted,0,COLUMN()),6)</f>
        <v/>
      </c>
      <c r="AV125" s="1586">
        <f>ROUND(INDEX(SP_NGF_NI,0,COLUMN())-INDEX(MO_RIS_NI_NONGAAP_Diluted,0,COLUMN()),6)</f>
        <v/>
      </c>
      <c r="AW125" s="1586">
        <f>ROUND(INDEX(SP_NGF_NI,0,COLUMN())-INDEX(MO_RIS_NI_NONGAAP_Diluted,0,COLUMN()),6)</f>
        <v/>
      </c>
      <c r="AX125" s="1586">
        <f>ROUND(INDEX(SP_NGF_NI,0,COLUMN())-INDEX(MO_RIS_NI_NONGAAP_Diluted,0,COLUMN()),6)</f>
        <v/>
      </c>
      <c r="AY125" s="1586">
        <f>ROUND(INDEX(SP_NGF_NI,0,COLUMN())-INDEX(MO_RIS_NI_NONGAAP_Diluted,0,COLUMN()),6)</f>
        <v/>
      </c>
      <c r="AZ125" s="1586">
        <f>ROUND(INDEX(SP_NGF_NI,0,COLUMN())-INDEX(MO_RIS_NI_NONGAAP_Diluted,0,COLUMN()),6)</f>
        <v/>
      </c>
      <c r="BA125" s="1586">
        <f>ROUND(INDEX(SP_NGF_NI,0,COLUMN())-INDEX(MO_RIS_NI_NONGAAP_Diluted,0,COLUMN()),6)</f>
        <v/>
      </c>
      <c r="BB125" s="1586">
        <f>ROUND(INDEX(SP_NGF_NI,0,COLUMN())-INDEX(MO_RIS_NI_NONGAAP_Diluted,0,COLUMN()),6)</f>
        <v/>
      </c>
      <c r="BC125" s="1586">
        <f>ROUND(INDEX(SP_NGF_NI,0,COLUMN())-INDEX(MO_RIS_NI_NONGAAP_Diluted,0,COLUMN()),6)</f>
        <v/>
      </c>
      <c r="BD125" s="1586">
        <f>ROUND(INDEX(SP_NGF_NI,0,COLUMN())-INDEX(MO_RIS_NI_NONGAAP_Diluted,0,COLUMN()),6)</f>
        <v/>
      </c>
      <c r="BE125" s="1586">
        <f>ROUND(INDEX(SP_NGF_NI,0,COLUMN())-INDEX(MO_RIS_NI_NONGAAP_Diluted,0,COLUMN()),6)</f>
        <v/>
      </c>
      <c r="BF125" s="1586">
        <f>ROUND(INDEX(SP_NGF_NI,0,COLUMN())-INDEX(MO_RIS_NI_NONGAAP_Diluted,0,COLUMN()),6)</f>
        <v/>
      </c>
      <c r="BG125" s="1586">
        <f>ROUND(INDEX(SP_NGF_NI,0,COLUMN())-INDEX(MO_RIS_NI_NONGAAP_Diluted,0,COLUMN()),6)</f>
        <v/>
      </c>
      <c r="BH125" s="1586">
        <f>ROUND(INDEX(SP_NGF_NI,0,COLUMN())-INDEX(MO_RIS_NI_NONGAAP_Diluted,0,COLUMN()),6)</f>
        <v/>
      </c>
      <c r="BI125" s="1586">
        <f>ROUND(INDEX(SP_NGF_NI,0,COLUMN())-INDEX(MO_RIS_NI_NONGAAP_Diluted,0,COLUMN()),6)</f>
        <v/>
      </c>
      <c r="BJ125" s="1586">
        <f>ROUND(INDEX(SP_NGF_NI,0,COLUMN())-INDEX(MO_RIS_NI_NONGAAP_Diluted,0,COLUMN()),6)</f>
        <v/>
      </c>
      <c r="BK125" s="1586">
        <f>ROUND(INDEX(SP_NGF_NI,0,COLUMN())-INDEX(MO_RIS_NI_NONGAAP_Diluted,0,COLUMN()),6)</f>
        <v/>
      </c>
      <c r="BL125" s="1586">
        <f>ROUND(INDEX(SP_NGF_NI,0,COLUMN())-INDEX(MO_RIS_NI_NONGAAP_Diluted,0,COLUMN()),6)</f>
        <v/>
      </c>
      <c r="BM125" s="1586">
        <f>ROUND(INDEX(SP_NGF_NI,0,COLUMN())-INDEX(MO_RIS_NI_NONGAAP_Diluted,0,COLUMN()),6)</f>
        <v/>
      </c>
      <c r="BN125" s="1586">
        <f>ROUND(INDEX(SP_NGF_NI,0,COLUMN())-INDEX(MO_RIS_NI_NONGAAP_Diluted,0,COLUMN()),6)</f>
        <v/>
      </c>
      <c r="BO125" s="1586">
        <f>ROUND(INDEX(SP_NGF_NI,0,COLUMN())-INDEX(MO_RIS_NI_NONGAAP_Diluted,0,COLUMN()),6)</f>
        <v/>
      </c>
      <c r="BP125" s="1586">
        <f>ROUND(INDEX(SP_NGF_NI,0,COLUMN())-INDEX(MO_RIS_NI_NONGAAP_Diluted,0,COLUMN()),6)</f>
        <v/>
      </c>
      <c r="BQ125" s="1587">
        <f>ROUND(INDEX(SP_NGF_NI,0,COLUMN())-INDEX(MO_RIS_NI_NONGAAP_Diluted,0,COLUMN()),6)</f>
        <v/>
      </c>
      <c r="BR125" s="1586">
        <f>ROUND(INDEX(SP_NGF_NI,0,COLUMN())-INDEX(MO_RIS_NI_NONGAAP_Diluted,0,COLUMN()),6)</f>
        <v/>
      </c>
      <c r="BS125" s="1586">
        <f>ROUND(INDEX(SP_NGF_NI,0,COLUMN())-INDEX(MO_RIS_NI_NONGAAP_Diluted,0,COLUMN()),6)</f>
        <v/>
      </c>
      <c r="BT125" s="1586">
        <f>ROUND(INDEX(SP_NGF_NI,0,COLUMN())-INDEX(MO_RIS_NI_NONGAAP_Diluted,0,COLUMN()),6)</f>
        <v/>
      </c>
      <c r="BU125" s="1586">
        <f>ROUND(INDEX(SP_NGF_NI,0,COLUMN())-INDEX(MO_RIS_NI_NONGAAP_Diluted,0,COLUMN()),6)</f>
        <v/>
      </c>
      <c r="BV125" s="1586">
        <f>ROUND(INDEX(SP_NGF_NI,0,COLUMN())-INDEX(MO_RIS_NI_NONGAAP_Diluted,0,COLUMN()),6)</f>
        <v/>
      </c>
      <c r="BW125" s="1586">
        <f>ROUND(INDEX(SP_NGF_NI,0,COLUMN())-INDEX(MO_RIS_NI_NONGAAP_Diluted,0,COLUMN()),6)</f>
        <v/>
      </c>
      <c r="BX125" s="1586">
        <f>ROUND(INDEX(SP_NGF_NI,0,COLUMN())-INDEX(MO_RIS_NI_NONGAAP_Diluted,0,COLUMN()),6)</f>
        <v/>
      </c>
      <c r="BY125" s="1586">
        <f>ROUND(INDEX(SP_NGF_NI,0,COLUMN())-INDEX(MO_RIS_NI_NONGAAP_Diluted,0,COLUMN()),6)</f>
        <v/>
      </c>
      <c r="BZ125" s="1586">
        <f>ROUND(INDEX(SP_NGF_NI,0,COLUMN())-INDEX(MO_RIS_NI_NONGAAP_Diluted,0,COLUMN()),6)</f>
        <v/>
      </c>
      <c r="CA125" s="1586">
        <f>ROUND(INDEX(SP_NGF_NI,0,COLUMN())-INDEX(MO_RIS_NI_NONGAAP_Diluted,0,COLUMN()),6)</f>
        <v/>
      </c>
      <c r="CB125" s="2109" t="n"/>
    </row>
    <row r="126" hidden="1" outlineLevel="1" ht="15" customHeight="1" s="972">
      <c r="A126" s="2072" t="inlineStr">
        <is>
          <t>GAAP NI</t>
        </is>
      </c>
      <c r="B126" s="67" t="n"/>
      <c r="C126" s="1586">
        <f>ROUND(INDEX(SP_GF_NI,0,COLUMN())-INDEX(MO_RIS_NI_GAAP_Basic,0,COLUMN()),6)</f>
        <v/>
      </c>
      <c r="D126" s="1586">
        <f>ROUND(INDEX(SP_GF_NI,0,COLUMN())-INDEX(MO_RIS_NI_GAAP_Basic,0,COLUMN()),6)</f>
        <v/>
      </c>
      <c r="E126" s="1586">
        <f>ROUND(INDEX(SP_GF_NI,0,COLUMN())-INDEX(MO_RIS_NI_GAAP_Basic,0,COLUMN()),6)</f>
        <v/>
      </c>
      <c r="F126" s="1586">
        <f>ROUND(INDEX(SP_GF_NI,0,COLUMN())-INDEX(MO_RIS_NI_GAAP_Basic,0,COLUMN()),6)</f>
        <v/>
      </c>
      <c r="G126" s="1586">
        <f>ROUND(INDEX(SP_GF_NI,0,COLUMN())-INDEX(MO_RIS_NI_GAAP_Basic,0,COLUMN()),6)</f>
        <v/>
      </c>
      <c r="H126" s="1586">
        <f>ROUND(INDEX(SP_GF_NI,0,COLUMN())-INDEX(MO_RIS_NI_GAAP_Basic,0,COLUMN()),6)</f>
        <v/>
      </c>
      <c r="I126" s="1586">
        <f>ROUND(INDEX(SP_GF_NI,0,COLUMN())-INDEX(MO_RIS_NI_GAAP_Basic,0,COLUMN()),6)</f>
        <v/>
      </c>
      <c r="J126" s="1586">
        <f>ROUND(INDEX(SP_GF_NI,0,COLUMN())-INDEX(MO_RIS_NI_GAAP_Basic,0,COLUMN()),6)</f>
        <v/>
      </c>
      <c r="K126" s="1586">
        <f>ROUND(INDEX(SP_GF_NI,0,COLUMN())-INDEX(MO_RIS_NI_GAAP_Basic,0,COLUMN()),6)</f>
        <v/>
      </c>
      <c r="L126" s="1586">
        <f>ROUND(INDEX(SP_GF_NI,0,COLUMN())-INDEX(MO_RIS_NI_GAAP_Basic,0,COLUMN()),6)</f>
        <v/>
      </c>
      <c r="M126" s="1586">
        <f>ROUND(INDEX(SP_GF_NI,0,COLUMN())-INDEX(MO_RIS_NI_GAAP_Basic,0,COLUMN()),6)</f>
        <v/>
      </c>
      <c r="N126" s="1586">
        <f>ROUND(INDEX(SP_GF_NI,0,COLUMN())-INDEX(MO_RIS_NI_GAAP_Basic,0,COLUMN()),6)</f>
        <v/>
      </c>
      <c r="O126" s="1586">
        <f>ROUND(INDEX(SP_GF_NI,0,COLUMN())-INDEX(MO_RIS_NI_GAAP_Basic,0,COLUMN()),6)</f>
        <v/>
      </c>
      <c r="P126" s="1586">
        <f>ROUND(INDEX(SP_GF_NI,0,COLUMN())-INDEX(MO_RIS_NI_GAAP_Basic,0,COLUMN()),6)</f>
        <v/>
      </c>
      <c r="Q126" s="1586">
        <f>ROUND(INDEX(SP_GF_NI,0,COLUMN())-INDEX(MO_RIS_NI_GAAP_Basic,0,COLUMN()),6)</f>
        <v/>
      </c>
      <c r="R126" s="1586">
        <f>ROUND(INDEX(SP_GF_NI,0,COLUMN())-INDEX(MO_RIS_NI_GAAP_Basic,0,COLUMN()),6)</f>
        <v/>
      </c>
      <c r="S126" s="1586">
        <f>ROUND(INDEX(SP_GF_NI,0,COLUMN())-INDEX(MO_RIS_NI_GAAP_Basic,0,COLUMN()),6)</f>
        <v/>
      </c>
      <c r="T126" s="1586">
        <f>ROUND(INDEX(SP_GF_NI,0,COLUMN())-INDEX(MO_RIS_NI_GAAP_Basic,0,COLUMN()),6)</f>
        <v/>
      </c>
      <c r="U126" s="1586">
        <f>ROUND(INDEX(SP_GF_NI,0,COLUMN())-INDEX(MO_RIS_NI_GAAP_Basic,0,COLUMN()),6)</f>
        <v/>
      </c>
      <c r="V126" s="1586">
        <f>ROUND(INDEX(SP_GF_NI,0,COLUMN())-INDEX(MO_RIS_NI_GAAP_Basic,0,COLUMN()),6)</f>
        <v/>
      </c>
      <c r="W126" s="1586">
        <f>ROUND(INDEX(SP_GF_NI,0,COLUMN())-INDEX(MO_RIS_NI_GAAP_Basic,0,COLUMN()),6)</f>
        <v/>
      </c>
      <c r="X126" s="1586">
        <f>ROUND(INDEX(SP_GF_NI,0,COLUMN())-INDEX(MO_RIS_NI_GAAP_Basic,0,COLUMN()),6)</f>
        <v/>
      </c>
      <c r="Y126" s="1586">
        <f>ROUND(INDEX(SP_GF_NI,0,COLUMN())-INDEX(MO_RIS_NI_GAAP_Basic,0,COLUMN()),6)</f>
        <v/>
      </c>
      <c r="Z126" s="1586">
        <f>ROUND(INDEX(SP_GF_NI,0,COLUMN())-INDEX(MO_RIS_NI_GAAP_Basic,0,COLUMN()),6)</f>
        <v/>
      </c>
      <c r="AA126" s="1586">
        <f>ROUND(INDEX(SP_GF_NI,0,COLUMN())-INDEX(MO_RIS_NI_GAAP_Basic,0,COLUMN()),6)</f>
        <v/>
      </c>
      <c r="AB126" s="1586">
        <f>ROUND(INDEX(SP_GF_NI,0,COLUMN())-INDEX(MO_RIS_NI_GAAP_Basic,0,COLUMN()),6)</f>
        <v/>
      </c>
      <c r="AC126" s="1586">
        <f>ROUND(INDEX(SP_GF_NI,0,COLUMN())-INDEX(MO_RIS_NI_GAAP_Basic,0,COLUMN()),6)</f>
        <v/>
      </c>
      <c r="AD126" s="1586">
        <f>ROUND(INDEX(SP_GF_NI,0,COLUMN())-INDEX(MO_RIS_NI_GAAP_Basic,0,COLUMN()),6)</f>
        <v/>
      </c>
      <c r="AE126" s="1586">
        <f>ROUND(INDEX(SP_GF_NI,0,COLUMN())-INDEX(MO_RIS_NI_GAAP_Basic,0,COLUMN()),6)</f>
        <v/>
      </c>
      <c r="AF126" s="1586">
        <f>ROUND(INDEX(SP_GF_NI,0,COLUMN())-INDEX(MO_RIS_NI_GAAP_Basic,0,COLUMN()),6)</f>
        <v/>
      </c>
      <c r="AG126" s="1586">
        <f>ROUND(INDEX(SP_GF_NI,0,COLUMN())-INDEX(MO_RIS_NI_GAAP_Basic,0,COLUMN()),6)</f>
        <v/>
      </c>
      <c r="AH126" s="1586">
        <f>ROUND(INDEX(SP_GF_NI,0,COLUMN())-INDEX(MO_RIS_NI_GAAP_Basic,0,COLUMN()),6)</f>
        <v/>
      </c>
      <c r="AI126" s="1586">
        <f>ROUND(INDEX(SP_GF_NI,0,COLUMN())-INDEX(MO_RIS_NI_GAAP_Basic,0,COLUMN()),6)</f>
        <v/>
      </c>
      <c r="AJ126" s="1586">
        <f>ROUND(INDEX(SP_GF_NI,0,COLUMN())-INDEX(MO_RIS_NI_GAAP_Basic,0,COLUMN()),6)</f>
        <v/>
      </c>
      <c r="AK126" s="1586">
        <f>ROUND(INDEX(SP_GF_NI,0,COLUMN())-INDEX(MO_RIS_NI_GAAP_Basic,0,COLUMN()),6)</f>
        <v/>
      </c>
      <c r="AL126" s="1586">
        <f>ROUND(INDEX(SP_GF_NI,0,COLUMN())-INDEX(MO_RIS_NI_GAAP_Basic,0,COLUMN()),6)</f>
        <v/>
      </c>
      <c r="AM126" s="1586">
        <f>ROUND(INDEX(SP_GF_NI,0,COLUMN())-INDEX(MO_RIS_NI_GAAP_Basic,0,COLUMN()),6)</f>
        <v/>
      </c>
      <c r="AN126" s="1586">
        <f>ROUND(INDEX(SP_GF_NI,0,COLUMN())-INDEX(MO_RIS_NI_GAAP_Basic,0,COLUMN()),6)</f>
        <v/>
      </c>
      <c r="AO126" s="1586">
        <f>ROUND(INDEX(SP_GF_NI,0,COLUMN())-INDEX(MO_RIS_NI_GAAP_Basic,0,COLUMN()),6)</f>
        <v/>
      </c>
      <c r="AP126" s="1586">
        <f>ROUND(INDEX(SP_GF_NI,0,COLUMN())-INDEX(MO_RIS_NI_GAAP_Basic,0,COLUMN()),6)</f>
        <v/>
      </c>
      <c r="AQ126" s="1586">
        <f>ROUND(INDEX(SP_GF_NI,0,COLUMN())-INDEX(MO_RIS_NI_GAAP_Basic,0,COLUMN()),6)</f>
        <v/>
      </c>
      <c r="AR126" s="1586">
        <f>ROUND(INDEX(SP_GF_NI,0,COLUMN())-INDEX(MO_RIS_NI_GAAP_Basic,0,COLUMN()),6)</f>
        <v/>
      </c>
      <c r="AS126" s="1586">
        <f>ROUND(INDEX(SP_GF_NI,0,COLUMN())-INDEX(MO_RIS_NI_GAAP_Basic,0,COLUMN()),6)</f>
        <v/>
      </c>
      <c r="AT126" s="1586">
        <f>ROUND(INDEX(SP_GF_NI,0,COLUMN())-INDEX(MO_RIS_NI_GAAP_Basic,0,COLUMN()),6)</f>
        <v/>
      </c>
      <c r="AU126" s="1586">
        <f>ROUND(INDEX(SP_GF_NI,0,COLUMN())-INDEX(MO_RIS_NI_GAAP_Basic,0,COLUMN()),6)</f>
        <v/>
      </c>
      <c r="AV126" s="1586">
        <f>ROUND(INDEX(SP_GF_NI,0,COLUMN())-INDEX(MO_RIS_NI_GAAP_Basic,0,COLUMN()),6)</f>
        <v/>
      </c>
      <c r="AW126" s="1586">
        <f>ROUND(INDEX(SP_GF_NI,0,COLUMN())-INDEX(MO_RIS_NI_GAAP_Basic,0,COLUMN()),6)</f>
        <v/>
      </c>
      <c r="AX126" s="1586">
        <f>ROUND(INDEX(SP_GF_NI,0,COLUMN())-INDEX(MO_RIS_NI_GAAP_Basic,0,COLUMN()),6)</f>
        <v/>
      </c>
      <c r="AY126" s="1586">
        <f>ROUND(INDEX(SP_GF_NI,0,COLUMN())-INDEX(MO_RIS_NI_GAAP_Basic,0,COLUMN()),6)</f>
        <v/>
      </c>
      <c r="AZ126" s="1586">
        <f>ROUND(INDEX(SP_GF_NI,0,COLUMN())-INDEX(MO_RIS_NI_GAAP_Basic,0,COLUMN()),6)</f>
        <v/>
      </c>
      <c r="BA126" s="1586">
        <f>ROUND(INDEX(SP_GF_NI,0,COLUMN())-INDEX(MO_RIS_NI_GAAP_Basic,0,COLUMN()),6)</f>
        <v/>
      </c>
      <c r="BB126" s="1586">
        <f>ROUND(INDEX(SP_GF_NI,0,COLUMN())-INDEX(MO_RIS_NI_GAAP_Basic,0,COLUMN()),6)</f>
        <v/>
      </c>
      <c r="BC126" s="1586">
        <f>ROUND(INDEX(SP_GF_NI,0,COLUMN())-INDEX(MO_RIS_NI_GAAP_Basic,0,COLUMN()),6)</f>
        <v/>
      </c>
      <c r="BD126" s="1586">
        <f>ROUND(INDEX(SP_GF_NI,0,COLUMN())-INDEX(MO_RIS_NI_GAAP_Basic,0,COLUMN()),6)</f>
        <v/>
      </c>
      <c r="BE126" s="1586">
        <f>ROUND(INDEX(SP_GF_NI,0,COLUMN())-INDEX(MO_RIS_NI_GAAP_Basic,0,COLUMN()),6)</f>
        <v/>
      </c>
      <c r="BF126" s="1586">
        <f>ROUND(INDEX(SP_GF_NI,0,COLUMN())-INDEX(MO_RIS_NI_GAAP_Basic,0,COLUMN()),6)</f>
        <v/>
      </c>
      <c r="BG126" s="1586">
        <f>ROUND(INDEX(SP_GF_NI,0,COLUMN())-INDEX(MO_RIS_NI_GAAP_Basic,0,COLUMN()),6)</f>
        <v/>
      </c>
      <c r="BH126" s="1586">
        <f>ROUND(INDEX(SP_GF_NI,0,COLUMN())-INDEX(MO_RIS_NI_GAAP_Basic,0,COLUMN()),6)</f>
        <v/>
      </c>
      <c r="BI126" s="1586">
        <f>ROUND(INDEX(SP_GF_NI,0,COLUMN())-INDEX(MO_RIS_NI_GAAP_Basic,0,COLUMN()),6)</f>
        <v/>
      </c>
      <c r="BJ126" s="1586">
        <f>ROUND(INDEX(SP_GF_NI,0,COLUMN())-INDEX(MO_RIS_NI_GAAP_Basic,0,COLUMN()),6)</f>
        <v/>
      </c>
      <c r="BK126" s="1586">
        <f>ROUND(INDEX(SP_GF_NI,0,COLUMN())-INDEX(MO_RIS_NI_GAAP_Basic,0,COLUMN()),6)</f>
        <v/>
      </c>
      <c r="BL126" s="1586">
        <f>ROUND(INDEX(SP_GF_NI,0,COLUMN())-INDEX(MO_RIS_NI_GAAP_Basic,0,COLUMN()),6)</f>
        <v/>
      </c>
      <c r="BM126" s="1586">
        <f>ROUND(INDEX(SP_GF_NI,0,COLUMN())-INDEX(MO_RIS_NI_GAAP_Basic,0,COLUMN()),6)</f>
        <v/>
      </c>
      <c r="BN126" s="1586">
        <f>ROUND(INDEX(SP_GF_NI,0,COLUMN())-INDEX(MO_RIS_NI_GAAP_Basic,0,COLUMN()),6)</f>
        <v/>
      </c>
      <c r="BO126" s="1586">
        <f>ROUND(INDEX(SP_GF_NI,0,COLUMN())-INDEX(MO_RIS_NI_GAAP_Basic,0,COLUMN()),6)</f>
        <v/>
      </c>
      <c r="BP126" s="1586">
        <f>ROUND(INDEX(SP_GF_NI,0,COLUMN())-INDEX(MO_RIS_NI_GAAP_Basic,0,COLUMN()),6)</f>
        <v/>
      </c>
      <c r="BQ126" s="1587">
        <f>ROUND(INDEX(SP_GF_NI,0,COLUMN())-INDEX(MO_RIS_NI_GAAP_Basic,0,COLUMN()),6)</f>
        <v/>
      </c>
      <c r="BR126" s="1586">
        <f>ROUND(INDEX(SP_GF_NI,0,COLUMN())-INDEX(MO_RIS_NI_GAAP_Basic,0,COLUMN()),6)</f>
        <v/>
      </c>
      <c r="BS126" s="1586">
        <f>ROUND(INDEX(SP_GF_NI,0,COLUMN())-INDEX(MO_RIS_NI_GAAP_Basic,0,COLUMN()),6)</f>
        <v/>
      </c>
      <c r="BT126" s="1586">
        <f>ROUND(INDEX(SP_GF_NI,0,COLUMN())-INDEX(MO_RIS_NI_GAAP_Basic,0,COLUMN()),6)</f>
        <v/>
      </c>
      <c r="BU126" s="1586">
        <f>ROUND(INDEX(SP_GF_NI,0,COLUMN())-INDEX(MO_RIS_NI_GAAP_Basic,0,COLUMN()),6)</f>
        <v/>
      </c>
      <c r="BV126" s="1586">
        <f>ROUND(INDEX(SP_GF_NI,0,COLUMN())-INDEX(MO_RIS_NI_GAAP_Basic,0,COLUMN()),6)</f>
        <v/>
      </c>
      <c r="BW126" s="1586">
        <f>ROUND(INDEX(SP_GF_NI,0,COLUMN())-INDEX(MO_RIS_NI_GAAP_Basic,0,COLUMN()),6)</f>
        <v/>
      </c>
      <c r="BX126" s="1586">
        <f>ROUND(INDEX(SP_GF_NI,0,COLUMN())-INDEX(MO_RIS_NI_GAAP_Basic,0,COLUMN()),6)</f>
        <v/>
      </c>
      <c r="BY126" s="1586">
        <f>ROUND(INDEX(SP_GF_NI,0,COLUMN())-INDEX(MO_RIS_NI_GAAP_Basic,0,COLUMN()),6)</f>
        <v/>
      </c>
      <c r="BZ126" s="1586">
        <f>ROUND(INDEX(SP_GF_NI,0,COLUMN())-INDEX(MO_RIS_NI_GAAP_Basic,0,COLUMN()),6)</f>
        <v/>
      </c>
      <c r="CA126" s="1586">
        <f>ROUND(INDEX(SP_GF_NI,0,COLUMN())-INDEX(MO_RIS_NI_GAAP_Basic,0,COLUMN()),6)</f>
        <v/>
      </c>
      <c r="CB126" s="2109" t="n"/>
    </row>
    <row r="127" hidden="1" outlineLevel="1" ht="15" customHeight="1" s="972">
      <c r="A127" s="2072" t="inlineStr">
        <is>
          <t>Change in Cash Summary = Change in Cash Model</t>
        </is>
      </c>
      <c r="B127" s="67" t="n"/>
      <c r="C127" s="1586">
        <f>ROUND(INDEX(SP_CFA_NetChange,0,COLUMN())-INDEX(MO_CFS_NetChange,0,COLUMN()),6)</f>
        <v/>
      </c>
      <c r="D127" s="1586">
        <f>ROUND(INDEX(SP_CFA_NetChange,0,COLUMN())-INDEX(MO_CFS_NetChange,0,COLUMN()),6)</f>
        <v/>
      </c>
      <c r="E127" s="1586">
        <f>ROUND(INDEX(SP_CFA_NetChange,0,COLUMN())-INDEX(MO_CFS_NetChange,0,COLUMN()),6)</f>
        <v/>
      </c>
      <c r="F127" s="1586">
        <f>ROUND(INDEX(SP_CFA_NetChange,0,COLUMN())-INDEX(MO_CFS_NetChange,0,COLUMN()),6)</f>
        <v/>
      </c>
      <c r="G127" s="1586">
        <f>ROUND(INDEX(SP_CFA_NetChange,0,COLUMN())-INDEX(MO_CFS_NetChange,0,COLUMN()),6)</f>
        <v/>
      </c>
      <c r="H127" s="1586">
        <f>ROUND(INDEX(SP_CFA_NetChange,0,COLUMN())-INDEX(MO_CFS_NetChange,0,COLUMN()),6)</f>
        <v/>
      </c>
      <c r="I127" s="1586">
        <f>ROUND(INDEX(SP_CFA_NetChange,0,COLUMN())-INDEX(MO_CFS_NetChange,0,COLUMN()),6)</f>
        <v/>
      </c>
      <c r="J127" s="1586">
        <f>ROUND(INDEX(SP_CFA_NetChange,0,COLUMN())-INDEX(MO_CFS_NetChange,0,COLUMN()),6)</f>
        <v/>
      </c>
      <c r="K127" s="1586">
        <f>ROUND(INDEX(SP_CFA_NetChange,0,COLUMN())-INDEX(MO_CFS_NetChange,0,COLUMN()),6)</f>
        <v/>
      </c>
      <c r="L127" s="1586">
        <f>ROUND(INDEX(SP_CFA_NetChange,0,COLUMN())-INDEX(MO_CFS_NetChange,0,COLUMN()),6)</f>
        <v/>
      </c>
      <c r="M127" s="1586">
        <f>ROUND(INDEX(SP_CFA_NetChange,0,COLUMN())-INDEX(MO_CFS_NetChange,0,COLUMN()),6)</f>
        <v/>
      </c>
      <c r="N127" s="1586">
        <f>ROUND(INDEX(SP_CFA_NetChange,0,COLUMN())-INDEX(MO_CFS_NetChange,0,COLUMN()),6)</f>
        <v/>
      </c>
      <c r="O127" s="1586">
        <f>ROUND(INDEX(SP_CFA_NetChange,0,COLUMN())-INDEX(MO_CFS_NetChange,0,COLUMN()),6)</f>
        <v/>
      </c>
      <c r="P127" s="1586">
        <f>ROUND(INDEX(SP_CFA_NetChange,0,COLUMN())-INDEX(MO_CFS_NetChange,0,COLUMN()),6)</f>
        <v/>
      </c>
      <c r="Q127" s="1586">
        <f>ROUND(INDEX(SP_CFA_NetChange,0,COLUMN())-INDEX(MO_CFS_NetChange,0,COLUMN()),6)</f>
        <v/>
      </c>
      <c r="R127" s="1586">
        <f>ROUND(INDEX(SP_CFA_NetChange,0,COLUMN())-INDEX(MO_CFS_NetChange,0,COLUMN()),6)</f>
        <v/>
      </c>
      <c r="S127" s="1586">
        <f>ROUND(INDEX(SP_CFA_NetChange,0,COLUMN())-INDEX(MO_CFS_NetChange,0,COLUMN()),6)</f>
        <v/>
      </c>
      <c r="T127" s="1586">
        <f>ROUND(INDEX(SP_CFA_NetChange,0,COLUMN())-INDEX(MO_CFS_NetChange,0,COLUMN()),6)</f>
        <v/>
      </c>
      <c r="U127" s="1586">
        <f>ROUND(INDEX(SP_CFA_NetChange,0,COLUMN())-INDEX(MO_CFS_NetChange,0,COLUMN()),6)</f>
        <v/>
      </c>
      <c r="V127" s="1586">
        <f>ROUND(INDEX(SP_CFA_NetChange,0,COLUMN())-INDEX(MO_CFS_NetChange,0,COLUMN()),6)</f>
        <v/>
      </c>
      <c r="W127" s="1586">
        <f>ROUND(INDEX(SP_CFA_NetChange,0,COLUMN())-INDEX(MO_CFS_NetChange,0,COLUMN()),6)</f>
        <v/>
      </c>
      <c r="X127" s="1586">
        <f>ROUND(INDEX(SP_CFA_NetChange,0,COLUMN())-INDEX(MO_CFS_NetChange,0,COLUMN()),6)</f>
        <v/>
      </c>
      <c r="Y127" s="1586">
        <f>ROUND(INDEX(SP_CFA_NetChange,0,COLUMN())-INDEX(MO_CFS_NetChange,0,COLUMN()),6)</f>
        <v/>
      </c>
      <c r="Z127" s="1586">
        <f>ROUND(INDEX(SP_CFA_NetChange,0,COLUMN())-INDEX(MO_CFS_NetChange,0,COLUMN()),6)</f>
        <v/>
      </c>
      <c r="AA127" s="1586">
        <f>ROUND(INDEX(SP_CFA_NetChange,0,COLUMN())-INDEX(MO_CFS_NetChange,0,COLUMN()),6)</f>
        <v/>
      </c>
      <c r="AB127" s="1586">
        <f>ROUND(INDEX(SP_CFA_NetChange,0,COLUMN())-INDEX(MO_CFS_NetChange,0,COLUMN()),6)</f>
        <v/>
      </c>
      <c r="AC127" s="1586">
        <f>ROUND(INDEX(SP_CFA_NetChange,0,COLUMN())-INDEX(MO_CFS_NetChange,0,COLUMN()),6)</f>
        <v/>
      </c>
      <c r="AD127" s="1586">
        <f>ROUND(INDEX(SP_CFA_NetChange,0,COLUMN())-INDEX(MO_CFS_NetChange,0,COLUMN()),6)</f>
        <v/>
      </c>
      <c r="AE127" s="1586">
        <f>ROUND(INDEX(SP_CFA_NetChange,0,COLUMN())-INDEX(MO_CFS_NetChange,0,COLUMN()),6)</f>
        <v/>
      </c>
      <c r="AF127" s="1586">
        <f>ROUND(INDEX(SP_CFA_NetChange,0,COLUMN())-INDEX(MO_CFS_NetChange,0,COLUMN()),6)</f>
        <v/>
      </c>
      <c r="AG127" s="1586">
        <f>ROUND(INDEX(SP_CFA_NetChange,0,COLUMN())-INDEX(MO_CFS_NetChange,0,COLUMN()),6)</f>
        <v/>
      </c>
      <c r="AH127" s="1586">
        <f>ROUND(INDEX(SP_CFA_NetChange,0,COLUMN())-INDEX(MO_CFS_NetChange,0,COLUMN()),6)</f>
        <v/>
      </c>
      <c r="AI127" s="1586">
        <f>ROUND(INDEX(SP_CFA_NetChange,0,COLUMN())-INDEX(MO_CFS_NetChange,0,COLUMN()),6)</f>
        <v/>
      </c>
      <c r="AJ127" s="1586">
        <f>ROUND(INDEX(SP_CFA_NetChange,0,COLUMN())-INDEX(MO_CFS_NetChange,0,COLUMN()),6)</f>
        <v/>
      </c>
      <c r="AK127" s="1586">
        <f>ROUND(INDEX(SP_CFA_NetChange,0,COLUMN())-INDEX(MO_CFS_NetChange,0,COLUMN()),6)</f>
        <v/>
      </c>
      <c r="AL127" s="1586">
        <f>ROUND(INDEX(SP_CFA_NetChange,0,COLUMN())-INDEX(MO_CFS_NetChange,0,COLUMN()),6)</f>
        <v/>
      </c>
      <c r="AM127" s="1586">
        <f>ROUND(INDEX(SP_CFA_NetChange,0,COLUMN())-INDEX(MO_CFS_NetChange,0,COLUMN()),6)</f>
        <v/>
      </c>
      <c r="AN127" s="1586">
        <f>ROUND(INDEX(SP_CFA_NetChange,0,COLUMN())-INDEX(MO_CFS_NetChange,0,COLUMN()),6)</f>
        <v/>
      </c>
      <c r="AO127" s="1586">
        <f>ROUND(INDEX(SP_CFA_NetChange,0,COLUMN())-INDEX(MO_CFS_NetChange,0,COLUMN()),6)</f>
        <v/>
      </c>
      <c r="AP127" s="1586">
        <f>ROUND(INDEX(SP_CFA_NetChange,0,COLUMN())-INDEX(MO_CFS_NetChange,0,COLUMN()),6)</f>
        <v/>
      </c>
      <c r="AQ127" s="1586">
        <f>ROUND(INDEX(SP_CFA_NetChange,0,COLUMN())-INDEX(MO_CFS_NetChange,0,COLUMN()),6)</f>
        <v/>
      </c>
      <c r="AR127" s="1586">
        <f>ROUND(INDEX(SP_CFA_NetChange,0,COLUMN())-INDEX(MO_CFS_NetChange,0,COLUMN()),6)</f>
        <v/>
      </c>
      <c r="AS127" s="1586">
        <f>ROUND(INDEX(SP_CFA_NetChange,0,COLUMN())-INDEX(MO_CFS_NetChange,0,COLUMN()),6)</f>
        <v/>
      </c>
      <c r="AT127" s="1586">
        <f>ROUND(INDEX(SP_CFA_NetChange,0,COLUMN())-INDEX(MO_CFS_NetChange,0,COLUMN()),6)</f>
        <v/>
      </c>
      <c r="AU127" s="1586">
        <f>ROUND(INDEX(SP_CFA_NetChange,0,COLUMN())-INDEX(MO_CFS_NetChange,0,COLUMN()),6)</f>
        <v/>
      </c>
      <c r="AV127" s="1586">
        <f>ROUND(INDEX(SP_CFA_NetChange,0,COLUMN())-INDEX(MO_CFS_NetChange,0,COLUMN()),6)</f>
        <v/>
      </c>
      <c r="AW127" s="1586">
        <f>ROUND(INDEX(SP_CFA_NetChange,0,COLUMN())-INDEX(MO_CFS_NetChange,0,COLUMN()),6)</f>
        <v/>
      </c>
      <c r="AX127" s="1586">
        <f>ROUND(INDEX(SP_CFA_NetChange,0,COLUMN())-INDEX(MO_CFS_NetChange,0,COLUMN()),6)</f>
        <v/>
      </c>
      <c r="AY127" s="1586">
        <f>ROUND(INDEX(SP_CFA_NetChange,0,COLUMN())-INDEX(MO_CFS_NetChange,0,COLUMN()),6)</f>
        <v/>
      </c>
      <c r="AZ127" s="1586">
        <f>ROUND(INDEX(SP_CFA_NetChange,0,COLUMN())-INDEX(MO_CFS_NetChange,0,COLUMN()),6)</f>
        <v/>
      </c>
      <c r="BA127" s="1586">
        <f>ROUND(INDEX(SP_CFA_NetChange,0,COLUMN())-INDEX(MO_CFS_NetChange,0,COLUMN()),6)</f>
        <v/>
      </c>
      <c r="BB127" s="1586">
        <f>ROUND(INDEX(SP_CFA_NetChange,0,COLUMN())-INDEX(MO_CFS_NetChange,0,COLUMN()),6)</f>
        <v/>
      </c>
      <c r="BC127" s="1586">
        <f>ROUND(INDEX(SP_CFA_NetChange,0,COLUMN())-INDEX(MO_CFS_NetChange,0,COLUMN()),6)</f>
        <v/>
      </c>
      <c r="BD127" s="1586">
        <f>ROUND(INDEX(SP_CFA_NetChange,0,COLUMN())-INDEX(MO_CFS_NetChange,0,COLUMN()),6)</f>
        <v/>
      </c>
      <c r="BE127" s="1586">
        <f>ROUND(INDEX(SP_CFA_NetChange,0,COLUMN())-INDEX(MO_CFS_NetChange,0,COLUMN()),6)</f>
        <v/>
      </c>
      <c r="BF127" s="1586">
        <f>ROUND(INDEX(SP_CFA_NetChange,0,COLUMN())-INDEX(MO_CFS_NetChange,0,COLUMN()),6)</f>
        <v/>
      </c>
      <c r="BG127" s="1586">
        <f>ROUND(INDEX(SP_CFA_NetChange,0,COLUMN())-INDEX(MO_CFS_NetChange,0,COLUMN()),6)</f>
        <v/>
      </c>
      <c r="BH127" s="1586">
        <f>ROUND(INDEX(SP_CFA_NetChange,0,COLUMN())-INDEX(MO_CFS_NetChange,0,COLUMN()),6)</f>
        <v/>
      </c>
      <c r="BI127" s="1586">
        <f>ROUND(INDEX(SP_CFA_NetChange,0,COLUMN())-INDEX(MO_CFS_NetChange,0,COLUMN()),6)</f>
        <v/>
      </c>
      <c r="BJ127" s="1586">
        <f>ROUND(INDEX(SP_CFA_NetChange,0,COLUMN())-INDEX(MO_CFS_NetChange,0,COLUMN()),6)</f>
        <v/>
      </c>
      <c r="BK127" s="1586">
        <f>ROUND(INDEX(SP_CFA_NetChange,0,COLUMN())-INDEX(MO_CFS_NetChange,0,COLUMN()),6)</f>
        <v/>
      </c>
      <c r="BL127" s="1586">
        <f>ROUND(INDEX(SP_CFA_NetChange,0,COLUMN())-INDEX(MO_CFS_NetChange,0,COLUMN()),6)</f>
        <v/>
      </c>
      <c r="BM127" s="1586">
        <f>ROUND(INDEX(SP_CFA_NetChange,0,COLUMN())-INDEX(MO_CFS_NetChange,0,COLUMN()),6)</f>
        <v/>
      </c>
      <c r="BN127" s="1586">
        <f>ROUND(INDEX(SP_CFA_NetChange,0,COLUMN())-INDEX(MO_CFS_NetChange,0,COLUMN()),6)</f>
        <v/>
      </c>
      <c r="BO127" s="1586">
        <f>ROUND(INDEX(SP_CFA_NetChange,0,COLUMN())-INDEX(MO_CFS_NetChange,0,COLUMN()),6)</f>
        <v/>
      </c>
      <c r="BP127" s="1586">
        <f>ROUND(INDEX(SP_CFA_NetChange,0,COLUMN())-INDEX(MO_CFS_NetChange,0,COLUMN()),6)</f>
        <v/>
      </c>
      <c r="BQ127" s="1587">
        <f>ROUND(INDEX(SP_CFA_NetChange,0,COLUMN())-INDEX(MO_CFS_NetChange,0,COLUMN()),6)</f>
        <v/>
      </c>
      <c r="BR127" s="1586">
        <f>ROUND(INDEX(SP_CFA_NetChange,0,COLUMN())-INDEX(MO_CFS_NetChange,0,COLUMN()),6)</f>
        <v/>
      </c>
      <c r="BS127" s="1586">
        <f>ROUND(INDEX(SP_CFA_NetChange,0,COLUMN())-INDEX(MO_CFS_NetChange,0,COLUMN()),6)</f>
        <v/>
      </c>
      <c r="BT127" s="1586">
        <f>ROUND(INDEX(SP_CFA_NetChange,0,COLUMN())-INDEX(MO_CFS_NetChange,0,COLUMN()),6)</f>
        <v/>
      </c>
      <c r="BU127" s="1586">
        <f>ROUND(INDEX(SP_CFA_NetChange,0,COLUMN())-INDEX(MO_CFS_NetChange,0,COLUMN()),6)</f>
        <v/>
      </c>
      <c r="BV127" s="1586">
        <f>ROUND(INDEX(SP_CFA_NetChange,0,COLUMN())-INDEX(MO_CFS_NetChange,0,COLUMN()),6)</f>
        <v/>
      </c>
      <c r="BW127" s="1586">
        <f>ROUND(INDEX(SP_CFA_NetChange,0,COLUMN())-INDEX(MO_CFS_NetChange,0,COLUMN()),6)</f>
        <v/>
      </c>
      <c r="BX127" s="1586">
        <f>ROUND(INDEX(SP_CFA_NetChange,0,COLUMN())-INDEX(MO_CFS_NetChange,0,COLUMN()),6)</f>
        <v/>
      </c>
      <c r="BY127" s="1586">
        <f>ROUND(INDEX(SP_CFA_NetChange,0,COLUMN())-INDEX(MO_CFS_NetChange,0,COLUMN()),6)</f>
        <v/>
      </c>
      <c r="BZ127" s="1586">
        <f>ROUND(INDEX(SP_CFA_NetChange,0,COLUMN())-INDEX(MO_CFS_NetChange,0,COLUMN()),6)</f>
        <v/>
      </c>
      <c r="CA127" s="1586">
        <f>ROUND(INDEX(SP_CFA_NetChange,0,COLUMN())-INDEX(MO_CFS_NetChange,0,COLUMN()),6)</f>
        <v/>
      </c>
      <c r="CB127" s="2109" t="n"/>
    </row>
    <row r="128" collapsed="1" ht="15" customHeight="1" s="972">
      <c r="A128" s="2109" t="n"/>
      <c r="B128" s="2109" t="n"/>
      <c r="C128" s="2108" t="n"/>
      <c r="D128" s="2108" t="n"/>
      <c r="E128" s="2108" t="n"/>
      <c r="F128" s="2108" t="n"/>
      <c r="G128" s="2109" t="n"/>
      <c r="H128" s="2109" t="n"/>
      <c r="I128" s="2109" t="n"/>
      <c r="J128" s="2109" t="n"/>
      <c r="K128" s="2108" t="n"/>
      <c r="L128" s="2109" t="n"/>
      <c r="M128" s="2109" t="n"/>
      <c r="N128" s="2109" t="n"/>
      <c r="O128" s="2109" t="n"/>
      <c r="P128" s="2108" t="n"/>
      <c r="Q128" s="2109" t="n"/>
      <c r="R128" s="2109" t="n"/>
      <c r="S128" s="2109" t="n"/>
      <c r="T128" s="2109" t="n"/>
      <c r="U128" s="2108" t="n"/>
      <c r="V128" s="2109" t="n"/>
      <c r="W128" s="2109" t="n"/>
      <c r="X128" s="2109" t="n"/>
      <c r="Y128" s="2109" t="n"/>
      <c r="Z128" s="2108" t="n"/>
      <c r="AA128" s="2109" t="n"/>
      <c r="AB128" s="2109" t="n"/>
      <c r="AC128" s="2109" t="n"/>
      <c r="AD128" s="2109" t="n"/>
      <c r="AE128" s="2108" t="n"/>
      <c r="AF128" s="2109" t="n"/>
      <c r="AG128" s="2109" t="n"/>
      <c r="AH128" s="2109" t="n"/>
      <c r="AI128" s="2109" t="n"/>
      <c r="AJ128" s="2108" t="n"/>
      <c r="AK128" s="2109" t="n"/>
      <c r="AL128" s="2109" t="n"/>
      <c r="AM128" s="2109" t="n"/>
      <c r="AN128" s="2109" t="n"/>
      <c r="AO128" s="2108" t="n"/>
      <c r="AP128" s="2109" t="n"/>
      <c r="AQ128" s="2109" t="n"/>
      <c r="AR128" s="2109" t="n"/>
      <c r="AS128" s="2109" t="n"/>
      <c r="AT128" s="2108" t="n"/>
      <c r="AU128" s="2109" t="n"/>
      <c r="AV128" s="2109" t="n"/>
      <c r="AW128" s="2109" t="n"/>
      <c r="AX128" s="2109" t="n"/>
      <c r="AY128" s="2108" t="n"/>
      <c r="AZ128" s="2109" t="n"/>
      <c r="BA128" s="2109" t="n"/>
      <c r="BB128" s="2109" t="n"/>
      <c r="BC128" s="2109" t="n"/>
      <c r="BD128" s="2108" t="n"/>
      <c r="BE128" s="2109" t="n"/>
      <c r="BF128" s="2109" t="n"/>
      <c r="BG128" s="2109" t="n"/>
      <c r="BH128" s="2109" t="n"/>
      <c r="BI128" s="2108" t="n"/>
      <c r="BJ128" s="2109" t="n"/>
      <c r="BK128" s="2109" t="n"/>
      <c r="BL128" s="2109" t="n"/>
      <c r="BM128" s="2109" t="n"/>
      <c r="BN128" s="2108" t="n"/>
      <c r="BO128" s="2109" t="n"/>
      <c r="BP128" s="2109" t="n"/>
      <c r="BQ128" s="2110" t="n"/>
      <c r="BR128" s="2109" t="n"/>
      <c r="BS128" s="2108" t="n"/>
      <c r="BT128" s="2109" t="n"/>
      <c r="BU128" s="2109" t="n"/>
      <c r="BV128" s="2109" t="n"/>
      <c r="BW128" s="2109" t="n"/>
      <c r="BX128" s="2108" t="n"/>
      <c r="BY128" s="2108" t="n"/>
      <c r="BZ128" s="2108" t="n"/>
      <c r="CA128" s="2108" t="n"/>
      <c r="CB128" s="2109" t="n"/>
    </row>
    <row r="129" ht="15" customHeight="1" s="972">
      <c r="A129" s="2255" t="inlineStr">
        <is>
          <t>Tegus</t>
        </is>
      </c>
      <c r="B129" s="2214" t="n"/>
      <c r="C129" s="2214" t="n"/>
      <c r="D129" s="2214" t="n"/>
      <c r="E129" s="2214" t="n"/>
      <c r="F129" s="2214" t="n"/>
      <c r="G129" s="2214" t="n"/>
      <c r="H129" s="2214" t="n"/>
      <c r="I129" s="2214" t="n"/>
      <c r="J129" s="2214" t="n"/>
      <c r="K129" s="2214" t="n"/>
      <c r="L129" s="2214" t="n"/>
      <c r="M129" s="2214" t="n"/>
      <c r="N129" s="2214" t="n"/>
      <c r="O129" s="2214" t="n"/>
      <c r="P129" s="2214" t="n"/>
      <c r="Q129" s="2214" t="n"/>
      <c r="R129" s="2214" t="n"/>
      <c r="S129" s="2214" t="n"/>
      <c r="T129" s="2214" t="n"/>
      <c r="U129" s="2214" t="n"/>
      <c r="V129" s="2214" t="n"/>
      <c r="W129" s="2214" t="n"/>
      <c r="X129" s="2214" t="n"/>
      <c r="Y129" s="2214" t="n"/>
      <c r="Z129" s="2214" t="n"/>
      <c r="AA129" s="2214" t="n"/>
      <c r="AB129" s="2214" t="n"/>
      <c r="AC129" s="2214" t="n"/>
      <c r="AD129" s="2214" t="n"/>
      <c r="AE129" s="2214" t="n"/>
      <c r="AF129" s="2214" t="n"/>
      <c r="AG129" s="2214" t="n"/>
      <c r="AH129" s="2214" t="n"/>
      <c r="AI129" s="2214" t="n"/>
      <c r="AJ129" s="2214" t="n"/>
      <c r="AK129" s="2214" t="n"/>
      <c r="AL129" s="2214" t="n"/>
      <c r="AM129" s="2214" t="n"/>
      <c r="AN129" s="2214" t="n"/>
      <c r="AO129" s="2214" t="n"/>
      <c r="AP129" s="2214" t="n"/>
      <c r="AQ129" s="2214" t="n"/>
      <c r="AR129" s="2214" t="n"/>
      <c r="AS129" s="2214" t="n"/>
      <c r="AT129" s="2214" t="n"/>
      <c r="AU129" s="2214" t="n"/>
      <c r="AV129" s="2214" t="n"/>
      <c r="AW129" s="2214" t="n"/>
      <c r="AX129" s="2214" t="n"/>
      <c r="AY129" s="2214" t="n"/>
      <c r="AZ129" s="2214" t="n"/>
      <c r="BA129" s="2214" t="n"/>
      <c r="BB129" s="2214" t="n"/>
      <c r="BC129" s="2214" t="n"/>
      <c r="BD129" s="2214" t="n"/>
      <c r="BE129" s="2214" t="n"/>
      <c r="BF129" s="2214" t="n"/>
      <c r="BG129" s="2214" t="n"/>
      <c r="BH129" s="2214" t="n"/>
      <c r="BI129" s="2214" t="n"/>
      <c r="BJ129" s="2214" t="n"/>
      <c r="BK129" s="2214" t="n"/>
      <c r="BL129" s="2214" t="n"/>
      <c r="BM129" s="2214" t="n"/>
      <c r="BN129" s="2214" t="n"/>
      <c r="BO129" s="2214" t="n"/>
      <c r="BP129" s="2214" t="n"/>
      <c r="BQ129" s="2214" t="n"/>
      <c r="BR129" s="2214" t="n"/>
      <c r="BS129" s="2214" t="n"/>
      <c r="BT129" s="2214" t="n"/>
      <c r="BU129" s="2214" t="n"/>
      <c r="BV129" s="2214" t="n"/>
      <c r="BW129" s="2214" t="n"/>
      <c r="BX129" s="2214" t="n"/>
      <c r="BY129" s="2214" t="n"/>
      <c r="BZ129" s="2214" t="n"/>
      <c r="CA129" s="2214" t="n"/>
      <c r="CB129" s="2109" t="n"/>
    </row>
    <row r="130" collapsed="1" ht="15" customHeight="1" s="972">
      <c r="A130" s="2146" t="n"/>
      <c r="B130" s="2109" t="n"/>
      <c r="C130" s="2109" t="n"/>
      <c r="D130" s="2109" t="n"/>
      <c r="E130" s="2109" t="n"/>
      <c r="F130" s="2109" t="n"/>
      <c r="G130" s="2109" t="n"/>
      <c r="H130" s="2109" t="n"/>
      <c r="I130" s="2109" t="n"/>
      <c r="J130" s="2109" t="n"/>
      <c r="K130" s="2109" t="n"/>
      <c r="L130" s="2109" t="n"/>
      <c r="M130" s="2109" t="n"/>
      <c r="N130" s="2109" t="n"/>
      <c r="O130" s="2109" t="n"/>
      <c r="P130" s="2109" t="n"/>
      <c r="Q130" s="2109" t="n"/>
      <c r="R130" s="2109" t="n"/>
      <c r="S130" s="2109" t="n"/>
      <c r="T130" s="2109" t="n"/>
      <c r="U130" s="2109" t="n"/>
      <c r="V130" s="2109" t="n"/>
      <c r="W130" s="2109" t="n"/>
      <c r="X130" s="2109" t="n"/>
      <c r="Y130" s="2109" t="n"/>
      <c r="Z130" s="2109" t="n"/>
      <c r="AA130" s="2109" t="n"/>
      <c r="AB130" s="2109" t="n"/>
      <c r="AC130" s="2109" t="n"/>
      <c r="AD130" s="2109" t="n"/>
      <c r="AE130" s="2109" t="n"/>
      <c r="AF130" s="2109" t="n"/>
      <c r="AG130" s="2109" t="n"/>
      <c r="AH130" s="2109" t="n"/>
      <c r="AI130" s="2109" t="n"/>
      <c r="AJ130" s="2109" t="n"/>
      <c r="AK130" s="2109" t="n"/>
      <c r="AL130" s="2109" t="n"/>
      <c r="AM130" s="2109" t="n"/>
      <c r="AN130" s="2109" t="n"/>
      <c r="AO130" s="2109" t="n"/>
      <c r="AP130" s="2109" t="n"/>
      <c r="AQ130" s="2109" t="n"/>
      <c r="AR130" s="2109" t="n"/>
      <c r="AS130" s="2109" t="n"/>
      <c r="AT130" s="2109" t="n"/>
      <c r="AU130" s="2109" t="n"/>
      <c r="AV130" s="2109" t="n"/>
      <c r="AW130" s="2109" t="n"/>
      <c r="AX130" s="2109" t="n"/>
      <c r="AY130" s="2109" t="n"/>
      <c r="AZ130" s="2109" t="n"/>
      <c r="BA130" s="2109" t="n"/>
      <c r="BB130" s="2109" t="n"/>
      <c r="BC130" s="2109" t="n"/>
      <c r="BD130" s="2109" t="n"/>
      <c r="BE130" s="2109" t="n"/>
      <c r="BF130" s="2109" t="n"/>
      <c r="BG130" s="2109" t="n"/>
      <c r="BH130" s="2109" t="n"/>
      <c r="BI130" s="2109" t="n"/>
      <c r="BJ130" s="2109" t="n"/>
      <c r="BK130" s="2109" t="n"/>
      <c r="BL130" s="2109" t="n"/>
      <c r="BM130" s="2109" t="n"/>
      <c r="BN130" s="2109" t="n"/>
      <c r="BO130" s="2109" t="n"/>
      <c r="BP130" s="2109" t="n"/>
      <c r="BQ130" s="2109" t="n"/>
      <c r="BR130" s="2109" t="n"/>
      <c r="BS130" s="2109" t="n"/>
      <c r="BT130" s="2109" t="n"/>
      <c r="BU130" s="2109" t="n"/>
      <c r="BV130" s="2109" t="n"/>
      <c r="BW130" s="2109" t="n"/>
      <c r="BX130" s="2109" t="n"/>
      <c r="BY130" s="2109" t="n"/>
      <c r="BZ130" s="2109" t="n"/>
      <c r="CA130" s="2109" t="n"/>
      <c r="CB130" s="2109" t="n"/>
    </row>
  </sheetData>
  <conditionalFormatting sqref="C123:CA127">
    <cfRule type="cellIs" priority="262" operator="notEqual" dxfId="1">
      <formula>0</formula>
    </cfRule>
    <cfRule type="cellIs" priority="263" operator="equal" dxfId="0">
      <formula>0</formula>
    </cfRule>
  </conditionalFormatting>
  <dataValidations count="1">
    <dataValidation sqref="B4" showDropDown="0" showInputMessage="1" showErrorMessage="1" allowBlank="1" type="list">
      <formula1>OFFSET(tb_ValuationToggle,1,0,4,1)</formula1>
    </dataValidation>
  </dataValidations>
  <pageMargins left="0.7" right="0.7" top="0.75" bottom="0.75" header="0.3" footer="0.3"/>
  <pageSetup orientation="portrait" paperSize="1" scale="39"/>
</worksheet>
</file>

<file path=xl/worksheets/sheet7.xml><?xml version="1.0" encoding="utf-8"?>
<worksheet xmlns="http://schemas.openxmlformats.org/spreadsheetml/2006/main">
  <sheetPr codeName="Sheet41">
    <outlinePr summaryBelow="1" summaryRight="1"/>
    <pageSetUpPr/>
  </sheetPr>
  <dimension ref="A1:J86"/>
  <sheetViews>
    <sheetView showGridLines="0" topLeftCell="A1" workbookViewId="0">
      <selection activeCell="A1" sqref="A1"/>
    </sheetView>
  </sheetViews>
  <sheetFormatPr baseColWidth="8" defaultColWidth="8.664285714285709" defaultRowHeight="14.4"/>
  <cols>
    <col width="4.42857142857143" customWidth="1" style="16" min="1" max="1"/>
    <col width="9.71428571428571" customWidth="1" style="16" min="2" max="2"/>
    <col width="15.7142857142857" customWidth="1" style="16" min="3" max="3"/>
    <col width="20.7142857142857" customWidth="1" style="16" min="4" max="4"/>
    <col width="30.7142857142857" customWidth="1" style="16" min="5" max="5"/>
    <col width="20.7142857142857" customWidth="1" style="16" min="6" max="6"/>
    <col width="23.7142857142857" customWidth="1" style="16" min="7" max="7"/>
    <col width="45.7142857142857" customWidth="1" style="16" min="8" max="8"/>
    <col width="7.71428571428571" customWidth="1" style="16" min="9" max="9"/>
    <col width="8.71428571428571" customWidth="1" style="16" min="10" max="15"/>
    <col width="8.71428571428571" customWidth="1" style="16" min="16" max="16384"/>
  </cols>
  <sheetData>
    <row r="1" ht="14.4" customHeight="1" s="972">
      <c r="A1" s="17" t="n"/>
      <c r="B1" s="17" t="n"/>
      <c r="C1" s="17" t="n"/>
      <c r="D1" s="17" t="n"/>
      <c r="E1" s="17" t="n"/>
      <c r="F1" s="17" t="n"/>
      <c r="G1" s="17" t="n"/>
      <c r="H1" s="17" t="n"/>
      <c r="I1" s="17" t="n"/>
      <c r="J1" s="17" t="n"/>
    </row>
    <row r="2" ht="14.4" customHeight="1" s="972">
      <c r="A2" s="17" t="n"/>
      <c r="B2" s="17" t="n"/>
      <c r="C2" s="17" t="n"/>
      <c r="D2" s="17" t="n"/>
      <c r="E2" s="17" t="n"/>
      <c r="F2" s="17" t="n"/>
      <c r="G2" s="17" t="n"/>
      <c r="H2" s="17" t="n"/>
      <c r="I2" s="17" t="n"/>
      <c r="J2" s="17" t="n"/>
    </row>
    <row r="3" ht="14.4" customHeight="1" s="972">
      <c r="A3" s="17" t="n"/>
      <c r="B3" s="17" t="n"/>
      <c r="C3" s="17" t="n"/>
      <c r="D3" s="17" t="n"/>
      <c r="E3" s="17" t="n"/>
      <c r="F3" s="17" t="n"/>
      <c r="G3" s="17" t="n"/>
      <c r="H3" s="17" t="n"/>
      <c r="I3" s="17" t="n"/>
      <c r="J3" s="17" t="n"/>
    </row>
    <row r="4" ht="14.4" customHeight="1" s="972">
      <c r="A4" s="17" t="n"/>
      <c r="B4" s="17" t="n"/>
      <c r="C4" s="17" t="n"/>
      <c r="D4" s="17" t="n"/>
      <c r="E4" s="17" t="n"/>
      <c r="F4" s="17" t="n"/>
      <c r="G4" s="17" t="n"/>
      <c r="H4" s="17" t="n"/>
      <c r="I4" s="17" t="n"/>
      <c r="J4" s="17" t="n"/>
    </row>
    <row r="5" ht="14.4" customHeight="1" s="972">
      <c r="A5" s="17" t="n"/>
      <c r="B5" s="17" t="n"/>
      <c r="C5" s="17" t="n"/>
      <c r="D5" s="17" t="n"/>
      <c r="E5" s="17" t="n"/>
      <c r="F5" s="17" t="n"/>
      <c r="G5" s="17" t="n"/>
      <c r="H5" s="17" t="n"/>
      <c r="I5" s="17" t="n"/>
      <c r="J5" s="17" t="n"/>
    </row>
    <row r="6" ht="14.4" customHeight="1" s="972">
      <c r="A6" s="17" t="n"/>
      <c r="B6" s="17" t="n"/>
      <c r="C6" s="17" t="n"/>
      <c r="D6" s="17" t="n"/>
      <c r="E6" s="17" t="n"/>
      <c r="F6" s="17" t="n"/>
      <c r="G6" s="17" t="n"/>
      <c r="H6" s="17" t="n"/>
      <c r="I6" s="17" t="n"/>
      <c r="J6" s="17" t="n"/>
    </row>
    <row r="7" ht="18" customHeight="1" s="972">
      <c r="A7" s="17" t="n"/>
      <c r="B7" s="17" t="n"/>
      <c r="C7" s="17" t="n"/>
      <c r="D7" s="17" t="n"/>
      <c r="E7" s="2256">
        <f>MO.MRFPColumnNumber</f>
        <v/>
      </c>
      <c r="F7" s="497">
        <f>MO.MRFP</f>
        <v/>
      </c>
      <c r="G7" s="497" t="n"/>
      <c r="H7" s="2257">
        <f>AA.CSIN</f>
        <v/>
      </c>
      <c r="I7" s="493" t="n"/>
      <c r="J7" s="492" t="n"/>
    </row>
    <row r="8" ht="14.4" customHeight="1" s="972">
      <c r="A8" s="17" t="n"/>
      <c r="B8" s="17" t="n"/>
      <c r="C8" s="17" t="n"/>
      <c r="D8" s="17" t="n"/>
      <c r="E8" s="17" t="n"/>
      <c r="F8" s="17" t="n"/>
      <c r="G8" s="17" t="n"/>
      <c r="H8" s="2258">
        <f>+AA.ModelVersion</f>
        <v/>
      </c>
      <c r="I8" s="17" t="n"/>
      <c r="J8" s="17" t="n"/>
    </row>
    <row r="9" ht="14.4" customHeight="1" s="972">
      <c r="A9" s="17" t="n"/>
      <c r="B9" s="17" t="n"/>
      <c r="C9" s="17" t="n"/>
      <c r="D9" s="17" t="n"/>
      <c r="E9" s="17" t="n"/>
      <c r="F9" s="17" t="n"/>
      <c r="G9" s="17" t="n"/>
      <c r="H9" s="17" t="n"/>
      <c r="I9" s="17" t="n"/>
      <c r="J9" s="17" t="n"/>
    </row>
    <row r="10" ht="14.4" customHeight="1" s="972">
      <c r="A10" s="17" t="n"/>
      <c r="B10" s="17" t="n"/>
      <c r="C10" s="528" t="inlineStr">
        <is>
          <t>Update Date</t>
        </is>
      </c>
      <c r="D10" s="528" t="inlineStr">
        <is>
          <t>Updated By (Initials)</t>
        </is>
      </c>
      <c r="E10" s="528" t="inlineStr">
        <is>
          <t>Update Type</t>
        </is>
      </c>
      <c r="F10" s="528" t="inlineStr">
        <is>
          <t>Most Recent Period</t>
        </is>
      </c>
      <c r="G10" s="528" t="inlineStr">
        <is>
          <t>Special Comments</t>
        </is>
      </c>
      <c r="H10" s="529" t="inlineStr">
        <is>
          <t>Link to Press Release / News Item</t>
        </is>
      </c>
      <c r="I10" s="17" t="n"/>
      <c r="J10" s="17" t="n"/>
    </row>
    <row r="11" ht="14.4" customHeight="1" s="972">
      <c r="A11" s="17" t="n"/>
      <c r="B11" s="17" t="n"/>
      <c r="C11" s="508" t="n">
        <v>45959</v>
      </c>
      <c r="D11" s="509" t="inlineStr">
        <is>
          <t>AN</t>
        </is>
      </c>
      <c r="E11" s="510" t="inlineStr">
        <is>
          <t>Quarterly (Earnings Report)</t>
        </is>
      </c>
      <c r="F11" s="510" t="inlineStr">
        <is>
          <t>Q3-2025</t>
        </is>
      </c>
      <c r="G11" s="511" t="n"/>
      <c r="H11" s="343" t="inlineStr">
        <is>
          <t>Earnings Press Release</t>
        </is>
      </c>
      <c r="I11" s="17" t="n"/>
      <c r="J11" s="17" t="n"/>
    </row>
    <row r="12" ht="14.4" customHeight="1" s="972">
      <c r="A12" s="17" t="n"/>
      <c r="B12" s="17" t="n"/>
      <c r="C12" s="508" t="n">
        <v>45957</v>
      </c>
      <c r="D12" s="509" t="inlineStr">
        <is>
          <t>TP</t>
        </is>
      </c>
      <c r="E12" s="510" t="inlineStr">
        <is>
          <t>Initial (Press Release)</t>
        </is>
      </c>
      <c r="F12" s="510" t="inlineStr">
        <is>
          <t>Q3-2025</t>
        </is>
      </c>
      <c r="G12" s="511" t="n"/>
      <c r="H12" s="264" t="inlineStr">
        <is>
          <t>Earnings Press Release</t>
        </is>
      </c>
      <c r="I12" s="17" t="n"/>
      <c r="J12" s="17" t="n"/>
    </row>
    <row r="13" ht="14.4" customHeight="1" s="972">
      <c r="A13" s="17" t="n"/>
      <c r="B13" s="17" t="n"/>
      <c r="C13" s="508" t="n">
        <v>45868</v>
      </c>
      <c r="D13" s="509" t="inlineStr">
        <is>
          <t>AN</t>
        </is>
      </c>
      <c r="E13" s="510" t="inlineStr">
        <is>
          <t>Quarterly (Earnings Report)</t>
        </is>
      </c>
      <c r="F13" s="510" t="inlineStr">
        <is>
          <t>Q2-2025</t>
        </is>
      </c>
      <c r="G13" s="511" t="n"/>
      <c r="H13" s="264" t="inlineStr">
        <is>
          <t>Earnings Press Release</t>
        </is>
      </c>
      <c r="I13" s="17" t="n"/>
      <c r="J13" s="17" t="n"/>
    </row>
    <row r="14" ht="14.4" customHeight="1" s="972">
      <c r="A14" s="17" t="n"/>
      <c r="B14" s="17" t="n"/>
      <c r="C14" s="508" t="n">
        <v>45866</v>
      </c>
      <c r="D14" s="509" t="inlineStr">
        <is>
          <t>AN</t>
        </is>
      </c>
      <c r="E14" s="510" t="inlineStr">
        <is>
          <t>Initial (Press Release)</t>
        </is>
      </c>
      <c r="F14" s="510" t="inlineStr">
        <is>
          <t>Q2-2025</t>
        </is>
      </c>
      <c r="G14" s="511" t="n"/>
      <c r="H14" s="264" t="inlineStr">
        <is>
          <t>Earnings Press Release</t>
        </is>
      </c>
      <c r="I14" s="17" t="n"/>
      <c r="J14" s="17" t="n"/>
    </row>
    <row r="15" ht="14.4" customHeight="1" s="972">
      <c r="A15" s="17" t="n"/>
      <c r="B15" s="17" t="n"/>
      <c r="C15" s="508" t="n">
        <v>45777</v>
      </c>
      <c r="D15" s="509" t="inlineStr">
        <is>
          <t>AR</t>
        </is>
      </c>
      <c r="E15" s="510" t="inlineStr">
        <is>
          <t>Quarterly (Earnings Report)</t>
        </is>
      </c>
      <c r="F15" s="510" t="inlineStr">
        <is>
          <t>Q1-2025</t>
        </is>
      </c>
      <c r="G15" s="511" t="n"/>
      <c r="H15" s="264" t="inlineStr">
        <is>
          <t>Earnings Press Release</t>
        </is>
      </c>
      <c r="I15" s="17" t="n"/>
      <c r="J15" s="17" t="n"/>
    </row>
    <row r="16" ht="14.4" customHeight="1" s="972">
      <c r="A16" s="17" t="n"/>
      <c r="B16" s="17" t="n"/>
      <c r="C16" s="508" t="n">
        <v>45775</v>
      </c>
      <c r="D16" s="509" t="inlineStr">
        <is>
          <t>BL</t>
        </is>
      </c>
      <c r="E16" s="510" t="inlineStr">
        <is>
          <t>Initial (Press Release)</t>
        </is>
      </c>
      <c r="F16" s="510" t="inlineStr">
        <is>
          <t>Q1-2025</t>
        </is>
      </c>
      <c r="G16" s="511" t="n"/>
      <c r="H16" s="264" t="inlineStr">
        <is>
          <t>Earnings Press Release</t>
        </is>
      </c>
      <c r="I16" s="17" t="n"/>
      <c r="J16" s="17" t="n"/>
    </row>
    <row r="17" ht="14.4" customHeight="1" s="972">
      <c r="A17" s="17" t="n"/>
      <c r="B17" s="17" t="n"/>
      <c r="C17" s="508" t="n">
        <v>45709</v>
      </c>
      <c r="D17" s="509" t="inlineStr">
        <is>
          <t>WW</t>
        </is>
      </c>
      <c r="E17" s="510" t="inlineStr">
        <is>
          <t>Annual (Earnings Report)</t>
        </is>
      </c>
      <c r="F17" s="510" t="inlineStr">
        <is>
          <t>FY2024</t>
        </is>
      </c>
      <c r="G17" s="511" t="n"/>
      <c r="H17" s="264" t="inlineStr">
        <is>
          <t>Earnings Press Release</t>
        </is>
      </c>
      <c r="I17" s="17" t="n"/>
      <c r="J17" s="17" t="n"/>
    </row>
    <row r="18" ht="14.4" customHeight="1" s="972">
      <c r="A18" s="17" t="n"/>
      <c r="B18" s="17" t="n"/>
      <c r="C18" s="508" t="n">
        <v>45706</v>
      </c>
      <c r="D18" s="509" t="inlineStr">
        <is>
          <t>CZ</t>
        </is>
      </c>
      <c r="E18" s="510" t="inlineStr">
        <is>
          <t>Initial (Press Release)</t>
        </is>
      </c>
      <c r="F18" s="510" t="inlineStr">
        <is>
          <t>FY2024</t>
        </is>
      </c>
      <c r="G18" s="511" t="n"/>
      <c r="H18" s="264" t="inlineStr">
        <is>
          <t>Earnings Press Release</t>
        </is>
      </c>
      <c r="I18" s="17" t="n"/>
      <c r="J18" s="17" t="n"/>
    </row>
    <row r="19" ht="14.4" customHeight="1" s="972">
      <c r="A19" s="17" t="n"/>
      <c r="B19" s="17" t="n"/>
      <c r="C19" s="508" t="n">
        <v>45595</v>
      </c>
      <c r="D19" s="509" t="inlineStr">
        <is>
          <t>KS</t>
        </is>
      </c>
      <c r="E19" s="510" t="inlineStr">
        <is>
          <t>Quarterly (Earnings Report)</t>
        </is>
      </c>
      <c r="F19" s="510" t="inlineStr">
        <is>
          <t>Q3-2024</t>
        </is>
      </c>
      <c r="G19" s="511" t="n"/>
      <c r="H19" s="264" t="inlineStr">
        <is>
          <t>Earnings Press Release</t>
        </is>
      </c>
      <c r="I19" s="17" t="n"/>
      <c r="J19" s="17" t="n"/>
    </row>
    <row r="20" ht="14.4" customHeight="1" s="972">
      <c r="A20" s="17" t="n"/>
      <c r="B20" s="17" t="n"/>
      <c r="C20" s="508" t="n">
        <v>45593</v>
      </c>
      <c r="D20" s="509" t="inlineStr">
        <is>
          <t>ALT</t>
        </is>
      </c>
      <c r="E20" s="510" t="inlineStr">
        <is>
          <t>Initial (Press Release)</t>
        </is>
      </c>
      <c r="F20" s="510" t="inlineStr">
        <is>
          <t>Q3-2024</t>
        </is>
      </c>
      <c r="G20" s="511" t="n"/>
      <c r="H20" s="264" t="inlineStr">
        <is>
          <t>Earnings Press Release</t>
        </is>
      </c>
      <c r="I20" s="17" t="n"/>
      <c r="J20" s="17" t="n"/>
    </row>
    <row r="21" ht="14.4" customHeight="1" s="972">
      <c r="A21" s="17" t="n"/>
      <c r="B21" s="17" t="n"/>
      <c r="C21" s="508" t="n">
        <v>45497</v>
      </c>
      <c r="D21" s="509" t="inlineStr">
        <is>
          <t>AA</t>
        </is>
      </c>
      <c r="E21" s="510" t="inlineStr">
        <is>
          <t>Quarterly (Earnings Report)</t>
        </is>
      </c>
      <c r="F21" s="510" t="inlineStr">
        <is>
          <t>Q2-2024</t>
        </is>
      </c>
      <c r="G21" s="511" t="n"/>
      <c r="H21" s="264" t="inlineStr">
        <is>
          <t>Earnings Press Release</t>
        </is>
      </c>
      <c r="I21" s="17" t="n"/>
      <c r="J21" s="17" t="n"/>
    </row>
    <row r="22" ht="14.4" customHeight="1" s="972">
      <c r="A22" s="17" t="n"/>
      <c r="B22" s="17" t="n"/>
      <c r="C22" s="508" t="n">
        <v>45495</v>
      </c>
      <c r="D22" s="509" t="inlineStr">
        <is>
          <t>HS</t>
        </is>
      </c>
      <c r="E22" s="510" t="inlineStr">
        <is>
          <t>Initial (Press Release)</t>
        </is>
      </c>
      <c r="F22" s="510" t="inlineStr">
        <is>
          <t>Q2-2024</t>
        </is>
      </c>
      <c r="G22" s="511" t="n"/>
      <c r="H22" s="264" t="inlineStr">
        <is>
          <t>Earnings Press Release</t>
        </is>
      </c>
      <c r="I22" s="17" t="n"/>
      <c r="J22" s="17" t="n"/>
    </row>
    <row r="23" ht="14.4" customHeight="1" s="972">
      <c r="A23" s="17" t="n"/>
      <c r="B23" s="17" t="n"/>
      <c r="C23" s="508" t="n">
        <v>45406</v>
      </c>
      <c r="D23" s="509" t="inlineStr">
        <is>
          <t>KS</t>
        </is>
      </c>
      <c r="E23" s="510" t="inlineStr">
        <is>
          <t>Quarterly (Earnings Report)</t>
        </is>
      </c>
      <c r="F23" s="510" t="inlineStr">
        <is>
          <t>Q1-2024</t>
        </is>
      </c>
      <c r="G23" s="511" t="n"/>
      <c r="H23" s="264" t="inlineStr">
        <is>
          <t>Earnings Press Release</t>
        </is>
      </c>
      <c r="I23" s="17" t="n"/>
      <c r="J23" s="17" t="n"/>
    </row>
    <row r="24" ht="14.4" customHeight="1" s="972">
      <c r="A24" s="17" t="n"/>
      <c r="B24" s="17" t="n"/>
      <c r="C24" s="508" t="n">
        <v>45404</v>
      </c>
      <c r="D24" s="509" t="inlineStr">
        <is>
          <t>SH</t>
        </is>
      </c>
      <c r="E24" s="510" t="inlineStr">
        <is>
          <t>Initial (Press Release)</t>
        </is>
      </c>
      <c r="F24" s="510" t="inlineStr">
        <is>
          <t>Q1-2024</t>
        </is>
      </c>
      <c r="G24" s="511" t="n"/>
      <c r="H24" s="264" t="inlineStr">
        <is>
          <t>Earnings Press Release</t>
        </is>
      </c>
      <c r="I24" s="17" t="n"/>
      <c r="J24" s="17" t="n"/>
    </row>
    <row r="25" ht="14.4" customHeight="1" s="972">
      <c r="A25" s="17" t="n"/>
      <c r="B25" s="17" t="n"/>
      <c r="C25" s="508" t="n">
        <v>45336</v>
      </c>
      <c r="D25" s="509" t="inlineStr">
        <is>
          <t>KS</t>
        </is>
      </c>
      <c r="E25" s="510" t="inlineStr">
        <is>
          <t>Annual (Earnings Report)</t>
        </is>
      </c>
      <c r="F25" s="510" t="inlineStr">
        <is>
          <t>FY2023</t>
        </is>
      </c>
      <c r="G25" s="511" t="n"/>
      <c r="H25" s="343" t="inlineStr">
        <is>
          <t>Earnings Press Release</t>
        </is>
      </c>
      <c r="I25" s="17" t="n"/>
      <c r="J25" s="17" t="n"/>
    </row>
    <row r="26" ht="14.4" customHeight="1" s="972">
      <c r="A26" s="17" t="n"/>
      <c r="B26" s="17" t="n"/>
      <c r="C26" s="508" t="n">
        <v>45334</v>
      </c>
      <c r="D26" s="509" t="inlineStr">
        <is>
          <t>TZ</t>
        </is>
      </c>
      <c r="E26" s="510" t="inlineStr">
        <is>
          <t>Initial (Press Release)</t>
        </is>
      </c>
      <c r="F26" s="510" t="inlineStr">
        <is>
          <t>FY2023</t>
        </is>
      </c>
      <c r="G26" s="511" t="n"/>
      <c r="H26" s="264" t="inlineStr">
        <is>
          <t>Earnings Press Release</t>
        </is>
      </c>
      <c r="I26" s="17" t="n"/>
      <c r="J26" s="17" t="n"/>
    </row>
    <row r="27" ht="14.4" customHeight="1" s="972">
      <c r="A27" s="17" t="n"/>
      <c r="B27" s="17" t="n"/>
      <c r="C27" s="508" t="n">
        <v>45222</v>
      </c>
      <c r="D27" s="509" t="inlineStr">
        <is>
          <t>TZ</t>
        </is>
      </c>
      <c r="E27" s="510" t="inlineStr">
        <is>
          <t>Quarterly (Earnings Report)</t>
        </is>
      </c>
      <c r="F27" s="510" t="inlineStr">
        <is>
          <t>Q3-2023</t>
        </is>
      </c>
      <c r="G27" s="511" t="n"/>
      <c r="H27" s="264" t="inlineStr">
        <is>
          <t>Earnings Press Release</t>
        </is>
      </c>
      <c r="I27" s="17" t="n"/>
      <c r="J27" s="17" t="n"/>
    </row>
    <row r="28" ht="14.4" customHeight="1" s="972">
      <c r="A28" s="17" t="n"/>
      <c r="B28" s="17" t="n"/>
      <c r="C28" s="508" t="n">
        <v>45131</v>
      </c>
      <c r="D28" s="509" t="inlineStr">
        <is>
          <t>AA</t>
        </is>
      </c>
      <c r="E28" s="510" t="inlineStr">
        <is>
          <t>Quarterly (Earnings Report)</t>
        </is>
      </c>
      <c r="F28" s="510" t="inlineStr">
        <is>
          <t>Q2-2023</t>
        </is>
      </c>
      <c r="G28" s="511" t="n"/>
      <c r="H28" s="264" t="inlineStr">
        <is>
          <t>Earnings Press Release</t>
        </is>
      </c>
      <c r="I28" s="17" t="n"/>
      <c r="J28" s="17" t="n"/>
    </row>
    <row r="29" ht="14.4" customHeight="1" s="972">
      <c r="A29" s="17" t="n"/>
      <c r="B29" s="17" t="n"/>
      <c r="C29" s="508" t="n">
        <v>45040</v>
      </c>
      <c r="D29" s="509" t="inlineStr">
        <is>
          <t>TP</t>
        </is>
      </c>
      <c r="E29" s="510" t="inlineStr">
        <is>
          <t>Quarterly (Earnings Report)</t>
        </is>
      </c>
      <c r="F29" s="510" t="inlineStr">
        <is>
          <t>Q1-2023</t>
        </is>
      </c>
      <c r="G29" s="511" t="n"/>
      <c r="H29" s="343" t="inlineStr">
        <is>
          <t>Earnings Press Release</t>
        </is>
      </c>
      <c r="I29" s="17" t="n"/>
      <c r="J29" s="17" t="n"/>
    </row>
    <row r="30" ht="14.4" customHeight="1" s="972">
      <c r="A30" s="17" t="n"/>
      <c r="B30" s="17" t="n"/>
      <c r="C30" s="508" t="n">
        <v>44970</v>
      </c>
      <c r="D30" s="509" t="inlineStr">
        <is>
          <t>HQ</t>
        </is>
      </c>
      <c r="E30" s="510" t="inlineStr">
        <is>
          <t>Annual (Earnings Report)</t>
        </is>
      </c>
      <c r="F30" s="510" t="inlineStr">
        <is>
          <t>FY2022</t>
        </is>
      </c>
      <c r="G30" s="511" t="n"/>
      <c r="H30" s="264" t="inlineStr">
        <is>
          <t>Earnings Press Release</t>
        </is>
      </c>
      <c r="I30" s="17" t="n"/>
      <c r="J30" s="17" t="n"/>
    </row>
    <row r="31" ht="14.4" customHeight="1" s="972">
      <c r="A31" s="17" t="n"/>
      <c r="B31" s="17" t="n"/>
      <c r="C31" s="508" t="n">
        <v>44858</v>
      </c>
      <c r="D31" s="509" t="inlineStr">
        <is>
          <t>AHA</t>
        </is>
      </c>
      <c r="E31" s="510" t="inlineStr">
        <is>
          <t>Quarterly (Earnings Report)</t>
        </is>
      </c>
      <c r="F31" s="510" t="inlineStr">
        <is>
          <t>Q3-2022</t>
        </is>
      </c>
      <c r="G31" s="511" t="n"/>
      <c r="H31" s="264" t="inlineStr">
        <is>
          <t>Earnings Press Release</t>
        </is>
      </c>
      <c r="I31" s="17" t="n"/>
      <c r="J31" s="17" t="n"/>
    </row>
    <row r="32" ht="14.4" customHeight="1" s="972">
      <c r="A32" s="17" t="n"/>
      <c r="B32" s="17" t="n"/>
      <c r="C32" s="508" t="n">
        <v>44767</v>
      </c>
      <c r="D32" s="509" t="inlineStr">
        <is>
          <t>KB</t>
        </is>
      </c>
      <c r="E32" s="510" t="inlineStr">
        <is>
          <t>Quarterly (Earnings Report)</t>
        </is>
      </c>
      <c r="F32" s="510" t="inlineStr">
        <is>
          <t>Q2-2022</t>
        </is>
      </c>
      <c r="G32" s="511" t="n"/>
      <c r="H32" s="343" t="inlineStr">
        <is>
          <t>Earnings Press Release</t>
        </is>
      </c>
      <c r="I32" s="17" t="n"/>
      <c r="J32" s="17" t="n"/>
    </row>
    <row r="33" ht="14.4" customHeight="1" s="972">
      <c r="A33" s="17" t="n"/>
      <c r="B33" s="17" t="n"/>
      <c r="C33" s="508" t="n">
        <v>44676</v>
      </c>
      <c r="D33" s="509" t="inlineStr">
        <is>
          <t>SK</t>
        </is>
      </c>
      <c r="E33" s="510" t="inlineStr">
        <is>
          <t>Quarterly (Earnings Report)</t>
        </is>
      </c>
      <c r="F33" s="510" t="inlineStr">
        <is>
          <t>Q1-2022</t>
        </is>
      </c>
      <c r="G33" s="511" t="n"/>
      <c r="H33" s="343" t="inlineStr">
        <is>
          <t>Earnings Press Release</t>
        </is>
      </c>
      <c r="I33" s="17" t="n"/>
      <c r="J33" s="17" t="n"/>
    </row>
    <row r="34" ht="14.4" customHeight="1" s="972">
      <c r="A34" s="17" t="n"/>
      <c r="B34" s="17" t="n"/>
      <c r="C34" s="508" t="n">
        <v>44614</v>
      </c>
      <c r="D34" s="509" t="inlineStr">
        <is>
          <t>EC</t>
        </is>
      </c>
      <c r="E34" s="510" t="inlineStr">
        <is>
          <t>Annual (Earnings Report)</t>
        </is>
      </c>
      <c r="F34" s="510" t="inlineStr">
        <is>
          <t>FY2021</t>
        </is>
      </c>
      <c r="G34" s="511" t="n"/>
      <c r="H34" s="264" t="inlineStr">
        <is>
          <t>Earnings Press Release</t>
        </is>
      </c>
      <c r="I34" s="17" t="n"/>
      <c r="J34" s="17" t="n"/>
    </row>
    <row r="35" ht="14.4" customHeight="1" s="972">
      <c r="A35" s="17" t="n"/>
      <c r="B35" s="17" t="n"/>
      <c r="C35" s="508" t="n">
        <v>44494</v>
      </c>
      <c r="D35" s="509" t="inlineStr">
        <is>
          <t>PK</t>
        </is>
      </c>
      <c r="E35" s="510" t="inlineStr">
        <is>
          <t>Quarterly (Earnings Report)</t>
        </is>
      </c>
      <c r="F35" s="510" t="inlineStr">
        <is>
          <t>Q3-2021</t>
        </is>
      </c>
      <c r="G35" s="511" t="n"/>
      <c r="H35" s="264" t="inlineStr">
        <is>
          <t>Earnings Press Release</t>
        </is>
      </c>
      <c r="I35" s="17" t="n"/>
      <c r="J35" s="17" t="n"/>
    </row>
    <row r="36" ht="14.4" customHeight="1" s="972">
      <c r="A36" s="17" t="n"/>
      <c r="B36" s="17" t="n"/>
      <c r="C36" s="508" t="n">
        <v>44403</v>
      </c>
      <c r="D36" s="509" t="inlineStr">
        <is>
          <t>TP</t>
        </is>
      </c>
      <c r="E36" s="510" t="inlineStr">
        <is>
          <t>Quarterly (Earnings Report)</t>
        </is>
      </c>
      <c r="F36" s="510" t="inlineStr">
        <is>
          <t>Q2-2021</t>
        </is>
      </c>
      <c r="G36" s="511" t="n"/>
      <c r="H36" s="264" t="inlineStr">
        <is>
          <t>Earnings Press Release</t>
        </is>
      </c>
      <c r="I36" s="17" t="n"/>
      <c r="J36" s="17" t="n"/>
    </row>
    <row r="37" ht="14.4" customHeight="1" s="972">
      <c r="A37" s="17" t="n"/>
      <c r="B37" s="17" t="n"/>
      <c r="C37" s="508" t="n">
        <v>44403</v>
      </c>
      <c r="D37" s="509" t="inlineStr">
        <is>
          <t>TP</t>
        </is>
      </c>
      <c r="E37" s="510" t="inlineStr">
        <is>
          <t>Initial (Press Release)</t>
        </is>
      </c>
      <c r="F37" s="510" t="inlineStr">
        <is>
          <t>Q2-2021</t>
        </is>
      </c>
      <c r="G37" s="511" t="n"/>
      <c r="H37" s="512" t="inlineStr">
        <is>
          <t>Earnings Press Release</t>
        </is>
      </c>
      <c r="I37" s="17" t="n"/>
      <c r="J37" s="17" t="n"/>
    </row>
    <row r="38" ht="14.4" customHeight="1" s="972">
      <c r="A38" s="17" t="n"/>
      <c r="B38" s="17" t="n"/>
      <c r="C38" s="508" t="n">
        <v>44312</v>
      </c>
      <c r="D38" s="509" t="inlineStr">
        <is>
          <t>TP</t>
        </is>
      </c>
      <c r="E38" s="510" t="inlineStr">
        <is>
          <t>Quarterly (Earnings Report)</t>
        </is>
      </c>
      <c r="F38" s="510" t="inlineStr">
        <is>
          <t>Q1-2021</t>
        </is>
      </c>
      <c r="G38" s="511" t="n"/>
      <c r="H38" s="512" t="inlineStr">
        <is>
          <t>Earnings Press Release</t>
        </is>
      </c>
      <c r="I38" s="17" t="n"/>
      <c r="J38" s="17" t="n"/>
    </row>
    <row r="39" ht="14.4" customHeight="1" s="972">
      <c r="A39" s="17" t="n"/>
      <c r="B39" s="17" t="n"/>
      <c r="C39" s="508" t="n">
        <v>44249</v>
      </c>
      <c r="D39" s="509" t="inlineStr">
        <is>
          <t>TP</t>
        </is>
      </c>
      <c r="E39" s="510" t="inlineStr">
        <is>
          <t>Annual (Earnings Report)</t>
        </is>
      </c>
      <c r="F39" s="510" t="inlineStr">
        <is>
          <t>FY2020</t>
        </is>
      </c>
      <c r="G39" s="511" t="n"/>
      <c r="H39" s="264" t="inlineStr">
        <is>
          <t>Earnings Press Release</t>
        </is>
      </c>
      <c r="I39" s="17" t="n"/>
      <c r="J39" s="17" t="n"/>
    </row>
    <row r="40" ht="14.4" customHeight="1" s="972">
      <c r="A40" s="17" t="n"/>
      <c r="B40" s="17" t="n"/>
      <c r="C40" s="508" t="n">
        <v>44249</v>
      </c>
      <c r="D40" s="509" t="inlineStr">
        <is>
          <t>TP</t>
        </is>
      </c>
      <c r="E40" s="510" t="inlineStr">
        <is>
          <t>Initial (Press Release)</t>
        </is>
      </c>
      <c r="F40" s="510" t="inlineStr">
        <is>
          <t>FY2020</t>
        </is>
      </c>
      <c r="G40" s="511" t="n"/>
      <c r="H40" s="512" t="inlineStr">
        <is>
          <t>Earnings Press Release</t>
        </is>
      </c>
      <c r="I40" s="17" t="n"/>
      <c r="J40" s="17" t="n"/>
    </row>
    <row r="41" ht="14.4" customHeight="1" s="972">
      <c r="A41" s="17" t="n"/>
      <c r="B41" s="17" t="n"/>
      <c r="C41" s="508" t="n">
        <v>44123</v>
      </c>
      <c r="D41" s="509" t="inlineStr">
        <is>
          <t>AW</t>
        </is>
      </c>
      <c r="E41" s="510" t="inlineStr">
        <is>
          <t>Quarterly (Earnings Report)</t>
        </is>
      </c>
      <c r="F41" s="510" t="inlineStr">
        <is>
          <t>Q3-2020</t>
        </is>
      </c>
      <c r="G41" s="511" t="n"/>
      <c r="H41" s="513" t="inlineStr">
        <is>
          <t>Earnings Press Release</t>
        </is>
      </c>
      <c r="I41" s="17" t="n"/>
      <c r="J41" s="17" t="n"/>
    </row>
    <row r="42" ht="14.4" customHeight="1" s="972">
      <c r="A42" s="17" t="n"/>
      <c r="B42" s="17" t="n"/>
      <c r="C42" s="508" t="n">
        <v>44032</v>
      </c>
      <c r="D42" s="509" t="inlineStr">
        <is>
          <t>JK</t>
        </is>
      </c>
      <c r="E42" s="510" t="inlineStr">
        <is>
          <t>Quarterly (Earnings Report)</t>
        </is>
      </c>
      <c r="F42" s="510" t="inlineStr">
        <is>
          <t>Q2-2020</t>
        </is>
      </c>
      <c r="G42" s="511" t="n"/>
      <c r="H42" s="513" t="inlineStr">
        <is>
          <t>Earnings Press Release</t>
        </is>
      </c>
      <c r="I42" s="17" t="n"/>
      <c r="J42" s="17" t="n"/>
    </row>
    <row r="43" ht="14.4" customHeight="1" s="972">
      <c r="A43" s="17" t="n"/>
      <c r="B43" s="17" t="n"/>
      <c r="C43" s="508" t="n">
        <v>43941</v>
      </c>
      <c r="D43" s="509" t="inlineStr">
        <is>
          <t>AP</t>
        </is>
      </c>
      <c r="E43" s="510" t="inlineStr">
        <is>
          <t>Quarterly (Earnings Report)</t>
        </is>
      </c>
      <c r="F43" s="510" t="inlineStr">
        <is>
          <t>Q1-2020</t>
        </is>
      </c>
      <c r="G43" s="511" t="n"/>
      <c r="H43" s="513" t="inlineStr">
        <is>
          <t>Earnings Press Release</t>
        </is>
      </c>
      <c r="I43" s="17" t="n"/>
      <c r="J43" s="17" t="n"/>
    </row>
    <row r="44" ht="14.4" customHeight="1" s="972">
      <c r="A44" s="17" t="n"/>
      <c r="B44" s="17" t="n"/>
      <c r="C44" s="508" t="n">
        <v>43886</v>
      </c>
      <c r="D44" s="509" t="inlineStr">
        <is>
          <t>LZ</t>
        </is>
      </c>
      <c r="E44" s="510" t="inlineStr">
        <is>
          <t>Annual (Earnings Report)</t>
        </is>
      </c>
      <c r="F44" s="510" t="inlineStr">
        <is>
          <t>FY2019</t>
        </is>
      </c>
      <c r="G44" s="511" t="n"/>
      <c r="H44" s="513" t="inlineStr">
        <is>
          <t>Earnings Press Release</t>
        </is>
      </c>
      <c r="I44" s="17" t="n"/>
      <c r="J44" s="17" t="n"/>
    </row>
    <row r="45" ht="14.4" customHeight="1" s="972">
      <c r="A45" s="17" t="n"/>
      <c r="B45" s="17" t="n"/>
      <c r="C45" s="508" t="n">
        <v>43873</v>
      </c>
      <c r="D45" s="509" t="inlineStr">
        <is>
          <t>LZ</t>
        </is>
      </c>
      <c r="E45" s="510" t="inlineStr">
        <is>
          <t>Initial (Press Release)</t>
        </is>
      </c>
      <c r="F45" s="510" t="inlineStr">
        <is>
          <t>FY2019</t>
        </is>
      </c>
      <c r="G45" s="511" t="n"/>
      <c r="H45" s="513" t="inlineStr">
        <is>
          <t>Earnings Press Release</t>
        </is>
      </c>
      <c r="I45" s="17" t="n"/>
      <c r="J45" s="17" t="n"/>
    </row>
    <row r="46" ht="14.4" customHeight="1" s="972">
      <c r="A46" s="17" t="n"/>
      <c r="B46" s="17" t="n"/>
      <c r="C46" s="508" t="n">
        <v>43801</v>
      </c>
      <c r="D46" s="509" t="inlineStr">
        <is>
          <t>AW</t>
        </is>
      </c>
      <c r="E46" s="510" t="inlineStr">
        <is>
          <t>Model Improvement</t>
        </is>
      </c>
      <c r="F46" s="510" t="inlineStr">
        <is>
          <t>Q3-2019</t>
        </is>
      </c>
      <c r="G46" s="511" t="inlineStr">
        <is>
          <t>Y/Y Cost Granularity</t>
        </is>
      </c>
      <c r="H46" s="513" t="n"/>
      <c r="I46" s="17" t="n"/>
      <c r="J46" s="17" t="n"/>
    </row>
    <row r="47" ht="14.4" customHeight="1" s="972">
      <c r="A47" s="17" t="n"/>
      <c r="B47" s="17" t="n"/>
      <c r="C47" s="508" t="n">
        <v>43759</v>
      </c>
      <c r="D47" s="509" t="inlineStr">
        <is>
          <t>AW AP</t>
        </is>
      </c>
      <c r="E47" s="510" t="inlineStr">
        <is>
          <t>Quarterly (Earnings Report)</t>
        </is>
      </c>
      <c r="F47" s="510" t="inlineStr">
        <is>
          <t>Q3-2019</t>
        </is>
      </c>
      <c r="G47" s="511" t="n"/>
      <c r="H47" s="513" t="inlineStr">
        <is>
          <t>Earnings Press Release</t>
        </is>
      </c>
      <c r="I47" s="17" t="n"/>
      <c r="J47" s="17" t="n"/>
    </row>
    <row r="48" ht="14.4" customHeight="1" s="972">
      <c r="A48" s="17" t="n"/>
      <c r="B48" s="17" t="n"/>
      <c r="C48" s="508" t="n">
        <v>43668</v>
      </c>
      <c r="D48" s="509" t="inlineStr">
        <is>
          <t>HS</t>
        </is>
      </c>
      <c r="E48" s="510" t="inlineStr">
        <is>
          <t>Quarterly (Earnings Report)</t>
        </is>
      </c>
      <c r="F48" s="510" t="inlineStr">
        <is>
          <t>Q2-2019</t>
        </is>
      </c>
      <c r="G48" s="511" t="n"/>
      <c r="H48" s="513" t="inlineStr">
        <is>
          <t>Earnings Press Release</t>
        </is>
      </c>
      <c r="I48" s="17" t="n"/>
      <c r="J48" s="17" t="n"/>
    </row>
    <row r="49" ht="14.4" customHeight="1" s="972">
      <c r="A49" s="17" t="n"/>
      <c r="B49" s="17" t="n"/>
      <c r="C49" s="514" t="n">
        <v>43668</v>
      </c>
      <c r="D49" s="515" t="inlineStr">
        <is>
          <t>LZ</t>
        </is>
      </c>
      <c r="E49" s="516" t="inlineStr">
        <is>
          <t>Initial (Press Release)</t>
        </is>
      </c>
      <c r="F49" s="516" t="inlineStr">
        <is>
          <t>Q2-2019</t>
        </is>
      </c>
      <c r="G49" s="517" t="n"/>
      <c r="H49" s="518" t="inlineStr">
        <is>
          <t>Earnings Press Release</t>
        </is>
      </c>
      <c r="I49" s="17" t="n"/>
      <c r="J49" s="17" t="n"/>
    </row>
    <row r="50" ht="14.4" customHeight="1" s="972">
      <c r="A50" s="17" t="n"/>
      <c r="B50" s="17" t="n"/>
      <c r="C50" s="514" t="n">
        <v>43578</v>
      </c>
      <c r="D50" s="515" t="inlineStr">
        <is>
          <t>LZ HS</t>
        </is>
      </c>
      <c r="E50" s="516" t="inlineStr">
        <is>
          <t>Quarterly (Earnings Report)</t>
        </is>
      </c>
      <c r="F50" s="516" t="inlineStr">
        <is>
          <t>Q1-2019</t>
        </is>
      </c>
      <c r="G50" s="517" t="n"/>
      <c r="H50" s="518" t="inlineStr">
        <is>
          <t>Earnings Press Release</t>
        </is>
      </c>
      <c r="I50" s="17" t="n"/>
      <c r="J50" s="17" t="n"/>
    </row>
    <row r="51" ht="14.4" customHeight="1" s="972">
      <c r="A51" s="17" t="n"/>
      <c r="B51" s="17" t="n"/>
      <c r="C51" s="514" t="n">
        <v>43525</v>
      </c>
      <c r="D51" s="515" t="inlineStr">
        <is>
          <t>LZ HS</t>
        </is>
      </c>
      <c r="E51" s="516" t="inlineStr">
        <is>
          <t>Annual (Earnings Report)</t>
        </is>
      </c>
      <c r="F51" s="516" t="inlineStr">
        <is>
          <t>FY2018</t>
        </is>
      </c>
      <c r="G51" s="517" t="n"/>
      <c r="H51" s="518" t="inlineStr">
        <is>
          <t>Earnings Press Release</t>
        </is>
      </c>
      <c r="I51" s="17" t="n"/>
      <c r="J51" s="17" t="n"/>
    </row>
    <row r="52" ht="14.4" customHeight="1" s="972">
      <c r="A52" s="17" t="n"/>
      <c r="B52" s="17" t="n"/>
      <c r="C52" s="514" t="n">
        <v>43440</v>
      </c>
      <c r="D52" s="515" t="inlineStr">
        <is>
          <t>NQ</t>
        </is>
      </c>
      <c r="E52" s="516" t="inlineStr">
        <is>
          <t>WC Project</t>
        </is>
      </c>
      <c r="F52" s="516" t="inlineStr">
        <is>
          <t>Q3-2018</t>
        </is>
      </c>
      <c r="G52" s="517" t="n"/>
      <c r="H52" s="519" t="n"/>
      <c r="I52" s="17" t="n"/>
      <c r="J52" s="17" t="n"/>
    </row>
    <row r="53" ht="14.4" customHeight="1" s="972">
      <c r="A53" s="17" t="n"/>
      <c r="B53" s="17" t="n"/>
      <c r="C53" s="514" t="n">
        <v>43395</v>
      </c>
      <c r="D53" s="515" t="inlineStr">
        <is>
          <t>LZ WC</t>
        </is>
      </c>
      <c r="E53" s="516" t="inlineStr">
        <is>
          <t>Quarterly (Earnings Report)</t>
        </is>
      </c>
      <c r="F53" s="516" t="inlineStr">
        <is>
          <t>Q3-2018</t>
        </is>
      </c>
      <c r="G53" s="517" t="n"/>
      <c r="H53" s="519" t="inlineStr">
        <is>
          <t>Earnings Press Release</t>
        </is>
      </c>
      <c r="I53" s="17" t="n"/>
      <c r="J53" s="17" t="n"/>
    </row>
    <row r="54" ht="14.4" customHeight="1" s="972">
      <c r="A54" s="17" t="n"/>
      <c r="B54" s="17" t="n"/>
      <c r="C54" s="514" t="n">
        <v>43304</v>
      </c>
      <c r="D54" s="515" t="inlineStr">
        <is>
          <t>AY MW</t>
        </is>
      </c>
      <c r="E54" s="516" t="inlineStr">
        <is>
          <t>Quarterly (Earnings Report)</t>
        </is>
      </c>
      <c r="F54" s="516" t="inlineStr">
        <is>
          <t>Q2-2018</t>
        </is>
      </c>
      <c r="G54" s="517" t="n"/>
      <c r="H54" s="519" t="inlineStr">
        <is>
          <t>Earnings Press Release</t>
        </is>
      </c>
      <c r="I54" s="17" t="n"/>
      <c r="J54" s="17" t="n"/>
    </row>
    <row r="55" ht="14.4" customHeight="1" s="972">
      <c r="A55" s="17" t="n"/>
      <c r="B55" s="17" t="n"/>
      <c r="C55" s="520" t="n">
        <v>43215</v>
      </c>
      <c r="D55" s="521" t="inlineStr">
        <is>
          <t>AY AB</t>
        </is>
      </c>
      <c r="E55" s="522" t="inlineStr">
        <is>
          <t>Quarterly (Earnings Report)</t>
        </is>
      </c>
      <c r="F55" s="522" t="inlineStr">
        <is>
          <t>Q1-2018</t>
        </is>
      </c>
      <c r="G55" s="523" t="n"/>
      <c r="H55" s="512" t="inlineStr">
        <is>
          <t>Earnings Press Release</t>
        </is>
      </c>
      <c r="I55" s="17" t="n"/>
      <c r="J55" s="17" t="n"/>
    </row>
    <row r="56" ht="14.4" customHeight="1" s="972">
      <c r="A56" s="17" t="n"/>
      <c r="B56" s="17" t="n"/>
      <c r="C56" s="508" t="n">
        <v>43151</v>
      </c>
      <c r="D56" s="509" t="inlineStr">
        <is>
          <t>AB VT</t>
        </is>
      </c>
      <c r="E56" s="510" t="inlineStr">
        <is>
          <t>Annual (Earnings Report)</t>
        </is>
      </c>
      <c r="F56" s="510" t="inlineStr">
        <is>
          <t>FY2017</t>
        </is>
      </c>
      <c r="G56" s="511" t="n"/>
      <c r="H56" s="513" t="inlineStr">
        <is>
          <t>Earnings Press Release</t>
        </is>
      </c>
      <c r="I56" s="17" t="n"/>
      <c r="J56" s="17" t="n"/>
    </row>
    <row r="57" ht="14.4" customHeight="1" s="972">
      <c r="A57" s="17" t="n"/>
      <c r="B57" s="17" t="n"/>
      <c r="C57" s="508" t="n">
        <v>43083</v>
      </c>
      <c r="D57" s="509" t="inlineStr">
        <is>
          <t>GJ</t>
        </is>
      </c>
      <c r="E57" s="510" t="inlineStr">
        <is>
          <t>Model Improvement</t>
        </is>
      </c>
      <c r="F57" s="510" t="inlineStr">
        <is>
          <t>Q3-2017</t>
        </is>
      </c>
      <c r="G57" s="511" t="inlineStr">
        <is>
          <t>Non-GAAP RIS</t>
        </is>
      </c>
      <c r="H57" s="513" t="n"/>
      <c r="I57" s="17" t="n"/>
      <c r="J57" s="17" t="n"/>
    </row>
    <row r="58" ht="14.4" customHeight="1" s="972">
      <c r="A58" s="17" t="n"/>
      <c r="B58" s="17" t="n"/>
      <c r="C58" s="508" t="n">
        <v>43034</v>
      </c>
      <c r="D58" s="509" t="inlineStr">
        <is>
          <t>PV &amp; GJ</t>
        </is>
      </c>
      <c r="E58" s="510" t="inlineStr">
        <is>
          <t>Quarterly (Earnings Report)</t>
        </is>
      </c>
      <c r="F58" s="510" t="inlineStr">
        <is>
          <t>Q3-2017</t>
        </is>
      </c>
      <c r="G58" s="511" t="n"/>
      <c r="H58" s="513" t="inlineStr">
        <is>
          <t>Earnings Press Release</t>
        </is>
      </c>
      <c r="I58" s="17" t="n"/>
      <c r="J58" s="17" t="n"/>
    </row>
    <row r="59" ht="14.4" customHeight="1" s="972">
      <c r="A59" s="17" t="n"/>
      <c r="B59" s="17" t="n"/>
      <c r="C59" s="508" t="n">
        <v>42940</v>
      </c>
      <c r="D59" s="509" t="inlineStr">
        <is>
          <t>RD &amp; SL</t>
        </is>
      </c>
      <c r="E59" s="510" t="inlineStr">
        <is>
          <t>Quarterly (Earnings Report)</t>
        </is>
      </c>
      <c r="F59" s="510" t="inlineStr">
        <is>
          <t>Q2-2017</t>
        </is>
      </c>
      <c r="G59" s="511" t="n"/>
      <c r="H59" s="513" t="inlineStr">
        <is>
          <t>Earnings Press Release</t>
        </is>
      </c>
      <c r="I59" s="17" t="n"/>
      <c r="J59" s="17" t="n"/>
    </row>
    <row r="60" ht="14.4" customHeight="1" s="972">
      <c r="A60" s="17" t="n"/>
      <c r="B60" s="17" t="n"/>
      <c r="C60" s="508" t="n">
        <v>42891</v>
      </c>
      <c r="D60" s="509" t="inlineStr">
        <is>
          <t>SL &amp; YY</t>
        </is>
      </c>
      <c r="E60" s="510" t="inlineStr">
        <is>
          <t>Quarterly (Earnings Report)</t>
        </is>
      </c>
      <c r="F60" s="510" t="inlineStr">
        <is>
          <t>Q1-2017</t>
        </is>
      </c>
      <c r="G60" s="511" t="n"/>
      <c r="H60" s="513" t="inlineStr">
        <is>
          <t>Earnings Press Release</t>
        </is>
      </c>
      <c r="I60" s="17" t="n"/>
      <c r="J60" s="17" t="n"/>
    </row>
    <row r="61" ht="14.4" customHeight="1" s="972">
      <c r="A61" s="17" t="n"/>
      <c r="B61" s="17" t="n"/>
      <c r="C61" s="508" t="n">
        <v>42776</v>
      </c>
      <c r="D61" s="509" t="inlineStr">
        <is>
          <t>BP</t>
        </is>
      </c>
      <c r="E61" s="510" t="inlineStr">
        <is>
          <t>Annual (Earnings Report)</t>
        </is>
      </c>
      <c r="F61" s="510" t="inlineStr">
        <is>
          <t>FY2016</t>
        </is>
      </c>
      <c r="G61" s="511" t="n"/>
      <c r="H61" s="513" t="inlineStr">
        <is>
          <t>Earnings Press Release</t>
        </is>
      </c>
      <c r="I61" s="17" t="n"/>
      <c r="J61" s="17" t="n"/>
    </row>
    <row r="62" ht="14.4" customHeight="1" s="972">
      <c r="A62" s="17" t="n"/>
      <c r="B62" s="17" t="n"/>
      <c r="C62" s="508" t="n">
        <v>42717</v>
      </c>
      <c r="D62" s="509" t="inlineStr">
        <is>
          <t>BW</t>
        </is>
      </c>
      <c r="E62" s="510" t="inlineStr">
        <is>
          <t>Model Improvement</t>
        </is>
      </c>
      <c r="F62" s="510" t="inlineStr">
        <is>
          <t>Q3-2016</t>
        </is>
      </c>
      <c r="G62" s="511" t="inlineStr">
        <is>
          <t>Summary Page</t>
        </is>
      </c>
      <c r="H62" s="513" t="n"/>
      <c r="I62" s="17" t="n"/>
      <c r="J62" s="17" t="n"/>
    </row>
    <row r="63" ht="14.4" customHeight="1" s="972">
      <c r="A63" s="17" t="n"/>
      <c r="B63" s="17" t="n"/>
      <c r="C63" s="508" t="n">
        <v>42671</v>
      </c>
      <c r="D63" s="509" t="inlineStr">
        <is>
          <t>RD</t>
        </is>
      </c>
      <c r="E63" s="510" t="inlineStr">
        <is>
          <t>Quarterly (Earnings Report)</t>
        </is>
      </c>
      <c r="F63" s="510" t="inlineStr">
        <is>
          <t>Q3-2016</t>
        </is>
      </c>
      <c r="G63" s="511" t="n"/>
      <c r="H63" s="513" t="inlineStr">
        <is>
          <t>Earnings Press Release</t>
        </is>
      </c>
      <c r="I63" s="17" t="n"/>
      <c r="J63" s="17" t="n"/>
    </row>
    <row r="64" ht="14.4" customHeight="1" s="972">
      <c r="A64" s="17" t="n"/>
      <c r="B64" s="17" t="n"/>
      <c r="C64" s="508" t="n">
        <v>42524</v>
      </c>
      <c r="D64" s="509" t="inlineStr">
        <is>
          <t>BP</t>
        </is>
      </c>
      <c r="E64" s="510" t="inlineStr">
        <is>
          <t>New Build</t>
        </is>
      </c>
      <c r="F64" s="510" t="inlineStr">
        <is>
          <t>Q2-2016</t>
        </is>
      </c>
      <c r="G64" s="511" t="n"/>
      <c r="H64" s="513" t="n"/>
      <c r="I64" s="17" t="n"/>
      <c r="J64" s="17" t="n"/>
    </row>
    <row r="65" ht="14.4" customHeight="1" s="972">
      <c r="A65" s="17" t="n"/>
      <c r="B65" s="17" t="n"/>
      <c r="C65" s="17" t="n"/>
      <c r="D65" s="17" t="n"/>
      <c r="E65" s="17" t="n"/>
      <c r="F65" s="17" t="n"/>
      <c r="G65" s="17" t="n"/>
      <c r="H65" s="17" t="n"/>
      <c r="I65" s="17" t="n"/>
      <c r="J65" s="17" t="n"/>
    </row>
    <row r="66" ht="14.4" customHeight="1" s="972">
      <c r="A66" s="17" t="n"/>
      <c r="B66" s="17" t="n"/>
      <c r="C66" s="17" t="n"/>
      <c r="D66" s="17" t="n"/>
      <c r="E66" s="17" t="n"/>
      <c r="F66" s="17" t="n"/>
      <c r="G66" s="17" t="n"/>
      <c r="H66" s="17" t="n"/>
      <c r="I66" s="17" t="n"/>
      <c r="J66" s="17" t="n"/>
    </row>
    <row r="67" ht="14.4" customHeight="1" s="972">
      <c r="A67" s="17" t="n"/>
      <c r="B67" s="17" t="n"/>
      <c r="C67" s="17" t="n"/>
      <c r="D67" s="17" t="n"/>
      <c r="E67" s="17" t="n"/>
      <c r="F67" s="17" t="n"/>
      <c r="G67" s="17" t="n"/>
      <c r="H67" s="17" t="n"/>
      <c r="I67" s="17" t="n"/>
      <c r="J67" s="17" t="n"/>
    </row>
    <row r="68" ht="14.4" customHeight="1" s="972">
      <c r="A68" s="17" t="n"/>
      <c r="B68" s="17" t="n"/>
      <c r="C68" s="17" t="n"/>
      <c r="D68" s="17" t="n"/>
      <c r="E68" s="17" t="n"/>
      <c r="F68" s="17" t="n"/>
      <c r="G68" s="17" t="n"/>
      <c r="H68" s="17" t="n"/>
      <c r="I68" s="17" t="n"/>
      <c r="J68" s="17" t="n"/>
    </row>
    <row r="69" ht="14.4" customHeight="1" s="972">
      <c r="A69" s="17" t="n"/>
      <c r="B69" s="17" t="n"/>
      <c r="C69" s="17" t="n"/>
      <c r="D69" s="17" t="n"/>
      <c r="E69" s="17" t="n"/>
      <c r="F69" s="17" t="n"/>
      <c r="G69" s="17" t="n"/>
      <c r="H69" s="17" t="n"/>
      <c r="I69" s="17" t="n"/>
      <c r="J69" s="17" t="n"/>
    </row>
    <row r="70" ht="14.4" customHeight="1" s="972">
      <c r="A70" s="17" t="n"/>
      <c r="B70" s="17" t="n"/>
      <c r="C70" s="17" t="n"/>
      <c r="D70" s="17" t="n"/>
      <c r="E70" s="17" t="n"/>
      <c r="F70" s="17" t="n"/>
      <c r="G70" s="17" t="n"/>
      <c r="H70" s="17" t="n"/>
      <c r="I70" s="17" t="n"/>
      <c r="J70" s="17" t="n"/>
    </row>
    <row r="71" ht="14.4" customHeight="1" s="972">
      <c r="A71" s="17" t="n"/>
      <c r="B71" s="17" t="n"/>
      <c r="C71" s="17" t="n"/>
      <c r="D71" s="17" t="n"/>
      <c r="E71" s="17" t="n"/>
      <c r="F71" s="17" t="n"/>
      <c r="G71" s="17" t="n"/>
      <c r="H71" s="17" t="n"/>
      <c r="I71" s="17" t="n"/>
      <c r="J71" s="17" t="n"/>
    </row>
    <row r="72" ht="14.4" customHeight="1" s="972">
      <c r="A72" s="17" t="n"/>
      <c r="B72" s="17" t="n"/>
      <c r="C72" s="17" t="n"/>
      <c r="D72" s="17" t="n"/>
      <c r="E72" s="17" t="n"/>
      <c r="F72" s="17" t="n"/>
      <c r="G72" s="17" t="n"/>
      <c r="H72" s="17" t="n"/>
      <c r="I72" s="17" t="n"/>
      <c r="J72" s="17" t="n"/>
    </row>
    <row r="73" ht="14.4" customHeight="1" s="972">
      <c r="A73" s="17" t="n"/>
      <c r="B73" s="17" t="n"/>
      <c r="C73" s="17" t="n"/>
      <c r="D73" s="17" t="n"/>
      <c r="E73" s="17" t="n"/>
      <c r="F73" s="17" t="n"/>
      <c r="G73" s="17" t="n"/>
      <c r="H73" s="17" t="n"/>
      <c r="I73" s="17" t="n"/>
      <c r="J73" s="17" t="n"/>
    </row>
    <row r="74" ht="14.4" customHeight="1" s="972">
      <c r="A74" s="17" t="n"/>
      <c r="B74" s="17" t="n"/>
      <c r="C74" s="17" t="n"/>
      <c r="D74" s="17" t="n"/>
      <c r="E74" s="17" t="n"/>
      <c r="F74" s="17" t="n"/>
      <c r="G74" s="17" t="n"/>
      <c r="H74" s="17" t="n"/>
      <c r="I74" s="17" t="n"/>
      <c r="J74" s="17" t="n"/>
    </row>
    <row r="75" ht="14.4" customHeight="1" s="972">
      <c r="A75" s="17" t="n"/>
      <c r="B75" s="17" t="n"/>
      <c r="C75" s="17" t="n"/>
      <c r="D75" s="17" t="n"/>
      <c r="E75" s="17" t="n"/>
      <c r="F75" s="17" t="n"/>
      <c r="G75" s="17" t="n"/>
      <c r="H75" s="17" t="n"/>
      <c r="I75" s="17" t="n"/>
      <c r="J75" s="17" t="n"/>
    </row>
    <row r="76" ht="14.4" customHeight="1" s="972">
      <c r="A76" s="17" t="n"/>
      <c r="B76" s="17" t="n"/>
      <c r="C76" s="17" t="n"/>
      <c r="D76" s="17" t="n"/>
      <c r="E76" s="17" t="n"/>
      <c r="F76" s="17" t="n"/>
      <c r="G76" s="17" t="n"/>
      <c r="H76" s="17" t="n"/>
      <c r="I76" s="17" t="n"/>
      <c r="J76" s="17" t="n"/>
    </row>
    <row r="77" ht="14.4" customHeight="1" s="972">
      <c r="A77" s="17" t="n"/>
      <c r="B77" s="17" t="n"/>
      <c r="C77" s="17" t="n"/>
      <c r="D77" s="17" t="n"/>
      <c r="E77" s="17" t="n"/>
      <c r="F77" s="17" t="n"/>
      <c r="G77" s="17" t="n"/>
      <c r="H77" s="17" t="n"/>
      <c r="I77" s="17" t="n"/>
      <c r="J77" s="17" t="n"/>
    </row>
    <row r="78" ht="14.4" customHeight="1" s="972">
      <c r="A78" s="17" t="n"/>
      <c r="B78" s="17" t="n"/>
      <c r="C78" s="17" t="n"/>
      <c r="D78" s="17" t="n"/>
      <c r="E78" s="17" t="n"/>
      <c r="F78" s="17" t="n"/>
      <c r="G78" s="17" t="n"/>
      <c r="H78" s="17" t="n"/>
      <c r="I78" s="17" t="n"/>
      <c r="J78" s="17" t="n"/>
    </row>
    <row r="79" ht="14.4" customHeight="1" s="972">
      <c r="A79" s="17" t="n"/>
      <c r="B79" s="17" t="n"/>
      <c r="C79" s="17" t="n"/>
      <c r="D79" s="17" t="n"/>
      <c r="E79" s="17" t="n"/>
      <c r="F79" s="17" t="n"/>
      <c r="G79" s="17" t="n"/>
      <c r="H79" s="17" t="n"/>
      <c r="I79" s="17" t="n"/>
      <c r="J79" s="17" t="n"/>
    </row>
    <row r="80" ht="14.4" customHeight="1" s="972">
      <c r="A80" s="17" t="n"/>
      <c r="B80" s="17" t="n"/>
      <c r="C80" s="17" t="n"/>
      <c r="D80" s="17" t="n"/>
      <c r="E80" s="17" t="n"/>
      <c r="F80" s="17" t="n"/>
      <c r="G80" s="17" t="n"/>
      <c r="H80" s="17" t="n"/>
      <c r="I80" s="17" t="n"/>
      <c r="J80" s="17" t="n"/>
    </row>
    <row r="81" ht="14.4" customHeight="1" s="972">
      <c r="A81" s="17" t="n"/>
      <c r="B81" s="17" t="n"/>
      <c r="C81" s="17" t="n"/>
      <c r="D81" s="17" t="n"/>
      <c r="E81" s="17" t="n"/>
      <c r="F81" s="17" t="n"/>
      <c r="G81" s="17" t="n"/>
      <c r="H81" s="17" t="n"/>
      <c r="I81" s="17" t="n"/>
      <c r="J81" s="17" t="n"/>
    </row>
    <row r="82" ht="14.4" customHeight="1" s="972">
      <c r="A82" s="17" t="n"/>
      <c r="B82" s="17" t="n"/>
      <c r="C82" s="17" t="n"/>
      <c r="D82" s="17" t="n"/>
      <c r="E82" s="17" t="n"/>
      <c r="F82" s="17" t="n"/>
      <c r="G82" s="17" t="n"/>
      <c r="H82" s="17" t="n"/>
      <c r="I82" s="17" t="n"/>
      <c r="J82" s="17" t="n"/>
    </row>
    <row r="83" ht="14.4" customHeight="1" s="972">
      <c r="A83" s="17" t="n"/>
      <c r="B83" s="17" t="n"/>
      <c r="C83" s="17" t="n"/>
      <c r="D83" s="17" t="n"/>
      <c r="E83" s="17" t="n"/>
      <c r="F83" s="17" t="n"/>
      <c r="G83" s="17" t="n"/>
      <c r="H83" s="17" t="n"/>
      <c r="I83" s="17" t="n"/>
      <c r="J83" s="17" t="n"/>
    </row>
    <row r="84" ht="14.4" customHeight="1" s="972">
      <c r="A84" s="17" t="n"/>
      <c r="B84" s="17" t="n"/>
      <c r="C84" s="17" t="n"/>
      <c r="D84" s="17" t="n"/>
      <c r="E84" s="17" t="n"/>
      <c r="F84" s="17" t="n"/>
      <c r="G84" s="17" t="n"/>
      <c r="H84" s="17" t="n"/>
      <c r="I84" s="17" t="n"/>
      <c r="J84" s="17" t="n"/>
    </row>
    <row r="85" ht="14.4" customHeight="1" s="972">
      <c r="A85" s="17" t="n"/>
      <c r="B85" s="17" t="n"/>
      <c r="C85" s="17" t="n"/>
      <c r="D85" s="17" t="n"/>
      <c r="E85" s="17" t="n"/>
      <c r="F85" s="17" t="n"/>
      <c r="G85" s="17" t="n"/>
      <c r="H85" s="17" t="n"/>
      <c r="I85" s="17" t="n"/>
      <c r="J85" s="17" t="n"/>
    </row>
    <row r="86" ht="14.4" customHeight="1" s="972">
      <c r="A86" s="17" t="n"/>
      <c r="B86" s="17" t="n"/>
      <c r="C86" s="17" t="n"/>
      <c r="D86" s="17" t="n"/>
      <c r="E86" s="17" t="n"/>
      <c r="F86" s="17" t="n"/>
      <c r="G86" s="17" t="n"/>
      <c r="H86" s="17" t="n"/>
      <c r="I86" s="17" t="n"/>
      <c r="J86" s="17" t="n"/>
    </row>
  </sheetData>
  <hyperlinks>
    <hyperlink xmlns:r="http://schemas.openxmlformats.org/officeDocument/2006/relationships" ref="H11" tooltip="Website Link" display="Earnings Press Release" r:id="rId1"/>
    <hyperlink xmlns:r="http://schemas.openxmlformats.org/officeDocument/2006/relationships" ref="H12" tooltip="Website Link" display="Earnings Press Release" r:id="rId2"/>
    <hyperlink xmlns:r="http://schemas.openxmlformats.org/officeDocument/2006/relationships" ref="H13" tooltip="Website Link" display="Earnings Press Release" r:id="rId3"/>
    <hyperlink xmlns:r="http://schemas.openxmlformats.org/officeDocument/2006/relationships" ref="H14" tooltip="Website Link" display="Earnings Press Release" r:id="rId4"/>
    <hyperlink xmlns:r="http://schemas.openxmlformats.org/officeDocument/2006/relationships" ref="H15" tooltip="Website Link" display="Earnings Press Release" r:id="rId5"/>
    <hyperlink xmlns:r="http://schemas.openxmlformats.org/officeDocument/2006/relationships" ref="H16" tooltip="Website Link" display="Earnings Press Release" r:id="rId6"/>
    <hyperlink xmlns:r="http://schemas.openxmlformats.org/officeDocument/2006/relationships" ref="H17" tooltip="Website Link" display="Earnings Press Release" r:id="rId7"/>
    <hyperlink xmlns:r="http://schemas.openxmlformats.org/officeDocument/2006/relationships" ref="H18" tooltip="Website Link" display="Earnings Press Release" r:id="rId8"/>
    <hyperlink xmlns:r="http://schemas.openxmlformats.org/officeDocument/2006/relationships" ref="H19" tooltip="Website Link" display="Earnings Press Release" r:id="rId9"/>
    <hyperlink xmlns:r="http://schemas.openxmlformats.org/officeDocument/2006/relationships" ref="H20" tooltip="Website Link" display="Earnings Press Release" r:id="rId10"/>
    <hyperlink xmlns:r="http://schemas.openxmlformats.org/officeDocument/2006/relationships" ref="H21" tooltip="Website Link" display="Earnings Press Release" r:id="rId11"/>
    <hyperlink xmlns:r="http://schemas.openxmlformats.org/officeDocument/2006/relationships" ref="H22" tooltip="Website Link" display="Earnings Press Release" r:id="rId12"/>
    <hyperlink xmlns:r="http://schemas.openxmlformats.org/officeDocument/2006/relationships" ref="H23" tooltip="Website Link" display="Earnings Press Release" r:id="rId13"/>
    <hyperlink xmlns:r="http://schemas.openxmlformats.org/officeDocument/2006/relationships" ref="H24" display="Earnings Press Release" r:id="rId14"/>
    <hyperlink xmlns:r="http://schemas.openxmlformats.org/officeDocument/2006/relationships" ref="H25" tooltip="Website Link" display="Earnings Press Release" r:id="rId15"/>
    <hyperlink xmlns:r="http://schemas.openxmlformats.org/officeDocument/2006/relationships" ref="H26" tooltip="Website Link" display="Earnings Press Release" r:id="rId16"/>
    <hyperlink xmlns:r="http://schemas.openxmlformats.org/officeDocument/2006/relationships" ref="H27" tooltip="Website Link" display="Earnings Press Release" r:id="rId17"/>
    <hyperlink xmlns:r="http://schemas.openxmlformats.org/officeDocument/2006/relationships" ref="H28" display="Earnings Press Release" r:id="rId18"/>
    <hyperlink xmlns:r="http://schemas.openxmlformats.org/officeDocument/2006/relationships" ref="H29" tooltip="Website Link" display="Earnings Press Release" r:id="rId19"/>
    <hyperlink xmlns:r="http://schemas.openxmlformats.org/officeDocument/2006/relationships" ref="H30" tooltip="Website Link" display="Earnings Press Release" r:id="rId20"/>
    <hyperlink xmlns:r="http://schemas.openxmlformats.org/officeDocument/2006/relationships" ref="H31" display="Earnings Press Release" r:id="rId21"/>
    <hyperlink xmlns:r="http://schemas.openxmlformats.org/officeDocument/2006/relationships" ref="H32" display="Earnings Press Release" r:id="rId22"/>
    <hyperlink xmlns:r="http://schemas.openxmlformats.org/officeDocument/2006/relationships" ref="H33" tooltip="Website Link" display="Earnings Press Release" r:id="rId23"/>
    <hyperlink xmlns:r="http://schemas.openxmlformats.org/officeDocument/2006/relationships" ref="H34" tooltip="Website Link" display="Earnings Press Release" r:id="rId24"/>
    <hyperlink xmlns:r="http://schemas.openxmlformats.org/officeDocument/2006/relationships" ref="H35" tooltip="Website Link" display="Earnings Press Release" r:id="rId25"/>
    <hyperlink xmlns:r="http://schemas.openxmlformats.org/officeDocument/2006/relationships" ref="H36" tooltip="Website Link" display="Earnings Press Release" r:id="rId26"/>
    <hyperlink xmlns:r="http://schemas.openxmlformats.org/officeDocument/2006/relationships" ref="H37" tooltip="Website Link" display="Earnings Press Release" r:id="rId27"/>
    <hyperlink xmlns:r="http://schemas.openxmlformats.org/officeDocument/2006/relationships" ref="H38" tooltip="Website Link" display="Earnings Press Release" r:id="rId28"/>
    <hyperlink xmlns:r="http://schemas.openxmlformats.org/officeDocument/2006/relationships" ref="H39" tooltip="Website Link" display="Earnings Press Release" r:id="rId29"/>
    <hyperlink xmlns:r="http://schemas.openxmlformats.org/officeDocument/2006/relationships" ref="H40" tooltip="Website Link" display="Earnings Press Release" r:id="rId30"/>
    <hyperlink xmlns:r="http://schemas.openxmlformats.org/officeDocument/2006/relationships" ref="H41" tooltip="Website Link" display="Earnings Press Release" r:id="rId31"/>
    <hyperlink xmlns:r="http://schemas.openxmlformats.org/officeDocument/2006/relationships" ref="H42" tooltip="Website Link" display="Earnings Press Release" r:id="rId32"/>
    <hyperlink xmlns:r="http://schemas.openxmlformats.org/officeDocument/2006/relationships" ref="H43" tooltip="Website Link" display="Earnings Press Release" r:id="rId33"/>
    <hyperlink xmlns:r="http://schemas.openxmlformats.org/officeDocument/2006/relationships" ref="H44" tooltip="Website Link" display="Earnings Press Release" r:id="rId34"/>
    <hyperlink xmlns:r="http://schemas.openxmlformats.org/officeDocument/2006/relationships" ref="H45" tooltip="Website Link" display="Earnings Press Release" r:id="rId35"/>
    <hyperlink xmlns:r="http://schemas.openxmlformats.org/officeDocument/2006/relationships" ref="H47" tooltip="Website Link" display="Earnings Press Release" r:id="rId36"/>
    <hyperlink xmlns:r="http://schemas.openxmlformats.org/officeDocument/2006/relationships" ref="H48" tooltip="Website Link" display="Earnings Press Release" r:id="rId37"/>
    <hyperlink xmlns:r="http://schemas.openxmlformats.org/officeDocument/2006/relationships" ref="H49" tooltip="Website Link" display="Earnings Press Release" r:id="rId38"/>
    <hyperlink xmlns:r="http://schemas.openxmlformats.org/officeDocument/2006/relationships" ref="H50" tooltip="Website Link" display="Earnings Press Release" r:id="rId39"/>
    <hyperlink xmlns:r="http://schemas.openxmlformats.org/officeDocument/2006/relationships" ref="H51" tooltip="Website Link" display="Earnings Press Release" r:id="rId40"/>
    <hyperlink xmlns:r="http://schemas.openxmlformats.org/officeDocument/2006/relationships" ref="H53" tooltip="Website Link" display="Earnings Press Release" r:id="rId41"/>
    <hyperlink xmlns:r="http://schemas.openxmlformats.org/officeDocument/2006/relationships" ref="H54" tooltip="Website Link" display="Earnings Press Release" r:id="rId42"/>
    <hyperlink xmlns:r="http://schemas.openxmlformats.org/officeDocument/2006/relationships" ref="H55" tooltip="Website Link" display="Earnings Press Release" r:id="rId43"/>
    <hyperlink xmlns:r="http://schemas.openxmlformats.org/officeDocument/2006/relationships" ref="H56" tooltip="Website Link" display="Earnings Press Release" r:id="rId44"/>
    <hyperlink xmlns:r="http://schemas.openxmlformats.org/officeDocument/2006/relationships" ref="H58" tooltip="Website Link" display="Earnings Press Release" r:id="rId45"/>
    <hyperlink xmlns:r="http://schemas.openxmlformats.org/officeDocument/2006/relationships" ref="H59" tooltip="Website Link" display="Earnings Press Release" r:id="rId46"/>
    <hyperlink xmlns:r="http://schemas.openxmlformats.org/officeDocument/2006/relationships" ref="H60" tooltip="Website Link" display="Earnings Press Release" r:id="rId47"/>
    <hyperlink xmlns:r="http://schemas.openxmlformats.org/officeDocument/2006/relationships" ref="H61" tooltip="Website Link" display="Earnings Press Release" r:id="rId48"/>
    <hyperlink xmlns:r="http://schemas.openxmlformats.org/officeDocument/2006/relationships" ref="H63" tooltip="Website Link" display="Earnings Press Release" r:id="rId49"/>
  </hyperlinks>
  <pageMargins left="0.7" right="0.7" top="0.75" bottom="0.75" header="0.3" footer="0.3"/>
  <pageSetup orientation="portrait" paperSize="1"/>
  <drawing xmlns:r="http://schemas.openxmlformats.org/officeDocument/2006/relationships" r:id="rId5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Canalyst</dc:creator>
  <dcterms:created xmlns:dcterms="http://purl.org/dc/terms/" xmlns:xsi="http://www.w3.org/2001/XMLSchema-instance" xsi:type="dcterms:W3CDTF">2016-04-22T21:21:10Z</dcterms:created>
  <dcterms:modified xmlns:dcterms="http://purl.org/dc/terms/" xmlns:xsi="http://www.w3.org/2001/XMLSchema-instance" xsi:type="dcterms:W3CDTF">2026-02-18T01:54:06Z</dcterms:modified>
  <cp:lastModifiedBy>Tegus (TP)</cp:lastModifiedBy>
  <cp:lastPrinted>2022-02-22T23:09:56Z</cp:lastPrinted>
</cp:coreProperties>
</file>